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61"/>
  <workbookPr showInkAnnotation="0" codeName="ThisWorkbook" hidePivotFieldList="1"/>
  <mc:AlternateContent xmlns:mc="http://schemas.openxmlformats.org/markup-compatibility/2006">
    <mc:Choice Requires="x15">
      <x15ac:absPath xmlns:x15ac="http://schemas.microsoft.com/office/spreadsheetml/2010/11/ac" url="F:\ARCHIVED K DRIVE PDFS\MISC folder for posting PDFs online\"/>
    </mc:Choice>
  </mc:AlternateContent>
  <xr:revisionPtr revIDLastSave="0" documentId="8_{2BB40185-7200-4FD1-84FB-B72648B292A7}" xr6:coauthVersionLast="36" xr6:coauthVersionMax="36" xr10:uidLastSave="{00000000-0000-0000-0000-000000000000}"/>
  <bookViews>
    <workbookView xWindow="0" yWindow="0" windowWidth="14380" windowHeight="4070" tabRatio="770" xr2:uid="{00000000-000D-0000-FFFF-FFFF00000000}"/>
  </bookViews>
  <sheets>
    <sheet name="ALPINE VALLEY" sheetId="103" r:id="rId1"/>
    <sheet name="ART CITY" sheetId="10" r:id="rId2"/>
    <sheet name="AVALON BOUNTIFUL" sheetId="118" r:id="rId3"/>
    <sheet name="AVALON VALLEY" sheetId="60" r:id="rId4"/>
    <sheet name="BENNION dba AV West" sheetId="54" r:id="rId5"/>
    <sheet name="BVH-RMC CLEARFIELD" sheetId="155" r:id="rId6"/>
    <sheet name="BVH-RMC Cottage on Vine" sheetId="156" r:id="rId7"/>
    <sheet name="BVH-RMC Mountain View" sheetId="157" r:id="rId8"/>
    <sheet name="BVH-RMC Willow Springs" sheetId="158" r:id="rId9"/>
    <sheet name="CANYON RIM" sheetId="94" r:id="rId10"/>
    <sheet name="CANYONLANDS" sheetId="145" r:id="rId11"/>
    <sheet name="CENTRAL UT VH -PAYSON" sheetId="164" r:id="rId12"/>
    <sheet name="CITY CREEK" sheetId="19" r:id="rId13"/>
    <sheet name="COPPER RIDGE" sheetId="15" r:id="rId14"/>
    <sheet name="COUNTRY LIFE" sheetId="150" r:id="rId15"/>
    <sheet name="CRESTWOOD" sheetId="68" r:id="rId16"/>
    <sheet name="DESERET CARE" sheetId="100" r:id="rId17"/>
    <sheet name="Deseret at CROSSLANDS" sheetId="67" r:id="rId18"/>
    <sheet name="Deseret at FEDERAL HEIGHTS" sheetId="59" r:id="rId19"/>
    <sheet name="DRAPER" sheetId="66" r:id="rId20"/>
    <sheet name="EMERY COUNTY" sheetId="63" r:id="rId21"/>
    <sheet name="FAIRVIEW" sheetId="62" r:id="rId22"/>
    <sheet name="FOUR CORNERS" sheetId="58" r:id="rId23"/>
    <sheet name="HAZEN" sheetId="136" r:id="rId24"/>
    <sheet name="HERITAGE CARE" sheetId="53" r:id="rId25"/>
    <sheet name="HERITAGE HILLS" sheetId="98" r:id="rId26"/>
    <sheet name="HERITAGE PARK (TM ROY)" sheetId="49" r:id="rId27"/>
    <sheet name="HIGHLAND" sheetId="83" r:id="rId28"/>
    <sheet name="HILLSIDE" sheetId="47" r:id="rId29"/>
    <sheet name="HOLLADAY" sheetId="46" r:id="rId30"/>
    <sheet name="HURRICANE" sheetId="102" r:id="rId31"/>
    <sheet name="IRON COUNTY" sheetId="45" r:id="rId32"/>
    <sheet name="KOLOB CARE, ST GEORGE" sheetId="104" r:id="rId33"/>
    <sheet name="KOLOB REG., CEDAR CITY" sheetId="106" r:id="rId34"/>
    <sheet name="LIFE CARE BOUNTIFUL" sheetId="43" r:id="rId35"/>
    <sheet name="Little Cottonwood" sheetId="57" r:id="rId36"/>
    <sheet name="LOGAN &amp; RMC" sheetId="42" r:id="rId37"/>
    <sheet name="LOMOND PEAK" sheetId="84" r:id="rId38"/>
    <sheet name="MANOR CARE" sheetId="71" r:id="rId39"/>
    <sheet name="MEADOW BROOK" sheetId="167" r:id="rId40"/>
    <sheet name="MIDTOWN" sheetId="39" r:id="rId41"/>
    <sheet name="MILLARD COUNTY" sheetId="135" r:id="rId42"/>
    <sheet name="MILLCREEK" sheetId="38" r:id="rId43"/>
    <sheet name="Mission at Bear River- GVH" sheetId="133" r:id="rId44"/>
    <sheet name="MISSION at CL (Mayfield)" sheetId="152" r:id="rId45"/>
    <sheet name="MTN VIEW" sheetId="120" r:id="rId46"/>
    <sheet name="MT OGDEN" sheetId="37" r:id="rId47"/>
    <sheet name="MT. OLYMPUS" sheetId="90" r:id="rId48"/>
    <sheet name="NORTH CANYON" sheetId="24" r:id="rId49"/>
    <sheet name="OGDEN VA, George E. Wahlen" sheetId="141" r:id="rId50"/>
    <sheet name="ORCHARD PARK" sheetId="33" r:id="rId51"/>
    <sheet name="OREM" sheetId="32" r:id="rId52"/>
    <sheet name="PARAMOUNT" sheetId="79" r:id="rId53"/>
    <sheet name="PARKDALE" sheetId="31" r:id="rId54"/>
    <sheet name="PARKWAY" sheetId="64" r:id="rId55"/>
    <sheet name="PINE CREEK" sheetId="113" r:id="rId56"/>
    <sheet name="PINNACLE" sheetId="72" r:id="rId57"/>
    <sheet name="PIONEER" sheetId="28" r:id="rId58"/>
    <sheet name="PROVO REHAB" sheetId="65" r:id="rId59"/>
    <sheet name="RED CLIFFS" sheetId="119" r:id="rId60"/>
    <sheet name="RICHFIELD" sheetId="25" r:id="rId61"/>
    <sheet name="RM HUNTER HOLLOW" sheetId="20" r:id="rId62"/>
    <sheet name="RM RIVERTON" sheetId="159" r:id="rId63"/>
    <sheet name="SANDY REGIONAL" sheetId="16" r:id="rId64"/>
    <sheet name="SEASONS" sheetId="27" r:id="rId65"/>
    <sheet name="SOUTH DAVIS" sheetId="111" r:id="rId66"/>
    <sheet name="Southern UT VH-IVINS" sheetId="165" r:id="rId67"/>
    <sheet name="SPANISH FORK," sheetId="55" r:id="rId68"/>
    <sheet name="SPRING CREEK" sheetId="21" r:id="rId69"/>
    <sheet name="ST GEORGE" sheetId="14" r:id="rId70"/>
    <sheet name="ST JOSEPH VILLA" sheetId="85" r:id="rId71"/>
    <sheet name="STONEHENGE of AM FORK" sheetId="149" r:id="rId72"/>
    <sheet name="STONEHENGE, OGDEN" sheetId="172" r:id="rId73"/>
    <sheet name="STONEHENGE, RICHFIELD" sheetId="143" r:id="rId74"/>
    <sheet name="SUNSHINE TERRACE" sheetId="87" r:id="rId75"/>
    <sheet name="T M PROVO(Ut Val H&amp;R)" sheetId="69" r:id="rId76"/>
    <sheet name="UINTAH BASIN REHAB" sheetId="86" r:id="rId77"/>
    <sheet name="UINTAH CARE" sheetId="89" r:id="rId78"/>
    <sheet name="VA Salt Lake (W.E.C. SLVH)" sheetId="142" r:id="rId79"/>
    <sheet name="WASATCH" sheetId="91" r:id="rId80"/>
    <sheet name="WASHINGTON TERRACE" sheetId="92" r:id="rId81"/>
    <sheet name="WILLOW GLEN" sheetId="1" r:id="rId82"/>
    <sheet name="WILLOW WOOD" sheetId="50" r:id="rId83"/>
    <sheet name="WOODLAND" sheetId="95" r:id="rId84"/>
    <sheet name="SUMMARY" sheetId="97" r:id="rId85"/>
  </sheets>
  <externalReferences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</externalReferences>
  <definedNames>
    <definedName name="_xlnm.Print_Area" localSheetId="16">'DESERET CARE'!$A$1:$H$228</definedName>
    <definedName name="_xlnm.Print_Area" localSheetId="35">'Little Cottonwood'!$A$1:$J$216</definedName>
    <definedName name="_xlnm.Print_Area" localSheetId="37">'LOMOND PEAK'!$A$1:$H$228</definedName>
    <definedName name="_xlnm.Print_Area" localSheetId="52">PARAMOUNT!$A$1:$H$228</definedName>
    <definedName name="_xlnm.Print_Area" localSheetId="84">SUMMARY!$A$1:$Q$242</definedName>
    <definedName name="_xlnm.Print_Titles" localSheetId="15">CRESTWOOD!$7:$9</definedName>
    <definedName name="_xlnm.Print_Titles" localSheetId="18">'Deseret at FEDERAL HEIGHTS'!$1:$9</definedName>
    <definedName name="_xlnm.Print_Titles" localSheetId="16">'DESERET CARE'!$1:$9</definedName>
    <definedName name="_xlnm.Print_Titles" localSheetId="21">FAIRVIEW!$7:$9</definedName>
    <definedName name="_xlnm.Print_Titles" localSheetId="22">'FOUR CORNERS'!$1:$9</definedName>
    <definedName name="_xlnm.Print_Titles" localSheetId="24">'HERITAGE CARE'!$1:$9</definedName>
    <definedName name="_xlnm.Print_Titles" localSheetId="25">'HERITAGE HILLS'!$1:$9</definedName>
    <definedName name="_xlnm.Print_Titles" localSheetId="26">'HERITAGE PARK (TM ROY)'!$1:$9</definedName>
    <definedName name="_xlnm.Print_Titles" localSheetId="27">HIGHLAND!$1:$9</definedName>
    <definedName name="_xlnm.Print_Titles" localSheetId="28">HILLSIDE!$1:$9</definedName>
    <definedName name="_xlnm.Print_Titles" localSheetId="29">HOLLADAY!$1:$9</definedName>
    <definedName name="_xlnm.Print_Titles" localSheetId="32">'KOLOB CARE, ST GEORGE'!$1:$9</definedName>
    <definedName name="_xlnm.Print_Titles" localSheetId="33">'KOLOB REG., CEDAR CITY'!$1:$9</definedName>
    <definedName name="_xlnm.Print_Titles" localSheetId="35">'Little Cottonwood'!$1:$9</definedName>
    <definedName name="_xlnm.Print_Titles" localSheetId="36">'LOGAN &amp; RMC'!$1:$9</definedName>
    <definedName name="_xlnm.Print_Titles" localSheetId="37">'LOMOND PEAK'!$1:$9</definedName>
    <definedName name="_xlnm.Print_Titles" localSheetId="40">MIDTOWN!$1:$9</definedName>
    <definedName name="_xlnm.Print_Titles" localSheetId="42">MILLCREEK!$1:$9</definedName>
    <definedName name="_xlnm.Print_Titles" localSheetId="52">PARAMOUNT!$1:$9</definedName>
    <definedName name="_xlnm.Print_Titles" localSheetId="55">'PINE CREEK'!$1:$9</definedName>
    <definedName name="_xlnm.Print_Titles" localSheetId="58">'PROVO REHAB'!$7:$9</definedName>
    <definedName name="_xlnm.Print_Titles" localSheetId="67">'SPANISH FORK,'!$1:$9</definedName>
    <definedName name="_xlnm.Print_Titles" localSheetId="84">SUMMARY!$1:$12</definedName>
    <definedName name="_xlnm.Print_Titles" localSheetId="80">'WASHINGTON TERRACE'!$1:$9</definedName>
    <definedName name="_xlnm.Print_Titles" localSheetId="82">'WILLOW WOOD'!$1:$9</definedName>
    <definedName name="_xlnm.Print_Titles" localSheetId="83">WOODLAND!$1:$9</definedName>
    <definedName name="Z_00D6F160_3E2B_11D5_8BE5_C1A1C12816BD_.wvu.PrintArea" localSheetId="35" hidden="1">'Little Cottonwood'!$A$1:$J$216</definedName>
    <definedName name="Z_00D6F160_3E2B_11D5_8BE5_C1A1C12816BD_.wvu.PrintTitles" localSheetId="0" hidden="1">'ALPINE VALLEY'!#REF!</definedName>
    <definedName name="Z_00D6F160_3E2B_11D5_8BE5_C1A1C12816BD_.wvu.PrintTitles" localSheetId="3" hidden="1">'AVALON VALLEY'!#REF!</definedName>
    <definedName name="Z_00D6F160_3E2B_11D5_8BE5_C1A1C12816BD_.wvu.PrintTitles" localSheetId="4" hidden="1">'BENNION dba AV West'!#REF!</definedName>
    <definedName name="Z_00D6F160_3E2B_11D5_8BE5_C1A1C12816BD_.wvu.PrintTitles" localSheetId="5" hidden="1">'BVH-RMC CLEARFIELD'!#REF!</definedName>
    <definedName name="Z_00D6F160_3E2B_11D5_8BE5_C1A1C12816BD_.wvu.PrintTitles" localSheetId="6" hidden="1">'BVH-RMC Cottage on Vine'!#REF!</definedName>
    <definedName name="Z_00D6F160_3E2B_11D5_8BE5_C1A1C12816BD_.wvu.PrintTitles" localSheetId="7" hidden="1">'BVH-RMC Mountain View'!#REF!</definedName>
    <definedName name="Z_00D6F160_3E2B_11D5_8BE5_C1A1C12816BD_.wvu.PrintTitles" localSheetId="8" hidden="1">'BVH-RMC Willow Springs'!#REF!</definedName>
    <definedName name="Z_00D6F160_3E2B_11D5_8BE5_C1A1C12816BD_.wvu.PrintTitles" localSheetId="9" hidden="1">'CANYON RIM'!#REF!</definedName>
    <definedName name="Z_00D6F160_3E2B_11D5_8BE5_C1A1C12816BD_.wvu.PrintTitles" localSheetId="10" hidden="1">CANYONLANDS!#REF!</definedName>
    <definedName name="Z_00D6F160_3E2B_11D5_8BE5_C1A1C12816BD_.wvu.PrintTitles" localSheetId="11" hidden="1">'CENTRAL UT VH -PAYSON'!#REF!</definedName>
    <definedName name="Z_00D6F160_3E2B_11D5_8BE5_C1A1C12816BD_.wvu.PrintTitles" localSheetId="15" hidden="1">CRESTWOOD!$7:$9</definedName>
    <definedName name="Z_00D6F160_3E2B_11D5_8BE5_C1A1C12816BD_.wvu.PrintTitles" localSheetId="17" hidden="1">'Deseret at CROSSLANDS'!#REF!</definedName>
    <definedName name="Z_00D6F160_3E2B_11D5_8BE5_C1A1C12816BD_.wvu.PrintTitles" localSheetId="18" hidden="1">'Deseret at FEDERAL HEIGHTS'!$1:$9</definedName>
    <definedName name="Z_00D6F160_3E2B_11D5_8BE5_C1A1C12816BD_.wvu.PrintTitles" localSheetId="16" hidden="1">'DESERET CARE'!$1:$9</definedName>
    <definedName name="Z_00D6F160_3E2B_11D5_8BE5_C1A1C12816BD_.wvu.PrintTitles" localSheetId="19" hidden="1">DRAPER!#REF!</definedName>
    <definedName name="Z_00D6F160_3E2B_11D5_8BE5_C1A1C12816BD_.wvu.PrintTitles" localSheetId="20" hidden="1">'EMERY COUNTY'!#REF!</definedName>
    <definedName name="Z_00D6F160_3E2B_11D5_8BE5_C1A1C12816BD_.wvu.PrintTitles" localSheetId="21" hidden="1">FAIRVIEW!$7:$9</definedName>
    <definedName name="Z_00D6F160_3E2B_11D5_8BE5_C1A1C12816BD_.wvu.PrintTitles" localSheetId="22" hidden="1">'FOUR CORNERS'!$1:$9</definedName>
    <definedName name="Z_00D6F160_3E2B_11D5_8BE5_C1A1C12816BD_.wvu.PrintTitles" localSheetId="24" hidden="1">'HERITAGE CARE'!$1:$9</definedName>
    <definedName name="Z_00D6F160_3E2B_11D5_8BE5_C1A1C12816BD_.wvu.PrintTitles" localSheetId="25" hidden="1">'HERITAGE HILLS'!$1:$9</definedName>
    <definedName name="Z_00D6F160_3E2B_11D5_8BE5_C1A1C12816BD_.wvu.PrintTitles" localSheetId="26" hidden="1">'HERITAGE PARK (TM ROY)'!$1:$9</definedName>
    <definedName name="Z_00D6F160_3E2B_11D5_8BE5_C1A1C12816BD_.wvu.PrintTitles" localSheetId="27" hidden="1">HIGHLAND!$1:$9</definedName>
    <definedName name="Z_00D6F160_3E2B_11D5_8BE5_C1A1C12816BD_.wvu.PrintTitles" localSheetId="28" hidden="1">HILLSIDE!$1:$9</definedName>
    <definedName name="Z_00D6F160_3E2B_11D5_8BE5_C1A1C12816BD_.wvu.PrintTitles" localSheetId="29" hidden="1">HOLLADAY!$1:$9</definedName>
    <definedName name="Z_00D6F160_3E2B_11D5_8BE5_C1A1C12816BD_.wvu.PrintTitles" localSheetId="30" hidden="1">HURRICANE!#REF!</definedName>
    <definedName name="Z_00D6F160_3E2B_11D5_8BE5_C1A1C12816BD_.wvu.PrintTitles" localSheetId="31" hidden="1">'IRON COUNTY'!#REF!</definedName>
    <definedName name="Z_00D6F160_3E2B_11D5_8BE5_C1A1C12816BD_.wvu.PrintTitles" localSheetId="32" hidden="1">'KOLOB CARE, ST GEORGE'!$1:$9</definedName>
    <definedName name="Z_00D6F160_3E2B_11D5_8BE5_C1A1C12816BD_.wvu.PrintTitles" localSheetId="33" hidden="1">'KOLOB REG., CEDAR CITY'!$1:$9</definedName>
    <definedName name="Z_00D6F160_3E2B_11D5_8BE5_C1A1C12816BD_.wvu.PrintTitles" localSheetId="34" hidden="1">'LIFE CARE BOUNTIFUL'!#REF!</definedName>
    <definedName name="Z_00D6F160_3E2B_11D5_8BE5_C1A1C12816BD_.wvu.PrintTitles" localSheetId="35" hidden="1">'Little Cottonwood'!$1:$9</definedName>
    <definedName name="Z_00D6F160_3E2B_11D5_8BE5_C1A1C12816BD_.wvu.PrintTitles" localSheetId="36" hidden="1">'LOGAN &amp; RMC'!$1:$9</definedName>
    <definedName name="Z_00D6F160_3E2B_11D5_8BE5_C1A1C12816BD_.wvu.PrintTitles" localSheetId="37" hidden="1">'LOMOND PEAK'!$1:$9</definedName>
    <definedName name="Z_00D6F160_3E2B_11D5_8BE5_C1A1C12816BD_.wvu.PrintTitles" localSheetId="38" hidden="1">'MANOR CARE'!#REF!</definedName>
    <definedName name="Z_00D6F160_3E2B_11D5_8BE5_C1A1C12816BD_.wvu.PrintTitles" localSheetId="40" hidden="1">MIDTOWN!$1:$9</definedName>
    <definedName name="Z_00D6F160_3E2B_11D5_8BE5_C1A1C12816BD_.wvu.PrintTitles" localSheetId="42" hidden="1">MILLCREEK!$1:$9</definedName>
    <definedName name="Z_00D6F160_3E2B_11D5_8BE5_C1A1C12816BD_.wvu.PrintTitles" localSheetId="52" hidden="1">PARAMOUNT!$1:$9</definedName>
    <definedName name="Z_00D6F160_3E2B_11D5_8BE5_C1A1C12816BD_.wvu.PrintTitles" localSheetId="54" hidden="1">PARKWAY!#REF!</definedName>
    <definedName name="Z_00D6F160_3E2B_11D5_8BE5_C1A1C12816BD_.wvu.PrintTitles" localSheetId="55" hidden="1">'PINE CREEK'!$1:$9</definedName>
    <definedName name="Z_00D6F160_3E2B_11D5_8BE5_C1A1C12816BD_.wvu.PrintTitles" localSheetId="58" hidden="1">'PROVO REHAB'!$7:$9</definedName>
    <definedName name="Z_00D6F160_3E2B_11D5_8BE5_C1A1C12816BD_.wvu.PrintTitles" localSheetId="67" hidden="1">'SPANISH FORK,'!$1:$9</definedName>
    <definedName name="Z_00D6F160_3E2B_11D5_8BE5_C1A1C12816BD_.wvu.PrintTitles" localSheetId="68" hidden="1">'SPRING CREEK'!#REF!</definedName>
    <definedName name="Z_00D6F160_3E2B_11D5_8BE5_C1A1C12816BD_.wvu.PrintTitles" localSheetId="84" hidden="1">SUMMARY!$1:$12</definedName>
    <definedName name="Z_00D6F160_3E2B_11D5_8BE5_C1A1C12816BD_.wvu.PrintTitles" localSheetId="75" hidden="1">'T M PROVO(Ut Val H&amp;R)'!#REF!</definedName>
    <definedName name="Z_00D6F160_3E2B_11D5_8BE5_C1A1C12816BD_.wvu.PrintTitles" localSheetId="80" hidden="1">'WASHINGTON TERRACE'!$1:$9</definedName>
    <definedName name="Z_00D6F160_3E2B_11D5_8BE5_C1A1C12816BD_.wvu.PrintTitles" localSheetId="82" hidden="1">'WILLOW WOOD'!$1:$9</definedName>
    <definedName name="Z_00D6F160_3E2B_11D5_8BE5_C1A1C12816BD_.wvu.PrintTitles" localSheetId="83" hidden="1">WOODLAND!$1:$9</definedName>
    <definedName name="Z_8B6AA640_12E9_11D5_ABB1_E7A21A3D4A14_.wvu.PrintArea" localSheetId="35" hidden="1">'Little Cottonwood'!$A$1:$J$216</definedName>
  </definedNames>
  <calcPr calcId="191029"/>
  <customWorkbookViews>
    <customWorkbookView name="abingham - Personal View" guid="{8B6AA640-12E9-11D5-ABB1-E7A21A3D4A14}" mergeInterval="0" personalView="1" maximized="1" windowWidth="796" windowHeight="464" tabRatio="773" activeSheetId="10"/>
    <customWorkbookView name="37356 - Personal View" guid="{00D6F160-3E2B-11D5-8BE5-C1A1C12816BD}" mergeInterval="0" personalView="1" maximized="1" windowWidth="1020" windowHeight="553" tabRatio="773" activeSheetId="97"/>
  </customWorkbookViews>
</workbook>
</file>

<file path=xl/calcChain.xml><?xml version="1.0" encoding="utf-8"?>
<calcChain xmlns="http://schemas.openxmlformats.org/spreadsheetml/2006/main">
  <c r="F206" i="89" l="1"/>
  <c r="F197" i="89"/>
  <c r="F161" i="89"/>
  <c r="F119" i="89"/>
  <c r="F111" i="89"/>
  <c r="F102" i="89"/>
  <c r="F93" i="89"/>
  <c r="F79" i="89"/>
  <c r="F61" i="89"/>
  <c r="F206" i="143" l="1"/>
  <c r="F197" i="143"/>
  <c r="F161" i="143"/>
  <c r="F119" i="143"/>
  <c r="F111" i="143"/>
  <c r="F102" i="143"/>
  <c r="F86" i="143"/>
  <c r="F93" i="143" s="1"/>
  <c r="F79" i="143"/>
  <c r="F38" i="143"/>
  <c r="F61" i="143" s="1"/>
  <c r="F206" i="172" l="1"/>
  <c r="F197" i="172"/>
  <c r="F161" i="172"/>
  <c r="F119" i="172"/>
  <c r="F111" i="172"/>
  <c r="F102" i="172"/>
  <c r="F93" i="172"/>
  <c r="F79" i="172"/>
  <c r="F61" i="172"/>
  <c r="F206" i="149" l="1"/>
  <c r="F189" i="149"/>
  <c r="F197" i="149" s="1"/>
  <c r="F161" i="149"/>
  <c r="F119" i="149"/>
  <c r="F111" i="149"/>
  <c r="F102" i="149"/>
  <c r="F86" i="149"/>
  <c r="F93" i="149" s="1"/>
  <c r="F74" i="149"/>
  <c r="F79" i="149" s="1"/>
  <c r="F61" i="149"/>
  <c r="F39" i="149"/>
  <c r="F38" i="149"/>
  <c r="F40" i="14" l="1"/>
  <c r="G244" i="21" l="1"/>
  <c r="F202" i="21"/>
  <c r="F186" i="21"/>
  <c r="F184" i="21"/>
  <c r="F183" i="21"/>
  <c r="F149" i="21"/>
  <c r="F148" i="21"/>
  <c r="F147" i="21"/>
  <c r="F146" i="21"/>
  <c r="F145" i="21"/>
  <c r="F117" i="21"/>
  <c r="F108" i="21"/>
  <c r="F98" i="21"/>
  <c r="F87" i="21"/>
  <c r="F67" i="21"/>
  <c r="F56" i="21"/>
  <c r="F36" i="21"/>
  <c r="F30" i="21"/>
  <c r="F20" i="21"/>
  <c r="F11" i="21"/>
  <c r="F206" i="111" l="1"/>
  <c r="F197" i="111"/>
  <c r="F161" i="111"/>
  <c r="F119" i="111"/>
  <c r="F111" i="111"/>
  <c r="F102" i="111"/>
  <c r="F93" i="111"/>
  <c r="F79" i="111"/>
  <c r="F38" i="111"/>
  <c r="F34" i="111"/>
  <c r="F32" i="111"/>
  <c r="F61" i="111" l="1"/>
  <c r="F206" i="27"/>
  <c r="F197" i="27"/>
  <c r="F161" i="27"/>
  <c r="F119" i="27"/>
  <c r="F111" i="27"/>
  <c r="F102" i="27"/>
  <c r="F93" i="27"/>
  <c r="F79" i="27"/>
  <c r="F61" i="27"/>
  <c r="G244" i="16" l="1"/>
  <c r="F202" i="16"/>
  <c r="F186" i="16"/>
  <c r="F184" i="16"/>
  <c r="F183" i="16"/>
  <c r="F149" i="16"/>
  <c r="F148" i="16"/>
  <c r="F147" i="16"/>
  <c r="F146" i="16"/>
  <c r="F145" i="16"/>
  <c r="F117" i="16"/>
  <c r="F108" i="16"/>
  <c r="F98" i="16"/>
  <c r="F87" i="16"/>
  <c r="F74" i="16"/>
  <c r="F67" i="16"/>
  <c r="F65" i="16"/>
  <c r="F64" i="16"/>
  <c r="F56" i="16"/>
  <c r="F36" i="16"/>
  <c r="F30" i="16"/>
  <c r="F20" i="16"/>
  <c r="F11" i="16"/>
  <c r="F206" i="159" l="1"/>
  <c r="F197" i="159"/>
  <c r="F150" i="159"/>
  <c r="F149" i="159"/>
  <c r="F145" i="159"/>
  <c r="F119" i="159"/>
  <c r="F111" i="159"/>
  <c r="F102" i="159"/>
  <c r="F85" i="159"/>
  <c r="F93" i="159" s="1"/>
  <c r="F76" i="159"/>
  <c r="F79" i="159" s="1"/>
  <c r="F60" i="159"/>
  <c r="F56" i="159"/>
  <c r="F38" i="159"/>
  <c r="F161" i="159" l="1"/>
  <c r="F61" i="159"/>
  <c r="F36" i="20"/>
  <c r="F20" i="20"/>
  <c r="F202" i="119" l="1"/>
  <c r="F186" i="119"/>
  <c r="F184" i="119"/>
  <c r="F183" i="119"/>
  <c r="F149" i="119"/>
  <c r="F148" i="119"/>
  <c r="F147" i="119"/>
  <c r="F146" i="119"/>
  <c r="F145" i="119"/>
  <c r="F117" i="119"/>
  <c r="F108" i="119"/>
  <c r="F98" i="119"/>
  <c r="F87" i="119"/>
  <c r="F67" i="119"/>
  <c r="F65" i="119"/>
  <c r="F64" i="119"/>
  <c r="F56" i="119"/>
  <c r="F36" i="119"/>
  <c r="F30" i="119"/>
  <c r="F11" i="119"/>
  <c r="F20" i="119"/>
  <c r="G244" i="113" l="1"/>
  <c r="G243" i="113"/>
  <c r="G242" i="113"/>
  <c r="G241" i="113"/>
  <c r="G244" i="31" l="1"/>
  <c r="G243" i="31"/>
  <c r="F202" i="31"/>
  <c r="F186" i="31"/>
  <c r="F184" i="31"/>
  <c r="F183" i="31"/>
  <c r="F149" i="31"/>
  <c r="F148" i="31"/>
  <c r="F147" i="31"/>
  <c r="F146" i="31"/>
  <c r="F145" i="31"/>
  <c r="F117" i="31"/>
  <c r="F108" i="31"/>
  <c r="F98" i="31"/>
  <c r="F87" i="31"/>
  <c r="F74" i="31"/>
  <c r="F67" i="31"/>
  <c r="F65" i="31"/>
  <c r="F64" i="31"/>
  <c r="F56" i="31"/>
  <c r="F36" i="31"/>
  <c r="F30" i="31"/>
  <c r="F20" i="31"/>
  <c r="F11" i="31"/>
  <c r="F206" i="32" l="1"/>
  <c r="F197" i="32"/>
  <c r="F161" i="32"/>
  <c r="F119" i="32"/>
  <c r="F111" i="32"/>
  <c r="F102" i="32"/>
  <c r="F93" i="32"/>
  <c r="F79" i="32"/>
  <c r="F61" i="32"/>
  <c r="F206" i="33" l="1"/>
  <c r="F197" i="33"/>
  <c r="F161" i="33"/>
  <c r="F119" i="33"/>
  <c r="F111" i="33"/>
  <c r="F102" i="33"/>
  <c r="F93" i="33"/>
  <c r="F79" i="33"/>
  <c r="F61" i="33"/>
  <c r="F202" i="90" l="1"/>
  <c r="F186" i="90"/>
  <c r="F184" i="90"/>
  <c r="F183" i="90"/>
  <c r="F147" i="90"/>
  <c r="F148" i="90"/>
  <c r="F146" i="90"/>
  <c r="F149" i="90"/>
  <c r="F145" i="90"/>
  <c r="F117" i="90"/>
  <c r="F108" i="90"/>
  <c r="F98" i="90"/>
  <c r="F91" i="90"/>
  <c r="F87" i="90"/>
  <c r="F67" i="90"/>
  <c r="F65" i="90"/>
  <c r="F64" i="90"/>
  <c r="F56" i="90"/>
  <c r="F36" i="90"/>
  <c r="F30" i="90"/>
  <c r="F20" i="90"/>
  <c r="F11" i="90"/>
  <c r="F206" i="120" l="1"/>
  <c r="F197" i="120"/>
  <c r="F161" i="120"/>
  <c r="F119" i="120"/>
  <c r="F111" i="120"/>
  <c r="F102" i="120"/>
  <c r="F93" i="120"/>
  <c r="F79" i="120"/>
  <c r="F35" i="120"/>
  <c r="F32" i="120"/>
  <c r="F61" i="120" l="1"/>
  <c r="F206" i="152"/>
  <c r="F197" i="152"/>
  <c r="F127" i="152"/>
  <c r="F161" i="152" s="1"/>
  <c r="F119" i="152"/>
  <c r="F111" i="152"/>
  <c r="F98" i="152"/>
  <c r="F96" i="152"/>
  <c r="F102" i="152" s="1"/>
  <c r="F87" i="152"/>
  <c r="F82" i="152"/>
  <c r="F67" i="152"/>
  <c r="F79" i="152" s="1"/>
  <c r="F60" i="152"/>
  <c r="F56" i="152"/>
  <c r="F38" i="152"/>
  <c r="F36" i="152"/>
  <c r="F27" i="152"/>
  <c r="F25" i="152"/>
  <c r="F20" i="152"/>
  <c r="F21" i="152" s="1"/>
  <c r="F61" i="152" l="1"/>
  <c r="F93" i="152"/>
  <c r="F206" i="133"/>
  <c r="F197" i="133"/>
  <c r="F161" i="133"/>
  <c r="F119" i="133"/>
  <c r="F111" i="133"/>
  <c r="F102" i="133"/>
  <c r="F93" i="133"/>
  <c r="F79" i="133"/>
  <c r="F60" i="133"/>
  <c r="F56" i="133"/>
  <c r="F61" i="133" s="1"/>
  <c r="F206" i="38" l="1"/>
  <c r="F197" i="38"/>
  <c r="F161" i="38"/>
  <c r="F119" i="38"/>
  <c r="F107" i="38"/>
  <c r="F111" i="38" s="1"/>
  <c r="F102" i="38"/>
  <c r="F93" i="38"/>
  <c r="F79" i="38"/>
  <c r="F61" i="38"/>
  <c r="F21" i="38"/>
  <c r="F206" i="135" l="1"/>
  <c r="F197" i="135"/>
  <c r="F161" i="135"/>
  <c r="F119" i="135"/>
  <c r="F111" i="135"/>
  <c r="F102" i="135"/>
  <c r="F93" i="135"/>
  <c r="F79" i="135"/>
  <c r="F61" i="135"/>
  <c r="F21" i="135"/>
  <c r="F206" i="167" l="1"/>
  <c r="F197" i="167"/>
  <c r="F161" i="167"/>
  <c r="F119" i="167"/>
  <c r="F111" i="167"/>
  <c r="F102" i="167"/>
  <c r="F93" i="167"/>
  <c r="F79" i="167"/>
  <c r="F61" i="167"/>
  <c r="F206" i="84" l="1"/>
  <c r="F197" i="84"/>
  <c r="F161" i="84"/>
  <c r="F119" i="84"/>
  <c r="F111" i="84"/>
  <c r="F102" i="84"/>
  <c r="F93" i="84"/>
  <c r="F79" i="84"/>
  <c r="F61" i="84"/>
  <c r="G244" i="42" l="1"/>
  <c r="G243" i="42"/>
  <c r="F160" i="42"/>
  <c r="F149" i="42"/>
  <c r="F133" i="42"/>
  <c r="F127" i="42"/>
  <c r="F74" i="42"/>
  <c r="F69" i="42"/>
  <c r="F56" i="42"/>
  <c r="F57" i="42"/>
  <c r="F38" i="42"/>
  <c r="F55" i="42"/>
  <c r="F206" i="45" l="1"/>
  <c r="F197" i="45"/>
  <c r="F161" i="45"/>
  <c r="F119" i="45"/>
  <c r="F111" i="45"/>
  <c r="F102" i="45"/>
  <c r="F93" i="45"/>
  <c r="F79" i="45"/>
  <c r="F61" i="45"/>
  <c r="F206" i="102" l="1"/>
  <c r="F197" i="102"/>
  <c r="F161" i="102"/>
  <c r="F119" i="102"/>
  <c r="F111" i="102"/>
  <c r="F102" i="102"/>
  <c r="F93" i="102"/>
  <c r="F79" i="102"/>
  <c r="F61" i="102"/>
  <c r="F206" i="136" l="1"/>
  <c r="F197" i="136"/>
  <c r="F161" i="136"/>
  <c r="F119" i="136"/>
  <c r="F111" i="136"/>
  <c r="F102" i="136"/>
  <c r="F87" i="136"/>
  <c r="F84" i="136"/>
  <c r="F79" i="136"/>
  <c r="F61" i="136"/>
  <c r="F93" i="136" l="1"/>
  <c r="F202" i="58"/>
  <c r="F186" i="58"/>
  <c r="F160" i="58"/>
  <c r="F149" i="58"/>
  <c r="F148" i="58"/>
  <c r="F147" i="58"/>
  <c r="F146" i="58"/>
  <c r="F145" i="58"/>
  <c r="F117" i="58"/>
  <c r="F108" i="58"/>
  <c r="F101" i="58"/>
  <c r="F98" i="58"/>
  <c r="F87" i="58"/>
  <c r="F67" i="58"/>
  <c r="F64" i="58"/>
  <c r="F56" i="58"/>
  <c r="F38" i="58"/>
  <c r="F36" i="58"/>
  <c r="F30" i="58"/>
  <c r="F11" i="58"/>
  <c r="F20" i="58"/>
  <c r="F206" i="62" l="1"/>
  <c r="F197" i="62"/>
  <c r="F161" i="62"/>
  <c r="F119" i="62"/>
  <c r="F111" i="62"/>
  <c r="F102" i="62"/>
  <c r="F93" i="62"/>
  <c r="F79" i="62"/>
  <c r="F61" i="62"/>
  <c r="F206" i="63" l="1"/>
  <c r="F197" i="63"/>
  <c r="F161" i="63"/>
  <c r="F119" i="63"/>
  <c r="F111" i="63"/>
  <c r="F102" i="63"/>
  <c r="F93" i="63"/>
  <c r="F74" i="63"/>
  <c r="F79" i="63" s="1"/>
  <c r="F61" i="63"/>
  <c r="F20" i="63"/>
  <c r="F11" i="63"/>
  <c r="F206" i="68" l="1"/>
  <c r="F197" i="68"/>
  <c r="F161" i="68"/>
  <c r="F119" i="68"/>
  <c r="F111" i="68"/>
  <c r="F102" i="68"/>
  <c r="F93" i="68"/>
  <c r="F79" i="68"/>
  <c r="F61" i="68"/>
  <c r="F19" i="68"/>
  <c r="F14" i="68"/>
  <c r="F21" i="68" s="1"/>
  <c r="F206" i="150" l="1"/>
  <c r="F197" i="150"/>
  <c r="F153" i="150"/>
  <c r="F127" i="150"/>
  <c r="F161" i="150" s="1"/>
  <c r="F119" i="150"/>
  <c r="F111" i="150"/>
  <c r="F102" i="150"/>
  <c r="F93" i="150"/>
  <c r="F79" i="150"/>
  <c r="F28" i="150"/>
  <c r="F27" i="150"/>
  <c r="F61" i="150" s="1"/>
  <c r="F206" i="15" l="1"/>
  <c r="F197" i="15"/>
  <c r="F161" i="15"/>
  <c r="F119" i="15"/>
  <c r="F111" i="15"/>
  <c r="F102" i="15"/>
  <c r="F93" i="15"/>
  <c r="F79" i="15"/>
  <c r="F61" i="15"/>
  <c r="F206" i="164" l="1"/>
  <c r="F197" i="164"/>
  <c r="F161" i="164"/>
  <c r="F119" i="164"/>
  <c r="F111" i="164"/>
  <c r="F102" i="164"/>
  <c r="F93" i="164"/>
  <c r="F79" i="164"/>
  <c r="F61" i="164"/>
  <c r="F206" i="145" l="1"/>
  <c r="F197" i="145"/>
  <c r="F161" i="145"/>
  <c r="F119" i="145"/>
  <c r="F111" i="145"/>
  <c r="F102" i="145"/>
  <c r="F93" i="145"/>
  <c r="F79" i="145"/>
  <c r="F61" i="145"/>
  <c r="G244" i="145" l="1"/>
  <c r="G243" i="145"/>
  <c r="G242" i="145"/>
  <c r="G241" i="145"/>
  <c r="C238" i="145"/>
  <c r="C237" i="145"/>
  <c r="C236" i="145"/>
  <c r="C235" i="145"/>
  <c r="C233" i="145"/>
  <c r="C232" i="145"/>
  <c r="C231" i="145"/>
  <c r="D228" i="145"/>
  <c r="C227" i="145"/>
  <c r="C226" i="145"/>
  <c r="C225" i="145"/>
  <c r="C224" i="145"/>
  <c r="C223" i="145"/>
  <c r="C222" i="145"/>
  <c r="C221" i="145"/>
  <c r="C220" i="145"/>
  <c r="C219" i="145"/>
  <c r="C211" i="145"/>
  <c r="D205" i="145"/>
  <c r="C205" i="145"/>
  <c r="D204" i="145"/>
  <c r="C204" i="145"/>
  <c r="D203" i="145"/>
  <c r="C203" i="145"/>
  <c r="D202" i="145"/>
  <c r="C202" i="145"/>
  <c r="D201" i="145"/>
  <c r="C201" i="145"/>
  <c r="D200" i="145"/>
  <c r="C200" i="145"/>
  <c r="D196" i="145"/>
  <c r="C196" i="145"/>
  <c r="D195" i="145"/>
  <c r="C195" i="145"/>
  <c r="D194" i="145"/>
  <c r="C194" i="145"/>
  <c r="D193" i="145"/>
  <c r="C193" i="145"/>
  <c r="D192" i="145"/>
  <c r="C192" i="145"/>
  <c r="D191" i="145"/>
  <c r="C191" i="145"/>
  <c r="D190" i="145"/>
  <c r="C190" i="145"/>
  <c r="D189" i="145"/>
  <c r="C189" i="145"/>
  <c r="D188" i="145"/>
  <c r="C188" i="145"/>
  <c r="D187" i="145"/>
  <c r="C187" i="145"/>
  <c r="D186" i="145"/>
  <c r="C186" i="145"/>
  <c r="D185" i="145"/>
  <c r="C185" i="145"/>
  <c r="D184" i="145"/>
  <c r="C184" i="145"/>
  <c r="D183" i="145"/>
  <c r="C183" i="145"/>
  <c r="D182" i="145"/>
  <c r="C182" i="145"/>
  <c r="D181" i="145"/>
  <c r="C181" i="145"/>
  <c r="D180" i="145"/>
  <c r="C180" i="145"/>
  <c r="D179" i="145"/>
  <c r="C179" i="145"/>
  <c r="D178" i="145"/>
  <c r="C178" i="145"/>
  <c r="D177" i="145"/>
  <c r="C177" i="145"/>
  <c r="D176" i="145"/>
  <c r="C176" i="145"/>
  <c r="D175" i="145"/>
  <c r="C175" i="145"/>
  <c r="D174" i="145"/>
  <c r="C174" i="145"/>
  <c r="D173" i="145"/>
  <c r="C173" i="145"/>
  <c r="D172" i="145"/>
  <c r="C172" i="145"/>
  <c r="D171" i="145"/>
  <c r="C171" i="145"/>
  <c r="D170" i="145"/>
  <c r="C170" i="145"/>
  <c r="D169" i="145"/>
  <c r="C169" i="145"/>
  <c r="D168" i="145"/>
  <c r="C168" i="145"/>
  <c r="D167" i="145"/>
  <c r="C167" i="145"/>
  <c r="D166" i="145"/>
  <c r="C166" i="145"/>
  <c r="D165" i="145"/>
  <c r="C165" i="145"/>
  <c r="D164" i="145"/>
  <c r="C164" i="145"/>
  <c r="D160" i="145"/>
  <c r="C160" i="145"/>
  <c r="D159" i="145"/>
  <c r="C159" i="145"/>
  <c r="D158" i="145"/>
  <c r="C158" i="145"/>
  <c r="D157" i="145"/>
  <c r="C157" i="145"/>
  <c r="D156" i="145"/>
  <c r="C156" i="145"/>
  <c r="D155" i="145"/>
  <c r="C155" i="145"/>
  <c r="D153" i="145"/>
  <c r="C153" i="145"/>
  <c r="D152" i="145"/>
  <c r="C152" i="145"/>
  <c r="D151" i="145"/>
  <c r="C151" i="145"/>
  <c r="D150" i="145"/>
  <c r="C150" i="145"/>
  <c r="D149" i="145"/>
  <c r="C149" i="145"/>
  <c r="D148" i="145"/>
  <c r="C148" i="145"/>
  <c r="D147" i="145"/>
  <c r="C147" i="145"/>
  <c r="D146" i="145"/>
  <c r="C146" i="145"/>
  <c r="D145" i="145"/>
  <c r="C145" i="145"/>
  <c r="D143" i="145"/>
  <c r="C143" i="145"/>
  <c r="D142" i="145"/>
  <c r="C142" i="145"/>
  <c r="D141" i="145"/>
  <c r="C141" i="145"/>
  <c r="D140" i="145"/>
  <c r="C140" i="145"/>
  <c r="D138" i="145"/>
  <c r="C138" i="145"/>
  <c r="D137" i="145"/>
  <c r="C137" i="145"/>
  <c r="D136" i="145"/>
  <c r="C136" i="145"/>
  <c r="D135" i="145"/>
  <c r="C135" i="145"/>
  <c r="D133" i="145"/>
  <c r="C133" i="145"/>
  <c r="D132" i="145"/>
  <c r="C132" i="145"/>
  <c r="D131" i="145"/>
  <c r="C131" i="145"/>
  <c r="D130" i="145"/>
  <c r="C130" i="145"/>
  <c r="D129" i="145"/>
  <c r="C129" i="145"/>
  <c r="D127" i="145"/>
  <c r="C127" i="145"/>
  <c r="D126" i="145"/>
  <c r="C126" i="145"/>
  <c r="D125" i="145"/>
  <c r="C125" i="145"/>
  <c r="D124" i="145"/>
  <c r="C124" i="145"/>
  <c r="D123" i="145"/>
  <c r="C123" i="145"/>
  <c r="D118" i="145"/>
  <c r="C118" i="145"/>
  <c r="D117" i="145"/>
  <c r="C117" i="145"/>
  <c r="D116" i="145"/>
  <c r="C116" i="145"/>
  <c r="D115" i="145"/>
  <c r="C115" i="145"/>
  <c r="D114" i="145"/>
  <c r="C114" i="145"/>
  <c r="C119" i="145" s="1"/>
  <c r="D110" i="145"/>
  <c r="C110" i="145"/>
  <c r="D109" i="145"/>
  <c r="C109" i="145"/>
  <c r="D108" i="145"/>
  <c r="C108" i="145"/>
  <c r="D107" i="145"/>
  <c r="C107" i="145"/>
  <c r="D106" i="145"/>
  <c r="C106" i="145"/>
  <c r="D105" i="145"/>
  <c r="C105" i="145"/>
  <c r="D101" i="145"/>
  <c r="C101" i="145"/>
  <c r="D100" i="145"/>
  <c r="C100" i="145"/>
  <c r="D99" i="145"/>
  <c r="C99" i="145"/>
  <c r="D98" i="145"/>
  <c r="C98" i="145"/>
  <c r="D97" i="145"/>
  <c r="C97" i="145"/>
  <c r="D96" i="145"/>
  <c r="C96" i="145"/>
  <c r="C102" i="145" s="1"/>
  <c r="D92" i="145"/>
  <c r="C92" i="145"/>
  <c r="D91" i="145"/>
  <c r="C91" i="145"/>
  <c r="D90" i="145"/>
  <c r="C90" i="145"/>
  <c r="D89" i="145"/>
  <c r="C89" i="145"/>
  <c r="D88" i="145"/>
  <c r="C88" i="145"/>
  <c r="D87" i="145"/>
  <c r="C87" i="145"/>
  <c r="D86" i="145"/>
  <c r="C86" i="145"/>
  <c r="D85" i="145"/>
  <c r="C85" i="145"/>
  <c r="D84" i="145"/>
  <c r="C84" i="145"/>
  <c r="D83" i="145"/>
  <c r="C83" i="145"/>
  <c r="D82" i="145"/>
  <c r="C82" i="145"/>
  <c r="D78" i="145"/>
  <c r="C78" i="145"/>
  <c r="D77" i="145"/>
  <c r="C77" i="145"/>
  <c r="D76" i="145"/>
  <c r="C76" i="145"/>
  <c r="D75" i="145"/>
  <c r="C75" i="145"/>
  <c r="D74" i="145"/>
  <c r="C74" i="145"/>
  <c r="D73" i="145"/>
  <c r="C73" i="145"/>
  <c r="D72" i="145"/>
  <c r="C72" i="145"/>
  <c r="D71" i="145"/>
  <c r="C71" i="145"/>
  <c r="D70" i="145"/>
  <c r="C70" i="145"/>
  <c r="D69" i="145"/>
  <c r="C69" i="145"/>
  <c r="D68" i="145"/>
  <c r="C68" i="145"/>
  <c r="D67" i="145"/>
  <c r="C67" i="145"/>
  <c r="D66" i="145"/>
  <c r="C66" i="145"/>
  <c r="D65" i="145"/>
  <c r="C65" i="145"/>
  <c r="D64" i="145"/>
  <c r="C64" i="145"/>
  <c r="D60" i="145"/>
  <c r="C60" i="145"/>
  <c r="D59" i="145"/>
  <c r="C59" i="145"/>
  <c r="D58" i="145"/>
  <c r="C58" i="145"/>
  <c r="D57" i="145"/>
  <c r="C57" i="145"/>
  <c r="D56" i="145"/>
  <c r="C56" i="145"/>
  <c r="D55" i="145"/>
  <c r="C55" i="145"/>
  <c r="D54" i="145"/>
  <c r="C54" i="145"/>
  <c r="D53" i="145"/>
  <c r="C53" i="145"/>
  <c r="D52" i="145"/>
  <c r="C52" i="145"/>
  <c r="D51" i="145"/>
  <c r="C51" i="145"/>
  <c r="D50" i="145"/>
  <c r="C50" i="145"/>
  <c r="D49" i="145"/>
  <c r="C49" i="145"/>
  <c r="D48" i="145"/>
  <c r="C48" i="145"/>
  <c r="D47" i="145"/>
  <c r="C47" i="145"/>
  <c r="D46" i="145"/>
  <c r="C46" i="145"/>
  <c r="D45" i="145"/>
  <c r="C45" i="145"/>
  <c r="D44" i="145"/>
  <c r="C44" i="145"/>
  <c r="D43" i="145"/>
  <c r="C43" i="145"/>
  <c r="D42" i="145"/>
  <c r="C42" i="145"/>
  <c r="D41" i="145"/>
  <c r="C41" i="145"/>
  <c r="D40" i="145"/>
  <c r="C40" i="145"/>
  <c r="D39" i="145"/>
  <c r="C39" i="145"/>
  <c r="D38" i="145"/>
  <c r="C38" i="145"/>
  <c r="D37" i="145"/>
  <c r="C37" i="145"/>
  <c r="D36" i="145"/>
  <c r="C36" i="145"/>
  <c r="D35" i="145"/>
  <c r="C35" i="145"/>
  <c r="D34" i="145"/>
  <c r="C34" i="145"/>
  <c r="D33" i="145"/>
  <c r="C33" i="145"/>
  <c r="D32" i="145"/>
  <c r="C32" i="145"/>
  <c r="D31" i="145"/>
  <c r="C31" i="145"/>
  <c r="D30" i="145"/>
  <c r="C30" i="145"/>
  <c r="D29" i="145"/>
  <c r="C29" i="145"/>
  <c r="D28" i="145"/>
  <c r="C28" i="145"/>
  <c r="D27" i="145"/>
  <c r="C27" i="145"/>
  <c r="D26" i="145"/>
  <c r="C26" i="145"/>
  <c r="D25" i="145"/>
  <c r="C25" i="145"/>
  <c r="D20" i="145"/>
  <c r="C20" i="145"/>
  <c r="D19" i="145"/>
  <c r="C19" i="145"/>
  <c r="D18" i="145"/>
  <c r="C18" i="145"/>
  <c r="D17" i="145"/>
  <c r="C17" i="145"/>
  <c r="D16" i="145"/>
  <c r="C16" i="145"/>
  <c r="D15" i="145"/>
  <c r="C15" i="145"/>
  <c r="D14" i="145"/>
  <c r="C14" i="145"/>
  <c r="D13" i="145"/>
  <c r="C13" i="145"/>
  <c r="D12" i="145"/>
  <c r="C12" i="145"/>
  <c r="D11" i="145"/>
  <c r="C11" i="145"/>
  <c r="C21" i="145" s="1"/>
  <c r="D119" i="145" l="1"/>
  <c r="C228" i="145"/>
  <c r="D21" i="145"/>
  <c r="D102" i="145"/>
  <c r="C93" i="145"/>
  <c r="C161" i="145"/>
  <c r="C111" i="145"/>
  <c r="C197" i="145"/>
  <c r="D161" i="145"/>
  <c r="C206" i="145"/>
  <c r="C79" i="145"/>
  <c r="D93" i="145"/>
  <c r="D111" i="145"/>
  <c r="D79" i="145"/>
  <c r="D197" i="145"/>
  <c r="D206" i="145"/>
  <c r="D61" i="145"/>
  <c r="D208" i="145" s="1"/>
  <c r="D215" i="145" s="1"/>
  <c r="C61" i="145"/>
  <c r="C208" i="145" l="1"/>
  <c r="C212" i="145"/>
  <c r="C215" i="145"/>
  <c r="G244" i="89" l="1"/>
  <c r="G243" i="89"/>
  <c r="G242" i="89"/>
  <c r="G241" i="89"/>
  <c r="C238" i="89"/>
  <c r="C237" i="89"/>
  <c r="C236" i="89"/>
  <c r="C235" i="89"/>
  <c r="C233" i="89"/>
  <c r="C232" i="89"/>
  <c r="C231" i="89"/>
  <c r="D228" i="89"/>
  <c r="C227" i="89"/>
  <c r="C226" i="89"/>
  <c r="C225" i="89"/>
  <c r="C224" i="89"/>
  <c r="C223" i="89"/>
  <c r="C222" i="89"/>
  <c r="C221" i="89"/>
  <c r="C220" i="89"/>
  <c r="C219" i="89"/>
  <c r="C211" i="89"/>
  <c r="D205" i="89"/>
  <c r="C205" i="89"/>
  <c r="D204" i="89"/>
  <c r="C204" i="89"/>
  <c r="D203" i="89"/>
  <c r="C203" i="89"/>
  <c r="D202" i="89"/>
  <c r="C202" i="89"/>
  <c r="D201" i="89"/>
  <c r="C201" i="89"/>
  <c r="D200" i="89"/>
  <c r="C200" i="89"/>
  <c r="D196" i="89"/>
  <c r="C196" i="89"/>
  <c r="D195" i="89"/>
  <c r="C195" i="89"/>
  <c r="D194" i="89"/>
  <c r="C194" i="89"/>
  <c r="D193" i="89"/>
  <c r="C193" i="89"/>
  <c r="D192" i="89"/>
  <c r="C192" i="89"/>
  <c r="D191" i="89"/>
  <c r="C191" i="89"/>
  <c r="D190" i="89"/>
  <c r="C190" i="89"/>
  <c r="D189" i="89"/>
  <c r="C189" i="89"/>
  <c r="D188" i="89"/>
  <c r="C188" i="89"/>
  <c r="D187" i="89"/>
  <c r="C187" i="89"/>
  <c r="D186" i="89"/>
  <c r="C186" i="89"/>
  <c r="D185" i="89"/>
  <c r="C185" i="89"/>
  <c r="D184" i="89"/>
  <c r="C184" i="89"/>
  <c r="D183" i="89"/>
  <c r="C183" i="89"/>
  <c r="D182" i="89"/>
  <c r="C182" i="89"/>
  <c r="D181" i="89"/>
  <c r="C181" i="89"/>
  <c r="D180" i="89"/>
  <c r="C180" i="89"/>
  <c r="D179" i="89"/>
  <c r="C179" i="89"/>
  <c r="D178" i="89"/>
  <c r="C178" i="89"/>
  <c r="D177" i="89"/>
  <c r="C177" i="89"/>
  <c r="D176" i="89"/>
  <c r="C176" i="89"/>
  <c r="D175" i="89"/>
  <c r="C175" i="89"/>
  <c r="D174" i="89"/>
  <c r="C174" i="89"/>
  <c r="D173" i="89"/>
  <c r="C173" i="89"/>
  <c r="D172" i="89"/>
  <c r="C172" i="89"/>
  <c r="D171" i="89"/>
  <c r="C171" i="89"/>
  <c r="D170" i="89"/>
  <c r="C170" i="89"/>
  <c r="D169" i="89"/>
  <c r="C169" i="89"/>
  <c r="D168" i="89"/>
  <c r="C168" i="89"/>
  <c r="D167" i="89"/>
  <c r="C167" i="89"/>
  <c r="D166" i="89"/>
  <c r="C166" i="89"/>
  <c r="D165" i="89"/>
  <c r="C165" i="89"/>
  <c r="D164" i="89"/>
  <c r="C164" i="89"/>
  <c r="D160" i="89"/>
  <c r="C160" i="89"/>
  <c r="D159" i="89"/>
  <c r="C159" i="89"/>
  <c r="D158" i="89"/>
  <c r="C158" i="89"/>
  <c r="D157" i="89"/>
  <c r="C157" i="89"/>
  <c r="D156" i="89"/>
  <c r="C156" i="89"/>
  <c r="D155" i="89"/>
  <c r="C155" i="89"/>
  <c r="D153" i="89"/>
  <c r="C153" i="89"/>
  <c r="D152" i="89"/>
  <c r="C152" i="89"/>
  <c r="D151" i="89"/>
  <c r="C151" i="89"/>
  <c r="D150" i="89"/>
  <c r="C150" i="89"/>
  <c r="D149" i="89"/>
  <c r="C149" i="89"/>
  <c r="D148" i="89"/>
  <c r="C148" i="89"/>
  <c r="D147" i="89"/>
  <c r="C147" i="89"/>
  <c r="D146" i="89"/>
  <c r="C146" i="89"/>
  <c r="D145" i="89"/>
  <c r="C145" i="89"/>
  <c r="D143" i="89"/>
  <c r="C143" i="89"/>
  <c r="D142" i="89"/>
  <c r="C142" i="89"/>
  <c r="D141" i="89"/>
  <c r="C141" i="89"/>
  <c r="D140" i="89"/>
  <c r="C140" i="89"/>
  <c r="D138" i="89"/>
  <c r="C138" i="89"/>
  <c r="D137" i="89"/>
  <c r="C137" i="89"/>
  <c r="D136" i="89"/>
  <c r="C136" i="89"/>
  <c r="D135" i="89"/>
  <c r="C135" i="89"/>
  <c r="D133" i="89"/>
  <c r="C133" i="89"/>
  <c r="D132" i="89"/>
  <c r="C132" i="89"/>
  <c r="D131" i="89"/>
  <c r="C131" i="89"/>
  <c r="D130" i="89"/>
  <c r="C130" i="89"/>
  <c r="D129" i="89"/>
  <c r="C129" i="89"/>
  <c r="D127" i="89"/>
  <c r="C127" i="89"/>
  <c r="D126" i="89"/>
  <c r="C126" i="89"/>
  <c r="D125" i="89"/>
  <c r="C125" i="89"/>
  <c r="D124" i="89"/>
  <c r="C124" i="89"/>
  <c r="D123" i="89"/>
  <c r="C123" i="89"/>
  <c r="D118" i="89"/>
  <c r="C118" i="89"/>
  <c r="D117" i="89"/>
  <c r="C117" i="89"/>
  <c r="D116" i="89"/>
  <c r="C116" i="89"/>
  <c r="D115" i="89"/>
  <c r="C115" i="89"/>
  <c r="D114" i="89"/>
  <c r="C114" i="89"/>
  <c r="D110" i="89"/>
  <c r="C110" i="89"/>
  <c r="D109" i="89"/>
  <c r="C109" i="89"/>
  <c r="D108" i="89"/>
  <c r="C108" i="89"/>
  <c r="D107" i="89"/>
  <c r="C107" i="89"/>
  <c r="D106" i="89"/>
  <c r="C106" i="89"/>
  <c r="D105" i="89"/>
  <c r="C105" i="89"/>
  <c r="D101" i="89"/>
  <c r="C101" i="89"/>
  <c r="D100" i="89"/>
  <c r="C100" i="89"/>
  <c r="D99" i="89"/>
  <c r="C99" i="89"/>
  <c r="D98" i="89"/>
  <c r="C98" i="89"/>
  <c r="D97" i="89"/>
  <c r="C97" i="89"/>
  <c r="D96" i="89"/>
  <c r="C96" i="89"/>
  <c r="D92" i="89"/>
  <c r="C92" i="89"/>
  <c r="D91" i="89"/>
  <c r="C91" i="89"/>
  <c r="D90" i="89"/>
  <c r="C90" i="89"/>
  <c r="D89" i="89"/>
  <c r="C89" i="89"/>
  <c r="D88" i="89"/>
  <c r="C88" i="89"/>
  <c r="D87" i="89"/>
  <c r="C87" i="89"/>
  <c r="D86" i="89"/>
  <c r="C86" i="89"/>
  <c r="D85" i="89"/>
  <c r="C85" i="89"/>
  <c r="D84" i="89"/>
  <c r="C84" i="89"/>
  <c r="D83" i="89"/>
  <c r="C83" i="89"/>
  <c r="D82" i="89"/>
  <c r="C82" i="89"/>
  <c r="D78" i="89"/>
  <c r="C78" i="89"/>
  <c r="D77" i="89"/>
  <c r="C77" i="89"/>
  <c r="D76" i="89"/>
  <c r="C76" i="89"/>
  <c r="D75" i="89"/>
  <c r="C75" i="89"/>
  <c r="D74" i="89"/>
  <c r="C74" i="89"/>
  <c r="D73" i="89"/>
  <c r="C73" i="89"/>
  <c r="D72" i="89"/>
  <c r="C72" i="89"/>
  <c r="D71" i="89"/>
  <c r="C71" i="89"/>
  <c r="D70" i="89"/>
  <c r="C70" i="89"/>
  <c r="D69" i="89"/>
  <c r="C69" i="89"/>
  <c r="D68" i="89"/>
  <c r="C68" i="89"/>
  <c r="D67" i="89"/>
  <c r="C67" i="89"/>
  <c r="D66" i="89"/>
  <c r="C66" i="89"/>
  <c r="D65" i="89"/>
  <c r="C65" i="89"/>
  <c r="D64" i="89"/>
  <c r="C64" i="89"/>
  <c r="D60" i="89"/>
  <c r="C60" i="89"/>
  <c r="D59" i="89"/>
  <c r="C59" i="89"/>
  <c r="D58" i="89"/>
  <c r="C58" i="89"/>
  <c r="D57" i="89"/>
  <c r="C57" i="89"/>
  <c r="D56" i="89"/>
  <c r="C56" i="89"/>
  <c r="D55" i="89"/>
  <c r="C55" i="89"/>
  <c r="D54" i="89"/>
  <c r="C54" i="89"/>
  <c r="D53" i="89"/>
  <c r="C53" i="89"/>
  <c r="D52" i="89"/>
  <c r="C52" i="89"/>
  <c r="D51" i="89"/>
  <c r="C51" i="89"/>
  <c r="D50" i="89"/>
  <c r="C50" i="89"/>
  <c r="D49" i="89"/>
  <c r="C49" i="89"/>
  <c r="D48" i="89"/>
  <c r="C48" i="89"/>
  <c r="D47" i="89"/>
  <c r="C47" i="89"/>
  <c r="D46" i="89"/>
  <c r="C46" i="89"/>
  <c r="D45" i="89"/>
  <c r="C45" i="89"/>
  <c r="D44" i="89"/>
  <c r="C44" i="89"/>
  <c r="D43" i="89"/>
  <c r="C43" i="89"/>
  <c r="D42" i="89"/>
  <c r="C42" i="89"/>
  <c r="D41" i="89"/>
  <c r="C41" i="89"/>
  <c r="D40" i="89"/>
  <c r="C40" i="89"/>
  <c r="D39" i="89"/>
  <c r="C39" i="89"/>
  <c r="D38" i="89"/>
  <c r="C38" i="89"/>
  <c r="D37" i="89"/>
  <c r="C37" i="89"/>
  <c r="D36" i="89"/>
  <c r="C36" i="89"/>
  <c r="D35" i="89"/>
  <c r="C35" i="89"/>
  <c r="D34" i="89"/>
  <c r="C34" i="89"/>
  <c r="D33" i="89"/>
  <c r="C33" i="89"/>
  <c r="D32" i="89"/>
  <c r="C32" i="89"/>
  <c r="D31" i="89"/>
  <c r="C31" i="89"/>
  <c r="D30" i="89"/>
  <c r="C30" i="89"/>
  <c r="D29" i="89"/>
  <c r="C29" i="89"/>
  <c r="D28" i="89"/>
  <c r="C28" i="89"/>
  <c r="D27" i="89"/>
  <c r="C27" i="89"/>
  <c r="D26" i="89"/>
  <c r="C26" i="89"/>
  <c r="D25" i="89"/>
  <c r="C25" i="89"/>
  <c r="D20" i="89"/>
  <c r="C20" i="89"/>
  <c r="D19" i="89"/>
  <c r="C19" i="89"/>
  <c r="D18" i="89"/>
  <c r="C18" i="89"/>
  <c r="D17" i="89"/>
  <c r="C17" i="89"/>
  <c r="D16" i="89"/>
  <c r="C16" i="89"/>
  <c r="D15" i="89"/>
  <c r="C15" i="89"/>
  <c r="D14" i="89"/>
  <c r="C14" i="89"/>
  <c r="D13" i="89"/>
  <c r="C13" i="89"/>
  <c r="D12" i="89"/>
  <c r="C12" i="89"/>
  <c r="D11" i="89"/>
  <c r="C11" i="89"/>
  <c r="D119" i="89" l="1"/>
  <c r="C93" i="89"/>
  <c r="C161" i="89"/>
  <c r="D21" i="89"/>
  <c r="D102" i="89"/>
  <c r="C197" i="89"/>
  <c r="C21" i="89"/>
  <c r="C102" i="89"/>
  <c r="C119" i="89"/>
  <c r="D93" i="89"/>
  <c r="C79" i="89"/>
  <c r="D79" i="89"/>
  <c r="D111" i="89"/>
  <c r="D197" i="89"/>
  <c r="D161" i="89"/>
  <c r="C228" i="89"/>
  <c r="C111" i="89"/>
  <c r="C206" i="89"/>
  <c r="D206" i="89"/>
  <c r="C61" i="89"/>
  <c r="D61" i="89"/>
  <c r="C208" i="89" l="1"/>
  <c r="C212" i="89" s="1"/>
  <c r="D208" i="89"/>
  <c r="D215" i="89" s="1"/>
  <c r="C215" i="89" l="1"/>
  <c r="G244" i="143"/>
  <c r="G243" i="143"/>
  <c r="G242" i="143"/>
  <c r="G241" i="143"/>
  <c r="C238" i="143"/>
  <c r="C237" i="143"/>
  <c r="C236" i="143"/>
  <c r="C235" i="143"/>
  <c r="C233" i="143"/>
  <c r="C232" i="143"/>
  <c r="C231" i="143"/>
  <c r="D228" i="143"/>
  <c r="C227" i="143"/>
  <c r="C226" i="143"/>
  <c r="C225" i="143"/>
  <c r="C224" i="143"/>
  <c r="C223" i="143"/>
  <c r="C222" i="143"/>
  <c r="C221" i="143"/>
  <c r="C220" i="143"/>
  <c r="C219" i="143"/>
  <c r="C211" i="143"/>
  <c r="D205" i="143"/>
  <c r="C205" i="143"/>
  <c r="D204" i="143"/>
  <c r="C204" i="143"/>
  <c r="D203" i="143"/>
  <c r="C203" i="143"/>
  <c r="D202" i="143"/>
  <c r="C202" i="143"/>
  <c r="D201" i="143"/>
  <c r="C201" i="143"/>
  <c r="D200" i="143"/>
  <c r="C200" i="143"/>
  <c r="D196" i="143"/>
  <c r="C196" i="143"/>
  <c r="D195" i="143"/>
  <c r="C195" i="143"/>
  <c r="D194" i="143"/>
  <c r="C194" i="143"/>
  <c r="D193" i="143"/>
  <c r="C193" i="143"/>
  <c r="D192" i="143"/>
  <c r="C192" i="143"/>
  <c r="D191" i="143"/>
  <c r="C191" i="143"/>
  <c r="D190" i="143"/>
  <c r="C190" i="143"/>
  <c r="D189" i="143"/>
  <c r="C189" i="143"/>
  <c r="D188" i="143"/>
  <c r="C188" i="143"/>
  <c r="D187" i="143"/>
  <c r="C187" i="143"/>
  <c r="D186" i="143"/>
  <c r="C186" i="143"/>
  <c r="D185" i="143"/>
  <c r="C185" i="143"/>
  <c r="D184" i="143"/>
  <c r="C184" i="143"/>
  <c r="D183" i="143"/>
  <c r="C183" i="143"/>
  <c r="D182" i="143"/>
  <c r="C182" i="143"/>
  <c r="D181" i="143"/>
  <c r="C181" i="143"/>
  <c r="D180" i="143"/>
  <c r="C180" i="143"/>
  <c r="D179" i="143"/>
  <c r="C179" i="143"/>
  <c r="D178" i="143"/>
  <c r="C178" i="143"/>
  <c r="D177" i="143"/>
  <c r="C177" i="143"/>
  <c r="D176" i="143"/>
  <c r="C176" i="143"/>
  <c r="D175" i="143"/>
  <c r="C175" i="143"/>
  <c r="D174" i="143"/>
  <c r="C174" i="143"/>
  <c r="D173" i="143"/>
  <c r="C173" i="143"/>
  <c r="D172" i="143"/>
  <c r="C172" i="143"/>
  <c r="D171" i="143"/>
  <c r="C171" i="143"/>
  <c r="D170" i="143"/>
  <c r="C170" i="143"/>
  <c r="D169" i="143"/>
  <c r="C169" i="143"/>
  <c r="D168" i="143"/>
  <c r="C168" i="143"/>
  <c r="D167" i="143"/>
  <c r="C167" i="143"/>
  <c r="D166" i="143"/>
  <c r="C166" i="143"/>
  <c r="D165" i="143"/>
  <c r="C165" i="143"/>
  <c r="D164" i="143"/>
  <c r="C164" i="143"/>
  <c r="D160" i="143"/>
  <c r="C160" i="143"/>
  <c r="D159" i="143"/>
  <c r="C159" i="143"/>
  <c r="D158" i="143"/>
  <c r="C158" i="143"/>
  <c r="D157" i="143"/>
  <c r="C157" i="143"/>
  <c r="D156" i="143"/>
  <c r="C156" i="143"/>
  <c r="D155" i="143"/>
  <c r="C155" i="143"/>
  <c r="D153" i="143"/>
  <c r="C153" i="143"/>
  <c r="D152" i="143"/>
  <c r="C152" i="143"/>
  <c r="D151" i="143"/>
  <c r="C151" i="143"/>
  <c r="D150" i="143"/>
  <c r="C150" i="143"/>
  <c r="D149" i="143"/>
  <c r="C149" i="143"/>
  <c r="D148" i="143"/>
  <c r="C148" i="143"/>
  <c r="D147" i="143"/>
  <c r="C147" i="143"/>
  <c r="D146" i="143"/>
  <c r="C146" i="143"/>
  <c r="D145" i="143"/>
  <c r="C145" i="143"/>
  <c r="D143" i="143"/>
  <c r="C143" i="143"/>
  <c r="D142" i="143"/>
  <c r="C142" i="143"/>
  <c r="D141" i="143"/>
  <c r="C141" i="143"/>
  <c r="D140" i="143"/>
  <c r="C140" i="143"/>
  <c r="D138" i="143"/>
  <c r="C138" i="143"/>
  <c r="D137" i="143"/>
  <c r="C137" i="143"/>
  <c r="D136" i="143"/>
  <c r="C136" i="143"/>
  <c r="D135" i="143"/>
  <c r="C135" i="143"/>
  <c r="D133" i="143"/>
  <c r="C133" i="143"/>
  <c r="D132" i="143"/>
  <c r="C132" i="143"/>
  <c r="D131" i="143"/>
  <c r="C131" i="143"/>
  <c r="D130" i="143"/>
  <c r="C130" i="143"/>
  <c r="D129" i="143"/>
  <c r="C129" i="143"/>
  <c r="D127" i="143"/>
  <c r="C127" i="143"/>
  <c r="D126" i="143"/>
  <c r="C126" i="143"/>
  <c r="D125" i="143"/>
  <c r="C125" i="143"/>
  <c r="D124" i="143"/>
  <c r="C124" i="143"/>
  <c r="D123" i="143"/>
  <c r="C123" i="143"/>
  <c r="D118" i="143"/>
  <c r="C118" i="143"/>
  <c r="D117" i="143"/>
  <c r="C117" i="143"/>
  <c r="D116" i="143"/>
  <c r="C116" i="143"/>
  <c r="D115" i="143"/>
  <c r="C115" i="143"/>
  <c r="C119" i="143" s="1"/>
  <c r="D114" i="143"/>
  <c r="C114" i="143"/>
  <c r="D110" i="143"/>
  <c r="C110" i="143"/>
  <c r="D109" i="143"/>
  <c r="C109" i="143"/>
  <c r="D108" i="143"/>
  <c r="C108" i="143"/>
  <c r="D107" i="143"/>
  <c r="C107" i="143"/>
  <c r="D106" i="143"/>
  <c r="C106" i="143"/>
  <c r="D105" i="143"/>
  <c r="C105" i="143"/>
  <c r="D101" i="143"/>
  <c r="C101" i="143"/>
  <c r="D100" i="143"/>
  <c r="C100" i="143"/>
  <c r="D99" i="143"/>
  <c r="C99" i="143"/>
  <c r="D98" i="143"/>
  <c r="C98" i="143"/>
  <c r="D97" i="143"/>
  <c r="C97" i="143"/>
  <c r="D96" i="143"/>
  <c r="C96" i="143"/>
  <c r="D92" i="143"/>
  <c r="C92" i="143"/>
  <c r="D91" i="143"/>
  <c r="C91" i="143"/>
  <c r="D90" i="143"/>
  <c r="C90" i="143"/>
  <c r="D89" i="143"/>
  <c r="C89" i="143"/>
  <c r="D88" i="143"/>
  <c r="C88" i="143"/>
  <c r="D87" i="143"/>
  <c r="C87" i="143"/>
  <c r="D86" i="143"/>
  <c r="C86" i="143"/>
  <c r="D85" i="143"/>
  <c r="C85" i="143"/>
  <c r="D84" i="143"/>
  <c r="C84" i="143"/>
  <c r="D83" i="143"/>
  <c r="C83" i="143"/>
  <c r="D82" i="143"/>
  <c r="C82" i="143"/>
  <c r="D78" i="143"/>
  <c r="C78" i="143"/>
  <c r="D77" i="143"/>
  <c r="C77" i="143"/>
  <c r="D76" i="143"/>
  <c r="C76" i="143"/>
  <c r="D75" i="143"/>
  <c r="C75" i="143"/>
  <c r="D74" i="143"/>
  <c r="C74" i="143"/>
  <c r="D73" i="143"/>
  <c r="C73" i="143"/>
  <c r="D72" i="143"/>
  <c r="C72" i="143"/>
  <c r="D71" i="143"/>
  <c r="C71" i="143"/>
  <c r="D70" i="143"/>
  <c r="C70" i="143"/>
  <c r="D69" i="143"/>
  <c r="C69" i="143"/>
  <c r="D68" i="143"/>
  <c r="C68" i="143"/>
  <c r="D67" i="143"/>
  <c r="C67" i="143"/>
  <c r="D66" i="143"/>
  <c r="C66" i="143"/>
  <c r="D65" i="143"/>
  <c r="C65" i="143"/>
  <c r="D64" i="143"/>
  <c r="C64" i="143"/>
  <c r="D60" i="143"/>
  <c r="C60" i="143"/>
  <c r="D59" i="143"/>
  <c r="C59" i="143"/>
  <c r="D58" i="143"/>
  <c r="C58" i="143"/>
  <c r="D57" i="143"/>
  <c r="C57" i="143"/>
  <c r="D56" i="143"/>
  <c r="C56" i="143"/>
  <c r="D55" i="143"/>
  <c r="C55" i="143"/>
  <c r="D54" i="143"/>
  <c r="C54" i="143"/>
  <c r="D53" i="143"/>
  <c r="C53" i="143"/>
  <c r="D52" i="143"/>
  <c r="C52" i="143"/>
  <c r="D51" i="143"/>
  <c r="C51" i="143"/>
  <c r="D50" i="143"/>
  <c r="C50" i="143"/>
  <c r="D49" i="143"/>
  <c r="C49" i="143"/>
  <c r="D48" i="143"/>
  <c r="C48" i="143"/>
  <c r="D47" i="143"/>
  <c r="C47" i="143"/>
  <c r="D46" i="143"/>
  <c r="C46" i="143"/>
  <c r="D45" i="143"/>
  <c r="C45" i="143"/>
  <c r="D44" i="143"/>
  <c r="C44" i="143"/>
  <c r="D43" i="143"/>
  <c r="C43" i="143"/>
  <c r="D42" i="143"/>
  <c r="C42" i="143"/>
  <c r="D41" i="143"/>
  <c r="C41" i="143"/>
  <c r="D40" i="143"/>
  <c r="C40" i="143"/>
  <c r="D39" i="143"/>
  <c r="C39" i="143"/>
  <c r="D38" i="143"/>
  <c r="C38" i="143"/>
  <c r="D37" i="143"/>
  <c r="C37" i="143"/>
  <c r="D36" i="143"/>
  <c r="C36" i="143"/>
  <c r="D35" i="143"/>
  <c r="C35" i="143"/>
  <c r="D34" i="143"/>
  <c r="C34" i="143"/>
  <c r="D33" i="143"/>
  <c r="C33" i="143"/>
  <c r="D32" i="143"/>
  <c r="C32" i="143"/>
  <c r="D31" i="143"/>
  <c r="C31" i="143"/>
  <c r="D30" i="143"/>
  <c r="C30" i="143"/>
  <c r="D29" i="143"/>
  <c r="C29" i="143"/>
  <c r="D28" i="143"/>
  <c r="C28" i="143"/>
  <c r="D27" i="143"/>
  <c r="C27" i="143"/>
  <c r="D26" i="143"/>
  <c r="C26" i="143"/>
  <c r="D25" i="143"/>
  <c r="C25" i="143"/>
  <c r="D20" i="143"/>
  <c r="C20" i="143"/>
  <c r="D19" i="143"/>
  <c r="C19" i="143"/>
  <c r="D18" i="143"/>
  <c r="C18" i="143"/>
  <c r="D17" i="143"/>
  <c r="C17" i="143"/>
  <c r="D16" i="143"/>
  <c r="C16" i="143"/>
  <c r="D15" i="143"/>
  <c r="C15" i="143"/>
  <c r="D14" i="143"/>
  <c r="C14" i="143"/>
  <c r="D13" i="143"/>
  <c r="C13" i="143"/>
  <c r="D12" i="143"/>
  <c r="C12" i="143"/>
  <c r="D11" i="143"/>
  <c r="C11" i="143"/>
  <c r="D21" i="143" l="1"/>
  <c r="D102" i="143"/>
  <c r="D93" i="143"/>
  <c r="D111" i="143"/>
  <c r="C79" i="143"/>
  <c r="C21" i="143"/>
  <c r="C102" i="143"/>
  <c r="D119" i="143"/>
  <c r="C228" i="143"/>
  <c r="C93" i="143"/>
  <c r="C111" i="143"/>
  <c r="C161" i="143"/>
  <c r="D161" i="143"/>
  <c r="C197" i="143"/>
  <c r="C206" i="143"/>
  <c r="D79" i="143"/>
  <c r="D197" i="143"/>
  <c r="D206" i="143"/>
  <c r="C61" i="143"/>
  <c r="D61" i="143"/>
  <c r="D208" i="143" l="1"/>
  <c r="D215" i="143" s="1"/>
  <c r="C208" i="143"/>
  <c r="C212" i="143" s="1"/>
  <c r="C215" i="143" l="1"/>
  <c r="G244" i="172"/>
  <c r="G243" i="172"/>
  <c r="G242" i="172"/>
  <c r="G241" i="172"/>
  <c r="C238" i="172"/>
  <c r="C237" i="172"/>
  <c r="C236" i="172"/>
  <c r="C235" i="172"/>
  <c r="C233" i="172"/>
  <c r="C232" i="172"/>
  <c r="C231" i="172"/>
  <c r="D228" i="172"/>
  <c r="C227" i="172"/>
  <c r="C226" i="172"/>
  <c r="C225" i="172"/>
  <c r="C224" i="172"/>
  <c r="C223" i="172"/>
  <c r="C222" i="172"/>
  <c r="C221" i="172"/>
  <c r="C220" i="172"/>
  <c r="C219" i="172"/>
  <c r="C211" i="172"/>
  <c r="D205" i="172"/>
  <c r="C205" i="172"/>
  <c r="D204" i="172"/>
  <c r="C204" i="172"/>
  <c r="D203" i="172"/>
  <c r="C203" i="172"/>
  <c r="D202" i="172"/>
  <c r="C202" i="172"/>
  <c r="D201" i="172"/>
  <c r="C201" i="172"/>
  <c r="D200" i="172"/>
  <c r="C200" i="172"/>
  <c r="D196" i="172"/>
  <c r="C196" i="172"/>
  <c r="D195" i="172"/>
  <c r="C195" i="172"/>
  <c r="D194" i="172"/>
  <c r="C194" i="172"/>
  <c r="D193" i="172"/>
  <c r="C193" i="172"/>
  <c r="D192" i="172"/>
  <c r="C192" i="172"/>
  <c r="D191" i="172"/>
  <c r="C191" i="172"/>
  <c r="D190" i="172"/>
  <c r="C190" i="172"/>
  <c r="D189" i="172"/>
  <c r="C189" i="172"/>
  <c r="D188" i="172"/>
  <c r="C188" i="172"/>
  <c r="D187" i="172"/>
  <c r="C187" i="172"/>
  <c r="D186" i="172"/>
  <c r="C186" i="172"/>
  <c r="D185" i="172"/>
  <c r="C185" i="172"/>
  <c r="D184" i="172"/>
  <c r="C184" i="172"/>
  <c r="D183" i="172"/>
  <c r="C183" i="172"/>
  <c r="D182" i="172"/>
  <c r="C182" i="172"/>
  <c r="D181" i="172"/>
  <c r="C181" i="172"/>
  <c r="D180" i="172"/>
  <c r="C180" i="172"/>
  <c r="D179" i="172"/>
  <c r="C179" i="172"/>
  <c r="D178" i="172"/>
  <c r="C178" i="172"/>
  <c r="D177" i="172"/>
  <c r="C177" i="172"/>
  <c r="D176" i="172"/>
  <c r="C176" i="172"/>
  <c r="D175" i="172"/>
  <c r="C175" i="172"/>
  <c r="D174" i="172"/>
  <c r="C174" i="172"/>
  <c r="D173" i="172"/>
  <c r="C173" i="172"/>
  <c r="D172" i="172"/>
  <c r="C172" i="172"/>
  <c r="D171" i="172"/>
  <c r="C171" i="172"/>
  <c r="D170" i="172"/>
  <c r="C170" i="172"/>
  <c r="D169" i="172"/>
  <c r="C169" i="172"/>
  <c r="D168" i="172"/>
  <c r="C168" i="172"/>
  <c r="D167" i="172"/>
  <c r="C167" i="172"/>
  <c r="D166" i="172"/>
  <c r="C166" i="172"/>
  <c r="D165" i="172"/>
  <c r="C165" i="172"/>
  <c r="D164" i="172"/>
  <c r="C164" i="172"/>
  <c r="D160" i="172"/>
  <c r="C160" i="172"/>
  <c r="D159" i="172"/>
  <c r="C159" i="172"/>
  <c r="D158" i="172"/>
  <c r="C158" i="172"/>
  <c r="D157" i="172"/>
  <c r="C157" i="172"/>
  <c r="D156" i="172"/>
  <c r="C156" i="172"/>
  <c r="D155" i="172"/>
  <c r="C155" i="172"/>
  <c r="D153" i="172"/>
  <c r="C153" i="172"/>
  <c r="D152" i="172"/>
  <c r="C152" i="172"/>
  <c r="D151" i="172"/>
  <c r="C151" i="172"/>
  <c r="D150" i="172"/>
  <c r="C150" i="172"/>
  <c r="D149" i="172"/>
  <c r="C149" i="172"/>
  <c r="D148" i="172"/>
  <c r="C148" i="172"/>
  <c r="D147" i="172"/>
  <c r="C147" i="172"/>
  <c r="D146" i="172"/>
  <c r="C146" i="172"/>
  <c r="D145" i="172"/>
  <c r="C145" i="172"/>
  <c r="D143" i="172"/>
  <c r="C143" i="172"/>
  <c r="D142" i="172"/>
  <c r="C142" i="172"/>
  <c r="D141" i="172"/>
  <c r="C141" i="172"/>
  <c r="D140" i="172"/>
  <c r="C140" i="172"/>
  <c r="D138" i="172"/>
  <c r="C138" i="172"/>
  <c r="D137" i="172"/>
  <c r="C137" i="172"/>
  <c r="D136" i="172"/>
  <c r="C136" i="172"/>
  <c r="D135" i="172"/>
  <c r="C135" i="172"/>
  <c r="D133" i="172"/>
  <c r="C133" i="172"/>
  <c r="D132" i="172"/>
  <c r="C132" i="172"/>
  <c r="D131" i="172"/>
  <c r="C131" i="172"/>
  <c r="D130" i="172"/>
  <c r="C130" i="172"/>
  <c r="D129" i="172"/>
  <c r="C129" i="172"/>
  <c r="D127" i="172"/>
  <c r="C127" i="172"/>
  <c r="D126" i="172"/>
  <c r="C126" i="172"/>
  <c r="D125" i="172"/>
  <c r="C125" i="172"/>
  <c r="D124" i="172"/>
  <c r="C124" i="172"/>
  <c r="D123" i="172"/>
  <c r="C123" i="172"/>
  <c r="D118" i="172"/>
  <c r="C118" i="172"/>
  <c r="D117" i="172"/>
  <c r="C117" i="172"/>
  <c r="D116" i="172"/>
  <c r="C116" i="172"/>
  <c r="D115" i="172"/>
  <c r="C115" i="172"/>
  <c r="D114" i="172"/>
  <c r="C114" i="172"/>
  <c r="D110" i="172"/>
  <c r="C110" i="172"/>
  <c r="D109" i="172"/>
  <c r="C109" i="172"/>
  <c r="D108" i="172"/>
  <c r="C108" i="172"/>
  <c r="D107" i="172"/>
  <c r="C107" i="172"/>
  <c r="D106" i="172"/>
  <c r="C106" i="172"/>
  <c r="D105" i="172"/>
  <c r="C105" i="172"/>
  <c r="D101" i="172"/>
  <c r="C101" i="172"/>
  <c r="D100" i="172"/>
  <c r="C100" i="172"/>
  <c r="D99" i="172"/>
  <c r="C99" i="172"/>
  <c r="D98" i="172"/>
  <c r="C98" i="172"/>
  <c r="D97" i="172"/>
  <c r="C97" i="172"/>
  <c r="D96" i="172"/>
  <c r="C96" i="172"/>
  <c r="D92" i="172"/>
  <c r="C92" i="172"/>
  <c r="D91" i="172"/>
  <c r="C91" i="172"/>
  <c r="D90" i="172"/>
  <c r="C90" i="172"/>
  <c r="D89" i="172"/>
  <c r="C89" i="172"/>
  <c r="D88" i="172"/>
  <c r="C88" i="172"/>
  <c r="D87" i="172"/>
  <c r="C87" i="172"/>
  <c r="D86" i="172"/>
  <c r="C86" i="172"/>
  <c r="D85" i="172"/>
  <c r="C85" i="172"/>
  <c r="D84" i="172"/>
  <c r="C84" i="172"/>
  <c r="D83" i="172"/>
  <c r="C83" i="172"/>
  <c r="D82" i="172"/>
  <c r="C82" i="172"/>
  <c r="D78" i="172"/>
  <c r="C78" i="172"/>
  <c r="D77" i="172"/>
  <c r="C77" i="172"/>
  <c r="D76" i="172"/>
  <c r="C76" i="172"/>
  <c r="D75" i="172"/>
  <c r="C75" i="172"/>
  <c r="D74" i="172"/>
  <c r="C74" i="172"/>
  <c r="D73" i="172"/>
  <c r="C73" i="172"/>
  <c r="D72" i="172"/>
  <c r="C72" i="172"/>
  <c r="D71" i="172"/>
  <c r="C71" i="172"/>
  <c r="D70" i="172"/>
  <c r="C70" i="172"/>
  <c r="D69" i="172"/>
  <c r="C69" i="172"/>
  <c r="D68" i="172"/>
  <c r="C68" i="172"/>
  <c r="D67" i="172"/>
  <c r="C67" i="172"/>
  <c r="D66" i="172"/>
  <c r="C66" i="172"/>
  <c r="D65" i="172"/>
  <c r="C65" i="172"/>
  <c r="D64" i="172"/>
  <c r="C64" i="172"/>
  <c r="D60" i="172"/>
  <c r="C60" i="172"/>
  <c r="D59" i="172"/>
  <c r="C59" i="172"/>
  <c r="D58" i="172"/>
  <c r="C58" i="172"/>
  <c r="D57" i="172"/>
  <c r="C57" i="172"/>
  <c r="D56" i="172"/>
  <c r="C56" i="172"/>
  <c r="D55" i="172"/>
  <c r="C55" i="172"/>
  <c r="D54" i="172"/>
  <c r="C54" i="172"/>
  <c r="D53" i="172"/>
  <c r="C53" i="172"/>
  <c r="D52" i="172"/>
  <c r="C52" i="172"/>
  <c r="D51" i="172"/>
  <c r="C51" i="172"/>
  <c r="D50" i="172"/>
  <c r="C50" i="172"/>
  <c r="D49" i="172"/>
  <c r="C49" i="172"/>
  <c r="D48" i="172"/>
  <c r="C48" i="172"/>
  <c r="D47" i="172"/>
  <c r="C47" i="172"/>
  <c r="D46" i="172"/>
  <c r="C46" i="172"/>
  <c r="D45" i="172"/>
  <c r="C45" i="172"/>
  <c r="D44" i="172"/>
  <c r="C44" i="172"/>
  <c r="D43" i="172"/>
  <c r="C43" i="172"/>
  <c r="D42" i="172"/>
  <c r="C42" i="172"/>
  <c r="D41" i="172"/>
  <c r="C41" i="172"/>
  <c r="D40" i="172"/>
  <c r="C40" i="172"/>
  <c r="D39" i="172"/>
  <c r="C39" i="172"/>
  <c r="D38" i="172"/>
  <c r="C38" i="172"/>
  <c r="D37" i="172"/>
  <c r="C37" i="172"/>
  <c r="D36" i="172"/>
  <c r="C36" i="172"/>
  <c r="D35" i="172"/>
  <c r="C35" i="172"/>
  <c r="D34" i="172"/>
  <c r="C34" i="172"/>
  <c r="D33" i="172"/>
  <c r="C33" i="172"/>
  <c r="D32" i="172"/>
  <c r="C32" i="172"/>
  <c r="D31" i="172"/>
  <c r="C31" i="172"/>
  <c r="D30" i="172"/>
  <c r="C30" i="172"/>
  <c r="D29" i="172"/>
  <c r="C29" i="172"/>
  <c r="D28" i="172"/>
  <c r="C28" i="172"/>
  <c r="D27" i="172"/>
  <c r="C27" i="172"/>
  <c r="D26" i="172"/>
  <c r="C26" i="172"/>
  <c r="D25" i="172"/>
  <c r="C25" i="172"/>
  <c r="D20" i="172"/>
  <c r="C20" i="172"/>
  <c r="D19" i="172"/>
  <c r="C19" i="172"/>
  <c r="D18" i="172"/>
  <c r="C18" i="172"/>
  <c r="D17" i="172"/>
  <c r="C17" i="172"/>
  <c r="D16" i="172"/>
  <c r="C16" i="172"/>
  <c r="D15" i="172"/>
  <c r="C15" i="172"/>
  <c r="D14" i="172"/>
  <c r="C14" i="172"/>
  <c r="D13" i="172"/>
  <c r="C13" i="172"/>
  <c r="D12" i="172"/>
  <c r="C12" i="172"/>
  <c r="D11" i="172"/>
  <c r="C11" i="172"/>
  <c r="C21" i="172" l="1"/>
  <c r="C102" i="172"/>
  <c r="D21" i="172"/>
  <c r="D102" i="172"/>
  <c r="C61" i="172"/>
  <c r="C93" i="172"/>
  <c r="C111" i="172"/>
  <c r="C161" i="172"/>
  <c r="C228" i="172"/>
  <c r="D119" i="172"/>
  <c r="D93" i="172"/>
  <c r="D111" i="172"/>
  <c r="D161" i="172"/>
  <c r="C119" i="172"/>
  <c r="C79" i="172"/>
  <c r="C197" i="172"/>
  <c r="C206" i="172"/>
  <c r="D79" i="172"/>
  <c r="D197" i="172"/>
  <c r="D206" i="172"/>
  <c r="D61" i="172"/>
  <c r="C208" i="172" l="1"/>
  <c r="C212" i="172" s="1"/>
  <c r="D208" i="172"/>
  <c r="D215" i="172" s="1"/>
  <c r="C215" i="172" l="1"/>
  <c r="G244" i="149"/>
  <c r="G243" i="149"/>
  <c r="G242" i="149"/>
  <c r="G241" i="149"/>
  <c r="C238" i="149"/>
  <c r="C237" i="149"/>
  <c r="C236" i="149"/>
  <c r="C235" i="149"/>
  <c r="C233" i="149"/>
  <c r="C232" i="149"/>
  <c r="C231" i="149"/>
  <c r="D228" i="149"/>
  <c r="C227" i="149"/>
  <c r="C226" i="149"/>
  <c r="C225" i="149"/>
  <c r="C224" i="149"/>
  <c r="C223" i="149"/>
  <c r="C222" i="149"/>
  <c r="C221" i="149"/>
  <c r="C220" i="149"/>
  <c r="C219" i="149"/>
  <c r="C211" i="149"/>
  <c r="D205" i="149"/>
  <c r="C205" i="149"/>
  <c r="D204" i="149"/>
  <c r="C204" i="149"/>
  <c r="D203" i="149"/>
  <c r="C203" i="149"/>
  <c r="D202" i="149"/>
  <c r="C202" i="149"/>
  <c r="D201" i="149"/>
  <c r="C201" i="149"/>
  <c r="D200" i="149"/>
  <c r="C200" i="149"/>
  <c r="D196" i="149"/>
  <c r="C196" i="149"/>
  <c r="D195" i="149"/>
  <c r="C195" i="149"/>
  <c r="D194" i="149"/>
  <c r="C194" i="149"/>
  <c r="D193" i="149"/>
  <c r="C193" i="149"/>
  <c r="D192" i="149"/>
  <c r="C192" i="149"/>
  <c r="D191" i="149"/>
  <c r="C191" i="149"/>
  <c r="D190" i="149"/>
  <c r="C190" i="149"/>
  <c r="D189" i="149"/>
  <c r="C189" i="149"/>
  <c r="D188" i="149"/>
  <c r="C188" i="149"/>
  <c r="D187" i="149"/>
  <c r="C187" i="149"/>
  <c r="D186" i="149"/>
  <c r="C186" i="149"/>
  <c r="D185" i="149"/>
  <c r="C185" i="149"/>
  <c r="D184" i="149"/>
  <c r="C184" i="149"/>
  <c r="D183" i="149"/>
  <c r="C183" i="149"/>
  <c r="D182" i="149"/>
  <c r="C182" i="149"/>
  <c r="D181" i="149"/>
  <c r="C181" i="149"/>
  <c r="D180" i="149"/>
  <c r="C180" i="149"/>
  <c r="D179" i="149"/>
  <c r="C179" i="149"/>
  <c r="D178" i="149"/>
  <c r="C178" i="149"/>
  <c r="D177" i="149"/>
  <c r="C177" i="149"/>
  <c r="D176" i="149"/>
  <c r="C176" i="149"/>
  <c r="D175" i="149"/>
  <c r="C175" i="149"/>
  <c r="D174" i="149"/>
  <c r="C174" i="149"/>
  <c r="D173" i="149"/>
  <c r="C173" i="149"/>
  <c r="D172" i="149"/>
  <c r="C172" i="149"/>
  <c r="D171" i="149"/>
  <c r="C171" i="149"/>
  <c r="D170" i="149"/>
  <c r="C170" i="149"/>
  <c r="D169" i="149"/>
  <c r="C169" i="149"/>
  <c r="D168" i="149"/>
  <c r="C168" i="149"/>
  <c r="D167" i="149"/>
  <c r="C167" i="149"/>
  <c r="D166" i="149"/>
  <c r="C166" i="149"/>
  <c r="D165" i="149"/>
  <c r="C165" i="149"/>
  <c r="D164" i="149"/>
  <c r="C164" i="149"/>
  <c r="D160" i="149"/>
  <c r="C160" i="149"/>
  <c r="D159" i="149"/>
  <c r="C159" i="149"/>
  <c r="D158" i="149"/>
  <c r="C158" i="149"/>
  <c r="D157" i="149"/>
  <c r="C157" i="149"/>
  <c r="D156" i="149"/>
  <c r="C156" i="149"/>
  <c r="D155" i="149"/>
  <c r="C155" i="149"/>
  <c r="D153" i="149"/>
  <c r="C153" i="149"/>
  <c r="D152" i="149"/>
  <c r="C152" i="149"/>
  <c r="D151" i="149"/>
  <c r="C151" i="149"/>
  <c r="D150" i="149"/>
  <c r="C150" i="149"/>
  <c r="D149" i="149"/>
  <c r="C149" i="149"/>
  <c r="D148" i="149"/>
  <c r="C148" i="149"/>
  <c r="D147" i="149"/>
  <c r="C147" i="149"/>
  <c r="D146" i="149"/>
  <c r="C146" i="149"/>
  <c r="D145" i="149"/>
  <c r="C145" i="149"/>
  <c r="D143" i="149"/>
  <c r="C143" i="149"/>
  <c r="D142" i="149"/>
  <c r="C142" i="149"/>
  <c r="D141" i="149"/>
  <c r="C141" i="149"/>
  <c r="D140" i="149"/>
  <c r="C140" i="149"/>
  <c r="D138" i="149"/>
  <c r="C138" i="149"/>
  <c r="D137" i="149"/>
  <c r="C137" i="149"/>
  <c r="D136" i="149"/>
  <c r="C136" i="149"/>
  <c r="D135" i="149"/>
  <c r="C135" i="149"/>
  <c r="D133" i="149"/>
  <c r="C133" i="149"/>
  <c r="D132" i="149"/>
  <c r="C132" i="149"/>
  <c r="D131" i="149"/>
  <c r="C131" i="149"/>
  <c r="D130" i="149"/>
  <c r="C130" i="149"/>
  <c r="D129" i="149"/>
  <c r="C129" i="149"/>
  <c r="D127" i="149"/>
  <c r="C127" i="149"/>
  <c r="D126" i="149"/>
  <c r="C126" i="149"/>
  <c r="D125" i="149"/>
  <c r="C125" i="149"/>
  <c r="D124" i="149"/>
  <c r="C124" i="149"/>
  <c r="D123" i="149"/>
  <c r="C123" i="149"/>
  <c r="D118" i="149"/>
  <c r="C118" i="149"/>
  <c r="D117" i="149"/>
  <c r="C117" i="149"/>
  <c r="D116" i="149"/>
  <c r="C116" i="149"/>
  <c r="D115" i="149"/>
  <c r="C115" i="149"/>
  <c r="D114" i="149"/>
  <c r="D119" i="149" s="1"/>
  <c r="C114" i="149"/>
  <c r="D110" i="149"/>
  <c r="C110" i="149"/>
  <c r="D109" i="149"/>
  <c r="C109" i="149"/>
  <c r="D108" i="149"/>
  <c r="C108" i="149"/>
  <c r="D107" i="149"/>
  <c r="C107" i="149"/>
  <c r="D106" i="149"/>
  <c r="C106" i="149"/>
  <c r="D105" i="149"/>
  <c r="C105" i="149"/>
  <c r="D101" i="149"/>
  <c r="C101" i="149"/>
  <c r="D100" i="149"/>
  <c r="C100" i="149"/>
  <c r="D99" i="149"/>
  <c r="C99" i="149"/>
  <c r="D98" i="149"/>
  <c r="C98" i="149"/>
  <c r="D97" i="149"/>
  <c r="C97" i="149"/>
  <c r="D96" i="149"/>
  <c r="D102" i="149" s="1"/>
  <c r="C96" i="149"/>
  <c r="D92" i="149"/>
  <c r="C92" i="149"/>
  <c r="D91" i="149"/>
  <c r="C91" i="149"/>
  <c r="D90" i="149"/>
  <c r="C90" i="149"/>
  <c r="D89" i="149"/>
  <c r="C89" i="149"/>
  <c r="D88" i="149"/>
  <c r="C88" i="149"/>
  <c r="D87" i="149"/>
  <c r="C87" i="149"/>
  <c r="D86" i="149"/>
  <c r="C86" i="149"/>
  <c r="D85" i="149"/>
  <c r="C85" i="149"/>
  <c r="D84" i="149"/>
  <c r="C84" i="149"/>
  <c r="D83" i="149"/>
  <c r="C83" i="149"/>
  <c r="D82" i="149"/>
  <c r="C82" i="149"/>
  <c r="D78" i="149"/>
  <c r="C78" i="149"/>
  <c r="D77" i="149"/>
  <c r="C77" i="149"/>
  <c r="D76" i="149"/>
  <c r="C76" i="149"/>
  <c r="D75" i="149"/>
  <c r="C75" i="149"/>
  <c r="D74" i="149"/>
  <c r="C74" i="149"/>
  <c r="D73" i="149"/>
  <c r="C73" i="149"/>
  <c r="D72" i="149"/>
  <c r="C72" i="149"/>
  <c r="D71" i="149"/>
  <c r="C71" i="149"/>
  <c r="D70" i="149"/>
  <c r="C70" i="149"/>
  <c r="D69" i="149"/>
  <c r="C69" i="149"/>
  <c r="D68" i="149"/>
  <c r="C68" i="149"/>
  <c r="D67" i="149"/>
  <c r="C67" i="149"/>
  <c r="D66" i="149"/>
  <c r="C66" i="149"/>
  <c r="D65" i="149"/>
  <c r="C65" i="149"/>
  <c r="D64" i="149"/>
  <c r="C64" i="149"/>
  <c r="D60" i="149"/>
  <c r="C60" i="149"/>
  <c r="D59" i="149"/>
  <c r="C59" i="149"/>
  <c r="D58" i="149"/>
  <c r="C58" i="149"/>
  <c r="D57" i="149"/>
  <c r="C57" i="149"/>
  <c r="D56" i="149"/>
  <c r="C56" i="149"/>
  <c r="D55" i="149"/>
  <c r="C55" i="149"/>
  <c r="D54" i="149"/>
  <c r="C54" i="149"/>
  <c r="D53" i="149"/>
  <c r="C53" i="149"/>
  <c r="D52" i="149"/>
  <c r="C52" i="149"/>
  <c r="D51" i="149"/>
  <c r="C51" i="149"/>
  <c r="D50" i="149"/>
  <c r="C50" i="149"/>
  <c r="D49" i="149"/>
  <c r="C49" i="149"/>
  <c r="D48" i="149"/>
  <c r="C48" i="149"/>
  <c r="D47" i="149"/>
  <c r="C47" i="149"/>
  <c r="D46" i="149"/>
  <c r="C46" i="149"/>
  <c r="D45" i="149"/>
  <c r="C45" i="149"/>
  <c r="D44" i="149"/>
  <c r="C44" i="149"/>
  <c r="D43" i="149"/>
  <c r="C43" i="149"/>
  <c r="D42" i="149"/>
  <c r="C42" i="149"/>
  <c r="D41" i="149"/>
  <c r="C41" i="149"/>
  <c r="D40" i="149"/>
  <c r="C40" i="149"/>
  <c r="D39" i="149"/>
  <c r="C39" i="149"/>
  <c r="D38" i="149"/>
  <c r="C38" i="149"/>
  <c r="D37" i="149"/>
  <c r="C37" i="149"/>
  <c r="D36" i="149"/>
  <c r="C36" i="149"/>
  <c r="D35" i="149"/>
  <c r="C35" i="149"/>
  <c r="D34" i="149"/>
  <c r="C34" i="149"/>
  <c r="D33" i="149"/>
  <c r="C33" i="149"/>
  <c r="D32" i="149"/>
  <c r="C32" i="149"/>
  <c r="D31" i="149"/>
  <c r="C31" i="149"/>
  <c r="D30" i="149"/>
  <c r="C30" i="149"/>
  <c r="D29" i="149"/>
  <c r="C29" i="149"/>
  <c r="D28" i="149"/>
  <c r="C28" i="149"/>
  <c r="D27" i="149"/>
  <c r="C27" i="149"/>
  <c r="D26" i="149"/>
  <c r="C26" i="149"/>
  <c r="D25" i="149"/>
  <c r="C25" i="149"/>
  <c r="D20" i="149"/>
  <c r="C20" i="149"/>
  <c r="D19" i="149"/>
  <c r="C19" i="149"/>
  <c r="D18" i="149"/>
  <c r="C18" i="149"/>
  <c r="D17" i="149"/>
  <c r="C17" i="149"/>
  <c r="D16" i="149"/>
  <c r="C16" i="149"/>
  <c r="D15" i="149"/>
  <c r="C15" i="149"/>
  <c r="D14" i="149"/>
  <c r="C14" i="149"/>
  <c r="D13" i="149"/>
  <c r="C13" i="149"/>
  <c r="D12" i="149"/>
  <c r="C12" i="149"/>
  <c r="D11" i="149"/>
  <c r="D21" i="149" s="1"/>
  <c r="C11" i="149"/>
  <c r="C21" i="149" l="1"/>
  <c r="C102" i="149"/>
  <c r="C119" i="149"/>
  <c r="C161" i="149"/>
  <c r="D93" i="149"/>
  <c r="D161" i="149"/>
  <c r="C228" i="149"/>
  <c r="C93" i="149"/>
  <c r="C79" i="149"/>
  <c r="C111" i="149"/>
  <c r="C197" i="149"/>
  <c r="C206" i="149"/>
  <c r="D79" i="149"/>
  <c r="D111" i="149"/>
  <c r="D197" i="149"/>
  <c r="D206" i="149"/>
  <c r="C61" i="149"/>
  <c r="D61" i="149"/>
  <c r="D208" i="149" l="1"/>
  <c r="D215" i="149" s="1"/>
  <c r="C208" i="149"/>
  <c r="C212" i="149" s="1"/>
  <c r="C215" i="149" l="1"/>
  <c r="C238" i="111"/>
  <c r="C237" i="111"/>
  <c r="C236" i="111"/>
  <c r="C235" i="111"/>
  <c r="C233" i="111"/>
  <c r="C232" i="111"/>
  <c r="C231" i="111"/>
  <c r="D228" i="111"/>
  <c r="C227" i="111"/>
  <c r="C226" i="111"/>
  <c r="C225" i="111"/>
  <c r="C224" i="111"/>
  <c r="C223" i="111"/>
  <c r="C222" i="111"/>
  <c r="C221" i="111"/>
  <c r="C220" i="111"/>
  <c r="C219" i="111"/>
  <c r="C211" i="111"/>
  <c r="D205" i="111"/>
  <c r="C205" i="111"/>
  <c r="D204" i="111"/>
  <c r="C204" i="111"/>
  <c r="D203" i="111"/>
  <c r="C203" i="111"/>
  <c r="D202" i="111"/>
  <c r="C202" i="111"/>
  <c r="D201" i="111"/>
  <c r="C201" i="111"/>
  <c r="D200" i="111"/>
  <c r="C200" i="111"/>
  <c r="D196" i="111"/>
  <c r="C196" i="111"/>
  <c r="D195" i="111"/>
  <c r="C195" i="111"/>
  <c r="D194" i="111"/>
  <c r="C194" i="111"/>
  <c r="D193" i="111"/>
  <c r="C193" i="111"/>
  <c r="D192" i="111"/>
  <c r="C192" i="111"/>
  <c r="D191" i="111"/>
  <c r="C191" i="111"/>
  <c r="D190" i="111"/>
  <c r="C190" i="111"/>
  <c r="D189" i="111"/>
  <c r="C189" i="111"/>
  <c r="D188" i="111"/>
  <c r="C188" i="111"/>
  <c r="D187" i="111"/>
  <c r="C187" i="111"/>
  <c r="D186" i="111"/>
  <c r="C186" i="111"/>
  <c r="D185" i="111"/>
  <c r="C185" i="111"/>
  <c r="D184" i="111"/>
  <c r="C184" i="111"/>
  <c r="D183" i="111"/>
  <c r="C183" i="111"/>
  <c r="D182" i="111"/>
  <c r="C182" i="111"/>
  <c r="D181" i="111"/>
  <c r="C181" i="111"/>
  <c r="D180" i="111"/>
  <c r="C180" i="111"/>
  <c r="D179" i="111"/>
  <c r="C179" i="111"/>
  <c r="D178" i="111"/>
  <c r="C178" i="111"/>
  <c r="D177" i="111"/>
  <c r="C177" i="111"/>
  <c r="D176" i="111"/>
  <c r="C176" i="111"/>
  <c r="D175" i="111"/>
  <c r="C175" i="111"/>
  <c r="D174" i="111"/>
  <c r="C174" i="111"/>
  <c r="D173" i="111"/>
  <c r="C173" i="111"/>
  <c r="D172" i="111"/>
  <c r="C172" i="111"/>
  <c r="D171" i="111"/>
  <c r="C171" i="111"/>
  <c r="D170" i="111"/>
  <c r="C170" i="111"/>
  <c r="D169" i="111"/>
  <c r="C169" i="111"/>
  <c r="D168" i="111"/>
  <c r="C168" i="111"/>
  <c r="D167" i="111"/>
  <c r="C167" i="111"/>
  <c r="D166" i="111"/>
  <c r="C166" i="111"/>
  <c r="D165" i="111"/>
  <c r="C165" i="111"/>
  <c r="D164" i="111"/>
  <c r="C164" i="111"/>
  <c r="D160" i="111"/>
  <c r="C160" i="111"/>
  <c r="D159" i="111"/>
  <c r="C159" i="111"/>
  <c r="D158" i="111"/>
  <c r="C158" i="111"/>
  <c r="D157" i="111"/>
  <c r="C157" i="111"/>
  <c r="D156" i="111"/>
  <c r="C156" i="111"/>
  <c r="D155" i="111"/>
  <c r="C155" i="111"/>
  <c r="D153" i="111"/>
  <c r="C153" i="111"/>
  <c r="D152" i="111"/>
  <c r="C152" i="111"/>
  <c r="D151" i="111"/>
  <c r="C151" i="111"/>
  <c r="D150" i="111"/>
  <c r="C150" i="111"/>
  <c r="D149" i="111"/>
  <c r="C149" i="111"/>
  <c r="D148" i="111"/>
  <c r="C148" i="111"/>
  <c r="D147" i="111"/>
  <c r="C147" i="111"/>
  <c r="D146" i="111"/>
  <c r="C146" i="111"/>
  <c r="D145" i="111"/>
  <c r="C145" i="111"/>
  <c r="D143" i="111"/>
  <c r="C143" i="111"/>
  <c r="D142" i="111"/>
  <c r="C142" i="111"/>
  <c r="D141" i="111"/>
  <c r="C141" i="111"/>
  <c r="D140" i="111"/>
  <c r="C140" i="111"/>
  <c r="D138" i="111"/>
  <c r="C138" i="111"/>
  <c r="D137" i="111"/>
  <c r="C137" i="111"/>
  <c r="D136" i="111"/>
  <c r="C136" i="111"/>
  <c r="D135" i="111"/>
  <c r="C135" i="111"/>
  <c r="D133" i="111"/>
  <c r="C133" i="111"/>
  <c r="D132" i="111"/>
  <c r="C132" i="111"/>
  <c r="D131" i="111"/>
  <c r="C131" i="111"/>
  <c r="D130" i="111"/>
  <c r="C130" i="111"/>
  <c r="D129" i="111"/>
  <c r="C129" i="111"/>
  <c r="D127" i="111"/>
  <c r="C127" i="111"/>
  <c r="D126" i="111"/>
  <c r="C126" i="111"/>
  <c r="D125" i="111"/>
  <c r="C125" i="111"/>
  <c r="D124" i="111"/>
  <c r="C124" i="111"/>
  <c r="D123" i="111"/>
  <c r="C123" i="111"/>
  <c r="D118" i="111"/>
  <c r="C118" i="111"/>
  <c r="D117" i="111"/>
  <c r="C117" i="111"/>
  <c r="D116" i="111"/>
  <c r="C116" i="111"/>
  <c r="D115" i="111"/>
  <c r="C115" i="111"/>
  <c r="D114" i="111"/>
  <c r="C114" i="111"/>
  <c r="D110" i="111"/>
  <c r="C110" i="111"/>
  <c r="D109" i="111"/>
  <c r="C109" i="111"/>
  <c r="D108" i="111"/>
  <c r="C108" i="111"/>
  <c r="D107" i="111"/>
  <c r="C107" i="111"/>
  <c r="D106" i="111"/>
  <c r="C106" i="111"/>
  <c r="D105" i="111"/>
  <c r="C105" i="111"/>
  <c r="D101" i="111"/>
  <c r="C101" i="111"/>
  <c r="D100" i="111"/>
  <c r="C100" i="111"/>
  <c r="D99" i="111"/>
  <c r="C99" i="111"/>
  <c r="D98" i="111"/>
  <c r="C98" i="111"/>
  <c r="D97" i="111"/>
  <c r="C97" i="111"/>
  <c r="D96" i="111"/>
  <c r="C96" i="111"/>
  <c r="D92" i="111"/>
  <c r="C92" i="111"/>
  <c r="D91" i="111"/>
  <c r="C91" i="111"/>
  <c r="D90" i="111"/>
  <c r="C90" i="111"/>
  <c r="D89" i="111"/>
  <c r="C89" i="111"/>
  <c r="D88" i="111"/>
  <c r="C88" i="111"/>
  <c r="D87" i="111"/>
  <c r="C87" i="111"/>
  <c r="D86" i="111"/>
  <c r="C86" i="111"/>
  <c r="D85" i="111"/>
  <c r="C85" i="111"/>
  <c r="D84" i="111"/>
  <c r="C84" i="111"/>
  <c r="D83" i="111"/>
  <c r="C83" i="111"/>
  <c r="D82" i="111"/>
  <c r="C82" i="111"/>
  <c r="D78" i="111"/>
  <c r="C78" i="111"/>
  <c r="D77" i="111"/>
  <c r="C77" i="111"/>
  <c r="D76" i="111"/>
  <c r="C76" i="111"/>
  <c r="D75" i="111"/>
  <c r="C75" i="111"/>
  <c r="D74" i="111"/>
  <c r="C74" i="111"/>
  <c r="D73" i="111"/>
  <c r="C73" i="111"/>
  <c r="D72" i="111"/>
  <c r="C72" i="111"/>
  <c r="D71" i="111"/>
  <c r="C71" i="111"/>
  <c r="D70" i="111"/>
  <c r="C70" i="111"/>
  <c r="D69" i="111"/>
  <c r="C69" i="111"/>
  <c r="D68" i="111"/>
  <c r="C68" i="111"/>
  <c r="D67" i="111"/>
  <c r="C67" i="111"/>
  <c r="D66" i="111"/>
  <c r="C66" i="111"/>
  <c r="D65" i="111"/>
  <c r="C65" i="111"/>
  <c r="D64" i="111"/>
  <c r="C64" i="111"/>
  <c r="D60" i="111"/>
  <c r="C60" i="111"/>
  <c r="D59" i="111"/>
  <c r="C59" i="111"/>
  <c r="D58" i="111"/>
  <c r="C58" i="111"/>
  <c r="D57" i="111"/>
  <c r="C57" i="111"/>
  <c r="D56" i="111"/>
  <c r="C56" i="111"/>
  <c r="D55" i="111"/>
  <c r="C55" i="111"/>
  <c r="D54" i="111"/>
  <c r="C54" i="111"/>
  <c r="D53" i="111"/>
  <c r="C53" i="111"/>
  <c r="D52" i="111"/>
  <c r="C52" i="111"/>
  <c r="D51" i="111"/>
  <c r="C51" i="111"/>
  <c r="D50" i="111"/>
  <c r="C50" i="111"/>
  <c r="D49" i="111"/>
  <c r="C49" i="111"/>
  <c r="D48" i="111"/>
  <c r="C48" i="111"/>
  <c r="D47" i="111"/>
  <c r="C47" i="111"/>
  <c r="D46" i="111"/>
  <c r="C46" i="111"/>
  <c r="D45" i="111"/>
  <c r="C45" i="111"/>
  <c r="D44" i="111"/>
  <c r="C44" i="111"/>
  <c r="D43" i="111"/>
  <c r="C43" i="111"/>
  <c r="D42" i="111"/>
  <c r="C42" i="111"/>
  <c r="D41" i="111"/>
  <c r="C41" i="111"/>
  <c r="D40" i="111"/>
  <c r="C40" i="111"/>
  <c r="D39" i="111"/>
  <c r="C39" i="111"/>
  <c r="D38" i="111"/>
  <c r="C38" i="111"/>
  <c r="D37" i="111"/>
  <c r="C37" i="111"/>
  <c r="D36" i="111"/>
  <c r="C36" i="111"/>
  <c r="D35" i="111"/>
  <c r="C35" i="111"/>
  <c r="D34" i="111"/>
  <c r="C34" i="111"/>
  <c r="D33" i="111"/>
  <c r="C33" i="111"/>
  <c r="D32" i="111"/>
  <c r="C32" i="111"/>
  <c r="D31" i="111"/>
  <c r="C31" i="111"/>
  <c r="D30" i="111"/>
  <c r="C30" i="111"/>
  <c r="D29" i="111"/>
  <c r="C29" i="111"/>
  <c r="D28" i="111"/>
  <c r="C28" i="111"/>
  <c r="D27" i="111"/>
  <c r="C27" i="111"/>
  <c r="D26" i="111"/>
  <c r="C26" i="111"/>
  <c r="D25" i="111"/>
  <c r="C25" i="111"/>
  <c r="D20" i="111"/>
  <c r="C20" i="111"/>
  <c r="D19" i="111"/>
  <c r="C19" i="111"/>
  <c r="D18" i="111"/>
  <c r="C18" i="111"/>
  <c r="D17" i="111"/>
  <c r="C17" i="111"/>
  <c r="D16" i="111"/>
  <c r="C16" i="111"/>
  <c r="D15" i="111"/>
  <c r="C15" i="111"/>
  <c r="D14" i="111"/>
  <c r="C14" i="111"/>
  <c r="D13" i="111"/>
  <c r="C13" i="111"/>
  <c r="D12" i="111"/>
  <c r="C12" i="111"/>
  <c r="D11" i="111"/>
  <c r="C11" i="111"/>
  <c r="D206" i="111" l="1"/>
  <c r="C61" i="111"/>
  <c r="C93" i="111"/>
  <c r="C111" i="111"/>
  <c r="C161" i="111"/>
  <c r="C208" i="111" s="1"/>
  <c r="C212" i="111" s="1"/>
  <c r="C228" i="111"/>
  <c r="D79" i="111"/>
  <c r="D111" i="111"/>
  <c r="D197" i="111"/>
  <c r="C79" i="111"/>
  <c r="C197" i="111"/>
  <c r="C206" i="111"/>
  <c r="C102" i="111"/>
  <c r="D21" i="111"/>
  <c r="D102" i="111"/>
  <c r="D119" i="111"/>
  <c r="C21" i="111"/>
  <c r="C119" i="111"/>
  <c r="D93" i="111"/>
  <c r="D161" i="111"/>
  <c r="D61" i="111"/>
  <c r="D208" i="111" l="1"/>
  <c r="D215" i="111" s="1"/>
  <c r="C215" i="111"/>
  <c r="G244" i="159" l="1"/>
  <c r="G243" i="159"/>
  <c r="G242" i="159"/>
  <c r="G241" i="159"/>
  <c r="C238" i="159"/>
  <c r="C237" i="159"/>
  <c r="C236" i="159"/>
  <c r="C235" i="159"/>
  <c r="C233" i="159"/>
  <c r="C232" i="159"/>
  <c r="C231" i="159"/>
  <c r="D228" i="159"/>
  <c r="C227" i="159"/>
  <c r="C226" i="159"/>
  <c r="C225" i="159"/>
  <c r="C224" i="159"/>
  <c r="C223" i="159"/>
  <c r="C222" i="159"/>
  <c r="C221" i="159"/>
  <c r="C220" i="159"/>
  <c r="C219" i="159"/>
  <c r="C211" i="159"/>
  <c r="D205" i="159"/>
  <c r="C205" i="159"/>
  <c r="D204" i="159"/>
  <c r="C204" i="159"/>
  <c r="D203" i="159"/>
  <c r="C203" i="159"/>
  <c r="D202" i="159"/>
  <c r="C202" i="159"/>
  <c r="D201" i="159"/>
  <c r="C201" i="159"/>
  <c r="D200" i="159"/>
  <c r="C200" i="159"/>
  <c r="D196" i="159"/>
  <c r="C196" i="159"/>
  <c r="D195" i="159"/>
  <c r="C195" i="159"/>
  <c r="D194" i="159"/>
  <c r="C194" i="159"/>
  <c r="D193" i="159"/>
  <c r="C193" i="159"/>
  <c r="D192" i="159"/>
  <c r="C192" i="159"/>
  <c r="D191" i="159"/>
  <c r="C191" i="159"/>
  <c r="D190" i="159"/>
  <c r="C190" i="159"/>
  <c r="D189" i="159"/>
  <c r="C189" i="159"/>
  <c r="D188" i="159"/>
  <c r="C188" i="159"/>
  <c r="D187" i="159"/>
  <c r="C187" i="159"/>
  <c r="D186" i="159"/>
  <c r="C186" i="159"/>
  <c r="D185" i="159"/>
  <c r="C185" i="159"/>
  <c r="D184" i="159"/>
  <c r="C184" i="159"/>
  <c r="D183" i="159"/>
  <c r="C183" i="159"/>
  <c r="D182" i="159"/>
  <c r="C182" i="159"/>
  <c r="D181" i="159"/>
  <c r="C181" i="159"/>
  <c r="D180" i="159"/>
  <c r="C180" i="159"/>
  <c r="D179" i="159"/>
  <c r="C179" i="159"/>
  <c r="D178" i="159"/>
  <c r="C178" i="159"/>
  <c r="D177" i="159"/>
  <c r="C177" i="159"/>
  <c r="D176" i="159"/>
  <c r="C176" i="159"/>
  <c r="D175" i="159"/>
  <c r="C175" i="159"/>
  <c r="D174" i="159"/>
  <c r="C174" i="159"/>
  <c r="D173" i="159"/>
  <c r="C173" i="159"/>
  <c r="D172" i="159"/>
  <c r="C172" i="159"/>
  <c r="D171" i="159"/>
  <c r="C171" i="159"/>
  <c r="D170" i="159"/>
  <c r="C170" i="159"/>
  <c r="D169" i="159"/>
  <c r="C169" i="159"/>
  <c r="D168" i="159"/>
  <c r="C168" i="159"/>
  <c r="D167" i="159"/>
  <c r="C167" i="159"/>
  <c r="D166" i="159"/>
  <c r="C166" i="159"/>
  <c r="D165" i="159"/>
  <c r="C165" i="159"/>
  <c r="D164" i="159"/>
  <c r="C164" i="159"/>
  <c r="D160" i="159"/>
  <c r="C160" i="159"/>
  <c r="D159" i="159"/>
  <c r="C159" i="159"/>
  <c r="D158" i="159"/>
  <c r="C158" i="159"/>
  <c r="D157" i="159"/>
  <c r="C157" i="159"/>
  <c r="D156" i="159"/>
  <c r="C156" i="159"/>
  <c r="D155" i="159"/>
  <c r="C155" i="159"/>
  <c r="D153" i="159"/>
  <c r="C153" i="159"/>
  <c r="D152" i="159"/>
  <c r="C152" i="159"/>
  <c r="D151" i="159"/>
  <c r="C151" i="159"/>
  <c r="D150" i="159"/>
  <c r="C150" i="159"/>
  <c r="D149" i="159"/>
  <c r="C149" i="159"/>
  <c r="D148" i="159"/>
  <c r="C148" i="159"/>
  <c r="D147" i="159"/>
  <c r="C147" i="159"/>
  <c r="D146" i="159"/>
  <c r="C146" i="159"/>
  <c r="D145" i="159"/>
  <c r="C145" i="159"/>
  <c r="D143" i="159"/>
  <c r="C143" i="159"/>
  <c r="D142" i="159"/>
  <c r="C142" i="159"/>
  <c r="D141" i="159"/>
  <c r="C141" i="159"/>
  <c r="D140" i="159"/>
  <c r="C140" i="159"/>
  <c r="D138" i="159"/>
  <c r="C138" i="159"/>
  <c r="D137" i="159"/>
  <c r="C137" i="159"/>
  <c r="D136" i="159"/>
  <c r="C136" i="159"/>
  <c r="D135" i="159"/>
  <c r="C135" i="159"/>
  <c r="D133" i="159"/>
  <c r="C133" i="159"/>
  <c r="D132" i="159"/>
  <c r="C132" i="159"/>
  <c r="D131" i="159"/>
  <c r="C131" i="159"/>
  <c r="D130" i="159"/>
  <c r="C130" i="159"/>
  <c r="D129" i="159"/>
  <c r="C129" i="159"/>
  <c r="D127" i="159"/>
  <c r="C127" i="159"/>
  <c r="D126" i="159"/>
  <c r="C126" i="159"/>
  <c r="D125" i="159"/>
  <c r="C125" i="159"/>
  <c r="D124" i="159"/>
  <c r="C124" i="159"/>
  <c r="D123" i="159"/>
  <c r="C123" i="159"/>
  <c r="D118" i="159"/>
  <c r="C118" i="159"/>
  <c r="D117" i="159"/>
  <c r="C117" i="159"/>
  <c r="D116" i="159"/>
  <c r="C116" i="159"/>
  <c r="D115" i="159"/>
  <c r="C115" i="159"/>
  <c r="D114" i="159"/>
  <c r="C114" i="159"/>
  <c r="D110" i="159"/>
  <c r="C110" i="159"/>
  <c r="D109" i="159"/>
  <c r="C109" i="159"/>
  <c r="D108" i="159"/>
  <c r="C108" i="159"/>
  <c r="D107" i="159"/>
  <c r="C107" i="159"/>
  <c r="D106" i="159"/>
  <c r="C106" i="159"/>
  <c r="D105" i="159"/>
  <c r="C105" i="159"/>
  <c r="D101" i="159"/>
  <c r="C101" i="159"/>
  <c r="D100" i="159"/>
  <c r="C100" i="159"/>
  <c r="D99" i="159"/>
  <c r="C99" i="159"/>
  <c r="D98" i="159"/>
  <c r="C98" i="159"/>
  <c r="D97" i="159"/>
  <c r="C97" i="159"/>
  <c r="D96" i="159"/>
  <c r="C96" i="159"/>
  <c r="D92" i="159"/>
  <c r="C92" i="159"/>
  <c r="D91" i="159"/>
  <c r="C91" i="159"/>
  <c r="D90" i="159"/>
  <c r="C90" i="159"/>
  <c r="D89" i="159"/>
  <c r="C89" i="159"/>
  <c r="D88" i="159"/>
  <c r="C88" i="159"/>
  <c r="D87" i="159"/>
  <c r="C87" i="159"/>
  <c r="D86" i="159"/>
  <c r="C86" i="159"/>
  <c r="D85" i="159"/>
  <c r="C85" i="159"/>
  <c r="D84" i="159"/>
  <c r="C84" i="159"/>
  <c r="D83" i="159"/>
  <c r="C83" i="159"/>
  <c r="D82" i="159"/>
  <c r="C82" i="159"/>
  <c r="D78" i="159"/>
  <c r="C78" i="159"/>
  <c r="D77" i="159"/>
  <c r="C77" i="159"/>
  <c r="D76" i="159"/>
  <c r="C76" i="159"/>
  <c r="D75" i="159"/>
  <c r="C75" i="159"/>
  <c r="D74" i="159"/>
  <c r="C74" i="159"/>
  <c r="D73" i="159"/>
  <c r="C73" i="159"/>
  <c r="D72" i="159"/>
  <c r="C72" i="159"/>
  <c r="D71" i="159"/>
  <c r="C71" i="159"/>
  <c r="D70" i="159"/>
  <c r="C70" i="159"/>
  <c r="D69" i="159"/>
  <c r="C69" i="159"/>
  <c r="D68" i="159"/>
  <c r="C68" i="159"/>
  <c r="D67" i="159"/>
  <c r="C67" i="159"/>
  <c r="D66" i="159"/>
  <c r="C66" i="159"/>
  <c r="D65" i="159"/>
  <c r="C65" i="159"/>
  <c r="D64" i="159"/>
  <c r="C64" i="159"/>
  <c r="D60" i="159"/>
  <c r="C60" i="159"/>
  <c r="D59" i="159"/>
  <c r="C59" i="159"/>
  <c r="D58" i="159"/>
  <c r="C58" i="159"/>
  <c r="D57" i="159"/>
  <c r="C57" i="159"/>
  <c r="D56" i="159"/>
  <c r="C56" i="159"/>
  <c r="D55" i="159"/>
  <c r="C55" i="159"/>
  <c r="D54" i="159"/>
  <c r="C54" i="159"/>
  <c r="D53" i="159"/>
  <c r="C53" i="159"/>
  <c r="D52" i="159"/>
  <c r="C52" i="159"/>
  <c r="D51" i="159"/>
  <c r="C51" i="159"/>
  <c r="D50" i="159"/>
  <c r="C50" i="159"/>
  <c r="D49" i="159"/>
  <c r="C49" i="159"/>
  <c r="D48" i="159"/>
  <c r="C48" i="159"/>
  <c r="D47" i="159"/>
  <c r="C47" i="159"/>
  <c r="D46" i="159"/>
  <c r="C46" i="159"/>
  <c r="D45" i="159"/>
  <c r="C45" i="159"/>
  <c r="D44" i="159"/>
  <c r="C44" i="159"/>
  <c r="D43" i="159"/>
  <c r="C43" i="159"/>
  <c r="D42" i="159"/>
  <c r="C42" i="159"/>
  <c r="D41" i="159"/>
  <c r="C41" i="159"/>
  <c r="D40" i="159"/>
  <c r="C40" i="159"/>
  <c r="D39" i="159"/>
  <c r="C39" i="159"/>
  <c r="D38" i="159"/>
  <c r="C38" i="159"/>
  <c r="D37" i="159"/>
  <c r="C37" i="159"/>
  <c r="D36" i="159"/>
  <c r="C36" i="159"/>
  <c r="D35" i="159"/>
  <c r="C35" i="159"/>
  <c r="D34" i="159"/>
  <c r="C34" i="159"/>
  <c r="D33" i="159"/>
  <c r="C33" i="159"/>
  <c r="D32" i="159"/>
  <c r="C32" i="159"/>
  <c r="D31" i="159"/>
  <c r="C31" i="159"/>
  <c r="D30" i="159"/>
  <c r="C30" i="159"/>
  <c r="D29" i="159"/>
  <c r="C29" i="159"/>
  <c r="D28" i="159"/>
  <c r="C28" i="159"/>
  <c r="D27" i="159"/>
  <c r="C27" i="159"/>
  <c r="D26" i="159"/>
  <c r="C26" i="159"/>
  <c r="D25" i="159"/>
  <c r="C25" i="159"/>
  <c r="D20" i="159"/>
  <c r="C20" i="159"/>
  <c r="D19" i="159"/>
  <c r="C19" i="159"/>
  <c r="D18" i="159"/>
  <c r="C18" i="159"/>
  <c r="D17" i="159"/>
  <c r="C17" i="159"/>
  <c r="D16" i="159"/>
  <c r="C16" i="159"/>
  <c r="D15" i="159"/>
  <c r="C15" i="159"/>
  <c r="D14" i="159"/>
  <c r="C14" i="159"/>
  <c r="D13" i="159"/>
  <c r="C13" i="159"/>
  <c r="D12" i="159"/>
  <c r="C12" i="159"/>
  <c r="D11" i="159"/>
  <c r="C11" i="159"/>
  <c r="C21" i="159" l="1"/>
  <c r="C102" i="159"/>
  <c r="D21" i="159"/>
  <c r="D102" i="159"/>
  <c r="C119" i="159"/>
  <c r="C61" i="159"/>
  <c r="C208" i="159" s="1"/>
  <c r="C212" i="159" s="1"/>
  <c r="C111" i="159"/>
  <c r="D93" i="159"/>
  <c r="D111" i="159"/>
  <c r="D161" i="159"/>
  <c r="D197" i="159"/>
  <c r="C79" i="159"/>
  <c r="C197" i="159"/>
  <c r="C206" i="159"/>
  <c r="C93" i="159"/>
  <c r="D79" i="159"/>
  <c r="D119" i="159"/>
  <c r="D206" i="159"/>
  <c r="C228" i="159"/>
  <c r="C161" i="159"/>
  <c r="D61" i="159"/>
  <c r="D208" i="159" s="1"/>
  <c r="D215" i="159" s="1"/>
  <c r="C215" i="159" l="1"/>
  <c r="G244" i="20" l="1"/>
  <c r="G243" i="20"/>
  <c r="G242" i="20"/>
  <c r="G241" i="20"/>
  <c r="C238" i="20"/>
  <c r="C237" i="20"/>
  <c r="C236" i="20"/>
  <c r="C235" i="20"/>
  <c r="C233" i="20"/>
  <c r="C232" i="20"/>
  <c r="C231" i="20"/>
  <c r="D228" i="20"/>
  <c r="C227" i="20"/>
  <c r="C226" i="20"/>
  <c r="C225" i="20"/>
  <c r="C224" i="20"/>
  <c r="C223" i="20"/>
  <c r="C222" i="20"/>
  <c r="C221" i="20"/>
  <c r="C220" i="20"/>
  <c r="C219" i="20"/>
  <c r="C211" i="20"/>
  <c r="D205" i="20"/>
  <c r="C205" i="20"/>
  <c r="D204" i="20"/>
  <c r="C204" i="20"/>
  <c r="D203" i="20"/>
  <c r="C203" i="20"/>
  <c r="D202" i="20"/>
  <c r="C202" i="20"/>
  <c r="D201" i="20"/>
  <c r="C201" i="20"/>
  <c r="D200" i="20"/>
  <c r="C200" i="20"/>
  <c r="D196" i="20"/>
  <c r="C196" i="20"/>
  <c r="D195" i="20"/>
  <c r="C195" i="20"/>
  <c r="D194" i="20"/>
  <c r="C194" i="20"/>
  <c r="D193" i="20"/>
  <c r="C193" i="20"/>
  <c r="D192" i="20"/>
  <c r="C192" i="20"/>
  <c r="D191" i="20"/>
  <c r="C191" i="20"/>
  <c r="D190" i="20"/>
  <c r="C190" i="20"/>
  <c r="D189" i="20"/>
  <c r="C189" i="20"/>
  <c r="D188" i="20"/>
  <c r="C188" i="20"/>
  <c r="D187" i="20"/>
  <c r="C187" i="20"/>
  <c r="D186" i="20"/>
  <c r="C186" i="20"/>
  <c r="D185" i="20"/>
  <c r="C185" i="20"/>
  <c r="D184" i="20"/>
  <c r="C184" i="20"/>
  <c r="D183" i="20"/>
  <c r="C183" i="20"/>
  <c r="D182" i="20"/>
  <c r="C182" i="20"/>
  <c r="D181" i="20"/>
  <c r="C181" i="20"/>
  <c r="D180" i="20"/>
  <c r="C180" i="20"/>
  <c r="D179" i="20"/>
  <c r="C179" i="20"/>
  <c r="D178" i="20"/>
  <c r="C178" i="20"/>
  <c r="D177" i="20"/>
  <c r="C177" i="20"/>
  <c r="D176" i="20"/>
  <c r="C176" i="20"/>
  <c r="D175" i="20"/>
  <c r="C175" i="20"/>
  <c r="D174" i="20"/>
  <c r="C174" i="20"/>
  <c r="D173" i="20"/>
  <c r="C173" i="20"/>
  <c r="D172" i="20"/>
  <c r="C172" i="20"/>
  <c r="D171" i="20"/>
  <c r="C171" i="20"/>
  <c r="D170" i="20"/>
  <c r="C170" i="20"/>
  <c r="D169" i="20"/>
  <c r="C169" i="20"/>
  <c r="D168" i="20"/>
  <c r="C168" i="20"/>
  <c r="D167" i="20"/>
  <c r="C167" i="20"/>
  <c r="D166" i="20"/>
  <c r="C166" i="20"/>
  <c r="D165" i="20"/>
  <c r="C165" i="20"/>
  <c r="D164" i="20"/>
  <c r="C164" i="20"/>
  <c r="D160" i="20"/>
  <c r="C160" i="20"/>
  <c r="D159" i="20"/>
  <c r="C159" i="20"/>
  <c r="D158" i="20"/>
  <c r="C158" i="20"/>
  <c r="D157" i="20"/>
  <c r="C157" i="20"/>
  <c r="D156" i="20"/>
  <c r="C156" i="20"/>
  <c r="D155" i="20"/>
  <c r="C155" i="20"/>
  <c r="D153" i="20"/>
  <c r="C153" i="20"/>
  <c r="D152" i="20"/>
  <c r="C152" i="20"/>
  <c r="D151" i="20"/>
  <c r="C151" i="20"/>
  <c r="D150" i="20"/>
  <c r="C150" i="20"/>
  <c r="D149" i="20"/>
  <c r="C149" i="20"/>
  <c r="D148" i="20"/>
  <c r="C148" i="20"/>
  <c r="D147" i="20"/>
  <c r="C147" i="20"/>
  <c r="D146" i="20"/>
  <c r="C146" i="20"/>
  <c r="D145" i="20"/>
  <c r="C145" i="20"/>
  <c r="D143" i="20"/>
  <c r="C143" i="20"/>
  <c r="D142" i="20"/>
  <c r="C142" i="20"/>
  <c r="D141" i="20"/>
  <c r="C141" i="20"/>
  <c r="D140" i="20"/>
  <c r="C140" i="20"/>
  <c r="D138" i="20"/>
  <c r="C138" i="20"/>
  <c r="D137" i="20"/>
  <c r="C137" i="20"/>
  <c r="D136" i="20"/>
  <c r="C136" i="20"/>
  <c r="D135" i="20"/>
  <c r="C135" i="20"/>
  <c r="D133" i="20"/>
  <c r="C133" i="20"/>
  <c r="D132" i="20"/>
  <c r="C132" i="20"/>
  <c r="D131" i="20"/>
  <c r="C131" i="20"/>
  <c r="D130" i="20"/>
  <c r="C130" i="20"/>
  <c r="D129" i="20"/>
  <c r="C129" i="20"/>
  <c r="D127" i="20"/>
  <c r="C127" i="20"/>
  <c r="D126" i="20"/>
  <c r="C126" i="20"/>
  <c r="D125" i="20"/>
  <c r="C125" i="20"/>
  <c r="D124" i="20"/>
  <c r="C124" i="20"/>
  <c r="D123" i="20"/>
  <c r="C123" i="20"/>
  <c r="D118" i="20"/>
  <c r="C118" i="20"/>
  <c r="D117" i="20"/>
  <c r="C117" i="20"/>
  <c r="D116" i="20"/>
  <c r="C116" i="20"/>
  <c r="D115" i="20"/>
  <c r="C115" i="20"/>
  <c r="D114" i="20"/>
  <c r="D119" i="20" s="1"/>
  <c r="C114" i="20"/>
  <c r="D110" i="20"/>
  <c r="C110" i="20"/>
  <c r="D109" i="20"/>
  <c r="C109" i="20"/>
  <c r="D108" i="20"/>
  <c r="C108" i="20"/>
  <c r="D107" i="20"/>
  <c r="C107" i="20"/>
  <c r="D106" i="20"/>
  <c r="C106" i="20"/>
  <c r="D105" i="20"/>
  <c r="C105" i="20"/>
  <c r="D101" i="20"/>
  <c r="C101" i="20"/>
  <c r="D100" i="20"/>
  <c r="C100" i="20"/>
  <c r="D99" i="20"/>
  <c r="C99" i="20"/>
  <c r="D98" i="20"/>
  <c r="C98" i="20"/>
  <c r="D97" i="20"/>
  <c r="C97" i="20"/>
  <c r="D96" i="20"/>
  <c r="D102" i="20" s="1"/>
  <c r="C96" i="20"/>
  <c r="D92" i="20"/>
  <c r="C92" i="20"/>
  <c r="D91" i="20"/>
  <c r="C91" i="20"/>
  <c r="D90" i="20"/>
  <c r="C90" i="20"/>
  <c r="D89" i="20"/>
  <c r="C89" i="20"/>
  <c r="D88" i="20"/>
  <c r="C88" i="20"/>
  <c r="D87" i="20"/>
  <c r="C87" i="20"/>
  <c r="D86" i="20"/>
  <c r="C86" i="20"/>
  <c r="D85" i="20"/>
  <c r="C85" i="20"/>
  <c r="D84" i="20"/>
  <c r="C84" i="20"/>
  <c r="D83" i="20"/>
  <c r="C83" i="20"/>
  <c r="D82" i="20"/>
  <c r="C82" i="20"/>
  <c r="D78" i="20"/>
  <c r="C78" i="20"/>
  <c r="D77" i="20"/>
  <c r="C77" i="20"/>
  <c r="D76" i="20"/>
  <c r="C76" i="20"/>
  <c r="D75" i="20"/>
  <c r="C75" i="20"/>
  <c r="D74" i="20"/>
  <c r="C74" i="20"/>
  <c r="D73" i="20"/>
  <c r="C73" i="20"/>
  <c r="D72" i="20"/>
  <c r="C72" i="20"/>
  <c r="D71" i="20"/>
  <c r="C71" i="20"/>
  <c r="D70" i="20"/>
  <c r="C70" i="20"/>
  <c r="D69" i="20"/>
  <c r="C69" i="20"/>
  <c r="D68" i="20"/>
  <c r="C68" i="20"/>
  <c r="D67" i="20"/>
  <c r="C67" i="20"/>
  <c r="D66" i="20"/>
  <c r="C66" i="20"/>
  <c r="D65" i="20"/>
  <c r="C65" i="20"/>
  <c r="D64" i="20"/>
  <c r="C64" i="20"/>
  <c r="D60" i="20"/>
  <c r="C60" i="20"/>
  <c r="D59" i="20"/>
  <c r="C59" i="20"/>
  <c r="D58" i="20"/>
  <c r="C58" i="20"/>
  <c r="D57" i="20"/>
  <c r="C57" i="20"/>
  <c r="D56" i="20"/>
  <c r="C56" i="20"/>
  <c r="D55" i="20"/>
  <c r="C55" i="20"/>
  <c r="D54" i="20"/>
  <c r="C54" i="20"/>
  <c r="D53" i="20"/>
  <c r="C53" i="20"/>
  <c r="D52" i="20"/>
  <c r="C52" i="20"/>
  <c r="D51" i="20"/>
  <c r="C51" i="20"/>
  <c r="D50" i="20"/>
  <c r="C50" i="20"/>
  <c r="D49" i="20"/>
  <c r="C49" i="20"/>
  <c r="D48" i="20"/>
  <c r="C48" i="20"/>
  <c r="D47" i="20"/>
  <c r="C47" i="20"/>
  <c r="D46" i="20"/>
  <c r="C46" i="20"/>
  <c r="D45" i="20"/>
  <c r="C45" i="20"/>
  <c r="D44" i="20"/>
  <c r="C44" i="20"/>
  <c r="D43" i="20"/>
  <c r="C43" i="20"/>
  <c r="D42" i="20"/>
  <c r="C42" i="20"/>
  <c r="D41" i="20"/>
  <c r="C41" i="20"/>
  <c r="D40" i="20"/>
  <c r="C40" i="20"/>
  <c r="D39" i="20"/>
  <c r="C39" i="20"/>
  <c r="D38" i="20"/>
  <c r="C38" i="20"/>
  <c r="D37" i="20"/>
  <c r="C37" i="20"/>
  <c r="D36" i="20"/>
  <c r="C36" i="20"/>
  <c r="D35" i="20"/>
  <c r="C35" i="20"/>
  <c r="D34" i="20"/>
  <c r="C34" i="20"/>
  <c r="D33" i="20"/>
  <c r="C33" i="20"/>
  <c r="D32" i="20"/>
  <c r="C32" i="20"/>
  <c r="D31" i="20"/>
  <c r="C31" i="20"/>
  <c r="D30" i="20"/>
  <c r="C30" i="20"/>
  <c r="D29" i="20"/>
  <c r="C29" i="20"/>
  <c r="D28" i="20"/>
  <c r="C28" i="20"/>
  <c r="D27" i="20"/>
  <c r="C27" i="20"/>
  <c r="D26" i="20"/>
  <c r="C26" i="20"/>
  <c r="D25" i="20"/>
  <c r="C25" i="20"/>
  <c r="D20" i="20"/>
  <c r="C20" i="20"/>
  <c r="D19" i="20"/>
  <c r="C19" i="20"/>
  <c r="D18" i="20"/>
  <c r="C18" i="20"/>
  <c r="D17" i="20"/>
  <c r="C17" i="20"/>
  <c r="D16" i="20"/>
  <c r="C16" i="20"/>
  <c r="D15" i="20"/>
  <c r="C15" i="20"/>
  <c r="D14" i="20"/>
  <c r="C14" i="20"/>
  <c r="D13" i="20"/>
  <c r="C13" i="20"/>
  <c r="D12" i="20"/>
  <c r="C12" i="20"/>
  <c r="D11" i="20"/>
  <c r="D21" i="20" s="1"/>
  <c r="C11" i="20"/>
  <c r="C119" i="20" l="1"/>
  <c r="D93" i="20"/>
  <c r="D161" i="20"/>
  <c r="D79" i="20"/>
  <c r="C79" i="20"/>
  <c r="D197" i="20"/>
  <c r="C111" i="20"/>
  <c r="C161" i="20"/>
  <c r="C197" i="20"/>
  <c r="C206" i="20"/>
  <c r="C93" i="20"/>
  <c r="D111" i="20"/>
  <c r="C228" i="20"/>
  <c r="C21" i="20"/>
  <c r="C102" i="20"/>
  <c r="D206" i="20"/>
  <c r="D61" i="20"/>
  <c r="C61" i="20"/>
  <c r="C208" i="20" l="1"/>
  <c r="C212" i="20" s="1"/>
  <c r="D208" i="20"/>
  <c r="D215" i="20" s="1"/>
  <c r="C215" i="20" l="1"/>
  <c r="G244" i="32"/>
  <c r="G243" i="32"/>
  <c r="G242" i="32"/>
  <c r="G241" i="32"/>
  <c r="C238" i="32"/>
  <c r="C237" i="32"/>
  <c r="C236" i="32"/>
  <c r="C235" i="32"/>
  <c r="C233" i="32"/>
  <c r="C232" i="32"/>
  <c r="C231" i="32"/>
  <c r="D228" i="32"/>
  <c r="C227" i="32"/>
  <c r="C226" i="32"/>
  <c r="C225" i="32"/>
  <c r="C224" i="32"/>
  <c r="C223" i="32"/>
  <c r="C222" i="32"/>
  <c r="C221" i="32"/>
  <c r="C220" i="32"/>
  <c r="C219" i="32"/>
  <c r="C211" i="32"/>
  <c r="D205" i="32"/>
  <c r="C205" i="32"/>
  <c r="D204" i="32"/>
  <c r="C204" i="32"/>
  <c r="D203" i="32"/>
  <c r="C203" i="32"/>
  <c r="D202" i="32"/>
  <c r="C202" i="32"/>
  <c r="D201" i="32"/>
  <c r="C201" i="32"/>
  <c r="D200" i="32"/>
  <c r="C200" i="32"/>
  <c r="D196" i="32"/>
  <c r="C196" i="32"/>
  <c r="D195" i="32"/>
  <c r="C195" i="32"/>
  <c r="D194" i="32"/>
  <c r="C194" i="32"/>
  <c r="D193" i="32"/>
  <c r="C193" i="32"/>
  <c r="D192" i="32"/>
  <c r="C192" i="32"/>
  <c r="D191" i="32"/>
  <c r="C191" i="32"/>
  <c r="D190" i="32"/>
  <c r="C190" i="32"/>
  <c r="D189" i="32"/>
  <c r="C189" i="32"/>
  <c r="D188" i="32"/>
  <c r="C188" i="32"/>
  <c r="D187" i="32"/>
  <c r="C187" i="32"/>
  <c r="D186" i="32"/>
  <c r="C186" i="32"/>
  <c r="D185" i="32"/>
  <c r="C185" i="32"/>
  <c r="D184" i="32"/>
  <c r="C184" i="32"/>
  <c r="D183" i="32"/>
  <c r="C183" i="32"/>
  <c r="D182" i="32"/>
  <c r="C182" i="32"/>
  <c r="D181" i="32"/>
  <c r="C181" i="32"/>
  <c r="D180" i="32"/>
  <c r="C180" i="32"/>
  <c r="D179" i="32"/>
  <c r="C179" i="32"/>
  <c r="D178" i="32"/>
  <c r="C178" i="32"/>
  <c r="D177" i="32"/>
  <c r="C177" i="32"/>
  <c r="D176" i="32"/>
  <c r="C176" i="32"/>
  <c r="D175" i="32"/>
  <c r="C175" i="32"/>
  <c r="D174" i="32"/>
  <c r="C174" i="32"/>
  <c r="D173" i="32"/>
  <c r="C173" i="32"/>
  <c r="D172" i="32"/>
  <c r="C172" i="32"/>
  <c r="D171" i="32"/>
  <c r="C171" i="32"/>
  <c r="D170" i="32"/>
  <c r="C170" i="32"/>
  <c r="D169" i="32"/>
  <c r="C169" i="32"/>
  <c r="D168" i="32"/>
  <c r="C168" i="32"/>
  <c r="D167" i="32"/>
  <c r="C167" i="32"/>
  <c r="D166" i="32"/>
  <c r="C166" i="32"/>
  <c r="D165" i="32"/>
  <c r="C165" i="32"/>
  <c r="D164" i="32"/>
  <c r="C164" i="32"/>
  <c r="D160" i="32"/>
  <c r="C160" i="32"/>
  <c r="D159" i="32"/>
  <c r="C159" i="32"/>
  <c r="D158" i="32"/>
  <c r="C158" i="32"/>
  <c r="D157" i="32"/>
  <c r="C157" i="32"/>
  <c r="D156" i="32"/>
  <c r="C156" i="32"/>
  <c r="D155" i="32"/>
  <c r="C155" i="32"/>
  <c r="D153" i="32"/>
  <c r="C153" i="32"/>
  <c r="D152" i="32"/>
  <c r="C152" i="32"/>
  <c r="D151" i="32"/>
  <c r="C151" i="32"/>
  <c r="D150" i="32"/>
  <c r="C150" i="32"/>
  <c r="D149" i="32"/>
  <c r="C149" i="32"/>
  <c r="D148" i="32"/>
  <c r="C148" i="32"/>
  <c r="D147" i="32"/>
  <c r="C147" i="32"/>
  <c r="D146" i="32"/>
  <c r="C146" i="32"/>
  <c r="D145" i="32"/>
  <c r="C145" i="32"/>
  <c r="D143" i="32"/>
  <c r="C143" i="32"/>
  <c r="D142" i="32"/>
  <c r="C142" i="32"/>
  <c r="D141" i="32"/>
  <c r="C141" i="32"/>
  <c r="D140" i="32"/>
  <c r="C140" i="32"/>
  <c r="D138" i="32"/>
  <c r="C138" i="32"/>
  <c r="D137" i="32"/>
  <c r="C137" i="32"/>
  <c r="D136" i="32"/>
  <c r="C136" i="32"/>
  <c r="D135" i="32"/>
  <c r="C135" i="32"/>
  <c r="D133" i="32"/>
  <c r="C133" i="32"/>
  <c r="D132" i="32"/>
  <c r="C132" i="32"/>
  <c r="D131" i="32"/>
  <c r="C131" i="32"/>
  <c r="D130" i="32"/>
  <c r="C130" i="32"/>
  <c r="D129" i="32"/>
  <c r="C129" i="32"/>
  <c r="D127" i="32"/>
  <c r="C127" i="32"/>
  <c r="D126" i="32"/>
  <c r="C126" i="32"/>
  <c r="D125" i="32"/>
  <c r="C125" i="32"/>
  <c r="D124" i="32"/>
  <c r="C124" i="32"/>
  <c r="D123" i="32"/>
  <c r="C123" i="32"/>
  <c r="D118" i="32"/>
  <c r="C118" i="32"/>
  <c r="D117" i="32"/>
  <c r="C117" i="32"/>
  <c r="D116" i="32"/>
  <c r="C116" i="32"/>
  <c r="D115" i="32"/>
  <c r="C115" i="32"/>
  <c r="D114" i="32"/>
  <c r="C114" i="32"/>
  <c r="D110" i="32"/>
  <c r="C110" i="32"/>
  <c r="D109" i="32"/>
  <c r="C109" i="32"/>
  <c r="D108" i="32"/>
  <c r="C108" i="32"/>
  <c r="D107" i="32"/>
  <c r="C107" i="32"/>
  <c r="D106" i="32"/>
  <c r="C106" i="32"/>
  <c r="D105" i="32"/>
  <c r="C105" i="32"/>
  <c r="D101" i="32"/>
  <c r="C101" i="32"/>
  <c r="D100" i="32"/>
  <c r="C100" i="32"/>
  <c r="D99" i="32"/>
  <c r="C99" i="32"/>
  <c r="D98" i="32"/>
  <c r="C98" i="32"/>
  <c r="D97" i="32"/>
  <c r="C97" i="32"/>
  <c r="D96" i="32"/>
  <c r="C96" i="32"/>
  <c r="D92" i="32"/>
  <c r="C92" i="32"/>
  <c r="D91" i="32"/>
  <c r="C91" i="32"/>
  <c r="D90" i="32"/>
  <c r="C90" i="32"/>
  <c r="D89" i="32"/>
  <c r="C89" i="32"/>
  <c r="D88" i="32"/>
  <c r="C88" i="32"/>
  <c r="D87" i="32"/>
  <c r="C87" i="32"/>
  <c r="D86" i="32"/>
  <c r="C86" i="32"/>
  <c r="D85" i="32"/>
  <c r="C85" i="32"/>
  <c r="D84" i="32"/>
  <c r="C84" i="32"/>
  <c r="D83" i="32"/>
  <c r="C83" i="32"/>
  <c r="D82" i="32"/>
  <c r="C82" i="32"/>
  <c r="D78" i="32"/>
  <c r="C78" i="32"/>
  <c r="D77" i="32"/>
  <c r="C77" i="32"/>
  <c r="D76" i="32"/>
  <c r="C76" i="32"/>
  <c r="D75" i="32"/>
  <c r="C75" i="32"/>
  <c r="D74" i="32"/>
  <c r="C74" i="32"/>
  <c r="D73" i="32"/>
  <c r="C73" i="32"/>
  <c r="D72" i="32"/>
  <c r="C72" i="32"/>
  <c r="D71" i="32"/>
  <c r="C71" i="32"/>
  <c r="D70" i="32"/>
  <c r="C70" i="32"/>
  <c r="D69" i="32"/>
  <c r="C69" i="32"/>
  <c r="D68" i="32"/>
  <c r="C68" i="32"/>
  <c r="D67" i="32"/>
  <c r="C67" i="32"/>
  <c r="D66" i="32"/>
  <c r="C66" i="32"/>
  <c r="D65" i="32"/>
  <c r="C65" i="32"/>
  <c r="D64" i="32"/>
  <c r="C64" i="32"/>
  <c r="D60" i="32"/>
  <c r="C60" i="32"/>
  <c r="D59" i="32"/>
  <c r="C59" i="32"/>
  <c r="D58" i="32"/>
  <c r="C58" i="32"/>
  <c r="D57" i="32"/>
  <c r="C57" i="32"/>
  <c r="D56" i="32"/>
  <c r="C56" i="32"/>
  <c r="D55" i="32"/>
  <c r="C55" i="32"/>
  <c r="D54" i="32"/>
  <c r="C54" i="32"/>
  <c r="D53" i="32"/>
  <c r="C53" i="32"/>
  <c r="D52" i="32"/>
  <c r="C52" i="32"/>
  <c r="D51" i="32"/>
  <c r="C51" i="32"/>
  <c r="D50" i="32"/>
  <c r="C50" i="32"/>
  <c r="D49" i="32"/>
  <c r="C49" i="32"/>
  <c r="D48" i="32"/>
  <c r="C48" i="32"/>
  <c r="D47" i="32"/>
  <c r="C47" i="32"/>
  <c r="D46" i="32"/>
  <c r="C46" i="32"/>
  <c r="D45" i="32"/>
  <c r="C45" i="32"/>
  <c r="D44" i="32"/>
  <c r="C44" i="32"/>
  <c r="D43" i="32"/>
  <c r="C43" i="32"/>
  <c r="D42" i="32"/>
  <c r="C42" i="32"/>
  <c r="D41" i="32"/>
  <c r="C41" i="32"/>
  <c r="D40" i="32"/>
  <c r="C40" i="32"/>
  <c r="D39" i="32"/>
  <c r="C39" i="32"/>
  <c r="D38" i="32"/>
  <c r="C38" i="32"/>
  <c r="D37" i="32"/>
  <c r="C37" i="32"/>
  <c r="D36" i="32"/>
  <c r="C36" i="32"/>
  <c r="D35" i="32"/>
  <c r="C35" i="32"/>
  <c r="D34" i="32"/>
  <c r="C34" i="32"/>
  <c r="D33" i="32"/>
  <c r="C33" i="32"/>
  <c r="D32" i="32"/>
  <c r="C32" i="32"/>
  <c r="D31" i="32"/>
  <c r="C31" i="32"/>
  <c r="D30" i="32"/>
  <c r="C30" i="32"/>
  <c r="D29" i="32"/>
  <c r="C29" i="32"/>
  <c r="D28" i="32"/>
  <c r="C28" i="32"/>
  <c r="D27" i="32"/>
  <c r="C27" i="32"/>
  <c r="D26" i="32"/>
  <c r="C26" i="32"/>
  <c r="D25" i="32"/>
  <c r="C25" i="32"/>
  <c r="D20" i="32"/>
  <c r="C20" i="32"/>
  <c r="D19" i="32"/>
  <c r="C19" i="32"/>
  <c r="D18" i="32"/>
  <c r="C18" i="32"/>
  <c r="D17" i="32"/>
  <c r="C17" i="32"/>
  <c r="D16" i="32"/>
  <c r="C16" i="32"/>
  <c r="D15" i="32"/>
  <c r="C15" i="32"/>
  <c r="D14" i="32"/>
  <c r="C14" i="32"/>
  <c r="D13" i="32"/>
  <c r="C13" i="32"/>
  <c r="D12" i="32"/>
  <c r="C12" i="32"/>
  <c r="D11" i="32"/>
  <c r="C11" i="32"/>
  <c r="D93" i="32" l="1"/>
  <c r="D161" i="32"/>
  <c r="C21" i="32"/>
  <c r="C102" i="32"/>
  <c r="C119" i="32"/>
  <c r="D21" i="32"/>
  <c r="D102" i="32"/>
  <c r="D119" i="32"/>
  <c r="C93" i="32"/>
  <c r="C161" i="32"/>
  <c r="C228" i="32"/>
  <c r="C79" i="32"/>
  <c r="C111" i="32"/>
  <c r="C197" i="32"/>
  <c r="D79" i="32"/>
  <c r="D111" i="32"/>
  <c r="D197" i="32"/>
  <c r="C206" i="32"/>
  <c r="D206" i="32"/>
  <c r="C61" i="32"/>
  <c r="C208" i="32" s="1"/>
  <c r="D61" i="32"/>
  <c r="D208" i="32" l="1"/>
  <c r="D215" i="32" s="1"/>
  <c r="C212" i="32"/>
  <c r="C215" i="32"/>
  <c r="G244" i="33" l="1"/>
  <c r="G243" i="33"/>
  <c r="G242" i="33"/>
  <c r="G241" i="33"/>
  <c r="C238" i="33"/>
  <c r="C237" i="33"/>
  <c r="C236" i="33"/>
  <c r="C235" i="33"/>
  <c r="C233" i="33"/>
  <c r="C232" i="33"/>
  <c r="C231" i="33"/>
  <c r="D228" i="33"/>
  <c r="C227" i="33"/>
  <c r="C226" i="33"/>
  <c r="C225" i="33"/>
  <c r="C224" i="33"/>
  <c r="C223" i="33"/>
  <c r="C222" i="33"/>
  <c r="C221" i="33"/>
  <c r="C220" i="33"/>
  <c r="C219" i="33"/>
  <c r="C211" i="33"/>
  <c r="D205" i="33"/>
  <c r="C205" i="33"/>
  <c r="D204" i="33"/>
  <c r="C204" i="33"/>
  <c r="D203" i="33"/>
  <c r="C203" i="33"/>
  <c r="D202" i="33"/>
  <c r="C202" i="33"/>
  <c r="D201" i="33"/>
  <c r="C201" i="33"/>
  <c r="D200" i="33"/>
  <c r="C200" i="33"/>
  <c r="D196" i="33"/>
  <c r="C196" i="33"/>
  <c r="D195" i="33"/>
  <c r="C195" i="33"/>
  <c r="D194" i="33"/>
  <c r="C194" i="33"/>
  <c r="D193" i="33"/>
  <c r="C193" i="33"/>
  <c r="D192" i="33"/>
  <c r="C192" i="33"/>
  <c r="D191" i="33"/>
  <c r="C191" i="33"/>
  <c r="D190" i="33"/>
  <c r="C190" i="33"/>
  <c r="D189" i="33"/>
  <c r="C189" i="33"/>
  <c r="D188" i="33"/>
  <c r="C188" i="33"/>
  <c r="D187" i="33"/>
  <c r="C187" i="33"/>
  <c r="D186" i="33"/>
  <c r="C186" i="33"/>
  <c r="D185" i="33"/>
  <c r="C185" i="33"/>
  <c r="D184" i="33"/>
  <c r="C184" i="33"/>
  <c r="D183" i="33"/>
  <c r="C183" i="33"/>
  <c r="D182" i="33"/>
  <c r="C182" i="33"/>
  <c r="D181" i="33"/>
  <c r="C181" i="33"/>
  <c r="D180" i="33"/>
  <c r="C180" i="33"/>
  <c r="D179" i="33"/>
  <c r="C179" i="33"/>
  <c r="D178" i="33"/>
  <c r="C178" i="33"/>
  <c r="D177" i="33"/>
  <c r="C177" i="33"/>
  <c r="D176" i="33"/>
  <c r="C176" i="33"/>
  <c r="D175" i="33"/>
  <c r="C175" i="33"/>
  <c r="D174" i="33"/>
  <c r="C174" i="33"/>
  <c r="D173" i="33"/>
  <c r="C173" i="33"/>
  <c r="D172" i="33"/>
  <c r="C172" i="33"/>
  <c r="D171" i="33"/>
  <c r="C171" i="33"/>
  <c r="D170" i="33"/>
  <c r="C170" i="33"/>
  <c r="D169" i="33"/>
  <c r="C169" i="33"/>
  <c r="D168" i="33"/>
  <c r="C168" i="33"/>
  <c r="D167" i="33"/>
  <c r="C167" i="33"/>
  <c r="D166" i="33"/>
  <c r="C166" i="33"/>
  <c r="D165" i="33"/>
  <c r="C165" i="33"/>
  <c r="D164" i="33"/>
  <c r="C164" i="33"/>
  <c r="D160" i="33"/>
  <c r="C160" i="33"/>
  <c r="D159" i="33"/>
  <c r="C159" i="33"/>
  <c r="D158" i="33"/>
  <c r="C158" i="33"/>
  <c r="D157" i="33"/>
  <c r="C157" i="33"/>
  <c r="D156" i="33"/>
  <c r="C156" i="33"/>
  <c r="D155" i="33"/>
  <c r="C155" i="33"/>
  <c r="D153" i="33"/>
  <c r="C153" i="33"/>
  <c r="D152" i="33"/>
  <c r="C152" i="33"/>
  <c r="D151" i="33"/>
  <c r="C151" i="33"/>
  <c r="D150" i="33"/>
  <c r="C150" i="33"/>
  <c r="D149" i="33"/>
  <c r="C149" i="33"/>
  <c r="D148" i="33"/>
  <c r="C148" i="33"/>
  <c r="D147" i="33"/>
  <c r="C147" i="33"/>
  <c r="D146" i="33"/>
  <c r="C146" i="33"/>
  <c r="D145" i="33"/>
  <c r="C145" i="33"/>
  <c r="D143" i="33"/>
  <c r="C143" i="33"/>
  <c r="D142" i="33"/>
  <c r="C142" i="33"/>
  <c r="D141" i="33"/>
  <c r="C141" i="33"/>
  <c r="D140" i="33"/>
  <c r="C140" i="33"/>
  <c r="D138" i="33"/>
  <c r="C138" i="33"/>
  <c r="D137" i="33"/>
  <c r="C137" i="33"/>
  <c r="D136" i="33"/>
  <c r="C136" i="33"/>
  <c r="D135" i="33"/>
  <c r="C135" i="33"/>
  <c r="D133" i="33"/>
  <c r="C133" i="33"/>
  <c r="D132" i="33"/>
  <c r="C132" i="33"/>
  <c r="D131" i="33"/>
  <c r="C131" i="33"/>
  <c r="D130" i="33"/>
  <c r="C130" i="33"/>
  <c r="D129" i="33"/>
  <c r="C129" i="33"/>
  <c r="D127" i="33"/>
  <c r="C127" i="33"/>
  <c r="D126" i="33"/>
  <c r="C126" i="33"/>
  <c r="D125" i="33"/>
  <c r="C125" i="33"/>
  <c r="D124" i="33"/>
  <c r="C124" i="33"/>
  <c r="D123" i="33"/>
  <c r="C123" i="33"/>
  <c r="D118" i="33"/>
  <c r="C118" i="33"/>
  <c r="D117" i="33"/>
  <c r="C117" i="33"/>
  <c r="D116" i="33"/>
  <c r="C116" i="33"/>
  <c r="D115" i="33"/>
  <c r="C115" i="33"/>
  <c r="D114" i="33"/>
  <c r="C114" i="33"/>
  <c r="D110" i="33"/>
  <c r="C110" i="33"/>
  <c r="D109" i="33"/>
  <c r="C109" i="33"/>
  <c r="D108" i="33"/>
  <c r="C108" i="33"/>
  <c r="D107" i="33"/>
  <c r="C107" i="33"/>
  <c r="D106" i="33"/>
  <c r="C106" i="33"/>
  <c r="D105" i="33"/>
  <c r="C105" i="33"/>
  <c r="D101" i="33"/>
  <c r="C101" i="33"/>
  <c r="D100" i="33"/>
  <c r="C100" i="33"/>
  <c r="D99" i="33"/>
  <c r="C99" i="33"/>
  <c r="D98" i="33"/>
  <c r="C98" i="33"/>
  <c r="D97" i="33"/>
  <c r="C97" i="33"/>
  <c r="D96" i="33"/>
  <c r="C96" i="33"/>
  <c r="D92" i="33"/>
  <c r="C92" i="33"/>
  <c r="D91" i="33"/>
  <c r="C91" i="33"/>
  <c r="D90" i="33"/>
  <c r="C90" i="33"/>
  <c r="D89" i="33"/>
  <c r="C89" i="33"/>
  <c r="D88" i="33"/>
  <c r="C88" i="33"/>
  <c r="D87" i="33"/>
  <c r="C87" i="33"/>
  <c r="D86" i="33"/>
  <c r="C86" i="33"/>
  <c r="D85" i="33"/>
  <c r="C85" i="33"/>
  <c r="D84" i="33"/>
  <c r="C84" i="33"/>
  <c r="D83" i="33"/>
  <c r="C83" i="33"/>
  <c r="D82" i="33"/>
  <c r="C82" i="33"/>
  <c r="D78" i="33"/>
  <c r="C78" i="33"/>
  <c r="D77" i="33"/>
  <c r="C77" i="33"/>
  <c r="D76" i="33"/>
  <c r="C76" i="33"/>
  <c r="D75" i="33"/>
  <c r="C75" i="33"/>
  <c r="D74" i="33"/>
  <c r="C74" i="33"/>
  <c r="D73" i="33"/>
  <c r="C73" i="33"/>
  <c r="D72" i="33"/>
  <c r="C72" i="33"/>
  <c r="D71" i="33"/>
  <c r="C71" i="33"/>
  <c r="D70" i="33"/>
  <c r="C70" i="33"/>
  <c r="D69" i="33"/>
  <c r="C69" i="33"/>
  <c r="D68" i="33"/>
  <c r="C68" i="33"/>
  <c r="D67" i="33"/>
  <c r="C67" i="33"/>
  <c r="D66" i="33"/>
  <c r="C66" i="33"/>
  <c r="D65" i="33"/>
  <c r="C65" i="33"/>
  <c r="D64" i="33"/>
  <c r="C64" i="33"/>
  <c r="D60" i="33"/>
  <c r="C60" i="33"/>
  <c r="D59" i="33"/>
  <c r="C59" i="33"/>
  <c r="D58" i="33"/>
  <c r="C58" i="33"/>
  <c r="D57" i="33"/>
  <c r="C57" i="33"/>
  <c r="D56" i="33"/>
  <c r="C56" i="33"/>
  <c r="D55" i="33"/>
  <c r="C55" i="33"/>
  <c r="D54" i="33"/>
  <c r="C54" i="33"/>
  <c r="D53" i="33"/>
  <c r="C53" i="33"/>
  <c r="D52" i="33"/>
  <c r="C52" i="33"/>
  <c r="D51" i="33"/>
  <c r="C51" i="33"/>
  <c r="D50" i="33"/>
  <c r="C50" i="33"/>
  <c r="D49" i="33"/>
  <c r="C49" i="33"/>
  <c r="D48" i="33"/>
  <c r="C48" i="33"/>
  <c r="D47" i="33"/>
  <c r="C47" i="33"/>
  <c r="D46" i="33"/>
  <c r="C46" i="33"/>
  <c r="D45" i="33"/>
  <c r="C45" i="33"/>
  <c r="D44" i="33"/>
  <c r="C44" i="33"/>
  <c r="D43" i="33"/>
  <c r="C43" i="33"/>
  <c r="D42" i="33"/>
  <c r="C42" i="33"/>
  <c r="D41" i="33"/>
  <c r="C41" i="33"/>
  <c r="D40" i="33"/>
  <c r="C40" i="33"/>
  <c r="D39" i="33"/>
  <c r="C39" i="33"/>
  <c r="D38" i="33"/>
  <c r="C38" i="33"/>
  <c r="D37" i="33"/>
  <c r="C37" i="33"/>
  <c r="D36" i="33"/>
  <c r="C36" i="33"/>
  <c r="D35" i="33"/>
  <c r="C35" i="33"/>
  <c r="D34" i="33"/>
  <c r="C34" i="33"/>
  <c r="D33" i="33"/>
  <c r="C33" i="33"/>
  <c r="D32" i="33"/>
  <c r="C32" i="33"/>
  <c r="D31" i="33"/>
  <c r="C31" i="33"/>
  <c r="D30" i="33"/>
  <c r="C30" i="33"/>
  <c r="D29" i="33"/>
  <c r="C29" i="33"/>
  <c r="D28" i="33"/>
  <c r="C28" i="33"/>
  <c r="D27" i="33"/>
  <c r="C27" i="33"/>
  <c r="D26" i="33"/>
  <c r="C26" i="33"/>
  <c r="D25" i="33"/>
  <c r="C25" i="33"/>
  <c r="D20" i="33"/>
  <c r="C20" i="33"/>
  <c r="D19" i="33"/>
  <c r="C19" i="33"/>
  <c r="D18" i="33"/>
  <c r="C18" i="33"/>
  <c r="D17" i="33"/>
  <c r="C17" i="33"/>
  <c r="D16" i="33"/>
  <c r="C16" i="33"/>
  <c r="D15" i="33"/>
  <c r="C15" i="33"/>
  <c r="D14" i="33"/>
  <c r="C14" i="33"/>
  <c r="D13" i="33"/>
  <c r="C13" i="33"/>
  <c r="D12" i="33"/>
  <c r="C12" i="33"/>
  <c r="D11" i="33"/>
  <c r="C11" i="33"/>
  <c r="C21" i="33" l="1"/>
  <c r="C102" i="33"/>
  <c r="D21" i="33"/>
  <c r="D102" i="33"/>
  <c r="D119" i="33"/>
  <c r="C61" i="33"/>
  <c r="D93" i="33"/>
  <c r="D111" i="33"/>
  <c r="D161" i="33"/>
  <c r="C93" i="33"/>
  <c r="C111" i="33"/>
  <c r="C79" i="33"/>
  <c r="C197" i="33"/>
  <c r="C206" i="33"/>
  <c r="C119" i="33"/>
  <c r="C161" i="33"/>
  <c r="C228" i="33"/>
  <c r="D79" i="33"/>
  <c r="D197" i="33"/>
  <c r="D206" i="33"/>
  <c r="D61" i="33"/>
  <c r="C208" i="33" l="1"/>
  <c r="C212" i="33" s="1"/>
  <c r="D208" i="33"/>
  <c r="D215" i="33" s="1"/>
  <c r="C215" i="33" l="1"/>
  <c r="G244" i="120"/>
  <c r="G243" i="120"/>
  <c r="G242" i="120"/>
  <c r="G241" i="120"/>
  <c r="C238" i="120"/>
  <c r="C237" i="120"/>
  <c r="C236" i="120"/>
  <c r="C235" i="120"/>
  <c r="C233" i="120"/>
  <c r="C232" i="120"/>
  <c r="C231" i="120"/>
  <c r="D228" i="120"/>
  <c r="C227" i="120"/>
  <c r="C226" i="120"/>
  <c r="C225" i="120"/>
  <c r="C224" i="120"/>
  <c r="C223" i="120"/>
  <c r="C222" i="120"/>
  <c r="C221" i="120"/>
  <c r="C220" i="120"/>
  <c r="C219" i="120"/>
  <c r="C211" i="120"/>
  <c r="D205" i="120"/>
  <c r="C205" i="120"/>
  <c r="D204" i="120"/>
  <c r="C204" i="120"/>
  <c r="D203" i="120"/>
  <c r="C203" i="120"/>
  <c r="D202" i="120"/>
  <c r="C202" i="120"/>
  <c r="D201" i="120"/>
  <c r="C201" i="120"/>
  <c r="D200" i="120"/>
  <c r="C200" i="120"/>
  <c r="D196" i="120"/>
  <c r="C196" i="120"/>
  <c r="D195" i="120"/>
  <c r="C195" i="120"/>
  <c r="D194" i="120"/>
  <c r="C194" i="120"/>
  <c r="D193" i="120"/>
  <c r="C193" i="120"/>
  <c r="D192" i="120"/>
  <c r="C192" i="120"/>
  <c r="D191" i="120"/>
  <c r="C191" i="120"/>
  <c r="D190" i="120"/>
  <c r="C190" i="120"/>
  <c r="D189" i="120"/>
  <c r="C189" i="120"/>
  <c r="D188" i="120"/>
  <c r="C188" i="120"/>
  <c r="D187" i="120"/>
  <c r="C187" i="120"/>
  <c r="D186" i="120"/>
  <c r="C186" i="120"/>
  <c r="D185" i="120"/>
  <c r="C185" i="120"/>
  <c r="D184" i="120"/>
  <c r="C184" i="120"/>
  <c r="D183" i="120"/>
  <c r="C183" i="120"/>
  <c r="D182" i="120"/>
  <c r="C182" i="120"/>
  <c r="D181" i="120"/>
  <c r="C181" i="120"/>
  <c r="D180" i="120"/>
  <c r="C180" i="120"/>
  <c r="D179" i="120"/>
  <c r="C179" i="120"/>
  <c r="D178" i="120"/>
  <c r="C178" i="120"/>
  <c r="D177" i="120"/>
  <c r="C177" i="120"/>
  <c r="D176" i="120"/>
  <c r="C176" i="120"/>
  <c r="D175" i="120"/>
  <c r="C175" i="120"/>
  <c r="D174" i="120"/>
  <c r="C174" i="120"/>
  <c r="D173" i="120"/>
  <c r="C173" i="120"/>
  <c r="D172" i="120"/>
  <c r="C172" i="120"/>
  <c r="D171" i="120"/>
  <c r="C171" i="120"/>
  <c r="D170" i="120"/>
  <c r="C170" i="120"/>
  <c r="D169" i="120"/>
  <c r="C169" i="120"/>
  <c r="D168" i="120"/>
  <c r="C168" i="120"/>
  <c r="D167" i="120"/>
  <c r="C167" i="120"/>
  <c r="D166" i="120"/>
  <c r="C166" i="120"/>
  <c r="D165" i="120"/>
  <c r="C165" i="120"/>
  <c r="D164" i="120"/>
  <c r="C164" i="120"/>
  <c r="D160" i="120"/>
  <c r="C160" i="120"/>
  <c r="D159" i="120"/>
  <c r="C159" i="120"/>
  <c r="D158" i="120"/>
  <c r="C158" i="120"/>
  <c r="D157" i="120"/>
  <c r="C157" i="120"/>
  <c r="D156" i="120"/>
  <c r="C156" i="120"/>
  <c r="D155" i="120"/>
  <c r="C155" i="120"/>
  <c r="D153" i="120"/>
  <c r="C153" i="120"/>
  <c r="D152" i="120"/>
  <c r="C152" i="120"/>
  <c r="D151" i="120"/>
  <c r="C151" i="120"/>
  <c r="D150" i="120"/>
  <c r="C150" i="120"/>
  <c r="D149" i="120"/>
  <c r="C149" i="120"/>
  <c r="D148" i="120"/>
  <c r="C148" i="120"/>
  <c r="D147" i="120"/>
  <c r="C147" i="120"/>
  <c r="D146" i="120"/>
  <c r="C146" i="120"/>
  <c r="D145" i="120"/>
  <c r="C145" i="120"/>
  <c r="D143" i="120"/>
  <c r="C143" i="120"/>
  <c r="D142" i="120"/>
  <c r="C142" i="120"/>
  <c r="D141" i="120"/>
  <c r="C141" i="120"/>
  <c r="D140" i="120"/>
  <c r="C140" i="120"/>
  <c r="D138" i="120"/>
  <c r="C138" i="120"/>
  <c r="D137" i="120"/>
  <c r="C137" i="120"/>
  <c r="D136" i="120"/>
  <c r="C136" i="120"/>
  <c r="D135" i="120"/>
  <c r="C135" i="120"/>
  <c r="D133" i="120"/>
  <c r="C133" i="120"/>
  <c r="D132" i="120"/>
  <c r="C132" i="120"/>
  <c r="D131" i="120"/>
  <c r="C131" i="120"/>
  <c r="D130" i="120"/>
  <c r="C130" i="120"/>
  <c r="D129" i="120"/>
  <c r="C129" i="120"/>
  <c r="D127" i="120"/>
  <c r="C127" i="120"/>
  <c r="D126" i="120"/>
  <c r="C126" i="120"/>
  <c r="D125" i="120"/>
  <c r="C125" i="120"/>
  <c r="D124" i="120"/>
  <c r="C124" i="120"/>
  <c r="D123" i="120"/>
  <c r="C123" i="120"/>
  <c r="D118" i="120"/>
  <c r="C118" i="120"/>
  <c r="D117" i="120"/>
  <c r="C117" i="120"/>
  <c r="D116" i="120"/>
  <c r="C116" i="120"/>
  <c r="D115" i="120"/>
  <c r="C115" i="120"/>
  <c r="D114" i="120"/>
  <c r="C114" i="120"/>
  <c r="D110" i="120"/>
  <c r="C110" i="120"/>
  <c r="D109" i="120"/>
  <c r="C109" i="120"/>
  <c r="D108" i="120"/>
  <c r="C108" i="120"/>
  <c r="D107" i="120"/>
  <c r="C107" i="120"/>
  <c r="D106" i="120"/>
  <c r="C106" i="120"/>
  <c r="D105" i="120"/>
  <c r="C105" i="120"/>
  <c r="D101" i="120"/>
  <c r="C101" i="120"/>
  <c r="D100" i="120"/>
  <c r="C100" i="120"/>
  <c r="D99" i="120"/>
  <c r="C99" i="120"/>
  <c r="D98" i="120"/>
  <c r="C98" i="120"/>
  <c r="D97" i="120"/>
  <c r="C97" i="120"/>
  <c r="D96" i="120"/>
  <c r="C96" i="120"/>
  <c r="D92" i="120"/>
  <c r="C92" i="120"/>
  <c r="D91" i="120"/>
  <c r="C91" i="120"/>
  <c r="D90" i="120"/>
  <c r="C90" i="120"/>
  <c r="D89" i="120"/>
  <c r="C89" i="120"/>
  <c r="D88" i="120"/>
  <c r="C88" i="120"/>
  <c r="D87" i="120"/>
  <c r="C87" i="120"/>
  <c r="D86" i="120"/>
  <c r="C86" i="120"/>
  <c r="D85" i="120"/>
  <c r="C85" i="120"/>
  <c r="D84" i="120"/>
  <c r="C84" i="120"/>
  <c r="D83" i="120"/>
  <c r="C83" i="120"/>
  <c r="D82" i="120"/>
  <c r="C82" i="120"/>
  <c r="D78" i="120"/>
  <c r="C78" i="120"/>
  <c r="D77" i="120"/>
  <c r="C77" i="120"/>
  <c r="D76" i="120"/>
  <c r="C76" i="120"/>
  <c r="D75" i="120"/>
  <c r="C75" i="120"/>
  <c r="D74" i="120"/>
  <c r="C74" i="120"/>
  <c r="D73" i="120"/>
  <c r="C73" i="120"/>
  <c r="D72" i="120"/>
  <c r="C72" i="120"/>
  <c r="D71" i="120"/>
  <c r="C71" i="120"/>
  <c r="D70" i="120"/>
  <c r="C70" i="120"/>
  <c r="D69" i="120"/>
  <c r="C69" i="120"/>
  <c r="D68" i="120"/>
  <c r="C68" i="120"/>
  <c r="D67" i="120"/>
  <c r="C67" i="120"/>
  <c r="D66" i="120"/>
  <c r="C66" i="120"/>
  <c r="D65" i="120"/>
  <c r="C65" i="120"/>
  <c r="D64" i="120"/>
  <c r="C64" i="120"/>
  <c r="D60" i="120"/>
  <c r="C60" i="120"/>
  <c r="D59" i="120"/>
  <c r="C59" i="120"/>
  <c r="D58" i="120"/>
  <c r="C58" i="120"/>
  <c r="D57" i="120"/>
  <c r="C57" i="120"/>
  <c r="D56" i="120"/>
  <c r="C56" i="120"/>
  <c r="D55" i="120"/>
  <c r="C55" i="120"/>
  <c r="D54" i="120"/>
  <c r="C54" i="120"/>
  <c r="D53" i="120"/>
  <c r="C53" i="120"/>
  <c r="D52" i="120"/>
  <c r="C52" i="120"/>
  <c r="D51" i="120"/>
  <c r="C51" i="120"/>
  <c r="D50" i="120"/>
  <c r="C50" i="120"/>
  <c r="D49" i="120"/>
  <c r="C49" i="120"/>
  <c r="D48" i="120"/>
  <c r="C48" i="120"/>
  <c r="D47" i="120"/>
  <c r="C47" i="120"/>
  <c r="D46" i="120"/>
  <c r="C46" i="120"/>
  <c r="D45" i="120"/>
  <c r="C45" i="120"/>
  <c r="D44" i="120"/>
  <c r="C44" i="120"/>
  <c r="D43" i="120"/>
  <c r="C43" i="120"/>
  <c r="D42" i="120"/>
  <c r="C42" i="120"/>
  <c r="D41" i="120"/>
  <c r="C41" i="120"/>
  <c r="D40" i="120"/>
  <c r="C40" i="120"/>
  <c r="D39" i="120"/>
  <c r="C39" i="120"/>
  <c r="D38" i="120"/>
  <c r="C38" i="120"/>
  <c r="D37" i="120"/>
  <c r="C37" i="120"/>
  <c r="D36" i="120"/>
  <c r="C36" i="120"/>
  <c r="D35" i="120"/>
  <c r="C35" i="120"/>
  <c r="D34" i="120"/>
  <c r="C34" i="120"/>
  <c r="D33" i="120"/>
  <c r="C33" i="120"/>
  <c r="D32" i="120"/>
  <c r="C32" i="120"/>
  <c r="D31" i="120"/>
  <c r="C31" i="120"/>
  <c r="D30" i="120"/>
  <c r="C30" i="120"/>
  <c r="D29" i="120"/>
  <c r="C29" i="120"/>
  <c r="D28" i="120"/>
  <c r="C28" i="120"/>
  <c r="D27" i="120"/>
  <c r="C27" i="120"/>
  <c r="D26" i="120"/>
  <c r="C26" i="120"/>
  <c r="D25" i="120"/>
  <c r="C25" i="120"/>
  <c r="D20" i="120"/>
  <c r="C20" i="120"/>
  <c r="D19" i="120"/>
  <c r="C19" i="120"/>
  <c r="D18" i="120"/>
  <c r="C18" i="120"/>
  <c r="D17" i="120"/>
  <c r="C17" i="120"/>
  <c r="D16" i="120"/>
  <c r="C16" i="120"/>
  <c r="D15" i="120"/>
  <c r="C15" i="120"/>
  <c r="D14" i="120"/>
  <c r="C14" i="120"/>
  <c r="D13" i="120"/>
  <c r="C13" i="120"/>
  <c r="D12" i="120"/>
  <c r="C12" i="120"/>
  <c r="D11" i="120"/>
  <c r="C11" i="120"/>
  <c r="C102" i="120" l="1"/>
  <c r="C119" i="120"/>
  <c r="C21" i="120"/>
  <c r="D93" i="120"/>
  <c r="D161" i="120"/>
  <c r="C228" i="120"/>
  <c r="C79" i="120"/>
  <c r="C111" i="120"/>
  <c r="C197" i="120"/>
  <c r="D206" i="120"/>
  <c r="D21" i="120"/>
  <c r="D79" i="120"/>
  <c r="D102" i="120"/>
  <c r="D111" i="120"/>
  <c r="D119" i="120"/>
  <c r="D197" i="120"/>
  <c r="C93" i="120"/>
  <c r="C161" i="120"/>
  <c r="C206" i="120"/>
  <c r="C61" i="120"/>
  <c r="D61" i="120"/>
  <c r="D208" i="120" l="1"/>
  <c r="D215" i="120" s="1"/>
  <c r="C208" i="120"/>
  <c r="C212" i="120" s="1"/>
  <c r="C215" i="120" l="1"/>
  <c r="G244" i="152"/>
  <c r="G243" i="152"/>
  <c r="G242" i="152"/>
  <c r="G241" i="152"/>
  <c r="C238" i="152"/>
  <c r="C237" i="152"/>
  <c r="C236" i="152"/>
  <c r="C235" i="152"/>
  <c r="C233" i="152"/>
  <c r="C232" i="152"/>
  <c r="C231" i="152"/>
  <c r="D228" i="152"/>
  <c r="C227" i="152"/>
  <c r="C226" i="152"/>
  <c r="C225" i="152"/>
  <c r="C224" i="152"/>
  <c r="C223" i="152"/>
  <c r="C222" i="152"/>
  <c r="C221" i="152"/>
  <c r="C220" i="152"/>
  <c r="C219" i="152"/>
  <c r="C211" i="152"/>
  <c r="D205" i="152"/>
  <c r="C205" i="152"/>
  <c r="D204" i="152"/>
  <c r="C204" i="152"/>
  <c r="D203" i="152"/>
  <c r="C203" i="152"/>
  <c r="D202" i="152"/>
  <c r="C202" i="152"/>
  <c r="D201" i="152"/>
  <c r="C201" i="152"/>
  <c r="D200" i="152"/>
  <c r="C200" i="152"/>
  <c r="D196" i="152"/>
  <c r="C196" i="152"/>
  <c r="D195" i="152"/>
  <c r="C195" i="152"/>
  <c r="D194" i="152"/>
  <c r="C194" i="152"/>
  <c r="D193" i="152"/>
  <c r="C193" i="152"/>
  <c r="D192" i="152"/>
  <c r="C192" i="152"/>
  <c r="D191" i="152"/>
  <c r="C191" i="152"/>
  <c r="D190" i="152"/>
  <c r="C190" i="152"/>
  <c r="D189" i="152"/>
  <c r="C189" i="152"/>
  <c r="D188" i="152"/>
  <c r="C188" i="152"/>
  <c r="D187" i="152"/>
  <c r="C187" i="152"/>
  <c r="D186" i="152"/>
  <c r="C186" i="152"/>
  <c r="D185" i="152"/>
  <c r="C185" i="152"/>
  <c r="D184" i="152"/>
  <c r="C184" i="152"/>
  <c r="D183" i="152"/>
  <c r="C183" i="152"/>
  <c r="D182" i="152"/>
  <c r="C182" i="152"/>
  <c r="D181" i="152"/>
  <c r="C181" i="152"/>
  <c r="D180" i="152"/>
  <c r="C180" i="152"/>
  <c r="D179" i="152"/>
  <c r="C179" i="152"/>
  <c r="D178" i="152"/>
  <c r="C178" i="152"/>
  <c r="D177" i="152"/>
  <c r="C177" i="152"/>
  <c r="D176" i="152"/>
  <c r="C176" i="152"/>
  <c r="D175" i="152"/>
  <c r="C175" i="152"/>
  <c r="D174" i="152"/>
  <c r="C174" i="152"/>
  <c r="D173" i="152"/>
  <c r="C173" i="152"/>
  <c r="D172" i="152"/>
  <c r="C172" i="152"/>
  <c r="D171" i="152"/>
  <c r="C171" i="152"/>
  <c r="D170" i="152"/>
  <c r="C170" i="152"/>
  <c r="D169" i="152"/>
  <c r="C169" i="152"/>
  <c r="D168" i="152"/>
  <c r="C168" i="152"/>
  <c r="D167" i="152"/>
  <c r="C167" i="152"/>
  <c r="D166" i="152"/>
  <c r="C166" i="152"/>
  <c r="D165" i="152"/>
  <c r="C165" i="152"/>
  <c r="D164" i="152"/>
  <c r="C164" i="152"/>
  <c r="D160" i="152"/>
  <c r="C160" i="152"/>
  <c r="D159" i="152"/>
  <c r="C159" i="152"/>
  <c r="D158" i="152"/>
  <c r="C158" i="152"/>
  <c r="D157" i="152"/>
  <c r="C157" i="152"/>
  <c r="D156" i="152"/>
  <c r="C156" i="152"/>
  <c r="D155" i="152"/>
  <c r="C155" i="152"/>
  <c r="D153" i="152"/>
  <c r="C153" i="152"/>
  <c r="D152" i="152"/>
  <c r="C152" i="152"/>
  <c r="D151" i="152"/>
  <c r="C151" i="152"/>
  <c r="D150" i="152"/>
  <c r="C150" i="152"/>
  <c r="D149" i="152"/>
  <c r="C149" i="152"/>
  <c r="D148" i="152"/>
  <c r="C148" i="152"/>
  <c r="D147" i="152"/>
  <c r="C147" i="152"/>
  <c r="D146" i="152"/>
  <c r="C146" i="152"/>
  <c r="D145" i="152"/>
  <c r="C145" i="152"/>
  <c r="D143" i="152"/>
  <c r="C143" i="152"/>
  <c r="D142" i="152"/>
  <c r="C142" i="152"/>
  <c r="D141" i="152"/>
  <c r="C141" i="152"/>
  <c r="D140" i="152"/>
  <c r="C140" i="152"/>
  <c r="D138" i="152"/>
  <c r="C138" i="152"/>
  <c r="D137" i="152"/>
  <c r="C137" i="152"/>
  <c r="D136" i="152"/>
  <c r="C136" i="152"/>
  <c r="D135" i="152"/>
  <c r="C135" i="152"/>
  <c r="D133" i="152"/>
  <c r="C133" i="152"/>
  <c r="D132" i="152"/>
  <c r="C132" i="152"/>
  <c r="D131" i="152"/>
  <c r="C131" i="152"/>
  <c r="D130" i="152"/>
  <c r="C130" i="152"/>
  <c r="D129" i="152"/>
  <c r="C129" i="152"/>
  <c r="D127" i="152"/>
  <c r="C127" i="152"/>
  <c r="D126" i="152"/>
  <c r="C126" i="152"/>
  <c r="D125" i="152"/>
  <c r="C125" i="152"/>
  <c r="D124" i="152"/>
  <c r="C124" i="152"/>
  <c r="D123" i="152"/>
  <c r="C123" i="152"/>
  <c r="D118" i="152"/>
  <c r="C118" i="152"/>
  <c r="D117" i="152"/>
  <c r="C117" i="152"/>
  <c r="D116" i="152"/>
  <c r="C116" i="152"/>
  <c r="D115" i="152"/>
  <c r="C115" i="152"/>
  <c r="D114" i="152"/>
  <c r="C114" i="152"/>
  <c r="D110" i="152"/>
  <c r="C110" i="152"/>
  <c r="D109" i="152"/>
  <c r="C109" i="152"/>
  <c r="D108" i="152"/>
  <c r="C108" i="152"/>
  <c r="D107" i="152"/>
  <c r="C107" i="152"/>
  <c r="D106" i="152"/>
  <c r="C106" i="152"/>
  <c r="D105" i="152"/>
  <c r="C105" i="152"/>
  <c r="D101" i="152"/>
  <c r="C101" i="152"/>
  <c r="D100" i="152"/>
  <c r="C100" i="152"/>
  <c r="D99" i="152"/>
  <c r="C99" i="152"/>
  <c r="D98" i="152"/>
  <c r="C98" i="152"/>
  <c r="D97" i="152"/>
  <c r="C97" i="152"/>
  <c r="D96" i="152"/>
  <c r="C96" i="152"/>
  <c r="D92" i="152"/>
  <c r="C92" i="152"/>
  <c r="D91" i="152"/>
  <c r="C91" i="152"/>
  <c r="D90" i="152"/>
  <c r="C90" i="152"/>
  <c r="D89" i="152"/>
  <c r="C89" i="152"/>
  <c r="D88" i="152"/>
  <c r="C88" i="152"/>
  <c r="D87" i="152"/>
  <c r="C87" i="152"/>
  <c r="D86" i="152"/>
  <c r="C86" i="152"/>
  <c r="D85" i="152"/>
  <c r="C85" i="152"/>
  <c r="D84" i="152"/>
  <c r="C84" i="152"/>
  <c r="D83" i="152"/>
  <c r="C83" i="152"/>
  <c r="D82" i="152"/>
  <c r="C82" i="152"/>
  <c r="D78" i="152"/>
  <c r="C78" i="152"/>
  <c r="D77" i="152"/>
  <c r="C77" i="152"/>
  <c r="D76" i="152"/>
  <c r="C76" i="152"/>
  <c r="D75" i="152"/>
  <c r="C75" i="152"/>
  <c r="D74" i="152"/>
  <c r="C74" i="152"/>
  <c r="D73" i="152"/>
  <c r="C73" i="152"/>
  <c r="D72" i="152"/>
  <c r="C72" i="152"/>
  <c r="D71" i="152"/>
  <c r="C71" i="152"/>
  <c r="D70" i="152"/>
  <c r="C70" i="152"/>
  <c r="D69" i="152"/>
  <c r="C69" i="152"/>
  <c r="D68" i="152"/>
  <c r="C68" i="152"/>
  <c r="D67" i="152"/>
  <c r="C67" i="152"/>
  <c r="D66" i="152"/>
  <c r="C66" i="152"/>
  <c r="D65" i="152"/>
  <c r="C65" i="152"/>
  <c r="D64" i="152"/>
  <c r="C64" i="152"/>
  <c r="D60" i="152"/>
  <c r="C60" i="152"/>
  <c r="D59" i="152"/>
  <c r="C59" i="152"/>
  <c r="D58" i="152"/>
  <c r="C58" i="152"/>
  <c r="D57" i="152"/>
  <c r="C57" i="152"/>
  <c r="D56" i="152"/>
  <c r="C56" i="152"/>
  <c r="D55" i="152"/>
  <c r="C55" i="152"/>
  <c r="D54" i="152"/>
  <c r="C54" i="152"/>
  <c r="D53" i="152"/>
  <c r="C53" i="152"/>
  <c r="D52" i="152"/>
  <c r="C52" i="152"/>
  <c r="D51" i="152"/>
  <c r="C51" i="152"/>
  <c r="D50" i="152"/>
  <c r="C50" i="152"/>
  <c r="D49" i="152"/>
  <c r="C49" i="152"/>
  <c r="D48" i="152"/>
  <c r="C48" i="152"/>
  <c r="D47" i="152"/>
  <c r="C47" i="152"/>
  <c r="D46" i="152"/>
  <c r="C46" i="152"/>
  <c r="D45" i="152"/>
  <c r="C45" i="152"/>
  <c r="D44" i="152"/>
  <c r="C44" i="152"/>
  <c r="D43" i="152"/>
  <c r="C43" i="152"/>
  <c r="D42" i="152"/>
  <c r="C42" i="152"/>
  <c r="D41" i="152"/>
  <c r="C41" i="152"/>
  <c r="D40" i="152"/>
  <c r="C40" i="152"/>
  <c r="D39" i="152"/>
  <c r="C39" i="152"/>
  <c r="D38" i="152"/>
  <c r="C38" i="152"/>
  <c r="D37" i="152"/>
  <c r="C37" i="152"/>
  <c r="D36" i="152"/>
  <c r="C36" i="152"/>
  <c r="D35" i="152"/>
  <c r="C35" i="152"/>
  <c r="D34" i="152"/>
  <c r="C34" i="152"/>
  <c r="D33" i="152"/>
  <c r="C33" i="152"/>
  <c r="D32" i="152"/>
  <c r="C32" i="152"/>
  <c r="D31" i="152"/>
  <c r="C31" i="152"/>
  <c r="D30" i="152"/>
  <c r="C30" i="152"/>
  <c r="D29" i="152"/>
  <c r="C29" i="152"/>
  <c r="D28" i="152"/>
  <c r="C28" i="152"/>
  <c r="D27" i="152"/>
  <c r="C27" i="152"/>
  <c r="D26" i="152"/>
  <c r="C26" i="152"/>
  <c r="D25" i="152"/>
  <c r="C25" i="152"/>
  <c r="D20" i="152"/>
  <c r="C20" i="152"/>
  <c r="D19" i="152"/>
  <c r="C19" i="152"/>
  <c r="D18" i="152"/>
  <c r="C18" i="152"/>
  <c r="D17" i="152"/>
  <c r="C17" i="152"/>
  <c r="D16" i="152"/>
  <c r="C16" i="152"/>
  <c r="D15" i="152"/>
  <c r="C15" i="152"/>
  <c r="D14" i="152"/>
  <c r="C14" i="152"/>
  <c r="D13" i="152"/>
  <c r="C13" i="152"/>
  <c r="D12" i="152"/>
  <c r="C12" i="152"/>
  <c r="D11" i="152"/>
  <c r="C11" i="152"/>
  <c r="D93" i="152" l="1"/>
  <c r="D111" i="152"/>
  <c r="D161" i="152"/>
  <c r="C21" i="152"/>
  <c r="C102" i="152"/>
  <c r="C119" i="152"/>
  <c r="D21" i="152"/>
  <c r="D102" i="152"/>
  <c r="C93" i="152"/>
  <c r="D119" i="152"/>
  <c r="C228" i="152"/>
  <c r="C161" i="152"/>
  <c r="C79" i="152"/>
  <c r="C111" i="152"/>
  <c r="C197" i="152"/>
  <c r="C206" i="152"/>
  <c r="D79" i="152"/>
  <c r="D197" i="152"/>
  <c r="D206" i="152"/>
  <c r="D61" i="152"/>
  <c r="C61" i="152"/>
  <c r="C208" i="152" l="1"/>
  <c r="C212" i="152" s="1"/>
  <c r="D208" i="152"/>
  <c r="D215" i="152" s="1"/>
  <c r="C215" i="152" l="1"/>
  <c r="G244" i="133"/>
  <c r="G243" i="133"/>
  <c r="G242" i="133"/>
  <c r="G241" i="133"/>
  <c r="C238" i="133"/>
  <c r="C237" i="133"/>
  <c r="C236" i="133"/>
  <c r="C235" i="133"/>
  <c r="C233" i="133"/>
  <c r="C232" i="133"/>
  <c r="C231" i="133"/>
  <c r="D228" i="133"/>
  <c r="C227" i="133"/>
  <c r="C226" i="133"/>
  <c r="C225" i="133"/>
  <c r="C224" i="133"/>
  <c r="C223" i="133"/>
  <c r="C222" i="133"/>
  <c r="C221" i="133"/>
  <c r="C220" i="133"/>
  <c r="C219" i="133"/>
  <c r="C211" i="133"/>
  <c r="D205" i="133"/>
  <c r="C205" i="133"/>
  <c r="D204" i="133"/>
  <c r="C204" i="133"/>
  <c r="D203" i="133"/>
  <c r="C203" i="133"/>
  <c r="D202" i="133"/>
  <c r="C202" i="133"/>
  <c r="D201" i="133"/>
  <c r="C201" i="133"/>
  <c r="D200" i="133"/>
  <c r="C200" i="133"/>
  <c r="D196" i="133"/>
  <c r="C196" i="133"/>
  <c r="D195" i="133"/>
  <c r="C195" i="133"/>
  <c r="D194" i="133"/>
  <c r="C194" i="133"/>
  <c r="D193" i="133"/>
  <c r="C193" i="133"/>
  <c r="D192" i="133"/>
  <c r="C192" i="133"/>
  <c r="D191" i="133"/>
  <c r="C191" i="133"/>
  <c r="D190" i="133"/>
  <c r="C190" i="133"/>
  <c r="D189" i="133"/>
  <c r="C189" i="133"/>
  <c r="D188" i="133"/>
  <c r="C188" i="133"/>
  <c r="D187" i="133"/>
  <c r="C187" i="133"/>
  <c r="D186" i="133"/>
  <c r="C186" i="133"/>
  <c r="D185" i="133"/>
  <c r="C185" i="133"/>
  <c r="D184" i="133"/>
  <c r="C184" i="133"/>
  <c r="D183" i="133"/>
  <c r="C183" i="133"/>
  <c r="D182" i="133"/>
  <c r="C182" i="133"/>
  <c r="D181" i="133"/>
  <c r="C181" i="133"/>
  <c r="D180" i="133"/>
  <c r="C180" i="133"/>
  <c r="D179" i="133"/>
  <c r="C179" i="133"/>
  <c r="D178" i="133"/>
  <c r="C178" i="133"/>
  <c r="D177" i="133"/>
  <c r="C177" i="133"/>
  <c r="D176" i="133"/>
  <c r="C176" i="133"/>
  <c r="D175" i="133"/>
  <c r="C175" i="133"/>
  <c r="D174" i="133"/>
  <c r="C174" i="133"/>
  <c r="D173" i="133"/>
  <c r="C173" i="133"/>
  <c r="D172" i="133"/>
  <c r="C172" i="133"/>
  <c r="D171" i="133"/>
  <c r="C171" i="133"/>
  <c r="D170" i="133"/>
  <c r="C170" i="133"/>
  <c r="D169" i="133"/>
  <c r="C169" i="133"/>
  <c r="D168" i="133"/>
  <c r="C168" i="133"/>
  <c r="D167" i="133"/>
  <c r="C167" i="133"/>
  <c r="D166" i="133"/>
  <c r="C166" i="133"/>
  <c r="D165" i="133"/>
  <c r="C165" i="133"/>
  <c r="D164" i="133"/>
  <c r="C164" i="133"/>
  <c r="D160" i="133"/>
  <c r="C160" i="133"/>
  <c r="D159" i="133"/>
  <c r="C159" i="133"/>
  <c r="D158" i="133"/>
  <c r="C158" i="133"/>
  <c r="D157" i="133"/>
  <c r="C157" i="133"/>
  <c r="D156" i="133"/>
  <c r="C156" i="133"/>
  <c r="D155" i="133"/>
  <c r="C155" i="133"/>
  <c r="D153" i="133"/>
  <c r="C153" i="133"/>
  <c r="D152" i="133"/>
  <c r="C152" i="133"/>
  <c r="D151" i="133"/>
  <c r="C151" i="133"/>
  <c r="D150" i="133"/>
  <c r="C150" i="133"/>
  <c r="D149" i="133"/>
  <c r="C149" i="133"/>
  <c r="D148" i="133"/>
  <c r="C148" i="133"/>
  <c r="D147" i="133"/>
  <c r="C147" i="133"/>
  <c r="D146" i="133"/>
  <c r="C146" i="133"/>
  <c r="D145" i="133"/>
  <c r="C145" i="133"/>
  <c r="D143" i="133"/>
  <c r="C143" i="133"/>
  <c r="D142" i="133"/>
  <c r="C142" i="133"/>
  <c r="D141" i="133"/>
  <c r="C141" i="133"/>
  <c r="D140" i="133"/>
  <c r="C140" i="133"/>
  <c r="D138" i="133"/>
  <c r="C138" i="133"/>
  <c r="D137" i="133"/>
  <c r="C137" i="133"/>
  <c r="D136" i="133"/>
  <c r="C136" i="133"/>
  <c r="D135" i="133"/>
  <c r="C135" i="133"/>
  <c r="D133" i="133"/>
  <c r="C133" i="133"/>
  <c r="D132" i="133"/>
  <c r="C132" i="133"/>
  <c r="D131" i="133"/>
  <c r="C131" i="133"/>
  <c r="D130" i="133"/>
  <c r="C130" i="133"/>
  <c r="D129" i="133"/>
  <c r="C129" i="133"/>
  <c r="D127" i="133"/>
  <c r="C127" i="133"/>
  <c r="D126" i="133"/>
  <c r="C126" i="133"/>
  <c r="D125" i="133"/>
  <c r="C125" i="133"/>
  <c r="D124" i="133"/>
  <c r="C124" i="133"/>
  <c r="D123" i="133"/>
  <c r="C123" i="133"/>
  <c r="D118" i="133"/>
  <c r="C118" i="133"/>
  <c r="D117" i="133"/>
  <c r="C117" i="133"/>
  <c r="D116" i="133"/>
  <c r="C116" i="133"/>
  <c r="D115" i="133"/>
  <c r="C115" i="133"/>
  <c r="D114" i="133"/>
  <c r="C114" i="133"/>
  <c r="D110" i="133"/>
  <c r="C110" i="133"/>
  <c r="D109" i="133"/>
  <c r="C109" i="133"/>
  <c r="D108" i="133"/>
  <c r="C108" i="133"/>
  <c r="D107" i="133"/>
  <c r="C107" i="133"/>
  <c r="D106" i="133"/>
  <c r="C106" i="133"/>
  <c r="D105" i="133"/>
  <c r="C105" i="133"/>
  <c r="D101" i="133"/>
  <c r="C101" i="133"/>
  <c r="D100" i="133"/>
  <c r="C100" i="133"/>
  <c r="D99" i="133"/>
  <c r="C99" i="133"/>
  <c r="D98" i="133"/>
  <c r="C98" i="133"/>
  <c r="D97" i="133"/>
  <c r="C97" i="133"/>
  <c r="D96" i="133"/>
  <c r="C96" i="133"/>
  <c r="D92" i="133"/>
  <c r="C92" i="133"/>
  <c r="D91" i="133"/>
  <c r="C91" i="133"/>
  <c r="D90" i="133"/>
  <c r="C90" i="133"/>
  <c r="D89" i="133"/>
  <c r="C89" i="133"/>
  <c r="D88" i="133"/>
  <c r="C88" i="133"/>
  <c r="D87" i="133"/>
  <c r="C87" i="133"/>
  <c r="D86" i="133"/>
  <c r="C86" i="133"/>
  <c r="D85" i="133"/>
  <c r="C85" i="133"/>
  <c r="D84" i="133"/>
  <c r="C84" i="133"/>
  <c r="D83" i="133"/>
  <c r="C83" i="133"/>
  <c r="D82" i="133"/>
  <c r="C82" i="133"/>
  <c r="D78" i="133"/>
  <c r="C78" i="133"/>
  <c r="D77" i="133"/>
  <c r="C77" i="133"/>
  <c r="D76" i="133"/>
  <c r="C76" i="133"/>
  <c r="D75" i="133"/>
  <c r="C75" i="133"/>
  <c r="D74" i="133"/>
  <c r="C74" i="133"/>
  <c r="D73" i="133"/>
  <c r="C73" i="133"/>
  <c r="D72" i="133"/>
  <c r="C72" i="133"/>
  <c r="D71" i="133"/>
  <c r="C71" i="133"/>
  <c r="D70" i="133"/>
  <c r="C70" i="133"/>
  <c r="D69" i="133"/>
  <c r="C69" i="133"/>
  <c r="D68" i="133"/>
  <c r="C68" i="133"/>
  <c r="D67" i="133"/>
  <c r="C67" i="133"/>
  <c r="D66" i="133"/>
  <c r="C66" i="133"/>
  <c r="D65" i="133"/>
  <c r="C65" i="133"/>
  <c r="D64" i="133"/>
  <c r="C64" i="133"/>
  <c r="D60" i="133"/>
  <c r="C60" i="133"/>
  <c r="D59" i="133"/>
  <c r="C59" i="133"/>
  <c r="D58" i="133"/>
  <c r="C58" i="133"/>
  <c r="D57" i="133"/>
  <c r="C57" i="133"/>
  <c r="D56" i="133"/>
  <c r="C56" i="133"/>
  <c r="D55" i="133"/>
  <c r="C55" i="133"/>
  <c r="D54" i="133"/>
  <c r="C54" i="133"/>
  <c r="D53" i="133"/>
  <c r="C53" i="133"/>
  <c r="D52" i="133"/>
  <c r="C52" i="133"/>
  <c r="D51" i="133"/>
  <c r="C51" i="133"/>
  <c r="D50" i="133"/>
  <c r="C50" i="133"/>
  <c r="D49" i="133"/>
  <c r="C49" i="133"/>
  <c r="D48" i="133"/>
  <c r="C48" i="133"/>
  <c r="D47" i="133"/>
  <c r="C47" i="133"/>
  <c r="D46" i="133"/>
  <c r="C46" i="133"/>
  <c r="D45" i="133"/>
  <c r="C45" i="133"/>
  <c r="D44" i="133"/>
  <c r="C44" i="133"/>
  <c r="D43" i="133"/>
  <c r="C43" i="133"/>
  <c r="D42" i="133"/>
  <c r="C42" i="133"/>
  <c r="D41" i="133"/>
  <c r="C41" i="133"/>
  <c r="D40" i="133"/>
  <c r="C40" i="133"/>
  <c r="D39" i="133"/>
  <c r="C39" i="133"/>
  <c r="D38" i="133"/>
  <c r="C38" i="133"/>
  <c r="D37" i="133"/>
  <c r="C37" i="133"/>
  <c r="D36" i="133"/>
  <c r="C36" i="133"/>
  <c r="D35" i="133"/>
  <c r="C35" i="133"/>
  <c r="D34" i="133"/>
  <c r="C34" i="133"/>
  <c r="D33" i="133"/>
  <c r="C33" i="133"/>
  <c r="D32" i="133"/>
  <c r="C32" i="133"/>
  <c r="D31" i="133"/>
  <c r="C31" i="133"/>
  <c r="D30" i="133"/>
  <c r="C30" i="133"/>
  <c r="D29" i="133"/>
  <c r="C29" i="133"/>
  <c r="D28" i="133"/>
  <c r="C28" i="133"/>
  <c r="D27" i="133"/>
  <c r="C27" i="133"/>
  <c r="D26" i="133"/>
  <c r="C26" i="133"/>
  <c r="D25" i="133"/>
  <c r="C25" i="133"/>
  <c r="D20" i="133"/>
  <c r="C20" i="133"/>
  <c r="D19" i="133"/>
  <c r="C19" i="133"/>
  <c r="D18" i="133"/>
  <c r="C18" i="133"/>
  <c r="D17" i="133"/>
  <c r="C17" i="133"/>
  <c r="D16" i="133"/>
  <c r="C16" i="133"/>
  <c r="D15" i="133"/>
  <c r="C15" i="133"/>
  <c r="D14" i="133"/>
  <c r="C14" i="133"/>
  <c r="D13" i="133"/>
  <c r="C13" i="133"/>
  <c r="D12" i="133"/>
  <c r="C12" i="133"/>
  <c r="D11" i="133"/>
  <c r="C11" i="133"/>
  <c r="D21" i="133" l="1"/>
  <c r="D102" i="133"/>
  <c r="C21" i="133"/>
  <c r="C102" i="133"/>
  <c r="C119" i="133"/>
  <c r="D119" i="133"/>
  <c r="C111" i="133"/>
  <c r="C228" i="133"/>
  <c r="D93" i="133"/>
  <c r="D161" i="133"/>
  <c r="C79" i="133"/>
  <c r="C197" i="133"/>
  <c r="C206" i="133"/>
  <c r="C61" i="133"/>
  <c r="C93" i="133"/>
  <c r="C161" i="133"/>
  <c r="D111" i="133"/>
  <c r="D79" i="133"/>
  <c r="D197" i="133"/>
  <c r="D206" i="133"/>
  <c r="D61" i="133"/>
  <c r="D208" i="133" l="1"/>
  <c r="D215" i="133" s="1"/>
  <c r="C208" i="133"/>
  <c r="C212" i="133" s="1"/>
  <c r="C215" i="133" l="1"/>
  <c r="G244" i="38"/>
  <c r="G243" i="38"/>
  <c r="G242" i="38"/>
  <c r="G241" i="38"/>
  <c r="C238" i="38"/>
  <c r="C237" i="38"/>
  <c r="C236" i="38"/>
  <c r="C235" i="38"/>
  <c r="C233" i="38"/>
  <c r="C232" i="38"/>
  <c r="C231" i="38"/>
  <c r="D228" i="38"/>
  <c r="C227" i="38"/>
  <c r="C226" i="38"/>
  <c r="C225" i="38"/>
  <c r="C224" i="38"/>
  <c r="C223" i="38"/>
  <c r="C222" i="38"/>
  <c r="C221" i="38"/>
  <c r="C220" i="38"/>
  <c r="C219" i="38"/>
  <c r="C211" i="38"/>
  <c r="D205" i="38"/>
  <c r="C205" i="38"/>
  <c r="D204" i="38"/>
  <c r="C204" i="38"/>
  <c r="D203" i="38"/>
  <c r="C203" i="38"/>
  <c r="D202" i="38"/>
  <c r="C202" i="38"/>
  <c r="D201" i="38"/>
  <c r="C201" i="38"/>
  <c r="D200" i="38"/>
  <c r="C200" i="38"/>
  <c r="D196" i="38"/>
  <c r="C196" i="38"/>
  <c r="D195" i="38"/>
  <c r="C195" i="38"/>
  <c r="D194" i="38"/>
  <c r="C194" i="38"/>
  <c r="D193" i="38"/>
  <c r="C193" i="38"/>
  <c r="D192" i="38"/>
  <c r="C192" i="38"/>
  <c r="D191" i="38"/>
  <c r="C191" i="38"/>
  <c r="D190" i="38"/>
  <c r="C190" i="38"/>
  <c r="D189" i="38"/>
  <c r="C189" i="38"/>
  <c r="D188" i="38"/>
  <c r="C188" i="38"/>
  <c r="D187" i="38"/>
  <c r="C187" i="38"/>
  <c r="D186" i="38"/>
  <c r="C186" i="38"/>
  <c r="D185" i="38"/>
  <c r="C185" i="38"/>
  <c r="D184" i="38"/>
  <c r="C184" i="38"/>
  <c r="D183" i="38"/>
  <c r="C183" i="38"/>
  <c r="D182" i="38"/>
  <c r="C182" i="38"/>
  <c r="D181" i="38"/>
  <c r="C181" i="38"/>
  <c r="D180" i="38"/>
  <c r="C180" i="38"/>
  <c r="D179" i="38"/>
  <c r="C179" i="38"/>
  <c r="D178" i="38"/>
  <c r="C178" i="38"/>
  <c r="D177" i="38"/>
  <c r="C177" i="38"/>
  <c r="D176" i="38"/>
  <c r="C176" i="38"/>
  <c r="D175" i="38"/>
  <c r="C175" i="38"/>
  <c r="D174" i="38"/>
  <c r="C174" i="38"/>
  <c r="D173" i="38"/>
  <c r="C173" i="38"/>
  <c r="D172" i="38"/>
  <c r="C172" i="38"/>
  <c r="D171" i="38"/>
  <c r="C171" i="38"/>
  <c r="D170" i="38"/>
  <c r="C170" i="38"/>
  <c r="D169" i="38"/>
  <c r="C169" i="38"/>
  <c r="D168" i="38"/>
  <c r="C168" i="38"/>
  <c r="D167" i="38"/>
  <c r="C167" i="38"/>
  <c r="D166" i="38"/>
  <c r="C166" i="38"/>
  <c r="D165" i="38"/>
  <c r="C165" i="38"/>
  <c r="D164" i="38"/>
  <c r="C164" i="38"/>
  <c r="D160" i="38"/>
  <c r="C160" i="38"/>
  <c r="D159" i="38"/>
  <c r="C159" i="38"/>
  <c r="D158" i="38"/>
  <c r="C158" i="38"/>
  <c r="D157" i="38"/>
  <c r="C157" i="38"/>
  <c r="D156" i="38"/>
  <c r="C156" i="38"/>
  <c r="D155" i="38"/>
  <c r="C155" i="38"/>
  <c r="D153" i="38"/>
  <c r="C153" i="38"/>
  <c r="D152" i="38"/>
  <c r="C152" i="38"/>
  <c r="D151" i="38"/>
  <c r="C151" i="38"/>
  <c r="D150" i="38"/>
  <c r="C150" i="38"/>
  <c r="D149" i="38"/>
  <c r="C149" i="38"/>
  <c r="D148" i="38"/>
  <c r="C148" i="38"/>
  <c r="D147" i="38"/>
  <c r="C147" i="38"/>
  <c r="D146" i="38"/>
  <c r="C146" i="38"/>
  <c r="D145" i="38"/>
  <c r="C145" i="38"/>
  <c r="D143" i="38"/>
  <c r="C143" i="38"/>
  <c r="D142" i="38"/>
  <c r="C142" i="38"/>
  <c r="D141" i="38"/>
  <c r="C141" i="38"/>
  <c r="D140" i="38"/>
  <c r="C140" i="38"/>
  <c r="D138" i="38"/>
  <c r="C138" i="38"/>
  <c r="D137" i="38"/>
  <c r="C137" i="38"/>
  <c r="D136" i="38"/>
  <c r="C136" i="38"/>
  <c r="D135" i="38"/>
  <c r="C135" i="38"/>
  <c r="D133" i="38"/>
  <c r="C133" i="38"/>
  <c r="D132" i="38"/>
  <c r="C132" i="38"/>
  <c r="D131" i="38"/>
  <c r="C131" i="38"/>
  <c r="D130" i="38"/>
  <c r="C130" i="38"/>
  <c r="D129" i="38"/>
  <c r="C129" i="38"/>
  <c r="D127" i="38"/>
  <c r="C127" i="38"/>
  <c r="D126" i="38"/>
  <c r="C126" i="38"/>
  <c r="D125" i="38"/>
  <c r="C125" i="38"/>
  <c r="D124" i="38"/>
  <c r="C124" i="38"/>
  <c r="D123" i="38"/>
  <c r="C123" i="38"/>
  <c r="D118" i="38"/>
  <c r="C118" i="38"/>
  <c r="D117" i="38"/>
  <c r="C117" i="38"/>
  <c r="D116" i="38"/>
  <c r="C116" i="38"/>
  <c r="D115" i="38"/>
  <c r="C115" i="38"/>
  <c r="D114" i="38"/>
  <c r="C114" i="38"/>
  <c r="D110" i="38"/>
  <c r="C110" i="38"/>
  <c r="D109" i="38"/>
  <c r="C109" i="38"/>
  <c r="D108" i="38"/>
  <c r="C108" i="38"/>
  <c r="D107" i="38"/>
  <c r="C107" i="38"/>
  <c r="D106" i="38"/>
  <c r="C106" i="38"/>
  <c r="D105" i="38"/>
  <c r="C105" i="38"/>
  <c r="D101" i="38"/>
  <c r="C101" i="38"/>
  <c r="D100" i="38"/>
  <c r="C100" i="38"/>
  <c r="D99" i="38"/>
  <c r="C99" i="38"/>
  <c r="D98" i="38"/>
  <c r="C98" i="38"/>
  <c r="D97" i="38"/>
  <c r="C97" i="38"/>
  <c r="D96" i="38"/>
  <c r="C96" i="38"/>
  <c r="D92" i="38"/>
  <c r="C92" i="38"/>
  <c r="D91" i="38"/>
  <c r="C91" i="38"/>
  <c r="D90" i="38"/>
  <c r="C90" i="38"/>
  <c r="D89" i="38"/>
  <c r="C89" i="38"/>
  <c r="D88" i="38"/>
  <c r="C88" i="38"/>
  <c r="D87" i="38"/>
  <c r="C87" i="38"/>
  <c r="D86" i="38"/>
  <c r="C86" i="38"/>
  <c r="D85" i="38"/>
  <c r="C85" i="38"/>
  <c r="D84" i="38"/>
  <c r="C84" i="38"/>
  <c r="D83" i="38"/>
  <c r="C83" i="38"/>
  <c r="D82" i="38"/>
  <c r="C82" i="38"/>
  <c r="D78" i="38"/>
  <c r="C78" i="38"/>
  <c r="D77" i="38"/>
  <c r="C77" i="38"/>
  <c r="D76" i="38"/>
  <c r="C76" i="38"/>
  <c r="D75" i="38"/>
  <c r="C75" i="38"/>
  <c r="D74" i="38"/>
  <c r="C74" i="38"/>
  <c r="D73" i="38"/>
  <c r="C73" i="38"/>
  <c r="D72" i="38"/>
  <c r="C72" i="38"/>
  <c r="D71" i="38"/>
  <c r="C71" i="38"/>
  <c r="D70" i="38"/>
  <c r="C70" i="38"/>
  <c r="D69" i="38"/>
  <c r="C69" i="38"/>
  <c r="D68" i="38"/>
  <c r="C68" i="38"/>
  <c r="D67" i="38"/>
  <c r="C67" i="38"/>
  <c r="D66" i="38"/>
  <c r="C66" i="38"/>
  <c r="D65" i="38"/>
  <c r="C65" i="38"/>
  <c r="D64" i="38"/>
  <c r="C64" i="38"/>
  <c r="D60" i="38"/>
  <c r="C60" i="38"/>
  <c r="D59" i="38"/>
  <c r="C59" i="38"/>
  <c r="D58" i="38"/>
  <c r="C58" i="38"/>
  <c r="D57" i="38"/>
  <c r="C57" i="38"/>
  <c r="D56" i="38"/>
  <c r="C56" i="38"/>
  <c r="D55" i="38"/>
  <c r="C55" i="38"/>
  <c r="D54" i="38"/>
  <c r="C54" i="38"/>
  <c r="D53" i="38"/>
  <c r="C53" i="38"/>
  <c r="D52" i="38"/>
  <c r="C52" i="38"/>
  <c r="D51" i="38"/>
  <c r="C51" i="38"/>
  <c r="D50" i="38"/>
  <c r="C50" i="38"/>
  <c r="D49" i="38"/>
  <c r="C49" i="38"/>
  <c r="D48" i="38"/>
  <c r="C48" i="38"/>
  <c r="D47" i="38"/>
  <c r="C47" i="38"/>
  <c r="D46" i="38"/>
  <c r="C46" i="38"/>
  <c r="D45" i="38"/>
  <c r="C45" i="38"/>
  <c r="D44" i="38"/>
  <c r="C44" i="38"/>
  <c r="D43" i="38"/>
  <c r="C43" i="38"/>
  <c r="D42" i="38"/>
  <c r="C42" i="38"/>
  <c r="D41" i="38"/>
  <c r="C41" i="38"/>
  <c r="D40" i="38"/>
  <c r="C40" i="38"/>
  <c r="D39" i="38"/>
  <c r="C39" i="38"/>
  <c r="D38" i="38"/>
  <c r="C38" i="38"/>
  <c r="D37" i="38"/>
  <c r="C37" i="38"/>
  <c r="D36" i="38"/>
  <c r="C36" i="38"/>
  <c r="D35" i="38"/>
  <c r="C35" i="38"/>
  <c r="D34" i="38"/>
  <c r="C34" i="38"/>
  <c r="D33" i="38"/>
  <c r="C33" i="38"/>
  <c r="D32" i="38"/>
  <c r="C32" i="38"/>
  <c r="D31" i="38"/>
  <c r="C31" i="38"/>
  <c r="D30" i="38"/>
  <c r="C30" i="38"/>
  <c r="D29" i="38"/>
  <c r="C29" i="38"/>
  <c r="D28" i="38"/>
  <c r="C28" i="38"/>
  <c r="D27" i="38"/>
  <c r="C27" i="38"/>
  <c r="D26" i="38"/>
  <c r="C26" i="38"/>
  <c r="D25" i="38"/>
  <c r="C25" i="38"/>
  <c r="D20" i="38"/>
  <c r="C20" i="38"/>
  <c r="D19" i="38"/>
  <c r="C19" i="38"/>
  <c r="D18" i="38"/>
  <c r="C18" i="38"/>
  <c r="D17" i="38"/>
  <c r="C17" i="38"/>
  <c r="D16" i="38"/>
  <c r="C16" i="38"/>
  <c r="D15" i="38"/>
  <c r="C15" i="38"/>
  <c r="D14" i="38"/>
  <c r="C14" i="38"/>
  <c r="D13" i="38"/>
  <c r="C13" i="38"/>
  <c r="D12" i="38"/>
  <c r="C12" i="38"/>
  <c r="D11" i="38"/>
  <c r="C11" i="38"/>
  <c r="D21" i="38" l="1"/>
  <c r="D119" i="38"/>
  <c r="C21" i="38"/>
  <c r="C102" i="38"/>
  <c r="D102" i="38"/>
  <c r="C119" i="38"/>
  <c r="C228" i="38"/>
  <c r="C93" i="38"/>
  <c r="C111" i="38"/>
  <c r="C161" i="38"/>
  <c r="D111" i="38"/>
  <c r="C79" i="38"/>
  <c r="C197" i="38"/>
  <c r="C206" i="38"/>
  <c r="D93" i="38"/>
  <c r="D161" i="38"/>
  <c r="D79" i="38"/>
  <c r="D197" i="38"/>
  <c r="D206" i="38"/>
  <c r="C61" i="38"/>
  <c r="D61" i="38"/>
  <c r="C208" i="38" l="1"/>
  <c r="C212" i="38" s="1"/>
  <c r="D208" i="38"/>
  <c r="D215" i="38" s="1"/>
  <c r="C215" i="38" l="1"/>
  <c r="G244" i="135"/>
  <c r="G243" i="135"/>
  <c r="G242" i="135"/>
  <c r="G241" i="135"/>
  <c r="C238" i="135"/>
  <c r="C237" i="135"/>
  <c r="C236" i="135"/>
  <c r="C235" i="135"/>
  <c r="C233" i="135"/>
  <c r="C232" i="135"/>
  <c r="C231" i="135"/>
  <c r="D228" i="135"/>
  <c r="C227" i="135"/>
  <c r="C226" i="135"/>
  <c r="C225" i="135"/>
  <c r="C224" i="135"/>
  <c r="C223" i="135"/>
  <c r="C222" i="135"/>
  <c r="C221" i="135"/>
  <c r="C220" i="135"/>
  <c r="C219" i="135"/>
  <c r="C211" i="135"/>
  <c r="D205" i="135"/>
  <c r="C205" i="135"/>
  <c r="D204" i="135"/>
  <c r="C204" i="135"/>
  <c r="D203" i="135"/>
  <c r="C203" i="135"/>
  <c r="D202" i="135"/>
  <c r="C202" i="135"/>
  <c r="D201" i="135"/>
  <c r="C201" i="135"/>
  <c r="D200" i="135"/>
  <c r="C200" i="135"/>
  <c r="D196" i="135"/>
  <c r="C196" i="135"/>
  <c r="D195" i="135"/>
  <c r="C195" i="135"/>
  <c r="D194" i="135"/>
  <c r="C194" i="135"/>
  <c r="D193" i="135"/>
  <c r="C193" i="135"/>
  <c r="D192" i="135"/>
  <c r="C192" i="135"/>
  <c r="D191" i="135"/>
  <c r="C191" i="135"/>
  <c r="D190" i="135"/>
  <c r="C190" i="135"/>
  <c r="D189" i="135"/>
  <c r="C189" i="135"/>
  <c r="D188" i="135"/>
  <c r="C188" i="135"/>
  <c r="D187" i="135"/>
  <c r="C187" i="135"/>
  <c r="D186" i="135"/>
  <c r="C186" i="135"/>
  <c r="D185" i="135"/>
  <c r="C185" i="135"/>
  <c r="D184" i="135"/>
  <c r="C184" i="135"/>
  <c r="D183" i="135"/>
  <c r="C183" i="135"/>
  <c r="D182" i="135"/>
  <c r="C182" i="135"/>
  <c r="D181" i="135"/>
  <c r="C181" i="135"/>
  <c r="D180" i="135"/>
  <c r="C180" i="135"/>
  <c r="D179" i="135"/>
  <c r="C179" i="135"/>
  <c r="D178" i="135"/>
  <c r="C178" i="135"/>
  <c r="D177" i="135"/>
  <c r="C177" i="135"/>
  <c r="D176" i="135"/>
  <c r="C176" i="135"/>
  <c r="D175" i="135"/>
  <c r="C175" i="135"/>
  <c r="D174" i="135"/>
  <c r="C174" i="135"/>
  <c r="D173" i="135"/>
  <c r="C173" i="135"/>
  <c r="D172" i="135"/>
  <c r="C172" i="135"/>
  <c r="D171" i="135"/>
  <c r="C171" i="135"/>
  <c r="D170" i="135"/>
  <c r="C170" i="135"/>
  <c r="D169" i="135"/>
  <c r="C169" i="135"/>
  <c r="D168" i="135"/>
  <c r="C168" i="135"/>
  <c r="D167" i="135"/>
  <c r="C167" i="135"/>
  <c r="D166" i="135"/>
  <c r="C166" i="135"/>
  <c r="D165" i="135"/>
  <c r="C165" i="135"/>
  <c r="D164" i="135"/>
  <c r="C164" i="135"/>
  <c r="D160" i="135"/>
  <c r="C160" i="135"/>
  <c r="D159" i="135"/>
  <c r="C159" i="135"/>
  <c r="D158" i="135"/>
  <c r="C158" i="135"/>
  <c r="D157" i="135"/>
  <c r="C157" i="135"/>
  <c r="D156" i="135"/>
  <c r="C156" i="135"/>
  <c r="D155" i="135"/>
  <c r="C155" i="135"/>
  <c r="D153" i="135"/>
  <c r="C153" i="135"/>
  <c r="D152" i="135"/>
  <c r="C152" i="135"/>
  <c r="D151" i="135"/>
  <c r="C151" i="135"/>
  <c r="D150" i="135"/>
  <c r="C150" i="135"/>
  <c r="D149" i="135"/>
  <c r="C149" i="135"/>
  <c r="D148" i="135"/>
  <c r="C148" i="135"/>
  <c r="D147" i="135"/>
  <c r="C147" i="135"/>
  <c r="D146" i="135"/>
  <c r="C146" i="135"/>
  <c r="D145" i="135"/>
  <c r="C145" i="135"/>
  <c r="D143" i="135"/>
  <c r="C143" i="135"/>
  <c r="D142" i="135"/>
  <c r="C142" i="135"/>
  <c r="D141" i="135"/>
  <c r="C141" i="135"/>
  <c r="D140" i="135"/>
  <c r="C140" i="135"/>
  <c r="D138" i="135"/>
  <c r="C138" i="135"/>
  <c r="D137" i="135"/>
  <c r="C137" i="135"/>
  <c r="D136" i="135"/>
  <c r="C136" i="135"/>
  <c r="D135" i="135"/>
  <c r="C135" i="135"/>
  <c r="D133" i="135"/>
  <c r="C133" i="135"/>
  <c r="D132" i="135"/>
  <c r="C132" i="135"/>
  <c r="D131" i="135"/>
  <c r="C131" i="135"/>
  <c r="D130" i="135"/>
  <c r="C130" i="135"/>
  <c r="D129" i="135"/>
  <c r="C129" i="135"/>
  <c r="D127" i="135"/>
  <c r="C127" i="135"/>
  <c r="D126" i="135"/>
  <c r="C126" i="135"/>
  <c r="D125" i="135"/>
  <c r="C125" i="135"/>
  <c r="D124" i="135"/>
  <c r="C124" i="135"/>
  <c r="D123" i="135"/>
  <c r="C123" i="135"/>
  <c r="D118" i="135"/>
  <c r="C118" i="135"/>
  <c r="D117" i="135"/>
  <c r="C117" i="135"/>
  <c r="D116" i="135"/>
  <c r="C116" i="135"/>
  <c r="D115" i="135"/>
  <c r="C115" i="135"/>
  <c r="D114" i="135"/>
  <c r="C114" i="135"/>
  <c r="D110" i="135"/>
  <c r="C110" i="135"/>
  <c r="D109" i="135"/>
  <c r="C109" i="135"/>
  <c r="D108" i="135"/>
  <c r="C108" i="135"/>
  <c r="D107" i="135"/>
  <c r="C107" i="135"/>
  <c r="D106" i="135"/>
  <c r="C106" i="135"/>
  <c r="D105" i="135"/>
  <c r="C105" i="135"/>
  <c r="D101" i="135"/>
  <c r="C101" i="135"/>
  <c r="D100" i="135"/>
  <c r="C100" i="135"/>
  <c r="D99" i="135"/>
  <c r="C99" i="135"/>
  <c r="D98" i="135"/>
  <c r="C98" i="135"/>
  <c r="D97" i="135"/>
  <c r="C97" i="135"/>
  <c r="D96" i="135"/>
  <c r="C96" i="135"/>
  <c r="D92" i="135"/>
  <c r="C92" i="135"/>
  <c r="D91" i="135"/>
  <c r="C91" i="135"/>
  <c r="D90" i="135"/>
  <c r="C90" i="135"/>
  <c r="D89" i="135"/>
  <c r="C89" i="135"/>
  <c r="D88" i="135"/>
  <c r="C88" i="135"/>
  <c r="D87" i="135"/>
  <c r="C87" i="135"/>
  <c r="D86" i="135"/>
  <c r="C86" i="135"/>
  <c r="D85" i="135"/>
  <c r="C85" i="135"/>
  <c r="D84" i="135"/>
  <c r="C84" i="135"/>
  <c r="D83" i="135"/>
  <c r="C83" i="135"/>
  <c r="D82" i="135"/>
  <c r="C82" i="135"/>
  <c r="D78" i="135"/>
  <c r="C78" i="135"/>
  <c r="D77" i="135"/>
  <c r="C77" i="135"/>
  <c r="D76" i="135"/>
  <c r="C76" i="135"/>
  <c r="D75" i="135"/>
  <c r="C75" i="135"/>
  <c r="D74" i="135"/>
  <c r="C74" i="135"/>
  <c r="D73" i="135"/>
  <c r="C73" i="135"/>
  <c r="D72" i="135"/>
  <c r="C72" i="135"/>
  <c r="D71" i="135"/>
  <c r="C71" i="135"/>
  <c r="D70" i="135"/>
  <c r="C70" i="135"/>
  <c r="D69" i="135"/>
  <c r="C69" i="135"/>
  <c r="D68" i="135"/>
  <c r="C68" i="135"/>
  <c r="D67" i="135"/>
  <c r="C67" i="135"/>
  <c r="D66" i="135"/>
  <c r="C66" i="135"/>
  <c r="D65" i="135"/>
  <c r="C65" i="135"/>
  <c r="D64" i="135"/>
  <c r="C64" i="135"/>
  <c r="D60" i="135"/>
  <c r="C60" i="135"/>
  <c r="D59" i="135"/>
  <c r="C59" i="135"/>
  <c r="D58" i="135"/>
  <c r="C58" i="135"/>
  <c r="D57" i="135"/>
  <c r="C57" i="135"/>
  <c r="D56" i="135"/>
  <c r="C56" i="135"/>
  <c r="D55" i="135"/>
  <c r="C55" i="135"/>
  <c r="D54" i="135"/>
  <c r="C54" i="135"/>
  <c r="D53" i="135"/>
  <c r="C53" i="135"/>
  <c r="D52" i="135"/>
  <c r="C52" i="135"/>
  <c r="D51" i="135"/>
  <c r="C51" i="135"/>
  <c r="D50" i="135"/>
  <c r="C50" i="135"/>
  <c r="D49" i="135"/>
  <c r="C49" i="135"/>
  <c r="D48" i="135"/>
  <c r="C48" i="135"/>
  <c r="D47" i="135"/>
  <c r="C47" i="135"/>
  <c r="D46" i="135"/>
  <c r="C46" i="135"/>
  <c r="D45" i="135"/>
  <c r="C45" i="135"/>
  <c r="D44" i="135"/>
  <c r="C44" i="135"/>
  <c r="D43" i="135"/>
  <c r="C43" i="135"/>
  <c r="D42" i="135"/>
  <c r="C42" i="135"/>
  <c r="D41" i="135"/>
  <c r="C41" i="135"/>
  <c r="D40" i="135"/>
  <c r="C40" i="135"/>
  <c r="D39" i="135"/>
  <c r="C39" i="135"/>
  <c r="D38" i="135"/>
  <c r="C38" i="135"/>
  <c r="D37" i="135"/>
  <c r="C37" i="135"/>
  <c r="D36" i="135"/>
  <c r="C36" i="135"/>
  <c r="D35" i="135"/>
  <c r="C35" i="135"/>
  <c r="D34" i="135"/>
  <c r="C34" i="135"/>
  <c r="D33" i="135"/>
  <c r="C33" i="135"/>
  <c r="D32" i="135"/>
  <c r="C32" i="135"/>
  <c r="D31" i="135"/>
  <c r="C31" i="135"/>
  <c r="D30" i="135"/>
  <c r="C30" i="135"/>
  <c r="D29" i="135"/>
  <c r="C29" i="135"/>
  <c r="D28" i="135"/>
  <c r="C28" i="135"/>
  <c r="D27" i="135"/>
  <c r="C27" i="135"/>
  <c r="D26" i="135"/>
  <c r="C26" i="135"/>
  <c r="D25" i="135"/>
  <c r="C25" i="135"/>
  <c r="D20" i="135"/>
  <c r="C20" i="135"/>
  <c r="D19" i="135"/>
  <c r="C19" i="135"/>
  <c r="D18" i="135"/>
  <c r="C18" i="135"/>
  <c r="D17" i="135"/>
  <c r="C17" i="135"/>
  <c r="D16" i="135"/>
  <c r="C16" i="135"/>
  <c r="D15" i="135"/>
  <c r="C15" i="135"/>
  <c r="D14" i="135"/>
  <c r="C14" i="135"/>
  <c r="D13" i="135"/>
  <c r="C13" i="135"/>
  <c r="D12" i="135"/>
  <c r="C12" i="135"/>
  <c r="D11" i="135"/>
  <c r="C11" i="135"/>
  <c r="D21" i="135" l="1"/>
  <c r="D119" i="135"/>
  <c r="D102" i="135"/>
  <c r="C21" i="135"/>
  <c r="C102" i="135"/>
  <c r="C119" i="135"/>
  <c r="C161" i="135"/>
  <c r="D93" i="135"/>
  <c r="D161" i="135"/>
  <c r="C228" i="135"/>
  <c r="C197" i="135"/>
  <c r="D79" i="135"/>
  <c r="D111" i="135"/>
  <c r="D197" i="135"/>
  <c r="C206" i="135"/>
  <c r="C93" i="135"/>
  <c r="C79" i="135"/>
  <c r="C111" i="135"/>
  <c r="D206" i="135"/>
  <c r="C61" i="135"/>
  <c r="D61" i="135"/>
  <c r="D208" i="135" s="1"/>
  <c r="D215" i="135" s="1"/>
  <c r="C208" i="135" l="1"/>
  <c r="C212" i="135" s="1"/>
  <c r="C215" i="135" l="1"/>
  <c r="G244" i="167"/>
  <c r="G243" i="167"/>
  <c r="G242" i="167"/>
  <c r="G241" i="167"/>
  <c r="C238" i="167"/>
  <c r="C237" i="167"/>
  <c r="C236" i="167"/>
  <c r="C235" i="167"/>
  <c r="C233" i="167"/>
  <c r="C232" i="167"/>
  <c r="C231" i="167"/>
  <c r="D228" i="167"/>
  <c r="C227" i="167"/>
  <c r="C226" i="167"/>
  <c r="C225" i="167"/>
  <c r="C224" i="167"/>
  <c r="C223" i="167"/>
  <c r="C222" i="167"/>
  <c r="C221" i="167"/>
  <c r="C220" i="167"/>
  <c r="C219" i="167"/>
  <c r="C211" i="167"/>
  <c r="D205" i="167"/>
  <c r="C205" i="167"/>
  <c r="D204" i="167"/>
  <c r="C204" i="167"/>
  <c r="D203" i="167"/>
  <c r="C203" i="167"/>
  <c r="D202" i="167"/>
  <c r="C202" i="167"/>
  <c r="D201" i="167"/>
  <c r="C201" i="167"/>
  <c r="D200" i="167"/>
  <c r="C200" i="167"/>
  <c r="D196" i="167"/>
  <c r="C196" i="167"/>
  <c r="D195" i="167"/>
  <c r="C195" i="167"/>
  <c r="D194" i="167"/>
  <c r="C194" i="167"/>
  <c r="D193" i="167"/>
  <c r="C193" i="167"/>
  <c r="D192" i="167"/>
  <c r="C192" i="167"/>
  <c r="D191" i="167"/>
  <c r="C191" i="167"/>
  <c r="D190" i="167"/>
  <c r="C190" i="167"/>
  <c r="D189" i="167"/>
  <c r="C189" i="167"/>
  <c r="D188" i="167"/>
  <c r="C188" i="167"/>
  <c r="D187" i="167"/>
  <c r="C187" i="167"/>
  <c r="D186" i="167"/>
  <c r="C186" i="167"/>
  <c r="D185" i="167"/>
  <c r="C185" i="167"/>
  <c r="D184" i="167"/>
  <c r="C184" i="167"/>
  <c r="D183" i="167"/>
  <c r="C183" i="167"/>
  <c r="D182" i="167"/>
  <c r="C182" i="167"/>
  <c r="D181" i="167"/>
  <c r="C181" i="167"/>
  <c r="D180" i="167"/>
  <c r="C180" i="167"/>
  <c r="D179" i="167"/>
  <c r="C179" i="167"/>
  <c r="D178" i="167"/>
  <c r="C178" i="167"/>
  <c r="D177" i="167"/>
  <c r="C177" i="167"/>
  <c r="D176" i="167"/>
  <c r="C176" i="167"/>
  <c r="D175" i="167"/>
  <c r="C175" i="167"/>
  <c r="D174" i="167"/>
  <c r="C174" i="167"/>
  <c r="D173" i="167"/>
  <c r="C173" i="167"/>
  <c r="D172" i="167"/>
  <c r="C172" i="167"/>
  <c r="D171" i="167"/>
  <c r="C171" i="167"/>
  <c r="D170" i="167"/>
  <c r="C170" i="167"/>
  <c r="D169" i="167"/>
  <c r="C169" i="167"/>
  <c r="D168" i="167"/>
  <c r="C168" i="167"/>
  <c r="D167" i="167"/>
  <c r="C167" i="167"/>
  <c r="D166" i="167"/>
  <c r="C166" i="167"/>
  <c r="D165" i="167"/>
  <c r="C165" i="167"/>
  <c r="D164" i="167"/>
  <c r="C164" i="167"/>
  <c r="D160" i="167"/>
  <c r="C160" i="167"/>
  <c r="D159" i="167"/>
  <c r="C159" i="167"/>
  <c r="D158" i="167"/>
  <c r="C158" i="167"/>
  <c r="D157" i="167"/>
  <c r="C157" i="167"/>
  <c r="D156" i="167"/>
  <c r="C156" i="167"/>
  <c r="D155" i="167"/>
  <c r="C155" i="167"/>
  <c r="D153" i="167"/>
  <c r="C153" i="167"/>
  <c r="D152" i="167"/>
  <c r="C152" i="167"/>
  <c r="D151" i="167"/>
  <c r="C151" i="167"/>
  <c r="D150" i="167"/>
  <c r="C150" i="167"/>
  <c r="D149" i="167"/>
  <c r="C149" i="167"/>
  <c r="D148" i="167"/>
  <c r="C148" i="167"/>
  <c r="D147" i="167"/>
  <c r="C147" i="167"/>
  <c r="D146" i="167"/>
  <c r="C146" i="167"/>
  <c r="D145" i="167"/>
  <c r="C145" i="167"/>
  <c r="D143" i="167"/>
  <c r="C143" i="167"/>
  <c r="D142" i="167"/>
  <c r="C142" i="167"/>
  <c r="D141" i="167"/>
  <c r="C141" i="167"/>
  <c r="D140" i="167"/>
  <c r="C140" i="167"/>
  <c r="D138" i="167"/>
  <c r="C138" i="167"/>
  <c r="D137" i="167"/>
  <c r="C137" i="167"/>
  <c r="D136" i="167"/>
  <c r="C136" i="167"/>
  <c r="D135" i="167"/>
  <c r="C135" i="167"/>
  <c r="D133" i="167"/>
  <c r="C133" i="167"/>
  <c r="D132" i="167"/>
  <c r="C132" i="167"/>
  <c r="D131" i="167"/>
  <c r="C131" i="167"/>
  <c r="D130" i="167"/>
  <c r="C130" i="167"/>
  <c r="D129" i="167"/>
  <c r="C129" i="167"/>
  <c r="D127" i="167"/>
  <c r="C127" i="167"/>
  <c r="D126" i="167"/>
  <c r="C126" i="167"/>
  <c r="D125" i="167"/>
  <c r="C125" i="167"/>
  <c r="D124" i="167"/>
  <c r="C124" i="167"/>
  <c r="D123" i="167"/>
  <c r="C123" i="167"/>
  <c r="D118" i="167"/>
  <c r="C118" i="167"/>
  <c r="D117" i="167"/>
  <c r="C117" i="167"/>
  <c r="D116" i="167"/>
  <c r="C116" i="167"/>
  <c r="D115" i="167"/>
  <c r="C115" i="167"/>
  <c r="D114" i="167"/>
  <c r="C114" i="167"/>
  <c r="D110" i="167"/>
  <c r="C110" i="167"/>
  <c r="D109" i="167"/>
  <c r="C109" i="167"/>
  <c r="D108" i="167"/>
  <c r="C108" i="167"/>
  <c r="D107" i="167"/>
  <c r="C107" i="167"/>
  <c r="D106" i="167"/>
  <c r="C106" i="167"/>
  <c r="D105" i="167"/>
  <c r="C105" i="167"/>
  <c r="D101" i="167"/>
  <c r="C101" i="167"/>
  <c r="D100" i="167"/>
  <c r="C100" i="167"/>
  <c r="D99" i="167"/>
  <c r="C99" i="167"/>
  <c r="D98" i="167"/>
  <c r="C98" i="167"/>
  <c r="D97" i="167"/>
  <c r="C97" i="167"/>
  <c r="D96" i="167"/>
  <c r="C96" i="167"/>
  <c r="C102" i="167" s="1"/>
  <c r="D92" i="167"/>
  <c r="C92" i="167"/>
  <c r="D91" i="167"/>
  <c r="C91" i="167"/>
  <c r="D90" i="167"/>
  <c r="C90" i="167"/>
  <c r="D89" i="167"/>
  <c r="C89" i="167"/>
  <c r="D88" i="167"/>
  <c r="C88" i="167"/>
  <c r="D87" i="167"/>
  <c r="C87" i="167"/>
  <c r="D86" i="167"/>
  <c r="C86" i="167"/>
  <c r="D85" i="167"/>
  <c r="C85" i="167"/>
  <c r="D84" i="167"/>
  <c r="C84" i="167"/>
  <c r="D83" i="167"/>
  <c r="C83" i="167"/>
  <c r="D82" i="167"/>
  <c r="C82" i="167"/>
  <c r="D78" i="167"/>
  <c r="C78" i="167"/>
  <c r="D77" i="167"/>
  <c r="C77" i="167"/>
  <c r="D76" i="167"/>
  <c r="C76" i="167"/>
  <c r="D75" i="167"/>
  <c r="C75" i="167"/>
  <c r="D74" i="167"/>
  <c r="C74" i="167"/>
  <c r="D73" i="167"/>
  <c r="C73" i="167"/>
  <c r="D72" i="167"/>
  <c r="C72" i="167"/>
  <c r="D71" i="167"/>
  <c r="C71" i="167"/>
  <c r="D70" i="167"/>
  <c r="C70" i="167"/>
  <c r="D69" i="167"/>
  <c r="C69" i="167"/>
  <c r="D68" i="167"/>
  <c r="C68" i="167"/>
  <c r="D67" i="167"/>
  <c r="C67" i="167"/>
  <c r="D66" i="167"/>
  <c r="C66" i="167"/>
  <c r="D65" i="167"/>
  <c r="C65" i="167"/>
  <c r="D64" i="167"/>
  <c r="C64" i="167"/>
  <c r="D60" i="167"/>
  <c r="C60" i="167"/>
  <c r="D59" i="167"/>
  <c r="C59" i="167"/>
  <c r="D58" i="167"/>
  <c r="C58" i="167"/>
  <c r="D57" i="167"/>
  <c r="C57" i="167"/>
  <c r="D56" i="167"/>
  <c r="C56" i="167"/>
  <c r="D55" i="167"/>
  <c r="C55" i="167"/>
  <c r="D54" i="167"/>
  <c r="C54" i="167"/>
  <c r="D53" i="167"/>
  <c r="C53" i="167"/>
  <c r="D52" i="167"/>
  <c r="C52" i="167"/>
  <c r="D51" i="167"/>
  <c r="C51" i="167"/>
  <c r="D50" i="167"/>
  <c r="C50" i="167"/>
  <c r="D49" i="167"/>
  <c r="C49" i="167"/>
  <c r="D48" i="167"/>
  <c r="C48" i="167"/>
  <c r="D47" i="167"/>
  <c r="C47" i="167"/>
  <c r="D46" i="167"/>
  <c r="C46" i="167"/>
  <c r="D45" i="167"/>
  <c r="C45" i="167"/>
  <c r="D44" i="167"/>
  <c r="C44" i="167"/>
  <c r="D43" i="167"/>
  <c r="C43" i="167"/>
  <c r="D42" i="167"/>
  <c r="C42" i="167"/>
  <c r="D41" i="167"/>
  <c r="C41" i="167"/>
  <c r="D40" i="167"/>
  <c r="C40" i="167"/>
  <c r="D39" i="167"/>
  <c r="C39" i="167"/>
  <c r="D38" i="167"/>
  <c r="C38" i="167"/>
  <c r="D37" i="167"/>
  <c r="C37" i="167"/>
  <c r="D36" i="167"/>
  <c r="C36" i="167"/>
  <c r="D35" i="167"/>
  <c r="C35" i="167"/>
  <c r="D34" i="167"/>
  <c r="C34" i="167"/>
  <c r="D33" i="167"/>
  <c r="C33" i="167"/>
  <c r="D32" i="167"/>
  <c r="C32" i="167"/>
  <c r="D31" i="167"/>
  <c r="C31" i="167"/>
  <c r="D30" i="167"/>
  <c r="C30" i="167"/>
  <c r="D29" i="167"/>
  <c r="C29" i="167"/>
  <c r="D28" i="167"/>
  <c r="C28" i="167"/>
  <c r="D27" i="167"/>
  <c r="C27" i="167"/>
  <c r="D26" i="167"/>
  <c r="C26" i="167"/>
  <c r="D25" i="167"/>
  <c r="C25" i="167"/>
  <c r="D20" i="167"/>
  <c r="C20" i="167"/>
  <c r="D19" i="167"/>
  <c r="C19" i="167"/>
  <c r="D18" i="167"/>
  <c r="C18" i="167"/>
  <c r="D17" i="167"/>
  <c r="C17" i="167"/>
  <c r="D16" i="167"/>
  <c r="C16" i="167"/>
  <c r="D15" i="167"/>
  <c r="C15" i="167"/>
  <c r="D14" i="167"/>
  <c r="C14" i="167"/>
  <c r="D13" i="167"/>
  <c r="C13" i="167"/>
  <c r="D12" i="167"/>
  <c r="C12" i="167"/>
  <c r="D11" i="167"/>
  <c r="C11" i="167"/>
  <c r="C21" i="167" s="1"/>
  <c r="D119" i="167" l="1"/>
  <c r="D21" i="167"/>
  <c r="D102" i="167"/>
  <c r="C119" i="167"/>
  <c r="D93" i="167"/>
  <c r="D111" i="167"/>
  <c r="D161" i="167"/>
  <c r="C228" i="167"/>
  <c r="C79" i="167"/>
  <c r="C197" i="167"/>
  <c r="C206" i="167"/>
  <c r="C93" i="167"/>
  <c r="C111" i="167"/>
  <c r="C161" i="167"/>
  <c r="D79" i="167"/>
  <c r="D197" i="167"/>
  <c r="D206" i="167"/>
  <c r="C61" i="167"/>
  <c r="D61" i="167"/>
  <c r="G244" i="84"/>
  <c r="G243" i="84"/>
  <c r="G242" i="84"/>
  <c r="G241" i="84"/>
  <c r="C238" i="84"/>
  <c r="C237" i="84"/>
  <c r="C236" i="84"/>
  <c r="C235" i="84"/>
  <c r="C233" i="84"/>
  <c r="C232" i="84"/>
  <c r="C231" i="84"/>
  <c r="D228" i="84"/>
  <c r="C227" i="84"/>
  <c r="C226" i="84"/>
  <c r="C225" i="84"/>
  <c r="C224" i="84"/>
  <c r="C223" i="84"/>
  <c r="C222" i="84"/>
  <c r="C221" i="84"/>
  <c r="C220" i="84"/>
  <c r="C219" i="84"/>
  <c r="C211" i="84"/>
  <c r="D205" i="84"/>
  <c r="C205" i="84"/>
  <c r="D204" i="84"/>
  <c r="C204" i="84"/>
  <c r="D203" i="84"/>
  <c r="C203" i="84"/>
  <c r="D202" i="84"/>
  <c r="C202" i="84"/>
  <c r="D201" i="84"/>
  <c r="C201" i="84"/>
  <c r="D200" i="84"/>
  <c r="C200" i="84"/>
  <c r="D196" i="84"/>
  <c r="C196" i="84"/>
  <c r="D195" i="84"/>
  <c r="C195" i="84"/>
  <c r="D194" i="84"/>
  <c r="C194" i="84"/>
  <c r="D193" i="84"/>
  <c r="C193" i="84"/>
  <c r="D192" i="84"/>
  <c r="C192" i="84"/>
  <c r="D191" i="84"/>
  <c r="C191" i="84"/>
  <c r="D190" i="84"/>
  <c r="C190" i="84"/>
  <c r="D189" i="84"/>
  <c r="C189" i="84"/>
  <c r="D188" i="84"/>
  <c r="C188" i="84"/>
  <c r="D187" i="84"/>
  <c r="C187" i="84"/>
  <c r="D186" i="84"/>
  <c r="C186" i="84"/>
  <c r="D185" i="84"/>
  <c r="C185" i="84"/>
  <c r="D184" i="84"/>
  <c r="C184" i="84"/>
  <c r="D183" i="84"/>
  <c r="C183" i="84"/>
  <c r="D182" i="84"/>
  <c r="C182" i="84"/>
  <c r="D181" i="84"/>
  <c r="C181" i="84"/>
  <c r="D180" i="84"/>
  <c r="C180" i="84"/>
  <c r="D179" i="84"/>
  <c r="C179" i="84"/>
  <c r="D178" i="84"/>
  <c r="C178" i="84"/>
  <c r="D177" i="84"/>
  <c r="C177" i="84"/>
  <c r="D176" i="84"/>
  <c r="C176" i="84"/>
  <c r="D175" i="84"/>
  <c r="C175" i="84"/>
  <c r="D174" i="84"/>
  <c r="C174" i="84"/>
  <c r="D173" i="84"/>
  <c r="C173" i="84"/>
  <c r="D172" i="84"/>
  <c r="C172" i="84"/>
  <c r="D171" i="84"/>
  <c r="C171" i="84"/>
  <c r="D170" i="84"/>
  <c r="C170" i="84"/>
  <c r="D169" i="84"/>
  <c r="C169" i="84"/>
  <c r="D168" i="84"/>
  <c r="C168" i="84"/>
  <c r="D167" i="84"/>
  <c r="C167" i="84"/>
  <c r="D166" i="84"/>
  <c r="C166" i="84"/>
  <c r="D165" i="84"/>
  <c r="C165" i="84"/>
  <c r="D164" i="84"/>
  <c r="C164" i="84"/>
  <c r="C197" i="84" s="1"/>
  <c r="D160" i="84"/>
  <c r="C160" i="84"/>
  <c r="D159" i="84"/>
  <c r="C159" i="84"/>
  <c r="D158" i="84"/>
  <c r="C158" i="84"/>
  <c r="D157" i="84"/>
  <c r="C157" i="84"/>
  <c r="D156" i="84"/>
  <c r="C156" i="84"/>
  <c r="D155" i="84"/>
  <c r="C155" i="84"/>
  <c r="D153" i="84"/>
  <c r="C153" i="84"/>
  <c r="D152" i="84"/>
  <c r="C152" i="84"/>
  <c r="D151" i="84"/>
  <c r="C151" i="84"/>
  <c r="D150" i="84"/>
  <c r="C150" i="84"/>
  <c r="D149" i="84"/>
  <c r="C149" i="84"/>
  <c r="D148" i="84"/>
  <c r="C148" i="84"/>
  <c r="D147" i="84"/>
  <c r="C147" i="84"/>
  <c r="D146" i="84"/>
  <c r="C146" i="84"/>
  <c r="D145" i="84"/>
  <c r="C145" i="84"/>
  <c r="D143" i="84"/>
  <c r="C143" i="84"/>
  <c r="D142" i="84"/>
  <c r="C142" i="84"/>
  <c r="D141" i="84"/>
  <c r="C141" i="84"/>
  <c r="D140" i="84"/>
  <c r="C140" i="84"/>
  <c r="D138" i="84"/>
  <c r="C138" i="84"/>
  <c r="D137" i="84"/>
  <c r="C137" i="84"/>
  <c r="D136" i="84"/>
  <c r="C136" i="84"/>
  <c r="D135" i="84"/>
  <c r="C135" i="84"/>
  <c r="D133" i="84"/>
  <c r="C133" i="84"/>
  <c r="D132" i="84"/>
  <c r="C132" i="84"/>
  <c r="D131" i="84"/>
  <c r="C131" i="84"/>
  <c r="D130" i="84"/>
  <c r="C130" i="84"/>
  <c r="D129" i="84"/>
  <c r="C129" i="84"/>
  <c r="D127" i="84"/>
  <c r="C127" i="84"/>
  <c r="D126" i="84"/>
  <c r="C126" i="84"/>
  <c r="D125" i="84"/>
  <c r="C125" i="84"/>
  <c r="D124" i="84"/>
  <c r="C124" i="84"/>
  <c r="D123" i="84"/>
  <c r="C123" i="84"/>
  <c r="D118" i="84"/>
  <c r="C118" i="84"/>
  <c r="D117" i="84"/>
  <c r="C117" i="84"/>
  <c r="D116" i="84"/>
  <c r="C116" i="84"/>
  <c r="D115" i="84"/>
  <c r="C115" i="84"/>
  <c r="D114" i="84"/>
  <c r="C114" i="84"/>
  <c r="D110" i="84"/>
  <c r="C110" i="84"/>
  <c r="D109" i="84"/>
  <c r="C109" i="84"/>
  <c r="D108" i="84"/>
  <c r="C108" i="84"/>
  <c r="D107" i="84"/>
  <c r="C107" i="84"/>
  <c r="D106" i="84"/>
  <c r="C106" i="84"/>
  <c r="D105" i="84"/>
  <c r="C105" i="84"/>
  <c r="D101" i="84"/>
  <c r="C101" i="84"/>
  <c r="D100" i="84"/>
  <c r="C100" i="84"/>
  <c r="D99" i="84"/>
  <c r="C99" i="84"/>
  <c r="D98" i="84"/>
  <c r="C98" i="84"/>
  <c r="D97" i="84"/>
  <c r="C97" i="84"/>
  <c r="D96" i="84"/>
  <c r="C96" i="84"/>
  <c r="D92" i="84"/>
  <c r="C92" i="84"/>
  <c r="D91" i="84"/>
  <c r="C91" i="84"/>
  <c r="D90" i="84"/>
  <c r="C90" i="84"/>
  <c r="D89" i="84"/>
  <c r="C89" i="84"/>
  <c r="D88" i="84"/>
  <c r="C88" i="84"/>
  <c r="D87" i="84"/>
  <c r="C87" i="84"/>
  <c r="D86" i="84"/>
  <c r="C86" i="84"/>
  <c r="D85" i="84"/>
  <c r="C85" i="84"/>
  <c r="D84" i="84"/>
  <c r="C84" i="84"/>
  <c r="D83" i="84"/>
  <c r="C83" i="84"/>
  <c r="D82" i="84"/>
  <c r="C82" i="84"/>
  <c r="D78" i="84"/>
  <c r="C78" i="84"/>
  <c r="D77" i="84"/>
  <c r="C77" i="84"/>
  <c r="D76" i="84"/>
  <c r="C76" i="84"/>
  <c r="D75" i="84"/>
  <c r="C75" i="84"/>
  <c r="D74" i="84"/>
  <c r="C74" i="84"/>
  <c r="D73" i="84"/>
  <c r="C73" i="84"/>
  <c r="D72" i="84"/>
  <c r="C72" i="84"/>
  <c r="D71" i="84"/>
  <c r="C71" i="84"/>
  <c r="D70" i="84"/>
  <c r="C70" i="84"/>
  <c r="D69" i="84"/>
  <c r="C69" i="84"/>
  <c r="D68" i="84"/>
  <c r="C68" i="84"/>
  <c r="D67" i="84"/>
  <c r="C67" i="84"/>
  <c r="D66" i="84"/>
  <c r="C66" i="84"/>
  <c r="D65" i="84"/>
  <c r="C65" i="84"/>
  <c r="D64" i="84"/>
  <c r="C64" i="84"/>
  <c r="D60" i="84"/>
  <c r="C60" i="84"/>
  <c r="D59" i="84"/>
  <c r="C59" i="84"/>
  <c r="D58" i="84"/>
  <c r="C58" i="84"/>
  <c r="D57" i="84"/>
  <c r="C57" i="84"/>
  <c r="D56" i="84"/>
  <c r="C56" i="84"/>
  <c r="D55" i="84"/>
  <c r="C55" i="84"/>
  <c r="D54" i="84"/>
  <c r="C54" i="84"/>
  <c r="D53" i="84"/>
  <c r="C53" i="84"/>
  <c r="D52" i="84"/>
  <c r="C52" i="84"/>
  <c r="D51" i="84"/>
  <c r="C51" i="84"/>
  <c r="D50" i="84"/>
  <c r="C50" i="84"/>
  <c r="D49" i="84"/>
  <c r="C49" i="84"/>
  <c r="D48" i="84"/>
  <c r="C48" i="84"/>
  <c r="D47" i="84"/>
  <c r="C47" i="84"/>
  <c r="D46" i="84"/>
  <c r="C46" i="84"/>
  <c r="D45" i="84"/>
  <c r="C45" i="84"/>
  <c r="D44" i="84"/>
  <c r="C44" i="84"/>
  <c r="D43" i="84"/>
  <c r="C43" i="84"/>
  <c r="D42" i="84"/>
  <c r="C42" i="84"/>
  <c r="D41" i="84"/>
  <c r="C41" i="84"/>
  <c r="D40" i="84"/>
  <c r="C40" i="84"/>
  <c r="D39" i="84"/>
  <c r="C39" i="84"/>
  <c r="D38" i="84"/>
  <c r="C38" i="84"/>
  <c r="D37" i="84"/>
  <c r="C37" i="84"/>
  <c r="D36" i="84"/>
  <c r="C36" i="84"/>
  <c r="D35" i="84"/>
  <c r="C35" i="84"/>
  <c r="D34" i="84"/>
  <c r="C34" i="84"/>
  <c r="D33" i="84"/>
  <c r="C33" i="84"/>
  <c r="D32" i="84"/>
  <c r="C32" i="84"/>
  <c r="D31" i="84"/>
  <c r="C31" i="84"/>
  <c r="D30" i="84"/>
  <c r="C30" i="84"/>
  <c r="D29" i="84"/>
  <c r="C29" i="84"/>
  <c r="D28" i="84"/>
  <c r="C28" i="84"/>
  <c r="D27" i="84"/>
  <c r="C27" i="84"/>
  <c r="D26" i="84"/>
  <c r="C26" i="84"/>
  <c r="D25" i="84"/>
  <c r="C25" i="84"/>
  <c r="D20" i="84"/>
  <c r="C20" i="84"/>
  <c r="D19" i="84"/>
  <c r="C19" i="84"/>
  <c r="D18" i="84"/>
  <c r="C18" i="84"/>
  <c r="D17" i="84"/>
  <c r="C17" i="84"/>
  <c r="D16" i="84"/>
  <c r="C16" i="84"/>
  <c r="D15" i="84"/>
  <c r="C15" i="84"/>
  <c r="D14" i="84"/>
  <c r="C14" i="84"/>
  <c r="D13" i="84"/>
  <c r="C13" i="84"/>
  <c r="D12" i="84"/>
  <c r="C12" i="84"/>
  <c r="D11" i="84"/>
  <c r="C11" i="84"/>
  <c r="D119" i="84" l="1"/>
  <c r="C228" i="84"/>
  <c r="C208" i="167"/>
  <c r="C212" i="167" s="1"/>
  <c r="D208" i="167"/>
  <c r="D215" i="167" s="1"/>
  <c r="D61" i="84"/>
  <c r="D111" i="84"/>
  <c r="C206" i="84"/>
  <c r="D161" i="84"/>
  <c r="C102" i="84"/>
  <c r="C119" i="84"/>
  <c r="D21" i="84"/>
  <c r="D102" i="84"/>
  <c r="C79" i="84"/>
  <c r="C111" i="84"/>
  <c r="D93" i="84"/>
  <c r="D79" i="84"/>
  <c r="D197" i="84"/>
  <c r="D206" i="84"/>
  <c r="C21" i="84"/>
  <c r="C93" i="84"/>
  <c r="C161" i="84"/>
  <c r="C61" i="84"/>
  <c r="D208" i="84" l="1"/>
  <c r="C208" i="84"/>
  <c r="C212" i="84" s="1"/>
  <c r="C215" i="167"/>
  <c r="D215" i="84"/>
  <c r="C215" i="84" l="1"/>
  <c r="G244" i="45"/>
  <c r="G243" i="45"/>
  <c r="G242" i="45"/>
  <c r="G241" i="45"/>
  <c r="C238" i="45"/>
  <c r="C237" i="45"/>
  <c r="C236" i="45"/>
  <c r="C235" i="45"/>
  <c r="C233" i="45"/>
  <c r="C232" i="45"/>
  <c r="C231" i="45"/>
  <c r="D228" i="45"/>
  <c r="C227" i="45"/>
  <c r="C226" i="45"/>
  <c r="C225" i="45"/>
  <c r="C224" i="45"/>
  <c r="C223" i="45"/>
  <c r="C222" i="45"/>
  <c r="C221" i="45"/>
  <c r="C220" i="45"/>
  <c r="C219" i="45"/>
  <c r="C211" i="45"/>
  <c r="D205" i="45"/>
  <c r="C205" i="45"/>
  <c r="D204" i="45"/>
  <c r="C204" i="45"/>
  <c r="D203" i="45"/>
  <c r="C203" i="45"/>
  <c r="D202" i="45"/>
  <c r="C202" i="45"/>
  <c r="D201" i="45"/>
  <c r="C201" i="45"/>
  <c r="D200" i="45"/>
  <c r="C200" i="45"/>
  <c r="D196" i="45"/>
  <c r="C196" i="45"/>
  <c r="D195" i="45"/>
  <c r="C195" i="45"/>
  <c r="D194" i="45"/>
  <c r="C194" i="45"/>
  <c r="D193" i="45"/>
  <c r="C193" i="45"/>
  <c r="D192" i="45"/>
  <c r="C192" i="45"/>
  <c r="D191" i="45"/>
  <c r="C191" i="45"/>
  <c r="D190" i="45"/>
  <c r="C190" i="45"/>
  <c r="D189" i="45"/>
  <c r="C189" i="45"/>
  <c r="D188" i="45"/>
  <c r="C188" i="45"/>
  <c r="D187" i="45"/>
  <c r="C187" i="45"/>
  <c r="D186" i="45"/>
  <c r="C186" i="45"/>
  <c r="D185" i="45"/>
  <c r="C185" i="45"/>
  <c r="D184" i="45"/>
  <c r="C184" i="45"/>
  <c r="D183" i="45"/>
  <c r="C183" i="45"/>
  <c r="D182" i="45"/>
  <c r="C182" i="45"/>
  <c r="D181" i="45"/>
  <c r="C181" i="45"/>
  <c r="D180" i="45"/>
  <c r="C180" i="45"/>
  <c r="D179" i="45"/>
  <c r="C179" i="45"/>
  <c r="D178" i="45"/>
  <c r="C178" i="45"/>
  <c r="D177" i="45"/>
  <c r="C177" i="45"/>
  <c r="D176" i="45"/>
  <c r="C176" i="45"/>
  <c r="D175" i="45"/>
  <c r="C175" i="45"/>
  <c r="D174" i="45"/>
  <c r="C174" i="45"/>
  <c r="D173" i="45"/>
  <c r="C173" i="45"/>
  <c r="D172" i="45"/>
  <c r="C172" i="45"/>
  <c r="D171" i="45"/>
  <c r="C171" i="45"/>
  <c r="D170" i="45"/>
  <c r="C170" i="45"/>
  <c r="D169" i="45"/>
  <c r="C169" i="45"/>
  <c r="D168" i="45"/>
  <c r="C168" i="45"/>
  <c r="D167" i="45"/>
  <c r="C167" i="45"/>
  <c r="D166" i="45"/>
  <c r="C166" i="45"/>
  <c r="D165" i="45"/>
  <c r="C165" i="45"/>
  <c r="D164" i="45"/>
  <c r="C164" i="45"/>
  <c r="D160" i="45"/>
  <c r="C160" i="45"/>
  <c r="D159" i="45"/>
  <c r="C159" i="45"/>
  <c r="D158" i="45"/>
  <c r="C158" i="45"/>
  <c r="D157" i="45"/>
  <c r="C157" i="45"/>
  <c r="D156" i="45"/>
  <c r="C156" i="45"/>
  <c r="D155" i="45"/>
  <c r="C155" i="45"/>
  <c r="D153" i="45"/>
  <c r="C153" i="45"/>
  <c r="D152" i="45"/>
  <c r="C152" i="45"/>
  <c r="D151" i="45"/>
  <c r="C151" i="45"/>
  <c r="D150" i="45"/>
  <c r="C150" i="45"/>
  <c r="D149" i="45"/>
  <c r="C149" i="45"/>
  <c r="D148" i="45"/>
  <c r="C148" i="45"/>
  <c r="D147" i="45"/>
  <c r="C147" i="45"/>
  <c r="D146" i="45"/>
  <c r="C146" i="45"/>
  <c r="D145" i="45"/>
  <c r="C145" i="45"/>
  <c r="D143" i="45"/>
  <c r="C143" i="45"/>
  <c r="D142" i="45"/>
  <c r="C142" i="45"/>
  <c r="D141" i="45"/>
  <c r="C141" i="45"/>
  <c r="D140" i="45"/>
  <c r="C140" i="45"/>
  <c r="D138" i="45"/>
  <c r="C138" i="45"/>
  <c r="D137" i="45"/>
  <c r="C137" i="45"/>
  <c r="D136" i="45"/>
  <c r="C136" i="45"/>
  <c r="D135" i="45"/>
  <c r="C135" i="45"/>
  <c r="D133" i="45"/>
  <c r="C133" i="45"/>
  <c r="D132" i="45"/>
  <c r="C132" i="45"/>
  <c r="D131" i="45"/>
  <c r="C131" i="45"/>
  <c r="D130" i="45"/>
  <c r="C130" i="45"/>
  <c r="D129" i="45"/>
  <c r="C129" i="45"/>
  <c r="D127" i="45"/>
  <c r="C127" i="45"/>
  <c r="D126" i="45"/>
  <c r="C126" i="45"/>
  <c r="D125" i="45"/>
  <c r="C125" i="45"/>
  <c r="D124" i="45"/>
  <c r="C124" i="45"/>
  <c r="D123" i="45"/>
  <c r="C123" i="45"/>
  <c r="D118" i="45"/>
  <c r="C118" i="45"/>
  <c r="D117" i="45"/>
  <c r="C117" i="45"/>
  <c r="D116" i="45"/>
  <c r="C116" i="45"/>
  <c r="D115" i="45"/>
  <c r="C115" i="45"/>
  <c r="C119" i="45" s="1"/>
  <c r="D114" i="45"/>
  <c r="C114" i="45"/>
  <c r="D110" i="45"/>
  <c r="C110" i="45"/>
  <c r="D109" i="45"/>
  <c r="C109" i="45"/>
  <c r="D108" i="45"/>
  <c r="C108" i="45"/>
  <c r="D107" i="45"/>
  <c r="C107" i="45"/>
  <c r="D106" i="45"/>
  <c r="C106" i="45"/>
  <c r="D105" i="45"/>
  <c r="C105" i="45"/>
  <c r="D101" i="45"/>
  <c r="C101" i="45"/>
  <c r="D100" i="45"/>
  <c r="C100" i="45"/>
  <c r="D99" i="45"/>
  <c r="C99" i="45"/>
  <c r="D98" i="45"/>
  <c r="C98" i="45"/>
  <c r="D97" i="45"/>
  <c r="C97" i="45"/>
  <c r="D96" i="45"/>
  <c r="C96" i="45"/>
  <c r="D92" i="45"/>
  <c r="C92" i="45"/>
  <c r="D91" i="45"/>
  <c r="C91" i="45"/>
  <c r="D90" i="45"/>
  <c r="C90" i="45"/>
  <c r="D89" i="45"/>
  <c r="C89" i="45"/>
  <c r="D88" i="45"/>
  <c r="C88" i="45"/>
  <c r="D87" i="45"/>
  <c r="C87" i="45"/>
  <c r="D86" i="45"/>
  <c r="C86" i="45"/>
  <c r="D85" i="45"/>
  <c r="C85" i="45"/>
  <c r="D84" i="45"/>
  <c r="C84" i="45"/>
  <c r="D83" i="45"/>
  <c r="C83" i="45"/>
  <c r="D82" i="45"/>
  <c r="C82" i="45"/>
  <c r="D78" i="45"/>
  <c r="C78" i="45"/>
  <c r="D77" i="45"/>
  <c r="C77" i="45"/>
  <c r="D76" i="45"/>
  <c r="C76" i="45"/>
  <c r="D75" i="45"/>
  <c r="C75" i="45"/>
  <c r="D74" i="45"/>
  <c r="C74" i="45"/>
  <c r="D73" i="45"/>
  <c r="C73" i="45"/>
  <c r="D72" i="45"/>
  <c r="C72" i="45"/>
  <c r="D71" i="45"/>
  <c r="C71" i="45"/>
  <c r="D70" i="45"/>
  <c r="C70" i="45"/>
  <c r="D69" i="45"/>
  <c r="C69" i="45"/>
  <c r="D68" i="45"/>
  <c r="C68" i="45"/>
  <c r="D67" i="45"/>
  <c r="C67" i="45"/>
  <c r="D66" i="45"/>
  <c r="C66" i="45"/>
  <c r="D65" i="45"/>
  <c r="C65" i="45"/>
  <c r="D64" i="45"/>
  <c r="C64" i="45"/>
  <c r="D60" i="45"/>
  <c r="C60" i="45"/>
  <c r="D59" i="45"/>
  <c r="C59" i="45"/>
  <c r="D58" i="45"/>
  <c r="C58" i="45"/>
  <c r="D57" i="45"/>
  <c r="C57" i="45"/>
  <c r="D56" i="45"/>
  <c r="C56" i="45"/>
  <c r="D55" i="45"/>
  <c r="C55" i="45"/>
  <c r="D54" i="45"/>
  <c r="C54" i="45"/>
  <c r="D53" i="45"/>
  <c r="C53" i="45"/>
  <c r="D52" i="45"/>
  <c r="C52" i="45"/>
  <c r="D51" i="45"/>
  <c r="C51" i="45"/>
  <c r="D50" i="45"/>
  <c r="C50" i="45"/>
  <c r="D49" i="45"/>
  <c r="C49" i="45"/>
  <c r="D48" i="45"/>
  <c r="C48" i="45"/>
  <c r="D47" i="45"/>
  <c r="C47" i="45"/>
  <c r="D46" i="45"/>
  <c r="C46" i="45"/>
  <c r="D45" i="45"/>
  <c r="C45" i="45"/>
  <c r="D44" i="45"/>
  <c r="C44" i="45"/>
  <c r="D43" i="45"/>
  <c r="C43" i="45"/>
  <c r="D42" i="45"/>
  <c r="C42" i="45"/>
  <c r="D41" i="45"/>
  <c r="C41" i="45"/>
  <c r="D40" i="45"/>
  <c r="C40" i="45"/>
  <c r="D39" i="45"/>
  <c r="C39" i="45"/>
  <c r="D38" i="45"/>
  <c r="C38" i="45"/>
  <c r="D37" i="45"/>
  <c r="C37" i="45"/>
  <c r="D36" i="45"/>
  <c r="C36" i="45"/>
  <c r="D35" i="45"/>
  <c r="C35" i="45"/>
  <c r="D34" i="45"/>
  <c r="C34" i="45"/>
  <c r="D33" i="45"/>
  <c r="C33" i="45"/>
  <c r="D32" i="45"/>
  <c r="C32" i="45"/>
  <c r="D31" i="45"/>
  <c r="C31" i="45"/>
  <c r="D30" i="45"/>
  <c r="C30" i="45"/>
  <c r="D29" i="45"/>
  <c r="C29" i="45"/>
  <c r="D28" i="45"/>
  <c r="C28" i="45"/>
  <c r="D27" i="45"/>
  <c r="C27" i="45"/>
  <c r="D26" i="45"/>
  <c r="C26" i="45"/>
  <c r="D25" i="45"/>
  <c r="C25" i="45"/>
  <c r="D20" i="45"/>
  <c r="C20" i="45"/>
  <c r="D19" i="45"/>
  <c r="C19" i="45"/>
  <c r="D18" i="45"/>
  <c r="C18" i="45"/>
  <c r="D17" i="45"/>
  <c r="C17" i="45"/>
  <c r="D16" i="45"/>
  <c r="C16" i="45"/>
  <c r="D15" i="45"/>
  <c r="C15" i="45"/>
  <c r="D14" i="45"/>
  <c r="C14" i="45"/>
  <c r="D13" i="45"/>
  <c r="C13" i="45"/>
  <c r="D12" i="45"/>
  <c r="C12" i="45"/>
  <c r="D11" i="45"/>
  <c r="C11" i="45"/>
  <c r="D102" i="45" l="1"/>
  <c r="D21" i="45"/>
  <c r="C93" i="45"/>
  <c r="C111" i="45"/>
  <c r="D161" i="45"/>
  <c r="D93" i="45"/>
  <c r="D119" i="45"/>
  <c r="D79" i="45"/>
  <c r="D111" i="45"/>
  <c r="C161" i="45"/>
  <c r="C228" i="45"/>
  <c r="C79" i="45"/>
  <c r="D197" i="45"/>
  <c r="C197" i="45"/>
  <c r="C206" i="45"/>
  <c r="C21" i="45"/>
  <c r="C102" i="45"/>
  <c r="D206" i="45"/>
  <c r="D61" i="45"/>
  <c r="C61" i="45"/>
  <c r="C208" i="45" l="1"/>
  <c r="C212" i="45" s="1"/>
  <c r="D208" i="45"/>
  <c r="D215" i="45" s="1"/>
  <c r="C215" i="45" l="1"/>
  <c r="G244" i="102"/>
  <c r="G243" i="102"/>
  <c r="G242" i="102"/>
  <c r="G241" i="102"/>
  <c r="C238" i="102"/>
  <c r="C237" i="102"/>
  <c r="C236" i="102"/>
  <c r="C235" i="102"/>
  <c r="C233" i="102"/>
  <c r="C232" i="102"/>
  <c r="C231" i="102"/>
  <c r="D228" i="102"/>
  <c r="C227" i="102"/>
  <c r="C226" i="102"/>
  <c r="C225" i="102"/>
  <c r="C224" i="102"/>
  <c r="C223" i="102"/>
  <c r="C222" i="102"/>
  <c r="C221" i="102"/>
  <c r="C220" i="102"/>
  <c r="C219" i="102"/>
  <c r="C211" i="102"/>
  <c r="D205" i="102"/>
  <c r="C205" i="102"/>
  <c r="D204" i="102"/>
  <c r="C204" i="102"/>
  <c r="D203" i="102"/>
  <c r="C203" i="102"/>
  <c r="D202" i="102"/>
  <c r="C202" i="102"/>
  <c r="D201" i="102"/>
  <c r="C201" i="102"/>
  <c r="D200" i="102"/>
  <c r="C200" i="102"/>
  <c r="D196" i="102"/>
  <c r="C196" i="102"/>
  <c r="D195" i="102"/>
  <c r="C195" i="102"/>
  <c r="D194" i="102"/>
  <c r="C194" i="102"/>
  <c r="D193" i="102"/>
  <c r="C193" i="102"/>
  <c r="D192" i="102"/>
  <c r="C192" i="102"/>
  <c r="D191" i="102"/>
  <c r="C191" i="102"/>
  <c r="D190" i="102"/>
  <c r="C190" i="102"/>
  <c r="D189" i="102"/>
  <c r="C189" i="102"/>
  <c r="D188" i="102"/>
  <c r="C188" i="102"/>
  <c r="D187" i="102"/>
  <c r="C187" i="102"/>
  <c r="D186" i="102"/>
  <c r="C186" i="102"/>
  <c r="D185" i="102"/>
  <c r="C185" i="102"/>
  <c r="D184" i="102"/>
  <c r="C184" i="102"/>
  <c r="D183" i="102"/>
  <c r="C183" i="102"/>
  <c r="D182" i="102"/>
  <c r="C182" i="102"/>
  <c r="D181" i="102"/>
  <c r="C181" i="102"/>
  <c r="D180" i="102"/>
  <c r="C180" i="102"/>
  <c r="D179" i="102"/>
  <c r="C179" i="102"/>
  <c r="D178" i="102"/>
  <c r="C178" i="102"/>
  <c r="D177" i="102"/>
  <c r="C177" i="102"/>
  <c r="D176" i="102"/>
  <c r="C176" i="102"/>
  <c r="D175" i="102"/>
  <c r="C175" i="102"/>
  <c r="D174" i="102"/>
  <c r="C174" i="102"/>
  <c r="D173" i="102"/>
  <c r="C173" i="102"/>
  <c r="D172" i="102"/>
  <c r="C172" i="102"/>
  <c r="D171" i="102"/>
  <c r="C171" i="102"/>
  <c r="D170" i="102"/>
  <c r="C170" i="102"/>
  <c r="D169" i="102"/>
  <c r="C169" i="102"/>
  <c r="D168" i="102"/>
  <c r="C168" i="102"/>
  <c r="D167" i="102"/>
  <c r="C167" i="102"/>
  <c r="D166" i="102"/>
  <c r="C166" i="102"/>
  <c r="D165" i="102"/>
  <c r="C165" i="102"/>
  <c r="D164" i="102"/>
  <c r="C164" i="102"/>
  <c r="D160" i="102"/>
  <c r="C160" i="102"/>
  <c r="D159" i="102"/>
  <c r="C159" i="102"/>
  <c r="D158" i="102"/>
  <c r="C158" i="102"/>
  <c r="D157" i="102"/>
  <c r="C157" i="102"/>
  <c r="D156" i="102"/>
  <c r="C156" i="102"/>
  <c r="D155" i="102"/>
  <c r="C155" i="102"/>
  <c r="D153" i="102"/>
  <c r="C153" i="102"/>
  <c r="D152" i="102"/>
  <c r="C152" i="102"/>
  <c r="D151" i="102"/>
  <c r="C151" i="102"/>
  <c r="D150" i="102"/>
  <c r="C150" i="102"/>
  <c r="D149" i="102"/>
  <c r="C149" i="102"/>
  <c r="D148" i="102"/>
  <c r="C148" i="102"/>
  <c r="D147" i="102"/>
  <c r="C147" i="102"/>
  <c r="D146" i="102"/>
  <c r="C146" i="102"/>
  <c r="D145" i="102"/>
  <c r="C145" i="102"/>
  <c r="D143" i="102"/>
  <c r="C143" i="102"/>
  <c r="D142" i="102"/>
  <c r="C142" i="102"/>
  <c r="D141" i="102"/>
  <c r="C141" i="102"/>
  <c r="D140" i="102"/>
  <c r="C140" i="102"/>
  <c r="D138" i="102"/>
  <c r="C138" i="102"/>
  <c r="D137" i="102"/>
  <c r="C137" i="102"/>
  <c r="D136" i="102"/>
  <c r="C136" i="102"/>
  <c r="D135" i="102"/>
  <c r="C135" i="102"/>
  <c r="D133" i="102"/>
  <c r="C133" i="102"/>
  <c r="D132" i="102"/>
  <c r="C132" i="102"/>
  <c r="D131" i="102"/>
  <c r="C131" i="102"/>
  <c r="D130" i="102"/>
  <c r="C130" i="102"/>
  <c r="D129" i="102"/>
  <c r="C129" i="102"/>
  <c r="D127" i="102"/>
  <c r="C127" i="102"/>
  <c r="D126" i="102"/>
  <c r="C126" i="102"/>
  <c r="D125" i="102"/>
  <c r="C125" i="102"/>
  <c r="D124" i="102"/>
  <c r="C124" i="102"/>
  <c r="D123" i="102"/>
  <c r="C123" i="102"/>
  <c r="D118" i="102"/>
  <c r="C118" i="102"/>
  <c r="D117" i="102"/>
  <c r="C117" i="102"/>
  <c r="D116" i="102"/>
  <c r="C116" i="102"/>
  <c r="D115" i="102"/>
  <c r="C115" i="102"/>
  <c r="D114" i="102"/>
  <c r="C114" i="102"/>
  <c r="D110" i="102"/>
  <c r="C110" i="102"/>
  <c r="D109" i="102"/>
  <c r="C109" i="102"/>
  <c r="D108" i="102"/>
  <c r="C108" i="102"/>
  <c r="D107" i="102"/>
  <c r="C107" i="102"/>
  <c r="D106" i="102"/>
  <c r="C106" i="102"/>
  <c r="D105" i="102"/>
  <c r="C105" i="102"/>
  <c r="D101" i="102"/>
  <c r="C101" i="102"/>
  <c r="D100" i="102"/>
  <c r="C100" i="102"/>
  <c r="D99" i="102"/>
  <c r="C99" i="102"/>
  <c r="D98" i="102"/>
  <c r="C98" i="102"/>
  <c r="D97" i="102"/>
  <c r="C97" i="102"/>
  <c r="D96" i="102"/>
  <c r="C96" i="102"/>
  <c r="C102" i="102" s="1"/>
  <c r="D92" i="102"/>
  <c r="C92" i="102"/>
  <c r="D91" i="102"/>
  <c r="C91" i="102"/>
  <c r="D90" i="102"/>
  <c r="C90" i="102"/>
  <c r="D89" i="102"/>
  <c r="C89" i="102"/>
  <c r="D88" i="102"/>
  <c r="C88" i="102"/>
  <c r="D87" i="102"/>
  <c r="C87" i="102"/>
  <c r="D86" i="102"/>
  <c r="C86" i="102"/>
  <c r="D85" i="102"/>
  <c r="C85" i="102"/>
  <c r="D84" i="102"/>
  <c r="C84" i="102"/>
  <c r="D83" i="102"/>
  <c r="C83" i="102"/>
  <c r="D82" i="102"/>
  <c r="C82" i="102"/>
  <c r="D78" i="102"/>
  <c r="C78" i="102"/>
  <c r="D77" i="102"/>
  <c r="C77" i="102"/>
  <c r="D76" i="102"/>
  <c r="C76" i="102"/>
  <c r="D75" i="102"/>
  <c r="C75" i="102"/>
  <c r="D74" i="102"/>
  <c r="C74" i="102"/>
  <c r="D73" i="102"/>
  <c r="C73" i="102"/>
  <c r="D72" i="102"/>
  <c r="C72" i="102"/>
  <c r="D71" i="102"/>
  <c r="C71" i="102"/>
  <c r="D70" i="102"/>
  <c r="C70" i="102"/>
  <c r="D69" i="102"/>
  <c r="C69" i="102"/>
  <c r="D68" i="102"/>
  <c r="C68" i="102"/>
  <c r="D67" i="102"/>
  <c r="C67" i="102"/>
  <c r="D66" i="102"/>
  <c r="C66" i="102"/>
  <c r="D65" i="102"/>
  <c r="C65" i="102"/>
  <c r="D64" i="102"/>
  <c r="C64" i="102"/>
  <c r="D60" i="102"/>
  <c r="C60" i="102"/>
  <c r="D59" i="102"/>
  <c r="C59" i="102"/>
  <c r="D58" i="102"/>
  <c r="C58" i="102"/>
  <c r="D57" i="102"/>
  <c r="C57" i="102"/>
  <c r="D56" i="102"/>
  <c r="C56" i="102"/>
  <c r="D55" i="102"/>
  <c r="C55" i="102"/>
  <c r="D54" i="102"/>
  <c r="C54" i="102"/>
  <c r="D53" i="102"/>
  <c r="C53" i="102"/>
  <c r="D52" i="102"/>
  <c r="C52" i="102"/>
  <c r="D51" i="102"/>
  <c r="C51" i="102"/>
  <c r="D50" i="102"/>
  <c r="C50" i="102"/>
  <c r="D49" i="102"/>
  <c r="C49" i="102"/>
  <c r="D48" i="102"/>
  <c r="C48" i="102"/>
  <c r="D47" i="102"/>
  <c r="C47" i="102"/>
  <c r="D46" i="102"/>
  <c r="C46" i="102"/>
  <c r="D45" i="102"/>
  <c r="C45" i="102"/>
  <c r="D44" i="102"/>
  <c r="C44" i="102"/>
  <c r="D43" i="102"/>
  <c r="C43" i="102"/>
  <c r="D42" i="102"/>
  <c r="C42" i="102"/>
  <c r="D41" i="102"/>
  <c r="C41" i="102"/>
  <c r="D40" i="102"/>
  <c r="C40" i="102"/>
  <c r="D39" i="102"/>
  <c r="C39" i="102"/>
  <c r="D38" i="102"/>
  <c r="C38" i="102"/>
  <c r="D37" i="102"/>
  <c r="C37" i="102"/>
  <c r="D36" i="102"/>
  <c r="C36" i="102"/>
  <c r="D35" i="102"/>
  <c r="C35" i="102"/>
  <c r="D34" i="102"/>
  <c r="C34" i="102"/>
  <c r="D33" i="102"/>
  <c r="C33" i="102"/>
  <c r="D32" i="102"/>
  <c r="C32" i="102"/>
  <c r="D31" i="102"/>
  <c r="C31" i="102"/>
  <c r="D30" i="102"/>
  <c r="C30" i="102"/>
  <c r="D29" i="102"/>
  <c r="C29" i="102"/>
  <c r="D28" i="102"/>
  <c r="C28" i="102"/>
  <c r="D27" i="102"/>
  <c r="C27" i="102"/>
  <c r="D26" i="102"/>
  <c r="C26" i="102"/>
  <c r="D25" i="102"/>
  <c r="C25" i="102"/>
  <c r="D20" i="102"/>
  <c r="C20" i="102"/>
  <c r="D19" i="102"/>
  <c r="C19" i="102"/>
  <c r="D18" i="102"/>
  <c r="C18" i="102"/>
  <c r="D17" i="102"/>
  <c r="C17" i="102"/>
  <c r="D16" i="102"/>
  <c r="C16" i="102"/>
  <c r="D15" i="102"/>
  <c r="C15" i="102"/>
  <c r="D14" i="102"/>
  <c r="C14" i="102"/>
  <c r="D13" i="102"/>
  <c r="C13" i="102"/>
  <c r="D12" i="102"/>
  <c r="C12" i="102"/>
  <c r="D11" i="102"/>
  <c r="C11" i="102"/>
  <c r="C21" i="102" s="1"/>
  <c r="D119" i="102" l="1"/>
  <c r="D21" i="102"/>
  <c r="D102" i="102"/>
  <c r="C119" i="102"/>
  <c r="C161" i="102"/>
  <c r="D93" i="102"/>
  <c r="D111" i="102"/>
  <c r="D161" i="102"/>
  <c r="C93" i="102"/>
  <c r="C79" i="102"/>
  <c r="C197" i="102"/>
  <c r="C206" i="102"/>
  <c r="C228" i="102"/>
  <c r="C61" i="102"/>
  <c r="C208" i="102" s="1"/>
  <c r="C212" i="102" s="1"/>
  <c r="C111" i="102"/>
  <c r="D79" i="102"/>
  <c r="D197" i="102"/>
  <c r="D206" i="102"/>
  <c r="D61" i="102"/>
  <c r="D208" i="102" l="1"/>
  <c r="D215" i="102" s="1"/>
  <c r="C215" i="102"/>
  <c r="G244" i="136" l="1"/>
  <c r="G243" i="136"/>
  <c r="G242" i="136"/>
  <c r="G241" i="136"/>
  <c r="C238" i="136"/>
  <c r="C237" i="136"/>
  <c r="C236" i="136"/>
  <c r="C235" i="136"/>
  <c r="C233" i="136"/>
  <c r="C232" i="136"/>
  <c r="C231" i="136"/>
  <c r="D228" i="136"/>
  <c r="C227" i="136"/>
  <c r="C226" i="136"/>
  <c r="C225" i="136"/>
  <c r="C224" i="136"/>
  <c r="C223" i="136"/>
  <c r="C222" i="136"/>
  <c r="C221" i="136"/>
  <c r="C220" i="136"/>
  <c r="C219" i="136"/>
  <c r="C211" i="136"/>
  <c r="D205" i="136"/>
  <c r="C205" i="136"/>
  <c r="D204" i="136"/>
  <c r="C204" i="136"/>
  <c r="D203" i="136"/>
  <c r="C203" i="136"/>
  <c r="D202" i="136"/>
  <c r="C202" i="136"/>
  <c r="D201" i="136"/>
  <c r="C201" i="136"/>
  <c r="D200" i="136"/>
  <c r="C200" i="136"/>
  <c r="D196" i="136"/>
  <c r="C196" i="136"/>
  <c r="D195" i="136"/>
  <c r="C195" i="136"/>
  <c r="D194" i="136"/>
  <c r="C194" i="136"/>
  <c r="D193" i="136"/>
  <c r="C193" i="136"/>
  <c r="D192" i="136"/>
  <c r="C192" i="136"/>
  <c r="D191" i="136"/>
  <c r="C191" i="136"/>
  <c r="D190" i="136"/>
  <c r="C190" i="136"/>
  <c r="D189" i="136"/>
  <c r="C189" i="136"/>
  <c r="D188" i="136"/>
  <c r="C188" i="136"/>
  <c r="D187" i="136"/>
  <c r="C187" i="136"/>
  <c r="D186" i="136"/>
  <c r="C186" i="136"/>
  <c r="D185" i="136"/>
  <c r="C185" i="136"/>
  <c r="D184" i="136"/>
  <c r="C184" i="136"/>
  <c r="D183" i="136"/>
  <c r="C183" i="136"/>
  <c r="D182" i="136"/>
  <c r="C182" i="136"/>
  <c r="D181" i="136"/>
  <c r="C181" i="136"/>
  <c r="D180" i="136"/>
  <c r="C180" i="136"/>
  <c r="D179" i="136"/>
  <c r="C179" i="136"/>
  <c r="D178" i="136"/>
  <c r="C178" i="136"/>
  <c r="D177" i="136"/>
  <c r="C177" i="136"/>
  <c r="D176" i="136"/>
  <c r="C176" i="136"/>
  <c r="D175" i="136"/>
  <c r="C175" i="136"/>
  <c r="D174" i="136"/>
  <c r="C174" i="136"/>
  <c r="D173" i="136"/>
  <c r="C173" i="136"/>
  <c r="D172" i="136"/>
  <c r="C172" i="136"/>
  <c r="D171" i="136"/>
  <c r="C171" i="136"/>
  <c r="D170" i="136"/>
  <c r="C170" i="136"/>
  <c r="D169" i="136"/>
  <c r="C169" i="136"/>
  <c r="D168" i="136"/>
  <c r="C168" i="136"/>
  <c r="D167" i="136"/>
  <c r="C167" i="136"/>
  <c r="D166" i="136"/>
  <c r="C166" i="136"/>
  <c r="D165" i="136"/>
  <c r="C165" i="136"/>
  <c r="D164" i="136"/>
  <c r="C164" i="136"/>
  <c r="D160" i="136"/>
  <c r="C160" i="136"/>
  <c r="D159" i="136"/>
  <c r="C159" i="136"/>
  <c r="D158" i="136"/>
  <c r="C158" i="136"/>
  <c r="D157" i="136"/>
  <c r="C157" i="136"/>
  <c r="D156" i="136"/>
  <c r="C156" i="136"/>
  <c r="D155" i="136"/>
  <c r="C155" i="136"/>
  <c r="D153" i="136"/>
  <c r="C153" i="136"/>
  <c r="D152" i="136"/>
  <c r="C152" i="136"/>
  <c r="D151" i="136"/>
  <c r="C151" i="136"/>
  <c r="D150" i="136"/>
  <c r="C150" i="136"/>
  <c r="D149" i="136"/>
  <c r="C149" i="136"/>
  <c r="D148" i="136"/>
  <c r="C148" i="136"/>
  <c r="D147" i="136"/>
  <c r="C147" i="136"/>
  <c r="D146" i="136"/>
  <c r="C146" i="136"/>
  <c r="D145" i="136"/>
  <c r="C145" i="136"/>
  <c r="D143" i="136"/>
  <c r="C143" i="136"/>
  <c r="D142" i="136"/>
  <c r="C142" i="136"/>
  <c r="D141" i="136"/>
  <c r="C141" i="136"/>
  <c r="D140" i="136"/>
  <c r="C140" i="136"/>
  <c r="D138" i="136"/>
  <c r="C138" i="136"/>
  <c r="D137" i="136"/>
  <c r="C137" i="136"/>
  <c r="D136" i="136"/>
  <c r="C136" i="136"/>
  <c r="D135" i="136"/>
  <c r="C135" i="136"/>
  <c r="D133" i="136"/>
  <c r="C133" i="136"/>
  <c r="D132" i="136"/>
  <c r="C132" i="136"/>
  <c r="D131" i="136"/>
  <c r="C131" i="136"/>
  <c r="D130" i="136"/>
  <c r="C130" i="136"/>
  <c r="D129" i="136"/>
  <c r="C129" i="136"/>
  <c r="D127" i="136"/>
  <c r="C127" i="136"/>
  <c r="D126" i="136"/>
  <c r="C126" i="136"/>
  <c r="D125" i="136"/>
  <c r="C125" i="136"/>
  <c r="D124" i="136"/>
  <c r="C124" i="136"/>
  <c r="D123" i="136"/>
  <c r="C123" i="136"/>
  <c r="D118" i="136"/>
  <c r="C118" i="136"/>
  <c r="D117" i="136"/>
  <c r="C117" i="136"/>
  <c r="D116" i="136"/>
  <c r="C116" i="136"/>
  <c r="D115" i="136"/>
  <c r="C115" i="136"/>
  <c r="D114" i="136"/>
  <c r="C114" i="136"/>
  <c r="C119" i="136" s="1"/>
  <c r="D110" i="136"/>
  <c r="C110" i="136"/>
  <c r="D109" i="136"/>
  <c r="C109" i="136"/>
  <c r="D108" i="136"/>
  <c r="C108" i="136"/>
  <c r="D107" i="136"/>
  <c r="C107" i="136"/>
  <c r="D106" i="136"/>
  <c r="C106" i="136"/>
  <c r="D105" i="136"/>
  <c r="C105" i="136"/>
  <c r="D101" i="136"/>
  <c r="C101" i="136"/>
  <c r="D100" i="136"/>
  <c r="C100" i="136"/>
  <c r="D99" i="136"/>
  <c r="C99" i="136"/>
  <c r="D98" i="136"/>
  <c r="C98" i="136"/>
  <c r="D97" i="136"/>
  <c r="C97" i="136"/>
  <c r="D96" i="136"/>
  <c r="C96" i="136"/>
  <c r="C102" i="136" s="1"/>
  <c r="D92" i="136"/>
  <c r="C92" i="136"/>
  <c r="D91" i="136"/>
  <c r="C91" i="136"/>
  <c r="D90" i="136"/>
  <c r="C90" i="136"/>
  <c r="D89" i="136"/>
  <c r="C89" i="136"/>
  <c r="D88" i="136"/>
  <c r="C88" i="136"/>
  <c r="D87" i="136"/>
  <c r="C87" i="136"/>
  <c r="D86" i="136"/>
  <c r="C86" i="136"/>
  <c r="D85" i="136"/>
  <c r="C85" i="136"/>
  <c r="D84" i="136"/>
  <c r="C84" i="136"/>
  <c r="D83" i="136"/>
  <c r="C83" i="136"/>
  <c r="D82" i="136"/>
  <c r="C82" i="136"/>
  <c r="D78" i="136"/>
  <c r="C78" i="136"/>
  <c r="D77" i="136"/>
  <c r="C77" i="136"/>
  <c r="D76" i="136"/>
  <c r="C76" i="136"/>
  <c r="D75" i="136"/>
  <c r="C75" i="136"/>
  <c r="D74" i="136"/>
  <c r="C74" i="136"/>
  <c r="D73" i="136"/>
  <c r="C73" i="136"/>
  <c r="D72" i="136"/>
  <c r="C72" i="136"/>
  <c r="D71" i="136"/>
  <c r="C71" i="136"/>
  <c r="D70" i="136"/>
  <c r="C70" i="136"/>
  <c r="D69" i="136"/>
  <c r="C69" i="136"/>
  <c r="D68" i="136"/>
  <c r="C68" i="136"/>
  <c r="D67" i="136"/>
  <c r="C67" i="136"/>
  <c r="D66" i="136"/>
  <c r="C66" i="136"/>
  <c r="D65" i="136"/>
  <c r="C65" i="136"/>
  <c r="D64" i="136"/>
  <c r="C64" i="136"/>
  <c r="D60" i="136"/>
  <c r="C60" i="136"/>
  <c r="D59" i="136"/>
  <c r="C59" i="136"/>
  <c r="D58" i="136"/>
  <c r="C58" i="136"/>
  <c r="D57" i="136"/>
  <c r="C57" i="136"/>
  <c r="D56" i="136"/>
  <c r="C56" i="136"/>
  <c r="D55" i="136"/>
  <c r="C55" i="136"/>
  <c r="D54" i="136"/>
  <c r="C54" i="136"/>
  <c r="D53" i="136"/>
  <c r="C53" i="136"/>
  <c r="D52" i="136"/>
  <c r="C52" i="136"/>
  <c r="D51" i="136"/>
  <c r="C51" i="136"/>
  <c r="D50" i="136"/>
  <c r="C50" i="136"/>
  <c r="D49" i="136"/>
  <c r="C49" i="136"/>
  <c r="D48" i="136"/>
  <c r="C48" i="136"/>
  <c r="D47" i="136"/>
  <c r="C47" i="136"/>
  <c r="D46" i="136"/>
  <c r="C46" i="136"/>
  <c r="D45" i="136"/>
  <c r="C45" i="136"/>
  <c r="D44" i="136"/>
  <c r="C44" i="136"/>
  <c r="D43" i="136"/>
  <c r="C43" i="136"/>
  <c r="D42" i="136"/>
  <c r="C42" i="136"/>
  <c r="D41" i="136"/>
  <c r="C41" i="136"/>
  <c r="D40" i="136"/>
  <c r="C40" i="136"/>
  <c r="D39" i="136"/>
  <c r="C39" i="136"/>
  <c r="D38" i="136"/>
  <c r="C38" i="136"/>
  <c r="D37" i="136"/>
  <c r="C37" i="136"/>
  <c r="D36" i="136"/>
  <c r="C36" i="136"/>
  <c r="D35" i="136"/>
  <c r="C35" i="136"/>
  <c r="D34" i="136"/>
  <c r="C34" i="136"/>
  <c r="D33" i="136"/>
  <c r="C33" i="136"/>
  <c r="D32" i="136"/>
  <c r="C32" i="136"/>
  <c r="D31" i="136"/>
  <c r="C31" i="136"/>
  <c r="D30" i="136"/>
  <c r="C30" i="136"/>
  <c r="D29" i="136"/>
  <c r="C29" i="136"/>
  <c r="D28" i="136"/>
  <c r="C28" i="136"/>
  <c r="D27" i="136"/>
  <c r="C27" i="136"/>
  <c r="D26" i="136"/>
  <c r="C26" i="136"/>
  <c r="D25" i="136"/>
  <c r="C25" i="136"/>
  <c r="D20" i="136"/>
  <c r="C20" i="136"/>
  <c r="D19" i="136"/>
  <c r="C19" i="136"/>
  <c r="D18" i="136"/>
  <c r="C18" i="136"/>
  <c r="D17" i="136"/>
  <c r="C17" i="136"/>
  <c r="D16" i="136"/>
  <c r="C16" i="136"/>
  <c r="D15" i="136"/>
  <c r="C15" i="136"/>
  <c r="D14" i="136"/>
  <c r="C14" i="136"/>
  <c r="D13" i="136"/>
  <c r="C13" i="136"/>
  <c r="D12" i="136"/>
  <c r="C12" i="136"/>
  <c r="D11" i="136"/>
  <c r="D21" i="136" s="1"/>
  <c r="C11" i="136"/>
  <c r="C21" i="136" s="1"/>
  <c r="D102" i="136" l="1"/>
  <c r="C93" i="136"/>
  <c r="C161" i="136"/>
  <c r="D119" i="136"/>
  <c r="C228" i="136"/>
  <c r="C79" i="136"/>
  <c r="D61" i="136"/>
  <c r="D161" i="136"/>
  <c r="C206" i="136"/>
  <c r="C111" i="136"/>
  <c r="C197" i="136"/>
  <c r="D93" i="136"/>
  <c r="D111" i="136"/>
  <c r="D79" i="136"/>
  <c r="D197" i="136"/>
  <c r="D206" i="136"/>
  <c r="D208" i="136"/>
  <c r="D215" i="136" s="1"/>
  <c r="C61" i="136"/>
  <c r="C208" i="136" l="1"/>
  <c r="C212" i="136" s="1"/>
  <c r="C215" i="136" l="1"/>
  <c r="G244" i="62"/>
  <c r="G243" i="62"/>
  <c r="G242" i="62"/>
  <c r="G241" i="62"/>
  <c r="C238" i="62"/>
  <c r="C237" i="62"/>
  <c r="C236" i="62"/>
  <c r="C235" i="62"/>
  <c r="C233" i="62"/>
  <c r="C232" i="62"/>
  <c r="C231" i="62"/>
  <c r="D228" i="62"/>
  <c r="C227" i="62"/>
  <c r="C226" i="62"/>
  <c r="C225" i="62"/>
  <c r="C224" i="62"/>
  <c r="C223" i="62"/>
  <c r="C222" i="62"/>
  <c r="C221" i="62"/>
  <c r="C220" i="62"/>
  <c r="C219" i="62"/>
  <c r="C211" i="62"/>
  <c r="D205" i="62"/>
  <c r="C205" i="62"/>
  <c r="D204" i="62"/>
  <c r="C204" i="62"/>
  <c r="D203" i="62"/>
  <c r="C203" i="62"/>
  <c r="D202" i="62"/>
  <c r="C202" i="62"/>
  <c r="D201" i="62"/>
  <c r="C201" i="62"/>
  <c r="D200" i="62"/>
  <c r="C200" i="62"/>
  <c r="D196" i="62"/>
  <c r="C196" i="62"/>
  <c r="D195" i="62"/>
  <c r="C195" i="62"/>
  <c r="D194" i="62"/>
  <c r="C194" i="62"/>
  <c r="D193" i="62"/>
  <c r="C193" i="62"/>
  <c r="D192" i="62"/>
  <c r="C192" i="62"/>
  <c r="D191" i="62"/>
  <c r="C191" i="62"/>
  <c r="D190" i="62"/>
  <c r="C190" i="62"/>
  <c r="D189" i="62"/>
  <c r="C189" i="62"/>
  <c r="D188" i="62"/>
  <c r="C188" i="62"/>
  <c r="D187" i="62"/>
  <c r="C187" i="62"/>
  <c r="D186" i="62"/>
  <c r="C186" i="62"/>
  <c r="D185" i="62"/>
  <c r="C185" i="62"/>
  <c r="D184" i="62"/>
  <c r="C184" i="62"/>
  <c r="D183" i="62"/>
  <c r="C183" i="62"/>
  <c r="D182" i="62"/>
  <c r="C182" i="62"/>
  <c r="D181" i="62"/>
  <c r="C181" i="62"/>
  <c r="D180" i="62"/>
  <c r="C180" i="62"/>
  <c r="D179" i="62"/>
  <c r="C179" i="62"/>
  <c r="D178" i="62"/>
  <c r="C178" i="62"/>
  <c r="D177" i="62"/>
  <c r="C177" i="62"/>
  <c r="D176" i="62"/>
  <c r="C176" i="62"/>
  <c r="D175" i="62"/>
  <c r="C175" i="62"/>
  <c r="D174" i="62"/>
  <c r="C174" i="62"/>
  <c r="D173" i="62"/>
  <c r="C173" i="62"/>
  <c r="D172" i="62"/>
  <c r="C172" i="62"/>
  <c r="D171" i="62"/>
  <c r="C171" i="62"/>
  <c r="D170" i="62"/>
  <c r="C170" i="62"/>
  <c r="D169" i="62"/>
  <c r="C169" i="62"/>
  <c r="D168" i="62"/>
  <c r="C168" i="62"/>
  <c r="D167" i="62"/>
  <c r="C167" i="62"/>
  <c r="D166" i="62"/>
  <c r="C166" i="62"/>
  <c r="D165" i="62"/>
  <c r="C165" i="62"/>
  <c r="D164" i="62"/>
  <c r="C164" i="62"/>
  <c r="D160" i="62"/>
  <c r="C160" i="62"/>
  <c r="D159" i="62"/>
  <c r="C159" i="62"/>
  <c r="D158" i="62"/>
  <c r="C158" i="62"/>
  <c r="D157" i="62"/>
  <c r="C157" i="62"/>
  <c r="D156" i="62"/>
  <c r="C156" i="62"/>
  <c r="D155" i="62"/>
  <c r="C155" i="62"/>
  <c r="D153" i="62"/>
  <c r="C153" i="62"/>
  <c r="D152" i="62"/>
  <c r="C152" i="62"/>
  <c r="D151" i="62"/>
  <c r="C151" i="62"/>
  <c r="D150" i="62"/>
  <c r="C150" i="62"/>
  <c r="D149" i="62"/>
  <c r="C149" i="62"/>
  <c r="D148" i="62"/>
  <c r="C148" i="62"/>
  <c r="D147" i="62"/>
  <c r="C147" i="62"/>
  <c r="D146" i="62"/>
  <c r="C146" i="62"/>
  <c r="D145" i="62"/>
  <c r="C145" i="62"/>
  <c r="D143" i="62"/>
  <c r="C143" i="62"/>
  <c r="D142" i="62"/>
  <c r="C142" i="62"/>
  <c r="D141" i="62"/>
  <c r="C141" i="62"/>
  <c r="D140" i="62"/>
  <c r="C140" i="62"/>
  <c r="D138" i="62"/>
  <c r="C138" i="62"/>
  <c r="D137" i="62"/>
  <c r="C137" i="62"/>
  <c r="D136" i="62"/>
  <c r="C136" i="62"/>
  <c r="D135" i="62"/>
  <c r="C135" i="62"/>
  <c r="D133" i="62"/>
  <c r="C133" i="62"/>
  <c r="D132" i="62"/>
  <c r="C132" i="62"/>
  <c r="D131" i="62"/>
  <c r="C131" i="62"/>
  <c r="D130" i="62"/>
  <c r="C130" i="62"/>
  <c r="D129" i="62"/>
  <c r="C129" i="62"/>
  <c r="D127" i="62"/>
  <c r="C127" i="62"/>
  <c r="D126" i="62"/>
  <c r="C126" i="62"/>
  <c r="D125" i="62"/>
  <c r="C125" i="62"/>
  <c r="D124" i="62"/>
  <c r="C124" i="62"/>
  <c r="D123" i="62"/>
  <c r="C123" i="62"/>
  <c r="D118" i="62"/>
  <c r="C118" i="62"/>
  <c r="D117" i="62"/>
  <c r="C117" i="62"/>
  <c r="D116" i="62"/>
  <c r="C116" i="62"/>
  <c r="D115" i="62"/>
  <c r="C115" i="62"/>
  <c r="D114" i="62"/>
  <c r="C114" i="62"/>
  <c r="D110" i="62"/>
  <c r="C110" i="62"/>
  <c r="D109" i="62"/>
  <c r="C109" i="62"/>
  <c r="D108" i="62"/>
  <c r="C108" i="62"/>
  <c r="D107" i="62"/>
  <c r="C107" i="62"/>
  <c r="D106" i="62"/>
  <c r="C106" i="62"/>
  <c r="D105" i="62"/>
  <c r="C105" i="62"/>
  <c r="D101" i="62"/>
  <c r="C101" i="62"/>
  <c r="D100" i="62"/>
  <c r="C100" i="62"/>
  <c r="D99" i="62"/>
  <c r="C99" i="62"/>
  <c r="D98" i="62"/>
  <c r="C98" i="62"/>
  <c r="D97" i="62"/>
  <c r="C97" i="62"/>
  <c r="D96" i="62"/>
  <c r="C96" i="62"/>
  <c r="D92" i="62"/>
  <c r="C92" i="62"/>
  <c r="D91" i="62"/>
  <c r="C91" i="62"/>
  <c r="D90" i="62"/>
  <c r="C90" i="62"/>
  <c r="D89" i="62"/>
  <c r="C89" i="62"/>
  <c r="D88" i="62"/>
  <c r="C88" i="62"/>
  <c r="D87" i="62"/>
  <c r="C87" i="62"/>
  <c r="D86" i="62"/>
  <c r="C86" i="62"/>
  <c r="D85" i="62"/>
  <c r="C85" i="62"/>
  <c r="D84" i="62"/>
  <c r="C84" i="62"/>
  <c r="D83" i="62"/>
  <c r="C83" i="62"/>
  <c r="D82" i="62"/>
  <c r="C82" i="62"/>
  <c r="D78" i="62"/>
  <c r="C78" i="62"/>
  <c r="D77" i="62"/>
  <c r="C77" i="62"/>
  <c r="D76" i="62"/>
  <c r="C76" i="62"/>
  <c r="D75" i="62"/>
  <c r="C75" i="62"/>
  <c r="D74" i="62"/>
  <c r="C74" i="62"/>
  <c r="D73" i="62"/>
  <c r="C73" i="62"/>
  <c r="D72" i="62"/>
  <c r="C72" i="62"/>
  <c r="D71" i="62"/>
  <c r="C71" i="62"/>
  <c r="D70" i="62"/>
  <c r="C70" i="62"/>
  <c r="D69" i="62"/>
  <c r="C69" i="62"/>
  <c r="D68" i="62"/>
  <c r="C68" i="62"/>
  <c r="D67" i="62"/>
  <c r="C67" i="62"/>
  <c r="D66" i="62"/>
  <c r="C66" i="62"/>
  <c r="D65" i="62"/>
  <c r="C65" i="62"/>
  <c r="D64" i="62"/>
  <c r="C64" i="62"/>
  <c r="D60" i="62"/>
  <c r="C60" i="62"/>
  <c r="D59" i="62"/>
  <c r="C59" i="62"/>
  <c r="D58" i="62"/>
  <c r="C58" i="62"/>
  <c r="D57" i="62"/>
  <c r="C57" i="62"/>
  <c r="D56" i="62"/>
  <c r="C56" i="62"/>
  <c r="D55" i="62"/>
  <c r="C55" i="62"/>
  <c r="D54" i="62"/>
  <c r="C54" i="62"/>
  <c r="D53" i="62"/>
  <c r="C53" i="62"/>
  <c r="D52" i="62"/>
  <c r="C52" i="62"/>
  <c r="D51" i="62"/>
  <c r="C51" i="62"/>
  <c r="D50" i="62"/>
  <c r="C50" i="62"/>
  <c r="D49" i="62"/>
  <c r="C49" i="62"/>
  <c r="D48" i="62"/>
  <c r="C48" i="62"/>
  <c r="D47" i="62"/>
  <c r="C47" i="62"/>
  <c r="D46" i="62"/>
  <c r="C46" i="62"/>
  <c r="D45" i="62"/>
  <c r="C45" i="62"/>
  <c r="D44" i="62"/>
  <c r="C44" i="62"/>
  <c r="D43" i="62"/>
  <c r="C43" i="62"/>
  <c r="D42" i="62"/>
  <c r="C42" i="62"/>
  <c r="D41" i="62"/>
  <c r="C41" i="62"/>
  <c r="D40" i="62"/>
  <c r="C40" i="62"/>
  <c r="D39" i="62"/>
  <c r="C39" i="62"/>
  <c r="D38" i="62"/>
  <c r="C38" i="62"/>
  <c r="D37" i="62"/>
  <c r="C37" i="62"/>
  <c r="D36" i="62"/>
  <c r="C36" i="62"/>
  <c r="D35" i="62"/>
  <c r="C35" i="62"/>
  <c r="D34" i="62"/>
  <c r="C34" i="62"/>
  <c r="D33" i="62"/>
  <c r="C33" i="62"/>
  <c r="D32" i="62"/>
  <c r="C32" i="62"/>
  <c r="D31" i="62"/>
  <c r="C31" i="62"/>
  <c r="D30" i="62"/>
  <c r="C30" i="62"/>
  <c r="D29" i="62"/>
  <c r="C29" i="62"/>
  <c r="D28" i="62"/>
  <c r="C28" i="62"/>
  <c r="D27" i="62"/>
  <c r="C27" i="62"/>
  <c r="D26" i="62"/>
  <c r="C26" i="62"/>
  <c r="D25" i="62"/>
  <c r="C25" i="62"/>
  <c r="D20" i="62"/>
  <c r="C20" i="62"/>
  <c r="D19" i="62"/>
  <c r="C19" i="62"/>
  <c r="D18" i="62"/>
  <c r="C18" i="62"/>
  <c r="D17" i="62"/>
  <c r="C17" i="62"/>
  <c r="D16" i="62"/>
  <c r="C16" i="62"/>
  <c r="D15" i="62"/>
  <c r="C15" i="62"/>
  <c r="D14" i="62"/>
  <c r="C14" i="62"/>
  <c r="D13" i="62"/>
  <c r="C13" i="62"/>
  <c r="D12" i="62"/>
  <c r="C12" i="62"/>
  <c r="D11" i="62"/>
  <c r="C11" i="62"/>
  <c r="C21" i="62" l="1"/>
  <c r="C102" i="62"/>
  <c r="D21" i="62"/>
  <c r="D102" i="62"/>
  <c r="C119" i="62"/>
  <c r="D119" i="62"/>
  <c r="C228" i="62"/>
  <c r="C93" i="62"/>
  <c r="C111" i="62"/>
  <c r="C161" i="62"/>
  <c r="D161" i="62"/>
  <c r="C79" i="62"/>
  <c r="C197" i="62"/>
  <c r="C206" i="62"/>
  <c r="D93" i="62"/>
  <c r="D111" i="62"/>
  <c r="D79" i="62"/>
  <c r="D197" i="62"/>
  <c r="D206" i="62"/>
  <c r="C61" i="62"/>
  <c r="C208" i="62" s="1"/>
  <c r="C212" i="62" s="1"/>
  <c r="D61" i="62"/>
  <c r="D208" i="62" s="1"/>
  <c r="D215" i="62" s="1"/>
  <c r="C215" i="62" l="1"/>
  <c r="G244" i="63" l="1"/>
  <c r="G243" i="63"/>
  <c r="G242" i="63"/>
  <c r="G241" i="63"/>
  <c r="C238" i="63"/>
  <c r="C237" i="63"/>
  <c r="C236" i="63"/>
  <c r="C235" i="63"/>
  <c r="C233" i="63"/>
  <c r="C232" i="63"/>
  <c r="C231" i="63"/>
  <c r="D228" i="63"/>
  <c r="C227" i="63"/>
  <c r="C226" i="63"/>
  <c r="C225" i="63"/>
  <c r="C224" i="63"/>
  <c r="C223" i="63"/>
  <c r="C222" i="63"/>
  <c r="C221" i="63"/>
  <c r="C220" i="63"/>
  <c r="C219" i="63"/>
  <c r="C211" i="63"/>
  <c r="D205" i="63"/>
  <c r="C205" i="63"/>
  <c r="D204" i="63"/>
  <c r="C204" i="63"/>
  <c r="D203" i="63"/>
  <c r="C203" i="63"/>
  <c r="D202" i="63"/>
  <c r="C202" i="63"/>
  <c r="D201" i="63"/>
  <c r="C201" i="63"/>
  <c r="D200" i="63"/>
  <c r="C200" i="63"/>
  <c r="D196" i="63"/>
  <c r="C196" i="63"/>
  <c r="D195" i="63"/>
  <c r="C195" i="63"/>
  <c r="D194" i="63"/>
  <c r="C194" i="63"/>
  <c r="D193" i="63"/>
  <c r="C193" i="63"/>
  <c r="D192" i="63"/>
  <c r="C192" i="63"/>
  <c r="D191" i="63"/>
  <c r="C191" i="63"/>
  <c r="D190" i="63"/>
  <c r="C190" i="63"/>
  <c r="D189" i="63"/>
  <c r="C189" i="63"/>
  <c r="D188" i="63"/>
  <c r="C188" i="63"/>
  <c r="D187" i="63"/>
  <c r="C187" i="63"/>
  <c r="D186" i="63"/>
  <c r="C186" i="63"/>
  <c r="D185" i="63"/>
  <c r="C185" i="63"/>
  <c r="D184" i="63"/>
  <c r="C184" i="63"/>
  <c r="D183" i="63"/>
  <c r="C183" i="63"/>
  <c r="D182" i="63"/>
  <c r="C182" i="63"/>
  <c r="D181" i="63"/>
  <c r="C181" i="63"/>
  <c r="D180" i="63"/>
  <c r="C180" i="63"/>
  <c r="D179" i="63"/>
  <c r="C179" i="63"/>
  <c r="D178" i="63"/>
  <c r="C178" i="63"/>
  <c r="D177" i="63"/>
  <c r="C177" i="63"/>
  <c r="D176" i="63"/>
  <c r="C176" i="63"/>
  <c r="D175" i="63"/>
  <c r="C175" i="63"/>
  <c r="D174" i="63"/>
  <c r="C174" i="63"/>
  <c r="D173" i="63"/>
  <c r="C173" i="63"/>
  <c r="D172" i="63"/>
  <c r="C172" i="63"/>
  <c r="D171" i="63"/>
  <c r="C171" i="63"/>
  <c r="D170" i="63"/>
  <c r="C170" i="63"/>
  <c r="D169" i="63"/>
  <c r="C169" i="63"/>
  <c r="D168" i="63"/>
  <c r="C168" i="63"/>
  <c r="D167" i="63"/>
  <c r="C167" i="63"/>
  <c r="D166" i="63"/>
  <c r="C166" i="63"/>
  <c r="D165" i="63"/>
  <c r="C165" i="63"/>
  <c r="D164" i="63"/>
  <c r="C164" i="63"/>
  <c r="D160" i="63"/>
  <c r="C160" i="63"/>
  <c r="D159" i="63"/>
  <c r="C159" i="63"/>
  <c r="D158" i="63"/>
  <c r="C158" i="63"/>
  <c r="D157" i="63"/>
  <c r="C157" i="63"/>
  <c r="D156" i="63"/>
  <c r="C156" i="63"/>
  <c r="D155" i="63"/>
  <c r="C155" i="63"/>
  <c r="D153" i="63"/>
  <c r="C153" i="63"/>
  <c r="D152" i="63"/>
  <c r="C152" i="63"/>
  <c r="D151" i="63"/>
  <c r="C151" i="63"/>
  <c r="D150" i="63"/>
  <c r="C150" i="63"/>
  <c r="D149" i="63"/>
  <c r="C149" i="63"/>
  <c r="D148" i="63"/>
  <c r="C148" i="63"/>
  <c r="D147" i="63"/>
  <c r="C147" i="63"/>
  <c r="D146" i="63"/>
  <c r="C146" i="63"/>
  <c r="D145" i="63"/>
  <c r="C145" i="63"/>
  <c r="D143" i="63"/>
  <c r="C143" i="63"/>
  <c r="D142" i="63"/>
  <c r="C142" i="63"/>
  <c r="D141" i="63"/>
  <c r="C141" i="63"/>
  <c r="D140" i="63"/>
  <c r="C140" i="63"/>
  <c r="D138" i="63"/>
  <c r="C138" i="63"/>
  <c r="D137" i="63"/>
  <c r="C137" i="63"/>
  <c r="D136" i="63"/>
  <c r="C136" i="63"/>
  <c r="D135" i="63"/>
  <c r="C135" i="63"/>
  <c r="D133" i="63"/>
  <c r="C133" i="63"/>
  <c r="D132" i="63"/>
  <c r="C132" i="63"/>
  <c r="D131" i="63"/>
  <c r="C131" i="63"/>
  <c r="D130" i="63"/>
  <c r="C130" i="63"/>
  <c r="D129" i="63"/>
  <c r="C129" i="63"/>
  <c r="D127" i="63"/>
  <c r="C127" i="63"/>
  <c r="D126" i="63"/>
  <c r="C126" i="63"/>
  <c r="D125" i="63"/>
  <c r="C125" i="63"/>
  <c r="D124" i="63"/>
  <c r="C124" i="63"/>
  <c r="D123" i="63"/>
  <c r="C123" i="63"/>
  <c r="D118" i="63"/>
  <c r="C118" i="63"/>
  <c r="D117" i="63"/>
  <c r="C117" i="63"/>
  <c r="D116" i="63"/>
  <c r="C116" i="63"/>
  <c r="D115" i="63"/>
  <c r="C115" i="63"/>
  <c r="D114" i="63"/>
  <c r="D119" i="63" s="1"/>
  <c r="C114" i="63"/>
  <c r="D110" i="63"/>
  <c r="C110" i="63"/>
  <c r="D109" i="63"/>
  <c r="C109" i="63"/>
  <c r="D108" i="63"/>
  <c r="C108" i="63"/>
  <c r="D107" i="63"/>
  <c r="C107" i="63"/>
  <c r="D106" i="63"/>
  <c r="C106" i="63"/>
  <c r="D105" i="63"/>
  <c r="C105" i="63"/>
  <c r="D101" i="63"/>
  <c r="C101" i="63"/>
  <c r="D100" i="63"/>
  <c r="C100" i="63"/>
  <c r="D99" i="63"/>
  <c r="C99" i="63"/>
  <c r="D98" i="63"/>
  <c r="C98" i="63"/>
  <c r="D97" i="63"/>
  <c r="C97" i="63"/>
  <c r="D96" i="63"/>
  <c r="D102" i="63" s="1"/>
  <c r="C96" i="63"/>
  <c r="C102" i="63" s="1"/>
  <c r="D92" i="63"/>
  <c r="C92" i="63"/>
  <c r="D91" i="63"/>
  <c r="C91" i="63"/>
  <c r="D90" i="63"/>
  <c r="C90" i="63"/>
  <c r="D89" i="63"/>
  <c r="C89" i="63"/>
  <c r="D88" i="63"/>
  <c r="C88" i="63"/>
  <c r="D87" i="63"/>
  <c r="C87" i="63"/>
  <c r="D86" i="63"/>
  <c r="C86" i="63"/>
  <c r="D85" i="63"/>
  <c r="C85" i="63"/>
  <c r="D84" i="63"/>
  <c r="C84" i="63"/>
  <c r="D83" i="63"/>
  <c r="C83" i="63"/>
  <c r="D82" i="63"/>
  <c r="C82" i="63"/>
  <c r="D78" i="63"/>
  <c r="C78" i="63"/>
  <c r="D77" i="63"/>
  <c r="C77" i="63"/>
  <c r="D76" i="63"/>
  <c r="C76" i="63"/>
  <c r="D75" i="63"/>
  <c r="C75" i="63"/>
  <c r="D74" i="63"/>
  <c r="C74" i="63"/>
  <c r="D73" i="63"/>
  <c r="C73" i="63"/>
  <c r="D72" i="63"/>
  <c r="C72" i="63"/>
  <c r="D71" i="63"/>
  <c r="C71" i="63"/>
  <c r="D70" i="63"/>
  <c r="C70" i="63"/>
  <c r="D69" i="63"/>
  <c r="C69" i="63"/>
  <c r="D68" i="63"/>
  <c r="C68" i="63"/>
  <c r="D67" i="63"/>
  <c r="C67" i="63"/>
  <c r="D66" i="63"/>
  <c r="C66" i="63"/>
  <c r="D65" i="63"/>
  <c r="C65" i="63"/>
  <c r="D64" i="63"/>
  <c r="C64" i="63"/>
  <c r="D60" i="63"/>
  <c r="C60" i="63"/>
  <c r="D59" i="63"/>
  <c r="C59" i="63"/>
  <c r="D58" i="63"/>
  <c r="C58" i="63"/>
  <c r="D57" i="63"/>
  <c r="C57" i="63"/>
  <c r="D56" i="63"/>
  <c r="C56" i="63"/>
  <c r="D55" i="63"/>
  <c r="C55" i="63"/>
  <c r="D54" i="63"/>
  <c r="C54" i="63"/>
  <c r="D53" i="63"/>
  <c r="C53" i="63"/>
  <c r="D52" i="63"/>
  <c r="C52" i="63"/>
  <c r="D51" i="63"/>
  <c r="C51" i="63"/>
  <c r="D50" i="63"/>
  <c r="C50" i="63"/>
  <c r="D49" i="63"/>
  <c r="C49" i="63"/>
  <c r="D48" i="63"/>
  <c r="C48" i="63"/>
  <c r="D47" i="63"/>
  <c r="C47" i="63"/>
  <c r="D46" i="63"/>
  <c r="C46" i="63"/>
  <c r="D45" i="63"/>
  <c r="C45" i="63"/>
  <c r="D44" i="63"/>
  <c r="C44" i="63"/>
  <c r="D43" i="63"/>
  <c r="C43" i="63"/>
  <c r="D42" i="63"/>
  <c r="C42" i="63"/>
  <c r="D41" i="63"/>
  <c r="C41" i="63"/>
  <c r="D40" i="63"/>
  <c r="C40" i="63"/>
  <c r="D39" i="63"/>
  <c r="C39" i="63"/>
  <c r="D38" i="63"/>
  <c r="C38" i="63"/>
  <c r="D37" i="63"/>
  <c r="C37" i="63"/>
  <c r="D36" i="63"/>
  <c r="C36" i="63"/>
  <c r="D35" i="63"/>
  <c r="C35" i="63"/>
  <c r="D34" i="63"/>
  <c r="C34" i="63"/>
  <c r="D33" i="63"/>
  <c r="C33" i="63"/>
  <c r="D32" i="63"/>
  <c r="C32" i="63"/>
  <c r="D31" i="63"/>
  <c r="C31" i="63"/>
  <c r="D30" i="63"/>
  <c r="C30" i="63"/>
  <c r="D29" i="63"/>
  <c r="C29" i="63"/>
  <c r="D28" i="63"/>
  <c r="C28" i="63"/>
  <c r="D27" i="63"/>
  <c r="C27" i="63"/>
  <c r="D26" i="63"/>
  <c r="C26" i="63"/>
  <c r="D25" i="63"/>
  <c r="C25" i="63"/>
  <c r="D20" i="63"/>
  <c r="C20" i="63"/>
  <c r="D19" i="63"/>
  <c r="C19" i="63"/>
  <c r="D18" i="63"/>
  <c r="C18" i="63"/>
  <c r="D17" i="63"/>
  <c r="C17" i="63"/>
  <c r="D16" i="63"/>
  <c r="C16" i="63"/>
  <c r="D15" i="63"/>
  <c r="C15" i="63"/>
  <c r="D14" i="63"/>
  <c r="C14" i="63"/>
  <c r="D13" i="63"/>
  <c r="C13" i="63"/>
  <c r="D12" i="63"/>
  <c r="C12" i="63"/>
  <c r="D11" i="63"/>
  <c r="D21" i="63" s="1"/>
  <c r="C11" i="63"/>
  <c r="C21" i="63" s="1"/>
  <c r="D93" i="63" l="1"/>
  <c r="D161" i="63"/>
  <c r="C119" i="63"/>
  <c r="D79" i="63"/>
  <c r="D111" i="63"/>
  <c r="D197" i="63"/>
  <c r="C93" i="63"/>
  <c r="C111" i="63"/>
  <c r="C79" i="63"/>
  <c r="C197" i="63"/>
  <c r="C206" i="63"/>
  <c r="C161" i="63"/>
  <c r="C228" i="63"/>
  <c r="D206" i="63"/>
  <c r="C61" i="63"/>
  <c r="C208" i="63" s="1"/>
  <c r="C212" i="63" s="1"/>
  <c r="D61" i="63"/>
  <c r="D208" i="63" s="1"/>
  <c r="D215" i="63" s="1"/>
  <c r="C215" i="63" l="1"/>
  <c r="G244" i="68" l="1"/>
  <c r="G243" i="68"/>
  <c r="G242" i="68"/>
  <c r="G241" i="68"/>
  <c r="C238" i="68"/>
  <c r="C237" i="68"/>
  <c r="C236" i="68"/>
  <c r="C235" i="68"/>
  <c r="C233" i="68"/>
  <c r="C232" i="68"/>
  <c r="C231" i="68"/>
  <c r="D228" i="68"/>
  <c r="C227" i="68"/>
  <c r="C226" i="68"/>
  <c r="C225" i="68"/>
  <c r="C224" i="68"/>
  <c r="C223" i="68"/>
  <c r="C222" i="68"/>
  <c r="C221" i="68"/>
  <c r="C220" i="68"/>
  <c r="C219" i="68"/>
  <c r="C211" i="68"/>
  <c r="D205" i="68"/>
  <c r="C205" i="68"/>
  <c r="D204" i="68"/>
  <c r="C204" i="68"/>
  <c r="D203" i="68"/>
  <c r="C203" i="68"/>
  <c r="D202" i="68"/>
  <c r="C202" i="68"/>
  <c r="D201" i="68"/>
  <c r="C201" i="68"/>
  <c r="D200" i="68"/>
  <c r="C200" i="68"/>
  <c r="D196" i="68"/>
  <c r="C196" i="68"/>
  <c r="D195" i="68"/>
  <c r="C195" i="68"/>
  <c r="D194" i="68"/>
  <c r="C194" i="68"/>
  <c r="D193" i="68"/>
  <c r="C193" i="68"/>
  <c r="D192" i="68"/>
  <c r="C192" i="68"/>
  <c r="D191" i="68"/>
  <c r="C191" i="68"/>
  <c r="D190" i="68"/>
  <c r="C190" i="68"/>
  <c r="D189" i="68"/>
  <c r="C189" i="68"/>
  <c r="D188" i="68"/>
  <c r="C188" i="68"/>
  <c r="D187" i="68"/>
  <c r="C187" i="68"/>
  <c r="D186" i="68"/>
  <c r="C186" i="68"/>
  <c r="D185" i="68"/>
  <c r="C185" i="68"/>
  <c r="D184" i="68"/>
  <c r="C184" i="68"/>
  <c r="D183" i="68"/>
  <c r="C183" i="68"/>
  <c r="D182" i="68"/>
  <c r="C182" i="68"/>
  <c r="D181" i="68"/>
  <c r="C181" i="68"/>
  <c r="D180" i="68"/>
  <c r="C180" i="68"/>
  <c r="D179" i="68"/>
  <c r="C179" i="68"/>
  <c r="D178" i="68"/>
  <c r="C178" i="68"/>
  <c r="D177" i="68"/>
  <c r="C177" i="68"/>
  <c r="D176" i="68"/>
  <c r="C176" i="68"/>
  <c r="D175" i="68"/>
  <c r="C175" i="68"/>
  <c r="D174" i="68"/>
  <c r="C174" i="68"/>
  <c r="D173" i="68"/>
  <c r="C173" i="68"/>
  <c r="D172" i="68"/>
  <c r="C172" i="68"/>
  <c r="D171" i="68"/>
  <c r="C171" i="68"/>
  <c r="D170" i="68"/>
  <c r="C170" i="68"/>
  <c r="D169" i="68"/>
  <c r="C169" i="68"/>
  <c r="D168" i="68"/>
  <c r="C168" i="68"/>
  <c r="D167" i="68"/>
  <c r="C167" i="68"/>
  <c r="D166" i="68"/>
  <c r="C166" i="68"/>
  <c r="D165" i="68"/>
  <c r="C165" i="68"/>
  <c r="D164" i="68"/>
  <c r="C164" i="68"/>
  <c r="D160" i="68"/>
  <c r="C160" i="68"/>
  <c r="D159" i="68"/>
  <c r="C159" i="68"/>
  <c r="D158" i="68"/>
  <c r="C158" i="68"/>
  <c r="D157" i="68"/>
  <c r="C157" i="68"/>
  <c r="D156" i="68"/>
  <c r="C156" i="68"/>
  <c r="D155" i="68"/>
  <c r="C155" i="68"/>
  <c r="D153" i="68"/>
  <c r="C153" i="68"/>
  <c r="D152" i="68"/>
  <c r="C152" i="68"/>
  <c r="D151" i="68"/>
  <c r="C151" i="68"/>
  <c r="D150" i="68"/>
  <c r="C150" i="68"/>
  <c r="D149" i="68"/>
  <c r="C149" i="68"/>
  <c r="D148" i="68"/>
  <c r="C148" i="68"/>
  <c r="D147" i="68"/>
  <c r="C147" i="68"/>
  <c r="D146" i="68"/>
  <c r="C146" i="68"/>
  <c r="D145" i="68"/>
  <c r="C145" i="68"/>
  <c r="D143" i="68"/>
  <c r="C143" i="68"/>
  <c r="D142" i="68"/>
  <c r="C142" i="68"/>
  <c r="D141" i="68"/>
  <c r="C141" i="68"/>
  <c r="D140" i="68"/>
  <c r="C140" i="68"/>
  <c r="D138" i="68"/>
  <c r="C138" i="68"/>
  <c r="D137" i="68"/>
  <c r="C137" i="68"/>
  <c r="D136" i="68"/>
  <c r="C136" i="68"/>
  <c r="D135" i="68"/>
  <c r="C135" i="68"/>
  <c r="D133" i="68"/>
  <c r="C133" i="68"/>
  <c r="D132" i="68"/>
  <c r="C132" i="68"/>
  <c r="D131" i="68"/>
  <c r="C131" i="68"/>
  <c r="D130" i="68"/>
  <c r="C130" i="68"/>
  <c r="D129" i="68"/>
  <c r="C129" i="68"/>
  <c r="D127" i="68"/>
  <c r="C127" i="68"/>
  <c r="D126" i="68"/>
  <c r="C126" i="68"/>
  <c r="D125" i="68"/>
  <c r="C125" i="68"/>
  <c r="D124" i="68"/>
  <c r="C124" i="68"/>
  <c r="D123" i="68"/>
  <c r="C123" i="68"/>
  <c r="D118" i="68"/>
  <c r="C118" i="68"/>
  <c r="D117" i="68"/>
  <c r="C117" i="68"/>
  <c r="D116" i="68"/>
  <c r="C116" i="68"/>
  <c r="D115" i="68"/>
  <c r="C115" i="68"/>
  <c r="D114" i="68"/>
  <c r="C114" i="68"/>
  <c r="D110" i="68"/>
  <c r="C110" i="68"/>
  <c r="D109" i="68"/>
  <c r="C109" i="68"/>
  <c r="D108" i="68"/>
  <c r="C108" i="68"/>
  <c r="D107" i="68"/>
  <c r="C107" i="68"/>
  <c r="D106" i="68"/>
  <c r="C106" i="68"/>
  <c r="D105" i="68"/>
  <c r="C105" i="68"/>
  <c r="D101" i="68"/>
  <c r="C101" i="68"/>
  <c r="D100" i="68"/>
  <c r="C100" i="68"/>
  <c r="D99" i="68"/>
  <c r="C99" i="68"/>
  <c r="D98" i="68"/>
  <c r="C98" i="68"/>
  <c r="D97" i="68"/>
  <c r="C97" i="68"/>
  <c r="D96" i="68"/>
  <c r="C96" i="68"/>
  <c r="D92" i="68"/>
  <c r="C92" i="68"/>
  <c r="D91" i="68"/>
  <c r="C91" i="68"/>
  <c r="D90" i="68"/>
  <c r="C90" i="68"/>
  <c r="D89" i="68"/>
  <c r="C89" i="68"/>
  <c r="D88" i="68"/>
  <c r="C88" i="68"/>
  <c r="D87" i="68"/>
  <c r="C87" i="68"/>
  <c r="D86" i="68"/>
  <c r="C86" i="68"/>
  <c r="D85" i="68"/>
  <c r="C85" i="68"/>
  <c r="D84" i="68"/>
  <c r="C84" i="68"/>
  <c r="D83" i="68"/>
  <c r="C83" i="68"/>
  <c r="D82" i="68"/>
  <c r="C82" i="68"/>
  <c r="D78" i="68"/>
  <c r="C78" i="68"/>
  <c r="D77" i="68"/>
  <c r="C77" i="68"/>
  <c r="D76" i="68"/>
  <c r="C76" i="68"/>
  <c r="D75" i="68"/>
  <c r="C75" i="68"/>
  <c r="D74" i="68"/>
  <c r="C74" i="68"/>
  <c r="D73" i="68"/>
  <c r="C73" i="68"/>
  <c r="D72" i="68"/>
  <c r="C72" i="68"/>
  <c r="D71" i="68"/>
  <c r="C71" i="68"/>
  <c r="D70" i="68"/>
  <c r="C70" i="68"/>
  <c r="D69" i="68"/>
  <c r="C69" i="68"/>
  <c r="D68" i="68"/>
  <c r="C68" i="68"/>
  <c r="D67" i="68"/>
  <c r="C67" i="68"/>
  <c r="D66" i="68"/>
  <c r="C66" i="68"/>
  <c r="D65" i="68"/>
  <c r="C65" i="68"/>
  <c r="D64" i="68"/>
  <c r="C64" i="68"/>
  <c r="D60" i="68"/>
  <c r="C60" i="68"/>
  <c r="D59" i="68"/>
  <c r="C59" i="68"/>
  <c r="D58" i="68"/>
  <c r="C58" i="68"/>
  <c r="D57" i="68"/>
  <c r="C57" i="68"/>
  <c r="D56" i="68"/>
  <c r="C56" i="68"/>
  <c r="D55" i="68"/>
  <c r="C55" i="68"/>
  <c r="D54" i="68"/>
  <c r="C54" i="68"/>
  <c r="D53" i="68"/>
  <c r="C53" i="68"/>
  <c r="D52" i="68"/>
  <c r="C52" i="68"/>
  <c r="D51" i="68"/>
  <c r="C51" i="68"/>
  <c r="D50" i="68"/>
  <c r="C50" i="68"/>
  <c r="D49" i="68"/>
  <c r="C49" i="68"/>
  <c r="D48" i="68"/>
  <c r="C48" i="68"/>
  <c r="D47" i="68"/>
  <c r="C47" i="68"/>
  <c r="D46" i="68"/>
  <c r="C46" i="68"/>
  <c r="D45" i="68"/>
  <c r="C45" i="68"/>
  <c r="D44" i="68"/>
  <c r="C44" i="68"/>
  <c r="D43" i="68"/>
  <c r="C43" i="68"/>
  <c r="D42" i="68"/>
  <c r="C42" i="68"/>
  <c r="D41" i="68"/>
  <c r="C41" i="68"/>
  <c r="D40" i="68"/>
  <c r="C40" i="68"/>
  <c r="D39" i="68"/>
  <c r="C39" i="68"/>
  <c r="D38" i="68"/>
  <c r="C38" i="68"/>
  <c r="D37" i="68"/>
  <c r="C37" i="68"/>
  <c r="D36" i="68"/>
  <c r="C36" i="68"/>
  <c r="D35" i="68"/>
  <c r="C35" i="68"/>
  <c r="D34" i="68"/>
  <c r="C34" i="68"/>
  <c r="D33" i="68"/>
  <c r="C33" i="68"/>
  <c r="D32" i="68"/>
  <c r="C32" i="68"/>
  <c r="D31" i="68"/>
  <c r="C31" i="68"/>
  <c r="D30" i="68"/>
  <c r="C30" i="68"/>
  <c r="D29" i="68"/>
  <c r="C29" i="68"/>
  <c r="D28" i="68"/>
  <c r="C28" i="68"/>
  <c r="D27" i="68"/>
  <c r="C27" i="68"/>
  <c r="D26" i="68"/>
  <c r="C26" i="68"/>
  <c r="D25" i="68"/>
  <c r="C25" i="68"/>
  <c r="D20" i="68"/>
  <c r="C20" i="68"/>
  <c r="D19" i="68"/>
  <c r="C19" i="68"/>
  <c r="D18" i="68"/>
  <c r="C18" i="68"/>
  <c r="D17" i="68"/>
  <c r="C17" i="68"/>
  <c r="D16" i="68"/>
  <c r="C16" i="68"/>
  <c r="D15" i="68"/>
  <c r="C15" i="68"/>
  <c r="D14" i="68"/>
  <c r="C14" i="68"/>
  <c r="D13" i="68"/>
  <c r="C13" i="68"/>
  <c r="D12" i="68"/>
  <c r="C12" i="68"/>
  <c r="D11" i="68"/>
  <c r="C11" i="68"/>
  <c r="C21" i="68" l="1"/>
  <c r="C102" i="68"/>
  <c r="D119" i="68"/>
  <c r="D21" i="68"/>
  <c r="D102" i="68"/>
  <c r="C119" i="68"/>
  <c r="C111" i="68"/>
  <c r="C161" i="68"/>
  <c r="D93" i="68"/>
  <c r="D111" i="68"/>
  <c r="C79" i="68"/>
  <c r="C197" i="68"/>
  <c r="C206" i="68"/>
  <c r="C93" i="68"/>
  <c r="C228" i="68"/>
  <c r="D61" i="68"/>
  <c r="D161" i="68"/>
  <c r="D79" i="68"/>
  <c r="D197" i="68"/>
  <c r="D206" i="68"/>
  <c r="C61" i="68"/>
  <c r="D208" i="68" l="1"/>
  <c r="D215" i="68" s="1"/>
  <c r="C208" i="68"/>
  <c r="C212" i="68" s="1"/>
  <c r="C215" i="68" l="1"/>
  <c r="G244" i="150"/>
  <c r="G243" i="150"/>
  <c r="G242" i="150"/>
  <c r="G241" i="150"/>
  <c r="C238" i="150"/>
  <c r="C237" i="150"/>
  <c r="C236" i="150"/>
  <c r="C235" i="150"/>
  <c r="C233" i="150"/>
  <c r="C232" i="150"/>
  <c r="C231" i="150"/>
  <c r="D228" i="150"/>
  <c r="C227" i="150"/>
  <c r="C226" i="150"/>
  <c r="C225" i="150"/>
  <c r="C224" i="150"/>
  <c r="C223" i="150"/>
  <c r="C222" i="150"/>
  <c r="C221" i="150"/>
  <c r="C220" i="150"/>
  <c r="C219" i="150"/>
  <c r="C211" i="150"/>
  <c r="D205" i="150"/>
  <c r="C205" i="150"/>
  <c r="D204" i="150"/>
  <c r="C204" i="150"/>
  <c r="D203" i="150"/>
  <c r="C203" i="150"/>
  <c r="D202" i="150"/>
  <c r="C202" i="150"/>
  <c r="D201" i="150"/>
  <c r="C201" i="150"/>
  <c r="D200" i="150"/>
  <c r="C200" i="150"/>
  <c r="D196" i="150"/>
  <c r="C196" i="150"/>
  <c r="D195" i="150"/>
  <c r="C195" i="150"/>
  <c r="D194" i="150"/>
  <c r="C194" i="150"/>
  <c r="D193" i="150"/>
  <c r="C193" i="150"/>
  <c r="D192" i="150"/>
  <c r="C192" i="150"/>
  <c r="D191" i="150"/>
  <c r="C191" i="150"/>
  <c r="D190" i="150"/>
  <c r="C190" i="150"/>
  <c r="D189" i="150"/>
  <c r="C189" i="150"/>
  <c r="D188" i="150"/>
  <c r="C188" i="150"/>
  <c r="D187" i="150"/>
  <c r="C187" i="150"/>
  <c r="D186" i="150"/>
  <c r="C186" i="150"/>
  <c r="D185" i="150"/>
  <c r="C185" i="150"/>
  <c r="D184" i="150"/>
  <c r="C184" i="150"/>
  <c r="D183" i="150"/>
  <c r="C183" i="150"/>
  <c r="D182" i="150"/>
  <c r="C182" i="150"/>
  <c r="D181" i="150"/>
  <c r="C181" i="150"/>
  <c r="D180" i="150"/>
  <c r="C180" i="150"/>
  <c r="D179" i="150"/>
  <c r="C179" i="150"/>
  <c r="D178" i="150"/>
  <c r="C178" i="150"/>
  <c r="D177" i="150"/>
  <c r="C177" i="150"/>
  <c r="D176" i="150"/>
  <c r="C176" i="150"/>
  <c r="D175" i="150"/>
  <c r="C175" i="150"/>
  <c r="D174" i="150"/>
  <c r="C174" i="150"/>
  <c r="D173" i="150"/>
  <c r="C173" i="150"/>
  <c r="D172" i="150"/>
  <c r="C172" i="150"/>
  <c r="D171" i="150"/>
  <c r="C171" i="150"/>
  <c r="D170" i="150"/>
  <c r="C170" i="150"/>
  <c r="D169" i="150"/>
  <c r="C169" i="150"/>
  <c r="D168" i="150"/>
  <c r="C168" i="150"/>
  <c r="D167" i="150"/>
  <c r="C167" i="150"/>
  <c r="D166" i="150"/>
  <c r="C166" i="150"/>
  <c r="D165" i="150"/>
  <c r="C165" i="150"/>
  <c r="D164" i="150"/>
  <c r="C164" i="150"/>
  <c r="D160" i="150"/>
  <c r="C160" i="150"/>
  <c r="D159" i="150"/>
  <c r="C159" i="150"/>
  <c r="D158" i="150"/>
  <c r="C158" i="150"/>
  <c r="D157" i="150"/>
  <c r="C157" i="150"/>
  <c r="D156" i="150"/>
  <c r="C156" i="150"/>
  <c r="D155" i="150"/>
  <c r="C155" i="150"/>
  <c r="D153" i="150"/>
  <c r="C153" i="150"/>
  <c r="D152" i="150"/>
  <c r="C152" i="150"/>
  <c r="D151" i="150"/>
  <c r="C151" i="150"/>
  <c r="D150" i="150"/>
  <c r="C150" i="150"/>
  <c r="D149" i="150"/>
  <c r="C149" i="150"/>
  <c r="D148" i="150"/>
  <c r="C148" i="150"/>
  <c r="D147" i="150"/>
  <c r="C147" i="150"/>
  <c r="D146" i="150"/>
  <c r="C146" i="150"/>
  <c r="D145" i="150"/>
  <c r="C145" i="150"/>
  <c r="D143" i="150"/>
  <c r="C143" i="150"/>
  <c r="D142" i="150"/>
  <c r="C142" i="150"/>
  <c r="D141" i="150"/>
  <c r="C141" i="150"/>
  <c r="D140" i="150"/>
  <c r="C140" i="150"/>
  <c r="D138" i="150"/>
  <c r="C138" i="150"/>
  <c r="D137" i="150"/>
  <c r="C137" i="150"/>
  <c r="D136" i="150"/>
  <c r="C136" i="150"/>
  <c r="D135" i="150"/>
  <c r="C135" i="150"/>
  <c r="D133" i="150"/>
  <c r="C133" i="150"/>
  <c r="D132" i="150"/>
  <c r="C132" i="150"/>
  <c r="D131" i="150"/>
  <c r="C131" i="150"/>
  <c r="D130" i="150"/>
  <c r="C130" i="150"/>
  <c r="D129" i="150"/>
  <c r="C129" i="150"/>
  <c r="D127" i="150"/>
  <c r="C127" i="150"/>
  <c r="D126" i="150"/>
  <c r="C126" i="150"/>
  <c r="D125" i="150"/>
  <c r="C125" i="150"/>
  <c r="D124" i="150"/>
  <c r="C124" i="150"/>
  <c r="D123" i="150"/>
  <c r="C123" i="150"/>
  <c r="D118" i="150"/>
  <c r="C118" i="150"/>
  <c r="D117" i="150"/>
  <c r="C117" i="150"/>
  <c r="D116" i="150"/>
  <c r="C116" i="150"/>
  <c r="D115" i="150"/>
  <c r="C115" i="150"/>
  <c r="D114" i="150"/>
  <c r="C114" i="150"/>
  <c r="D110" i="150"/>
  <c r="C110" i="150"/>
  <c r="D109" i="150"/>
  <c r="C109" i="150"/>
  <c r="D108" i="150"/>
  <c r="C108" i="150"/>
  <c r="D107" i="150"/>
  <c r="C107" i="150"/>
  <c r="D106" i="150"/>
  <c r="C106" i="150"/>
  <c r="D105" i="150"/>
  <c r="C105" i="150"/>
  <c r="D101" i="150"/>
  <c r="C101" i="150"/>
  <c r="D100" i="150"/>
  <c r="C100" i="150"/>
  <c r="D99" i="150"/>
  <c r="C99" i="150"/>
  <c r="D98" i="150"/>
  <c r="C98" i="150"/>
  <c r="D97" i="150"/>
  <c r="C97" i="150"/>
  <c r="D96" i="150"/>
  <c r="C96" i="150"/>
  <c r="D92" i="150"/>
  <c r="C92" i="150"/>
  <c r="D91" i="150"/>
  <c r="C91" i="150"/>
  <c r="D90" i="150"/>
  <c r="C90" i="150"/>
  <c r="D89" i="150"/>
  <c r="C89" i="150"/>
  <c r="D88" i="150"/>
  <c r="C88" i="150"/>
  <c r="D87" i="150"/>
  <c r="C87" i="150"/>
  <c r="D86" i="150"/>
  <c r="C86" i="150"/>
  <c r="D85" i="150"/>
  <c r="C85" i="150"/>
  <c r="D84" i="150"/>
  <c r="C84" i="150"/>
  <c r="D83" i="150"/>
  <c r="C83" i="150"/>
  <c r="D82" i="150"/>
  <c r="D93" i="150" s="1"/>
  <c r="C82" i="150"/>
  <c r="D78" i="150"/>
  <c r="C78" i="150"/>
  <c r="D77" i="150"/>
  <c r="C77" i="150"/>
  <c r="D76" i="150"/>
  <c r="C76" i="150"/>
  <c r="D75" i="150"/>
  <c r="C75" i="150"/>
  <c r="D74" i="150"/>
  <c r="C74" i="150"/>
  <c r="D73" i="150"/>
  <c r="C73" i="150"/>
  <c r="D72" i="150"/>
  <c r="C72" i="150"/>
  <c r="D71" i="150"/>
  <c r="C71" i="150"/>
  <c r="D70" i="150"/>
  <c r="C70" i="150"/>
  <c r="D69" i="150"/>
  <c r="C69" i="150"/>
  <c r="D68" i="150"/>
  <c r="C68" i="150"/>
  <c r="D67" i="150"/>
  <c r="C67" i="150"/>
  <c r="D66" i="150"/>
  <c r="C66" i="150"/>
  <c r="D65" i="150"/>
  <c r="C65" i="150"/>
  <c r="D64" i="150"/>
  <c r="C64" i="150"/>
  <c r="D60" i="150"/>
  <c r="C60" i="150"/>
  <c r="D59" i="150"/>
  <c r="C59" i="150"/>
  <c r="D58" i="150"/>
  <c r="C58" i="150"/>
  <c r="D57" i="150"/>
  <c r="C57" i="150"/>
  <c r="D56" i="150"/>
  <c r="C56" i="150"/>
  <c r="D55" i="150"/>
  <c r="C55" i="150"/>
  <c r="D54" i="150"/>
  <c r="C54" i="150"/>
  <c r="D53" i="150"/>
  <c r="C53" i="150"/>
  <c r="D52" i="150"/>
  <c r="C52" i="150"/>
  <c r="D51" i="150"/>
  <c r="C51" i="150"/>
  <c r="D50" i="150"/>
  <c r="C50" i="150"/>
  <c r="D49" i="150"/>
  <c r="C49" i="150"/>
  <c r="D48" i="150"/>
  <c r="C48" i="150"/>
  <c r="D47" i="150"/>
  <c r="C47" i="150"/>
  <c r="D46" i="150"/>
  <c r="C46" i="150"/>
  <c r="D45" i="150"/>
  <c r="C45" i="150"/>
  <c r="D44" i="150"/>
  <c r="C44" i="150"/>
  <c r="D43" i="150"/>
  <c r="C43" i="150"/>
  <c r="D42" i="150"/>
  <c r="C42" i="150"/>
  <c r="D41" i="150"/>
  <c r="C41" i="150"/>
  <c r="D40" i="150"/>
  <c r="C40" i="150"/>
  <c r="D39" i="150"/>
  <c r="C39" i="150"/>
  <c r="D38" i="150"/>
  <c r="C38" i="150"/>
  <c r="D37" i="150"/>
  <c r="C37" i="150"/>
  <c r="D36" i="150"/>
  <c r="C36" i="150"/>
  <c r="D35" i="150"/>
  <c r="C35" i="150"/>
  <c r="D34" i="150"/>
  <c r="C34" i="150"/>
  <c r="D33" i="150"/>
  <c r="C33" i="150"/>
  <c r="D32" i="150"/>
  <c r="C32" i="150"/>
  <c r="D31" i="150"/>
  <c r="C31" i="150"/>
  <c r="D30" i="150"/>
  <c r="C30" i="150"/>
  <c r="D29" i="150"/>
  <c r="C29" i="150"/>
  <c r="D28" i="150"/>
  <c r="C28" i="150"/>
  <c r="D27" i="150"/>
  <c r="C27" i="150"/>
  <c r="D26" i="150"/>
  <c r="C26" i="150"/>
  <c r="D25" i="150"/>
  <c r="C25" i="150"/>
  <c r="D20" i="150"/>
  <c r="C20" i="150"/>
  <c r="D19" i="150"/>
  <c r="C19" i="150"/>
  <c r="D18" i="150"/>
  <c r="C18" i="150"/>
  <c r="D17" i="150"/>
  <c r="C17" i="150"/>
  <c r="D16" i="150"/>
  <c r="C16" i="150"/>
  <c r="D15" i="150"/>
  <c r="C15" i="150"/>
  <c r="D14" i="150"/>
  <c r="C14" i="150"/>
  <c r="D13" i="150"/>
  <c r="C13" i="150"/>
  <c r="D12" i="150"/>
  <c r="C12" i="150"/>
  <c r="D11" i="150"/>
  <c r="C11" i="150"/>
  <c r="D161" i="150" l="1"/>
  <c r="D21" i="150"/>
  <c r="C21" i="150"/>
  <c r="C102" i="150"/>
  <c r="D102" i="150"/>
  <c r="D119" i="150"/>
  <c r="C119" i="150"/>
  <c r="C93" i="150"/>
  <c r="D79" i="150"/>
  <c r="D111" i="150"/>
  <c r="D197" i="150"/>
  <c r="C111" i="150"/>
  <c r="C79" i="150"/>
  <c r="C197" i="150"/>
  <c r="C206" i="150"/>
  <c r="C161" i="150"/>
  <c r="C228" i="150"/>
  <c r="D206" i="150"/>
  <c r="C61" i="150"/>
  <c r="D61" i="150"/>
  <c r="G244" i="15"/>
  <c r="G243" i="15"/>
  <c r="G242" i="15"/>
  <c r="G241" i="15"/>
  <c r="C238" i="15"/>
  <c r="C237" i="15"/>
  <c r="C236" i="15"/>
  <c r="C235" i="15"/>
  <c r="C233" i="15"/>
  <c r="C232" i="15"/>
  <c r="C231" i="15"/>
  <c r="D228" i="15"/>
  <c r="C227" i="15"/>
  <c r="C226" i="15"/>
  <c r="C225" i="15"/>
  <c r="C224" i="15"/>
  <c r="C223" i="15"/>
  <c r="C222" i="15"/>
  <c r="C221" i="15"/>
  <c r="C220" i="15"/>
  <c r="C219" i="15"/>
  <c r="C211" i="15"/>
  <c r="D205" i="15"/>
  <c r="C205" i="15"/>
  <c r="D204" i="15"/>
  <c r="C204" i="15"/>
  <c r="D203" i="15"/>
  <c r="C203" i="15"/>
  <c r="D202" i="15"/>
  <c r="C202" i="15"/>
  <c r="D201" i="15"/>
  <c r="C201" i="15"/>
  <c r="D200" i="15"/>
  <c r="C200" i="15"/>
  <c r="C206" i="15" s="1"/>
  <c r="D196" i="15"/>
  <c r="C196" i="15"/>
  <c r="D195" i="15"/>
  <c r="C195" i="15"/>
  <c r="D194" i="15"/>
  <c r="C194" i="15"/>
  <c r="D193" i="15"/>
  <c r="C193" i="15"/>
  <c r="D192" i="15"/>
  <c r="C192" i="15"/>
  <c r="D191" i="15"/>
  <c r="C191" i="15"/>
  <c r="D190" i="15"/>
  <c r="C190" i="15"/>
  <c r="D189" i="15"/>
  <c r="C189" i="15"/>
  <c r="D188" i="15"/>
  <c r="C188" i="15"/>
  <c r="D187" i="15"/>
  <c r="C187" i="15"/>
  <c r="D186" i="15"/>
  <c r="C186" i="15"/>
  <c r="D185" i="15"/>
  <c r="C185" i="15"/>
  <c r="D184" i="15"/>
  <c r="C184" i="15"/>
  <c r="D183" i="15"/>
  <c r="C183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6" i="15"/>
  <c r="C176" i="15"/>
  <c r="D175" i="15"/>
  <c r="C175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8" i="15"/>
  <c r="C168" i="15"/>
  <c r="D167" i="15"/>
  <c r="C167" i="15"/>
  <c r="D166" i="15"/>
  <c r="C166" i="15"/>
  <c r="D165" i="15"/>
  <c r="C165" i="15"/>
  <c r="C197" i="15" s="1"/>
  <c r="D164" i="15"/>
  <c r="C164" i="15"/>
  <c r="D160" i="15"/>
  <c r="C160" i="15"/>
  <c r="D159" i="15"/>
  <c r="C159" i="15"/>
  <c r="D158" i="15"/>
  <c r="C158" i="15"/>
  <c r="D157" i="15"/>
  <c r="C157" i="15"/>
  <c r="D156" i="15"/>
  <c r="C156" i="15"/>
  <c r="D155" i="15"/>
  <c r="C155" i="15"/>
  <c r="D153" i="15"/>
  <c r="C153" i="15"/>
  <c r="D152" i="15"/>
  <c r="C152" i="15"/>
  <c r="D151" i="15"/>
  <c r="C151" i="15"/>
  <c r="D150" i="15"/>
  <c r="C150" i="15"/>
  <c r="D149" i="15"/>
  <c r="C149" i="15"/>
  <c r="D148" i="15"/>
  <c r="C148" i="15"/>
  <c r="D147" i="15"/>
  <c r="C147" i="15"/>
  <c r="D146" i="15"/>
  <c r="C146" i="15"/>
  <c r="D145" i="15"/>
  <c r="C145" i="15"/>
  <c r="D143" i="15"/>
  <c r="C143" i="15"/>
  <c r="D142" i="15"/>
  <c r="C142" i="15"/>
  <c r="D141" i="15"/>
  <c r="C141" i="15"/>
  <c r="D140" i="15"/>
  <c r="C140" i="15"/>
  <c r="D138" i="15"/>
  <c r="C138" i="15"/>
  <c r="D137" i="15"/>
  <c r="C137" i="15"/>
  <c r="D136" i="15"/>
  <c r="C136" i="15"/>
  <c r="D135" i="15"/>
  <c r="C135" i="15"/>
  <c r="D133" i="15"/>
  <c r="C133" i="15"/>
  <c r="D132" i="15"/>
  <c r="C132" i="15"/>
  <c r="D131" i="15"/>
  <c r="C131" i="15"/>
  <c r="D130" i="15"/>
  <c r="C130" i="15"/>
  <c r="D129" i="15"/>
  <c r="C129" i="15"/>
  <c r="D127" i="15"/>
  <c r="C127" i="15"/>
  <c r="D126" i="15"/>
  <c r="C126" i="15"/>
  <c r="D125" i="15"/>
  <c r="C125" i="15"/>
  <c r="D124" i="15"/>
  <c r="C124" i="15"/>
  <c r="D123" i="15"/>
  <c r="C123" i="15"/>
  <c r="D118" i="15"/>
  <c r="C118" i="15"/>
  <c r="D117" i="15"/>
  <c r="C117" i="15"/>
  <c r="D116" i="15"/>
  <c r="C116" i="15"/>
  <c r="D115" i="15"/>
  <c r="C115" i="15"/>
  <c r="D114" i="15"/>
  <c r="C114" i="15"/>
  <c r="D110" i="15"/>
  <c r="C110" i="15"/>
  <c r="D109" i="15"/>
  <c r="C109" i="15"/>
  <c r="D108" i="15"/>
  <c r="C108" i="15"/>
  <c r="D107" i="15"/>
  <c r="C107" i="15"/>
  <c r="D106" i="15"/>
  <c r="C106" i="15"/>
  <c r="D105" i="15"/>
  <c r="C105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71" i="15"/>
  <c r="C71" i="15"/>
  <c r="D70" i="15"/>
  <c r="C70" i="15"/>
  <c r="D69" i="15"/>
  <c r="C69" i="15"/>
  <c r="D68" i="15"/>
  <c r="C68" i="15"/>
  <c r="D67" i="15"/>
  <c r="C67" i="15"/>
  <c r="D66" i="15"/>
  <c r="C66" i="15"/>
  <c r="D65" i="15"/>
  <c r="C65" i="15"/>
  <c r="D64" i="15"/>
  <c r="C64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19" i="15" l="1"/>
  <c r="C208" i="150"/>
  <c r="C212" i="150" s="1"/>
  <c r="D208" i="150"/>
  <c r="D215" i="150" s="1"/>
  <c r="C93" i="15"/>
  <c r="C111" i="15"/>
  <c r="C161" i="15"/>
  <c r="C228" i="15"/>
  <c r="D93" i="15"/>
  <c r="D111" i="15"/>
  <c r="D161" i="15"/>
  <c r="C79" i="15"/>
  <c r="D79" i="15"/>
  <c r="D197" i="15"/>
  <c r="D206" i="15"/>
  <c r="C21" i="15"/>
  <c r="D21" i="15"/>
  <c r="D102" i="15"/>
  <c r="C102" i="15"/>
  <c r="C119" i="15"/>
  <c r="C61" i="15"/>
  <c r="D61" i="15"/>
  <c r="D208" i="15" s="1"/>
  <c r="D215" i="15" s="1"/>
  <c r="C215" i="150" l="1"/>
  <c r="C208" i="15"/>
  <c r="C212" i="15" s="1"/>
  <c r="C215" i="15" l="1"/>
  <c r="G244" i="164"/>
  <c r="G243" i="164"/>
  <c r="G242" i="164"/>
  <c r="G241" i="164"/>
  <c r="C238" i="164"/>
  <c r="C237" i="164"/>
  <c r="C236" i="164"/>
  <c r="C235" i="164"/>
  <c r="C233" i="164"/>
  <c r="C232" i="164"/>
  <c r="C231" i="164"/>
  <c r="D228" i="164"/>
  <c r="C227" i="164"/>
  <c r="C226" i="164"/>
  <c r="C225" i="164"/>
  <c r="C224" i="164"/>
  <c r="C223" i="164"/>
  <c r="C222" i="164"/>
  <c r="C221" i="164"/>
  <c r="C220" i="164"/>
  <c r="C219" i="164"/>
  <c r="C211" i="164"/>
  <c r="D205" i="164"/>
  <c r="C205" i="164"/>
  <c r="D204" i="164"/>
  <c r="C204" i="164"/>
  <c r="D203" i="164"/>
  <c r="C203" i="164"/>
  <c r="D202" i="164"/>
  <c r="C202" i="164"/>
  <c r="D201" i="164"/>
  <c r="C201" i="164"/>
  <c r="D200" i="164"/>
  <c r="C200" i="164"/>
  <c r="D196" i="164"/>
  <c r="C196" i="164"/>
  <c r="D195" i="164"/>
  <c r="C195" i="164"/>
  <c r="D194" i="164"/>
  <c r="C194" i="164"/>
  <c r="D193" i="164"/>
  <c r="C193" i="164"/>
  <c r="D192" i="164"/>
  <c r="C192" i="164"/>
  <c r="D191" i="164"/>
  <c r="C191" i="164"/>
  <c r="D190" i="164"/>
  <c r="C190" i="164"/>
  <c r="D189" i="164"/>
  <c r="C189" i="164"/>
  <c r="D188" i="164"/>
  <c r="C188" i="164"/>
  <c r="D187" i="164"/>
  <c r="C187" i="164"/>
  <c r="D186" i="164"/>
  <c r="C186" i="164"/>
  <c r="D185" i="164"/>
  <c r="C185" i="164"/>
  <c r="D184" i="164"/>
  <c r="C184" i="164"/>
  <c r="D183" i="164"/>
  <c r="C183" i="164"/>
  <c r="D182" i="164"/>
  <c r="C182" i="164"/>
  <c r="D181" i="164"/>
  <c r="C181" i="164"/>
  <c r="D180" i="164"/>
  <c r="C180" i="164"/>
  <c r="D179" i="164"/>
  <c r="C179" i="164"/>
  <c r="D178" i="164"/>
  <c r="C178" i="164"/>
  <c r="D177" i="164"/>
  <c r="C177" i="164"/>
  <c r="D176" i="164"/>
  <c r="C176" i="164"/>
  <c r="D175" i="164"/>
  <c r="C175" i="164"/>
  <c r="D174" i="164"/>
  <c r="C174" i="164"/>
  <c r="D173" i="164"/>
  <c r="C173" i="164"/>
  <c r="D172" i="164"/>
  <c r="C172" i="164"/>
  <c r="D171" i="164"/>
  <c r="C171" i="164"/>
  <c r="D170" i="164"/>
  <c r="C170" i="164"/>
  <c r="D169" i="164"/>
  <c r="C169" i="164"/>
  <c r="D168" i="164"/>
  <c r="C168" i="164"/>
  <c r="D167" i="164"/>
  <c r="C167" i="164"/>
  <c r="D166" i="164"/>
  <c r="C166" i="164"/>
  <c r="D165" i="164"/>
  <c r="C165" i="164"/>
  <c r="D164" i="164"/>
  <c r="C164" i="164"/>
  <c r="D160" i="164"/>
  <c r="C160" i="164"/>
  <c r="D159" i="164"/>
  <c r="C159" i="164"/>
  <c r="D158" i="164"/>
  <c r="C158" i="164"/>
  <c r="D157" i="164"/>
  <c r="C157" i="164"/>
  <c r="D156" i="164"/>
  <c r="C156" i="164"/>
  <c r="D155" i="164"/>
  <c r="C155" i="164"/>
  <c r="D153" i="164"/>
  <c r="C153" i="164"/>
  <c r="D152" i="164"/>
  <c r="C152" i="164"/>
  <c r="D151" i="164"/>
  <c r="C151" i="164"/>
  <c r="D150" i="164"/>
  <c r="C150" i="164"/>
  <c r="D149" i="164"/>
  <c r="C149" i="164"/>
  <c r="D148" i="164"/>
  <c r="C148" i="164"/>
  <c r="D147" i="164"/>
  <c r="C147" i="164"/>
  <c r="D146" i="164"/>
  <c r="C146" i="164"/>
  <c r="D145" i="164"/>
  <c r="C145" i="164"/>
  <c r="D143" i="164"/>
  <c r="C143" i="164"/>
  <c r="D142" i="164"/>
  <c r="C142" i="164"/>
  <c r="D141" i="164"/>
  <c r="C141" i="164"/>
  <c r="D140" i="164"/>
  <c r="C140" i="164"/>
  <c r="D138" i="164"/>
  <c r="C138" i="164"/>
  <c r="D137" i="164"/>
  <c r="C137" i="164"/>
  <c r="D136" i="164"/>
  <c r="C136" i="164"/>
  <c r="D135" i="164"/>
  <c r="C135" i="164"/>
  <c r="D133" i="164"/>
  <c r="C133" i="164"/>
  <c r="D132" i="164"/>
  <c r="C132" i="164"/>
  <c r="D131" i="164"/>
  <c r="C131" i="164"/>
  <c r="D130" i="164"/>
  <c r="C130" i="164"/>
  <c r="D129" i="164"/>
  <c r="C129" i="164"/>
  <c r="D127" i="164"/>
  <c r="C127" i="164"/>
  <c r="D126" i="164"/>
  <c r="C126" i="164"/>
  <c r="D125" i="164"/>
  <c r="C125" i="164"/>
  <c r="D124" i="164"/>
  <c r="C124" i="164"/>
  <c r="D123" i="164"/>
  <c r="C123" i="164"/>
  <c r="D118" i="164"/>
  <c r="C118" i="164"/>
  <c r="D117" i="164"/>
  <c r="C117" i="164"/>
  <c r="D116" i="164"/>
  <c r="C116" i="164"/>
  <c r="D115" i="164"/>
  <c r="C115" i="164"/>
  <c r="D114" i="164"/>
  <c r="C114" i="164"/>
  <c r="D110" i="164"/>
  <c r="C110" i="164"/>
  <c r="D109" i="164"/>
  <c r="C109" i="164"/>
  <c r="D108" i="164"/>
  <c r="C108" i="164"/>
  <c r="D107" i="164"/>
  <c r="C107" i="164"/>
  <c r="D106" i="164"/>
  <c r="C106" i="164"/>
  <c r="D105" i="164"/>
  <c r="C105" i="164"/>
  <c r="D101" i="164"/>
  <c r="C101" i="164"/>
  <c r="D100" i="164"/>
  <c r="C100" i="164"/>
  <c r="D99" i="164"/>
  <c r="C99" i="164"/>
  <c r="D98" i="164"/>
  <c r="C98" i="164"/>
  <c r="D97" i="164"/>
  <c r="C97" i="164"/>
  <c r="D96" i="164"/>
  <c r="C96" i="164"/>
  <c r="D92" i="164"/>
  <c r="C92" i="164"/>
  <c r="D91" i="164"/>
  <c r="C91" i="164"/>
  <c r="D90" i="164"/>
  <c r="C90" i="164"/>
  <c r="D89" i="164"/>
  <c r="C89" i="164"/>
  <c r="D88" i="164"/>
  <c r="C88" i="164"/>
  <c r="D87" i="164"/>
  <c r="C87" i="164"/>
  <c r="D86" i="164"/>
  <c r="C86" i="164"/>
  <c r="D85" i="164"/>
  <c r="C85" i="164"/>
  <c r="D84" i="164"/>
  <c r="C84" i="164"/>
  <c r="D83" i="164"/>
  <c r="C83" i="164"/>
  <c r="D82" i="164"/>
  <c r="C82" i="164"/>
  <c r="D78" i="164"/>
  <c r="C78" i="164"/>
  <c r="D77" i="164"/>
  <c r="C77" i="164"/>
  <c r="D76" i="164"/>
  <c r="C76" i="164"/>
  <c r="D75" i="164"/>
  <c r="C75" i="164"/>
  <c r="D74" i="164"/>
  <c r="C74" i="164"/>
  <c r="D73" i="164"/>
  <c r="C73" i="164"/>
  <c r="D72" i="164"/>
  <c r="C72" i="164"/>
  <c r="D71" i="164"/>
  <c r="C71" i="164"/>
  <c r="D70" i="164"/>
  <c r="C70" i="164"/>
  <c r="D69" i="164"/>
  <c r="C69" i="164"/>
  <c r="D68" i="164"/>
  <c r="C68" i="164"/>
  <c r="D67" i="164"/>
  <c r="C67" i="164"/>
  <c r="D66" i="164"/>
  <c r="C66" i="164"/>
  <c r="D65" i="164"/>
  <c r="C65" i="164"/>
  <c r="D64" i="164"/>
  <c r="C64" i="164"/>
  <c r="D60" i="164"/>
  <c r="C60" i="164"/>
  <c r="D59" i="164"/>
  <c r="C59" i="164"/>
  <c r="D58" i="164"/>
  <c r="C58" i="164"/>
  <c r="D57" i="164"/>
  <c r="C57" i="164"/>
  <c r="D56" i="164"/>
  <c r="C56" i="164"/>
  <c r="D55" i="164"/>
  <c r="C55" i="164"/>
  <c r="D54" i="164"/>
  <c r="C54" i="164"/>
  <c r="D53" i="164"/>
  <c r="C53" i="164"/>
  <c r="D52" i="164"/>
  <c r="C52" i="164"/>
  <c r="D51" i="164"/>
  <c r="C51" i="164"/>
  <c r="D50" i="164"/>
  <c r="C50" i="164"/>
  <c r="D49" i="164"/>
  <c r="C49" i="164"/>
  <c r="D48" i="164"/>
  <c r="C48" i="164"/>
  <c r="D47" i="164"/>
  <c r="C47" i="164"/>
  <c r="D46" i="164"/>
  <c r="C46" i="164"/>
  <c r="D45" i="164"/>
  <c r="C45" i="164"/>
  <c r="D44" i="164"/>
  <c r="C44" i="164"/>
  <c r="D43" i="164"/>
  <c r="C43" i="164"/>
  <c r="D42" i="164"/>
  <c r="C42" i="164"/>
  <c r="D41" i="164"/>
  <c r="C41" i="164"/>
  <c r="D40" i="164"/>
  <c r="C40" i="164"/>
  <c r="D39" i="164"/>
  <c r="C39" i="164"/>
  <c r="D38" i="164"/>
  <c r="C38" i="164"/>
  <c r="D37" i="164"/>
  <c r="C37" i="164"/>
  <c r="D36" i="164"/>
  <c r="C36" i="164"/>
  <c r="D35" i="164"/>
  <c r="C35" i="164"/>
  <c r="D34" i="164"/>
  <c r="C34" i="164"/>
  <c r="D33" i="164"/>
  <c r="C33" i="164"/>
  <c r="D32" i="164"/>
  <c r="C32" i="164"/>
  <c r="D31" i="164"/>
  <c r="C31" i="164"/>
  <c r="D30" i="164"/>
  <c r="C30" i="164"/>
  <c r="D29" i="164"/>
  <c r="C29" i="164"/>
  <c r="D28" i="164"/>
  <c r="C28" i="164"/>
  <c r="D27" i="164"/>
  <c r="C27" i="164"/>
  <c r="D26" i="164"/>
  <c r="C26" i="164"/>
  <c r="D25" i="164"/>
  <c r="C25" i="164"/>
  <c r="D20" i="164"/>
  <c r="C20" i="164"/>
  <c r="D19" i="164"/>
  <c r="C19" i="164"/>
  <c r="D18" i="164"/>
  <c r="C18" i="164"/>
  <c r="D17" i="164"/>
  <c r="C17" i="164"/>
  <c r="D16" i="164"/>
  <c r="C16" i="164"/>
  <c r="D15" i="164"/>
  <c r="C15" i="164"/>
  <c r="D14" i="164"/>
  <c r="C14" i="164"/>
  <c r="D13" i="164"/>
  <c r="C13" i="164"/>
  <c r="D12" i="164"/>
  <c r="C12" i="164"/>
  <c r="D11" i="164"/>
  <c r="C11" i="164"/>
  <c r="D93" i="164" l="1"/>
  <c r="D111" i="164"/>
  <c r="C79" i="164"/>
  <c r="C197" i="164"/>
  <c r="C206" i="164"/>
  <c r="D161" i="164"/>
  <c r="D21" i="164"/>
  <c r="D119" i="164"/>
  <c r="C228" i="164"/>
  <c r="C21" i="164"/>
  <c r="C102" i="164"/>
  <c r="D102" i="164"/>
  <c r="C119" i="164"/>
  <c r="C93" i="164"/>
  <c r="C111" i="164"/>
  <c r="C161" i="164"/>
  <c r="D79" i="164"/>
  <c r="D197" i="164"/>
  <c r="D206" i="164"/>
  <c r="C61" i="164"/>
  <c r="D61" i="164"/>
  <c r="C208" i="164" l="1"/>
  <c r="C212" i="164" s="1"/>
  <c r="D208" i="164"/>
  <c r="D215" i="164" s="1"/>
  <c r="C215" i="164" l="1"/>
  <c r="G244" i="10"/>
  <c r="G243" i="10"/>
  <c r="G242" i="10"/>
  <c r="G241" i="10"/>
  <c r="C238" i="10"/>
  <c r="C237" i="10"/>
  <c r="C236" i="10"/>
  <c r="C235" i="10"/>
  <c r="C233" i="10"/>
  <c r="C232" i="10"/>
  <c r="C231" i="10"/>
  <c r="D228" i="10"/>
  <c r="C227" i="10"/>
  <c r="C226" i="10"/>
  <c r="C225" i="10"/>
  <c r="C224" i="10"/>
  <c r="C223" i="10"/>
  <c r="C222" i="10"/>
  <c r="C221" i="10"/>
  <c r="C220" i="10"/>
  <c r="C219" i="10"/>
  <c r="C211" i="10"/>
  <c r="D205" i="10"/>
  <c r="C205" i="10"/>
  <c r="D204" i="10"/>
  <c r="C204" i="10"/>
  <c r="D203" i="10"/>
  <c r="C203" i="10"/>
  <c r="D202" i="10"/>
  <c r="C202" i="10"/>
  <c r="D201" i="10"/>
  <c r="C201" i="10"/>
  <c r="D200" i="10"/>
  <c r="C200" i="10"/>
  <c r="D196" i="10"/>
  <c r="C196" i="10"/>
  <c r="D195" i="10"/>
  <c r="C195" i="10"/>
  <c r="D194" i="10"/>
  <c r="C194" i="10"/>
  <c r="D193" i="10"/>
  <c r="C193" i="10"/>
  <c r="D192" i="10"/>
  <c r="C192" i="10"/>
  <c r="D191" i="10"/>
  <c r="C191" i="10"/>
  <c r="D190" i="10"/>
  <c r="C190" i="10"/>
  <c r="D189" i="10"/>
  <c r="C189" i="10"/>
  <c r="D188" i="10"/>
  <c r="C188" i="10"/>
  <c r="D187" i="10"/>
  <c r="C187" i="10"/>
  <c r="D186" i="10"/>
  <c r="C186" i="10"/>
  <c r="D185" i="10"/>
  <c r="C185" i="10"/>
  <c r="D184" i="10"/>
  <c r="C184" i="10"/>
  <c r="D183" i="10"/>
  <c r="C183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6" i="10"/>
  <c r="C176" i="10"/>
  <c r="D175" i="10"/>
  <c r="C175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8" i="10"/>
  <c r="C168" i="10"/>
  <c r="D167" i="10"/>
  <c r="C167" i="10"/>
  <c r="D166" i="10"/>
  <c r="C166" i="10"/>
  <c r="D165" i="10"/>
  <c r="C165" i="10"/>
  <c r="D164" i="10"/>
  <c r="C164" i="10"/>
  <c r="D160" i="10"/>
  <c r="C160" i="10"/>
  <c r="D159" i="10"/>
  <c r="C159" i="10"/>
  <c r="D158" i="10"/>
  <c r="C158" i="10"/>
  <c r="D157" i="10"/>
  <c r="C157" i="10"/>
  <c r="D156" i="10"/>
  <c r="C156" i="10"/>
  <c r="D155" i="10"/>
  <c r="C155" i="10"/>
  <c r="D153" i="10"/>
  <c r="C153" i="10"/>
  <c r="D152" i="10"/>
  <c r="C152" i="10"/>
  <c r="D151" i="10"/>
  <c r="C151" i="10"/>
  <c r="D150" i="10"/>
  <c r="C150" i="10"/>
  <c r="D149" i="10"/>
  <c r="C149" i="10"/>
  <c r="D148" i="10"/>
  <c r="C148" i="10"/>
  <c r="D147" i="10"/>
  <c r="C147" i="10"/>
  <c r="D146" i="10"/>
  <c r="C146" i="10"/>
  <c r="D145" i="10"/>
  <c r="C145" i="10"/>
  <c r="D143" i="10"/>
  <c r="C143" i="10"/>
  <c r="D142" i="10"/>
  <c r="C142" i="10"/>
  <c r="D141" i="10"/>
  <c r="C141" i="10"/>
  <c r="D140" i="10"/>
  <c r="C140" i="10"/>
  <c r="D138" i="10"/>
  <c r="C138" i="10"/>
  <c r="D137" i="10"/>
  <c r="C137" i="10"/>
  <c r="D136" i="10"/>
  <c r="C136" i="10"/>
  <c r="D135" i="10"/>
  <c r="C135" i="10"/>
  <c r="D133" i="10"/>
  <c r="C133" i="10"/>
  <c r="D132" i="10"/>
  <c r="C132" i="10"/>
  <c r="D131" i="10"/>
  <c r="C131" i="10"/>
  <c r="D130" i="10"/>
  <c r="C130" i="10"/>
  <c r="D129" i="10"/>
  <c r="C129" i="10"/>
  <c r="D127" i="10"/>
  <c r="C127" i="10"/>
  <c r="D126" i="10"/>
  <c r="C126" i="10"/>
  <c r="D125" i="10"/>
  <c r="C125" i="10"/>
  <c r="D124" i="10"/>
  <c r="C124" i="10"/>
  <c r="D123" i="10"/>
  <c r="C123" i="10"/>
  <c r="D118" i="10"/>
  <c r="C118" i="10"/>
  <c r="D117" i="10"/>
  <c r="C117" i="10"/>
  <c r="D116" i="10"/>
  <c r="C116" i="10"/>
  <c r="D115" i="10"/>
  <c r="C115" i="10"/>
  <c r="D114" i="10"/>
  <c r="C114" i="10"/>
  <c r="C119" i="10" s="1"/>
  <c r="D110" i="10"/>
  <c r="C110" i="10"/>
  <c r="D109" i="10"/>
  <c r="C109" i="10"/>
  <c r="D108" i="10"/>
  <c r="C108" i="10"/>
  <c r="D107" i="10"/>
  <c r="C107" i="10"/>
  <c r="D106" i="10"/>
  <c r="C106" i="10"/>
  <c r="D105" i="10"/>
  <c r="C105" i="10"/>
  <c r="D101" i="10"/>
  <c r="C101" i="10"/>
  <c r="D100" i="10"/>
  <c r="C100" i="10"/>
  <c r="D99" i="10"/>
  <c r="C99" i="10"/>
  <c r="D98" i="10"/>
  <c r="C98" i="10"/>
  <c r="D97" i="10"/>
  <c r="C97" i="10"/>
  <c r="D96" i="10"/>
  <c r="D102" i="10" s="1"/>
  <c r="C96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71" i="10"/>
  <c r="C71" i="10"/>
  <c r="D70" i="10"/>
  <c r="C70" i="10"/>
  <c r="D69" i="10"/>
  <c r="C69" i="10"/>
  <c r="D68" i="10"/>
  <c r="C68" i="10"/>
  <c r="D67" i="10"/>
  <c r="C67" i="10"/>
  <c r="D66" i="10"/>
  <c r="C66" i="10"/>
  <c r="D65" i="10"/>
  <c r="C65" i="10"/>
  <c r="D64" i="10"/>
  <c r="C64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D21" i="10" s="1"/>
  <c r="C11" i="10"/>
  <c r="C21" i="10" s="1"/>
  <c r="C93" i="10" l="1"/>
  <c r="C161" i="10"/>
  <c r="D119" i="10"/>
  <c r="C228" i="10"/>
  <c r="C79" i="10"/>
  <c r="C111" i="10"/>
  <c r="C197" i="10"/>
  <c r="D93" i="10"/>
  <c r="D111" i="10"/>
  <c r="C206" i="10"/>
  <c r="C102" i="10"/>
  <c r="D161" i="10"/>
  <c r="D79" i="10"/>
  <c r="D197" i="10"/>
  <c r="D206" i="10"/>
  <c r="D61" i="10"/>
  <c r="D208" i="10" s="1"/>
  <c r="D215" i="10" s="1"/>
  <c r="C61" i="10"/>
  <c r="C208" i="10" l="1"/>
  <c r="C212" i="10" s="1"/>
  <c r="C215" i="10" l="1"/>
  <c r="F206" i="10"/>
  <c r="F197" i="10"/>
  <c r="F161" i="10"/>
  <c r="F119" i="10"/>
  <c r="F111" i="10"/>
  <c r="F102" i="10"/>
  <c r="F93" i="10"/>
  <c r="F79" i="10"/>
  <c r="F61" i="10"/>
  <c r="F20" i="42" l="1"/>
  <c r="F205" i="64" l="1"/>
  <c r="F14" i="83" l="1"/>
  <c r="F13" i="83"/>
  <c r="G244" i="86" l="1"/>
  <c r="G243" i="86"/>
  <c r="G242" i="86"/>
  <c r="G241" i="86"/>
  <c r="C238" i="86"/>
  <c r="C237" i="86"/>
  <c r="C236" i="86"/>
  <c r="C235" i="86"/>
  <c r="C233" i="86"/>
  <c r="C232" i="86"/>
  <c r="C231" i="86"/>
  <c r="D228" i="86"/>
  <c r="C227" i="86"/>
  <c r="C226" i="86"/>
  <c r="C225" i="86"/>
  <c r="C224" i="86"/>
  <c r="C223" i="86"/>
  <c r="C222" i="86"/>
  <c r="C221" i="86"/>
  <c r="C220" i="86"/>
  <c r="C219" i="86"/>
  <c r="C211" i="86"/>
  <c r="D205" i="86"/>
  <c r="C205" i="86"/>
  <c r="D204" i="86"/>
  <c r="C204" i="86"/>
  <c r="D203" i="86"/>
  <c r="C203" i="86"/>
  <c r="D202" i="86"/>
  <c r="C202" i="86"/>
  <c r="D201" i="86"/>
  <c r="C201" i="86"/>
  <c r="D200" i="86"/>
  <c r="C200" i="86"/>
  <c r="D196" i="86"/>
  <c r="C196" i="86"/>
  <c r="D195" i="86"/>
  <c r="C195" i="86"/>
  <c r="D194" i="86"/>
  <c r="C194" i="86"/>
  <c r="D193" i="86"/>
  <c r="C193" i="86"/>
  <c r="D192" i="86"/>
  <c r="C192" i="86"/>
  <c r="D191" i="86"/>
  <c r="C191" i="86"/>
  <c r="D190" i="86"/>
  <c r="C190" i="86"/>
  <c r="D189" i="86"/>
  <c r="C189" i="86"/>
  <c r="D188" i="86"/>
  <c r="C188" i="86"/>
  <c r="D187" i="86"/>
  <c r="C187" i="86"/>
  <c r="D186" i="86"/>
  <c r="C186" i="86"/>
  <c r="D185" i="86"/>
  <c r="C185" i="86"/>
  <c r="D184" i="86"/>
  <c r="C184" i="86"/>
  <c r="D183" i="86"/>
  <c r="C183" i="86"/>
  <c r="D182" i="86"/>
  <c r="C182" i="86"/>
  <c r="D181" i="86"/>
  <c r="C181" i="86"/>
  <c r="D180" i="86"/>
  <c r="C180" i="86"/>
  <c r="D179" i="86"/>
  <c r="C179" i="86"/>
  <c r="D178" i="86"/>
  <c r="C178" i="86"/>
  <c r="D177" i="86"/>
  <c r="C177" i="86"/>
  <c r="D176" i="86"/>
  <c r="C176" i="86"/>
  <c r="D175" i="86"/>
  <c r="C175" i="86"/>
  <c r="D174" i="86"/>
  <c r="C174" i="86"/>
  <c r="D173" i="86"/>
  <c r="C173" i="86"/>
  <c r="D172" i="86"/>
  <c r="C172" i="86"/>
  <c r="D171" i="86"/>
  <c r="C171" i="86"/>
  <c r="D170" i="86"/>
  <c r="C170" i="86"/>
  <c r="D169" i="86"/>
  <c r="C169" i="86"/>
  <c r="D168" i="86"/>
  <c r="C168" i="86"/>
  <c r="D167" i="86"/>
  <c r="C167" i="86"/>
  <c r="D166" i="86"/>
  <c r="C166" i="86"/>
  <c r="D165" i="86"/>
  <c r="C165" i="86"/>
  <c r="D164" i="86"/>
  <c r="C164" i="86"/>
  <c r="D160" i="86"/>
  <c r="C160" i="86"/>
  <c r="D159" i="86"/>
  <c r="C159" i="86"/>
  <c r="D158" i="86"/>
  <c r="C158" i="86"/>
  <c r="D157" i="86"/>
  <c r="C157" i="86"/>
  <c r="D156" i="86"/>
  <c r="C156" i="86"/>
  <c r="D155" i="86"/>
  <c r="C155" i="86"/>
  <c r="D153" i="86"/>
  <c r="C153" i="86"/>
  <c r="D152" i="86"/>
  <c r="C152" i="86"/>
  <c r="D151" i="86"/>
  <c r="C151" i="86"/>
  <c r="D150" i="86"/>
  <c r="C150" i="86"/>
  <c r="D149" i="86"/>
  <c r="C149" i="86"/>
  <c r="D148" i="86"/>
  <c r="C148" i="86"/>
  <c r="D147" i="86"/>
  <c r="C147" i="86"/>
  <c r="D146" i="86"/>
  <c r="C146" i="86"/>
  <c r="D145" i="86"/>
  <c r="C145" i="86"/>
  <c r="D143" i="86"/>
  <c r="C143" i="86"/>
  <c r="D142" i="86"/>
  <c r="C142" i="86"/>
  <c r="D141" i="86"/>
  <c r="C141" i="86"/>
  <c r="D140" i="86"/>
  <c r="C140" i="86"/>
  <c r="D138" i="86"/>
  <c r="C138" i="86"/>
  <c r="D137" i="86"/>
  <c r="C137" i="86"/>
  <c r="D136" i="86"/>
  <c r="C136" i="86"/>
  <c r="D135" i="86"/>
  <c r="C135" i="86"/>
  <c r="D133" i="86"/>
  <c r="C133" i="86"/>
  <c r="D132" i="86"/>
  <c r="C132" i="86"/>
  <c r="D131" i="86"/>
  <c r="C131" i="86"/>
  <c r="D130" i="86"/>
  <c r="C130" i="86"/>
  <c r="D129" i="86"/>
  <c r="C129" i="86"/>
  <c r="D127" i="86"/>
  <c r="C127" i="86"/>
  <c r="D126" i="86"/>
  <c r="C126" i="86"/>
  <c r="D125" i="86"/>
  <c r="C125" i="86"/>
  <c r="D124" i="86"/>
  <c r="C124" i="86"/>
  <c r="D123" i="86"/>
  <c r="C123" i="86"/>
  <c r="D118" i="86"/>
  <c r="C118" i="86"/>
  <c r="D117" i="86"/>
  <c r="C117" i="86"/>
  <c r="D116" i="86"/>
  <c r="C116" i="86"/>
  <c r="D115" i="86"/>
  <c r="C115" i="86"/>
  <c r="D114" i="86"/>
  <c r="C114" i="86"/>
  <c r="D110" i="86"/>
  <c r="C110" i="86"/>
  <c r="D109" i="86"/>
  <c r="C109" i="86"/>
  <c r="D108" i="86"/>
  <c r="C108" i="86"/>
  <c r="D107" i="86"/>
  <c r="C107" i="86"/>
  <c r="D106" i="86"/>
  <c r="C106" i="86"/>
  <c r="D105" i="86"/>
  <c r="C105" i="86"/>
  <c r="D101" i="86"/>
  <c r="C101" i="86"/>
  <c r="D100" i="86"/>
  <c r="C100" i="86"/>
  <c r="D99" i="86"/>
  <c r="C99" i="86"/>
  <c r="D98" i="86"/>
  <c r="C98" i="86"/>
  <c r="D97" i="86"/>
  <c r="C97" i="86"/>
  <c r="D96" i="86"/>
  <c r="C96" i="86"/>
  <c r="D92" i="86"/>
  <c r="C92" i="86"/>
  <c r="D91" i="86"/>
  <c r="C91" i="86"/>
  <c r="D90" i="86"/>
  <c r="C90" i="86"/>
  <c r="D89" i="86"/>
  <c r="C89" i="86"/>
  <c r="D88" i="86"/>
  <c r="C88" i="86"/>
  <c r="D87" i="86"/>
  <c r="C87" i="86"/>
  <c r="D86" i="86"/>
  <c r="C86" i="86"/>
  <c r="D85" i="86"/>
  <c r="C85" i="86"/>
  <c r="D84" i="86"/>
  <c r="C84" i="86"/>
  <c r="D83" i="86"/>
  <c r="C83" i="86"/>
  <c r="D82" i="86"/>
  <c r="C82" i="86"/>
  <c r="D78" i="86"/>
  <c r="C78" i="86"/>
  <c r="D77" i="86"/>
  <c r="C77" i="86"/>
  <c r="D76" i="86"/>
  <c r="C76" i="86"/>
  <c r="D75" i="86"/>
  <c r="C75" i="86"/>
  <c r="D74" i="86"/>
  <c r="C74" i="86"/>
  <c r="D73" i="86"/>
  <c r="C73" i="86"/>
  <c r="D72" i="86"/>
  <c r="C72" i="86"/>
  <c r="D71" i="86"/>
  <c r="C71" i="86"/>
  <c r="D70" i="86"/>
  <c r="C70" i="86"/>
  <c r="D69" i="86"/>
  <c r="C69" i="86"/>
  <c r="D68" i="86"/>
  <c r="C68" i="86"/>
  <c r="D67" i="86"/>
  <c r="C67" i="86"/>
  <c r="D66" i="86"/>
  <c r="C66" i="86"/>
  <c r="D65" i="86"/>
  <c r="C65" i="86"/>
  <c r="D64" i="86"/>
  <c r="C64" i="86"/>
  <c r="D60" i="86"/>
  <c r="C60" i="86"/>
  <c r="D59" i="86"/>
  <c r="C59" i="86"/>
  <c r="D58" i="86"/>
  <c r="C58" i="86"/>
  <c r="D57" i="86"/>
  <c r="C57" i="86"/>
  <c r="D56" i="86"/>
  <c r="C56" i="86"/>
  <c r="D55" i="86"/>
  <c r="C55" i="86"/>
  <c r="D54" i="86"/>
  <c r="C54" i="86"/>
  <c r="D53" i="86"/>
  <c r="C53" i="86"/>
  <c r="D52" i="86"/>
  <c r="C52" i="86"/>
  <c r="D51" i="86"/>
  <c r="C51" i="86"/>
  <c r="D50" i="86"/>
  <c r="C50" i="86"/>
  <c r="D49" i="86"/>
  <c r="C49" i="86"/>
  <c r="D48" i="86"/>
  <c r="C48" i="86"/>
  <c r="D47" i="86"/>
  <c r="C47" i="86"/>
  <c r="D46" i="86"/>
  <c r="C46" i="86"/>
  <c r="D45" i="86"/>
  <c r="C45" i="86"/>
  <c r="D44" i="86"/>
  <c r="C44" i="86"/>
  <c r="D43" i="86"/>
  <c r="C43" i="86"/>
  <c r="D42" i="86"/>
  <c r="C42" i="86"/>
  <c r="D41" i="86"/>
  <c r="C41" i="86"/>
  <c r="D40" i="86"/>
  <c r="C40" i="86"/>
  <c r="D39" i="86"/>
  <c r="C39" i="86"/>
  <c r="D38" i="86"/>
  <c r="C38" i="86"/>
  <c r="D37" i="86"/>
  <c r="C37" i="86"/>
  <c r="D36" i="86"/>
  <c r="C36" i="86"/>
  <c r="D35" i="86"/>
  <c r="C35" i="86"/>
  <c r="D34" i="86"/>
  <c r="C34" i="86"/>
  <c r="D33" i="86"/>
  <c r="C33" i="86"/>
  <c r="D32" i="86"/>
  <c r="C32" i="86"/>
  <c r="D31" i="86"/>
  <c r="C31" i="86"/>
  <c r="D30" i="86"/>
  <c r="C30" i="86"/>
  <c r="D29" i="86"/>
  <c r="C29" i="86"/>
  <c r="D28" i="86"/>
  <c r="C28" i="86"/>
  <c r="D27" i="86"/>
  <c r="C27" i="86"/>
  <c r="D26" i="86"/>
  <c r="C26" i="86"/>
  <c r="D25" i="86"/>
  <c r="C25" i="86"/>
  <c r="D20" i="86"/>
  <c r="C20" i="86"/>
  <c r="D19" i="86"/>
  <c r="C19" i="86"/>
  <c r="D18" i="86"/>
  <c r="C18" i="86"/>
  <c r="D17" i="86"/>
  <c r="C17" i="86"/>
  <c r="D16" i="86"/>
  <c r="C16" i="86"/>
  <c r="D15" i="86"/>
  <c r="C15" i="86"/>
  <c r="D14" i="86"/>
  <c r="C14" i="86"/>
  <c r="D13" i="86"/>
  <c r="C13" i="86"/>
  <c r="D12" i="86"/>
  <c r="C12" i="86"/>
  <c r="D11" i="86"/>
  <c r="C11" i="86"/>
  <c r="D93" i="86" l="1"/>
  <c r="D161" i="86"/>
  <c r="C93" i="86"/>
  <c r="C119" i="86"/>
  <c r="C161" i="86"/>
  <c r="C79" i="86"/>
  <c r="D79" i="86"/>
  <c r="D197" i="86"/>
  <c r="C111" i="86"/>
  <c r="C197" i="86"/>
  <c r="C206" i="86"/>
  <c r="C228" i="86"/>
  <c r="D206" i="86"/>
  <c r="C21" i="86"/>
  <c r="C102" i="86"/>
  <c r="D111" i="86"/>
  <c r="D21" i="86"/>
  <c r="D102" i="86"/>
  <c r="D119" i="86"/>
  <c r="C61" i="86"/>
  <c r="D61" i="86"/>
  <c r="D208" i="86" l="1"/>
  <c r="D215" i="86" s="1"/>
  <c r="C208" i="86"/>
  <c r="C212" i="86" l="1"/>
  <c r="C215" i="86"/>
  <c r="G244" i="55"/>
  <c r="G243" i="55"/>
  <c r="G242" i="55"/>
  <c r="G241" i="55"/>
  <c r="C238" i="55"/>
  <c r="C237" i="55"/>
  <c r="C236" i="55"/>
  <c r="C235" i="55"/>
  <c r="C233" i="55"/>
  <c r="C232" i="55"/>
  <c r="C231" i="55"/>
  <c r="D228" i="55"/>
  <c r="C227" i="55"/>
  <c r="C226" i="55"/>
  <c r="C225" i="55"/>
  <c r="C224" i="55"/>
  <c r="C223" i="55"/>
  <c r="C222" i="55"/>
  <c r="C221" i="55"/>
  <c r="C220" i="55"/>
  <c r="C219" i="55"/>
  <c r="C211" i="55"/>
  <c r="D205" i="55"/>
  <c r="C205" i="55"/>
  <c r="D204" i="55"/>
  <c r="C204" i="55"/>
  <c r="D203" i="55"/>
  <c r="C203" i="55"/>
  <c r="D202" i="55"/>
  <c r="C202" i="55"/>
  <c r="D201" i="55"/>
  <c r="C201" i="55"/>
  <c r="D200" i="55"/>
  <c r="C200" i="55"/>
  <c r="D196" i="55"/>
  <c r="C196" i="55"/>
  <c r="D195" i="55"/>
  <c r="C195" i="55"/>
  <c r="D194" i="55"/>
  <c r="C194" i="55"/>
  <c r="D193" i="55"/>
  <c r="C193" i="55"/>
  <c r="D192" i="55"/>
  <c r="C192" i="55"/>
  <c r="D191" i="55"/>
  <c r="C191" i="55"/>
  <c r="D190" i="55"/>
  <c r="C190" i="55"/>
  <c r="D189" i="55"/>
  <c r="C189" i="55"/>
  <c r="D188" i="55"/>
  <c r="C188" i="55"/>
  <c r="D187" i="55"/>
  <c r="C187" i="55"/>
  <c r="D186" i="55"/>
  <c r="C186" i="55"/>
  <c r="D185" i="55"/>
  <c r="C185" i="55"/>
  <c r="D184" i="55"/>
  <c r="C184" i="55"/>
  <c r="D183" i="55"/>
  <c r="C183" i="55"/>
  <c r="D182" i="55"/>
  <c r="C182" i="55"/>
  <c r="D181" i="55"/>
  <c r="C181" i="55"/>
  <c r="D180" i="55"/>
  <c r="C180" i="55"/>
  <c r="D179" i="55"/>
  <c r="C179" i="55"/>
  <c r="D178" i="55"/>
  <c r="C178" i="55"/>
  <c r="D177" i="55"/>
  <c r="C177" i="55"/>
  <c r="D176" i="55"/>
  <c r="C176" i="55"/>
  <c r="D175" i="55"/>
  <c r="C175" i="55"/>
  <c r="D174" i="55"/>
  <c r="C174" i="55"/>
  <c r="D173" i="55"/>
  <c r="C173" i="55"/>
  <c r="D172" i="55"/>
  <c r="C172" i="55"/>
  <c r="D171" i="55"/>
  <c r="C171" i="55"/>
  <c r="D170" i="55"/>
  <c r="C170" i="55"/>
  <c r="D169" i="55"/>
  <c r="C169" i="55"/>
  <c r="D168" i="55"/>
  <c r="C168" i="55"/>
  <c r="D167" i="55"/>
  <c r="C167" i="55"/>
  <c r="D166" i="55"/>
  <c r="C166" i="55"/>
  <c r="D165" i="55"/>
  <c r="C165" i="55"/>
  <c r="D164" i="55"/>
  <c r="C164" i="55"/>
  <c r="D160" i="55"/>
  <c r="C160" i="55"/>
  <c r="D159" i="55"/>
  <c r="C159" i="55"/>
  <c r="D158" i="55"/>
  <c r="C158" i="55"/>
  <c r="D157" i="55"/>
  <c r="C157" i="55"/>
  <c r="D156" i="55"/>
  <c r="C156" i="55"/>
  <c r="D155" i="55"/>
  <c r="C155" i="55"/>
  <c r="D153" i="55"/>
  <c r="C153" i="55"/>
  <c r="D152" i="55"/>
  <c r="C152" i="55"/>
  <c r="D151" i="55"/>
  <c r="C151" i="55"/>
  <c r="D150" i="55"/>
  <c r="C150" i="55"/>
  <c r="D149" i="55"/>
  <c r="C149" i="55"/>
  <c r="D148" i="55"/>
  <c r="C148" i="55"/>
  <c r="D147" i="55"/>
  <c r="C147" i="55"/>
  <c r="D146" i="55"/>
  <c r="C146" i="55"/>
  <c r="D145" i="55"/>
  <c r="C145" i="55"/>
  <c r="D143" i="55"/>
  <c r="C143" i="55"/>
  <c r="D142" i="55"/>
  <c r="C142" i="55"/>
  <c r="D141" i="55"/>
  <c r="C141" i="55"/>
  <c r="D140" i="55"/>
  <c r="C140" i="55"/>
  <c r="D138" i="55"/>
  <c r="C138" i="55"/>
  <c r="D137" i="55"/>
  <c r="C137" i="55"/>
  <c r="D136" i="55"/>
  <c r="C136" i="55"/>
  <c r="D135" i="55"/>
  <c r="C135" i="55"/>
  <c r="D133" i="55"/>
  <c r="C133" i="55"/>
  <c r="D132" i="55"/>
  <c r="C132" i="55"/>
  <c r="D131" i="55"/>
  <c r="C131" i="55"/>
  <c r="D130" i="55"/>
  <c r="C130" i="55"/>
  <c r="D129" i="55"/>
  <c r="C129" i="55"/>
  <c r="D127" i="55"/>
  <c r="C127" i="55"/>
  <c r="D126" i="55"/>
  <c r="C126" i="55"/>
  <c r="D125" i="55"/>
  <c r="C125" i="55"/>
  <c r="D124" i="55"/>
  <c r="C124" i="55"/>
  <c r="D123" i="55"/>
  <c r="C123" i="55"/>
  <c r="D118" i="55"/>
  <c r="C118" i="55"/>
  <c r="D117" i="55"/>
  <c r="C117" i="55"/>
  <c r="D116" i="55"/>
  <c r="C116" i="55"/>
  <c r="D115" i="55"/>
  <c r="C115" i="55"/>
  <c r="D114" i="55"/>
  <c r="C114" i="55"/>
  <c r="D110" i="55"/>
  <c r="C110" i="55"/>
  <c r="D109" i="55"/>
  <c r="C109" i="55"/>
  <c r="D108" i="55"/>
  <c r="C108" i="55"/>
  <c r="D107" i="55"/>
  <c r="C107" i="55"/>
  <c r="D106" i="55"/>
  <c r="C106" i="55"/>
  <c r="D105" i="55"/>
  <c r="C105" i="55"/>
  <c r="D101" i="55"/>
  <c r="C101" i="55"/>
  <c r="D100" i="55"/>
  <c r="C100" i="55"/>
  <c r="D99" i="55"/>
  <c r="C99" i="55"/>
  <c r="D98" i="55"/>
  <c r="C98" i="55"/>
  <c r="D97" i="55"/>
  <c r="C97" i="55"/>
  <c r="D96" i="55"/>
  <c r="C96" i="55"/>
  <c r="D92" i="55"/>
  <c r="C92" i="55"/>
  <c r="D91" i="55"/>
  <c r="C91" i="55"/>
  <c r="D90" i="55"/>
  <c r="C90" i="55"/>
  <c r="D89" i="55"/>
  <c r="C89" i="55"/>
  <c r="D88" i="55"/>
  <c r="C88" i="55"/>
  <c r="D87" i="55"/>
  <c r="C87" i="55"/>
  <c r="D86" i="55"/>
  <c r="C86" i="55"/>
  <c r="D85" i="55"/>
  <c r="C85" i="55"/>
  <c r="D84" i="55"/>
  <c r="C84" i="55"/>
  <c r="D83" i="55"/>
  <c r="C83" i="55"/>
  <c r="D82" i="55"/>
  <c r="C82" i="55"/>
  <c r="D78" i="55"/>
  <c r="C78" i="55"/>
  <c r="D77" i="55"/>
  <c r="C77" i="55"/>
  <c r="D76" i="55"/>
  <c r="C76" i="55"/>
  <c r="D75" i="55"/>
  <c r="C75" i="55"/>
  <c r="D74" i="55"/>
  <c r="C74" i="55"/>
  <c r="D73" i="55"/>
  <c r="C73" i="55"/>
  <c r="D72" i="55"/>
  <c r="C72" i="55"/>
  <c r="D71" i="55"/>
  <c r="C71" i="55"/>
  <c r="D70" i="55"/>
  <c r="C70" i="55"/>
  <c r="D69" i="55"/>
  <c r="C69" i="55"/>
  <c r="D68" i="55"/>
  <c r="C68" i="55"/>
  <c r="D67" i="55"/>
  <c r="C67" i="55"/>
  <c r="D66" i="55"/>
  <c r="C66" i="55"/>
  <c r="D65" i="55"/>
  <c r="C65" i="55"/>
  <c r="D64" i="55"/>
  <c r="C64" i="55"/>
  <c r="D60" i="55"/>
  <c r="C60" i="55"/>
  <c r="D59" i="55"/>
  <c r="C59" i="55"/>
  <c r="D58" i="55"/>
  <c r="C58" i="55"/>
  <c r="D57" i="55"/>
  <c r="C57" i="55"/>
  <c r="D56" i="55"/>
  <c r="C56" i="55"/>
  <c r="D55" i="55"/>
  <c r="C55" i="55"/>
  <c r="D54" i="55"/>
  <c r="C54" i="55"/>
  <c r="D53" i="55"/>
  <c r="C53" i="55"/>
  <c r="D52" i="55"/>
  <c r="C52" i="55"/>
  <c r="D51" i="55"/>
  <c r="C51" i="55"/>
  <c r="D50" i="55"/>
  <c r="C50" i="55"/>
  <c r="D49" i="55"/>
  <c r="C49" i="55"/>
  <c r="D48" i="55"/>
  <c r="C48" i="55"/>
  <c r="D47" i="55"/>
  <c r="C47" i="55"/>
  <c r="D46" i="55"/>
  <c r="C46" i="55"/>
  <c r="D45" i="55"/>
  <c r="C45" i="55"/>
  <c r="D44" i="55"/>
  <c r="C44" i="55"/>
  <c r="D43" i="55"/>
  <c r="C43" i="55"/>
  <c r="D42" i="55"/>
  <c r="C42" i="55"/>
  <c r="D41" i="55"/>
  <c r="C41" i="55"/>
  <c r="D40" i="55"/>
  <c r="C40" i="55"/>
  <c r="D39" i="55"/>
  <c r="C39" i="55"/>
  <c r="D38" i="55"/>
  <c r="C38" i="55"/>
  <c r="D37" i="55"/>
  <c r="C37" i="55"/>
  <c r="D36" i="55"/>
  <c r="C36" i="55"/>
  <c r="D35" i="55"/>
  <c r="C35" i="55"/>
  <c r="D34" i="55"/>
  <c r="C34" i="55"/>
  <c r="D33" i="55"/>
  <c r="C33" i="55"/>
  <c r="D32" i="55"/>
  <c r="C32" i="55"/>
  <c r="D31" i="55"/>
  <c r="C31" i="55"/>
  <c r="D30" i="55"/>
  <c r="C30" i="55"/>
  <c r="D29" i="55"/>
  <c r="C29" i="55"/>
  <c r="D28" i="55"/>
  <c r="C28" i="55"/>
  <c r="D27" i="55"/>
  <c r="C27" i="55"/>
  <c r="D26" i="55"/>
  <c r="C26" i="55"/>
  <c r="D25" i="55"/>
  <c r="C25" i="55"/>
  <c r="D20" i="55"/>
  <c r="C20" i="55"/>
  <c r="D19" i="55"/>
  <c r="C19" i="55"/>
  <c r="D18" i="55"/>
  <c r="C18" i="55"/>
  <c r="D17" i="55"/>
  <c r="C17" i="55"/>
  <c r="D16" i="55"/>
  <c r="C16" i="55"/>
  <c r="D15" i="55"/>
  <c r="C15" i="55"/>
  <c r="D14" i="55"/>
  <c r="C14" i="55"/>
  <c r="D13" i="55"/>
  <c r="C13" i="55"/>
  <c r="D12" i="55"/>
  <c r="C12" i="55"/>
  <c r="D11" i="55"/>
  <c r="C11" i="55"/>
  <c r="C119" i="55" l="1"/>
  <c r="D93" i="55"/>
  <c r="D119" i="55"/>
  <c r="C111" i="55"/>
  <c r="D21" i="55"/>
  <c r="D102" i="55"/>
  <c r="C206" i="55"/>
  <c r="C21" i="55"/>
  <c r="C79" i="55"/>
  <c r="C102" i="55"/>
  <c r="D79" i="55"/>
  <c r="D111" i="55"/>
  <c r="C228" i="55"/>
  <c r="C197" i="55"/>
  <c r="D161" i="55"/>
  <c r="C161" i="55"/>
  <c r="C93" i="55"/>
  <c r="D197" i="55"/>
  <c r="D206" i="55"/>
  <c r="C61" i="55"/>
  <c r="D61" i="55"/>
  <c r="D208" i="55" l="1"/>
  <c r="D215" i="55" s="1"/>
  <c r="C208" i="55"/>
  <c r="C212" i="55" l="1"/>
  <c r="C215" i="55"/>
  <c r="G244" i="64"/>
  <c r="G243" i="64"/>
  <c r="G242" i="64"/>
  <c r="G241" i="64"/>
  <c r="C238" i="64"/>
  <c r="C237" i="64"/>
  <c r="C236" i="64"/>
  <c r="C235" i="64"/>
  <c r="C233" i="64"/>
  <c r="C232" i="64"/>
  <c r="C231" i="64"/>
  <c r="D228" i="64"/>
  <c r="C227" i="64"/>
  <c r="C226" i="64"/>
  <c r="C225" i="64"/>
  <c r="C224" i="64"/>
  <c r="C223" i="64"/>
  <c r="C222" i="64"/>
  <c r="C221" i="64"/>
  <c r="C220" i="64"/>
  <c r="C219" i="64"/>
  <c r="C211" i="64"/>
  <c r="D205" i="64"/>
  <c r="C205" i="64"/>
  <c r="D204" i="64"/>
  <c r="C204" i="64"/>
  <c r="D203" i="64"/>
  <c r="C203" i="64"/>
  <c r="D202" i="64"/>
  <c r="C202" i="64"/>
  <c r="D201" i="64"/>
  <c r="C201" i="64"/>
  <c r="D200" i="64"/>
  <c r="C200" i="64"/>
  <c r="D196" i="64"/>
  <c r="C196" i="64"/>
  <c r="D195" i="64"/>
  <c r="C195" i="64"/>
  <c r="D194" i="64"/>
  <c r="C194" i="64"/>
  <c r="D193" i="64"/>
  <c r="C193" i="64"/>
  <c r="D192" i="64"/>
  <c r="C192" i="64"/>
  <c r="D191" i="64"/>
  <c r="C191" i="64"/>
  <c r="D190" i="64"/>
  <c r="C190" i="64"/>
  <c r="D189" i="64"/>
  <c r="C189" i="64"/>
  <c r="D188" i="64"/>
  <c r="C188" i="64"/>
  <c r="D187" i="64"/>
  <c r="C187" i="64"/>
  <c r="D186" i="64"/>
  <c r="C186" i="64"/>
  <c r="D185" i="64"/>
  <c r="C185" i="64"/>
  <c r="D184" i="64"/>
  <c r="C184" i="64"/>
  <c r="D183" i="64"/>
  <c r="C183" i="64"/>
  <c r="D182" i="64"/>
  <c r="C182" i="64"/>
  <c r="D181" i="64"/>
  <c r="C181" i="64"/>
  <c r="D180" i="64"/>
  <c r="C180" i="64"/>
  <c r="D179" i="64"/>
  <c r="C179" i="64"/>
  <c r="D178" i="64"/>
  <c r="C178" i="64"/>
  <c r="D177" i="64"/>
  <c r="C177" i="64"/>
  <c r="D176" i="64"/>
  <c r="C176" i="64"/>
  <c r="D175" i="64"/>
  <c r="C175" i="64"/>
  <c r="D174" i="64"/>
  <c r="C174" i="64"/>
  <c r="D173" i="64"/>
  <c r="C173" i="64"/>
  <c r="D172" i="64"/>
  <c r="C172" i="64"/>
  <c r="D171" i="64"/>
  <c r="C171" i="64"/>
  <c r="D170" i="64"/>
  <c r="C170" i="64"/>
  <c r="D169" i="64"/>
  <c r="C169" i="64"/>
  <c r="D168" i="64"/>
  <c r="C168" i="64"/>
  <c r="D167" i="64"/>
  <c r="C167" i="64"/>
  <c r="D166" i="64"/>
  <c r="C166" i="64"/>
  <c r="D165" i="64"/>
  <c r="C165" i="64"/>
  <c r="D164" i="64"/>
  <c r="C164" i="64"/>
  <c r="D160" i="64"/>
  <c r="C160" i="64"/>
  <c r="D159" i="64"/>
  <c r="C159" i="64"/>
  <c r="D158" i="64"/>
  <c r="C158" i="64"/>
  <c r="D157" i="64"/>
  <c r="C157" i="64"/>
  <c r="D156" i="64"/>
  <c r="C156" i="64"/>
  <c r="D155" i="64"/>
  <c r="C155" i="64"/>
  <c r="D153" i="64"/>
  <c r="C153" i="64"/>
  <c r="D152" i="64"/>
  <c r="C152" i="64"/>
  <c r="D151" i="64"/>
  <c r="C151" i="64"/>
  <c r="D150" i="64"/>
  <c r="C150" i="64"/>
  <c r="D149" i="64"/>
  <c r="C149" i="64"/>
  <c r="D148" i="64"/>
  <c r="C148" i="64"/>
  <c r="D147" i="64"/>
  <c r="C147" i="64"/>
  <c r="D146" i="64"/>
  <c r="C146" i="64"/>
  <c r="D145" i="64"/>
  <c r="C145" i="64"/>
  <c r="D143" i="64"/>
  <c r="C143" i="64"/>
  <c r="D142" i="64"/>
  <c r="C142" i="64"/>
  <c r="D141" i="64"/>
  <c r="C141" i="64"/>
  <c r="D140" i="64"/>
  <c r="C140" i="64"/>
  <c r="D138" i="64"/>
  <c r="C138" i="64"/>
  <c r="D137" i="64"/>
  <c r="C137" i="64"/>
  <c r="D136" i="64"/>
  <c r="C136" i="64"/>
  <c r="D135" i="64"/>
  <c r="C135" i="64"/>
  <c r="D133" i="64"/>
  <c r="C133" i="64"/>
  <c r="D132" i="64"/>
  <c r="C132" i="64"/>
  <c r="D131" i="64"/>
  <c r="C131" i="64"/>
  <c r="D130" i="64"/>
  <c r="C130" i="64"/>
  <c r="D129" i="64"/>
  <c r="C129" i="64"/>
  <c r="D127" i="64"/>
  <c r="C127" i="64"/>
  <c r="D126" i="64"/>
  <c r="C126" i="64"/>
  <c r="D125" i="64"/>
  <c r="C125" i="64"/>
  <c r="D124" i="64"/>
  <c r="C124" i="64"/>
  <c r="D123" i="64"/>
  <c r="C123" i="64"/>
  <c r="D118" i="64"/>
  <c r="C118" i="64"/>
  <c r="D117" i="64"/>
  <c r="C117" i="64"/>
  <c r="D116" i="64"/>
  <c r="C116" i="64"/>
  <c r="D115" i="64"/>
  <c r="C115" i="64"/>
  <c r="D114" i="64"/>
  <c r="C114" i="64"/>
  <c r="D110" i="64"/>
  <c r="C110" i="64"/>
  <c r="D109" i="64"/>
  <c r="C109" i="64"/>
  <c r="D108" i="64"/>
  <c r="C108" i="64"/>
  <c r="D107" i="64"/>
  <c r="C107" i="64"/>
  <c r="D106" i="64"/>
  <c r="C106" i="64"/>
  <c r="D105" i="64"/>
  <c r="C105" i="64"/>
  <c r="D101" i="64"/>
  <c r="C101" i="64"/>
  <c r="D100" i="64"/>
  <c r="C100" i="64"/>
  <c r="D99" i="64"/>
  <c r="C99" i="64"/>
  <c r="D98" i="64"/>
  <c r="C98" i="64"/>
  <c r="D97" i="64"/>
  <c r="C97" i="64"/>
  <c r="D96" i="64"/>
  <c r="C96" i="64"/>
  <c r="D92" i="64"/>
  <c r="C92" i="64"/>
  <c r="D91" i="64"/>
  <c r="C91" i="64"/>
  <c r="D90" i="64"/>
  <c r="C90" i="64"/>
  <c r="D89" i="64"/>
  <c r="C89" i="64"/>
  <c r="D88" i="64"/>
  <c r="C88" i="64"/>
  <c r="D87" i="64"/>
  <c r="C87" i="64"/>
  <c r="D86" i="64"/>
  <c r="C86" i="64"/>
  <c r="D85" i="64"/>
  <c r="C85" i="64"/>
  <c r="D84" i="64"/>
  <c r="C84" i="64"/>
  <c r="D83" i="64"/>
  <c r="C83" i="64"/>
  <c r="D82" i="64"/>
  <c r="C82" i="64"/>
  <c r="D78" i="64"/>
  <c r="C78" i="64"/>
  <c r="D77" i="64"/>
  <c r="C77" i="64"/>
  <c r="D76" i="64"/>
  <c r="C76" i="64"/>
  <c r="D75" i="64"/>
  <c r="C75" i="64"/>
  <c r="D74" i="64"/>
  <c r="C74" i="64"/>
  <c r="D73" i="64"/>
  <c r="C73" i="64"/>
  <c r="D72" i="64"/>
  <c r="C72" i="64"/>
  <c r="D71" i="64"/>
  <c r="C71" i="64"/>
  <c r="D70" i="64"/>
  <c r="C70" i="64"/>
  <c r="D69" i="64"/>
  <c r="C69" i="64"/>
  <c r="D68" i="64"/>
  <c r="C68" i="64"/>
  <c r="D67" i="64"/>
  <c r="C67" i="64"/>
  <c r="D66" i="64"/>
  <c r="C66" i="64"/>
  <c r="D65" i="64"/>
  <c r="C65" i="64"/>
  <c r="D64" i="64"/>
  <c r="C64" i="64"/>
  <c r="D60" i="64"/>
  <c r="C60" i="64"/>
  <c r="D59" i="64"/>
  <c r="C59" i="64"/>
  <c r="D58" i="64"/>
  <c r="C58" i="64"/>
  <c r="D57" i="64"/>
  <c r="C57" i="64"/>
  <c r="D56" i="64"/>
  <c r="C56" i="64"/>
  <c r="D55" i="64"/>
  <c r="C55" i="64"/>
  <c r="D54" i="64"/>
  <c r="C54" i="64"/>
  <c r="D53" i="64"/>
  <c r="C53" i="64"/>
  <c r="D52" i="64"/>
  <c r="C52" i="64"/>
  <c r="D51" i="64"/>
  <c r="C51" i="64"/>
  <c r="D50" i="64"/>
  <c r="C50" i="64"/>
  <c r="D49" i="64"/>
  <c r="C49" i="64"/>
  <c r="D48" i="64"/>
  <c r="C48" i="64"/>
  <c r="D47" i="64"/>
  <c r="C47" i="64"/>
  <c r="D46" i="64"/>
  <c r="C46" i="64"/>
  <c r="D45" i="64"/>
  <c r="C45" i="64"/>
  <c r="D44" i="64"/>
  <c r="C44" i="64"/>
  <c r="D43" i="64"/>
  <c r="C43" i="64"/>
  <c r="D42" i="64"/>
  <c r="C42" i="64"/>
  <c r="D41" i="64"/>
  <c r="C41" i="64"/>
  <c r="D40" i="64"/>
  <c r="C40" i="64"/>
  <c r="D39" i="64"/>
  <c r="C39" i="64"/>
  <c r="D38" i="64"/>
  <c r="C38" i="64"/>
  <c r="D37" i="64"/>
  <c r="C37" i="64"/>
  <c r="D36" i="64"/>
  <c r="C36" i="64"/>
  <c r="D35" i="64"/>
  <c r="C35" i="64"/>
  <c r="D34" i="64"/>
  <c r="C34" i="64"/>
  <c r="D33" i="64"/>
  <c r="C33" i="64"/>
  <c r="D32" i="64"/>
  <c r="C32" i="64"/>
  <c r="D31" i="64"/>
  <c r="C31" i="64"/>
  <c r="D30" i="64"/>
  <c r="C30" i="64"/>
  <c r="D29" i="64"/>
  <c r="C29" i="64"/>
  <c r="D28" i="64"/>
  <c r="C28" i="64"/>
  <c r="D27" i="64"/>
  <c r="C27" i="64"/>
  <c r="D26" i="64"/>
  <c r="C26" i="64"/>
  <c r="D25" i="64"/>
  <c r="C25" i="64"/>
  <c r="D20" i="64"/>
  <c r="C20" i="64"/>
  <c r="D19" i="64"/>
  <c r="C19" i="64"/>
  <c r="D18" i="64"/>
  <c r="C18" i="64"/>
  <c r="D17" i="64"/>
  <c r="C17" i="64"/>
  <c r="D16" i="64"/>
  <c r="C16" i="64"/>
  <c r="D15" i="64"/>
  <c r="C15" i="64"/>
  <c r="D14" i="64"/>
  <c r="C14" i="64"/>
  <c r="D13" i="64"/>
  <c r="C13" i="64"/>
  <c r="D12" i="64"/>
  <c r="C12" i="64"/>
  <c r="D11" i="64"/>
  <c r="C11" i="64"/>
  <c r="C79" i="64" l="1"/>
  <c r="C119" i="64"/>
  <c r="C161" i="64"/>
  <c r="D119" i="64"/>
  <c r="D79" i="64"/>
  <c r="D111" i="64"/>
  <c r="D161" i="64"/>
  <c r="C206" i="64"/>
  <c r="C21" i="64"/>
  <c r="C93" i="64"/>
  <c r="C102" i="64"/>
  <c r="D197" i="64"/>
  <c r="D206" i="64"/>
  <c r="C61" i="64"/>
  <c r="C111" i="64"/>
  <c r="C228" i="64"/>
  <c r="C197" i="64"/>
  <c r="D21" i="64"/>
  <c r="D93" i="64"/>
  <c r="D102" i="64"/>
  <c r="D61" i="64"/>
  <c r="C208" i="64" l="1"/>
  <c r="D208" i="64"/>
  <c r="D215" i="64" s="1"/>
  <c r="C212" i="64" l="1"/>
  <c r="C215" i="64"/>
  <c r="G243" i="90"/>
  <c r="G244" i="90"/>
  <c r="G242" i="90" l="1"/>
  <c r="G241" i="90"/>
  <c r="D228" i="90"/>
  <c r="C227" i="90"/>
  <c r="C226" i="90"/>
  <c r="C225" i="90"/>
  <c r="C224" i="90"/>
  <c r="C223" i="90"/>
  <c r="C222" i="90"/>
  <c r="C221" i="90"/>
  <c r="C220" i="90"/>
  <c r="C219" i="90"/>
  <c r="C211" i="90"/>
  <c r="D205" i="90"/>
  <c r="C205" i="90"/>
  <c r="D204" i="90"/>
  <c r="C204" i="90"/>
  <c r="D203" i="90"/>
  <c r="C203" i="90"/>
  <c r="D202" i="90"/>
  <c r="C202" i="90"/>
  <c r="D201" i="90"/>
  <c r="C201" i="90"/>
  <c r="D200" i="90"/>
  <c r="C200" i="90"/>
  <c r="D196" i="90"/>
  <c r="C196" i="90"/>
  <c r="D195" i="90"/>
  <c r="C195" i="90"/>
  <c r="D194" i="90"/>
  <c r="C194" i="90"/>
  <c r="D193" i="90"/>
  <c r="C193" i="90"/>
  <c r="D192" i="90"/>
  <c r="C192" i="90"/>
  <c r="D191" i="90"/>
  <c r="C191" i="90"/>
  <c r="D190" i="90"/>
  <c r="C190" i="90"/>
  <c r="D189" i="90"/>
  <c r="C189" i="90"/>
  <c r="D188" i="90"/>
  <c r="C188" i="90"/>
  <c r="D187" i="90"/>
  <c r="C187" i="90"/>
  <c r="D186" i="90"/>
  <c r="C186" i="90"/>
  <c r="D185" i="90"/>
  <c r="C185" i="90"/>
  <c r="D184" i="90"/>
  <c r="C184" i="90"/>
  <c r="D183" i="90"/>
  <c r="C183" i="90"/>
  <c r="D182" i="90"/>
  <c r="C182" i="90"/>
  <c r="D181" i="90"/>
  <c r="C181" i="90"/>
  <c r="D180" i="90"/>
  <c r="C180" i="90"/>
  <c r="D179" i="90"/>
  <c r="C179" i="90"/>
  <c r="D178" i="90"/>
  <c r="C178" i="90"/>
  <c r="D177" i="90"/>
  <c r="C177" i="90"/>
  <c r="D176" i="90"/>
  <c r="C176" i="90"/>
  <c r="D175" i="90"/>
  <c r="C175" i="90"/>
  <c r="D174" i="90"/>
  <c r="C174" i="90"/>
  <c r="D173" i="90"/>
  <c r="C173" i="90"/>
  <c r="D172" i="90"/>
  <c r="C172" i="90"/>
  <c r="D171" i="90"/>
  <c r="C171" i="90"/>
  <c r="D170" i="90"/>
  <c r="C170" i="90"/>
  <c r="D169" i="90"/>
  <c r="C169" i="90"/>
  <c r="D168" i="90"/>
  <c r="C168" i="90"/>
  <c r="D167" i="90"/>
  <c r="C167" i="90"/>
  <c r="D166" i="90"/>
  <c r="C166" i="90"/>
  <c r="D165" i="90"/>
  <c r="C165" i="90"/>
  <c r="D164" i="90"/>
  <c r="C164" i="90"/>
  <c r="D160" i="90"/>
  <c r="C160" i="90"/>
  <c r="D159" i="90"/>
  <c r="C159" i="90"/>
  <c r="D158" i="90"/>
  <c r="C158" i="90"/>
  <c r="D157" i="90"/>
  <c r="C157" i="90"/>
  <c r="D156" i="90"/>
  <c r="C156" i="90"/>
  <c r="D155" i="90"/>
  <c r="C155" i="90"/>
  <c r="D153" i="90"/>
  <c r="C153" i="90"/>
  <c r="D152" i="90"/>
  <c r="C152" i="90"/>
  <c r="D151" i="90"/>
  <c r="C151" i="90"/>
  <c r="D150" i="90"/>
  <c r="C150" i="90"/>
  <c r="D149" i="90"/>
  <c r="C149" i="90"/>
  <c r="D148" i="90"/>
  <c r="C148" i="90"/>
  <c r="D147" i="90"/>
  <c r="C147" i="90"/>
  <c r="D146" i="90"/>
  <c r="C146" i="90"/>
  <c r="D145" i="90"/>
  <c r="C145" i="90"/>
  <c r="D143" i="90"/>
  <c r="C143" i="90"/>
  <c r="D142" i="90"/>
  <c r="C142" i="90"/>
  <c r="D141" i="90"/>
  <c r="C141" i="90"/>
  <c r="D140" i="90"/>
  <c r="C140" i="90"/>
  <c r="D138" i="90"/>
  <c r="C138" i="90"/>
  <c r="D137" i="90"/>
  <c r="C137" i="90"/>
  <c r="D136" i="90"/>
  <c r="C136" i="90"/>
  <c r="D135" i="90"/>
  <c r="C135" i="90"/>
  <c r="D133" i="90"/>
  <c r="C133" i="90"/>
  <c r="D132" i="90"/>
  <c r="C132" i="90"/>
  <c r="D131" i="90"/>
  <c r="C131" i="90"/>
  <c r="D130" i="90"/>
  <c r="C130" i="90"/>
  <c r="D129" i="90"/>
  <c r="C129" i="90"/>
  <c r="D127" i="90"/>
  <c r="C127" i="90"/>
  <c r="D126" i="90"/>
  <c r="C126" i="90"/>
  <c r="D125" i="90"/>
  <c r="C125" i="90"/>
  <c r="D124" i="90"/>
  <c r="C124" i="90"/>
  <c r="D123" i="90"/>
  <c r="C123" i="90"/>
  <c r="D118" i="90"/>
  <c r="C118" i="90"/>
  <c r="D117" i="90"/>
  <c r="C117" i="90"/>
  <c r="D116" i="90"/>
  <c r="C116" i="90"/>
  <c r="D115" i="90"/>
  <c r="C115" i="90"/>
  <c r="D114" i="90"/>
  <c r="C114" i="90"/>
  <c r="D110" i="90"/>
  <c r="C110" i="90"/>
  <c r="D109" i="90"/>
  <c r="C109" i="90"/>
  <c r="D108" i="90"/>
  <c r="C108" i="90"/>
  <c r="D107" i="90"/>
  <c r="C107" i="90"/>
  <c r="D106" i="90"/>
  <c r="C106" i="90"/>
  <c r="D105" i="90"/>
  <c r="C105" i="90"/>
  <c r="D101" i="90"/>
  <c r="C101" i="90"/>
  <c r="D100" i="90"/>
  <c r="C100" i="90"/>
  <c r="D99" i="90"/>
  <c r="C99" i="90"/>
  <c r="D98" i="90"/>
  <c r="C98" i="90"/>
  <c r="D97" i="90"/>
  <c r="C97" i="90"/>
  <c r="D96" i="90"/>
  <c r="C96" i="90"/>
  <c r="D92" i="90"/>
  <c r="C92" i="90"/>
  <c r="D91" i="90"/>
  <c r="C91" i="90"/>
  <c r="D90" i="90"/>
  <c r="C90" i="90"/>
  <c r="D89" i="90"/>
  <c r="C89" i="90"/>
  <c r="D88" i="90"/>
  <c r="C88" i="90"/>
  <c r="D87" i="90"/>
  <c r="C87" i="90"/>
  <c r="D86" i="90"/>
  <c r="C86" i="90"/>
  <c r="D85" i="90"/>
  <c r="C85" i="90"/>
  <c r="D84" i="90"/>
  <c r="C84" i="90"/>
  <c r="D83" i="90"/>
  <c r="C83" i="90"/>
  <c r="D82" i="90"/>
  <c r="C82" i="90"/>
  <c r="D78" i="90"/>
  <c r="C78" i="90"/>
  <c r="D77" i="90"/>
  <c r="C77" i="90"/>
  <c r="D76" i="90"/>
  <c r="C76" i="90"/>
  <c r="D75" i="90"/>
  <c r="C75" i="90"/>
  <c r="D74" i="90"/>
  <c r="C74" i="90"/>
  <c r="D73" i="90"/>
  <c r="C73" i="90"/>
  <c r="D72" i="90"/>
  <c r="C72" i="90"/>
  <c r="D71" i="90"/>
  <c r="C71" i="90"/>
  <c r="D70" i="90"/>
  <c r="C70" i="90"/>
  <c r="D69" i="90"/>
  <c r="C69" i="90"/>
  <c r="D68" i="90"/>
  <c r="C68" i="90"/>
  <c r="D67" i="90"/>
  <c r="C67" i="90"/>
  <c r="D66" i="90"/>
  <c r="C66" i="90"/>
  <c r="D65" i="90"/>
  <c r="C65" i="90"/>
  <c r="D64" i="90"/>
  <c r="C64" i="90"/>
  <c r="D60" i="90"/>
  <c r="C60" i="90"/>
  <c r="D59" i="90"/>
  <c r="C59" i="90"/>
  <c r="D58" i="90"/>
  <c r="C58" i="90"/>
  <c r="D57" i="90"/>
  <c r="C57" i="90"/>
  <c r="D56" i="90"/>
  <c r="C56" i="90"/>
  <c r="D55" i="90"/>
  <c r="C55" i="90"/>
  <c r="D54" i="90"/>
  <c r="C54" i="90"/>
  <c r="D53" i="90"/>
  <c r="C53" i="90"/>
  <c r="D52" i="90"/>
  <c r="C52" i="90"/>
  <c r="D51" i="90"/>
  <c r="C51" i="90"/>
  <c r="D50" i="90"/>
  <c r="C50" i="90"/>
  <c r="D49" i="90"/>
  <c r="C49" i="90"/>
  <c r="D48" i="90"/>
  <c r="C48" i="90"/>
  <c r="D47" i="90"/>
  <c r="C47" i="90"/>
  <c r="D46" i="90"/>
  <c r="C46" i="90"/>
  <c r="D45" i="90"/>
  <c r="C45" i="90"/>
  <c r="D44" i="90"/>
  <c r="C44" i="90"/>
  <c r="D43" i="90"/>
  <c r="C43" i="90"/>
  <c r="D42" i="90"/>
  <c r="C42" i="90"/>
  <c r="D41" i="90"/>
  <c r="C41" i="90"/>
  <c r="D40" i="90"/>
  <c r="C40" i="90"/>
  <c r="D39" i="90"/>
  <c r="C39" i="90"/>
  <c r="D38" i="90"/>
  <c r="C38" i="90"/>
  <c r="D37" i="90"/>
  <c r="C37" i="90"/>
  <c r="D36" i="90"/>
  <c r="C36" i="90"/>
  <c r="D35" i="90"/>
  <c r="C35" i="90"/>
  <c r="D34" i="90"/>
  <c r="C34" i="90"/>
  <c r="D33" i="90"/>
  <c r="C33" i="90"/>
  <c r="D32" i="90"/>
  <c r="C32" i="90"/>
  <c r="D31" i="90"/>
  <c r="C31" i="90"/>
  <c r="D30" i="90"/>
  <c r="C30" i="90"/>
  <c r="D29" i="90"/>
  <c r="C29" i="90"/>
  <c r="D28" i="90"/>
  <c r="C28" i="90"/>
  <c r="D27" i="90"/>
  <c r="C27" i="90"/>
  <c r="D26" i="90"/>
  <c r="C26" i="90"/>
  <c r="D25" i="90"/>
  <c r="C25" i="90"/>
  <c r="D20" i="90"/>
  <c r="C20" i="90"/>
  <c r="D19" i="90"/>
  <c r="C19" i="90"/>
  <c r="D18" i="90"/>
  <c r="C18" i="90"/>
  <c r="D17" i="90"/>
  <c r="C17" i="90"/>
  <c r="D16" i="90"/>
  <c r="C16" i="90"/>
  <c r="D15" i="90"/>
  <c r="C15" i="90"/>
  <c r="D14" i="90"/>
  <c r="C14" i="90"/>
  <c r="D13" i="90"/>
  <c r="C13" i="90"/>
  <c r="D12" i="90"/>
  <c r="C12" i="90"/>
  <c r="D11" i="90"/>
  <c r="C11" i="90"/>
  <c r="D197" i="90" l="1"/>
  <c r="D206" i="90"/>
  <c r="C102" i="90"/>
  <c r="C119" i="90"/>
  <c r="D102" i="90"/>
  <c r="D119" i="90"/>
  <c r="C93" i="90"/>
  <c r="D21" i="90"/>
  <c r="D93" i="90"/>
  <c r="C161" i="90"/>
  <c r="D161" i="90"/>
  <c r="C228" i="90"/>
  <c r="D79" i="90"/>
  <c r="C79" i="90"/>
  <c r="C111" i="90"/>
  <c r="D111" i="90"/>
  <c r="C197" i="90"/>
  <c r="C21" i="90"/>
  <c r="C206" i="90"/>
  <c r="D61" i="90"/>
  <c r="C61" i="90"/>
  <c r="D208" i="90" l="1"/>
  <c r="D215" i="90" s="1"/>
  <c r="C208" i="90"/>
  <c r="C212" i="90" l="1"/>
  <c r="C215" i="90"/>
  <c r="F228" i="31"/>
  <c r="G242" i="31" l="1"/>
  <c r="G241" i="31"/>
  <c r="D228" i="31"/>
  <c r="C227" i="31"/>
  <c r="C226" i="31"/>
  <c r="C225" i="31"/>
  <c r="C224" i="31"/>
  <c r="C223" i="31"/>
  <c r="C222" i="31"/>
  <c r="C221" i="31"/>
  <c r="C220" i="31"/>
  <c r="C219" i="31"/>
  <c r="C211" i="31"/>
  <c r="D205" i="31"/>
  <c r="C205" i="31"/>
  <c r="D204" i="31"/>
  <c r="C204" i="31"/>
  <c r="D203" i="31"/>
  <c r="C203" i="31"/>
  <c r="D202" i="31"/>
  <c r="C202" i="31"/>
  <c r="D201" i="31"/>
  <c r="C201" i="31"/>
  <c r="D200" i="31"/>
  <c r="C200" i="31"/>
  <c r="D196" i="31"/>
  <c r="C196" i="31"/>
  <c r="D195" i="31"/>
  <c r="C195" i="31"/>
  <c r="D194" i="31"/>
  <c r="C194" i="31"/>
  <c r="D193" i="31"/>
  <c r="C193" i="31"/>
  <c r="D192" i="31"/>
  <c r="C192" i="31"/>
  <c r="D191" i="31"/>
  <c r="C191" i="31"/>
  <c r="D190" i="31"/>
  <c r="C190" i="31"/>
  <c r="D189" i="31"/>
  <c r="C189" i="31"/>
  <c r="D188" i="31"/>
  <c r="C188" i="31"/>
  <c r="D187" i="31"/>
  <c r="C187" i="31"/>
  <c r="D186" i="31"/>
  <c r="C186" i="31"/>
  <c r="D185" i="31"/>
  <c r="C185" i="31"/>
  <c r="D184" i="31"/>
  <c r="C184" i="31"/>
  <c r="D183" i="31"/>
  <c r="C183" i="31"/>
  <c r="D182" i="31"/>
  <c r="C182" i="31"/>
  <c r="D181" i="31"/>
  <c r="C181" i="31"/>
  <c r="D180" i="31"/>
  <c r="C180" i="31"/>
  <c r="D179" i="31"/>
  <c r="C179" i="31"/>
  <c r="D178" i="31"/>
  <c r="C178" i="31"/>
  <c r="D177" i="31"/>
  <c r="C177" i="31"/>
  <c r="D176" i="31"/>
  <c r="C176" i="31"/>
  <c r="D175" i="31"/>
  <c r="C175" i="31"/>
  <c r="D174" i="31"/>
  <c r="C174" i="31"/>
  <c r="D173" i="31"/>
  <c r="C173" i="31"/>
  <c r="D172" i="31"/>
  <c r="C172" i="31"/>
  <c r="D171" i="31"/>
  <c r="C171" i="31"/>
  <c r="D170" i="31"/>
  <c r="C170" i="31"/>
  <c r="D169" i="31"/>
  <c r="C169" i="31"/>
  <c r="D168" i="31"/>
  <c r="C168" i="31"/>
  <c r="D167" i="31"/>
  <c r="C167" i="31"/>
  <c r="D166" i="31"/>
  <c r="C166" i="31"/>
  <c r="D165" i="31"/>
  <c r="C165" i="31"/>
  <c r="D164" i="31"/>
  <c r="C164" i="31"/>
  <c r="D160" i="31"/>
  <c r="C160" i="31"/>
  <c r="D159" i="31"/>
  <c r="C159" i="31"/>
  <c r="D158" i="31"/>
  <c r="C158" i="31"/>
  <c r="D157" i="31"/>
  <c r="C157" i="31"/>
  <c r="D156" i="31"/>
  <c r="C156" i="31"/>
  <c r="D155" i="31"/>
  <c r="C155" i="31"/>
  <c r="D153" i="31"/>
  <c r="C153" i="31"/>
  <c r="D152" i="31"/>
  <c r="C152" i="31"/>
  <c r="D151" i="31"/>
  <c r="C151" i="31"/>
  <c r="D150" i="31"/>
  <c r="C150" i="31"/>
  <c r="D149" i="31"/>
  <c r="C149" i="31"/>
  <c r="D148" i="31"/>
  <c r="C148" i="31"/>
  <c r="D147" i="31"/>
  <c r="C147" i="31"/>
  <c r="D146" i="31"/>
  <c r="C146" i="31"/>
  <c r="D145" i="31"/>
  <c r="C145" i="31"/>
  <c r="D143" i="31"/>
  <c r="C143" i="31"/>
  <c r="D142" i="31"/>
  <c r="C142" i="31"/>
  <c r="D141" i="31"/>
  <c r="C141" i="31"/>
  <c r="D140" i="31"/>
  <c r="C140" i="31"/>
  <c r="D138" i="31"/>
  <c r="C138" i="31"/>
  <c r="D137" i="31"/>
  <c r="C137" i="31"/>
  <c r="D136" i="31"/>
  <c r="C136" i="31"/>
  <c r="D135" i="31"/>
  <c r="C135" i="31"/>
  <c r="D133" i="31"/>
  <c r="C133" i="31"/>
  <c r="D132" i="31"/>
  <c r="C132" i="31"/>
  <c r="D131" i="31"/>
  <c r="C131" i="31"/>
  <c r="D130" i="31"/>
  <c r="C130" i="31"/>
  <c r="D129" i="31"/>
  <c r="C129" i="31"/>
  <c r="D127" i="31"/>
  <c r="C127" i="31"/>
  <c r="D126" i="31"/>
  <c r="C126" i="31"/>
  <c r="D125" i="31"/>
  <c r="C125" i="31"/>
  <c r="D124" i="31"/>
  <c r="C124" i="31"/>
  <c r="D123" i="31"/>
  <c r="C123" i="31"/>
  <c r="D118" i="31"/>
  <c r="C118" i="31"/>
  <c r="D117" i="31"/>
  <c r="C117" i="31"/>
  <c r="D116" i="31"/>
  <c r="C116" i="31"/>
  <c r="D115" i="31"/>
  <c r="C115" i="31"/>
  <c r="D114" i="31"/>
  <c r="C114" i="31"/>
  <c r="D110" i="31"/>
  <c r="C110" i="31"/>
  <c r="D109" i="31"/>
  <c r="C109" i="31"/>
  <c r="D108" i="31"/>
  <c r="C108" i="31"/>
  <c r="D107" i="31"/>
  <c r="C107" i="31"/>
  <c r="D106" i="31"/>
  <c r="C106" i="31"/>
  <c r="D105" i="31"/>
  <c r="C105" i="31"/>
  <c r="D101" i="31"/>
  <c r="C101" i="31"/>
  <c r="D100" i="31"/>
  <c r="C100" i="31"/>
  <c r="D99" i="31"/>
  <c r="C99" i="31"/>
  <c r="D98" i="31"/>
  <c r="C98" i="31"/>
  <c r="D97" i="31"/>
  <c r="C97" i="31"/>
  <c r="D96" i="31"/>
  <c r="C96" i="31"/>
  <c r="D92" i="31"/>
  <c r="C92" i="31"/>
  <c r="D91" i="31"/>
  <c r="C91" i="31"/>
  <c r="D90" i="31"/>
  <c r="C90" i="31"/>
  <c r="D89" i="31"/>
  <c r="C89" i="31"/>
  <c r="D88" i="31"/>
  <c r="C88" i="31"/>
  <c r="D87" i="31"/>
  <c r="C87" i="31"/>
  <c r="D86" i="31"/>
  <c r="C86" i="31"/>
  <c r="D85" i="31"/>
  <c r="C85" i="31"/>
  <c r="D84" i="31"/>
  <c r="C84" i="31"/>
  <c r="D83" i="31"/>
  <c r="C83" i="31"/>
  <c r="D82" i="31"/>
  <c r="C82" i="31"/>
  <c r="D78" i="31"/>
  <c r="C78" i="31"/>
  <c r="D77" i="31"/>
  <c r="C77" i="31"/>
  <c r="D76" i="31"/>
  <c r="C76" i="31"/>
  <c r="D75" i="31"/>
  <c r="C75" i="31"/>
  <c r="D74" i="31"/>
  <c r="C74" i="31"/>
  <c r="D73" i="31"/>
  <c r="C73" i="31"/>
  <c r="D72" i="31"/>
  <c r="C72" i="31"/>
  <c r="D71" i="31"/>
  <c r="C71" i="31"/>
  <c r="D70" i="31"/>
  <c r="C70" i="31"/>
  <c r="D69" i="31"/>
  <c r="C69" i="31"/>
  <c r="D68" i="31"/>
  <c r="C68" i="31"/>
  <c r="D67" i="31"/>
  <c r="C67" i="31"/>
  <c r="D66" i="31"/>
  <c r="C66" i="31"/>
  <c r="D65" i="31"/>
  <c r="C65" i="31"/>
  <c r="D64" i="31"/>
  <c r="C64" i="31"/>
  <c r="D60" i="31"/>
  <c r="C60" i="31"/>
  <c r="D59" i="31"/>
  <c r="C59" i="31"/>
  <c r="D58" i="31"/>
  <c r="C58" i="31"/>
  <c r="D57" i="31"/>
  <c r="C57" i="31"/>
  <c r="D56" i="31"/>
  <c r="C56" i="31"/>
  <c r="D55" i="31"/>
  <c r="C55" i="31"/>
  <c r="D54" i="31"/>
  <c r="C54" i="31"/>
  <c r="D53" i="31"/>
  <c r="C53" i="31"/>
  <c r="D52" i="31"/>
  <c r="C52" i="31"/>
  <c r="D51" i="31"/>
  <c r="C51" i="31"/>
  <c r="D50" i="31"/>
  <c r="C50" i="31"/>
  <c r="D49" i="31"/>
  <c r="C49" i="31"/>
  <c r="D48" i="31"/>
  <c r="C48" i="31"/>
  <c r="D47" i="31"/>
  <c r="C47" i="31"/>
  <c r="D46" i="31"/>
  <c r="C46" i="31"/>
  <c r="D45" i="31"/>
  <c r="C45" i="31"/>
  <c r="D44" i="31"/>
  <c r="C44" i="31"/>
  <c r="D43" i="31"/>
  <c r="C43" i="31"/>
  <c r="D42" i="31"/>
  <c r="C42" i="31"/>
  <c r="D41" i="31"/>
  <c r="C41" i="31"/>
  <c r="D40" i="31"/>
  <c r="C40" i="31"/>
  <c r="D39" i="31"/>
  <c r="C39" i="31"/>
  <c r="D38" i="31"/>
  <c r="C38" i="31"/>
  <c r="D37" i="31"/>
  <c r="C37" i="31"/>
  <c r="D36" i="31"/>
  <c r="C36" i="31"/>
  <c r="D35" i="31"/>
  <c r="C35" i="31"/>
  <c r="D34" i="31"/>
  <c r="C34" i="31"/>
  <c r="D33" i="31"/>
  <c r="C33" i="31"/>
  <c r="D32" i="31"/>
  <c r="C32" i="31"/>
  <c r="D31" i="31"/>
  <c r="C31" i="31"/>
  <c r="D30" i="31"/>
  <c r="C30" i="31"/>
  <c r="D29" i="31"/>
  <c r="C29" i="31"/>
  <c r="D28" i="31"/>
  <c r="C28" i="31"/>
  <c r="D27" i="31"/>
  <c r="C27" i="31"/>
  <c r="D26" i="31"/>
  <c r="C26" i="31"/>
  <c r="D25" i="31"/>
  <c r="C25" i="31"/>
  <c r="D20" i="31"/>
  <c r="C20" i="31"/>
  <c r="D19" i="31"/>
  <c r="C19" i="31"/>
  <c r="D18" i="31"/>
  <c r="C18" i="31"/>
  <c r="D17" i="31"/>
  <c r="C17" i="31"/>
  <c r="D16" i="31"/>
  <c r="C16" i="31"/>
  <c r="D15" i="31"/>
  <c r="C15" i="31"/>
  <c r="D14" i="31"/>
  <c r="C14" i="31"/>
  <c r="D13" i="31"/>
  <c r="C13" i="31"/>
  <c r="D12" i="31"/>
  <c r="C12" i="31"/>
  <c r="D11" i="31"/>
  <c r="C11" i="31"/>
  <c r="D79" i="31" l="1"/>
  <c r="D111" i="31"/>
  <c r="C111" i="31"/>
  <c r="C93" i="31"/>
  <c r="C161" i="31"/>
  <c r="C21" i="31"/>
  <c r="C102" i="31"/>
  <c r="C119" i="31"/>
  <c r="C206" i="31"/>
  <c r="D93" i="31"/>
  <c r="D119" i="31"/>
  <c r="D206" i="31"/>
  <c r="C228" i="31"/>
  <c r="C79" i="31"/>
  <c r="D161" i="31"/>
  <c r="D197" i="31"/>
  <c r="C197" i="31"/>
  <c r="D21" i="31"/>
  <c r="D102" i="31"/>
  <c r="C61" i="31"/>
  <c r="D61" i="31"/>
  <c r="C208" i="31" l="1"/>
  <c r="D208" i="31"/>
  <c r="D215" i="31" s="1"/>
  <c r="C212" i="31" l="1"/>
  <c r="C215" i="31"/>
  <c r="G243" i="16"/>
  <c r="G242" i="16" l="1"/>
  <c r="G241" i="16"/>
  <c r="D228" i="16" l="1"/>
  <c r="C227" i="16"/>
  <c r="C226" i="16"/>
  <c r="C225" i="16"/>
  <c r="C224" i="16"/>
  <c r="C223" i="16"/>
  <c r="C222" i="16"/>
  <c r="C221" i="16"/>
  <c r="C220" i="16"/>
  <c r="C219" i="16"/>
  <c r="C211" i="16"/>
  <c r="D205" i="16"/>
  <c r="C205" i="16"/>
  <c r="D204" i="16"/>
  <c r="C204" i="16"/>
  <c r="D203" i="16"/>
  <c r="C203" i="16"/>
  <c r="D202" i="16"/>
  <c r="C202" i="16"/>
  <c r="D201" i="16"/>
  <c r="C201" i="16"/>
  <c r="D200" i="16"/>
  <c r="C200" i="16"/>
  <c r="D196" i="16"/>
  <c r="C196" i="16"/>
  <c r="D195" i="16"/>
  <c r="C195" i="16"/>
  <c r="D194" i="16"/>
  <c r="C194" i="16"/>
  <c r="D193" i="16"/>
  <c r="C193" i="16"/>
  <c r="D192" i="16"/>
  <c r="C192" i="16"/>
  <c r="D191" i="16"/>
  <c r="C191" i="16"/>
  <c r="D190" i="16"/>
  <c r="C190" i="16"/>
  <c r="D189" i="16"/>
  <c r="C189" i="16"/>
  <c r="D188" i="16"/>
  <c r="C188" i="16"/>
  <c r="D187" i="16"/>
  <c r="C187" i="16"/>
  <c r="D186" i="16"/>
  <c r="C186" i="16"/>
  <c r="D185" i="16"/>
  <c r="C185" i="16"/>
  <c r="D184" i="16"/>
  <c r="C184" i="16"/>
  <c r="D183" i="16"/>
  <c r="C183" i="16"/>
  <c r="D182" i="16"/>
  <c r="C182" i="16"/>
  <c r="D181" i="16"/>
  <c r="C181" i="16"/>
  <c r="D180" i="16"/>
  <c r="C180" i="16"/>
  <c r="D179" i="16"/>
  <c r="C179" i="16"/>
  <c r="D178" i="16"/>
  <c r="C178" i="16"/>
  <c r="D177" i="16"/>
  <c r="C177" i="16"/>
  <c r="D176" i="16"/>
  <c r="C176" i="16"/>
  <c r="D175" i="16"/>
  <c r="C175" i="16"/>
  <c r="D174" i="16"/>
  <c r="C174" i="16"/>
  <c r="D173" i="16"/>
  <c r="C173" i="16"/>
  <c r="D172" i="16"/>
  <c r="C172" i="16"/>
  <c r="D171" i="16"/>
  <c r="C171" i="16"/>
  <c r="D170" i="16"/>
  <c r="C170" i="16"/>
  <c r="D169" i="16"/>
  <c r="C169" i="16"/>
  <c r="D168" i="16"/>
  <c r="C168" i="16"/>
  <c r="D167" i="16"/>
  <c r="C167" i="16"/>
  <c r="D166" i="16"/>
  <c r="C166" i="16"/>
  <c r="D165" i="16"/>
  <c r="C165" i="16"/>
  <c r="D164" i="16"/>
  <c r="C164" i="16"/>
  <c r="D160" i="16"/>
  <c r="C160" i="16"/>
  <c r="D159" i="16"/>
  <c r="C159" i="16"/>
  <c r="D158" i="16"/>
  <c r="C158" i="16"/>
  <c r="D157" i="16"/>
  <c r="C157" i="16"/>
  <c r="D156" i="16"/>
  <c r="C156" i="16"/>
  <c r="D155" i="16"/>
  <c r="C155" i="16"/>
  <c r="D153" i="16"/>
  <c r="C153" i="16"/>
  <c r="D152" i="16"/>
  <c r="C152" i="16"/>
  <c r="D151" i="16"/>
  <c r="C151" i="16"/>
  <c r="D150" i="16"/>
  <c r="C150" i="16"/>
  <c r="D149" i="16"/>
  <c r="C149" i="16"/>
  <c r="D148" i="16"/>
  <c r="C148" i="16"/>
  <c r="D147" i="16"/>
  <c r="C147" i="16"/>
  <c r="D146" i="16"/>
  <c r="C146" i="16"/>
  <c r="D145" i="16"/>
  <c r="C145" i="16"/>
  <c r="D143" i="16"/>
  <c r="C143" i="16"/>
  <c r="D142" i="16"/>
  <c r="C142" i="16"/>
  <c r="D141" i="16"/>
  <c r="C141" i="16"/>
  <c r="D140" i="16"/>
  <c r="C140" i="16"/>
  <c r="D138" i="16"/>
  <c r="C138" i="16"/>
  <c r="D137" i="16"/>
  <c r="C137" i="16"/>
  <c r="D136" i="16"/>
  <c r="C136" i="16"/>
  <c r="D135" i="16"/>
  <c r="C135" i="16"/>
  <c r="D133" i="16"/>
  <c r="C133" i="16"/>
  <c r="D132" i="16"/>
  <c r="C132" i="16"/>
  <c r="D131" i="16"/>
  <c r="C131" i="16"/>
  <c r="D130" i="16"/>
  <c r="C130" i="16"/>
  <c r="D129" i="16"/>
  <c r="C129" i="16"/>
  <c r="D127" i="16"/>
  <c r="C127" i="16"/>
  <c r="D126" i="16"/>
  <c r="C126" i="16"/>
  <c r="D125" i="16"/>
  <c r="C125" i="16"/>
  <c r="D124" i="16"/>
  <c r="C124" i="16"/>
  <c r="D123" i="16"/>
  <c r="C123" i="16"/>
  <c r="D118" i="16"/>
  <c r="C118" i="16"/>
  <c r="D117" i="16"/>
  <c r="C117" i="16"/>
  <c r="D116" i="16"/>
  <c r="C116" i="16"/>
  <c r="D115" i="16"/>
  <c r="C115" i="16"/>
  <c r="D114" i="16"/>
  <c r="C114" i="16"/>
  <c r="D110" i="16"/>
  <c r="C110" i="16"/>
  <c r="D109" i="16"/>
  <c r="C109" i="16"/>
  <c r="D108" i="16"/>
  <c r="C108" i="16"/>
  <c r="D107" i="16"/>
  <c r="C107" i="16"/>
  <c r="D106" i="16"/>
  <c r="C106" i="16"/>
  <c r="D105" i="16"/>
  <c r="C105" i="16"/>
  <c r="D101" i="16"/>
  <c r="C101" i="16"/>
  <c r="D100" i="16"/>
  <c r="C100" i="16"/>
  <c r="D99" i="16"/>
  <c r="C99" i="16"/>
  <c r="D98" i="16"/>
  <c r="C98" i="16"/>
  <c r="D97" i="16"/>
  <c r="C97" i="16"/>
  <c r="D96" i="16"/>
  <c r="C96" i="16"/>
  <c r="D92" i="16"/>
  <c r="C92" i="16"/>
  <c r="D91" i="16"/>
  <c r="C91" i="16"/>
  <c r="D90" i="16"/>
  <c r="C90" i="16"/>
  <c r="D89" i="16"/>
  <c r="C89" i="16"/>
  <c r="D88" i="16"/>
  <c r="C88" i="16"/>
  <c r="D87" i="16"/>
  <c r="C87" i="16"/>
  <c r="D86" i="16"/>
  <c r="C86" i="16"/>
  <c r="D85" i="16"/>
  <c r="C85" i="16"/>
  <c r="D84" i="16"/>
  <c r="C84" i="16"/>
  <c r="D83" i="16"/>
  <c r="C83" i="16"/>
  <c r="D82" i="16"/>
  <c r="C82" i="16"/>
  <c r="D78" i="16"/>
  <c r="C78" i="16"/>
  <c r="D77" i="16"/>
  <c r="C77" i="16"/>
  <c r="D76" i="16"/>
  <c r="C76" i="16"/>
  <c r="D75" i="16"/>
  <c r="C75" i="16"/>
  <c r="D74" i="16"/>
  <c r="C74" i="16"/>
  <c r="D73" i="16"/>
  <c r="C73" i="16"/>
  <c r="D72" i="16"/>
  <c r="C72" i="16"/>
  <c r="D71" i="16"/>
  <c r="C71" i="16"/>
  <c r="D70" i="16"/>
  <c r="C70" i="16"/>
  <c r="D69" i="16"/>
  <c r="C69" i="16"/>
  <c r="D68" i="16"/>
  <c r="C68" i="16"/>
  <c r="D67" i="16"/>
  <c r="C67" i="16"/>
  <c r="D66" i="16"/>
  <c r="C66" i="16"/>
  <c r="D65" i="16"/>
  <c r="C65" i="16"/>
  <c r="D64" i="16"/>
  <c r="C64" i="16"/>
  <c r="D60" i="16"/>
  <c r="C60" i="16"/>
  <c r="D59" i="16"/>
  <c r="C59" i="16"/>
  <c r="D58" i="16"/>
  <c r="C58" i="16"/>
  <c r="D57" i="16"/>
  <c r="C57" i="16"/>
  <c r="D56" i="16"/>
  <c r="C56" i="16"/>
  <c r="D55" i="16"/>
  <c r="C55" i="16"/>
  <c r="D54" i="16"/>
  <c r="C54" i="16"/>
  <c r="D53" i="16"/>
  <c r="C53" i="16"/>
  <c r="D52" i="16"/>
  <c r="C52" i="16"/>
  <c r="D51" i="16"/>
  <c r="C51" i="16"/>
  <c r="D50" i="16"/>
  <c r="C50" i="16"/>
  <c r="D49" i="16"/>
  <c r="C49" i="16"/>
  <c r="D48" i="16"/>
  <c r="C48" i="16"/>
  <c r="D47" i="16"/>
  <c r="C47" i="16"/>
  <c r="D46" i="16"/>
  <c r="C46" i="16"/>
  <c r="D45" i="16"/>
  <c r="C45" i="16"/>
  <c r="D44" i="16"/>
  <c r="C44" i="16"/>
  <c r="D43" i="16"/>
  <c r="C43" i="16"/>
  <c r="D42" i="16"/>
  <c r="C42" i="16"/>
  <c r="D41" i="16"/>
  <c r="C41" i="16"/>
  <c r="D40" i="16"/>
  <c r="C40" i="16"/>
  <c r="D39" i="16"/>
  <c r="C39" i="16"/>
  <c r="D38" i="16"/>
  <c r="C38" i="16"/>
  <c r="D37" i="16"/>
  <c r="C37" i="16"/>
  <c r="D36" i="16"/>
  <c r="C36" i="16"/>
  <c r="D35" i="16"/>
  <c r="C35" i="16"/>
  <c r="D34" i="16"/>
  <c r="C34" i="16"/>
  <c r="D33" i="16"/>
  <c r="C33" i="16"/>
  <c r="D32" i="16"/>
  <c r="C32" i="16"/>
  <c r="D31" i="16"/>
  <c r="C31" i="16"/>
  <c r="D30" i="16"/>
  <c r="C30" i="16"/>
  <c r="D29" i="16"/>
  <c r="C29" i="16"/>
  <c r="D28" i="16"/>
  <c r="C28" i="16"/>
  <c r="D27" i="16"/>
  <c r="C27" i="16"/>
  <c r="D26" i="16"/>
  <c r="C26" i="16"/>
  <c r="D25" i="16"/>
  <c r="C25" i="16"/>
  <c r="D20" i="16"/>
  <c r="C20" i="16"/>
  <c r="D19" i="16"/>
  <c r="C19" i="16"/>
  <c r="D18" i="16"/>
  <c r="C18" i="16"/>
  <c r="D17" i="16"/>
  <c r="C17" i="16"/>
  <c r="D16" i="16"/>
  <c r="C16" i="16"/>
  <c r="D15" i="16"/>
  <c r="C15" i="16"/>
  <c r="D14" i="16"/>
  <c r="C14" i="16"/>
  <c r="D13" i="16"/>
  <c r="C13" i="16"/>
  <c r="D12" i="16"/>
  <c r="C12" i="16"/>
  <c r="D11" i="16"/>
  <c r="C11" i="16"/>
  <c r="D79" i="16" l="1"/>
  <c r="C111" i="16"/>
  <c r="C206" i="16"/>
  <c r="D119" i="16"/>
  <c r="C21" i="16"/>
  <c r="D21" i="16"/>
  <c r="C102" i="16"/>
  <c r="C119" i="16"/>
  <c r="D197" i="16"/>
  <c r="D206" i="16"/>
  <c r="D93" i="16"/>
  <c r="D102" i="16"/>
  <c r="C93" i="16"/>
  <c r="C79" i="16"/>
  <c r="C161" i="16"/>
  <c r="D161" i="16"/>
  <c r="C228" i="16"/>
  <c r="D111" i="16"/>
  <c r="C197" i="16"/>
  <c r="D61" i="16"/>
  <c r="C61" i="16"/>
  <c r="D208" i="16" l="1"/>
  <c r="D215" i="16" s="1"/>
  <c r="C208" i="16"/>
  <c r="C212" i="16" l="1"/>
  <c r="C215" i="16"/>
  <c r="G243" i="119"/>
  <c r="G242" i="119"/>
  <c r="G241" i="119"/>
  <c r="D228" i="119"/>
  <c r="C227" i="119"/>
  <c r="C226" i="119"/>
  <c r="C225" i="119"/>
  <c r="C224" i="119"/>
  <c r="C223" i="119"/>
  <c r="C222" i="119"/>
  <c r="C221" i="119"/>
  <c r="C220" i="119"/>
  <c r="C219" i="119"/>
  <c r="C211" i="119"/>
  <c r="D205" i="119"/>
  <c r="C205" i="119"/>
  <c r="D204" i="119"/>
  <c r="C204" i="119"/>
  <c r="D203" i="119"/>
  <c r="C203" i="119"/>
  <c r="D202" i="119"/>
  <c r="C202" i="119"/>
  <c r="D201" i="119"/>
  <c r="C201" i="119"/>
  <c r="D200" i="119"/>
  <c r="C200" i="119"/>
  <c r="D196" i="119"/>
  <c r="C196" i="119"/>
  <c r="D195" i="119"/>
  <c r="C195" i="119"/>
  <c r="D194" i="119"/>
  <c r="C194" i="119"/>
  <c r="D193" i="119"/>
  <c r="C193" i="119"/>
  <c r="D192" i="119"/>
  <c r="C192" i="119"/>
  <c r="D191" i="119"/>
  <c r="C191" i="119"/>
  <c r="D190" i="119"/>
  <c r="C190" i="119"/>
  <c r="D189" i="119"/>
  <c r="C189" i="119"/>
  <c r="D188" i="119"/>
  <c r="C188" i="119"/>
  <c r="D187" i="119"/>
  <c r="C187" i="119"/>
  <c r="D186" i="119"/>
  <c r="C186" i="119"/>
  <c r="D185" i="119"/>
  <c r="C185" i="119"/>
  <c r="D184" i="119"/>
  <c r="C184" i="119"/>
  <c r="D183" i="119"/>
  <c r="C183" i="119"/>
  <c r="D182" i="119"/>
  <c r="C182" i="119"/>
  <c r="D181" i="119"/>
  <c r="C181" i="119"/>
  <c r="D180" i="119"/>
  <c r="C180" i="119"/>
  <c r="D179" i="119"/>
  <c r="C179" i="119"/>
  <c r="D178" i="119"/>
  <c r="C178" i="119"/>
  <c r="D177" i="119"/>
  <c r="C177" i="119"/>
  <c r="D176" i="119"/>
  <c r="C176" i="119"/>
  <c r="D175" i="119"/>
  <c r="C175" i="119"/>
  <c r="D174" i="119"/>
  <c r="C174" i="119"/>
  <c r="D173" i="119"/>
  <c r="C173" i="119"/>
  <c r="D172" i="119"/>
  <c r="C172" i="119"/>
  <c r="D171" i="119"/>
  <c r="C171" i="119"/>
  <c r="D170" i="119"/>
  <c r="C170" i="119"/>
  <c r="D169" i="119"/>
  <c r="C169" i="119"/>
  <c r="D168" i="119"/>
  <c r="C168" i="119"/>
  <c r="D167" i="119"/>
  <c r="C167" i="119"/>
  <c r="D166" i="119"/>
  <c r="C166" i="119"/>
  <c r="D165" i="119"/>
  <c r="C165" i="119"/>
  <c r="D164" i="119"/>
  <c r="C164" i="119"/>
  <c r="D160" i="119"/>
  <c r="C160" i="119"/>
  <c r="D159" i="119"/>
  <c r="C159" i="119"/>
  <c r="D158" i="119"/>
  <c r="C158" i="119"/>
  <c r="D157" i="119"/>
  <c r="C157" i="119"/>
  <c r="D156" i="119"/>
  <c r="C156" i="119"/>
  <c r="D155" i="119"/>
  <c r="C155" i="119"/>
  <c r="D153" i="119"/>
  <c r="C153" i="119"/>
  <c r="D152" i="119"/>
  <c r="C152" i="119"/>
  <c r="D151" i="119"/>
  <c r="C151" i="119"/>
  <c r="D150" i="119"/>
  <c r="C150" i="119"/>
  <c r="D149" i="119"/>
  <c r="C149" i="119"/>
  <c r="D148" i="119"/>
  <c r="C148" i="119"/>
  <c r="D147" i="119"/>
  <c r="C147" i="119"/>
  <c r="D146" i="119"/>
  <c r="C146" i="119"/>
  <c r="D145" i="119"/>
  <c r="C145" i="119"/>
  <c r="D143" i="119"/>
  <c r="C143" i="119"/>
  <c r="D142" i="119"/>
  <c r="C142" i="119"/>
  <c r="D141" i="119"/>
  <c r="C141" i="119"/>
  <c r="D140" i="119"/>
  <c r="C140" i="119"/>
  <c r="D138" i="119"/>
  <c r="C138" i="119"/>
  <c r="D137" i="119"/>
  <c r="C137" i="119"/>
  <c r="D136" i="119"/>
  <c r="C136" i="119"/>
  <c r="D135" i="119"/>
  <c r="C135" i="119"/>
  <c r="D133" i="119"/>
  <c r="C133" i="119"/>
  <c r="D132" i="119"/>
  <c r="C132" i="119"/>
  <c r="D131" i="119"/>
  <c r="C131" i="119"/>
  <c r="D130" i="119"/>
  <c r="C130" i="119"/>
  <c r="D129" i="119"/>
  <c r="C129" i="119"/>
  <c r="D127" i="119"/>
  <c r="C127" i="119"/>
  <c r="D126" i="119"/>
  <c r="C126" i="119"/>
  <c r="D125" i="119"/>
  <c r="C125" i="119"/>
  <c r="D124" i="119"/>
  <c r="C124" i="119"/>
  <c r="D123" i="119"/>
  <c r="C123" i="119"/>
  <c r="D118" i="119"/>
  <c r="C118" i="119"/>
  <c r="D117" i="119"/>
  <c r="C117" i="119"/>
  <c r="D116" i="119"/>
  <c r="C116" i="119"/>
  <c r="D115" i="119"/>
  <c r="C115" i="119"/>
  <c r="D114" i="119"/>
  <c r="C114" i="119"/>
  <c r="D110" i="119"/>
  <c r="C110" i="119"/>
  <c r="D109" i="119"/>
  <c r="C109" i="119"/>
  <c r="D108" i="119"/>
  <c r="C108" i="119"/>
  <c r="D107" i="119"/>
  <c r="C107" i="119"/>
  <c r="D106" i="119"/>
  <c r="C106" i="119"/>
  <c r="D105" i="119"/>
  <c r="C105" i="119"/>
  <c r="D101" i="119"/>
  <c r="C101" i="119"/>
  <c r="D100" i="119"/>
  <c r="C100" i="119"/>
  <c r="D99" i="119"/>
  <c r="C99" i="119"/>
  <c r="D98" i="119"/>
  <c r="C98" i="119"/>
  <c r="D97" i="119"/>
  <c r="C97" i="119"/>
  <c r="D96" i="119"/>
  <c r="C96" i="119"/>
  <c r="D92" i="119"/>
  <c r="C92" i="119"/>
  <c r="D91" i="119"/>
  <c r="C91" i="119"/>
  <c r="D90" i="119"/>
  <c r="C90" i="119"/>
  <c r="D89" i="119"/>
  <c r="C89" i="119"/>
  <c r="D88" i="119"/>
  <c r="C88" i="119"/>
  <c r="D87" i="119"/>
  <c r="C87" i="119"/>
  <c r="D86" i="119"/>
  <c r="C86" i="119"/>
  <c r="D85" i="119"/>
  <c r="C85" i="119"/>
  <c r="D84" i="119"/>
  <c r="C84" i="119"/>
  <c r="D83" i="119"/>
  <c r="C83" i="119"/>
  <c r="D82" i="119"/>
  <c r="C82" i="119"/>
  <c r="D78" i="119"/>
  <c r="C78" i="119"/>
  <c r="D77" i="119"/>
  <c r="C77" i="119"/>
  <c r="D76" i="119"/>
  <c r="C76" i="119"/>
  <c r="D75" i="119"/>
  <c r="C75" i="119"/>
  <c r="D74" i="119"/>
  <c r="C74" i="119"/>
  <c r="D73" i="119"/>
  <c r="C73" i="119"/>
  <c r="D72" i="119"/>
  <c r="C72" i="119"/>
  <c r="D71" i="119"/>
  <c r="C71" i="119"/>
  <c r="D70" i="119"/>
  <c r="C70" i="119"/>
  <c r="D69" i="119"/>
  <c r="C69" i="119"/>
  <c r="D68" i="119"/>
  <c r="C68" i="119"/>
  <c r="D67" i="119"/>
  <c r="C67" i="119"/>
  <c r="D66" i="119"/>
  <c r="C66" i="119"/>
  <c r="D65" i="119"/>
  <c r="C65" i="119"/>
  <c r="D64" i="119"/>
  <c r="C64" i="119"/>
  <c r="D60" i="119"/>
  <c r="C60" i="119"/>
  <c r="D59" i="119"/>
  <c r="C59" i="119"/>
  <c r="D58" i="119"/>
  <c r="C58" i="119"/>
  <c r="D57" i="119"/>
  <c r="C57" i="119"/>
  <c r="D56" i="119"/>
  <c r="C56" i="119"/>
  <c r="D55" i="119"/>
  <c r="C55" i="119"/>
  <c r="D54" i="119"/>
  <c r="C54" i="119"/>
  <c r="D53" i="119"/>
  <c r="C53" i="119"/>
  <c r="D52" i="119"/>
  <c r="C52" i="119"/>
  <c r="D51" i="119"/>
  <c r="C51" i="119"/>
  <c r="D50" i="119"/>
  <c r="C50" i="119"/>
  <c r="D49" i="119"/>
  <c r="C49" i="119"/>
  <c r="D48" i="119"/>
  <c r="C48" i="119"/>
  <c r="D47" i="119"/>
  <c r="C47" i="119"/>
  <c r="D46" i="119"/>
  <c r="C46" i="119"/>
  <c r="D45" i="119"/>
  <c r="C45" i="119"/>
  <c r="D44" i="119"/>
  <c r="C44" i="119"/>
  <c r="D43" i="119"/>
  <c r="C43" i="119"/>
  <c r="D42" i="119"/>
  <c r="C42" i="119"/>
  <c r="D41" i="119"/>
  <c r="C41" i="119"/>
  <c r="D40" i="119"/>
  <c r="C40" i="119"/>
  <c r="D39" i="119"/>
  <c r="C39" i="119"/>
  <c r="D38" i="119"/>
  <c r="C38" i="119"/>
  <c r="D37" i="119"/>
  <c r="C37" i="119"/>
  <c r="D36" i="119"/>
  <c r="C36" i="119"/>
  <c r="D35" i="119"/>
  <c r="C35" i="119"/>
  <c r="D34" i="119"/>
  <c r="C34" i="119"/>
  <c r="D33" i="119"/>
  <c r="C33" i="119"/>
  <c r="D32" i="119"/>
  <c r="C32" i="119"/>
  <c r="D31" i="119"/>
  <c r="C31" i="119"/>
  <c r="D30" i="119"/>
  <c r="C30" i="119"/>
  <c r="D29" i="119"/>
  <c r="C29" i="119"/>
  <c r="D28" i="119"/>
  <c r="C28" i="119"/>
  <c r="D27" i="119"/>
  <c r="C27" i="119"/>
  <c r="D26" i="119"/>
  <c r="C26" i="119"/>
  <c r="D25" i="119"/>
  <c r="C25" i="119"/>
  <c r="D20" i="119"/>
  <c r="C20" i="119"/>
  <c r="D19" i="119"/>
  <c r="C19" i="119"/>
  <c r="D18" i="119"/>
  <c r="C18" i="119"/>
  <c r="D17" i="119"/>
  <c r="C17" i="119"/>
  <c r="D16" i="119"/>
  <c r="C16" i="119"/>
  <c r="D15" i="119"/>
  <c r="C15" i="119"/>
  <c r="D14" i="119"/>
  <c r="C14" i="119"/>
  <c r="D13" i="119"/>
  <c r="C13" i="119"/>
  <c r="D12" i="119"/>
  <c r="C12" i="119"/>
  <c r="D11" i="119"/>
  <c r="C11" i="119"/>
  <c r="C79" i="119" l="1"/>
  <c r="D79" i="119"/>
  <c r="D93" i="119"/>
  <c r="D119" i="119"/>
  <c r="D161" i="119"/>
  <c r="C161" i="119"/>
  <c r="C197" i="119"/>
  <c r="D111" i="119"/>
  <c r="C111" i="119"/>
  <c r="C206" i="119"/>
  <c r="C228" i="119"/>
  <c r="C21" i="119"/>
  <c r="D21" i="119"/>
  <c r="C102" i="119"/>
  <c r="C119" i="119"/>
  <c r="D197" i="119"/>
  <c r="D206" i="119"/>
  <c r="C93" i="119"/>
  <c r="D102" i="119"/>
  <c r="D61" i="119"/>
  <c r="C61" i="119"/>
  <c r="C208" i="119" l="1"/>
  <c r="D208" i="119"/>
  <c r="D215" i="119" s="1"/>
  <c r="C212" i="119" l="1"/>
  <c r="C215" i="119"/>
  <c r="G243" i="21"/>
  <c r="F161" i="21"/>
  <c r="D228" i="21" l="1"/>
  <c r="C227" i="21"/>
  <c r="C226" i="21"/>
  <c r="C225" i="21"/>
  <c r="C224" i="21"/>
  <c r="C223" i="21"/>
  <c r="C222" i="21"/>
  <c r="C221" i="21"/>
  <c r="C220" i="21"/>
  <c r="C219" i="21"/>
  <c r="C211" i="21"/>
  <c r="D205" i="21"/>
  <c r="C205" i="21"/>
  <c r="D204" i="21"/>
  <c r="C204" i="21"/>
  <c r="D203" i="21"/>
  <c r="C203" i="21"/>
  <c r="D202" i="21"/>
  <c r="C202" i="21"/>
  <c r="D201" i="21"/>
  <c r="C201" i="21"/>
  <c r="D200" i="21"/>
  <c r="C200" i="21"/>
  <c r="D196" i="21"/>
  <c r="C196" i="21"/>
  <c r="D195" i="21"/>
  <c r="C195" i="21"/>
  <c r="D194" i="21"/>
  <c r="C194" i="21"/>
  <c r="D193" i="21"/>
  <c r="C193" i="21"/>
  <c r="D192" i="21"/>
  <c r="C192" i="21"/>
  <c r="D191" i="21"/>
  <c r="C191" i="21"/>
  <c r="D190" i="21"/>
  <c r="C190" i="21"/>
  <c r="D189" i="21"/>
  <c r="C189" i="21"/>
  <c r="D188" i="21"/>
  <c r="C188" i="21"/>
  <c r="D187" i="21"/>
  <c r="C187" i="21"/>
  <c r="D186" i="21"/>
  <c r="C186" i="21"/>
  <c r="D185" i="21"/>
  <c r="C185" i="21"/>
  <c r="D184" i="21"/>
  <c r="C184" i="21"/>
  <c r="D183" i="21"/>
  <c r="C183" i="21"/>
  <c r="D182" i="21"/>
  <c r="C182" i="21"/>
  <c r="D181" i="21"/>
  <c r="C181" i="21"/>
  <c r="D180" i="21"/>
  <c r="C180" i="21"/>
  <c r="D179" i="21"/>
  <c r="C179" i="21"/>
  <c r="D178" i="21"/>
  <c r="C178" i="21"/>
  <c r="D177" i="21"/>
  <c r="C177" i="21"/>
  <c r="D176" i="21"/>
  <c r="C176" i="21"/>
  <c r="D175" i="21"/>
  <c r="C175" i="21"/>
  <c r="D174" i="21"/>
  <c r="C174" i="21"/>
  <c r="D173" i="21"/>
  <c r="C173" i="21"/>
  <c r="D172" i="21"/>
  <c r="C172" i="21"/>
  <c r="D171" i="21"/>
  <c r="C171" i="21"/>
  <c r="D170" i="21"/>
  <c r="C170" i="21"/>
  <c r="D169" i="21"/>
  <c r="C169" i="21"/>
  <c r="D168" i="21"/>
  <c r="C168" i="21"/>
  <c r="D167" i="21"/>
  <c r="C167" i="21"/>
  <c r="D166" i="21"/>
  <c r="C166" i="21"/>
  <c r="D165" i="21"/>
  <c r="C165" i="21"/>
  <c r="D164" i="21"/>
  <c r="C164" i="21"/>
  <c r="D160" i="21"/>
  <c r="C160" i="21"/>
  <c r="D159" i="21"/>
  <c r="C159" i="21"/>
  <c r="D158" i="21"/>
  <c r="C158" i="21"/>
  <c r="D157" i="21"/>
  <c r="C157" i="21"/>
  <c r="D156" i="21"/>
  <c r="C156" i="21"/>
  <c r="D155" i="21"/>
  <c r="C155" i="21"/>
  <c r="D153" i="21"/>
  <c r="C153" i="21"/>
  <c r="D152" i="21"/>
  <c r="C152" i="21"/>
  <c r="D151" i="21"/>
  <c r="C151" i="21"/>
  <c r="D150" i="21"/>
  <c r="C150" i="21"/>
  <c r="D149" i="21"/>
  <c r="C149" i="21"/>
  <c r="D148" i="21"/>
  <c r="C148" i="21"/>
  <c r="D147" i="21"/>
  <c r="C147" i="21"/>
  <c r="D146" i="21"/>
  <c r="C146" i="21"/>
  <c r="D145" i="21"/>
  <c r="C145" i="21"/>
  <c r="D143" i="21"/>
  <c r="C143" i="21"/>
  <c r="D142" i="21"/>
  <c r="C142" i="21"/>
  <c r="D141" i="21"/>
  <c r="C141" i="21"/>
  <c r="D140" i="21"/>
  <c r="C140" i="21"/>
  <c r="D138" i="21"/>
  <c r="C138" i="21"/>
  <c r="D137" i="21"/>
  <c r="C137" i="21"/>
  <c r="D136" i="21"/>
  <c r="C136" i="21"/>
  <c r="D135" i="21"/>
  <c r="C135" i="21"/>
  <c r="D133" i="21"/>
  <c r="C133" i="21"/>
  <c r="D132" i="21"/>
  <c r="C132" i="21"/>
  <c r="D131" i="21"/>
  <c r="C131" i="21"/>
  <c r="D130" i="21"/>
  <c r="C130" i="21"/>
  <c r="D129" i="21"/>
  <c r="C129" i="21"/>
  <c r="D127" i="21"/>
  <c r="C127" i="21"/>
  <c r="D126" i="21"/>
  <c r="C126" i="21"/>
  <c r="D125" i="21"/>
  <c r="C125" i="21"/>
  <c r="D124" i="21"/>
  <c r="C124" i="21"/>
  <c r="D123" i="21"/>
  <c r="C123" i="21"/>
  <c r="D118" i="21"/>
  <c r="C118" i="21"/>
  <c r="D117" i="21"/>
  <c r="C117" i="21"/>
  <c r="D116" i="21"/>
  <c r="C116" i="21"/>
  <c r="D115" i="21"/>
  <c r="C115" i="21"/>
  <c r="D114" i="21"/>
  <c r="C114" i="21"/>
  <c r="D110" i="21"/>
  <c r="C110" i="21"/>
  <c r="D109" i="21"/>
  <c r="C109" i="21"/>
  <c r="D108" i="21"/>
  <c r="C108" i="21"/>
  <c r="D107" i="21"/>
  <c r="C107" i="21"/>
  <c r="D106" i="21"/>
  <c r="C106" i="21"/>
  <c r="D105" i="21"/>
  <c r="C105" i="21"/>
  <c r="D101" i="21"/>
  <c r="C101" i="21"/>
  <c r="D100" i="21"/>
  <c r="C100" i="21"/>
  <c r="D99" i="21"/>
  <c r="C99" i="21"/>
  <c r="D98" i="21"/>
  <c r="C98" i="21"/>
  <c r="D97" i="21"/>
  <c r="C97" i="21"/>
  <c r="D96" i="21"/>
  <c r="C96" i="21"/>
  <c r="D92" i="21"/>
  <c r="C92" i="21"/>
  <c r="D91" i="21"/>
  <c r="C91" i="21"/>
  <c r="D90" i="21"/>
  <c r="C90" i="21"/>
  <c r="D89" i="21"/>
  <c r="C89" i="21"/>
  <c r="D88" i="21"/>
  <c r="C88" i="21"/>
  <c r="D87" i="21"/>
  <c r="C87" i="21"/>
  <c r="D86" i="21"/>
  <c r="C86" i="21"/>
  <c r="D85" i="21"/>
  <c r="C85" i="21"/>
  <c r="D84" i="21"/>
  <c r="C84" i="21"/>
  <c r="D83" i="21"/>
  <c r="C83" i="21"/>
  <c r="D82" i="21"/>
  <c r="C82" i="21"/>
  <c r="D78" i="21"/>
  <c r="C78" i="21"/>
  <c r="D77" i="21"/>
  <c r="C77" i="21"/>
  <c r="D76" i="21"/>
  <c r="C76" i="21"/>
  <c r="D75" i="21"/>
  <c r="C75" i="21"/>
  <c r="D74" i="21"/>
  <c r="C74" i="21"/>
  <c r="D73" i="21"/>
  <c r="C73" i="21"/>
  <c r="D72" i="21"/>
  <c r="C72" i="21"/>
  <c r="D71" i="21"/>
  <c r="C71" i="21"/>
  <c r="D70" i="21"/>
  <c r="C70" i="21"/>
  <c r="D69" i="21"/>
  <c r="C69" i="21"/>
  <c r="D68" i="21"/>
  <c r="C68" i="21"/>
  <c r="D67" i="21"/>
  <c r="C67" i="21"/>
  <c r="D66" i="21"/>
  <c r="C66" i="21"/>
  <c r="D65" i="21"/>
  <c r="C65" i="21"/>
  <c r="D64" i="21"/>
  <c r="C64" i="21"/>
  <c r="D60" i="21"/>
  <c r="C60" i="21"/>
  <c r="D59" i="21"/>
  <c r="C59" i="21"/>
  <c r="D58" i="21"/>
  <c r="C58" i="21"/>
  <c r="D57" i="21"/>
  <c r="C57" i="21"/>
  <c r="D56" i="21"/>
  <c r="C56" i="21"/>
  <c r="D55" i="21"/>
  <c r="C55" i="21"/>
  <c r="D54" i="21"/>
  <c r="C54" i="21"/>
  <c r="D53" i="21"/>
  <c r="C53" i="21"/>
  <c r="D52" i="21"/>
  <c r="C52" i="21"/>
  <c r="D51" i="21"/>
  <c r="C51" i="21"/>
  <c r="D50" i="21"/>
  <c r="C50" i="21"/>
  <c r="D49" i="21"/>
  <c r="C49" i="21"/>
  <c r="D48" i="21"/>
  <c r="C48" i="21"/>
  <c r="D47" i="21"/>
  <c r="C47" i="21"/>
  <c r="D46" i="21"/>
  <c r="C46" i="21"/>
  <c r="D45" i="21"/>
  <c r="C45" i="21"/>
  <c r="D44" i="21"/>
  <c r="C44" i="21"/>
  <c r="D43" i="21"/>
  <c r="C43" i="21"/>
  <c r="D42" i="21"/>
  <c r="C42" i="21"/>
  <c r="D41" i="21"/>
  <c r="C41" i="21"/>
  <c r="D40" i="21"/>
  <c r="C40" i="21"/>
  <c r="D39" i="21"/>
  <c r="C39" i="21"/>
  <c r="D38" i="21"/>
  <c r="C38" i="21"/>
  <c r="D37" i="21"/>
  <c r="C37" i="21"/>
  <c r="D36" i="21"/>
  <c r="C36" i="21"/>
  <c r="D35" i="21"/>
  <c r="C35" i="21"/>
  <c r="D34" i="21"/>
  <c r="C34" i="21"/>
  <c r="D33" i="21"/>
  <c r="C33" i="21"/>
  <c r="D32" i="21"/>
  <c r="C32" i="21"/>
  <c r="D31" i="21"/>
  <c r="C31" i="21"/>
  <c r="D30" i="21"/>
  <c r="C30" i="21"/>
  <c r="D29" i="21"/>
  <c r="C29" i="21"/>
  <c r="D28" i="21"/>
  <c r="C28" i="21"/>
  <c r="D27" i="21"/>
  <c r="C27" i="21"/>
  <c r="D26" i="21"/>
  <c r="C26" i="21"/>
  <c r="D25" i="21"/>
  <c r="C25" i="21"/>
  <c r="D20" i="21"/>
  <c r="C20" i="21"/>
  <c r="D19" i="21"/>
  <c r="C19" i="21"/>
  <c r="D18" i="21"/>
  <c r="C18" i="21"/>
  <c r="D17" i="21"/>
  <c r="C17" i="21"/>
  <c r="D16" i="21"/>
  <c r="C16" i="21"/>
  <c r="D15" i="21"/>
  <c r="C15" i="21"/>
  <c r="D14" i="21"/>
  <c r="C14" i="21"/>
  <c r="D13" i="21"/>
  <c r="C13" i="21"/>
  <c r="D12" i="21"/>
  <c r="C12" i="21"/>
  <c r="D11" i="21"/>
  <c r="C11" i="21"/>
  <c r="D197" i="21" l="1"/>
  <c r="D206" i="21"/>
  <c r="C21" i="21"/>
  <c r="C102" i="21"/>
  <c r="D21" i="21"/>
  <c r="D102" i="21"/>
  <c r="D93" i="21"/>
  <c r="D119" i="21"/>
  <c r="C119" i="21"/>
  <c r="C197" i="21"/>
  <c r="C206" i="21"/>
  <c r="D79" i="21"/>
  <c r="C161" i="21"/>
  <c r="C79" i="21"/>
  <c r="C111" i="21"/>
  <c r="D161" i="21"/>
  <c r="C228" i="21"/>
  <c r="C93" i="21"/>
  <c r="D111" i="21"/>
  <c r="D61" i="21"/>
  <c r="C61" i="21"/>
  <c r="C208" i="21" l="1"/>
  <c r="D208" i="21"/>
  <c r="D215" i="21" s="1"/>
  <c r="C212" i="21" l="1"/>
  <c r="C215" i="21"/>
  <c r="G243" i="58"/>
  <c r="G242" i="58"/>
  <c r="G241" i="58"/>
  <c r="G232" i="58"/>
  <c r="G231" i="58"/>
  <c r="C238" i="58" l="1"/>
  <c r="C237" i="58"/>
  <c r="C236" i="58"/>
  <c r="C235" i="58"/>
  <c r="C232" i="58"/>
  <c r="C231" i="58"/>
  <c r="D228" i="58"/>
  <c r="C227" i="58"/>
  <c r="C226" i="58"/>
  <c r="C225" i="58"/>
  <c r="C224" i="58"/>
  <c r="C223" i="58"/>
  <c r="C222" i="58"/>
  <c r="C221" i="58"/>
  <c r="C220" i="58"/>
  <c r="C219" i="58"/>
  <c r="C211" i="58"/>
  <c r="D205" i="58"/>
  <c r="C205" i="58"/>
  <c r="D204" i="58"/>
  <c r="C204" i="58"/>
  <c r="D203" i="58"/>
  <c r="C203" i="58"/>
  <c r="D202" i="58"/>
  <c r="C202" i="58"/>
  <c r="D201" i="58"/>
  <c r="C201" i="58"/>
  <c r="D200" i="58"/>
  <c r="C200" i="58"/>
  <c r="D196" i="58"/>
  <c r="C196" i="58"/>
  <c r="D195" i="58"/>
  <c r="C195" i="58"/>
  <c r="D194" i="58"/>
  <c r="C194" i="58"/>
  <c r="D193" i="58"/>
  <c r="C193" i="58"/>
  <c r="D192" i="58"/>
  <c r="C192" i="58"/>
  <c r="D191" i="58"/>
  <c r="C191" i="58"/>
  <c r="D190" i="58"/>
  <c r="C190" i="58"/>
  <c r="D189" i="58"/>
  <c r="C189" i="58"/>
  <c r="D188" i="58"/>
  <c r="C188" i="58"/>
  <c r="D187" i="58"/>
  <c r="C187" i="58"/>
  <c r="D186" i="58"/>
  <c r="C186" i="58"/>
  <c r="D185" i="58"/>
  <c r="C185" i="58"/>
  <c r="D184" i="58"/>
  <c r="C184" i="58"/>
  <c r="D183" i="58"/>
  <c r="C183" i="58"/>
  <c r="D182" i="58"/>
  <c r="C182" i="58"/>
  <c r="D181" i="58"/>
  <c r="C181" i="58"/>
  <c r="D180" i="58"/>
  <c r="C180" i="58"/>
  <c r="D179" i="58"/>
  <c r="C179" i="58"/>
  <c r="D178" i="58"/>
  <c r="C178" i="58"/>
  <c r="D177" i="58"/>
  <c r="C177" i="58"/>
  <c r="D176" i="58"/>
  <c r="C176" i="58"/>
  <c r="D175" i="58"/>
  <c r="C175" i="58"/>
  <c r="D174" i="58"/>
  <c r="C174" i="58"/>
  <c r="D173" i="58"/>
  <c r="C173" i="58"/>
  <c r="D172" i="58"/>
  <c r="C172" i="58"/>
  <c r="D171" i="58"/>
  <c r="C171" i="58"/>
  <c r="D170" i="58"/>
  <c r="C170" i="58"/>
  <c r="D169" i="58"/>
  <c r="C169" i="58"/>
  <c r="D168" i="58"/>
  <c r="C168" i="58"/>
  <c r="D167" i="58"/>
  <c r="C167" i="58"/>
  <c r="D166" i="58"/>
  <c r="C166" i="58"/>
  <c r="D165" i="58"/>
  <c r="C165" i="58"/>
  <c r="D164" i="58"/>
  <c r="C164" i="58"/>
  <c r="D160" i="58"/>
  <c r="C160" i="58"/>
  <c r="D159" i="58"/>
  <c r="C159" i="58"/>
  <c r="D158" i="58"/>
  <c r="C158" i="58"/>
  <c r="D157" i="58"/>
  <c r="C157" i="58"/>
  <c r="D156" i="58"/>
  <c r="C156" i="58"/>
  <c r="D155" i="58"/>
  <c r="C155" i="58"/>
  <c r="D153" i="58"/>
  <c r="C153" i="58"/>
  <c r="D152" i="58"/>
  <c r="C152" i="58"/>
  <c r="D151" i="58"/>
  <c r="C151" i="58"/>
  <c r="D150" i="58"/>
  <c r="C150" i="58"/>
  <c r="D149" i="58"/>
  <c r="C149" i="58"/>
  <c r="D148" i="58"/>
  <c r="C148" i="58"/>
  <c r="D147" i="58"/>
  <c r="C147" i="58"/>
  <c r="D146" i="58"/>
  <c r="C146" i="58"/>
  <c r="D145" i="58"/>
  <c r="C145" i="58"/>
  <c r="D143" i="58"/>
  <c r="C143" i="58"/>
  <c r="D142" i="58"/>
  <c r="C142" i="58"/>
  <c r="D141" i="58"/>
  <c r="C141" i="58"/>
  <c r="D140" i="58"/>
  <c r="C140" i="58"/>
  <c r="D138" i="58"/>
  <c r="C138" i="58"/>
  <c r="D137" i="58"/>
  <c r="C137" i="58"/>
  <c r="D136" i="58"/>
  <c r="C136" i="58"/>
  <c r="D135" i="58"/>
  <c r="C135" i="58"/>
  <c r="D133" i="58"/>
  <c r="C133" i="58"/>
  <c r="D132" i="58"/>
  <c r="C132" i="58"/>
  <c r="D131" i="58"/>
  <c r="C131" i="58"/>
  <c r="D130" i="58"/>
  <c r="C130" i="58"/>
  <c r="D129" i="58"/>
  <c r="C129" i="58"/>
  <c r="D127" i="58"/>
  <c r="C127" i="58"/>
  <c r="D126" i="58"/>
  <c r="C126" i="58"/>
  <c r="D125" i="58"/>
  <c r="C125" i="58"/>
  <c r="D124" i="58"/>
  <c r="C124" i="58"/>
  <c r="D123" i="58"/>
  <c r="C123" i="58"/>
  <c r="D118" i="58"/>
  <c r="C118" i="58"/>
  <c r="D117" i="58"/>
  <c r="C117" i="58"/>
  <c r="D116" i="58"/>
  <c r="C116" i="58"/>
  <c r="D115" i="58"/>
  <c r="C115" i="58"/>
  <c r="D114" i="58"/>
  <c r="C114" i="58"/>
  <c r="D110" i="58"/>
  <c r="C110" i="58"/>
  <c r="D109" i="58"/>
  <c r="C109" i="58"/>
  <c r="D108" i="58"/>
  <c r="C108" i="58"/>
  <c r="D107" i="58"/>
  <c r="C107" i="58"/>
  <c r="D106" i="58"/>
  <c r="C106" i="58"/>
  <c r="D105" i="58"/>
  <c r="C105" i="58"/>
  <c r="D101" i="58"/>
  <c r="C101" i="58"/>
  <c r="D100" i="58"/>
  <c r="C100" i="58"/>
  <c r="D99" i="58"/>
  <c r="C99" i="58"/>
  <c r="D98" i="58"/>
  <c r="C98" i="58"/>
  <c r="D97" i="58"/>
  <c r="C97" i="58"/>
  <c r="D96" i="58"/>
  <c r="C96" i="58"/>
  <c r="D92" i="58"/>
  <c r="C92" i="58"/>
  <c r="D91" i="58"/>
  <c r="C91" i="58"/>
  <c r="D90" i="58"/>
  <c r="C90" i="58"/>
  <c r="D89" i="58"/>
  <c r="C89" i="58"/>
  <c r="D88" i="58"/>
  <c r="C88" i="58"/>
  <c r="D87" i="58"/>
  <c r="C87" i="58"/>
  <c r="D86" i="58"/>
  <c r="C86" i="58"/>
  <c r="D85" i="58"/>
  <c r="C85" i="58"/>
  <c r="D84" i="58"/>
  <c r="C84" i="58"/>
  <c r="D83" i="58"/>
  <c r="C83" i="58"/>
  <c r="D82" i="58"/>
  <c r="C82" i="58"/>
  <c r="D78" i="58"/>
  <c r="C78" i="58"/>
  <c r="D77" i="58"/>
  <c r="C77" i="58"/>
  <c r="D76" i="58"/>
  <c r="C76" i="58"/>
  <c r="D75" i="58"/>
  <c r="C75" i="58"/>
  <c r="D74" i="58"/>
  <c r="C74" i="58"/>
  <c r="D73" i="58"/>
  <c r="C73" i="58"/>
  <c r="D72" i="58"/>
  <c r="C72" i="58"/>
  <c r="D71" i="58"/>
  <c r="C71" i="58"/>
  <c r="D70" i="58"/>
  <c r="C70" i="58"/>
  <c r="D69" i="58"/>
  <c r="C69" i="58"/>
  <c r="D68" i="58"/>
  <c r="C68" i="58"/>
  <c r="D67" i="58"/>
  <c r="C67" i="58"/>
  <c r="D66" i="58"/>
  <c r="C66" i="58"/>
  <c r="D65" i="58"/>
  <c r="C65" i="58"/>
  <c r="D64" i="58"/>
  <c r="C64" i="58"/>
  <c r="D60" i="58"/>
  <c r="C60" i="58"/>
  <c r="D59" i="58"/>
  <c r="C59" i="58"/>
  <c r="D58" i="58"/>
  <c r="C58" i="58"/>
  <c r="D57" i="58"/>
  <c r="C57" i="58"/>
  <c r="D56" i="58"/>
  <c r="C56" i="58"/>
  <c r="D55" i="58"/>
  <c r="C55" i="58"/>
  <c r="D54" i="58"/>
  <c r="C54" i="58"/>
  <c r="D53" i="58"/>
  <c r="C53" i="58"/>
  <c r="D52" i="58"/>
  <c r="C52" i="58"/>
  <c r="D51" i="58"/>
  <c r="C51" i="58"/>
  <c r="D50" i="58"/>
  <c r="C50" i="58"/>
  <c r="D49" i="58"/>
  <c r="C49" i="58"/>
  <c r="D48" i="58"/>
  <c r="C48" i="58"/>
  <c r="D47" i="58"/>
  <c r="C47" i="58"/>
  <c r="D46" i="58"/>
  <c r="C46" i="58"/>
  <c r="D45" i="58"/>
  <c r="C45" i="58"/>
  <c r="D44" i="58"/>
  <c r="C44" i="58"/>
  <c r="D43" i="58"/>
  <c r="C43" i="58"/>
  <c r="D42" i="58"/>
  <c r="C42" i="58"/>
  <c r="D41" i="58"/>
  <c r="C41" i="58"/>
  <c r="D40" i="58"/>
  <c r="C40" i="58"/>
  <c r="D39" i="58"/>
  <c r="C39" i="58"/>
  <c r="D38" i="58"/>
  <c r="C38" i="58"/>
  <c r="D37" i="58"/>
  <c r="C37" i="58"/>
  <c r="D36" i="58"/>
  <c r="C36" i="58"/>
  <c r="D35" i="58"/>
  <c r="C35" i="58"/>
  <c r="D34" i="58"/>
  <c r="C34" i="58"/>
  <c r="D33" i="58"/>
  <c r="C33" i="58"/>
  <c r="D32" i="58"/>
  <c r="C32" i="58"/>
  <c r="D31" i="58"/>
  <c r="C31" i="58"/>
  <c r="D30" i="58"/>
  <c r="C30" i="58"/>
  <c r="D29" i="58"/>
  <c r="C29" i="58"/>
  <c r="D28" i="58"/>
  <c r="C28" i="58"/>
  <c r="D27" i="58"/>
  <c r="C27" i="58"/>
  <c r="D26" i="58"/>
  <c r="C26" i="58"/>
  <c r="D25" i="58"/>
  <c r="C25" i="58"/>
  <c r="D20" i="58"/>
  <c r="C20" i="58"/>
  <c r="D19" i="58"/>
  <c r="C19" i="58"/>
  <c r="D18" i="58"/>
  <c r="C18" i="58"/>
  <c r="D17" i="58"/>
  <c r="C17" i="58"/>
  <c r="D16" i="58"/>
  <c r="C16" i="58"/>
  <c r="D15" i="58"/>
  <c r="C15" i="58"/>
  <c r="D14" i="58"/>
  <c r="C14" i="58"/>
  <c r="D13" i="58"/>
  <c r="C13" i="58"/>
  <c r="D12" i="58"/>
  <c r="C12" i="58"/>
  <c r="D11" i="58"/>
  <c r="C11" i="58"/>
  <c r="D197" i="58" l="1"/>
  <c r="C111" i="58"/>
  <c r="D111" i="58"/>
  <c r="C79" i="58"/>
  <c r="D161" i="58"/>
  <c r="C228" i="58"/>
  <c r="D79" i="58"/>
  <c r="C161" i="58"/>
  <c r="C197" i="58"/>
  <c r="D21" i="58"/>
  <c r="C21" i="58"/>
  <c r="C93" i="58"/>
  <c r="C102" i="58"/>
  <c r="D119" i="58"/>
  <c r="D206" i="58"/>
  <c r="D102" i="58"/>
  <c r="C119" i="58"/>
  <c r="C206" i="58"/>
  <c r="D93" i="58"/>
  <c r="C61" i="58"/>
  <c r="D61" i="58"/>
  <c r="D208" i="58" l="1"/>
  <c r="D215" i="58" s="1"/>
  <c r="C208" i="58"/>
  <c r="C212" i="58" l="1"/>
  <c r="C215" i="58"/>
  <c r="G244" i="25"/>
  <c r="G243" i="25"/>
  <c r="G242" i="25"/>
  <c r="G241" i="25"/>
  <c r="C238" i="25"/>
  <c r="C237" i="25"/>
  <c r="C236" i="25"/>
  <c r="C235" i="25"/>
  <c r="C233" i="25"/>
  <c r="C232" i="25"/>
  <c r="C231" i="25"/>
  <c r="D228" i="25"/>
  <c r="C227" i="25"/>
  <c r="C226" i="25"/>
  <c r="C225" i="25"/>
  <c r="C224" i="25"/>
  <c r="C223" i="25"/>
  <c r="C222" i="25"/>
  <c r="C221" i="25"/>
  <c r="C220" i="25"/>
  <c r="C219" i="25"/>
  <c r="C211" i="25"/>
  <c r="D205" i="25"/>
  <c r="C205" i="25"/>
  <c r="D204" i="25"/>
  <c r="C204" i="25"/>
  <c r="D203" i="25"/>
  <c r="C203" i="25"/>
  <c r="D202" i="25"/>
  <c r="C202" i="25"/>
  <c r="D201" i="25"/>
  <c r="C201" i="25"/>
  <c r="D200" i="25"/>
  <c r="C200" i="25"/>
  <c r="D196" i="25"/>
  <c r="C196" i="25"/>
  <c r="D195" i="25"/>
  <c r="C195" i="25"/>
  <c r="D194" i="25"/>
  <c r="C194" i="25"/>
  <c r="D193" i="25"/>
  <c r="C193" i="25"/>
  <c r="D192" i="25"/>
  <c r="C192" i="25"/>
  <c r="D191" i="25"/>
  <c r="C191" i="25"/>
  <c r="D190" i="25"/>
  <c r="C190" i="25"/>
  <c r="D189" i="25"/>
  <c r="C189" i="25"/>
  <c r="D188" i="25"/>
  <c r="C188" i="25"/>
  <c r="D187" i="25"/>
  <c r="C187" i="25"/>
  <c r="D186" i="25"/>
  <c r="C186" i="25"/>
  <c r="D185" i="25"/>
  <c r="C185" i="25"/>
  <c r="D184" i="25"/>
  <c r="C184" i="25"/>
  <c r="D183" i="25"/>
  <c r="C183" i="25"/>
  <c r="D182" i="25"/>
  <c r="C182" i="25"/>
  <c r="D181" i="25"/>
  <c r="C181" i="25"/>
  <c r="D180" i="25"/>
  <c r="C180" i="25"/>
  <c r="D179" i="25"/>
  <c r="C179" i="25"/>
  <c r="D178" i="25"/>
  <c r="C178" i="25"/>
  <c r="D177" i="25"/>
  <c r="C177" i="25"/>
  <c r="D176" i="25"/>
  <c r="C176" i="25"/>
  <c r="D175" i="25"/>
  <c r="C175" i="25"/>
  <c r="D174" i="25"/>
  <c r="C174" i="25"/>
  <c r="D173" i="25"/>
  <c r="C173" i="25"/>
  <c r="D172" i="25"/>
  <c r="C172" i="25"/>
  <c r="D171" i="25"/>
  <c r="C171" i="25"/>
  <c r="D170" i="25"/>
  <c r="C170" i="25"/>
  <c r="D169" i="25"/>
  <c r="C169" i="25"/>
  <c r="D168" i="25"/>
  <c r="C168" i="25"/>
  <c r="D167" i="25"/>
  <c r="C167" i="25"/>
  <c r="D166" i="25"/>
  <c r="C166" i="25"/>
  <c r="D165" i="25"/>
  <c r="C165" i="25"/>
  <c r="D164" i="25"/>
  <c r="C164" i="25"/>
  <c r="D160" i="25"/>
  <c r="C160" i="25"/>
  <c r="D159" i="25"/>
  <c r="C159" i="25"/>
  <c r="D158" i="25"/>
  <c r="C158" i="25"/>
  <c r="D157" i="25"/>
  <c r="C157" i="25"/>
  <c r="D156" i="25"/>
  <c r="C156" i="25"/>
  <c r="D155" i="25"/>
  <c r="C155" i="25"/>
  <c r="D153" i="25"/>
  <c r="C153" i="25"/>
  <c r="D152" i="25"/>
  <c r="C152" i="25"/>
  <c r="D151" i="25"/>
  <c r="C151" i="25"/>
  <c r="D150" i="25"/>
  <c r="C150" i="25"/>
  <c r="D149" i="25"/>
  <c r="C149" i="25"/>
  <c r="D148" i="25"/>
  <c r="C148" i="25"/>
  <c r="D147" i="25"/>
  <c r="C147" i="25"/>
  <c r="D146" i="25"/>
  <c r="C146" i="25"/>
  <c r="D145" i="25"/>
  <c r="C145" i="25"/>
  <c r="D143" i="25"/>
  <c r="C143" i="25"/>
  <c r="D142" i="25"/>
  <c r="C142" i="25"/>
  <c r="D141" i="25"/>
  <c r="C141" i="25"/>
  <c r="D140" i="25"/>
  <c r="C140" i="25"/>
  <c r="D138" i="25"/>
  <c r="C138" i="25"/>
  <c r="D137" i="25"/>
  <c r="C137" i="25"/>
  <c r="D136" i="25"/>
  <c r="C136" i="25"/>
  <c r="D135" i="25"/>
  <c r="C135" i="25"/>
  <c r="D133" i="25"/>
  <c r="C133" i="25"/>
  <c r="D132" i="25"/>
  <c r="C132" i="25"/>
  <c r="D131" i="25"/>
  <c r="C131" i="25"/>
  <c r="D130" i="25"/>
  <c r="C130" i="25"/>
  <c r="D129" i="25"/>
  <c r="C129" i="25"/>
  <c r="D127" i="25"/>
  <c r="C127" i="25"/>
  <c r="D126" i="25"/>
  <c r="C126" i="25"/>
  <c r="D125" i="25"/>
  <c r="C125" i="25"/>
  <c r="D124" i="25"/>
  <c r="C124" i="25"/>
  <c r="D123" i="25"/>
  <c r="C123" i="25"/>
  <c r="D118" i="25"/>
  <c r="C118" i="25"/>
  <c r="D117" i="25"/>
  <c r="C117" i="25"/>
  <c r="D116" i="25"/>
  <c r="C116" i="25"/>
  <c r="D115" i="25"/>
  <c r="C115" i="25"/>
  <c r="D114" i="25"/>
  <c r="C114" i="25"/>
  <c r="D110" i="25"/>
  <c r="C110" i="25"/>
  <c r="D109" i="25"/>
  <c r="C109" i="25"/>
  <c r="D108" i="25"/>
  <c r="C108" i="25"/>
  <c r="D107" i="25"/>
  <c r="C107" i="25"/>
  <c r="D106" i="25"/>
  <c r="C106" i="25"/>
  <c r="D105" i="25"/>
  <c r="C105" i="25"/>
  <c r="D101" i="25"/>
  <c r="C101" i="25"/>
  <c r="D100" i="25"/>
  <c r="C100" i="25"/>
  <c r="D99" i="25"/>
  <c r="C99" i="25"/>
  <c r="D98" i="25"/>
  <c r="C98" i="25"/>
  <c r="D97" i="25"/>
  <c r="C97" i="25"/>
  <c r="D96" i="25"/>
  <c r="C96" i="25"/>
  <c r="D92" i="25"/>
  <c r="C92" i="25"/>
  <c r="D91" i="25"/>
  <c r="C91" i="25"/>
  <c r="D90" i="25"/>
  <c r="C90" i="25"/>
  <c r="D89" i="25"/>
  <c r="C89" i="25"/>
  <c r="D88" i="25"/>
  <c r="C88" i="25"/>
  <c r="D87" i="25"/>
  <c r="C87" i="25"/>
  <c r="D86" i="25"/>
  <c r="C86" i="25"/>
  <c r="D85" i="25"/>
  <c r="C85" i="25"/>
  <c r="D84" i="25"/>
  <c r="C84" i="25"/>
  <c r="D83" i="25"/>
  <c r="C83" i="25"/>
  <c r="D82" i="25"/>
  <c r="C82" i="25"/>
  <c r="D78" i="25"/>
  <c r="C78" i="25"/>
  <c r="D77" i="25"/>
  <c r="C77" i="25"/>
  <c r="D76" i="25"/>
  <c r="C76" i="25"/>
  <c r="D75" i="25"/>
  <c r="C75" i="25"/>
  <c r="D74" i="25"/>
  <c r="C74" i="25"/>
  <c r="D73" i="25"/>
  <c r="C73" i="25"/>
  <c r="D72" i="25"/>
  <c r="C72" i="25"/>
  <c r="D71" i="25"/>
  <c r="C71" i="25"/>
  <c r="D70" i="25"/>
  <c r="C70" i="25"/>
  <c r="D69" i="25"/>
  <c r="C69" i="25"/>
  <c r="D68" i="25"/>
  <c r="C68" i="25"/>
  <c r="D67" i="25"/>
  <c r="C67" i="25"/>
  <c r="D66" i="25"/>
  <c r="C66" i="25"/>
  <c r="D65" i="25"/>
  <c r="C65" i="25"/>
  <c r="D64" i="25"/>
  <c r="C64" i="25"/>
  <c r="D60" i="25"/>
  <c r="C60" i="25"/>
  <c r="D59" i="25"/>
  <c r="C59" i="25"/>
  <c r="D58" i="25"/>
  <c r="C58" i="25"/>
  <c r="D57" i="25"/>
  <c r="C57" i="25"/>
  <c r="D56" i="25"/>
  <c r="C56" i="25"/>
  <c r="D55" i="25"/>
  <c r="C55" i="25"/>
  <c r="D54" i="25"/>
  <c r="C54" i="25"/>
  <c r="D53" i="25"/>
  <c r="C53" i="25"/>
  <c r="D52" i="25"/>
  <c r="C52" i="25"/>
  <c r="D51" i="25"/>
  <c r="C51" i="25"/>
  <c r="D50" i="25"/>
  <c r="C50" i="25"/>
  <c r="D49" i="25"/>
  <c r="C49" i="25"/>
  <c r="D48" i="25"/>
  <c r="C48" i="25"/>
  <c r="D47" i="25"/>
  <c r="C47" i="25"/>
  <c r="D46" i="25"/>
  <c r="C46" i="25"/>
  <c r="D45" i="25"/>
  <c r="C45" i="25"/>
  <c r="D44" i="25"/>
  <c r="C44" i="25"/>
  <c r="D43" i="25"/>
  <c r="C43" i="25"/>
  <c r="D42" i="25"/>
  <c r="C42" i="25"/>
  <c r="D41" i="25"/>
  <c r="C41" i="25"/>
  <c r="D40" i="25"/>
  <c r="C40" i="25"/>
  <c r="D39" i="25"/>
  <c r="C39" i="25"/>
  <c r="D38" i="25"/>
  <c r="C38" i="25"/>
  <c r="D37" i="25"/>
  <c r="C37" i="25"/>
  <c r="D36" i="25"/>
  <c r="C36" i="25"/>
  <c r="D35" i="25"/>
  <c r="C35" i="25"/>
  <c r="D34" i="25"/>
  <c r="C34" i="25"/>
  <c r="D33" i="25"/>
  <c r="C33" i="25"/>
  <c r="D32" i="25"/>
  <c r="C32" i="25"/>
  <c r="D31" i="25"/>
  <c r="C31" i="25"/>
  <c r="D30" i="25"/>
  <c r="C30" i="25"/>
  <c r="D29" i="25"/>
  <c r="C29" i="25"/>
  <c r="D28" i="25"/>
  <c r="C28" i="25"/>
  <c r="D27" i="25"/>
  <c r="C27" i="25"/>
  <c r="D26" i="25"/>
  <c r="C26" i="25"/>
  <c r="D25" i="25"/>
  <c r="C25" i="25"/>
  <c r="D20" i="25"/>
  <c r="C20" i="25"/>
  <c r="D19" i="25"/>
  <c r="C19" i="25"/>
  <c r="D18" i="25"/>
  <c r="C18" i="25"/>
  <c r="D17" i="25"/>
  <c r="C17" i="25"/>
  <c r="D16" i="25"/>
  <c r="C16" i="25"/>
  <c r="D15" i="25"/>
  <c r="C15" i="25"/>
  <c r="D14" i="25"/>
  <c r="C14" i="25"/>
  <c r="D13" i="25"/>
  <c r="C13" i="25"/>
  <c r="D12" i="25"/>
  <c r="C12" i="25"/>
  <c r="D11" i="25"/>
  <c r="C11" i="25"/>
  <c r="C161" i="25" l="1"/>
  <c r="D93" i="25"/>
  <c r="D111" i="25"/>
  <c r="C79" i="25"/>
  <c r="D21" i="25"/>
  <c r="D102" i="25"/>
  <c r="C119" i="25"/>
  <c r="C93" i="25"/>
  <c r="D119" i="25"/>
  <c r="C228" i="25"/>
  <c r="D79" i="25"/>
  <c r="C111" i="25"/>
  <c r="D161" i="25"/>
  <c r="D197" i="25"/>
  <c r="C206" i="25"/>
  <c r="C197" i="25"/>
  <c r="C21" i="25"/>
  <c r="C102" i="25"/>
  <c r="D206" i="25"/>
  <c r="C61" i="25"/>
  <c r="D61" i="25"/>
  <c r="D208" i="25" l="1"/>
  <c r="D215" i="25" s="1"/>
  <c r="C208" i="25"/>
  <c r="C212" i="25" l="1"/>
  <c r="C215" i="25"/>
  <c r="G244" i="53"/>
  <c r="G243" i="53"/>
  <c r="G242" i="53"/>
  <c r="G241" i="53"/>
  <c r="C238" i="53"/>
  <c r="C237" i="53"/>
  <c r="C236" i="53"/>
  <c r="C235" i="53"/>
  <c r="C233" i="53"/>
  <c r="C232" i="53"/>
  <c r="C231" i="53"/>
  <c r="D228" i="53"/>
  <c r="C227" i="53"/>
  <c r="C226" i="53"/>
  <c r="C225" i="53"/>
  <c r="C224" i="53"/>
  <c r="C223" i="53"/>
  <c r="C222" i="53"/>
  <c r="C221" i="53"/>
  <c r="C220" i="53"/>
  <c r="C219" i="53"/>
  <c r="C211" i="53"/>
  <c r="D205" i="53"/>
  <c r="C205" i="53"/>
  <c r="D204" i="53"/>
  <c r="C204" i="53"/>
  <c r="D203" i="53"/>
  <c r="C203" i="53"/>
  <c r="D202" i="53"/>
  <c r="C202" i="53"/>
  <c r="D201" i="53"/>
  <c r="C201" i="53"/>
  <c r="D200" i="53"/>
  <c r="C200" i="53"/>
  <c r="D196" i="53"/>
  <c r="C196" i="53"/>
  <c r="D195" i="53"/>
  <c r="C195" i="53"/>
  <c r="D194" i="53"/>
  <c r="C194" i="53"/>
  <c r="D193" i="53"/>
  <c r="C193" i="53"/>
  <c r="D192" i="53"/>
  <c r="C192" i="53"/>
  <c r="D191" i="53"/>
  <c r="C191" i="53"/>
  <c r="D190" i="53"/>
  <c r="C190" i="53"/>
  <c r="D189" i="53"/>
  <c r="C189" i="53"/>
  <c r="D188" i="53"/>
  <c r="C188" i="53"/>
  <c r="D187" i="53"/>
  <c r="C187" i="53"/>
  <c r="D186" i="53"/>
  <c r="C186" i="53"/>
  <c r="D185" i="53"/>
  <c r="C185" i="53"/>
  <c r="D184" i="53"/>
  <c r="C184" i="53"/>
  <c r="D183" i="53"/>
  <c r="C183" i="53"/>
  <c r="D182" i="53"/>
  <c r="C182" i="53"/>
  <c r="D181" i="53"/>
  <c r="C181" i="53"/>
  <c r="D180" i="53"/>
  <c r="C180" i="53"/>
  <c r="D179" i="53"/>
  <c r="C179" i="53"/>
  <c r="D178" i="53"/>
  <c r="C178" i="53"/>
  <c r="D177" i="53"/>
  <c r="C177" i="53"/>
  <c r="D176" i="53"/>
  <c r="C176" i="53"/>
  <c r="D175" i="53"/>
  <c r="C175" i="53"/>
  <c r="D174" i="53"/>
  <c r="C174" i="53"/>
  <c r="D173" i="53"/>
  <c r="C173" i="53"/>
  <c r="D172" i="53"/>
  <c r="C172" i="53"/>
  <c r="D171" i="53"/>
  <c r="C171" i="53"/>
  <c r="D170" i="53"/>
  <c r="C170" i="53"/>
  <c r="D169" i="53"/>
  <c r="C169" i="53"/>
  <c r="D168" i="53"/>
  <c r="C168" i="53"/>
  <c r="D167" i="53"/>
  <c r="C167" i="53"/>
  <c r="D166" i="53"/>
  <c r="C166" i="53"/>
  <c r="D165" i="53"/>
  <c r="C165" i="53"/>
  <c r="D164" i="53"/>
  <c r="C164" i="53"/>
  <c r="D160" i="53"/>
  <c r="C160" i="53"/>
  <c r="D159" i="53"/>
  <c r="C159" i="53"/>
  <c r="D158" i="53"/>
  <c r="C158" i="53"/>
  <c r="D157" i="53"/>
  <c r="C157" i="53"/>
  <c r="D156" i="53"/>
  <c r="C156" i="53"/>
  <c r="D155" i="53"/>
  <c r="C155" i="53"/>
  <c r="D153" i="53"/>
  <c r="C153" i="53"/>
  <c r="D152" i="53"/>
  <c r="C152" i="53"/>
  <c r="D151" i="53"/>
  <c r="C151" i="53"/>
  <c r="D150" i="53"/>
  <c r="C150" i="53"/>
  <c r="D149" i="53"/>
  <c r="C149" i="53"/>
  <c r="D148" i="53"/>
  <c r="C148" i="53"/>
  <c r="D147" i="53"/>
  <c r="C147" i="53"/>
  <c r="D146" i="53"/>
  <c r="C146" i="53"/>
  <c r="D145" i="53"/>
  <c r="C145" i="53"/>
  <c r="D143" i="53"/>
  <c r="C143" i="53"/>
  <c r="D142" i="53"/>
  <c r="C142" i="53"/>
  <c r="D141" i="53"/>
  <c r="C141" i="53"/>
  <c r="D140" i="53"/>
  <c r="C140" i="53"/>
  <c r="D138" i="53"/>
  <c r="C138" i="53"/>
  <c r="D137" i="53"/>
  <c r="C137" i="53"/>
  <c r="D136" i="53"/>
  <c r="C136" i="53"/>
  <c r="D135" i="53"/>
  <c r="C135" i="53"/>
  <c r="D133" i="53"/>
  <c r="C133" i="53"/>
  <c r="D132" i="53"/>
  <c r="C132" i="53"/>
  <c r="D131" i="53"/>
  <c r="C131" i="53"/>
  <c r="D130" i="53"/>
  <c r="C130" i="53"/>
  <c r="D129" i="53"/>
  <c r="C129" i="53"/>
  <c r="D127" i="53"/>
  <c r="C127" i="53"/>
  <c r="D126" i="53"/>
  <c r="C126" i="53"/>
  <c r="D125" i="53"/>
  <c r="C125" i="53"/>
  <c r="D124" i="53"/>
  <c r="C124" i="53"/>
  <c r="D123" i="53"/>
  <c r="C123" i="53"/>
  <c r="D118" i="53"/>
  <c r="C118" i="53"/>
  <c r="D117" i="53"/>
  <c r="C117" i="53"/>
  <c r="D116" i="53"/>
  <c r="C116" i="53"/>
  <c r="D115" i="53"/>
  <c r="C115" i="53"/>
  <c r="D114" i="53"/>
  <c r="C114" i="53"/>
  <c r="D110" i="53"/>
  <c r="C110" i="53"/>
  <c r="D109" i="53"/>
  <c r="C109" i="53"/>
  <c r="D108" i="53"/>
  <c r="C108" i="53"/>
  <c r="D107" i="53"/>
  <c r="C107" i="53"/>
  <c r="D106" i="53"/>
  <c r="C106" i="53"/>
  <c r="D105" i="53"/>
  <c r="C105" i="53"/>
  <c r="D101" i="53"/>
  <c r="C101" i="53"/>
  <c r="D100" i="53"/>
  <c r="C100" i="53"/>
  <c r="D99" i="53"/>
  <c r="C99" i="53"/>
  <c r="D98" i="53"/>
  <c r="C98" i="53"/>
  <c r="D97" i="53"/>
  <c r="C97" i="53"/>
  <c r="D96" i="53"/>
  <c r="C96" i="53"/>
  <c r="D92" i="53"/>
  <c r="C92" i="53"/>
  <c r="D91" i="53"/>
  <c r="C91" i="53"/>
  <c r="D90" i="53"/>
  <c r="C90" i="53"/>
  <c r="D89" i="53"/>
  <c r="C89" i="53"/>
  <c r="D88" i="53"/>
  <c r="C88" i="53"/>
  <c r="D87" i="53"/>
  <c r="C87" i="53"/>
  <c r="D86" i="53"/>
  <c r="C86" i="53"/>
  <c r="D85" i="53"/>
  <c r="C85" i="53"/>
  <c r="D84" i="53"/>
  <c r="C84" i="53"/>
  <c r="D83" i="53"/>
  <c r="C83" i="53"/>
  <c r="D82" i="53"/>
  <c r="C82" i="53"/>
  <c r="D78" i="53"/>
  <c r="C78" i="53"/>
  <c r="D77" i="53"/>
  <c r="C77" i="53"/>
  <c r="D76" i="53"/>
  <c r="C76" i="53"/>
  <c r="D75" i="53"/>
  <c r="C75" i="53"/>
  <c r="D74" i="53"/>
  <c r="C74" i="53"/>
  <c r="D73" i="53"/>
  <c r="C73" i="53"/>
  <c r="D72" i="53"/>
  <c r="C72" i="53"/>
  <c r="D71" i="53"/>
  <c r="C71" i="53"/>
  <c r="D70" i="53"/>
  <c r="C70" i="53"/>
  <c r="D69" i="53"/>
  <c r="C69" i="53"/>
  <c r="D68" i="53"/>
  <c r="C68" i="53"/>
  <c r="D67" i="53"/>
  <c r="C67" i="53"/>
  <c r="D66" i="53"/>
  <c r="C66" i="53"/>
  <c r="D65" i="53"/>
  <c r="C65" i="53"/>
  <c r="D64" i="53"/>
  <c r="C64" i="53"/>
  <c r="D60" i="53"/>
  <c r="C60" i="53"/>
  <c r="D59" i="53"/>
  <c r="C59" i="53"/>
  <c r="D58" i="53"/>
  <c r="C58" i="53"/>
  <c r="D57" i="53"/>
  <c r="C57" i="53"/>
  <c r="D56" i="53"/>
  <c r="C56" i="53"/>
  <c r="D55" i="53"/>
  <c r="C55" i="53"/>
  <c r="D54" i="53"/>
  <c r="C54" i="53"/>
  <c r="D53" i="53"/>
  <c r="C53" i="53"/>
  <c r="D52" i="53"/>
  <c r="C52" i="53"/>
  <c r="D51" i="53"/>
  <c r="C51" i="53"/>
  <c r="D50" i="53"/>
  <c r="C50" i="53"/>
  <c r="D49" i="53"/>
  <c r="C49" i="53"/>
  <c r="D48" i="53"/>
  <c r="C48" i="53"/>
  <c r="D47" i="53"/>
  <c r="C47" i="53"/>
  <c r="D46" i="53"/>
  <c r="C46" i="53"/>
  <c r="D45" i="53"/>
  <c r="C45" i="53"/>
  <c r="D44" i="53"/>
  <c r="C44" i="53"/>
  <c r="D43" i="53"/>
  <c r="C43" i="53"/>
  <c r="D42" i="53"/>
  <c r="C42" i="53"/>
  <c r="D41" i="53"/>
  <c r="C41" i="53"/>
  <c r="D40" i="53"/>
  <c r="C40" i="53"/>
  <c r="D39" i="53"/>
  <c r="C39" i="53"/>
  <c r="D38" i="53"/>
  <c r="C38" i="53"/>
  <c r="D37" i="53"/>
  <c r="C37" i="53"/>
  <c r="D36" i="53"/>
  <c r="C36" i="53"/>
  <c r="D35" i="53"/>
  <c r="C35" i="53"/>
  <c r="D34" i="53"/>
  <c r="C34" i="53"/>
  <c r="D33" i="53"/>
  <c r="C33" i="53"/>
  <c r="D32" i="53"/>
  <c r="C32" i="53"/>
  <c r="D31" i="53"/>
  <c r="C31" i="53"/>
  <c r="D30" i="53"/>
  <c r="C30" i="53"/>
  <c r="D29" i="53"/>
  <c r="C29" i="53"/>
  <c r="D28" i="53"/>
  <c r="C28" i="53"/>
  <c r="D27" i="53"/>
  <c r="C27" i="53"/>
  <c r="D26" i="53"/>
  <c r="C26" i="53"/>
  <c r="D25" i="53"/>
  <c r="C25" i="53"/>
  <c r="D20" i="53"/>
  <c r="C20" i="53"/>
  <c r="D19" i="53"/>
  <c r="C19" i="53"/>
  <c r="D18" i="53"/>
  <c r="C18" i="53"/>
  <c r="D17" i="53"/>
  <c r="C17" i="53"/>
  <c r="D16" i="53"/>
  <c r="C16" i="53"/>
  <c r="D15" i="53"/>
  <c r="C15" i="53"/>
  <c r="D14" i="53"/>
  <c r="C14" i="53"/>
  <c r="D13" i="53"/>
  <c r="C13" i="53"/>
  <c r="D12" i="53"/>
  <c r="C12" i="53"/>
  <c r="D11" i="53"/>
  <c r="C11" i="53"/>
  <c r="D79" i="53" l="1"/>
  <c r="D119" i="53"/>
  <c r="C161" i="53"/>
  <c r="C206" i="53"/>
  <c r="D161" i="53"/>
  <c r="C228" i="53"/>
  <c r="C21" i="53"/>
  <c r="C102" i="53"/>
  <c r="C111" i="53"/>
  <c r="C197" i="53"/>
  <c r="D21" i="53"/>
  <c r="D102" i="53"/>
  <c r="D111" i="53"/>
  <c r="D197" i="53"/>
  <c r="C93" i="53"/>
  <c r="D93" i="53"/>
  <c r="D206" i="53"/>
  <c r="C79" i="53"/>
  <c r="C119" i="53"/>
  <c r="C61" i="53"/>
  <c r="D61" i="53"/>
  <c r="C208" i="53" l="1"/>
  <c r="D208" i="53"/>
  <c r="D215" i="53" s="1"/>
  <c r="C212" i="53" l="1"/>
  <c r="C215" i="53"/>
  <c r="G244" i="24"/>
  <c r="G243" i="24"/>
  <c r="G242" i="24"/>
  <c r="G241" i="24"/>
  <c r="C11" i="24"/>
  <c r="C238" i="24"/>
  <c r="C237" i="24"/>
  <c r="C236" i="24"/>
  <c r="C235" i="24"/>
  <c r="C233" i="24"/>
  <c r="C232" i="24"/>
  <c r="C231" i="24"/>
  <c r="D228" i="24"/>
  <c r="C227" i="24"/>
  <c r="C226" i="24"/>
  <c r="C225" i="24"/>
  <c r="C224" i="24"/>
  <c r="C223" i="24"/>
  <c r="C222" i="24"/>
  <c r="C221" i="24"/>
  <c r="C220" i="24"/>
  <c r="C219" i="24"/>
  <c r="C211" i="24"/>
  <c r="D205" i="24"/>
  <c r="C205" i="24"/>
  <c r="D204" i="24"/>
  <c r="C204" i="24"/>
  <c r="D203" i="24"/>
  <c r="C203" i="24"/>
  <c r="D202" i="24"/>
  <c r="C202" i="24"/>
  <c r="D201" i="24"/>
  <c r="C201" i="24"/>
  <c r="D200" i="24"/>
  <c r="C200" i="24"/>
  <c r="D196" i="24"/>
  <c r="C196" i="24"/>
  <c r="D195" i="24"/>
  <c r="C195" i="24"/>
  <c r="D194" i="24"/>
  <c r="C194" i="24"/>
  <c r="D193" i="24"/>
  <c r="C193" i="24"/>
  <c r="D192" i="24"/>
  <c r="C192" i="24"/>
  <c r="D191" i="24"/>
  <c r="C191" i="24"/>
  <c r="D190" i="24"/>
  <c r="C190" i="24"/>
  <c r="D189" i="24"/>
  <c r="C189" i="24"/>
  <c r="D188" i="24"/>
  <c r="C188" i="24"/>
  <c r="D187" i="24"/>
  <c r="C187" i="24"/>
  <c r="D186" i="24"/>
  <c r="C186" i="24"/>
  <c r="D185" i="24"/>
  <c r="C185" i="24"/>
  <c r="D184" i="24"/>
  <c r="C184" i="24"/>
  <c r="D183" i="24"/>
  <c r="C183" i="24"/>
  <c r="D182" i="24"/>
  <c r="C182" i="24"/>
  <c r="D181" i="24"/>
  <c r="C181" i="24"/>
  <c r="D180" i="24"/>
  <c r="C180" i="24"/>
  <c r="D179" i="24"/>
  <c r="C179" i="24"/>
  <c r="D178" i="24"/>
  <c r="C178" i="24"/>
  <c r="D177" i="24"/>
  <c r="C177" i="24"/>
  <c r="D176" i="24"/>
  <c r="C176" i="24"/>
  <c r="D175" i="24"/>
  <c r="C175" i="24"/>
  <c r="D174" i="24"/>
  <c r="C174" i="24"/>
  <c r="D173" i="24"/>
  <c r="C173" i="24"/>
  <c r="D172" i="24"/>
  <c r="C172" i="24"/>
  <c r="D171" i="24"/>
  <c r="C171" i="24"/>
  <c r="D170" i="24"/>
  <c r="C170" i="24"/>
  <c r="D169" i="24"/>
  <c r="C169" i="24"/>
  <c r="D168" i="24"/>
  <c r="C168" i="24"/>
  <c r="D167" i="24"/>
  <c r="C167" i="24"/>
  <c r="D166" i="24"/>
  <c r="C166" i="24"/>
  <c r="D165" i="24"/>
  <c r="C165" i="24"/>
  <c r="D164" i="24"/>
  <c r="C164" i="24"/>
  <c r="D160" i="24"/>
  <c r="C160" i="24"/>
  <c r="D159" i="24"/>
  <c r="C159" i="24"/>
  <c r="D158" i="24"/>
  <c r="C158" i="24"/>
  <c r="D157" i="24"/>
  <c r="C157" i="24"/>
  <c r="D156" i="24"/>
  <c r="C156" i="24"/>
  <c r="D155" i="24"/>
  <c r="C155" i="24"/>
  <c r="D153" i="24"/>
  <c r="C153" i="24"/>
  <c r="D152" i="24"/>
  <c r="C152" i="24"/>
  <c r="D151" i="24"/>
  <c r="C151" i="24"/>
  <c r="D150" i="24"/>
  <c r="C150" i="24"/>
  <c r="D149" i="24"/>
  <c r="C149" i="24"/>
  <c r="D148" i="24"/>
  <c r="C148" i="24"/>
  <c r="D147" i="24"/>
  <c r="C147" i="24"/>
  <c r="D146" i="24"/>
  <c r="C146" i="24"/>
  <c r="D145" i="24"/>
  <c r="C145" i="24"/>
  <c r="D143" i="24"/>
  <c r="C143" i="24"/>
  <c r="D142" i="24"/>
  <c r="C142" i="24"/>
  <c r="D141" i="24"/>
  <c r="C141" i="24"/>
  <c r="D140" i="24"/>
  <c r="C140" i="24"/>
  <c r="D138" i="24"/>
  <c r="C138" i="24"/>
  <c r="D137" i="24"/>
  <c r="C137" i="24"/>
  <c r="D136" i="24"/>
  <c r="C136" i="24"/>
  <c r="D135" i="24"/>
  <c r="C135" i="24"/>
  <c r="D133" i="24"/>
  <c r="C133" i="24"/>
  <c r="D132" i="24"/>
  <c r="C132" i="24"/>
  <c r="D131" i="24"/>
  <c r="C131" i="24"/>
  <c r="D130" i="24"/>
  <c r="C130" i="24"/>
  <c r="D129" i="24"/>
  <c r="C129" i="24"/>
  <c r="D127" i="24"/>
  <c r="C127" i="24"/>
  <c r="D126" i="24"/>
  <c r="C126" i="24"/>
  <c r="D125" i="24"/>
  <c r="C125" i="24"/>
  <c r="D124" i="24"/>
  <c r="C124" i="24"/>
  <c r="D123" i="24"/>
  <c r="C123" i="24"/>
  <c r="D118" i="24"/>
  <c r="C118" i="24"/>
  <c r="D117" i="24"/>
  <c r="C117" i="24"/>
  <c r="D116" i="24"/>
  <c r="C116" i="24"/>
  <c r="D115" i="24"/>
  <c r="C115" i="24"/>
  <c r="D114" i="24"/>
  <c r="C114" i="24"/>
  <c r="D110" i="24"/>
  <c r="C110" i="24"/>
  <c r="D109" i="24"/>
  <c r="C109" i="24"/>
  <c r="D108" i="24"/>
  <c r="C108" i="24"/>
  <c r="D107" i="24"/>
  <c r="C107" i="24"/>
  <c r="D106" i="24"/>
  <c r="C106" i="24"/>
  <c r="D105" i="24"/>
  <c r="C105" i="24"/>
  <c r="D101" i="24"/>
  <c r="C101" i="24"/>
  <c r="D100" i="24"/>
  <c r="C100" i="24"/>
  <c r="D99" i="24"/>
  <c r="C99" i="24"/>
  <c r="D98" i="24"/>
  <c r="C98" i="24"/>
  <c r="D97" i="24"/>
  <c r="C97" i="24"/>
  <c r="D96" i="24"/>
  <c r="C96" i="24"/>
  <c r="D92" i="24"/>
  <c r="C92" i="24"/>
  <c r="D91" i="24"/>
  <c r="C91" i="24"/>
  <c r="D90" i="24"/>
  <c r="C90" i="24"/>
  <c r="D89" i="24"/>
  <c r="C89" i="24"/>
  <c r="D88" i="24"/>
  <c r="C88" i="24"/>
  <c r="D87" i="24"/>
  <c r="C87" i="24"/>
  <c r="D86" i="24"/>
  <c r="C86" i="24"/>
  <c r="D85" i="24"/>
  <c r="C85" i="24"/>
  <c r="D84" i="24"/>
  <c r="C84" i="24"/>
  <c r="D83" i="24"/>
  <c r="C83" i="24"/>
  <c r="D82" i="24"/>
  <c r="C82" i="24"/>
  <c r="D78" i="24"/>
  <c r="C78" i="24"/>
  <c r="D77" i="24"/>
  <c r="C77" i="24"/>
  <c r="D76" i="24"/>
  <c r="C76" i="24"/>
  <c r="D75" i="24"/>
  <c r="C75" i="24"/>
  <c r="D74" i="24"/>
  <c r="C74" i="24"/>
  <c r="D73" i="24"/>
  <c r="C73" i="24"/>
  <c r="D72" i="24"/>
  <c r="C72" i="24"/>
  <c r="D71" i="24"/>
  <c r="C71" i="24"/>
  <c r="D70" i="24"/>
  <c r="C70" i="24"/>
  <c r="D69" i="24"/>
  <c r="C69" i="24"/>
  <c r="D68" i="24"/>
  <c r="C68" i="24"/>
  <c r="D67" i="24"/>
  <c r="C67" i="24"/>
  <c r="D66" i="24"/>
  <c r="C66" i="24"/>
  <c r="D65" i="24"/>
  <c r="C65" i="24"/>
  <c r="D64" i="24"/>
  <c r="C64" i="24"/>
  <c r="D60" i="24"/>
  <c r="C60" i="24"/>
  <c r="D59" i="24"/>
  <c r="C59" i="24"/>
  <c r="D58" i="24"/>
  <c r="C58" i="24"/>
  <c r="D57" i="24"/>
  <c r="C57" i="24"/>
  <c r="D56" i="24"/>
  <c r="C56" i="24"/>
  <c r="D55" i="24"/>
  <c r="C55" i="24"/>
  <c r="D54" i="24"/>
  <c r="C54" i="24"/>
  <c r="D53" i="24"/>
  <c r="C53" i="24"/>
  <c r="D52" i="24"/>
  <c r="C52" i="24"/>
  <c r="D51" i="24"/>
  <c r="C51" i="24"/>
  <c r="D50" i="24"/>
  <c r="C50" i="24"/>
  <c r="D49" i="24"/>
  <c r="C49" i="24"/>
  <c r="D48" i="24"/>
  <c r="C48" i="24"/>
  <c r="D47" i="24"/>
  <c r="C47" i="24"/>
  <c r="D46" i="24"/>
  <c r="C46" i="24"/>
  <c r="D45" i="24"/>
  <c r="C45" i="24"/>
  <c r="D44" i="24"/>
  <c r="C44" i="24"/>
  <c r="D43" i="24"/>
  <c r="C43" i="24"/>
  <c r="D42" i="24"/>
  <c r="C42" i="24"/>
  <c r="D41" i="24"/>
  <c r="C41" i="24"/>
  <c r="D40" i="24"/>
  <c r="C40" i="24"/>
  <c r="D39" i="24"/>
  <c r="C39" i="24"/>
  <c r="D38" i="24"/>
  <c r="C38" i="24"/>
  <c r="D37" i="24"/>
  <c r="C37" i="24"/>
  <c r="D36" i="24"/>
  <c r="C36" i="24"/>
  <c r="D35" i="24"/>
  <c r="C35" i="24"/>
  <c r="D34" i="24"/>
  <c r="C34" i="24"/>
  <c r="D33" i="24"/>
  <c r="C33" i="24"/>
  <c r="D32" i="24"/>
  <c r="C32" i="24"/>
  <c r="D31" i="24"/>
  <c r="C31" i="24"/>
  <c r="D30" i="24"/>
  <c r="C30" i="24"/>
  <c r="D29" i="24"/>
  <c r="C29" i="24"/>
  <c r="D28" i="24"/>
  <c r="C28" i="24"/>
  <c r="D27" i="24"/>
  <c r="C27" i="24"/>
  <c r="D26" i="24"/>
  <c r="C26" i="24"/>
  <c r="D25" i="24"/>
  <c r="C25" i="24"/>
  <c r="D20" i="24"/>
  <c r="C20" i="24"/>
  <c r="D19" i="24"/>
  <c r="C19" i="24"/>
  <c r="D18" i="24"/>
  <c r="C18" i="24"/>
  <c r="D17" i="24"/>
  <c r="C17" i="24"/>
  <c r="D16" i="24"/>
  <c r="C16" i="24"/>
  <c r="D15" i="24"/>
  <c r="C15" i="24"/>
  <c r="D14" i="24"/>
  <c r="C14" i="24"/>
  <c r="D13" i="24"/>
  <c r="C13" i="24"/>
  <c r="D12" i="24"/>
  <c r="C12" i="24"/>
  <c r="D11" i="24"/>
  <c r="C161" i="24" l="1"/>
  <c r="D79" i="24"/>
  <c r="D93" i="24"/>
  <c r="D119" i="24"/>
  <c r="C119" i="24"/>
  <c r="C61" i="24"/>
  <c r="C21" i="24"/>
  <c r="D111" i="24"/>
  <c r="C228" i="24"/>
  <c r="D161" i="24"/>
  <c r="C93" i="24"/>
  <c r="C197" i="24"/>
  <c r="D21" i="24"/>
  <c r="C102" i="24"/>
  <c r="D197" i="24"/>
  <c r="D206" i="24"/>
  <c r="C111" i="24"/>
  <c r="C206" i="24"/>
  <c r="C79" i="24"/>
  <c r="D102" i="24"/>
  <c r="D61" i="24"/>
  <c r="D208" i="24" l="1"/>
  <c r="D215" i="24" s="1"/>
  <c r="C208" i="24"/>
  <c r="G244" i="28"/>
  <c r="G243" i="28"/>
  <c r="G242" i="28"/>
  <c r="G241" i="28"/>
  <c r="C238" i="28"/>
  <c r="C237" i="28"/>
  <c r="C236" i="28"/>
  <c r="C235" i="28"/>
  <c r="C233" i="28"/>
  <c r="C232" i="28"/>
  <c r="C231" i="28"/>
  <c r="D228" i="28"/>
  <c r="C227" i="28"/>
  <c r="C226" i="28"/>
  <c r="C225" i="28"/>
  <c r="C224" i="28"/>
  <c r="C223" i="28"/>
  <c r="C222" i="28"/>
  <c r="C221" i="28"/>
  <c r="C220" i="28"/>
  <c r="C219" i="28"/>
  <c r="C211" i="28"/>
  <c r="D205" i="28"/>
  <c r="C205" i="28"/>
  <c r="D204" i="28"/>
  <c r="C204" i="28"/>
  <c r="D203" i="28"/>
  <c r="C203" i="28"/>
  <c r="D202" i="28"/>
  <c r="C202" i="28"/>
  <c r="D201" i="28"/>
  <c r="C201" i="28"/>
  <c r="D200" i="28"/>
  <c r="C200" i="28"/>
  <c r="D196" i="28"/>
  <c r="C196" i="28"/>
  <c r="D195" i="28"/>
  <c r="C195" i="28"/>
  <c r="D194" i="28"/>
  <c r="C194" i="28"/>
  <c r="D193" i="28"/>
  <c r="C193" i="28"/>
  <c r="D192" i="28"/>
  <c r="C192" i="28"/>
  <c r="D191" i="28"/>
  <c r="C191" i="28"/>
  <c r="D190" i="28"/>
  <c r="C190" i="28"/>
  <c r="D189" i="28"/>
  <c r="C189" i="28"/>
  <c r="D188" i="28"/>
  <c r="C188" i="28"/>
  <c r="D187" i="28"/>
  <c r="C187" i="28"/>
  <c r="D186" i="28"/>
  <c r="C186" i="28"/>
  <c r="D185" i="28"/>
  <c r="C185" i="28"/>
  <c r="D184" i="28"/>
  <c r="C184" i="28"/>
  <c r="D183" i="28"/>
  <c r="C183" i="28"/>
  <c r="D182" i="28"/>
  <c r="C182" i="28"/>
  <c r="D181" i="28"/>
  <c r="C181" i="28"/>
  <c r="D180" i="28"/>
  <c r="C180" i="28"/>
  <c r="D179" i="28"/>
  <c r="C179" i="28"/>
  <c r="D178" i="28"/>
  <c r="C178" i="28"/>
  <c r="D177" i="28"/>
  <c r="C177" i="28"/>
  <c r="D176" i="28"/>
  <c r="C176" i="28"/>
  <c r="D175" i="28"/>
  <c r="C175" i="28"/>
  <c r="D174" i="28"/>
  <c r="C174" i="28"/>
  <c r="D173" i="28"/>
  <c r="C173" i="28"/>
  <c r="D172" i="28"/>
  <c r="C172" i="28"/>
  <c r="D171" i="28"/>
  <c r="C171" i="28"/>
  <c r="D170" i="28"/>
  <c r="C170" i="28"/>
  <c r="D169" i="28"/>
  <c r="C169" i="28"/>
  <c r="D168" i="28"/>
  <c r="C168" i="28"/>
  <c r="D167" i="28"/>
  <c r="C167" i="28"/>
  <c r="D166" i="28"/>
  <c r="C166" i="28"/>
  <c r="D165" i="28"/>
  <c r="C165" i="28"/>
  <c r="D164" i="28"/>
  <c r="C164" i="28"/>
  <c r="D160" i="28"/>
  <c r="C160" i="28"/>
  <c r="D159" i="28"/>
  <c r="C159" i="28"/>
  <c r="D158" i="28"/>
  <c r="C158" i="28"/>
  <c r="D157" i="28"/>
  <c r="C157" i="28"/>
  <c r="D156" i="28"/>
  <c r="C156" i="28"/>
  <c r="D155" i="28"/>
  <c r="C155" i="28"/>
  <c r="D153" i="28"/>
  <c r="C153" i="28"/>
  <c r="D152" i="28"/>
  <c r="C152" i="28"/>
  <c r="D151" i="28"/>
  <c r="C151" i="28"/>
  <c r="D150" i="28"/>
  <c r="C150" i="28"/>
  <c r="D149" i="28"/>
  <c r="C149" i="28"/>
  <c r="D148" i="28"/>
  <c r="C148" i="28"/>
  <c r="D147" i="28"/>
  <c r="C147" i="28"/>
  <c r="D146" i="28"/>
  <c r="C146" i="28"/>
  <c r="D145" i="28"/>
  <c r="C145" i="28"/>
  <c r="D143" i="28"/>
  <c r="C143" i="28"/>
  <c r="D142" i="28"/>
  <c r="C142" i="28"/>
  <c r="D141" i="28"/>
  <c r="C141" i="28"/>
  <c r="D140" i="28"/>
  <c r="C140" i="28"/>
  <c r="D138" i="28"/>
  <c r="C138" i="28"/>
  <c r="D137" i="28"/>
  <c r="C137" i="28"/>
  <c r="D136" i="28"/>
  <c r="C136" i="28"/>
  <c r="D135" i="28"/>
  <c r="C135" i="28"/>
  <c r="D133" i="28"/>
  <c r="C133" i="28"/>
  <c r="D132" i="28"/>
  <c r="C132" i="28"/>
  <c r="D131" i="28"/>
  <c r="C131" i="28"/>
  <c r="D130" i="28"/>
  <c r="C130" i="28"/>
  <c r="D129" i="28"/>
  <c r="C129" i="28"/>
  <c r="D127" i="28"/>
  <c r="C127" i="28"/>
  <c r="D126" i="28"/>
  <c r="C126" i="28"/>
  <c r="D125" i="28"/>
  <c r="C125" i="28"/>
  <c r="D124" i="28"/>
  <c r="C124" i="28"/>
  <c r="D123" i="28"/>
  <c r="C123" i="28"/>
  <c r="D118" i="28"/>
  <c r="C118" i="28"/>
  <c r="D117" i="28"/>
  <c r="C117" i="28"/>
  <c r="D116" i="28"/>
  <c r="C116" i="28"/>
  <c r="D115" i="28"/>
  <c r="C115" i="28"/>
  <c r="D114" i="28"/>
  <c r="C114" i="28"/>
  <c r="D110" i="28"/>
  <c r="C110" i="28"/>
  <c r="D109" i="28"/>
  <c r="C109" i="28"/>
  <c r="D108" i="28"/>
  <c r="C108" i="28"/>
  <c r="D107" i="28"/>
  <c r="C107" i="28"/>
  <c r="D106" i="28"/>
  <c r="C106" i="28"/>
  <c r="D105" i="28"/>
  <c r="C105" i="28"/>
  <c r="D101" i="28"/>
  <c r="C101" i="28"/>
  <c r="D100" i="28"/>
  <c r="C100" i="28"/>
  <c r="D99" i="28"/>
  <c r="C99" i="28"/>
  <c r="D98" i="28"/>
  <c r="C98" i="28"/>
  <c r="D97" i="28"/>
  <c r="C97" i="28"/>
  <c r="D96" i="28"/>
  <c r="C96" i="28"/>
  <c r="D92" i="28"/>
  <c r="C92" i="28"/>
  <c r="D91" i="28"/>
  <c r="C91" i="28"/>
  <c r="D90" i="28"/>
  <c r="C90" i="28"/>
  <c r="D89" i="28"/>
  <c r="C89" i="28"/>
  <c r="D88" i="28"/>
  <c r="C88" i="28"/>
  <c r="D87" i="28"/>
  <c r="C87" i="28"/>
  <c r="D86" i="28"/>
  <c r="C86" i="28"/>
  <c r="D85" i="28"/>
  <c r="C85" i="28"/>
  <c r="D84" i="28"/>
  <c r="C84" i="28"/>
  <c r="D83" i="28"/>
  <c r="C83" i="28"/>
  <c r="D82" i="28"/>
  <c r="C82" i="28"/>
  <c r="D78" i="28"/>
  <c r="C78" i="28"/>
  <c r="D77" i="28"/>
  <c r="C77" i="28"/>
  <c r="D76" i="28"/>
  <c r="C76" i="28"/>
  <c r="D75" i="28"/>
  <c r="C75" i="28"/>
  <c r="D74" i="28"/>
  <c r="C74" i="28"/>
  <c r="D73" i="28"/>
  <c r="C73" i="28"/>
  <c r="D72" i="28"/>
  <c r="C72" i="28"/>
  <c r="D71" i="28"/>
  <c r="C71" i="28"/>
  <c r="D70" i="28"/>
  <c r="C70" i="28"/>
  <c r="D69" i="28"/>
  <c r="C69" i="28"/>
  <c r="D68" i="28"/>
  <c r="C68" i="28"/>
  <c r="D67" i="28"/>
  <c r="C67" i="28"/>
  <c r="D66" i="28"/>
  <c r="C66" i="28"/>
  <c r="D65" i="28"/>
  <c r="C65" i="28"/>
  <c r="D64" i="28"/>
  <c r="C64" i="28"/>
  <c r="D60" i="28"/>
  <c r="C60" i="28"/>
  <c r="D59" i="28"/>
  <c r="C59" i="28"/>
  <c r="D58" i="28"/>
  <c r="C58" i="28"/>
  <c r="D57" i="28"/>
  <c r="C57" i="28"/>
  <c r="D56" i="28"/>
  <c r="C56" i="28"/>
  <c r="D55" i="28"/>
  <c r="C55" i="28"/>
  <c r="D54" i="28"/>
  <c r="C54" i="28"/>
  <c r="D53" i="28"/>
  <c r="C53" i="28"/>
  <c r="D52" i="28"/>
  <c r="C52" i="28"/>
  <c r="D51" i="28"/>
  <c r="C51" i="28"/>
  <c r="D50" i="28"/>
  <c r="C50" i="28"/>
  <c r="D49" i="28"/>
  <c r="C49" i="28"/>
  <c r="D48" i="28"/>
  <c r="C48" i="28"/>
  <c r="D47" i="28"/>
  <c r="C47" i="28"/>
  <c r="D46" i="28"/>
  <c r="C46" i="28"/>
  <c r="D45" i="28"/>
  <c r="C45" i="28"/>
  <c r="D44" i="28"/>
  <c r="C44" i="28"/>
  <c r="D43" i="28"/>
  <c r="C43" i="28"/>
  <c r="D42" i="28"/>
  <c r="C42" i="28"/>
  <c r="D41" i="28"/>
  <c r="C41" i="28"/>
  <c r="D40" i="28"/>
  <c r="C40" i="28"/>
  <c r="D39" i="28"/>
  <c r="C39" i="28"/>
  <c r="D38" i="28"/>
  <c r="C38" i="28"/>
  <c r="D37" i="28"/>
  <c r="C37" i="28"/>
  <c r="D36" i="28"/>
  <c r="C36" i="28"/>
  <c r="D35" i="28"/>
  <c r="C35" i="28"/>
  <c r="D34" i="28"/>
  <c r="C34" i="28"/>
  <c r="D33" i="28"/>
  <c r="C33" i="28"/>
  <c r="D32" i="28"/>
  <c r="C32" i="28"/>
  <c r="D31" i="28"/>
  <c r="C31" i="28"/>
  <c r="D30" i="28"/>
  <c r="C30" i="28"/>
  <c r="D29" i="28"/>
  <c r="C29" i="28"/>
  <c r="D28" i="28"/>
  <c r="C28" i="28"/>
  <c r="D27" i="28"/>
  <c r="C27" i="28"/>
  <c r="D26" i="28"/>
  <c r="C26" i="28"/>
  <c r="D25" i="28"/>
  <c r="C25" i="28"/>
  <c r="D20" i="28"/>
  <c r="C20" i="28"/>
  <c r="D19" i="28"/>
  <c r="C19" i="28"/>
  <c r="D18" i="28"/>
  <c r="C18" i="28"/>
  <c r="D17" i="28"/>
  <c r="C17" i="28"/>
  <c r="D16" i="28"/>
  <c r="C16" i="28"/>
  <c r="D15" i="28"/>
  <c r="C15" i="28"/>
  <c r="D14" i="28"/>
  <c r="C14" i="28"/>
  <c r="D13" i="28"/>
  <c r="C13" i="28"/>
  <c r="D12" i="28"/>
  <c r="C12" i="28"/>
  <c r="D11" i="28"/>
  <c r="C11" i="28"/>
  <c r="C212" i="24" l="1"/>
  <c r="C215" i="24"/>
  <c r="D21" i="28"/>
  <c r="D102" i="28"/>
  <c r="D119" i="28"/>
  <c r="C93" i="28"/>
  <c r="C119" i="28"/>
  <c r="C161" i="28"/>
  <c r="D161" i="28"/>
  <c r="C228" i="28"/>
  <c r="D79" i="28"/>
  <c r="D197" i="28"/>
  <c r="D93" i="28"/>
  <c r="C206" i="28"/>
  <c r="D111" i="28"/>
  <c r="D206" i="28"/>
  <c r="C79" i="28"/>
  <c r="C111" i="28"/>
  <c r="C197" i="28"/>
  <c r="C21" i="28"/>
  <c r="C102" i="28"/>
  <c r="C61" i="28"/>
  <c r="D61" i="28"/>
  <c r="C208" i="28" l="1"/>
  <c r="D208" i="28"/>
  <c r="D215" i="28" s="1"/>
  <c r="C212" i="28" l="1"/>
  <c r="C215" i="28"/>
  <c r="G244" i="95"/>
  <c r="G243" i="95"/>
  <c r="G242" i="95"/>
  <c r="G241" i="95"/>
  <c r="C238" i="95"/>
  <c r="C237" i="95"/>
  <c r="C236" i="95"/>
  <c r="C235" i="95"/>
  <c r="C233" i="95"/>
  <c r="C232" i="95"/>
  <c r="C231" i="95"/>
  <c r="D228" i="95"/>
  <c r="C227" i="95"/>
  <c r="C226" i="95"/>
  <c r="C225" i="95"/>
  <c r="C224" i="95"/>
  <c r="C223" i="95"/>
  <c r="C222" i="95"/>
  <c r="C221" i="95"/>
  <c r="C220" i="95"/>
  <c r="C219" i="95"/>
  <c r="C211" i="95"/>
  <c r="D205" i="95"/>
  <c r="C205" i="95"/>
  <c r="D204" i="95"/>
  <c r="C204" i="95"/>
  <c r="D203" i="95"/>
  <c r="C203" i="95"/>
  <c r="D202" i="95"/>
  <c r="C202" i="95"/>
  <c r="D201" i="95"/>
  <c r="C201" i="95"/>
  <c r="D200" i="95"/>
  <c r="C200" i="95"/>
  <c r="D196" i="95"/>
  <c r="C196" i="95"/>
  <c r="D195" i="95"/>
  <c r="C195" i="95"/>
  <c r="D194" i="95"/>
  <c r="C194" i="95"/>
  <c r="D193" i="95"/>
  <c r="C193" i="95"/>
  <c r="D192" i="95"/>
  <c r="C192" i="95"/>
  <c r="D191" i="95"/>
  <c r="C191" i="95"/>
  <c r="D190" i="95"/>
  <c r="C190" i="95"/>
  <c r="D189" i="95"/>
  <c r="C189" i="95"/>
  <c r="D188" i="95"/>
  <c r="C188" i="95"/>
  <c r="D187" i="95"/>
  <c r="C187" i="95"/>
  <c r="D186" i="95"/>
  <c r="C186" i="95"/>
  <c r="D185" i="95"/>
  <c r="C185" i="95"/>
  <c r="D184" i="95"/>
  <c r="C184" i="95"/>
  <c r="D183" i="95"/>
  <c r="C183" i="95"/>
  <c r="D182" i="95"/>
  <c r="C182" i="95"/>
  <c r="D181" i="95"/>
  <c r="C181" i="95"/>
  <c r="D180" i="95"/>
  <c r="C180" i="95"/>
  <c r="D179" i="95"/>
  <c r="C179" i="95"/>
  <c r="D178" i="95"/>
  <c r="C178" i="95"/>
  <c r="D177" i="95"/>
  <c r="C177" i="95"/>
  <c r="D176" i="95"/>
  <c r="C176" i="95"/>
  <c r="D175" i="95"/>
  <c r="C175" i="95"/>
  <c r="D174" i="95"/>
  <c r="C174" i="95"/>
  <c r="D173" i="95"/>
  <c r="C173" i="95"/>
  <c r="D172" i="95"/>
  <c r="C172" i="95"/>
  <c r="D171" i="95"/>
  <c r="C171" i="95"/>
  <c r="D170" i="95"/>
  <c r="C170" i="95"/>
  <c r="D169" i="95"/>
  <c r="C169" i="95"/>
  <c r="D168" i="95"/>
  <c r="C168" i="95"/>
  <c r="D167" i="95"/>
  <c r="C167" i="95"/>
  <c r="D166" i="95"/>
  <c r="C166" i="95"/>
  <c r="D165" i="95"/>
  <c r="C165" i="95"/>
  <c r="D164" i="95"/>
  <c r="C164" i="95"/>
  <c r="D160" i="95"/>
  <c r="C160" i="95"/>
  <c r="D159" i="95"/>
  <c r="C159" i="95"/>
  <c r="D158" i="95"/>
  <c r="C158" i="95"/>
  <c r="D157" i="95"/>
  <c r="C157" i="95"/>
  <c r="D156" i="95"/>
  <c r="C156" i="95"/>
  <c r="D155" i="95"/>
  <c r="C155" i="95"/>
  <c r="D153" i="95"/>
  <c r="C153" i="95"/>
  <c r="D152" i="95"/>
  <c r="C152" i="95"/>
  <c r="D151" i="95"/>
  <c r="C151" i="95"/>
  <c r="D150" i="95"/>
  <c r="C150" i="95"/>
  <c r="D149" i="95"/>
  <c r="C149" i="95"/>
  <c r="D148" i="95"/>
  <c r="C148" i="95"/>
  <c r="D147" i="95"/>
  <c r="C147" i="95"/>
  <c r="D146" i="95"/>
  <c r="C146" i="95"/>
  <c r="D145" i="95"/>
  <c r="C145" i="95"/>
  <c r="D143" i="95"/>
  <c r="C143" i="95"/>
  <c r="D142" i="95"/>
  <c r="C142" i="95"/>
  <c r="D141" i="95"/>
  <c r="C141" i="95"/>
  <c r="D140" i="95"/>
  <c r="C140" i="95"/>
  <c r="D138" i="95"/>
  <c r="C138" i="95"/>
  <c r="D137" i="95"/>
  <c r="C137" i="95"/>
  <c r="D136" i="95"/>
  <c r="C136" i="95"/>
  <c r="D135" i="95"/>
  <c r="C135" i="95"/>
  <c r="D133" i="95"/>
  <c r="C133" i="95"/>
  <c r="D132" i="95"/>
  <c r="C132" i="95"/>
  <c r="D131" i="95"/>
  <c r="C131" i="95"/>
  <c r="D130" i="95"/>
  <c r="C130" i="95"/>
  <c r="D129" i="95"/>
  <c r="C129" i="95"/>
  <c r="D127" i="95"/>
  <c r="C127" i="95"/>
  <c r="D126" i="95"/>
  <c r="C126" i="95"/>
  <c r="D125" i="95"/>
  <c r="C125" i="95"/>
  <c r="D124" i="95"/>
  <c r="C124" i="95"/>
  <c r="D123" i="95"/>
  <c r="C123" i="95"/>
  <c r="D118" i="95"/>
  <c r="C118" i="95"/>
  <c r="D117" i="95"/>
  <c r="C117" i="95"/>
  <c r="D116" i="95"/>
  <c r="C116" i="95"/>
  <c r="D115" i="95"/>
  <c r="C115" i="95"/>
  <c r="D114" i="95"/>
  <c r="C114" i="95"/>
  <c r="D110" i="95"/>
  <c r="C110" i="95"/>
  <c r="D109" i="95"/>
  <c r="C109" i="95"/>
  <c r="D108" i="95"/>
  <c r="C108" i="95"/>
  <c r="D107" i="95"/>
  <c r="C107" i="95"/>
  <c r="D106" i="95"/>
  <c r="C106" i="95"/>
  <c r="D105" i="95"/>
  <c r="C105" i="95"/>
  <c r="D101" i="95"/>
  <c r="C101" i="95"/>
  <c r="D100" i="95"/>
  <c r="C100" i="95"/>
  <c r="D99" i="95"/>
  <c r="C99" i="95"/>
  <c r="D98" i="95"/>
  <c r="C98" i="95"/>
  <c r="D97" i="95"/>
  <c r="C97" i="95"/>
  <c r="D96" i="95"/>
  <c r="C96" i="95"/>
  <c r="D92" i="95"/>
  <c r="C92" i="95"/>
  <c r="D91" i="95"/>
  <c r="C91" i="95"/>
  <c r="D90" i="95"/>
  <c r="C90" i="95"/>
  <c r="D89" i="95"/>
  <c r="C89" i="95"/>
  <c r="D88" i="95"/>
  <c r="C88" i="95"/>
  <c r="D87" i="95"/>
  <c r="C87" i="95"/>
  <c r="D86" i="95"/>
  <c r="C86" i="95"/>
  <c r="D85" i="95"/>
  <c r="C85" i="95"/>
  <c r="D84" i="95"/>
  <c r="C84" i="95"/>
  <c r="D83" i="95"/>
  <c r="C83" i="95"/>
  <c r="D82" i="95"/>
  <c r="C82" i="95"/>
  <c r="D78" i="95"/>
  <c r="C78" i="95"/>
  <c r="D77" i="95"/>
  <c r="C77" i="95"/>
  <c r="D76" i="95"/>
  <c r="C76" i="95"/>
  <c r="D75" i="95"/>
  <c r="C75" i="95"/>
  <c r="D74" i="95"/>
  <c r="C74" i="95"/>
  <c r="D73" i="95"/>
  <c r="C73" i="95"/>
  <c r="D72" i="95"/>
  <c r="C72" i="95"/>
  <c r="D71" i="95"/>
  <c r="C71" i="95"/>
  <c r="D70" i="95"/>
  <c r="C70" i="95"/>
  <c r="D69" i="95"/>
  <c r="C69" i="95"/>
  <c r="D68" i="95"/>
  <c r="C68" i="95"/>
  <c r="D67" i="95"/>
  <c r="C67" i="95"/>
  <c r="D66" i="95"/>
  <c r="C66" i="95"/>
  <c r="D65" i="95"/>
  <c r="C65" i="95"/>
  <c r="D64" i="95"/>
  <c r="C64" i="95"/>
  <c r="D60" i="95"/>
  <c r="C60" i="95"/>
  <c r="D59" i="95"/>
  <c r="C59" i="95"/>
  <c r="D58" i="95"/>
  <c r="C58" i="95"/>
  <c r="D57" i="95"/>
  <c r="C57" i="95"/>
  <c r="D56" i="95"/>
  <c r="C56" i="95"/>
  <c r="D55" i="95"/>
  <c r="C55" i="95"/>
  <c r="D54" i="95"/>
  <c r="C54" i="95"/>
  <c r="D53" i="95"/>
  <c r="C53" i="95"/>
  <c r="D52" i="95"/>
  <c r="C52" i="95"/>
  <c r="D51" i="95"/>
  <c r="C51" i="95"/>
  <c r="D50" i="95"/>
  <c r="C50" i="95"/>
  <c r="D49" i="95"/>
  <c r="C49" i="95"/>
  <c r="D48" i="95"/>
  <c r="C48" i="95"/>
  <c r="D47" i="95"/>
  <c r="C47" i="95"/>
  <c r="D46" i="95"/>
  <c r="C46" i="95"/>
  <c r="D45" i="95"/>
  <c r="C45" i="95"/>
  <c r="D44" i="95"/>
  <c r="C44" i="95"/>
  <c r="D43" i="95"/>
  <c r="C43" i="95"/>
  <c r="D42" i="95"/>
  <c r="C42" i="95"/>
  <c r="D41" i="95"/>
  <c r="C41" i="95"/>
  <c r="D40" i="95"/>
  <c r="C40" i="95"/>
  <c r="D39" i="95"/>
  <c r="C39" i="95"/>
  <c r="D38" i="95"/>
  <c r="C38" i="95"/>
  <c r="D37" i="95"/>
  <c r="C37" i="95"/>
  <c r="D36" i="95"/>
  <c r="C36" i="95"/>
  <c r="D35" i="95"/>
  <c r="C35" i="95"/>
  <c r="D34" i="95"/>
  <c r="C34" i="95"/>
  <c r="D33" i="95"/>
  <c r="C33" i="95"/>
  <c r="D32" i="95"/>
  <c r="C32" i="95"/>
  <c r="D31" i="95"/>
  <c r="C31" i="95"/>
  <c r="D30" i="95"/>
  <c r="C30" i="95"/>
  <c r="D29" i="95"/>
  <c r="C29" i="95"/>
  <c r="D28" i="95"/>
  <c r="C28" i="95"/>
  <c r="D27" i="95"/>
  <c r="C27" i="95"/>
  <c r="D26" i="95"/>
  <c r="C26" i="95"/>
  <c r="D25" i="95"/>
  <c r="C25" i="95"/>
  <c r="D20" i="95"/>
  <c r="C20" i="95"/>
  <c r="D19" i="95"/>
  <c r="C19" i="95"/>
  <c r="D18" i="95"/>
  <c r="C18" i="95"/>
  <c r="D17" i="95"/>
  <c r="C17" i="95"/>
  <c r="D16" i="95"/>
  <c r="C16" i="95"/>
  <c r="D15" i="95"/>
  <c r="C15" i="95"/>
  <c r="D14" i="95"/>
  <c r="C14" i="95"/>
  <c r="D13" i="95"/>
  <c r="C13" i="95"/>
  <c r="D12" i="95"/>
  <c r="C12" i="95"/>
  <c r="D11" i="95"/>
  <c r="C11" i="95"/>
  <c r="D79" i="95" l="1"/>
  <c r="C111" i="95"/>
  <c r="C197" i="95"/>
  <c r="C206" i="95"/>
  <c r="D197" i="95"/>
  <c r="D111" i="95"/>
  <c r="D206" i="95"/>
  <c r="C21" i="95"/>
  <c r="C102" i="95"/>
  <c r="D21" i="95"/>
  <c r="D102" i="95"/>
  <c r="D119" i="95"/>
  <c r="C93" i="95"/>
  <c r="C161" i="95"/>
  <c r="D93" i="95"/>
  <c r="D161" i="95"/>
  <c r="C228" i="95"/>
  <c r="C119" i="95"/>
  <c r="C79" i="95"/>
  <c r="C61" i="95"/>
  <c r="D61" i="95"/>
  <c r="D208" i="95" l="1"/>
  <c r="D215" i="95" s="1"/>
  <c r="C208" i="95"/>
  <c r="C212" i="95" l="1"/>
  <c r="C215" i="95"/>
  <c r="G244" i="98"/>
  <c r="G243" i="98"/>
  <c r="G242" i="98"/>
  <c r="G241" i="98"/>
  <c r="C238" i="98"/>
  <c r="C237" i="98"/>
  <c r="C236" i="98"/>
  <c r="C235" i="98"/>
  <c r="C233" i="98"/>
  <c r="C232" i="98"/>
  <c r="C231" i="98"/>
  <c r="D228" i="98"/>
  <c r="C227" i="98"/>
  <c r="C226" i="98"/>
  <c r="C225" i="98"/>
  <c r="C224" i="98"/>
  <c r="C223" i="98"/>
  <c r="C222" i="98"/>
  <c r="C221" i="98"/>
  <c r="C220" i="98"/>
  <c r="C219" i="98"/>
  <c r="C211" i="98"/>
  <c r="D205" i="98"/>
  <c r="C205" i="98"/>
  <c r="D204" i="98"/>
  <c r="C204" i="98"/>
  <c r="D203" i="98"/>
  <c r="C203" i="98"/>
  <c r="D202" i="98"/>
  <c r="C202" i="98"/>
  <c r="D201" i="98"/>
  <c r="C201" i="98"/>
  <c r="D200" i="98"/>
  <c r="C200" i="98"/>
  <c r="D196" i="98"/>
  <c r="C196" i="98"/>
  <c r="D195" i="98"/>
  <c r="C195" i="98"/>
  <c r="D194" i="98"/>
  <c r="C194" i="98"/>
  <c r="D193" i="98"/>
  <c r="C193" i="98"/>
  <c r="D192" i="98"/>
  <c r="C192" i="98"/>
  <c r="D191" i="98"/>
  <c r="C191" i="98"/>
  <c r="D190" i="98"/>
  <c r="C190" i="98"/>
  <c r="D189" i="98"/>
  <c r="C189" i="98"/>
  <c r="D188" i="98"/>
  <c r="C188" i="98"/>
  <c r="D187" i="98"/>
  <c r="C187" i="98"/>
  <c r="D186" i="98"/>
  <c r="C186" i="98"/>
  <c r="D185" i="98"/>
  <c r="C185" i="98"/>
  <c r="D184" i="98"/>
  <c r="C184" i="98"/>
  <c r="D183" i="98"/>
  <c r="C183" i="98"/>
  <c r="D182" i="98"/>
  <c r="C182" i="98"/>
  <c r="D181" i="98"/>
  <c r="C181" i="98"/>
  <c r="D180" i="98"/>
  <c r="C180" i="98"/>
  <c r="D179" i="98"/>
  <c r="C179" i="98"/>
  <c r="D178" i="98"/>
  <c r="C178" i="98"/>
  <c r="D177" i="98"/>
  <c r="C177" i="98"/>
  <c r="D176" i="98"/>
  <c r="C176" i="98"/>
  <c r="D175" i="98"/>
  <c r="C175" i="98"/>
  <c r="D174" i="98"/>
  <c r="C174" i="98"/>
  <c r="D173" i="98"/>
  <c r="C173" i="98"/>
  <c r="D172" i="98"/>
  <c r="C172" i="98"/>
  <c r="D171" i="98"/>
  <c r="C171" i="98"/>
  <c r="D170" i="98"/>
  <c r="C170" i="98"/>
  <c r="D169" i="98"/>
  <c r="C169" i="98"/>
  <c r="D168" i="98"/>
  <c r="C168" i="98"/>
  <c r="D167" i="98"/>
  <c r="C167" i="98"/>
  <c r="D166" i="98"/>
  <c r="C166" i="98"/>
  <c r="D165" i="98"/>
  <c r="C165" i="98"/>
  <c r="D164" i="98"/>
  <c r="C164" i="98"/>
  <c r="D160" i="98"/>
  <c r="C160" i="98"/>
  <c r="D159" i="98"/>
  <c r="C159" i="98"/>
  <c r="D158" i="98"/>
  <c r="C158" i="98"/>
  <c r="D157" i="98"/>
  <c r="C157" i="98"/>
  <c r="D156" i="98"/>
  <c r="C156" i="98"/>
  <c r="D155" i="98"/>
  <c r="C155" i="98"/>
  <c r="D153" i="98"/>
  <c r="C153" i="98"/>
  <c r="D152" i="98"/>
  <c r="C152" i="98"/>
  <c r="D151" i="98"/>
  <c r="C151" i="98"/>
  <c r="D150" i="98"/>
  <c r="C150" i="98"/>
  <c r="D149" i="98"/>
  <c r="C149" i="98"/>
  <c r="D148" i="98"/>
  <c r="C148" i="98"/>
  <c r="D147" i="98"/>
  <c r="C147" i="98"/>
  <c r="D146" i="98"/>
  <c r="C146" i="98"/>
  <c r="D145" i="98"/>
  <c r="C145" i="98"/>
  <c r="D143" i="98"/>
  <c r="C143" i="98"/>
  <c r="D142" i="98"/>
  <c r="C142" i="98"/>
  <c r="D141" i="98"/>
  <c r="C141" i="98"/>
  <c r="D140" i="98"/>
  <c r="C140" i="98"/>
  <c r="D138" i="98"/>
  <c r="C138" i="98"/>
  <c r="D137" i="98"/>
  <c r="C137" i="98"/>
  <c r="D136" i="98"/>
  <c r="C136" i="98"/>
  <c r="D135" i="98"/>
  <c r="C135" i="98"/>
  <c r="D133" i="98"/>
  <c r="C133" i="98"/>
  <c r="D132" i="98"/>
  <c r="C132" i="98"/>
  <c r="D131" i="98"/>
  <c r="C131" i="98"/>
  <c r="D130" i="98"/>
  <c r="C130" i="98"/>
  <c r="D129" i="98"/>
  <c r="C129" i="98"/>
  <c r="D127" i="98"/>
  <c r="C127" i="98"/>
  <c r="D126" i="98"/>
  <c r="C126" i="98"/>
  <c r="D125" i="98"/>
  <c r="C125" i="98"/>
  <c r="D124" i="98"/>
  <c r="C124" i="98"/>
  <c r="D123" i="98"/>
  <c r="C123" i="98"/>
  <c r="D118" i="98"/>
  <c r="C118" i="98"/>
  <c r="D117" i="98"/>
  <c r="C117" i="98"/>
  <c r="D116" i="98"/>
  <c r="C116" i="98"/>
  <c r="D115" i="98"/>
  <c r="C115" i="98"/>
  <c r="D114" i="98"/>
  <c r="C114" i="98"/>
  <c r="D110" i="98"/>
  <c r="C110" i="98"/>
  <c r="D109" i="98"/>
  <c r="C109" i="98"/>
  <c r="D108" i="98"/>
  <c r="C108" i="98"/>
  <c r="D107" i="98"/>
  <c r="C107" i="98"/>
  <c r="D106" i="98"/>
  <c r="C106" i="98"/>
  <c r="D105" i="98"/>
  <c r="C105" i="98"/>
  <c r="D101" i="98"/>
  <c r="C101" i="98"/>
  <c r="D100" i="98"/>
  <c r="C100" i="98"/>
  <c r="D99" i="98"/>
  <c r="C99" i="98"/>
  <c r="D98" i="98"/>
  <c r="C98" i="98"/>
  <c r="D97" i="98"/>
  <c r="C97" i="98"/>
  <c r="D96" i="98"/>
  <c r="C96" i="98"/>
  <c r="D92" i="98"/>
  <c r="C92" i="98"/>
  <c r="D91" i="98"/>
  <c r="C91" i="98"/>
  <c r="D90" i="98"/>
  <c r="C90" i="98"/>
  <c r="D89" i="98"/>
  <c r="C89" i="98"/>
  <c r="D88" i="98"/>
  <c r="C88" i="98"/>
  <c r="D87" i="98"/>
  <c r="C87" i="98"/>
  <c r="D86" i="98"/>
  <c r="C86" i="98"/>
  <c r="D85" i="98"/>
  <c r="C85" i="98"/>
  <c r="D84" i="98"/>
  <c r="C84" i="98"/>
  <c r="D83" i="98"/>
  <c r="C83" i="98"/>
  <c r="D82" i="98"/>
  <c r="C82" i="98"/>
  <c r="D78" i="98"/>
  <c r="C78" i="98"/>
  <c r="D77" i="98"/>
  <c r="C77" i="98"/>
  <c r="D76" i="98"/>
  <c r="C76" i="98"/>
  <c r="D75" i="98"/>
  <c r="C75" i="98"/>
  <c r="D74" i="98"/>
  <c r="C74" i="98"/>
  <c r="D73" i="98"/>
  <c r="C73" i="98"/>
  <c r="D72" i="98"/>
  <c r="C72" i="98"/>
  <c r="D71" i="98"/>
  <c r="C71" i="98"/>
  <c r="D70" i="98"/>
  <c r="C70" i="98"/>
  <c r="D69" i="98"/>
  <c r="C69" i="98"/>
  <c r="D68" i="98"/>
  <c r="C68" i="98"/>
  <c r="D67" i="98"/>
  <c r="C67" i="98"/>
  <c r="D66" i="98"/>
  <c r="C66" i="98"/>
  <c r="D65" i="98"/>
  <c r="C65" i="98"/>
  <c r="D64" i="98"/>
  <c r="C64" i="98"/>
  <c r="D60" i="98"/>
  <c r="C60" i="98"/>
  <c r="D59" i="98"/>
  <c r="C59" i="98"/>
  <c r="D58" i="98"/>
  <c r="C58" i="98"/>
  <c r="D57" i="98"/>
  <c r="C57" i="98"/>
  <c r="D56" i="98"/>
  <c r="C56" i="98"/>
  <c r="D55" i="98"/>
  <c r="C55" i="98"/>
  <c r="D54" i="98"/>
  <c r="C54" i="98"/>
  <c r="D53" i="98"/>
  <c r="C53" i="98"/>
  <c r="D52" i="98"/>
  <c r="C52" i="98"/>
  <c r="D51" i="98"/>
  <c r="C51" i="98"/>
  <c r="D50" i="98"/>
  <c r="C50" i="98"/>
  <c r="D49" i="98"/>
  <c r="C49" i="98"/>
  <c r="D48" i="98"/>
  <c r="C48" i="98"/>
  <c r="D47" i="98"/>
  <c r="C47" i="98"/>
  <c r="D46" i="98"/>
  <c r="C46" i="98"/>
  <c r="D45" i="98"/>
  <c r="C45" i="98"/>
  <c r="D44" i="98"/>
  <c r="C44" i="98"/>
  <c r="D43" i="98"/>
  <c r="C43" i="98"/>
  <c r="D42" i="98"/>
  <c r="C42" i="98"/>
  <c r="D41" i="98"/>
  <c r="C41" i="98"/>
  <c r="D40" i="98"/>
  <c r="C40" i="98"/>
  <c r="D39" i="98"/>
  <c r="C39" i="98"/>
  <c r="D38" i="98"/>
  <c r="C38" i="98"/>
  <c r="D37" i="98"/>
  <c r="C37" i="98"/>
  <c r="D36" i="98"/>
  <c r="C36" i="98"/>
  <c r="D35" i="98"/>
  <c r="C35" i="98"/>
  <c r="D34" i="98"/>
  <c r="C34" i="98"/>
  <c r="D33" i="98"/>
  <c r="C33" i="98"/>
  <c r="D32" i="98"/>
  <c r="C32" i="98"/>
  <c r="D31" i="98"/>
  <c r="C31" i="98"/>
  <c r="D30" i="98"/>
  <c r="C30" i="98"/>
  <c r="D29" i="98"/>
  <c r="C29" i="98"/>
  <c r="D28" i="98"/>
  <c r="C28" i="98"/>
  <c r="D27" i="98"/>
  <c r="C27" i="98"/>
  <c r="D26" i="98"/>
  <c r="C26" i="98"/>
  <c r="D25" i="98"/>
  <c r="C25" i="98"/>
  <c r="D20" i="98"/>
  <c r="C20" i="98"/>
  <c r="D19" i="98"/>
  <c r="C19" i="98"/>
  <c r="D18" i="98"/>
  <c r="C18" i="98"/>
  <c r="D17" i="98"/>
  <c r="C17" i="98"/>
  <c r="D16" i="98"/>
  <c r="C16" i="98"/>
  <c r="D15" i="98"/>
  <c r="C15" i="98"/>
  <c r="D14" i="98"/>
  <c r="C14" i="98"/>
  <c r="D13" i="98"/>
  <c r="C13" i="98"/>
  <c r="D12" i="98"/>
  <c r="C12" i="98"/>
  <c r="D11" i="98"/>
  <c r="C11" i="98"/>
  <c r="D119" i="98" l="1"/>
  <c r="C161" i="98"/>
  <c r="C93" i="98"/>
  <c r="C119" i="98"/>
  <c r="D93" i="98"/>
  <c r="D161" i="98"/>
  <c r="D111" i="98"/>
  <c r="C21" i="98"/>
  <c r="C111" i="98"/>
  <c r="C228" i="98"/>
  <c r="C197" i="98"/>
  <c r="C79" i="98"/>
  <c r="C102" i="98"/>
  <c r="D197" i="98"/>
  <c r="D206" i="98"/>
  <c r="D21" i="98"/>
  <c r="C206" i="98"/>
  <c r="D79" i="98"/>
  <c r="D102" i="98"/>
  <c r="C61" i="98"/>
  <c r="D61" i="98"/>
  <c r="D208" i="98" l="1"/>
  <c r="D215" i="98" s="1"/>
  <c r="C208" i="98"/>
  <c r="C212" i="98" l="1"/>
  <c r="C215" i="98"/>
  <c r="G244" i="165"/>
  <c r="G243" i="165"/>
  <c r="G242" i="165"/>
  <c r="G241" i="165"/>
  <c r="C238" i="165"/>
  <c r="C237" i="165"/>
  <c r="C236" i="165"/>
  <c r="C235" i="165"/>
  <c r="C233" i="165"/>
  <c r="C232" i="165"/>
  <c r="C231" i="165"/>
  <c r="D228" i="165"/>
  <c r="C227" i="165"/>
  <c r="C226" i="165"/>
  <c r="C225" i="165"/>
  <c r="C224" i="165"/>
  <c r="C223" i="165"/>
  <c r="C222" i="165"/>
  <c r="C221" i="165"/>
  <c r="C220" i="165"/>
  <c r="C219" i="165"/>
  <c r="C211" i="165"/>
  <c r="D205" i="165"/>
  <c r="C205" i="165"/>
  <c r="D204" i="165"/>
  <c r="C204" i="165"/>
  <c r="D203" i="165"/>
  <c r="C203" i="165"/>
  <c r="D202" i="165"/>
  <c r="C202" i="165"/>
  <c r="D201" i="165"/>
  <c r="C201" i="165"/>
  <c r="D200" i="165"/>
  <c r="C200" i="165"/>
  <c r="D196" i="165"/>
  <c r="C196" i="165"/>
  <c r="D195" i="165"/>
  <c r="C195" i="165"/>
  <c r="D194" i="165"/>
  <c r="C194" i="165"/>
  <c r="D193" i="165"/>
  <c r="C193" i="165"/>
  <c r="D192" i="165"/>
  <c r="C192" i="165"/>
  <c r="D191" i="165"/>
  <c r="C191" i="165"/>
  <c r="D190" i="165"/>
  <c r="C190" i="165"/>
  <c r="D189" i="165"/>
  <c r="C189" i="165"/>
  <c r="D188" i="165"/>
  <c r="C188" i="165"/>
  <c r="D187" i="165"/>
  <c r="C187" i="165"/>
  <c r="D186" i="165"/>
  <c r="C186" i="165"/>
  <c r="D185" i="165"/>
  <c r="C185" i="165"/>
  <c r="D184" i="165"/>
  <c r="C184" i="165"/>
  <c r="D183" i="165"/>
  <c r="C183" i="165"/>
  <c r="D182" i="165"/>
  <c r="C182" i="165"/>
  <c r="D181" i="165"/>
  <c r="C181" i="165"/>
  <c r="D180" i="165"/>
  <c r="C180" i="165"/>
  <c r="D179" i="165"/>
  <c r="C179" i="165"/>
  <c r="D178" i="165"/>
  <c r="C178" i="165"/>
  <c r="D177" i="165"/>
  <c r="C177" i="165"/>
  <c r="D176" i="165"/>
  <c r="C176" i="165"/>
  <c r="D175" i="165"/>
  <c r="C175" i="165"/>
  <c r="D174" i="165"/>
  <c r="C174" i="165"/>
  <c r="D173" i="165"/>
  <c r="C173" i="165"/>
  <c r="D172" i="165"/>
  <c r="C172" i="165"/>
  <c r="D171" i="165"/>
  <c r="C171" i="165"/>
  <c r="D170" i="165"/>
  <c r="C170" i="165"/>
  <c r="D169" i="165"/>
  <c r="C169" i="165"/>
  <c r="D168" i="165"/>
  <c r="C168" i="165"/>
  <c r="D167" i="165"/>
  <c r="C167" i="165"/>
  <c r="D166" i="165"/>
  <c r="C166" i="165"/>
  <c r="D165" i="165"/>
  <c r="C165" i="165"/>
  <c r="D164" i="165"/>
  <c r="C164" i="165"/>
  <c r="D160" i="165"/>
  <c r="C160" i="165"/>
  <c r="D159" i="165"/>
  <c r="C159" i="165"/>
  <c r="D158" i="165"/>
  <c r="C158" i="165"/>
  <c r="D157" i="165"/>
  <c r="C157" i="165"/>
  <c r="D156" i="165"/>
  <c r="C156" i="165"/>
  <c r="D155" i="165"/>
  <c r="C155" i="165"/>
  <c r="D153" i="165"/>
  <c r="C153" i="165"/>
  <c r="D152" i="165"/>
  <c r="C152" i="165"/>
  <c r="D151" i="165"/>
  <c r="C151" i="165"/>
  <c r="D150" i="165"/>
  <c r="C150" i="165"/>
  <c r="D149" i="165"/>
  <c r="C149" i="165"/>
  <c r="D148" i="165"/>
  <c r="C148" i="165"/>
  <c r="D147" i="165"/>
  <c r="C147" i="165"/>
  <c r="D146" i="165"/>
  <c r="C146" i="165"/>
  <c r="D145" i="165"/>
  <c r="C145" i="165"/>
  <c r="D143" i="165"/>
  <c r="C143" i="165"/>
  <c r="D142" i="165"/>
  <c r="C142" i="165"/>
  <c r="D141" i="165"/>
  <c r="C141" i="165"/>
  <c r="D140" i="165"/>
  <c r="C140" i="165"/>
  <c r="D138" i="165"/>
  <c r="C138" i="165"/>
  <c r="D137" i="165"/>
  <c r="C137" i="165"/>
  <c r="D136" i="165"/>
  <c r="C136" i="165"/>
  <c r="D135" i="165"/>
  <c r="C135" i="165"/>
  <c r="D133" i="165"/>
  <c r="C133" i="165"/>
  <c r="D132" i="165"/>
  <c r="C132" i="165"/>
  <c r="D131" i="165"/>
  <c r="C131" i="165"/>
  <c r="D130" i="165"/>
  <c r="C130" i="165"/>
  <c r="D129" i="165"/>
  <c r="C129" i="165"/>
  <c r="D127" i="165"/>
  <c r="C127" i="165"/>
  <c r="D126" i="165"/>
  <c r="C126" i="165"/>
  <c r="D125" i="165"/>
  <c r="C125" i="165"/>
  <c r="D124" i="165"/>
  <c r="C124" i="165"/>
  <c r="D123" i="165"/>
  <c r="C123" i="165"/>
  <c r="D118" i="165"/>
  <c r="C118" i="165"/>
  <c r="D117" i="165"/>
  <c r="C117" i="165"/>
  <c r="D116" i="165"/>
  <c r="C116" i="165"/>
  <c r="D115" i="165"/>
  <c r="C115" i="165"/>
  <c r="D114" i="165"/>
  <c r="C114" i="165"/>
  <c r="D110" i="165"/>
  <c r="C110" i="165"/>
  <c r="D109" i="165"/>
  <c r="C109" i="165"/>
  <c r="D108" i="165"/>
  <c r="C108" i="165"/>
  <c r="D107" i="165"/>
  <c r="C107" i="165"/>
  <c r="D106" i="165"/>
  <c r="C106" i="165"/>
  <c r="D105" i="165"/>
  <c r="C105" i="165"/>
  <c r="D101" i="165"/>
  <c r="C101" i="165"/>
  <c r="D100" i="165"/>
  <c r="C100" i="165"/>
  <c r="D99" i="165"/>
  <c r="C99" i="165"/>
  <c r="D98" i="165"/>
  <c r="C98" i="165"/>
  <c r="D97" i="165"/>
  <c r="C97" i="165"/>
  <c r="D96" i="165"/>
  <c r="C96" i="165"/>
  <c r="D92" i="165"/>
  <c r="C92" i="165"/>
  <c r="D91" i="165"/>
  <c r="C91" i="165"/>
  <c r="D90" i="165"/>
  <c r="C90" i="165"/>
  <c r="D89" i="165"/>
  <c r="C89" i="165"/>
  <c r="D88" i="165"/>
  <c r="C88" i="165"/>
  <c r="D87" i="165"/>
  <c r="C87" i="165"/>
  <c r="D86" i="165"/>
  <c r="C86" i="165"/>
  <c r="D85" i="165"/>
  <c r="C85" i="165"/>
  <c r="D84" i="165"/>
  <c r="C84" i="165"/>
  <c r="D83" i="165"/>
  <c r="C83" i="165"/>
  <c r="D82" i="165"/>
  <c r="C82" i="165"/>
  <c r="D78" i="165"/>
  <c r="C78" i="165"/>
  <c r="D77" i="165"/>
  <c r="C77" i="165"/>
  <c r="D76" i="165"/>
  <c r="C76" i="165"/>
  <c r="D75" i="165"/>
  <c r="C75" i="165"/>
  <c r="D74" i="165"/>
  <c r="C74" i="165"/>
  <c r="D73" i="165"/>
  <c r="C73" i="165"/>
  <c r="D72" i="165"/>
  <c r="C72" i="165"/>
  <c r="D71" i="165"/>
  <c r="C71" i="165"/>
  <c r="D70" i="165"/>
  <c r="C70" i="165"/>
  <c r="D69" i="165"/>
  <c r="C69" i="165"/>
  <c r="D68" i="165"/>
  <c r="C68" i="165"/>
  <c r="D67" i="165"/>
  <c r="C67" i="165"/>
  <c r="D66" i="165"/>
  <c r="C66" i="165"/>
  <c r="D65" i="165"/>
  <c r="C65" i="165"/>
  <c r="D64" i="165"/>
  <c r="C64" i="165"/>
  <c r="D60" i="165"/>
  <c r="C60" i="165"/>
  <c r="D59" i="165"/>
  <c r="C59" i="165"/>
  <c r="D58" i="165"/>
  <c r="C58" i="165"/>
  <c r="D57" i="165"/>
  <c r="C57" i="165"/>
  <c r="D56" i="165"/>
  <c r="C56" i="165"/>
  <c r="D55" i="165"/>
  <c r="C55" i="165"/>
  <c r="D54" i="165"/>
  <c r="C54" i="165"/>
  <c r="D53" i="165"/>
  <c r="C53" i="165"/>
  <c r="D52" i="165"/>
  <c r="C52" i="165"/>
  <c r="D51" i="165"/>
  <c r="C51" i="165"/>
  <c r="D50" i="165"/>
  <c r="C50" i="165"/>
  <c r="D49" i="165"/>
  <c r="C49" i="165"/>
  <c r="D48" i="165"/>
  <c r="C48" i="165"/>
  <c r="D47" i="165"/>
  <c r="C47" i="165"/>
  <c r="D46" i="165"/>
  <c r="C46" i="165"/>
  <c r="D45" i="165"/>
  <c r="C45" i="165"/>
  <c r="D44" i="165"/>
  <c r="C44" i="165"/>
  <c r="D43" i="165"/>
  <c r="C43" i="165"/>
  <c r="D42" i="165"/>
  <c r="C42" i="165"/>
  <c r="D41" i="165"/>
  <c r="C41" i="165"/>
  <c r="D40" i="165"/>
  <c r="C40" i="165"/>
  <c r="D39" i="165"/>
  <c r="C39" i="165"/>
  <c r="D38" i="165"/>
  <c r="C38" i="165"/>
  <c r="D37" i="165"/>
  <c r="C37" i="165"/>
  <c r="D36" i="165"/>
  <c r="C36" i="165"/>
  <c r="D35" i="165"/>
  <c r="C35" i="165"/>
  <c r="D34" i="165"/>
  <c r="C34" i="165"/>
  <c r="D33" i="165"/>
  <c r="C33" i="165"/>
  <c r="D32" i="165"/>
  <c r="C32" i="165"/>
  <c r="D31" i="165"/>
  <c r="C31" i="165"/>
  <c r="D30" i="165"/>
  <c r="C30" i="165"/>
  <c r="D29" i="165"/>
  <c r="C29" i="165"/>
  <c r="D28" i="165"/>
  <c r="C28" i="165"/>
  <c r="D27" i="165"/>
  <c r="C27" i="165"/>
  <c r="D26" i="165"/>
  <c r="C26" i="165"/>
  <c r="D25" i="165"/>
  <c r="C25" i="165"/>
  <c r="D20" i="165"/>
  <c r="C20" i="165"/>
  <c r="D19" i="165"/>
  <c r="C19" i="165"/>
  <c r="D18" i="165"/>
  <c r="C18" i="165"/>
  <c r="D17" i="165"/>
  <c r="C17" i="165"/>
  <c r="D16" i="165"/>
  <c r="C16" i="165"/>
  <c r="D15" i="165"/>
  <c r="C15" i="165"/>
  <c r="D14" i="165"/>
  <c r="C14" i="165"/>
  <c r="D13" i="165"/>
  <c r="C13" i="165"/>
  <c r="D12" i="165"/>
  <c r="C12" i="165"/>
  <c r="D11" i="165"/>
  <c r="C11" i="165"/>
  <c r="D161" i="165" l="1"/>
  <c r="C93" i="165"/>
  <c r="C111" i="165"/>
  <c r="D111" i="165"/>
  <c r="D93" i="165"/>
  <c r="D119" i="165"/>
  <c r="C61" i="165"/>
  <c r="C119" i="165"/>
  <c r="C161" i="165"/>
  <c r="C228" i="165"/>
  <c r="C21" i="165"/>
  <c r="D21" i="165"/>
  <c r="C197" i="165"/>
  <c r="C206" i="165"/>
  <c r="C79" i="165"/>
  <c r="C102" i="165"/>
  <c r="D197" i="165"/>
  <c r="D206" i="165"/>
  <c r="D79" i="165"/>
  <c r="D102" i="165"/>
  <c r="D61" i="165"/>
  <c r="C208" i="165" l="1"/>
  <c r="D208" i="165"/>
  <c r="D215" i="165" s="1"/>
  <c r="C212" i="165" l="1"/>
  <c r="C215" i="165"/>
  <c r="G244" i="1"/>
  <c r="G243" i="1"/>
  <c r="G242" i="1"/>
  <c r="G241" i="1"/>
  <c r="C238" i="1"/>
  <c r="C237" i="1"/>
  <c r="C236" i="1"/>
  <c r="C235" i="1"/>
  <c r="C233" i="1"/>
  <c r="C232" i="1"/>
  <c r="C231" i="1"/>
  <c r="D228" i="1"/>
  <c r="C227" i="1"/>
  <c r="C226" i="1"/>
  <c r="C225" i="1"/>
  <c r="C224" i="1"/>
  <c r="C223" i="1"/>
  <c r="C222" i="1"/>
  <c r="C221" i="1"/>
  <c r="C220" i="1"/>
  <c r="C219" i="1"/>
  <c r="C211" i="1"/>
  <c r="D205" i="1"/>
  <c r="C205" i="1"/>
  <c r="D204" i="1"/>
  <c r="C204" i="1"/>
  <c r="D203" i="1"/>
  <c r="C203" i="1"/>
  <c r="D202" i="1"/>
  <c r="C202" i="1"/>
  <c r="D201" i="1"/>
  <c r="C201" i="1"/>
  <c r="D200" i="1"/>
  <c r="C200" i="1"/>
  <c r="D196" i="1"/>
  <c r="C196" i="1"/>
  <c r="D195" i="1"/>
  <c r="C195" i="1"/>
  <c r="D194" i="1"/>
  <c r="C194" i="1"/>
  <c r="D193" i="1"/>
  <c r="C193" i="1"/>
  <c r="D192" i="1"/>
  <c r="C192" i="1"/>
  <c r="D191" i="1"/>
  <c r="C191" i="1"/>
  <c r="D190" i="1"/>
  <c r="C190" i="1"/>
  <c r="D189" i="1"/>
  <c r="C189" i="1"/>
  <c r="D188" i="1"/>
  <c r="C188" i="1"/>
  <c r="D187" i="1"/>
  <c r="C187" i="1"/>
  <c r="D186" i="1"/>
  <c r="C186" i="1"/>
  <c r="D185" i="1"/>
  <c r="C185" i="1"/>
  <c r="D184" i="1"/>
  <c r="C184" i="1"/>
  <c r="D183" i="1"/>
  <c r="C183" i="1"/>
  <c r="D182" i="1"/>
  <c r="C182" i="1"/>
  <c r="D181" i="1"/>
  <c r="C181" i="1"/>
  <c r="D180" i="1"/>
  <c r="C180" i="1"/>
  <c r="D179" i="1"/>
  <c r="C179" i="1"/>
  <c r="D178" i="1"/>
  <c r="C178" i="1"/>
  <c r="D177" i="1"/>
  <c r="C177" i="1"/>
  <c r="D176" i="1"/>
  <c r="C176" i="1"/>
  <c r="D175" i="1"/>
  <c r="C175" i="1"/>
  <c r="D174" i="1"/>
  <c r="C174" i="1"/>
  <c r="D173" i="1"/>
  <c r="C173" i="1"/>
  <c r="D172" i="1"/>
  <c r="C172" i="1"/>
  <c r="D171" i="1"/>
  <c r="C171" i="1"/>
  <c r="D170" i="1"/>
  <c r="C170" i="1"/>
  <c r="D169" i="1"/>
  <c r="C169" i="1"/>
  <c r="D168" i="1"/>
  <c r="C168" i="1"/>
  <c r="D167" i="1"/>
  <c r="C167" i="1"/>
  <c r="D166" i="1"/>
  <c r="C166" i="1"/>
  <c r="D165" i="1"/>
  <c r="C165" i="1"/>
  <c r="D164" i="1"/>
  <c r="C164" i="1"/>
  <c r="D160" i="1"/>
  <c r="C160" i="1"/>
  <c r="D159" i="1"/>
  <c r="C159" i="1"/>
  <c r="D158" i="1"/>
  <c r="C158" i="1"/>
  <c r="D157" i="1"/>
  <c r="C157" i="1"/>
  <c r="D156" i="1"/>
  <c r="C156" i="1"/>
  <c r="D155" i="1"/>
  <c r="C155" i="1"/>
  <c r="D153" i="1"/>
  <c r="C153" i="1"/>
  <c r="D152" i="1"/>
  <c r="C152" i="1"/>
  <c r="D151" i="1"/>
  <c r="C151" i="1"/>
  <c r="D150" i="1"/>
  <c r="C150" i="1"/>
  <c r="D149" i="1"/>
  <c r="C149" i="1"/>
  <c r="D148" i="1"/>
  <c r="C148" i="1"/>
  <c r="D147" i="1"/>
  <c r="C147" i="1"/>
  <c r="D146" i="1"/>
  <c r="C146" i="1"/>
  <c r="D145" i="1"/>
  <c r="C145" i="1"/>
  <c r="D143" i="1"/>
  <c r="C143" i="1"/>
  <c r="D142" i="1"/>
  <c r="C142" i="1"/>
  <c r="D141" i="1"/>
  <c r="C141" i="1"/>
  <c r="D140" i="1"/>
  <c r="C140" i="1"/>
  <c r="D138" i="1"/>
  <c r="C138" i="1"/>
  <c r="D137" i="1"/>
  <c r="C137" i="1"/>
  <c r="D136" i="1"/>
  <c r="C136" i="1"/>
  <c r="D135" i="1"/>
  <c r="C135" i="1"/>
  <c r="D133" i="1"/>
  <c r="C133" i="1"/>
  <c r="D132" i="1"/>
  <c r="C132" i="1"/>
  <c r="D131" i="1"/>
  <c r="C131" i="1"/>
  <c r="D130" i="1"/>
  <c r="C130" i="1"/>
  <c r="D129" i="1"/>
  <c r="C129" i="1"/>
  <c r="D127" i="1"/>
  <c r="C127" i="1"/>
  <c r="D126" i="1"/>
  <c r="C126" i="1"/>
  <c r="D125" i="1"/>
  <c r="C125" i="1"/>
  <c r="D124" i="1"/>
  <c r="C124" i="1"/>
  <c r="D123" i="1"/>
  <c r="C123" i="1"/>
  <c r="D118" i="1"/>
  <c r="C118" i="1"/>
  <c r="D117" i="1"/>
  <c r="C117" i="1"/>
  <c r="D116" i="1"/>
  <c r="C116" i="1"/>
  <c r="D115" i="1"/>
  <c r="C115" i="1"/>
  <c r="D114" i="1"/>
  <c r="C114" i="1"/>
  <c r="D110" i="1"/>
  <c r="C110" i="1"/>
  <c r="D109" i="1"/>
  <c r="C109" i="1"/>
  <c r="D108" i="1"/>
  <c r="C108" i="1"/>
  <c r="D107" i="1"/>
  <c r="C107" i="1"/>
  <c r="D106" i="1"/>
  <c r="C106" i="1"/>
  <c r="D105" i="1"/>
  <c r="C105" i="1"/>
  <c r="D101" i="1"/>
  <c r="C101" i="1"/>
  <c r="D100" i="1"/>
  <c r="C100" i="1"/>
  <c r="D99" i="1"/>
  <c r="C99" i="1"/>
  <c r="D98" i="1"/>
  <c r="C98" i="1"/>
  <c r="D97" i="1"/>
  <c r="C97" i="1"/>
  <c r="D96" i="1"/>
  <c r="C96" i="1"/>
  <c r="D92" i="1"/>
  <c r="C92" i="1"/>
  <c r="D91" i="1"/>
  <c r="C91" i="1"/>
  <c r="D90" i="1"/>
  <c r="C90" i="1"/>
  <c r="D89" i="1"/>
  <c r="C89" i="1"/>
  <c r="D88" i="1"/>
  <c r="C88" i="1"/>
  <c r="D87" i="1"/>
  <c r="C87" i="1"/>
  <c r="D86" i="1"/>
  <c r="C86" i="1"/>
  <c r="D85" i="1"/>
  <c r="C85" i="1"/>
  <c r="D84" i="1"/>
  <c r="C84" i="1"/>
  <c r="D83" i="1"/>
  <c r="C83" i="1"/>
  <c r="D82" i="1"/>
  <c r="C82" i="1"/>
  <c r="D78" i="1"/>
  <c r="C78" i="1"/>
  <c r="D77" i="1"/>
  <c r="C77" i="1"/>
  <c r="D76" i="1"/>
  <c r="C76" i="1"/>
  <c r="D75" i="1"/>
  <c r="C75" i="1"/>
  <c r="D74" i="1"/>
  <c r="C74" i="1"/>
  <c r="D73" i="1"/>
  <c r="C73" i="1"/>
  <c r="D72" i="1"/>
  <c r="C72" i="1"/>
  <c r="D71" i="1"/>
  <c r="C71" i="1"/>
  <c r="D70" i="1"/>
  <c r="C70" i="1"/>
  <c r="D69" i="1"/>
  <c r="C69" i="1"/>
  <c r="D68" i="1"/>
  <c r="C68" i="1"/>
  <c r="D67" i="1"/>
  <c r="C67" i="1"/>
  <c r="D66" i="1"/>
  <c r="C66" i="1"/>
  <c r="D65" i="1"/>
  <c r="C65" i="1"/>
  <c r="D64" i="1"/>
  <c r="C64" i="1"/>
  <c r="D60" i="1"/>
  <c r="C60" i="1"/>
  <c r="D59" i="1"/>
  <c r="C59" i="1"/>
  <c r="D58" i="1"/>
  <c r="C58" i="1"/>
  <c r="D57" i="1"/>
  <c r="C57" i="1"/>
  <c r="D56" i="1"/>
  <c r="C56" i="1"/>
  <c r="D55" i="1"/>
  <c r="C55" i="1"/>
  <c r="D54" i="1"/>
  <c r="C54" i="1"/>
  <c r="D53" i="1"/>
  <c r="C53" i="1"/>
  <c r="D52" i="1"/>
  <c r="C52" i="1"/>
  <c r="D51" i="1"/>
  <c r="C51" i="1"/>
  <c r="D50" i="1"/>
  <c r="C50" i="1"/>
  <c r="D49" i="1"/>
  <c r="C49" i="1"/>
  <c r="D48" i="1"/>
  <c r="C48" i="1"/>
  <c r="D47" i="1"/>
  <c r="C47" i="1"/>
  <c r="D46" i="1"/>
  <c r="C46" i="1"/>
  <c r="D45" i="1"/>
  <c r="C45" i="1"/>
  <c r="D44" i="1"/>
  <c r="C44" i="1"/>
  <c r="D43" i="1"/>
  <c r="C43" i="1"/>
  <c r="D42" i="1"/>
  <c r="C42" i="1"/>
  <c r="D41" i="1"/>
  <c r="C41" i="1"/>
  <c r="D40" i="1"/>
  <c r="C40" i="1"/>
  <c r="D39" i="1"/>
  <c r="C39" i="1"/>
  <c r="D38" i="1"/>
  <c r="C38" i="1"/>
  <c r="D37" i="1"/>
  <c r="C37" i="1"/>
  <c r="D36" i="1"/>
  <c r="C36" i="1"/>
  <c r="D35" i="1"/>
  <c r="C35" i="1"/>
  <c r="D34" i="1"/>
  <c r="C34" i="1"/>
  <c r="D33" i="1"/>
  <c r="C33" i="1"/>
  <c r="D32" i="1"/>
  <c r="C32" i="1"/>
  <c r="D31" i="1"/>
  <c r="C31" i="1"/>
  <c r="D30" i="1"/>
  <c r="C30" i="1"/>
  <c r="D29" i="1"/>
  <c r="C29" i="1"/>
  <c r="D28" i="1"/>
  <c r="C28" i="1"/>
  <c r="D27" i="1"/>
  <c r="C27" i="1"/>
  <c r="D26" i="1"/>
  <c r="C26" i="1"/>
  <c r="D25" i="1"/>
  <c r="C25" i="1"/>
  <c r="D20" i="1"/>
  <c r="C20" i="1"/>
  <c r="D19" i="1"/>
  <c r="C19" i="1"/>
  <c r="D18" i="1"/>
  <c r="C18" i="1"/>
  <c r="D17" i="1"/>
  <c r="C17" i="1"/>
  <c r="D16" i="1"/>
  <c r="C16" i="1"/>
  <c r="D15" i="1"/>
  <c r="C15" i="1"/>
  <c r="D14" i="1"/>
  <c r="C14" i="1"/>
  <c r="D13" i="1"/>
  <c r="C13" i="1"/>
  <c r="D12" i="1"/>
  <c r="C12" i="1"/>
  <c r="D11" i="1"/>
  <c r="C11" i="1"/>
  <c r="D93" i="1" l="1"/>
  <c r="D119" i="1"/>
  <c r="C119" i="1"/>
  <c r="D79" i="1"/>
  <c r="C61" i="1"/>
  <c r="C111" i="1"/>
  <c r="C161" i="1"/>
  <c r="D111" i="1"/>
  <c r="D161" i="1"/>
  <c r="C21" i="1"/>
  <c r="C93" i="1"/>
  <c r="D21" i="1"/>
  <c r="C102" i="1"/>
  <c r="C197" i="1"/>
  <c r="C206" i="1"/>
  <c r="C228" i="1"/>
  <c r="C79" i="1"/>
  <c r="D102" i="1"/>
  <c r="D197" i="1"/>
  <c r="D206" i="1"/>
  <c r="D61" i="1"/>
  <c r="D208" i="1" l="1"/>
  <c r="D215" i="1" s="1"/>
  <c r="C208" i="1"/>
  <c r="C212" i="1" l="1"/>
  <c r="C215" i="1"/>
  <c r="G244" i="141"/>
  <c r="G243" i="141"/>
  <c r="G242" i="141"/>
  <c r="G241" i="141"/>
  <c r="C238" i="141"/>
  <c r="C237" i="141"/>
  <c r="C236" i="141"/>
  <c r="C235" i="141"/>
  <c r="C233" i="141"/>
  <c r="C232" i="141"/>
  <c r="C231" i="141"/>
  <c r="D228" i="141"/>
  <c r="C227" i="141"/>
  <c r="C226" i="141"/>
  <c r="C225" i="141"/>
  <c r="C224" i="141"/>
  <c r="C223" i="141"/>
  <c r="C222" i="141"/>
  <c r="C221" i="141"/>
  <c r="C220" i="141"/>
  <c r="C219" i="141"/>
  <c r="C211" i="141"/>
  <c r="D205" i="141"/>
  <c r="C205" i="141"/>
  <c r="D204" i="141"/>
  <c r="C204" i="141"/>
  <c r="D203" i="141"/>
  <c r="C203" i="141"/>
  <c r="D202" i="141"/>
  <c r="C202" i="141"/>
  <c r="D201" i="141"/>
  <c r="C201" i="141"/>
  <c r="D200" i="141"/>
  <c r="C200" i="141"/>
  <c r="D196" i="141"/>
  <c r="C196" i="141"/>
  <c r="D195" i="141"/>
  <c r="C195" i="141"/>
  <c r="D194" i="141"/>
  <c r="C194" i="141"/>
  <c r="D193" i="141"/>
  <c r="C193" i="141"/>
  <c r="D192" i="141"/>
  <c r="C192" i="141"/>
  <c r="D191" i="141"/>
  <c r="C191" i="141"/>
  <c r="D190" i="141"/>
  <c r="C190" i="141"/>
  <c r="D189" i="141"/>
  <c r="C189" i="141"/>
  <c r="D188" i="141"/>
  <c r="C188" i="141"/>
  <c r="D187" i="141"/>
  <c r="C187" i="141"/>
  <c r="D186" i="141"/>
  <c r="C186" i="141"/>
  <c r="D185" i="141"/>
  <c r="C185" i="141"/>
  <c r="D184" i="141"/>
  <c r="C184" i="141"/>
  <c r="D183" i="141"/>
  <c r="C183" i="141"/>
  <c r="D182" i="141"/>
  <c r="C182" i="141"/>
  <c r="D181" i="141"/>
  <c r="C181" i="141"/>
  <c r="D180" i="141"/>
  <c r="C180" i="141"/>
  <c r="D179" i="141"/>
  <c r="C179" i="141"/>
  <c r="D178" i="141"/>
  <c r="C178" i="141"/>
  <c r="D177" i="141"/>
  <c r="C177" i="141"/>
  <c r="D176" i="141"/>
  <c r="C176" i="141"/>
  <c r="D175" i="141"/>
  <c r="C175" i="141"/>
  <c r="D174" i="141"/>
  <c r="C174" i="141"/>
  <c r="D173" i="141"/>
  <c r="C173" i="141"/>
  <c r="D172" i="141"/>
  <c r="C172" i="141"/>
  <c r="D171" i="141"/>
  <c r="C171" i="141"/>
  <c r="D170" i="141"/>
  <c r="C170" i="141"/>
  <c r="D169" i="141"/>
  <c r="C169" i="141"/>
  <c r="D168" i="141"/>
  <c r="C168" i="141"/>
  <c r="D167" i="141"/>
  <c r="C167" i="141"/>
  <c r="D166" i="141"/>
  <c r="C166" i="141"/>
  <c r="D165" i="141"/>
  <c r="C165" i="141"/>
  <c r="D164" i="141"/>
  <c r="C164" i="141"/>
  <c r="D160" i="141"/>
  <c r="C160" i="141"/>
  <c r="D159" i="141"/>
  <c r="C159" i="141"/>
  <c r="D158" i="141"/>
  <c r="C158" i="141"/>
  <c r="D157" i="141"/>
  <c r="C157" i="141"/>
  <c r="D156" i="141"/>
  <c r="C156" i="141"/>
  <c r="D155" i="141"/>
  <c r="C155" i="141"/>
  <c r="D153" i="141"/>
  <c r="C153" i="141"/>
  <c r="D152" i="141"/>
  <c r="C152" i="141"/>
  <c r="D151" i="141"/>
  <c r="C151" i="141"/>
  <c r="D150" i="141"/>
  <c r="C150" i="141"/>
  <c r="D149" i="141"/>
  <c r="C149" i="141"/>
  <c r="D148" i="141"/>
  <c r="C148" i="141"/>
  <c r="D147" i="141"/>
  <c r="C147" i="141"/>
  <c r="D146" i="141"/>
  <c r="C146" i="141"/>
  <c r="D145" i="141"/>
  <c r="C145" i="141"/>
  <c r="D143" i="141"/>
  <c r="C143" i="141"/>
  <c r="D142" i="141"/>
  <c r="C142" i="141"/>
  <c r="D141" i="141"/>
  <c r="C141" i="141"/>
  <c r="D140" i="141"/>
  <c r="C140" i="141"/>
  <c r="D138" i="141"/>
  <c r="C138" i="141"/>
  <c r="D137" i="141"/>
  <c r="C137" i="141"/>
  <c r="D136" i="141"/>
  <c r="C136" i="141"/>
  <c r="D135" i="141"/>
  <c r="C135" i="141"/>
  <c r="D133" i="141"/>
  <c r="C133" i="141"/>
  <c r="D132" i="141"/>
  <c r="C132" i="141"/>
  <c r="D131" i="141"/>
  <c r="C131" i="141"/>
  <c r="D130" i="141"/>
  <c r="C130" i="141"/>
  <c r="D129" i="141"/>
  <c r="C129" i="141"/>
  <c r="D127" i="141"/>
  <c r="C127" i="141"/>
  <c r="D126" i="141"/>
  <c r="C126" i="141"/>
  <c r="D125" i="141"/>
  <c r="C125" i="141"/>
  <c r="D124" i="141"/>
  <c r="C124" i="141"/>
  <c r="D123" i="141"/>
  <c r="C123" i="141"/>
  <c r="D118" i="141"/>
  <c r="C118" i="141"/>
  <c r="D117" i="141"/>
  <c r="C117" i="141"/>
  <c r="D116" i="141"/>
  <c r="C116" i="141"/>
  <c r="D115" i="141"/>
  <c r="C115" i="141"/>
  <c r="D114" i="141"/>
  <c r="C114" i="141"/>
  <c r="D110" i="141"/>
  <c r="C110" i="141"/>
  <c r="D109" i="141"/>
  <c r="C109" i="141"/>
  <c r="D108" i="141"/>
  <c r="C108" i="141"/>
  <c r="D107" i="141"/>
  <c r="C107" i="141"/>
  <c r="D106" i="141"/>
  <c r="C106" i="141"/>
  <c r="D105" i="141"/>
  <c r="C105" i="141"/>
  <c r="D101" i="141"/>
  <c r="C101" i="141"/>
  <c r="D100" i="141"/>
  <c r="C100" i="141"/>
  <c r="D99" i="141"/>
  <c r="C99" i="141"/>
  <c r="D98" i="141"/>
  <c r="C98" i="141"/>
  <c r="D97" i="141"/>
  <c r="C97" i="141"/>
  <c r="D96" i="141"/>
  <c r="C96" i="141"/>
  <c r="D92" i="141"/>
  <c r="C92" i="141"/>
  <c r="D91" i="141"/>
  <c r="C91" i="141"/>
  <c r="D90" i="141"/>
  <c r="C90" i="141"/>
  <c r="D89" i="141"/>
  <c r="C89" i="141"/>
  <c r="D88" i="141"/>
  <c r="C88" i="141"/>
  <c r="D87" i="141"/>
  <c r="C87" i="141"/>
  <c r="D86" i="141"/>
  <c r="C86" i="141"/>
  <c r="D85" i="141"/>
  <c r="C85" i="141"/>
  <c r="D84" i="141"/>
  <c r="C84" i="141"/>
  <c r="D83" i="141"/>
  <c r="C83" i="141"/>
  <c r="D82" i="141"/>
  <c r="C82" i="141"/>
  <c r="D78" i="141"/>
  <c r="C78" i="141"/>
  <c r="D77" i="141"/>
  <c r="C77" i="141"/>
  <c r="D76" i="141"/>
  <c r="C76" i="141"/>
  <c r="D75" i="141"/>
  <c r="C75" i="141"/>
  <c r="D74" i="141"/>
  <c r="C74" i="141"/>
  <c r="D73" i="141"/>
  <c r="C73" i="141"/>
  <c r="D72" i="141"/>
  <c r="C72" i="141"/>
  <c r="D71" i="141"/>
  <c r="C71" i="141"/>
  <c r="D70" i="141"/>
  <c r="C70" i="141"/>
  <c r="D69" i="141"/>
  <c r="C69" i="141"/>
  <c r="D68" i="141"/>
  <c r="C68" i="141"/>
  <c r="D67" i="141"/>
  <c r="C67" i="141"/>
  <c r="D66" i="141"/>
  <c r="C66" i="141"/>
  <c r="D65" i="141"/>
  <c r="C65" i="141"/>
  <c r="D64" i="141"/>
  <c r="C64" i="141"/>
  <c r="D60" i="141"/>
  <c r="C60" i="141"/>
  <c r="D59" i="141"/>
  <c r="C59" i="141"/>
  <c r="D58" i="141"/>
  <c r="C58" i="141"/>
  <c r="D57" i="141"/>
  <c r="C57" i="141"/>
  <c r="D56" i="141"/>
  <c r="C56" i="141"/>
  <c r="D55" i="141"/>
  <c r="C55" i="141"/>
  <c r="D54" i="141"/>
  <c r="C54" i="141"/>
  <c r="D53" i="141"/>
  <c r="C53" i="141"/>
  <c r="D52" i="141"/>
  <c r="C52" i="141"/>
  <c r="D51" i="141"/>
  <c r="C51" i="141"/>
  <c r="D50" i="141"/>
  <c r="C50" i="141"/>
  <c r="D49" i="141"/>
  <c r="C49" i="141"/>
  <c r="D48" i="141"/>
  <c r="C48" i="141"/>
  <c r="D47" i="141"/>
  <c r="C47" i="141"/>
  <c r="D46" i="141"/>
  <c r="C46" i="141"/>
  <c r="D45" i="141"/>
  <c r="C45" i="141"/>
  <c r="D44" i="141"/>
  <c r="C44" i="141"/>
  <c r="D43" i="141"/>
  <c r="C43" i="141"/>
  <c r="D42" i="141"/>
  <c r="C42" i="141"/>
  <c r="D41" i="141"/>
  <c r="C41" i="141"/>
  <c r="D40" i="141"/>
  <c r="C40" i="141"/>
  <c r="D39" i="141"/>
  <c r="C39" i="141"/>
  <c r="D38" i="141"/>
  <c r="C38" i="141"/>
  <c r="D37" i="141"/>
  <c r="C37" i="141"/>
  <c r="D36" i="141"/>
  <c r="C36" i="141"/>
  <c r="D35" i="141"/>
  <c r="C35" i="141"/>
  <c r="D34" i="141"/>
  <c r="C34" i="141"/>
  <c r="D33" i="141"/>
  <c r="C33" i="141"/>
  <c r="D32" i="141"/>
  <c r="C32" i="141"/>
  <c r="D31" i="141"/>
  <c r="C31" i="141"/>
  <c r="D30" i="141"/>
  <c r="C30" i="141"/>
  <c r="D29" i="141"/>
  <c r="C29" i="141"/>
  <c r="D28" i="141"/>
  <c r="C28" i="141"/>
  <c r="D27" i="141"/>
  <c r="C27" i="141"/>
  <c r="D26" i="141"/>
  <c r="C26" i="141"/>
  <c r="D25" i="141"/>
  <c r="C25" i="141"/>
  <c r="D20" i="141"/>
  <c r="C20" i="141"/>
  <c r="D19" i="141"/>
  <c r="C19" i="141"/>
  <c r="D18" i="141"/>
  <c r="C18" i="141"/>
  <c r="D17" i="141"/>
  <c r="C17" i="141"/>
  <c r="D16" i="141"/>
  <c r="C16" i="141"/>
  <c r="D15" i="141"/>
  <c r="C15" i="141"/>
  <c r="D14" i="141"/>
  <c r="C14" i="141"/>
  <c r="D13" i="141"/>
  <c r="C13" i="141"/>
  <c r="D12" i="141"/>
  <c r="C12" i="141"/>
  <c r="D11" i="141"/>
  <c r="C11" i="141"/>
  <c r="C79" i="141" l="1"/>
  <c r="D21" i="141"/>
  <c r="D102" i="141"/>
  <c r="C93" i="141"/>
  <c r="C206" i="141"/>
  <c r="D93" i="141"/>
  <c r="D161" i="141"/>
  <c r="C228" i="141"/>
  <c r="D79" i="141"/>
  <c r="C111" i="141"/>
  <c r="C161" i="141"/>
  <c r="C102" i="141"/>
  <c r="C197" i="141"/>
  <c r="C119" i="141"/>
  <c r="D119" i="141"/>
  <c r="D111" i="141"/>
  <c r="C21" i="141"/>
  <c r="D197" i="141"/>
  <c r="D206" i="141"/>
  <c r="D61" i="141"/>
  <c r="C61" i="141"/>
  <c r="C208" i="141" l="1"/>
  <c r="D208" i="141"/>
  <c r="D215" i="141" s="1"/>
  <c r="C212" i="141" l="1"/>
  <c r="C215" i="141"/>
  <c r="G244" i="142"/>
  <c r="G243" i="142"/>
  <c r="G242" i="142"/>
  <c r="G241" i="142"/>
  <c r="C238" i="142"/>
  <c r="C237" i="142"/>
  <c r="C236" i="142"/>
  <c r="C235" i="142"/>
  <c r="C233" i="142"/>
  <c r="C232" i="142"/>
  <c r="C231" i="142"/>
  <c r="D228" i="142"/>
  <c r="C227" i="142"/>
  <c r="C226" i="142"/>
  <c r="C225" i="142"/>
  <c r="C224" i="142"/>
  <c r="C223" i="142"/>
  <c r="C222" i="142"/>
  <c r="C221" i="142"/>
  <c r="C220" i="142"/>
  <c r="C219" i="142"/>
  <c r="C211" i="142"/>
  <c r="D205" i="142"/>
  <c r="C205" i="142"/>
  <c r="D204" i="142"/>
  <c r="C204" i="142"/>
  <c r="D203" i="142"/>
  <c r="C203" i="142"/>
  <c r="D202" i="142"/>
  <c r="C202" i="142"/>
  <c r="D201" i="142"/>
  <c r="C201" i="142"/>
  <c r="D200" i="142"/>
  <c r="C200" i="142"/>
  <c r="D196" i="142"/>
  <c r="C196" i="142"/>
  <c r="D195" i="142"/>
  <c r="C195" i="142"/>
  <c r="D194" i="142"/>
  <c r="C194" i="142"/>
  <c r="D193" i="142"/>
  <c r="C193" i="142"/>
  <c r="D192" i="142"/>
  <c r="C192" i="142"/>
  <c r="D191" i="142"/>
  <c r="C191" i="142"/>
  <c r="D190" i="142"/>
  <c r="C190" i="142"/>
  <c r="D189" i="142"/>
  <c r="C189" i="142"/>
  <c r="D188" i="142"/>
  <c r="C188" i="142"/>
  <c r="D187" i="142"/>
  <c r="C187" i="142"/>
  <c r="D186" i="142"/>
  <c r="C186" i="142"/>
  <c r="D185" i="142"/>
  <c r="C185" i="142"/>
  <c r="D184" i="142"/>
  <c r="C184" i="142"/>
  <c r="D183" i="142"/>
  <c r="C183" i="142"/>
  <c r="D182" i="142"/>
  <c r="C182" i="142"/>
  <c r="D181" i="142"/>
  <c r="C181" i="142"/>
  <c r="D180" i="142"/>
  <c r="C180" i="142"/>
  <c r="D179" i="142"/>
  <c r="C179" i="142"/>
  <c r="D178" i="142"/>
  <c r="C178" i="142"/>
  <c r="D177" i="142"/>
  <c r="C177" i="142"/>
  <c r="D176" i="142"/>
  <c r="C176" i="142"/>
  <c r="D175" i="142"/>
  <c r="C175" i="142"/>
  <c r="D174" i="142"/>
  <c r="C174" i="142"/>
  <c r="D173" i="142"/>
  <c r="C173" i="142"/>
  <c r="D172" i="142"/>
  <c r="C172" i="142"/>
  <c r="D171" i="142"/>
  <c r="C171" i="142"/>
  <c r="D170" i="142"/>
  <c r="C170" i="142"/>
  <c r="D169" i="142"/>
  <c r="C169" i="142"/>
  <c r="D168" i="142"/>
  <c r="C168" i="142"/>
  <c r="D167" i="142"/>
  <c r="C167" i="142"/>
  <c r="D166" i="142"/>
  <c r="C166" i="142"/>
  <c r="D165" i="142"/>
  <c r="C165" i="142"/>
  <c r="D164" i="142"/>
  <c r="C164" i="142"/>
  <c r="D160" i="142"/>
  <c r="C160" i="142"/>
  <c r="D159" i="142"/>
  <c r="C159" i="142"/>
  <c r="D158" i="142"/>
  <c r="C158" i="142"/>
  <c r="D157" i="142"/>
  <c r="C157" i="142"/>
  <c r="D156" i="142"/>
  <c r="C156" i="142"/>
  <c r="D155" i="142"/>
  <c r="C155" i="142"/>
  <c r="D153" i="142"/>
  <c r="C153" i="142"/>
  <c r="D152" i="142"/>
  <c r="C152" i="142"/>
  <c r="D151" i="142"/>
  <c r="C151" i="142"/>
  <c r="D150" i="142"/>
  <c r="C150" i="142"/>
  <c r="D149" i="142"/>
  <c r="C149" i="142"/>
  <c r="D148" i="142"/>
  <c r="C148" i="142"/>
  <c r="D147" i="142"/>
  <c r="C147" i="142"/>
  <c r="D146" i="142"/>
  <c r="C146" i="142"/>
  <c r="D145" i="142"/>
  <c r="C145" i="142"/>
  <c r="D143" i="142"/>
  <c r="C143" i="142"/>
  <c r="D142" i="142"/>
  <c r="C142" i="142"/>
  <c r="D141" i="142"/>
  <c r="C141" i="142"/>
  <c r="D140" i="142"/>
  <c r="C140" i="142"/>
  <c r="D138" i="142"/>
  <c r="C138" i="142"/>
  <c r="D137" i="142"/>
  <c r="C137" i="142"/>
  <c r="D136" i="142"/>
  <c r="C136" i="142"/>
  <c r="D135" i="142"/>
  <c r="C135" i="142"/>
  <c r="D133" i="142"/>
  <c r="C133" i="142"/>
  <c r="D132" i="142"/>
  <c r="C132" i="142"/>
  <c r="D131" i="142"/>
  <c r="C131" i="142"/>
  <c r="D130" i="142"/>
  <c r="C130" i="142"/>
  <c r="D129" i="142"/>
  <c r="C129" i="142"/>
  <c r="D127" i="142"/>
  <c r="C127" i="142"/>
  <c r="D126" i="142"/>
  <c r="C126" i="142"/>
  <c r="D125" i="142"/>
  <c r="C125" i="142"/>
  <c r="D124" i="142"/>
  <c r="C124" i="142"/>
  <c r="D123" i="142"/>
  <c r="C123" i="142"/>
  <c r="D118" i="142"/>
  <c r="C118" i="142"/>
  <c r="D117" i="142"/>
  <c r="C117" i="142"/>
  <c r="D116" i="142"/>
  <c r="C116" i="142"/>
  <c r="D115" i="142"/>
  <c r="C115" i="142"/>
  <c r="D114" i="142"/>
  <c r="C114" i="142"/>
  <c r="D110" i="142"/>
  <c r="C110" i="142"/>
  <c r="D109" i="142"/>
  <c r="C109" i="142"/>
  <c r="D108" i="142"/>
  <c r="C108" i="142"/>
  <c r="D107" i="142"/>
  <c r="C107" i="142"/>
  <c r="D106" i="142"/>
  <c r="C106" i="142"/>
  <c r="D105" i="142"/>
  <c r="C105" i="142"/>
  <c r="D101" i="142"/>
  <c r="C101" i="142"/>
  <c r="D100" i="142"/>
  <c r="C100" i="142"/>
  <c r="D99" i="142"/>
  <c r="C99" i="142"/>
  <c r="D98" i="142"/>
  <c r="C98" i="142"/>
  <c r="D97" i="142"/>
  <c r="C97" i="142"/>
  <c r="D96" i="142"/>
  <c r="C96" i="142"/>
  <c r="D92" i="142"/>
  <c r="C92" i="142"/>
  <c r="D91" i="142"/>
  <c r="C91" i="142"/>
  <c r="D90" i="142"/>
  <c r="C90" i="142"/>
  <c r="D89" i="142"/>
  <c r="C89" i="142"/>
  <c r="D88" i="142"/>
  <c r="C88" i="142"/>
  <c r="D87" i="142"/>
  <c r="C87" i="142"/>
  <c r="D86" i="142"/>
  <c r="C86" i="142"/>
  <c r="D85" i="142"/>
  <c r="C85" i="142"/>
  <c r="D84" i="142"/>
  <c r="C84" i="142"/>
  <c r="D83" i="142"/>
  <c r="C83" i="142"/>
  <c r="D82" i="142"/>
  <c r="C82" i="142"/>
  <c r="D78" i="142"/>
  <c r="C78" i="142"/>
  <c r="D77" i="142"/>
  <c r="C77" i="142"/>
  <c r="D76" i="142"/>
  <c r="C76" i="142"/>
  <c r="D75" i="142"/>
  <c r="C75" i="142"/>
  <c r="D74" i="142"/>
  <c r="C74" i="142"/>
  <c r="D73" i="142"/>
  <c r="C73" i="142"/>
  <c r="D72" i="142"/>
  <c r="C72" i="142"/>
  <c r="D71" i="142"/>
  <c r="C71" i="142"/>
  <c r="D70" i="142"/>
  <c r="C70" i="142"/>
  <c r="D69" i="142"/>
  <c r="C69" i="142"/>
  <c r="D68" i="142"/>
  <c r="C68" i="142"/>
  <c r="D67" i="142"/>
  <c r="C67" i="142"/>
  <c r="D66" i="142"/>
  <c r="C66" i="142"/>
  <c r="D65" i="142"/>
  <c r="C65" i="142"/>
  <c r="D64" i="142"/>
  <c r="C64" i="142"/>
  <c r="D60" i="142"/>
  <c r="C60" i="142"/>
  <c r="D59" i="142"/>
  <c r="C59" i="142"/>
  <c r="D58" i="142"/>
  <c r="C58" i="142"/>
  <c r="D57" i="142"/>
  <c r="C57" i="142"/>
  <c r="D56" i="142"/>
  <c r="C56" i="142"/>
  <c r="D55" i="142"/>
  <c r="C55" i="142"/>
  <c r="D54" i="142"/>
  <c r="C54" i="142"/>
  <c r="D53" i="142"/>
  <c r="C53" i="142"/>
  <c r="D52" i="142"/>
  <c r="C52" i="142"/>
  <c r="D51" i="142"/>
  <c r="C51" i="142"/>
  <c r="D50" i="142"/>
  <c r="C50" i="142"/>
  <c r="D49" i="142"/>
  <c r="C49" i="142"/>
  <c r="D48" i="142"/>
  <c r="C48" i="142"/>
  <c r="D47" i="142"/>
  <c r="C47" i="142"/>
  <c r="D46" i="142"/>
  <c r="C46" i="142"/>
  <c r="D45" i="142"/>
  <c r="C45" i="142"/>
  <c r="D44" i="142"/>
  <c r="C44" i="142"/>
  <c r="D43" i="142"/>
  <c r="C43" i="142"/>
  <c r="D42" i="142"/>
  <c r="C42" i="142"/>
  <c r="D41" i="142"/>
  <c r="C41" i="142"/>
  <c r="D40" i="142"/>
  <c r="C40" i="142"/>
  <c r="D39" i="142"/>
  <c r="C39" i="142"/>
  <c r="D38" i="142"/>
  <c r="C38" i="142"/>
  <c r="D37" i="142"/>
  <c r="C37" i="142"/>
  <c r="D36" i="142"/>
  <c r="C36" i="142"/>
  <c r="D35" i="142"/>
  <c r="C35" i="142"/>
  <c r="D34" i="142"/>
  <c r="C34" i="142"/>
  <c r="D33" i="142"/>
  <c r="C33" i="142"/>
  <c r="D32" i="142"/>
  <c r="C32" i="142"/>
  <c r="D31" i="142"/>
  <c r="C31" i="142"/>
  <c r="D30" i="142"/>
  <c r="C30" i="142"/>
  <c r="D29" i="142"/>
  <c r="C29" i="142"/>
  <c r="D28" i="142"/>
  <c r="C28" i="142"/>
  <c r="D27" i="142"/>
  <c r="C27" i="142"/>
  <c r="D26" i="142"/>
  <c r="C26" i="142"/>
  <c r="D25" i="142"/>
  <c r="C25" i="142"/>
  <c r="D20" i="142"/>
  <c r="C20" i="142"/>
  <c r="D19" i="142"/>
  <c r="C19" i="142"/>
  <c r="D18" i="142"/>
  <c r="C18" i="142"/>
  <c r="D17" i="142"/>
  <c r="C17" i="142"/>
  <c r="D16" i="142"/>
  <c r="C16" i="142"/>
  <c r="D15" i="142"/>
  <c r="C15" i="142"/>
  <c r="D14" i="142"/>
  <c r="C14" i="142"/>
  <c r="D13" i="142"/>
  <c r="C13" i="142"/>
  <c r="D12" i="142"/>
  <c r="C12" i="142"/>
  <c r="D11" i="142"/>
  <c r="C11" i="142"/>
  <c r="C206" i="142" l="1"/>
  <c r="D161" i="142"/>
  <c r="C161" i="142"/>
  <c r="D206" i="142"/>
  <c r="C102" i="142"/>
  <c r="C79" i="142"/>
  <c r="C119" i="142"/>
  <c r="D79" i="142"/>
  <c r="D119" i="142"/>
  <c r="C228" i="142"/>
  <c r="C21" i="142"/>
  <c r="C111" i="142"/>
  <c r="C197" i="142"/>
  <c r="D102" i="142"/>
  <c r="C93" i="142"/>
  <c r="D21" i="142"/>
  <c r="D111" i="142"/>
  <c r="D197" i="142"/>
  <c r="D93" i="142"/>
  <c r="C61" i="142"/>
  <c r="D61" i="142"/>
  <c r="C208" i="142" l="1"/>
  <c r="C212" i="142" s="1"/>
  <c r="D208" i="142"/>
  <c r="D215" i="142" s="1"/>
  <c r="C215" i="142" l="1"/>
  <c r="G244" i="50"/>
  <c r="G243" i="50"/>
  <c r="G242" i="50"/>
  <c r="G241" i="50"/>
  <c r="C238" i="50"/>
  <c r="C237" i="50"/>
  <c r="C236" i="50"/>
  <c r="C235" i="50"/>
  <c r="C233" i="50"/>
  <c r="C232" i="50"/>
  <c r="C231" i="50"/>
  <c r="D228" i="50"/>
  <c r="C227" i="50"/>
  <c r="C226" i="50"/>
  <c r="C225" i="50"/>
  <c r="C224" i="50"/>
  <c r="C223" i="50"/>
  <c r="C222" i="50"/>
  <c r="C221" i="50"/>
  <c r="C220" i="50"/>
  <c r="C219" i="50"/>
  <c r="C211" i="50"/>
  <c r="D205" i="50"/>
  <c r="C205" i="50"/>
  <c r="D204" i="50"/>
  <c r="C204" i="50"/>
  <c r="D203" i="50"/>
  <c r="C203" i="50"/>
  <c r="D202" i="50"/>
  <c r="C202" i="50"/>
  <c r="D201" i="50"/>
  <c r="C201" i="50"/>
  <c r="D200" i="50"/>
  <c r="C200" i="50"/>
  <c r="D196" i="50"/>
  <c r="C196" i="50"/>
  <c r="D195" i="50"/>
  <c r="C195" i="50"/>
  <c r="D194" i="50"/>
  <c r="C194" i="50"/>
  <c r="D193" i="50"/>
  <c r="C193" i="50"/>
  <c r="D192" i="50"/>
  <c r="C192" i="50"/>
  <c r="D191" i="50"/>
  <c r="C191" i="50"/>
  <c r="D190" i="50"/>
  <c r="C190" i="50"/>
  <c r="D189" i="50"/>
  <c r="C189" i="50"/>
  <c r="D188" i="50"/>
  <c r="C188" i="50"/>
  <c r="D187" i="50"/>
  <c r="C187" i="50"/>
  <c r="D186" i="50"/>
  <c r="C186" i="50"/>
  <c r="D185" i="50"/>
  <c r="C185" i="50"/>
  <c r="D184" i="50"/>
  <c r="C184" i="50"/>
  <c r="D183" i="50"/>
  <c r="C183" i="50"/>
  <c r="D182" i="50"/>
  <c r="C182" i="50"/>
  <c r="D181" i="50"/>
  <c r="C181" i="50"/>
  <c r="D180" i="50"/>
  <c r="C180" i="50"/>
  <c r="D179" i="50"/>
  <c r="C179" i="50"/>
  <c r="D178" i="50"/>
  <c r="C178" i="50"/>
  <c r="D177" i="50"/>
  <c r="C177" i="50"/>
  <c r="D176" i="50"/>
  <c r="C176" i="50"/>
  <c r="D175" i="50"/>
  <c r="C175" i="50"/>
  <c r="D174" i="50"/>
  <c r="C174" i="50"/>
  <c r="D173" i="50"/>
  <c r="C173" i="50"/>
  <c r="D172" i="50"/>
  <c r="C172" i="50"/>
  <c r="D171" i="50"/>
  <c r="C171" i="50"/>
  <c r="D170" i="50"/>
  <c r="C170" i="50"/>
  <c r="D169" i="50"/>
  <c r="C169" i="50"/>
  <c r="D168" i="50"/>
  <c r="C168" i="50"/>
  <c r="D167" i="50"/>
  <c r="C167" i="50"/>
  <c r="D166" i="50"/>
  <c r="C166" i="50"/>
  <c r="D165" i="50"/>
  <c r="C165" i="50"/>
  <c r="D164" i="50"/>
  <c r="C164" i="50"/>
  <c r="D160" i="50"/>
  <c r="C160" i="50"/>
  <c r="D159" i="50"/>
  <c r="C159" i="50"/>
  <c r="D158" i="50"/>
  <c r="C158" i="50"/>
  <c r="D157" i="50"/>
  <c r="C157" i="50"/>
  <c r="D156" i="50"/>
  <c r="C156" i="50"/>
  <c r="D155" i="50"/>
  <c r="C155" i="50"/>
  <c r="D153" i="50"/>
  <c r="C153" i="50"/>
  <c r="D152" i="50"/>
  <c r="C152" i="50"/>
  <c r="D151" i="50"/>
  <c r="C151" i="50"/>
  <c r="D150" i="50"/>
  <c r="C150" i="50"/>
  <c r="D149" i="50"/>
  <c r="C149" i="50"/>
  <c r="D148" i="50"/>
  <c r="C148" i="50"/>
  <c r="D147" i="50"/>
  <c r="C147" i="50"/>
  <c r="D146" i="50"/>
  <c r="C146" i="50"/>
  <c r="D145" i="50"/>
  <c r="C145" i="50"/>
  <c r="D143" i="50"/>
  <c r="C143" i="50"/>
  <c r="D142" i="50"/>
  <c r="C142" i="50"/>
  <c r="D141" i="50"/>
  <c r="C141" i="50"/>
  <c r="D140" i="50"/>
  <c r="C140" i="50"/>
  <c r="D138" i="50"/>
  <c r="C138" i="50"/>
  <c r="D137" i="50"/>
  <c r="C137" i="50"/>
  <c r="D136" i="50"/>
  <c r="C136" i="50"/>
  <c r="D135" i="50"/>
  <c r="C135" i="50"/>
  <c r="D133" i="50"/>
  <c r="C133" i="50"/>
  <c r="D132" i="50"/>
  <c r="C132" i="50"/>
  <c r="D131" i="50"/>
  <c r="C131" i="50"/>
  <c r="D130" i="50"/>
  <c r="C130" i="50"/>
  <c r="D129" i="50"/>
  <c r="C129" i="50"/>
  <c r="D127" i="50"/>
  <c r="C127" i="50"/>
  <c r="D126" i="50"/>
  <c r="C126" i="50"/>
  <c r="D125" i="50"/>
  <c r="C125" i="50"/>
  <c r="D124" i="50"/>
  <c r="C124" i="50"/>
  <c r="D123" i="50"/>
  <c r="C123" i="50"/>
  <c r="D118" i="50"/>
  <c r="C118" i="50"/>
  <c r="D117" i="50"/>
  <c r="C117" i="50"/>
  <c r="D116" i="50"/>
  <c r="C116" i="50"/>
  <c r="D115" i="50"/>
  <c r="C115" i="50"/>
  <c r="D114" i="50"/>
  <c r="C114" i="50"/>
  <c r="D110" i="50"/>
  <c r="C110" i="50"/>
  <c r="D109" i="50"/>
  <c r="C109" i="50"/>
  <c r="D108" i="50"/>
  <c r="C108" i="50"/>
  <c r="D107" i="50"/>
  <c r="C107" i="50"/>
  <c r="D106" i="50"/>
  <c r="C106" i="50"/>
  <c r="D105" i="50"/>
  <c r="C105" i="50"/>
  <c r="D101" i="50"/>
  <c r="C101" i="50"/>
  <c r="D100" i="50"/>
  <c r="C100" i="50"/>
  <c r="D99" i="50"/>
  <c r="C99" i="50"/>
  <c r="D98" i="50"/>
  <c r="C98" i="50"/>
  <c r="D97" i="50"/>
  <c r="C97" i="50"/>
  <c r="D96" i="50"/>
  <c r="C96" i="50"/>
  <c r="D92" i="50"/>
  <c r="C92" i="50"/>
  <c r="D91" i="50"/>
  <c r="C91" i="50"/>
  <c r="D90" i="50"/>
  <c r="C90" i="50"/>
  <c r="D89" i="50"/>
  <c r="C89" i="50"/>
  <c r="D88" i="50"/>
  <c r="C88" i="50"/>
  <c r="D87" i="50"/>
  <c r="C87" i="50"/>
  <c r="D86" i="50"/>
  <c r="C86" i="50"/>
  <c r="D85" i="50"/>
  <c r="C85" i="50"/>
  <c r="D84" i="50"/>
  <c r="C84" i="50"/>
  <c r="D83" i="50"/>
  <c r="C83" i="50"/>
  <c r="D82" i="50"/>
  <c r="C82" i="50"/>
  <c r="D78" i="50"/>
  <c r="C78" i="50"/>
  <c r="D77" i="50"/>
  <c r="C77" i="50"/>
  <c r="D76" i="50"/>
  <c r="C76" i="50"/>
  <c r="D75" i="50"/>
  <c r="C75" i="50"/>
  <c r="D74" i="50"/>
  <c r="C74" i="50"/>
  <c r="D73" i="50"/>
  <c r="C73" i="50"/>
  <c r="D72" i="50"/>
  <c r="C72" i="50"/>
  <c r="D71" i="50"/>
  <c r="C71" i="50"/>
  <c r="D70" i="50"/>
  <c r="C70" i="50"/>
  <c r="D69" i="50"/>
  <c r="C69" i="50"/>
  <c r="D68" i="50"/>
  <c r="C68" i="50"/>
  <c r="D67" i="50"/>
  <c r="C67" i="50"/>
  <c r="D66" i="50"/>
  <c r="C66" i="50"/>
  <c r="D65" i="50"/>
  <c r="C65" i="50"/>
  <c r="D64" i="50"/>
  <c r="C64" i="50"/>
  <c r="D60" i="50"/>
  <c r="C60" i="50"/>
  <c r="D59" i="50"/>
  <c r="C59" i="50"/>
  <c r="D58" i="50"/>
  <c r="C58" i="50"/>
  <c r="D57" i="50"/>
  <c r="C57" i="50"/>
  <c r="D56" i="50"/>
  <c r="C56" i="50"/>
  <c r="D55" i="50"/>
  <c r="C55" i="50"/>
  <c r="D54" i="50"/>
  <c r="C54" i="50"/>
  <c r="D53" i="50"/>
  <c r="C53" i="50"/>
  <c r="D52" i="50"/>
  <c r="C52" i="50"/>
  <c r="D51" i="50"/>
  <c r="C51" i="50"/>
  <c r="D50" i="50"/>
  <c r="C50" i="50"/>
  <c r="D49" i="50"/>
  <c r="C49" i="50"/>
  <c r="D48" i="50"/>
  <c r="C48" i="50"/>
  <c r="D47" i="50"/>
  <c r="C47" i="50"/>
  <c r="D46" i="50"/>
  <c r="C46" i="50"/>
  <c r="D45" i="50"/>
  <c r="C45" i="50"/>
  <c r="D44" i="50"/>
  <c r="C44" i="50"/>
  <c r="D43" i="50"/>
  <c r="C43" i="50"/>
  <c r="D42" i="50"/>
  <c r="C42" i="50"/>
  <c r="D41" i="50"/>
  <c r="C41" i="50"/>
  <c r="D40" i="50"/>
  <c r="C40" i="50"/>
  <c r="D39" i="50"/>
  <c r="C39" i="50"/>
  <c r="D38" i="50"/>
  <c r="C38" i="50"/>
  <c r="D37" i="50"/>
  <c r="C37" i="50"/>
  <c r="D36" i="50"/>
  <c r="C36" i="50"/>
  <c r="D35" i="50"/>
  <c r="C35" i="50"/>
  <c r="D34" i="50"/>
  <c r="C34" i="50"/>
  <c r="D33" i="50"/>
  <c r="C33" i="50"/>
  <c r="D32" i="50"/>
  <c r="C32" i="50"/>
  <c r="D31" i="50"/>
  <c r="C31" i="50"/>
  <c r="D30" i="50"/>
  <c r="C30" i="50"/>
  <c r="D29" i="50"/>
  <c r="C29" i="50"/>
  <c r="D28" i="50"/>
  <c r="C28" i="50"/>
  <c r="D27" i="50"/>
  <c r="C27" i="50"/>
  <c r="D26" i="50"/>
  <c r="C26" i="50"/>
  <c r="D25" i="50"/>
  <c r="C25" i="50"/>
  <c r="D20" i="50"/>
  <c r="C20" i="50"/>
  <c r="D19" i="50"/>
  <c r="C19" i="50"/>
  <c r="D18" i="50"/>
  <c r="C18" i="50"/>
  <c r="D17" i="50"/>
  <c r="C17" i="50"/>
  <c r="D16" i="50"/>
  <c r="C16" i="50"/>
  <c r="D15" i="50"/>
  <c r="C15" i="50"/>
  <c r="D14" i="50"/>
  <c r="C14" i="50"/>
  <c r="D13" i="50"/>
  <c r="C13" i="50"/>
  <c r="D12" i="50"/>
  <c r="C12" i="50"/>
  <c r="D11" i="50"/>
  <c r="C11" i="50"/>
  <c r="C119" i="50" l="1"/>
  <c r="C93" i="50"/>
  <c r="C161" i="50"/>
  <c r="D161" i="50"/>
  <c r="D93" i="50"/>
  <c r="C21" i="50"/>
  <c r="C102" i="50"/>
  <c r="D21" i="50"/>
  <c r="D102" i="50"/>
  <c r="D119" i="50"/>
  <c r="C228" i="50"/>
  <c r="D79" i="50"/>
  <c r="D197" i="50"/>
  <c r="C111" i="50"/>
  <c r="C197" i="50"/>
  <c r="C206" i="50"/>
  <c r="C79" i="50"/>
  <c r="D111" i="50"/>
  <c r="D206" i="50"/>
  <c r="C61" i="50"/>
  <c r="D61" i="50"/>
  <c r="D208" i="50" l="1"/>
  <c r="D215" i="50" s="1"/>
  <c r="C208" i="50"/>
  <c r="C212" i="50" l="1"/>
  <c r="C215" i="50"/>
  <c r="G244" i="69"/>
  <c r="G243" i="69"/>
  <c r="G242" i="69"/>
  <c r="G241" i="69"/>
  <c r="C238" i="69"/>
  <c r="C237" i="69"/>
  <c r="C236" i="69"/>
  <c r="C235" i="69"/>
  <c r="C233" i="69"/>
  <c r="C232" i="69"/>
  <c r="C231" i="69"/>
  <c r="D228" i="69"/>
  <c r="C227" i="69"/>
  <c r="C226" i="69"/>
  <c r="C225" i="69"/>
  <c r="C224" i="69"/>
  <c r="C223" i="69"/>
  <c r="C222" i="69"/>
  <c r="C221" i="69"/>
  <c r="C220" i="69"/>
  <c r="C219" i="69"/>
  <c r="C211" i="69"/>
  <c r="D205" i="69"/>
  <c r="C205" i="69"/>
  <c r="D204" i="69"/>
  <c r="C204" i="69"/>
  <c r="D203" i="69"/>
  <c r="C203" i="69"/>
  <c r="D202" i="69"/>
  <c r="C202" i="69"/>
  <c r="D201" i="69"/>
  <c r="C201" i="69"/>
  <c r="D200" i="69"/>
  <c r="C200" i="69"/>
  <c r="D196" i="69"/>
  <c r="C196" i="69"/>
  <c r="D195" i="69"/>
  <c r="C195" i="69"/>
  <c r="D194" i="69"/>
  <c r="C194" i="69"/>
  <c r="D193" i="69"/>
  <c r="C193" i="69"/>
  <c r="D192" i="69"/>
  <c r="C192" i="69"/>
  <c r="D191" i="69"/>
  <c r="C191" i="69"/>
  <c r="D190" i="69"/>
  <c r="C190" i="69"/>
  <c r="D189" i="69"/>
  <c r="C189" i="69"/>
  <c r="D188" i="69"/>
  <c r="C188" i="69"/>
  <c r="D187" i="69"/>
  <c r="C187" i="69"/>
  <c r="D186" i="69"/>
  <c r="C186" i="69"/>
  <c r="D185" i="69"/>
  <c r="C185" i="69"/>
  <c r="D184" i="69"/>
  <c r="C184" i="69"/>
  <c r="D183" i="69"/>
  <c r="C183" i="69"/>
  <c r="D182" i="69"/>
  <c r="C182" i="69"/>
  <c r="D181" i="69"/>
  <c r="C181" i="69"/>
  <c r="D180" i="69"/>
  <c r="C180" i="69"/>
  <c r="D179" i="69"/>
  <c r="C179" i="69"/>
  <c r="D178" i="69"/>
  <c r="C178" i="69"/>
  <c r="D177" i="69"/>
  <c r="C177" i="69"/>
  <c r="D176" i="69"/>
  <c r="C176" i="69"/>
  <c r="D175" i="69"/>
  <c r="C175" i="69"/>
  <c r="D174" i="69"/>
  <c r="C174" i="69"/>
  <c r="D173" i="69"/>
  <c r="C173" i="69"/>
  <c r="D172" i="69"/>
  <c r="C172" i="69"/>
  <c r="D171" i="69"/>
  <c r="C171" i="69"/>
  <c r="D170" i="69"/>
  <c r="C170" i="69"/>
  <c r="D169" i="69"/>
  <c r="C169" i="69"/>
  <c r="D168" i="69"/>
  <c r="C168" i="69"/>
  <c r="D167" i="69"/>
  <c r="C167" i="69"/>
  <c r="D166" i="69"/>
  <c r="C166" i="69"/>
  <c r="D165" i="69"/>
  <c r="C165" i="69"/>
  <c r="D164" i="69"/>
  <c r="C164" i="69"/>
  <c r="D160" i="69"/>
  <c r="C160" i="69"/>
  <c r="D159" i="69"/>
  <c r="C159" i="69"/>
  <c r="D158" i="69"/>
  <c r="C158" i="69"/>
  <c r="D157" i="69"/>
  <c r="C157" i="69"/>
  <c r="D156" i="69"/>
  <c r="C156" i="69"/>
  <c r="D155" i="69"/>
  <c r="C155" i="69"/>
  <c r="D153" i="69"/>
  <c r="C153" i="69"/>
  <c r="D152" i="69"/>
  <c r="C152" i="69"/>
  <c r="D151" i="69"/>
  <c r="C151" i="69"/>
  <c r="D150" i="69"/>
  <c r="C150" i="69"/>
  <c r="D149" i="69"/>
  <c r="C149" i="69"/>
  <c r="D148" i="69"/>
  <c r="C148" i="69"/>
  <c r="D147" i="69"/>
  <c r="C147" i="69"/>
  <c r="D146" i="69"/>
  <c r="C146" i="69"/>
  <c r="D145" i="69"/>
  <c r="C145" i="69"/>
  <c r="D143" i="69"/>
  <c r="C143" i="69"/>
  <c r="D142" i="69"/>
  <c r="C142" i="69"/>
  <c r="D141" i="69"/>
  <c r="C141" i="69"/>
  <c r="D140" i="69"/>
  <c r="C140" i="69"/>
  <c r="D138" i="69"/>
  <c r="C138" i="69"/>
  <c r="D137" i="69"/>
  <c r="C137" i="69"/>
  <c r="D136" i="69"/>
  <c r="C136" i="69"/>
  <c r="D135" i="69"/>
  <c r="C135" i="69"/>
  <c r="D133" i="69"/>
  <c r="C133" i="69"/>
  <c r="D132" i="69"/>
  <c r="C132" i="69"/>
  <c r="D131" i="69"/>
  <c r="C131" i="69"/>
  <c r="D130" i="69"/>
  <c r="C130" i="69"/>
  <c r="D129" i="69"/>
  <c r="C129" i="69"/>
  <c r="D127" i="69"/>
  <c r="C127" i="69"/>
  <c r="D126" i="69"/>
  <c r="C126" i="69"/>
  <c r="D125" i="69"/>
  <c r="C125" i="69"/>
  <c r="D124" i="69"/>
  <c r="C124" i="69"/>
  <c r="D123" i="69"/>
  <c r="C123" i="69"/>
  <c r="D118" i="69"/>
  <c r="C118" i="69"/>
  <c r="D117" i="69"/>
  <c r="C117" i="69"/>
  <c r="D116" i="69"/>
  <c r="C116" i="69"/>
  <c r="D115" i="69"/>
  <c r="C115" i="69"/>
  <c r="D114" i="69"/>
  <c r="C114" i="69"/>
  <c r="D110" i="69"/>
  <c r="C110" i="69"/>
  <c r="D109" i="69"/>
  <c r="C109" i="69"/>
  <c r="D108" i="69"/>
  <c r="C108" i="69"/>
  <c r="D107" i="69"/>
  <c r="C107" i="69"/>
  <c r="D106" i="69"/>
  <c r="C106" i="69"/>
  <c r="D105" i="69"/>
  <c r="C105" i="69"/>
  <c r="D101" i="69"/>
  <c r="C101" i="69"/>
  <c r="D100" i="69"/>
  <c r="C100" i="69"/>
  <c r="D99" i="69"/>
  <c r="C99" i="69"/>
  <c r="D98" i="69"/>
  <c r="C98" i="69"/>
  <c r="D97" i="69"/>
  <c r="C97" i="69"/>
  <c r="D96" i="69"/>
  <c r="C96" i="69"/>
  <c r="D92" i="69"/>
  <c r="C92" i="69"/>
  <c r="D91" i="69"/>
  <c r="C91" i="69"/>
  <c r="D90" i="69"/>
  <c r="C90" i="69"/>
  <c r="D89" i="69"/>
  <c r="C89" i="69"/>
  <c r="D88" i="69"/>
  <c r="C88" i="69"/>
  <c r="D87" i="69"/>
  <c r="C87" i="69"/>
  <c r="D86" i="69"/>
  <c r="C86" i="69"/>
  <c r="D85" i="69"/>
  <c r="C85" i="69"/>
  <c r="D84" i="69"/>
  <c r="C84" i="69"/>
  <c r="D83" i="69"/>
  <c r="C83" i="69"/>
  <c r="D82" i="69"/>
  <c r="C82" i="69"/>
  <c r="D78" i="69"/>
  <c r="C78" i="69"/>
  <c r="D77" i="69"/>
  <c r="C77" i="69"/>
  <c r="D76" i="69"/>
  <c r="C76" i="69"/>
  <c r="D75" i="69"/>
  <c r="C75" i="69"/>
  <c r="D74" i="69"/>
  <c r="C74" i="69"/>
  <c r="D73" i="69"/>
  <c r="C73" i="69"/>
  <c r="D72" i="69"/>
  <c r="C72" i="69"/>
  <c r="D71" i="69"/>
  <c r="C71" i="69"/>
  <c r="D70" i="69"/>
  <c r="C70" i="69"/>
  <c r="D69" i="69"/>
  <c r="C69" i="69"/>
  <c r="D68" i="69"/>
  <c r="C68" i="69"/>
  <c r="D67" i="69"/>
  <c r="C67" i="69"/>
  <c r="D66" i="69"/>
  <c r="C66" i="69"/>
  <c r="D65" i="69"/>
  <c r="C65" i="69"/>
  <c r="D64" i="69"/>
  <c r="C64" i="69"/>
  <c r="D60" i="69"/>
  <c r="C60" i="69"/>
  <c r="D59" i="69"/>
  <c r="C59" i="69"/>
  <c r="D58" i="69"/>
  <c r="C58" i="69"/>
  <c r="D57" i="69"/>
  <c r="C57" i="69"/>
  <c r="D56" i="69"/>
  <c r="C56" i="69"/>
  <c r="D55" i="69"/>
  <c r="C55" i="69"/>
  <c r="D54" i="69"/>
  <c r="C54" i="69"/>
  <c r="D53" i="69"/>
  <c r="C53" i="69"/>
  <c r="D52" i="69"/>
  <c r="C52" i="69"/>
  <c r="D51" i="69"/>
  <c r="C51" i="69"/>
  <c r="D50" i="69"/>
  <c r="C50" i="69"/>
  <c r="D49" i="69"/>
  <c r="C49" i="69"/>
  <c r="D48" i="69"/>
  <c r="C48" i="69"/>
  <c r="D47" i="69"/>
  <c r="C47" i="69"/>
  <c r="D46" i="69"/>
  <c r="C46" i="69"/>
  <c r="D45" i="69"/>
  <c r="C45" i="69"/>
  <c r="D44" i="69"/>
  <c r="C44" i="69"/>
  <c r="D43" i="69"/>
  <c r="C43" i="69"/>
  <c r="D42" i="69"/>
  <c r="C42" i="69"/>
  <c r="D41" i="69"/>
  <c r="C41" i="69"/>
  <c r="D40" i="69"/>
  <c r="C40" i="69"/>
  <c r="D39" i="69"/>
  <c r="C39" i="69"/>
  <c r="D38" i="69"/>
  <c r="C38" i="69"/>
  <c r="D37" i="69"/>
  <c r="C37" i="69"/>
  <c r="D36" i="69"/>
  <c r="C36" i="69"/>
  <c r="D35" i="69"/>
  <c r="C35" i="69"/>
  <c r="D34" i="69"/>
  <c r="C34" i="69"/>
  <c r="D33" i="69"/>
  <c r="C33" i="69"/>
  <c r="D32" i="69"/>
  <c r="C32" i="69"/>
  <c r="D31" i="69"/>
  <c r="C31" i="69"/>
  <c r="D30" i="69"/>
  <c r="C30" i="69"/>
  <c r="D29" i="69"/>
  <c r="C29" i="69"/>
  <c r="D28" i="69"/>
  <c r="C28" i="69"/>
  <c r="D27" i="69"/>
  <c r="C27" i="69"/>
  <c r="D26" i="69"/>
  <c r="C26" i="69"/>
  <c r="D25" i="69"/>
  <c r="C25" i="69"/>
  <c r="D20" i="69"/>
  <c r="C20" i="69"/>
  <c r="D19" i="69"/>
  <c r="C19" i="69"/>
  <c r="D18" i="69"/>
  <c r="C18" i="69"/>
  <c r="D17" i="69"/>
  <c r="C17" i="69"/>
  <c r="D16" i="69"/>
  <c r="C16" i="69"/>
  <c r="D15" i="69"/>
  <c r="C15" i="69"/>
  <c r="D14" i="69"/>
  <c r="C14" i="69"/>
  <c r="D13" i="69"/>
  <c r="C13" i="69"/>
  <c r="D12" i="69"/>
  <c r="C12" i="69"/>
  <c r="D11" i="69"/>
  <c r="C11" i="69"/>
  <c r="D79" i="69" l="1"/>
  <c r="D119" i="69"/>
  <c r="C161" i="69"/>
  <c r="C93" i="69"/>
  <c r="C197" i="69"/>
  <c r="C228" i="69"/>
  <c r="C111" i="69"/>
  <c r="C206" i="69"/>
  <c r="C21" i="69"/>
  <c r="C102" i="69"/>
  <c r="C119" i="69"/>
  <c r="D197" i="69"/>
  <c r="D206" i="69"/>
  <c r="C79" i="69"/>
  <c r="D161" i="69"/>
  <c r="D111" i="69"/>
  <c r="D21" i="69"/>
  <c r="D93" i="69"/>
  <c r="D102" i="69"/>
  <c r="C61" i="69"/>
  <c r="D61" i="69"/>
  <c r="C208" i="69" l="1"/>
  <c r="C212" i="69" s="1"/>
  <c r="D208" i="69"/>
  <c r="D215" i="69" s="1"/>
  <c r="C215" i="69" l="1"/>
  <c r="G241" i="49"/>
  <c r="G242" i="49"/>
  <c r="G244" i="49"/>
  <c r="G243" i="49"/>
  <c r="C238" i="49"/>
  <c r="C237" i="49"/>
  <c r="C236" i="49"/>
  <c r="C235" i="49"/>
  <c r="C233" i="49"/>
  <c r="C232" i="49"/>
  <c r="C231" i="49"/>
  <c r="D228" i="49"/>
  <c r="C227" i="49"/>
  <c r="C226" i="49"/>
  <c r="C225" i="49"/>
  <c r="C224" i="49"/>
  <c r="C223" i="49"/>
  <c r="C222" i="49"/>
  <c r="C221" i="49"/>
  <c r="C220" i="49"/>
  <c r="C219" i="49"/>
  <c r="C211" i="49"/>
  <c r="D205" i="49"/>
  <c r="C205" i="49"/>
  <c r="D204" i="49"/>
  <c r="C204" i="49"/>
  <c r="D203" i="49"/>
  <c r="C203" i="49"/>
  <c r="D202" i="49"/>
  <c r="C202" i="49"/>
  <c r="D201" i="49"/>
  <c r="C201" i="49"/>
  <c r="D200" i="49"/>
  <c r="C200" i="49"/>
  <c r="D196" i="49"/>
  <c r="C196" i="49"/>
  <c r="D195" i="49"/>
  <c r="C195" i="49"/>
  <c r="D194" i="49"/>
  <c r="C194" i="49"/>
  <c r="D193" i="49"/>
  <c r="C193" i="49"/>
  <c r="D192" i="49"/>
  <c r="C192" i="49"/>
  <c r="D191" i="49"/>
  <c r="C191" i="49"/>
  <c r="D190" i="49"/>
  <c r="C190" i="49"/>
  <c r="D189" i="49"/>
  <c r="C189" i="49"/>
  <c r="D188" i="49"/>
  <c r="C188" i="49"/>
  <c r="D187" i="49"/>
  <c r="C187" i="49"/>
  <c r="D186" i="49"/>
  <c r="C186" i="49"/>
  <c r="D185" i="49"/>
  <c r="C185" i="49"/>
  <c r="D184" i="49"/>
  <c r="C184" i="49"/>
  <c r="D183" i="49"/>
  <c r="C183" i="49"/>
  <c r="D182" i="49"/>
  <c r="C182" i="49"/>
  <c r="D181" i="49"/>
  <c r="C181" i="49"/>
  <c r="D180" i="49"/>
  <c r="C180" i="49"/>
  <c r="D179" i="49"/>
  <c r="C179" i="49"/>
  <c r="D178" i="49"/>
  <c r="C178" i="49"/>
  <c r="D177" i="49"/>
  <c r="C177" i="49"/>
  <c r="D176" i="49"/>
  <c r="C176" i="49"/>
  <c r="D175" i="49"/>
  <c r="C175" i="49"/>
  <c r="D174" i="49"/>
  <c r="C174" i="49"/>
  <c r="D173" i="49"/>
  <c r="C173" i="49"/>
  <c r="D172" i="49"/>
  <c r="C172" i="49"/>
  <c r="D171" i="49"/>
  <c r="C171" i="49"/>
  <c r="D170" i="49"/>
  <c r="C170" i="49"/>
  <c r="D169" i="49"/>
  <c r="C169" i="49"/>
  <c r="D168" i="49"/>
  <c r="C168" i="49"/>
  <c r="D167" i="49"/>
  <c r="C167" i="49"/>
  <c r="D166" i="49"/>
  <c r="C166" i="49"/>
  <c r="D165" i="49"/>
  <c r="C165" i="49"/>
  <c r="D164" i="49"/>
  <c r="C164" i="49"/>
  <c r="D160" i="49"/>
  <c r="C160" i="49"/>
  <c r="D159" i="49"/>
  <c r="C159" i="49"/>
  <c r="D158" i="49"/>
  <c r="C158" i="49"/>
  <c r="D157" i="49"/>
  <c r="C157" i="49"/>
  <c r="D156" i="49"/>
  <c r="C156" i="49"/>
  <c r="D155" i="49"/>
  <c r="C155" i="49"/>
  <c r="D153" i="49"/>
  <c r="C153" i="49"/>
  <c r="D152" i="49"/>
  <c r="C152" i="49"/>
  <c r="D151" i="49"/>
  <c r="C151" i="49"/>
  <c r="D150" i="49"/>
  <c r="C150" i="49"/>
  <c r="D149" i="49"/>
  <c r="C149" i="49"/>
  <c r="D148" i="49"/>
  <c r="C148" i="49"/>
  <c r="D147" i="49"/>
  <c r="C147" i="49"/>
  <c r="D146" i="49"/>
  <c r="C146" i="49"/>
  <c r="D145" i="49"/>
  <c r="C145" i="49"/>
  <c r="D143" i="49"/>
  <c r="C143" i="49"/>
  <c r="D142" i="49"/>
  <c r="C142" i="49"/>
  <c r="D141" i="49"/>
  <c r="C141" i="49"/>
  <c r="D140" i="49"/>
  <c r="C140" i="49"/>
  <c r="D138" i="49"/>
  <c r="C138" i="49"/>
  <c r="D137" i="49"/>
  <c r="C137" i="49"/>
  <c r="D136" i="49"/>
  <c r="C136" i="49"/>
  <c r="D135" i="49"/>
  <c r="C135" i="49"/>
  <c r="D133" i="49"/>
  <c r="C133" i="49"/>
  <c r="D132" i="49"/>
  <c r="C132" i="49"/>
  <c r="D131" i="49"/>
  <c r="C131" i="49"/>
  <c r="D130" i="49"/>
  <c r="C130" i="49"/>
  <c r="D129" i="49"/>
  <c r="C129" i="49"/>
  <c r="D127" i="49"/>
  <c r="C127" i="49"/>
  <c r="D126" i="49"/>
  <c r="C126" i="49"/>
  <c r="D125" i="49"/>
  <c r="C125" i="49"/>
  <c r="D124" i="49"/>
  <c r="C124" i="49"/>
  <c r="D123" i="49"/>
  <c r="C123" i="49"/>
  <c r="D118" i="49"/>
  <c r="C118" i="49"/>
  <c r="D117" i="49"/>
  <c r="C117" i="49"/>
  <c r="D116" i="49"/>
  <c r="C116" i="49"/>
  <c r="D115" i="49"/>
  <c r="C115" i="49"/>
  <c r="D114" i="49"/>
  <c r="C114" i="49"/>
  <c r="D110" i="49"/>
  <c r="C110" i="49"/>
  <c r="D109" i="49"/>
  <c r="C109" i="49"/>
  <c r="D108" i="49"/>
  <c r="C108" i="49"/>
  <c r="D107" i="49"/>
  <c r="C107" i="49"/>
  <c r="D106" i="49"/>
  <c r="C106" i="49"/>
  <c r="D105" i="49"/>
  <c r="C105" i="49"/>
  <c r="D101" i="49"/>
  <c r="C101" i="49"/>
  <c r="D100" i="49"/>
  <c r="C100" i="49"/>
  <c r="D99" i="49"/>
  <c r="C99" i="49"/>
  <c r="D98" i="49"/>
  <c r="C98" i="49"/>
  <c r="D97" i="49"/>
  <c r="C97" i="49"/>
  <c r="D96" i="49"/>
  <c r="C96" i="49"/>
  <c r="D92" i="49"/>
  <c r="C92" i="49"/>
  <c r="D91" i="49"/>
  <c r="C91" i="49"/>
  <c r="D90" i="49"/>
  <c r="C90" i="49"/>
  <c r="D89" i="49"/>
  <c r="C89" i="49"/>
  <c r="D88" i="49"/>
  <c r="C88" i="49"/>
  <c r="D87" i="49"/>
  <c r="C87" i="49"/>
  <c r="D86" i="49"/>
  <c r="C86" i="49"/>
  <c r="D85" i="49"/>
  <c r="C85" i="49"/>
  <c r="D84" i="49"/>
  <c r="C84" i="49"/>
  <c r="D83" i="49"/>
  <c r="C83" i="49"/>
  <c r="D82" i="49"/>
  <c r="C82" i="49"/>
  <c r="D78" i="49"/>
  <c r="C78" i="49"/>
  <c r="D77" i="49"/>
  <c r="C77" i="49"/>
  <c r="D76" i="49"/>
  <c r="C76" i="49"/>
  <c r="D75" i="49"/>
  <c r="C75" i="49"/>
  <c r="D74" i="49"/>
  <c r="C74" i="49"/>
  <c r="D73" i="49"/>
  <c r="C73" i="49"/>
  <c r="D72" i="49"/>
  <c r="C72" i="49"/>
  <c r="D71" i="49"/>
  <c r="C71" i="49"/>
  <c r="D70" i="49"/>
  <c r="C70" i="49"/>
  <c r="D69" i="49"/>
  <c r="C69" i="49"/>
  <c r="D68" i="49"/>
  <c r="C68" i="49"/>
  <c r="D67" i="49"/>
  <c r="C67" i="49"/>
  <c r="D66" i="49"/>
  <c r="C66" i="49"/>
  <c r="D65" i="49"/>
  <c r="C65" i="49"/>
  <c r="D64" i="49"/>
  <c r="C64" i="49"/>
  <c r="D60" i="49"/>
  <c r="C60" i="49"/>
  <c r="D59" i="49"/>
  <c r="C59" i="49"/>
  <c r="D58" i="49"/>
  <c r="C58" i="49"/>
  <c r="D57" i="49"/>
  <c r="C57" i="49"/>
  <c r="D56" i="49"/>
  <c r="C56" i="49"/>
  <c r="D55" i="49"/>
  <c r="C55" i="49"/>
  <c r="D54" i="49"/>
  <c r="C54" i="49"/>
  <c r="D53" i="49"/>
  <c r="C53" i="49"/>
  <c r="D52" i="49"/>
  <c r="C52" i="49"/>
  <c r="D51" i="49"/>
  <c r="C51" i="49"/>
  <c r="D50" i="49"/>
  <c r="C50" i="49"/>
  <c r="D49" i="49"/>
  <c r="C49" i="49"/>
  <c r="D48" i="49"/>
  <c r="C48" i="49"/>
  <c r="D47" i="49"/>
  <c r="C47" i="49"/>
  <c r="D46" i="49"/>
  <c r="C46" i="49"/>
  <c r="D45" i="49"/>
  <c r="C45" i="49"/>
  <c r="D44" i="49"/>
  <c r="C44" i="49"/>
  <c r="D43" i="49"/>
  <c r="C43" i="49"/>
  <c r="D42" i="49"/>
  <c r="C42" i="49"/>
  <c r="D41" i="49"/>
  <c r="C41" i="49"/>
  <c r="D40" i="49"/>
  <c r="C40" i="49"/>
  <c r="D39" i="49"/>
  <c r="C39" i="49"/>
  <c r="D38" i="49"/>
  <c r="C38" i="49"/>
  <c r="D37" i="49"/>
  <c r="C37" i="49"/>
  <c r="D36" i="49"/>
  <c r="C36" i="49"/>
  <c r="D35" i="49"/>
  <c r="C35" i="49"/>
  <c r="D34" i="49"/>
  <c r="C34" i="49"/>
  <c r="D33" i="49"/>
  <c r="C33" i="49"/>
  <c r="D32" i="49"/>
  <c r="C32" i="49"/>
  <c r="D31" i="49"/>
  <c r="C31" i="49"/>
  <c r="D30" i="49"/>
  <c r="C30" i="49"/>
  <c r="D29" i="49"/>
  <c r="C29" i="49"/>
  <c r="D28" i="49"/>
  <c r="C28" i="49"/>
  <c r="D27" i="49"/>
  <c r="C27" i="49"/>
  <c r="D26" i="49"/>
  <c r="C26" i="49"/>
  <c r="D25" i="49"/>
  <c r="C25" i="49"/>
  <c r="D20" i="49"/>
  <c r="C20" i="49"/>
  <c r="D19" i="49"/>
  <c r="C19" i="49"/>
  <c r="D18" i="49"/>
  <c r="C18" i="49"/>
  <c r="D17" i="49"/>
  <c r="C17" i="49"/>
  <c r="D16" i="49"/>
  <c r="C16" i="49"/>
  <c r="D15" i="49"/>
  <c r="C15" i="49"/>
  <c r="D14" i="49"/>
  <c r="C14" i="49"/>
  <c r="D13" i="49"/>
  <c r="C13" i="49"/>
  <c r="D12" i="49"/>
  <c r="C12" i="49"/>
  <c r="D11" i="49"/>
  <c r="C11" i="49"/>
  <c r="D111" i="49" l="1"/>
  <c r="D119" i="49"/>
  <c r="D206" i="49"/>
  <c r="C111" i="49"/>
  <c r="C119" i="49"/>
  <c r="C21" i="49"/>
  <c r="C93" i="49"/>
  <c r="C102" i="49"/>
  <c r="D21" i="49"/>
  <c r="D93" i="49"/>
  <c r="D102" i="49"/>
  <c r="C228" i="49"/>
  <c r="C79" i="49"/>
  <c r="C161" i="49"/>
  <c r="C197" i="49"/>
  <c r="D161" i="49"/>
  <c r="D197" i="49"/>
  <c r="C206" i="49"/>
  <c r="D79" i="49"/>
  <c r="C61" i="49"/>
  <c r="D61" i="49"/>
  <c r="C208" i="49" l="1"/>
  <c r="D208" i="49"/>
  <c r="D215" i="49" s="1"/>
  <c r="C212" i="49" l="1"/>
  <c r="C215" i="49"/>
  <c r="J25" i="42" l="1"/>
  <c r="K213" i="42"/>
  <c r="J213" i="42"/>
  <c r="K200" i="42" l="1"/>
  <c r="J200" i="42"/>
  <c r="K137" i="42"/>
  <c r="K136" i="42"/>
  <c r="K135" i="42"/>
  <c r="J137" i="42"/>
  <c r="J136" i="42"/>
  <c r="J135" i="42"/>
  <c r="K127" i="42"/>
  <c r="K124" i="42"/>
  <c r="K123" i="42"/>
  <c r="J127" i="42"/>
  <c r="J124" i="42"/>
  <c r="J123" i="42"/>
  <c r="K114" i="42"/>
  <c r="J114" i="42"/>
  <c r="K105" i="42"/>
  <c r="J105" i="42"/>
  <c r="K96" i="42"/>
  <c r="J96" i="42"/>
  <c r="K82" i="42"/>
  <c r="J82" i="42"/>
  <c r="K51" i="42" l="1"/>
  <c r="J51" i="42"/>
  <c r="K27" i="42" l="1"/>
  <c r="J27" i="42"/>
  <c r="K25" i="42"/>
  <c r="G242" i="42" l="1"/>
  <c r="G241" i="42"/>
  <c r="C237" i="42"/>
  <c r="C236" i="42"/>
  <c r="C235" i="42"/>
  <c r="C233" i="42"/>
  <c r="C232" i="42"/>
  <c r="C231" i="42"/>
  <c r="D228" i="42"/>
  <c r="C227" i="42"/>
  <c r="C226" i="42"/>
  <c r="C225" i="42"/>
  <c r="C224" i="42"/>
  <c r="C223" i="42"/>
  <c r="C222" i="42"/>
  <c r="C221" i="42"/>
  <c r="C220" i="42"/>
  <c r="C219" i="42"/>
  <c r="C211" i="42"/>
  <c r="D205" i="42"/>
  <c r="C205" i="42"/>
  <c r="D204" i="42"/>
  <c r="C204" i="42"/>
  <c r="D203" i="42"/>
  <c r="C203" i="42"/>
  <c r="D202" i="42"/>
  <c r="C202" i="42"/>
  <c r="D201" i="42"/>
  <c r="C201" i="42"/>
  <c r="D200" i="42"/>
  <c r="C200" i="42"/>
  <c r="D196" i="42"/>
  <c r="C196" i="42"/>
  <c r="D195" i="42"/>
  <c r="C195" i="42"/>
  <c r="D194" i="42"/>
  <c r="C194" i="42"/>
  <c r="D193" i="42"/>
  <c r="C193" i="42"/>
  <c r="D192" i="42"/>
  <c r="C192" i="42"/>
  <c r="D191" i="42"/>
  <c r="C191" i="42"/>
  <c r="D190" i="42"/>
  <c r="C190" i="42"/>
  <c r="D189" i="42"/>
  <c r="C189" i="42"/>
  <c r="D188" i="42"/>
  <c r="C188" i="42"/>
  <c r="D187" i="42"/>
  <c r="C187" i="42"/>
  <c r="D186" i="42"/>
  <c r="C186" i="42"/>
  <c r="D185" i="42"/>
  <c r="C185" i="42"/>
  <c r="D184" i="42"/>
  <c r="C184" i="42"/>
  <c r="D183" i="42"/>
  <c r="C183" i="42"/>
  <c r="D182" i="42"/>
  <c r="C182" i="42"/>
  <c r="D181" i="42"/>
  <c r="C181" i="42"/>
  <c r="D180" i="42"/>
  <c r="C180" i="42"/>
  <c r="D179" i="42"/>
  <c r="C179" i="42"/>
  <c r="D178" i="42"/>
  <c r="C178" i="42"/>
  <c r="D177" i="42"/>
  <c r="C177" i="42"/>
  <c r="D176" i="42"/>
  <c r="C176" i="42"/>
  <c r="D175" i="42"/>
  <c r="C175" i="42"/>
  <c r="D174" i="42"/>
  <c r="C174" i="42"/>
  <c r="D173" i="42"/>
  <c r="C173" i="42"/>
  <c r="D172" i="42"/>
  <c r="C172" i="42"/>
  <c r="D171" i="42"/>
  <c r="C171" i="42"/>
  <c r="D170" i="42"/>
  <c r="C170" i="42"/>
  <c r="D169" i="42"/>
  <c r="C169" i="42"/>
  <c r="D168" i="42"/>
  <c r="C168" i="42"/>
  <c r="D167" i="42"/>
  <c r="C167" i="42"/>
  <c r="D166" i="42"/>
  <c r="C166" i="42"/>
  <c r="D165" i="42"/>
  <c r="C165" i="42"/>
  <c r="D164" i="42"/>
  <c r="C164" i="42"/>
  <c r="D160" i="42"/>
  <c r="C160" i="42"/>
  <c r="D159" i="42"/>
  <c r="C159" i="42"/>
  <c r="D158" i="42"/>
  <c r="C158" i="42"/>
  <c r="D157" i="42"/>
  <c r="C157" i="42"/>
  <c r="D156" i="42"/>
  <c r="C156" i="42"/>
  <c r="D155" i="42"/>
  <c r="C155" i="42"/>
  <c r="D153" i="42"/>
  <c r="C153" i="42"/>
  <c r="D152" i="42"/>
  <c r="C152" i="42"/>
  <c r="D151" i="42"/>
  <c r="C151" i="42"/>
  <c r="D150" i="42"/>
  <c r="C150" i="42"/>
  <c r="D149" i="42"/>
  <c r="C149" i="42"/>
  <c r="D148" i="42"/>
  <c r="C148" i="42"/>
  <c r="D147" i="42"/>
  <c r="C147" i="42"/>
  <c r="D146" i="42"/>
  <c r="C146" i="42"/>
  <c r="D145" i="42"/>
  <c r="C145" i="42"/>
  <c r="D143" i="42"/>
  <c r="C143" i="42"/>
  <c r="D142" i="42"/>
  <c r="C142" i="42"/>
  <c r="D141" i="42"/>
  <c r="C141" i="42"/>
  <c r="D140" i="42"/>
  <c r="C140" i="42"/>
  <c r="D138" i="42"/>
  <c r="C138" i="42"/>
  <c r="D137" i="42"/>
  <c r="C137" i="42"/>
  <c r="D136" i="42"/>
  <c r="C136" i="42"/>
  <c r="D135" i="42"/>
  <c r="C135" i="42"/>
  <c r="D133" i="42"/>
  <c r="C133" i="42"/>
  <c r="D132" i="42"/>
  <c r="C132" i="42"/>
  <c r="D131" i="42"/>
  <c r="C131" i="42"/>
  <c r="D130" i="42"/>
  <c r="C130" i="42"/>
  <c r="D129" i="42"/>
  <c r="C129" i="42"/>
  <c r="D127" i="42"/>
  <c r="C127" i="42"/>
  <c r="D126" i="42"/>
  <c r="C126" i="42"/>
  <c r="D125" i="42"/>
  <c r="C125" i="42"/>
  <c r="D124" i="42"/>
  <c r="C124" i="42"/>
  <c r="D123" i="42"/>
  <c r="C123" i="42"/>
  <c r="D118" i="42"/>
  <c r="C118" i="42"/>
  <c r="D117" i="42"/>
  <c r="C117" i="42"/>
  <c r="D116" i="42"/>
  <c r="C116" i="42"/>
  <c r="D115" i="42"/>
  <c r="C115" i="42"/>
  <c r="D114" i="42"/>
  <c r="C114" i="42"/>
  <c r="D110" i="42"/>
  <c r="C110" i="42"/>
  <c r="D109" i="42"/>
  <c r="C109" i="42"/>
  <c r="D108" i="42"/>
  <c r="C108" i="42"/>
  <c r="D107" i="42"/>
  <c r="C107" i="42"/>
  <c r="D106" i="42"/>
  <c r="C106" i="42"/>
  <c r="D105" i="42"/>
  <c r="C105" i="42"/>
  <c r="D101" i="42"/>
  <c r="C101" i="42"/>
  <c r="D100" i="42"/>
  <c r="C100" i="42"/>
  <c r="D99" i="42"/>
  <c r="C99" i="42"/>
  <c r="D98" i="42"/>
  <c r="C98" i="42"/>
  <c r="D97" i="42"/>
  <c r="C97" i="42"/>
  <c r="D96" i="42"/>
  <c r="C96" i="42"/>
  <c r="D92" i="42"/>
  <c r="C92" i="42"/>
  <c r="D91" i="42"/>
  <c r="C91" i="42"/>
  <c r="D90" i="42"/>
  <c r="C90" i="42"/>
  <c r="D89" i="42"/>
  <c r="C89" i="42"/>
  <c r="D88" i="42"/>
  <c r="C88" i="42"/>
  <c r="D87" i="42"/>
  <c r="C87" i="42"/>
  <c r="D86" i="42"/>
  <c r="C86" i="42"/>
  <c r="D85" i="42"/>
  <c r="C85" i="42"/>
  <c r="D84" i="42"/>
  <c r="C84" i="42"/>
  <c r="D83" i="42"/>
  <c r="C83" i="42"/>
  <c r="D82" i="42"/>
  <c r="C82" i="42"/>
  <c r="D78" i="42"/>
  <c r="C78" i="42"/>
  <c r="D77" i="42"/>
  <c r="C77" i="42"/>
  <c r="D76" i="42"/>
  <c r="C76" i="42"/>
  <c r="D75" i="42"/>
  <c r="C75" i="42"/>
  <c r="D74" i="42"/>
  <c r="C74" i="42"/>
  <c r="D73" i="42"/>
  <c r="C73" i="42"/>
  <c r="D72" i="42"/>
  <c r="C72" i="42"/>
  <c r="D71" i="42"/>
  <c r="C71" i="42"/>
  <c r="D70" i="42"/>
  <c r="C70" i="42"/>
  <c r="D69" i="42"/>
  <c r="C69" i="42"/>
  <c r="D68" i="42"/>
  <c r="C68" i="42"/>
  <c r="D67" i="42"/>
  <c r="C67" i="42"/>
  <c r="D66" i="42"/>
  <c r="C66" i="42"/>
  <c r="D65" i="42"/>
  <c r="C65" i="42"/>
  <c r="D64" i="42"/>
  <c r="C64" i="42"/>
  <c r="D60" i="42"/>
  <c r="C60" i="42"/>
  <c r="D59" i="42"/>
  <c r="C59" i="42"/>
  <c r="D58" i="42"/>
  <c r="C58" i="42"/>
  <c r="D57" i="42"/>
  <c r="C57" i="42"/>
  <c r="D56" i="42"/>
  <c r="C56" i="42"/>
  <c r="D55" i="42"/>
  <c r="C55" i="42"/>
  <c r="D54" i="42"/>
  <c r="C54" i="42"/>
  <c r="D53" i="42"/>
  <c r="C53" i="42"/>
  <c r="D52" i="42"/>
  <c r="C52" i="42"/>
  <c r="D51" i="42"/>
  <c r="C51" i="42"/>
  <c r="D50" i="42"/>
  <c r="C50" i="42"/>
  <c r="D49" i="42"/>
  <c r="C49" i="42"/>
  <c r="D48" i="42"/>
  <c r="C48" i="42"/>
  <c r="D47" i="42"/>
  <c r="C47" i="42"/>
  <c r="D46" i="42"/>
  <c r="C46" i="42"/>
  <c r="D45" i="42"/>
  <c r="C45" i="42"/>
  <c r="D44" i="42"/>
  <c r="C44" i="42"/>
  <c r="D43" i="42"/>
  <c r="C43" i="42"/>
  <c r="D42" i="42"/>
  <c r="C42" i="42"/>
  <c r="D41" i="42"/>
  <c r="C41" i="42"/>
  <c r="D40" i="42"/>
  <c r="C40" i="42"/>
  <c r="D39" i="42"/>
  <c r="C39" i="42"/>
  <c r="D38" i="42"/>
  <c r="C38" i="42"/>
  <c r="D37" i="42"/>
  <c r="C37" i="42"/>
  <c r="D36" i="42"/>
  <c r="C36" i="42"/>
  <c r="D35" i="42"/>
  <c r="C35" i="42"/>
  <c r="D34" i="42"/>
  <c r="C34" i="42"/>
  <c r="D33" i="42"/>
  <c r="C33" i="42"/>
  <c r="D32" i="42"/>
  <c r="C32" i="42"/>
  <c r="D31" i="42"/>
  <c r="C31" i="42"/>
  <c r="D30" i="42"/>
  <c r="C30" i="42"/>
  <c r="D29" i="42"/>
  <c r="C29" i="42"/>
  <c r="D28" i="42"/>
  <c r="C28" i="42"/>
  <c r="D27" i="42"/>
  <c r="C27" i="42"/>
  <c r="D26" i="42"/>
  <c r="C26" i="42"/>
  <c r="D25" i="42"/>
  <c r="C25" i="42"/>
  <c r="D20" i="42"/>
  <c r="C20" i="42"/>
  <c r="D19" i="42"/>
  <c r="C19" i="42"/>
  <c r="D18" i="42"/>
  <c r="C18" i="42"/>
  <c r="D17" i="42"/>
  <c r="C17" i="42"/>
  <c r="D16" i="42"/>
  <c r="C16" i="42"/>
  <c r="D15" i="42"/>
  <c r="C15" i="42"/>
  <c r="D14" i="42"/>
  <c r="C14" i="42"/>
  <c r="D13" i="42"/>
  <c r="C13" i="42"/>
  <c r="D12" i="42"/>
  <c r="C12" i="42"/>
  <c r="D11" i="42"/>
  <c r="C11" i="42"/>
  <c r="D111" i="42" l="1"/>
  <c r="C119" i="42"/>
  <c r="C228" i="42"/>
  <c r="C111" i="42"/>
  <c r="C161" i="42"/>
  <c r="C79" i="42"/>
  <c r="D206" i="42"/>
  <c r="D21" i="42"/>
  <c r="D79" i="42"/>
  <c r="D102" i="42"/>
  <c r="D119" i="42"/>
  <c r="D161" i="42"/>
  <c r="C197" i="42"/>
  <c r="C206" i="42"/>
  <c r="C21" i="42"/>
  <c r="C93" i="42"/>
  <c r="C102" i="42"/>
  <c r="D197" i="42"/>
  <c r="D93" i="42"/>
  <c r="D61" i="42"/>
  <c r="C61" i="42"/>
  <c r="D208" i="42" l="1"/>
  <c r="D215" i="42" s="1"/>
  <c r="C208" i="42"/>
  <c r="C238" i="42"/>
  <c r="C212" i="42" l="1"/>
  <c r="C215" i="42"/>
  <c r="G244" i="71" l="1"/>
  <c r="G243" i="71"/>
  <c r="G242" i="71"/>
  <c r="G241" i="71"/>
  <c r="C238" i="71"/>
  <c r="C237" i="71"/>
  <c r="C236" i="71"/>
  <c r="C235" i="71"/>
  <c r="C233" i="71"/>
  <c r="C232" i="71"/>
  <c r="C231" i="71"/>
  <c r="D228" i="71"/>
  <c r="C227" i="71"/>
  <c r="C226" i="71"/>
  <c r="C225" i="71"/>
  <c r="C224" i="71"/>
  <c r="C223" i="71"/>
  <c r="C222" i="71"/>
  <c r="C221" i="71"/>
  <c r="C220" i="71"/>
  <c r="C219" i="71"/>
  <c r="C211" i="71"/>
  <c r="D205" i="71"/>
  <c r="C205" i="71"/>
  <c r="D204" i="71"/>
  <c r="C204" i="71"/>
  <c r="D203" i="71"/>
  <c r="C203" i="71"/>
  <c r="D202" i="71"/>
  <c r="C202" i="71"/>
  <c r="D201" i="71"/>
  <c r="C201" i="71"/>
  <c r="D200" i="71"/>
  <c r="C200" i="71"/>
  <c r="D196" i="71"/>
  <c r="C196" i="71"/>
  <c r="D195" i="71"/>
  <c r="C195" i="71"/>
  <c r="D194" i="71"/>
  <c r="C194" i="71"/>
  <c r="D193" i="71"/>
  <c r="C193" i="71"/>
  <c r="D192" i="71"/>
  <c r="C192" i="71"/>
  <c r="D191" i="71"/>
  <c r="C191" i="71"/>
  <c r="D190" i="71"/>
  <c r="C190" i="71"/>
  <c r="D189" i="71"/>
  <c r="C189" i="71"/>
  <c r="D188" i="71"/>
  <c r="C188" i="71"/>
  <c r="D187" i="71"/>
  <c r="C187" i="71"/>
  <c r="D186" i="71"/>
  <c r="C186" i="71"/>
  <c r="D185" i="71"/>
  <c r="C185" i="71"/>
  <c r="D184" i="71"/>
  <c r="C184" i="71"/>
  <c r="D183" i="71"/>
  <c r="C183" i="71"/>
  <c r="D182" i="71"/>
  <c r="C182" i="71"/>
  <c r="D181" i="71"/>
  <c r="C181" i="71"/>
  <c r="D180" i="71"/>
  <c r="C180" i="71"/>
  <c r="D179" i="71"/>
  <c r="C179" i="71"/>
  <c r="D178" i="71"/>
  <c r="C178" i="71"/>
  <c r="D177" i="71"/>
  <c r="C177" i="71"/>
  <c r="D176" i="71"/>
  <c r="C176" i="71"/>
  <c r="D175" i="71"/>
  <c r="C175" i="71"/>
  <c r="D174" i="71"/>
  <c r="C174" i="71"/>
  <c r="D173" i="71"/>
  <c r="C173" i="71"/>
  <c r="D172" i="71"/>
  <c r="C172" i="71"/>
  <c r="D171" i="71"/>
  <c r="C171" i="71"/>
  <c r="D170" i="71"/>
  <c r="C170" i="71"/>
  <c r="D169" i="71"/>
  <c r="C169" i="71"/>
  <c r="D168" i="71"/>
  <c r="C168" i="71"/>
  <c r="D167" i="71"/>
  <c r="C167" i="71"/>
  <c r="D166" i="71"/>
  <c r="C166" i="71"/>
  <c r="D165" i="71"/>
  <c r="C165" i="71"/>
  <c r="D164" i="71"/>
  <c r="C164" i="71"/>
  <c r="D160" i="71"/>
  <c r="C160" i="71"/>
  <c r="D159" i="71"/>
  <c r="C159" i="71"/>
  <c r="D158" i="71"/>
  <c r="C158" i="71"/>
  <c r="D157" i="71"/>
  <c r="C157" i="71"/>
  <c r="D156" i="71"/>
  <c r="C156" i="71"/>
  <c r="D155" i="71"/>
  <c r="C155" i="71"/>
  <c r="D153" i="71"/>
  <c r="C153" i="71"/>
  <c r="D152" i="71"/>
  <c r="C152" i="71"/>
  <c r="D151" i="71"/>
  <c r="C151" i="71"/>
  <c r="D150" i="71"/>
  <c r="C150" i="71"/>
  <c r="D149" i="71"/>
  <c r="C149" i="71"/>
  <c r="D148" i="71"/>
  <c r="C148" i="71"/>
  <c r="D147" i="71"/>
  <c r="C147" i="71"/>
  <c r="D146" i="71"/>
  <c r="C146" i="71"/>
  <c r="D145" i="71"/>
  <c r="C145" i="71"/>
  <c r="D143" i="71"/>
  <c r="C143" i="71"/>
  <c r="D142" i="71"/>
  <c r="C142" i="71"/>
  <c r="D141" i="71"/>
  <c r="C141" i="71"/>
  <c r="D140" i="71"/>
  <c r="C140" i="71"/>
  <c r="D138" i="71"/>
  <c r="C138" i="71"/>
  <c r="D137" i="71"/>
  <c r="C137" i="71"/>
  <c r="D136" i="71"/>
  <c r="C136" i="71"/>
  <c r="D135" i="71"/>
  <c r="C135" i="71"/>
  <c r="D133" i="71"/>
  <c r="C133" i="71"/>
  <c r="D132" i="71"/>
  <c r="C132" i="71"/>
  <c r="D131" i="71"/>
  <c r="C131" i="71"/>
  <c r="D130" i="71"/>
  <c r="C130" i="71"/>
  <c r="D129" i="71"/>
  <c r="C129" i="71"/>
  <c r="D127" i="71"/>
  <c r="C127" i="71"/>
  <c r="D126" i="71"/>
  <c r="C126" i="71"/>
  <c r="D125" i="71"/>
  <c r="C125" i="71"/>
  <c r="D124" i="71"/>
  <c r="C124" i="71"/>
  <c r="D123" i="71"/>
  <c r="C123" i="71"/>
  <c r="D118" i="71"/>
  <c r="C118" i="71"/>
  <c r="D117" i="71"/>
  <c r="C117" i="71"/>
  <c r="D116" i="71"/>
  <c r="C116" i="71"/>
  <c r="D115" i="71"/>
  <c r="C115" i="71"/>
  <c r="D114" i="71"/>
  <c r="C114" i="71"/>
  <c r="D110" i="71"/>
  <c r="C110" i="71"/>
  <c r="D109" i="71"/>
  <c r="C109" i="71"/>
  <c r="D108" i="71"/>
  <c r="C108" i="71"/>
  <c r="D107" i="71"/>
  <c r="C107" i="71"/>
  <c r="D106" i="71"/>
  <c r="C106" i="71"/>
  <c r="D105" i="71"/>
  <c r="C105" i="71"/>
  <c r="D101" i="71"/>
  <c r="C101" i="71"/>
  <c r="D100" i="71"/>
  <c r="C100" i="71"/>
  <c r="D99" i="71"/>
  <c r="C99" i="71"/>
  <c r="D98" i="71"/>
  <c r="C98" i="71"/>
  <c r="D97" i="71"/>
  <c r="C97" i="71"/>
  <c r="D96" i="71"/>
  <c r="C96" i="71"/>
  <c r="D92" i="71"/>
  <c r="C92" i="71"/>
  <c r="D91" i="71"/>
  <c r="C91" i="71"/>
  <c r="D90" i="71"/>
  <c r="C90" i="71"/>
  <c r="D89" i="71"/>
  <c r="C89" i="71"/>
  <c r="D88" i="71"/>
  <c r="C88" i="71"/>
  <c r="D87" i="71"/>
  <c r="C87" i="71"/>
  <c r="D86" i="71"/>
  <c r="C86" i="71"/>
  <c r="D85" i="71"/>
  <c r="C85" i="71"/>
  <c r="D84" i="71"/>
  <c r="C84" i="71"/>
  <c r="D83" i="71"/>
  <c r="C83" i="71"/>
  <c r="D82" i="71"/>
  <c r="C82" i="71"/>
  <c r="D78" i="71"/>
  <c r="C78" i="71"/>
  <c r="D77" i="71"/>
  <c r="C77" i="71"/>
  <c r="D76" i="71"/>
  <c r="C76" i="71"/>
  <c r="D75" i="71"/>
  <c r="C75" i="71"/>
  <c r="D74" i="71"/>
  <c r="C74" i="71"/>
  <c r="D73" i="71"/>
  <c r="C73" i="71"/>
  <c r="D72" i="71"/>
  <c r="C72" i="71"/>
  <c r="D71" i="71"/>
  <c r="C71" i="71"/>
  <c r="D70" i="71"/>
  <c r="C70" i="71"/>
  <c r="D69" i="71"/>
  <c r="C69" i="71"/>
  <c r="D68" i="71"/>
  <c r="C68" i="71"/>
  <c r="D67" i="71"/>
  <c r="C67" i="71"/>
  <c r="D66" i="71"/>
  <c r="C66" i="71"/>
  <c r="D65" i="71"/>
  <c r="C65" i="71"/>
  <c r="D64" i="71"/>
  <c r="C64" i="71"/>
  <c r="D60" i="71"/>
  <c r="C60" i="71"/>
  <c r="D59" i="71"/>
  <c r="C59" i="71"/>
  <c r="D58" i="71"/>
  <c r="C58" i="71"/>
  <c r="D57" i="71"/>
  <c r="C57" i="71"/>
  <c r="D56" i="71"/>
  <c r="C56" i="71"/>
  <c r="D55" i="71"/>
  <c r="C55" i="71"/>
  <c r="D54" i="71"/>
  <c r="C54" i="71"/>
  <c r="D53" i="71"/>
  <c r="C53" i="71"/>
  <c r="D52" i="71"/>
  <c r="C52" i="71"/>
  <c r="D51" i="71"/>
  <c r="C51" i="71"/>
  <c r="D50" i="71"/>
  <c r="C50" i="71"/>
  <c r="D49" i="71"/>
  <c r="C49" i="71"/>
  <c r="D48" i="71"/>
  <c r="C48" i="71"/>
  <c r="D47" i="71"/>
  <c r="C47" i="71"/>
  <c r="D46" i="71"/>
  <c r="C46" i="71"/>
  <c r="D45" i="71"/>
  <c r="C45" i="71"/>
  <c r="D44" i="71"/>
  <c r="C44" i="71"/>
  <c r="D43" i="71"/>
  <c r="C43" i="71"/>
  <c r="D42" i="71"/>
  <c r="C42" i="71"/>
  <c r="D41" i="71"/>
  <c r="C41" i="71"/>
  <c r="D40" i="71"/>
  <c r="C40" i="71"/>
  <c r="D39" i="71"/>
  <c r="C39" i="71"/>
  <c r="D38" i="71"/>
  <c r="C38" i="71"/>
  <c r="D37" i="71"/>
  <c r="C37" i="71"/>
  <c r="D36" i="71"/>
  <c r="C36" i="71"/>
  <c r="D35" i="71"/>
  <c r="C35" i="71"/>
  <c r="D34" i="71"/>
  <c r="C34" i="71"/>
  <c r="D33" i="71"/>
  <c r="C33" i="71"/>
  <c r="D32" i="71"/>
  <c r="C32" i="71"/>
  <c r="D31" i="71"/>
  <c r="C31" i="71"/>
  <c r="D30" i="71"/>
  <c r="C30" i="71"/>
  <c r="D29" i="71"/>
  <c r="C29" i="71"/>
  <c r="D28" i="71"/>
  <c r="C28" i="71"/>
  <c r="D27" i="71"/>
  <c r="C27" i="71"/>
  <c r="D26" i="71"/>
  <c r="C26" i="71"/>
  <c r="D25" i="71"/>
  <c r="C25" i="71"/>
  <c r="D20" i="71"/>
  <c r="C20" i="71"/>
  <c r="D19" i="71"/>
  <c r="C19" i="71"/>
  <c r="D18" i="71"/>
  <c r="C18" i="71"/>
  <c r="D17" i="71"/>
  <c r="C17" i="71"/>
  <c r="D16" i="71"/>
  <c r="C16" i="71"/>
  <c r="D15" i="71"/>
  <c r="C15" i="71"/>
  <c r="D14" i="71"/>
  <c r="C14" i="71"/>
  <c r="D13" i="71"/>
  <c r="C13" i="71"/>
  <c r="D12" i="71"/>
  <c r="C12" i="71"/>
  <c r="D11" i="71"/>
  <c r="C11" i="71"/>
  <c r="C93" i="71" l="1"/>
  <c r="D79" i="71"/>
  <c r="D93" i="71"/>
  <c r="D102" i="71"/>
  <c r="D119" i="71"/>
  <c r="C119" i="71"/>
  <c r="C161" i="71"/>
  <c r="D111" i="71"/>
  <c r="C21" i="71"/>
  <c r="D21" i="71"/>
  <c r="C197" i="71"/>
  <c r="C206" i="71"/>
  <c r="D61" i="71"/>
  <c r="C111" i="71"/>
  <c r="D161" i="71"/>
  <c r="C228" i="71"/>
  <c r="C79" i="71"/>
  <c r="C102" i="71"/>
  <c r="D197" i="71"/>
  <c r="D206" i="71"/>
  <c r="C61" i="71"/>
  <c r="D208" i="71" l="1"/>
  <c r="D215" i="71" s="1"/>
  <c r="C208" i="71"/>
  <c r="C212" i="71" l="1"/>
  <c r="C215" i="71"/>
  <c r="G244" i="47"/>
  <c r="G243" i="47"/>
  <c r="G242" i="47"/>
  <c r="G241" i="47"/>
  <c r="C238" i="47"/>
  <c r="C237" i="47"/>
  <c r="C236" i="47"/>
  <c r="C235" i="47"/>
  <c r="C233" i="47"/>
  <c r="C232" i="47"/>
  <c r="C231" i="47"/>
  <c r="D228" i="47"/>
  <c r="C227" i="47"/>
  <c r="C226" i="47"/>
  <c r="C225" i="47"/>
  <c r="C224" i="47"/>
  <c r="C223" i="47"/>
  <c r="C222" i="47"/>
  <c r="C221" i="47"/>
  <c r="C220" i="47"/>
  <c r="C219" i="47"/>
  <c r="C211" i="47"/>
  <c r="D205" i="47"/>
  <c r="C205" i="47"/>
  <c r="D204" i="47"/>
  <c r="C204" i="47"/>
  <c r="D203" i="47"/>
  <c r="C203" i="47"/>
  <c r="D202" i="47"/>
  <c r="C202" i="47"/>
  <c r="D201" i="47"/>
  <c r="C201" i="47"/>
  <c r="D200" i="47"/>
  <c r="C200" i="47"/>
  <c r="D196" i="47"/>
  <c r="C196" i="47"/>
  <c r="D195" i="47"/>
  <c r="C195" i="47"/>
  <c r="D194" i="47"/>
  <c r="C194" i="47"/>
  <c r="D193" i="47"/>
  <c r="C193" i="47"/>
  <c r="D192" i="47"/>
  <c r="C192" i="47"/>
  <c r="D191" i="47"/>
  <c r="C191" i="47"/>
  <c r="D190" i="47"/>
  <c r="C190" i="47"/>
  <c r="D189" i="47"/>
  <c r="C189" i="47"/>
  <c r="D188" i="47"/>
  <c r="C188" i="47"/>
  <c r="D187" i="47"/>
  <c r="C187" i="47"/>
  <c r="D186" i="47"/>
  <c r="C186" i="47"/>
  <c r="D185" i="47"/>
  <c r="C185" i="47"/>
  <c r="D184" i="47"/>
  <c r="C184" i="47"/>
  <c r="D183" i="47"/>
  <c r="C183" i="47"/>
  <c r="D182" i="47"/>
  <c r="C182" i="47"/>
  <c r="D181" i="47"/>
  <c r="C181" i="47"/>
  <c r="D180" i="47"/>
  <c r="C180" i="47"/>
  <c r="D179" i="47"/>
  <c r="C179" i="47"/>
  <c r="D178" i="47"/>
  <c r="C178" i="47"/>
  <c r="D177" i="47"/>
  <c r="C177" i="47"/>
  <c r="D176" i="47"/>
  <c r="C176" i="47"/>
  <c r="D175" i="47"/>
  <c r="C175" i="47"/>
  <c r="D174" i="47"/>
  <c r="C174" i="47"/>
  <c r="D173" i="47"/>
  <c r="C173" i="47"/>
  <c r="D172" i="47"/>
  <c r="C172" i="47"/>
  <c r="D171" i="47"/>
  <c r="C171" i="47"/>
  <c r="D170" i="47"/>
  <c r="C170" i="47"/>
  <c r="D169" i="47"/>
  <c r="C169" i="47"/>
  <c r="D168" i="47"/>
  <c r="C168" i="47"/>
  <c r="D167" i="47"/>
  <c r="C167" i="47"/>
  <c r="D166" i="47"/>
  <c r="C166" i="47"/>
  <c r="D165" i="47"/>
  <c r="C165" i="47"/>
  <c r="D164" i="47"/>
  <c r="C164" i="47"/>
  <c r="D160" i="47"/>
  <c r="C160" i="47"/>
  <c r="D159" i="47"/>
  <c r="C159" i="47"/>
  <c r="D158" i="47"/>
  <c r="C158" i="47"/>
  <c r="D157" i="47"/>
  <c r="C157" i="47"/>
  <c r="D156" i="47"/>
  <c r="C156" i="47"/>
  <c r="D155" i="47"/>
  <c r="C155" i="47"/>
  <c r="D153" i="47"/>
  <c r="C153" i="47"/>
  <c r="D152" i="47"/>
  <c r="C152" i="47"/>
  <c r="D151" i="47"/>
  <c r="C151" i="47"/>
  <c r="D150" i="47"/>
  <c r="C150" i="47"/>
  <c r="D149" i="47"/>
  <c r="C149" i="47"/>
  <c r="D148" i="47"/>
  <c r="C148" i="47"/>
  <c r="D147" i="47"/>
  <c r="C147" i="47"/>
  <c r="D146" i="47"/>
  <c r="C146" i="47"/>
  <c r="D145" i="47"/>
  <c r="C145" i="47"/>
  <c r="D143" i="47"/>
  <c r="C143" i="47"/>
  <c r="D142" i="47"/>
  <c r="C142" i="47"/>
  <c r="D141" i="47"/>
  <c r="C141" i="47"/>
  <c r="D140" i="47"/>
  <c r="C140" i="47"/>
  <c r="D138" i="47"/>
  <c r="C138" i="47"/>
  <c r="D137" i="47"/>
  <c r="C137" i="47"/>
  <c r="D136" i="47"/>
  <c r="C136" i="47"/>
  <c r="D135" i="47"/>
  <c r="C135" i="47"/>
  <c r="D133" i="47"/>
  <c r="C133" i="47"/>
  <c r="D132" i="47"/>
  <c r="C132" i="47"/>
  <c r="D131" i="47"/>
  <c r="C131" i="47"/>
  <c r="D130" i="47"/>
  <c r="C130" i="47"/>
  <c r="D129" i="47"/>
  <c r="C129" i="47"/>
  <c r="D127" i="47"/>
  <c r="C127" i="47"/>
  <c r="D126" i="47"/>
  <c r="C126" i="47"/>
  <c r="D125" i="47"/>
  <c r="C125" i="47"/>
  <c r="D124" i="47"/>
  <c r="C124" i="47"/>
  <c r="D123" i="47"/>
  <c r="C123" i="47"/>
  <c r="D118" i="47"/>
  <c r="C118" i="47"/>
  <c r="D117" i="47"/>
  <c r="C117" i="47"/>
  <c r="D116" i="47"/>
  <c r="C116" i="47"/>
  <c r="D115" i="47"/>
  <c r="C115" i="47"/>
  <c r="D114" i="47"/>
  <c r="C114" i="47"/>
  <c r="D110" i="47"/>
  <c r="C110" i="47"/>
  <c r="D109" i="47"/>
  <c r="C109" i="47"/>
  <c r="D108" i="47"/>
  <c r="C108" i="47"/>
  <c r="D107" i="47"/>
  <c r="C107" i="47"/>
  <c r="D106" i="47"/>
  <c r="C106" i="47"/>
  <c r="D105" i="47"/>
  <c r="C105" i="47"/>
  <c r="D101" i="47"/>
  <c r="C101" i="47"/>
  <c r="D100" i="47"/>
  <c r="C100" i="47"/>
  <c r="D99" i="47"/>
  <c r="C99" i="47"/>
  <c r="D98" i="47"/>
  <c r="C98" i="47"/>
  <c r="D97" i="47"/>
  <c r="C97" i="47"/>
  <c r="D96" i="47"/>
  <c r="C96" i="47"/>
  <c r="D92" i="47"/>
  <c r="C92" i="47"/>
  <c r="D91" i="47"/>
  <c r="C91" i="47"/>
  <c r="D90" i="47"/>
  <c r="C90" i="47"/>
  <c r="D89" i="47"/>
  <c r="C89" i="47"/>
  <c r="D88" i="47"/>
  <c r="C88" i="47"/>
  <c r="D87" i="47"/>
  <c r="C87" i="47"/>
  <c r="D86" i="47"/>
  <c r="C86" i="47"/>
  <c r="D85" i="47"/>
  <c r="C85" i="47"/>
  <c r="D84" i="47"/>
  <c r="C84" i="47"/>
  <c r="D83" i="47"/>
  <c r="C83" i="47"/>
  <c r="D82" i="47"/>
  <c r="C82" i="47"/>
  <c r="D78" i="47"/>
  <c r="C78" i="47"/>
  <c r="D77" i="47"/>
  <c r="C77" i="47"/>
  <c r="D76" i="47"/>
  <c r="C76" i="47"/>
  <c r="D75" i="47"/>
  <c r="C75" i="47"/>
  <c r="D74" i="47"/>
  <c r="C74" i="47"/>
  <c r="D73" i="47"/>
  <c r="C73" i="47"/>
  <c r="D72" i="47"/>
  <c r="C72" i="47"/>
  <c r="D71" i="47"/>
  <c r="C71" i="47"/>
  <c r="D70" i="47"/>
  <c r="C70" i="47"/>
  <c r="D69" i="47"/>
  <c r="C69" i="47"/>
  <c r="D68" i="47"/>
  <c r="C68" i="47"/>
  <c r="D67" i="47"/>
  <c r="C67" i="47"/>
  <c r="D66" i="47"/>
  <c r="C66" i="47"/>
  <c r="D65" i="47"/>
  <c r="C65" i="47"/>
  <c r="D64" i="47"/>
  <c r="C64" i="47"/>
  <c r="D60" i="47"/>
  <c r="C60" i="47"/>
  <c r="D59" i="47"/>
  <c r="C59" i="47"/>
  <c r="D58" i="47"/>
  <c r="C58" i="47"/>
  <c r="D57" i="47"/>
  <c r="C57" i="47"/>
  <c r="D56" i="47"/>
  <c r="C56" i="47"/>
  <c r="D55" i="47"/>
  <c r="C55" i="47"/>
  <c r="D54" i="47"/>
  <c r="C54" i="47"/>
  <c r="D53" i="47"/>
  <c r="C53" i="47"/>
  <c r="D52" i="47"/>
  <c r="C52" i="47"/>
  <c r="D51" i="47"/>
  <c r="C51" i="47"/>
  <c r="D50" i="47"/>
  <c r="C50" i="47"/>
  <c r="D49" i="47"/>
  <c r="C49" i="47"/>
  <c r="D48" i="47"/>
  <c r="C48" i="47"/>
  <c r="D47" i="47"/>
  <c r="C47" i="47"/>
  <c r="D46" i="47"/>
  <c r="C46" i="47"/>
  <c r="D45" i="47"/>
  <c r="C45" i="47"/>
  <c r="D44" i="47"/>
  <c r="C44" i="47"/>
  <c r="D43" i="47"/>
  <c r="C43" i="47"/>
  <c r="D42" i="47"/>
  <c r="C42" i="47"/>
  <c r="D41" i="47"/>
  <c r="C41" i="47"/>
  <c r="D40" i="47"/>
  <c r="C40" i="47"/>
  <c r="D39" i="47"/>
  <c r="C39" i="47"/>
  <c r="D38" i="47"/>
  <c r="C38" i="47"/>
  <c r="D37" i="47"/>
  <c r="C37" i="47"/>
  <c r="D36" i="47"/>
  <c r="C36" i="47"/>
  <c r="D35" i="47"/>
  <c r="C35" i="47"/>
  <c r="D34" i="47"/>
  <c r="C34" i="47"/>
  <c r="D33" i="47"/>
  <c r="C33" i="47"/>
  <c r="D32" i="47"/>
  <c r="C32" i="47"/>
  <c r="D31" i="47"/>
  <c r="C31" i="47"/>
  <c r="D30" i="47"/>
  <c r="C30" i="47"/>
  <c r="D29" i="47"/>
  <c r="C29" i="47"/>
  <c r="D28" i="47"/>
  <c r="C28" i="47"/>
  <c r="D27" i="47"/>
  <c r="C27" i="47"/>
  <c r="D26" i="47"/>
  <c r="C26" i="47"/>
  <c r="D25" i="47"/>
  <c r="C25" i="47"/>
  <c r="D20" i="47"/>
  <c r="C20" i="47"/>
  <c r="D19" i="47"/>
  <c r="C19" i="47"/>
  <c r="D18" i="47"/>
  <c r="C18" i="47"/>
  <c r="D17" i="47"/>
  <c r="C17" i="47"/>
  <c r="D16" i="47"/>
  <c r="C16" i="47"/>
  <c r="D15" i="47"/>
  <c r="C15" i="47"/>
  <c r="D14" i="47"/>
  <c r="C14" i="47"/>
  <c r="D13" i="47"/>
  <c r="C13" i="47"/>
  <c r="D12" i="47"/>
  <c r="C12" i="47"/>
  <c r="D11" i="47"/>
  <c r="C11" i="47"/>
  <c r="D21" i="47" l="1"/>
  <c r="D79" i="47"/>
  <c r="D93" i="47"/>
  <c r="D102" i="47"/>
  <c r="D206" i="47"/>
  <c r="C93" i="47"/>
  <c r="C102" i="47"/>
  <c r="C79" i="47"/>
  <c r="C119" i="47"/>
  <c r="C61" i="47"/>
  <c r="D119" i="47"/>
  <c r="C228" i="47"/>
  <c r="D61" i="47"/>
  <c r="C111" i="47"/>
  <c r="C161" i="47"/>
  <c r="D111" i="47"/>
  <c r="D161" i="47"/>
  <c r="C197" i="47"/>
  <c r="C206" i="47"/>
  <c r="C21" i="47"/>
  <c r="D197" i="47"/>
  <c r="C208" i="47" l="1"/>
  <c r="D208" i="47"/>
  <c r="D215" i="47" s="1"/>
  <c r="C212" i="47" l="1"/>
  <c r="C215" i="47"/>
  <c r="G244" i="92" l="1"/>
  <c r="G243" i="92"/>
  <c r="G242" i="92"/>
  <c r="G241" i="92"/>
  <c r="C238" i="92"/>
  <c r="C237" i="92"/>
  <c r="C236" i="92"/>
  <c r="C235" i="92"/>
  <c r="C233" i="92"/>
  <c r="C232" i="92"/>
  <c r="C231" i="92"/>
  <c r="D228" i="92"/>
  <c r="C227" i="92"/>
  <c r="C226" i="92"/>
  <c r="C225" i="92"/>
  <c r="C224" i="92"/>
  <c r="C223" i="92"/>
  <c r="C222" i="92"/>
  <c r="C221" i="92"/>
  <c r="C220" i="92"/>
  <c r="C219" i="92"/>
  <c r="C211" i="92"/>
  <c r="D205" i="92"/>
  <c r="C205" i="92"/>
  <c r="D204" i="92"/>
  <c r="C204" i="92"/>
  <c r="D203" i="92"/>
  <c r="C203" i="92"/>
  <c r="D202" i="92"/>
  <c r="C202" i="92"/>
  <c r="D201" i="92"/>
  <c r="C201" i="92"/>
  <c r="D200" i="92"/>
  <c r="C200" i="92"/>
  <c r="D196" i="92"/>
  <c r="C196" i="92"/>
  <c r="D195" i="92"/>
  <c r="C195" i="92"/>
  <c r="D194" i="92"/>
  <c r="C194" i="92"/>
  <c r="D193" i="92"/>
  <c r="C193" i="92"/>
  <c r="D192" i="92"/>
  <c r="C192" i="92"/>
  <c r="D191" i="92"/>
  <c r="C191" i="92"/>
  <c r="D190" i="92"/>
  <c r="C190" i="92"/>
  <c r="D189" i="92"/>
  <c r="C189" i="92"/>
  <c r="D188" i="92"/>
  <c r="C188" i="92"/>
  <c r="D187" i="92"/>
  <c r="C187" i="92"/>
  <c r="D186" i="92"/>
  <c r="C186" i="92"/>
  <c r="D185" i="92"/>
  <c r="C185" i="92"/>
  <c r="D184" i="92"/>
  <c r="C184" i="92"/>
  <c r="D183" i="92"/>
  <c r="C183" i="92"/>
  <c r="D182" i="92"/>
  <c r="C182" i="92"/>
  <c r="D181" i="92"/>
  <c r="C181" i="92"/>
  <c r="D180" i="92"/>
  <c r="C180" i="92"/>
  <c r="D179" i="92"/>
  <c r="C179" i="92"/>
  <c r="D178" i="92"/>
  <c r="C178" i="92"/>
  <c r="D177" i="92"/>
  <c r="C177" i="92"/>
  <c r="D176" i="92"/>
  <c r="C176" i="92"/>
  <c r="D175" i="92"/>
  <c r="C175" i="92"/>
  <c r="D174" i="92"/>
  <c r="C174" i="92"/>
  <c r="D173" i="92"/>
  <c r="C173" i="92"/>
  <c r="D172" i="92"/>
  <c r="C172" i="92"/>
  <c r="D171" i="92"/>
  <c r="C171" i="92"/>
  <c r="D170" i="92"/>
  <c r="C170" i="92"/>
  <c r="D169" i="92"/>
  <c r="C169" i="92"/>
  <c r="D168" i="92"/>
  <c r="C168" i="92"/>
  <c r="D167" i="92"/>
  <c r="C167" i="92"/>
  <c r="D166" i="92"/>
  <c r="C166" i="92"/>
  <c r="D165" i="92"/>
  <c r="C165" i="92"/>
  <c r="D164" i="92"/>
  <c r="C164" i="92"/>
  <c r="D160" i="92"/>
  <c r="C160" i="92"/>
  <c r="D159" i="92"/>
  <c r="C159" i="92"/>
  <c r="D158" i="92"/>
  <c r="C158" i="92"/>
  <c r="D157" i="92"/>
  <c r="C157" i="92"/>
  <c r="D156" i="92"/>
  <c r="C156" i="92"/>
  <c r="D155" i="92"/>
  <c r="C155" i="92"/>
  <c r="D153" i="92"/>
  <c r="C153" i="92"/>
  <c r="D152" i="92"/>
  <c r="C152" i="92"/>
  <c r="D151" i="92"/>
  <c r="C151" i="92"/>
  <c r="D150" i="92"/>
  <c r="C150" i="92"/>
  <c r="D149" i="92"/>
  <c r="C149" i="92"/>
  <c r="D148" i="92"/>
  <c r="C148" i="92"/>
  <c r="D147" i="92"/>
  <c r="C147" i="92"/>
  <c r="D146" i="92"/>
  <c r="C146" i="92"/>
  <c r="D145" i="92"/>
  <c r="C145" i="92"/>
  <c r="D143" i="92"/>
  <c r="C143" i="92"/>
  <c r="D142" i="92"/>
  <c r="C142" i="92"/>
  <c r="D141" i="92"/>
  <c r="C141" i="92"/>
  <c r="D140" i="92"/>
  <c r="C140" i="92"/>
  <c r="D138" i="92"/>
  <c r="C138" i="92"/>
  <c r="D137" i="92"/>
  <c r="C137" i="92"/>
  <c r="D136" i="92"/>
  <c r="C136" i="92"/>
  <c r="D135" i="92"/>
  <c r="C135" i="92"/>
  <c r="D133" i="92"/>
  <c r="C133" i="92"/>
  <c r="D132" i="92"/>
  <c r="C132" i="92"/>
  <c r="D131" i="92"/>
  <c r="C131" i="92"/>
  <c r="D130" i="92"/>
  <c r="C130" i="92"/>
  <c r="D129" i="92"/>
  <c r="C129" i="92"/>
  <c r="D127" i="92"/>
  <c r="C127" i="92"/>
  <c r="D126" i="92"/>
  <c r="C126" i="92"/>
  <c r="D125" i="92"/>
  <c r="C125" i="92"/>
  <c r="D124" i="92"/>
  <c r="C124" i="92"/>
  <c r="D123" i="92"/>
  <c r="C123" i="92"/>
  <c r="D118" i="92"/>
  <c r="C118" i="92"/>
  <c r="D117" i="92"/>
  <c r="C117" i="92"/>
  <c r="D116" i="92"/>
  <c r="C116" i="92"/>
  <c r="D115" i="92"/>
  <c r="C115" i="92"/>
  <c r="D114" i="92"/>
  <c r="C114" i="92"/>
  <c r="D110" i="92"/>
  <c r="C110" i="92"/>
  <c r="D109" i="92"/>
  <c r="C109" i="92"/>
  <c r="D108" i="92"/>
  <c r="C108" i="92"/>
  <c r="D107" i="92"/>
  <c r="C107" i="92"/>
  <c r="D106" i="92"/>
  <c r="C106" i="92"/>
  <c r="D105" i="92"/>
  <c r="C105" i="92"/>
  <c r="D101" i="92"/>
  <c r="C101" i="92"/>
  <c r="D100" i="92"/>
  <c r="C100" i="92"/>
  <c r="D99" i="92"/>
  <c r="C99" i="92"/>
  <c r="D98" i="92"/>
  <c r="C98" i="92"/>
  <c r="D97" i="92"/>
  <c r="C97" i="92"/>
  <c r="D96" i="92"/>
  <c r="C96" i="92"/>
  <c r="D92" i="92"/>
  <c r="C92" i="92"/>
  <c r="D91" i="92"/>
  <c r="C91" i="92"/>
  <c r="D90" i="92"/>
  <c r="C90" i="92"/>
  <c r="D89" i="92"/>
  <c r="C89" i="92"/>
  <c r="D88" i="92"/>
  <c r="C88" i="92"/>
  <c r="D87" i="92"/>
  <c r="C87" i="92"/>
  <c r="D86" i="92"/>
  <c r="C86" i="92"/>
  <c r="D85" i="92"/>
  <c r="C85" i="92"/>
  <c r="D84" i="92"/>
  <c r="C84" i="92"/>
  <c r="D83" i="92"/>
  <c r="C83" i="92"/>
  <c r="D82" i="92"/>
  <c r="C82" i="92"/>
  <c r="D78" i="92"/>
  <c r="C78" i="92"/>
  <c r="D77" i="92"/>
  <c r="C77" i="92"/>
  <c r="D76" i="92"/>
  <c r="C76" i="92"/>
  <c r="D75" i="92"/>
  <c r="C75" i="92"/>
  <c r="D74" i="92"/>
  <c r="C74" i="92"/>
  <c r="D73" i="92"/>
  <c r="C73" i="92"/>
  <c r="D72" i="92"/>
  <c r="C72" i="92"/>
  <c r="D71" i="92"/>
  <c r="C71" i="92"/>
  <c r="D70" i="92"/>
  <c r="C70" i="92"/>
  <c r="D69" i="92"/>
  <c r="C69" i="92"/>
  <c r="D68" i="92"/>
  <c r="C68" i="92"/>
  <c r="D67" i="92"/>
  <c r="C67" i="92"/>
  <c r="D66" i="92"/>
  <c r="C66" i="92"/>
  <c r="D65" i="92"/>
  <c r="C65" i="92"/>
  <c r="D64" i="92"/>
  <c r="C64" i="92"/>
  <c r="D60" i="92"/>
  <c r="C60" i="92"/>
  <c r="D59" i="92"/>
  <c r="C59" i="92"/>
  <c r="D58" i="92"/>
  <c r="C58" i="92"/>
  <c r="D57" i="92"/>
  <c r="C57" i="92"/>
  <c r="D56" i="92"/>
  <c r="C56" i="92"/>
  <c r="D55" i="92"/>
  <c r="C55" i="92"/>
  <c r="D54" i="92"/>
  <c r="C54" i="92"/>
  <c r="D53" i="92"/>
  <c r="C53" i="92"/>
  <c r="D52" i="92"/>
  <c r="C52" i="92"/>
  <c r="D51" i="92"/>
  <c r="C51" i="92"/>
  <c r="D50" i="92"/>
  <c r="C50" i="92"/>
  <c r="D49" i="92"/>
  <c r="C49" i="92"/>
  <c r="D48" i="92"/>
  <c r="C48" i="92"/>
  <c r="D47" i="92"/>
  <c r="C47" i="92"/>
  <c r="D46" i="92"/>
  <c r="C46" i="92"/>
  <c r="D45" i="92"/>
  <c r="C45" i="92"/>
  <c r="D44" i="92"/>
  <c r="C44" i="92"/>
  <c r="D43" i="92"/>
  <c r="C43" i="92"/>
  <c r="D42" i="92"/>
  <c r="C42" i="92"/>
  <c r="D41" i="92"/>
  <c r="C41" i="92"/>
  <c r="D40" i="92"/>
  <c r="C40" i="92"/>
  <c r="D39" i="92"/>
  <c r="C39" i="92"/>
  <c r="D38" i="92"/>
  <c r="C38" i="92"/>
  <c r="D37" i="92"/>
  <c r="C37" i="92"/>
  <c r="D36" i="92"/>
  <c r="C36" i="92"/>
  <c r="D35" i="92"/>
  <c r="C35" i="92"/>
  <c r="D34" i="92"/>
  <c r="C34" i="92"/>
  <c r="D33" i="92"/>
  <c r="C33" i="92"/>
  <c r="D32" i="92"/>
  <c r="C32" i="92"/>
  <c r="D31" i="92"/>
  <c r="C31" i="92"/>
  <c r="D30" i="92"/>
  <c r="C30" i="92"/>
  <c r="D29" i="92"/>
  <c r="C29" i="92"/>
  <c r="D28" i="92"/>
  <c r="C28" i="92"/>
  <c r="D27" i="92"/>
  <c r="C27" i="92"/>
  <c r="D26" i="92"/>
  <c r="C26" i="92"/>
  <c r="D25" i="92"/>
  <c r="C25" i="92"/>
  <c r="D20" i="92"/>
  <c r="C20" i="92"/>
  <c r="D19" i="92"/>
  <c r="C19" i="92"/>
  <c r="D18" i="92"/>
  <c r="C18" i="92"/>
  <c r="D17" i="92"/>
  <c r="C17" i="92"/>
  <c r="D16" i="92"/>
  <c r="C16" i="92"/>
  <c r="D15" i="92"/>
  <c r="C15" i="92"/>
  <c r="D14" i="92"/>
  <c r="C14" i="92"/>
  <c r="D13" i="92"/>
  <c r="C13" i="92"/>
  <c r="D12" i="92"/>
  <c r="C12" i="92"/>
  <c r="D11" i="92"/>
  <c r="C11" i="92"/>
  <c r="C93" i="92" l="1"/>
  <c r="C102" i="92"/>
  <c r="D21" i="92"/>
  <c r="D93" i="92"/>
  <c r="D102" i="92"/>
  <c r="C79" i="92"/>
  <c r="C119" i="92"/>
  <c r="C161" i="92"/>
  <c r="D79" i="92"/>
  <c r="D119" i="92"/>
  <c r="D161" i="92"/>
  <c r="C111" i="92"/>
  <c r="C228" i="92"/>
  <c r="D61" i="92"/>
  <c r="D111" i="92"/>
  <c r="C21" i="92"/>
  <c r="C197" i="92"/>
  <c r="C206" i="92"/>
  <c r="D197" i="92"/>
  <c r="D206" i="92"/>
  <c r="C61" i="92"/>
  <c r="C208" i="92" l="1"/>
  <c r="D208" i="92"/>
  <c r="D215" i="92" s="1"/>
  <c r="C212" i="92" l="1"/>
  <c r="C215" i="92"/>
  <c r="K212" i="91" l="1"/>
  <c r="J212" i="91"/>
  <c r="K200" i="91"/>
  <c r="J200" i="91"/>
  <c r="K172" i="91"/>
  <c r="K166" i="91"/>
  <c r="J172" i="91"/>
  <c r="J166" i="91"/>
  <c r="K145" i="91"/>
  <c r="J145" i="91"/>
  <c r="K138" i="91"/>
  <c r="K137" i="91"/>
  <c r="K136" i="91"/>
  <c r="K135" i="91"/>
  <c r="J138" i="91"/>
  <c r="J137" i="91"/>
  <c r="J136" i="91"/>
  <c r="J135" i="91"/>
  <c r="K127" i="91"/>
  <c r="K125" i="91"/>
  <c r="K124" i="91"/>
  <c r="J127" i="91"/>
  <c r="J125" i="91"/>
  <c r="J124" i="91"/>
  <c r="K114" i="91"/>
  <c r="J114" i="91"/>
  <c r="K96" i="91"/>
  <c r="J96" i="91"/>
  <c r="K82" i="91"/>
  <c r="J82" i="91"/>
  <c r="K51" i="91"/>
  <c r="J51" i="91"/>
  <c r="K27" i="91"/>
  <c r="K25" i="91"/>
  <c r="J27" i="91"/>
  <c r="J25" i="91"/>
  <c r="G244" i="91"/>
  <c r="G243" i="91" l="1"/>
  <c r="G242" i="91"/>
  <c r="G241" i="91"/>
  <c r="C238" i="91"/>
  <c r="C237" i="91"/>
  <c r="C236" i="91"/>
  <c r="C235" i="91"/>
  <c r="C232" i="91"/>
  <c r="C231" i="91"/>
  <c r="D228" i="91"/>
  <c r="C227" i="91"/>
  <c r="C226" i="91"/>
  <c r="C225" i="91"/>
  <c r="C224" i="91"/>
  <c r="C223" i="91"/>
  <c r="C222" i="91"/>
  <c r="C221" i="91"/>
  <c r="C220" i="91"/>
  <c r="C219" i="91"/>
  <c r="C211" i="91"/>
  <c r="D205" i="91"/>
  <c r="C205" i="91"/>
  <c r="D204" i="91"/>
  <c r="C204" i="91"/>
  <c r="D203" i="91"/>
  <c r="C203" i="91"/>
  <c r="D202" i="91"/>
  <c r="C202" i="91"/>
  <c r="D201" i="91"/>
  <c r="C201" i="91"/>
  <c r="D200" i="91"/>
  <c r="C200" i="91"/>
  <c r="D196" i="91"/>
  <c r="C196" i="91"/>
  <c r="D195" i="91"/>
  <c r="C195" i="91"/>
  <c r="D194" i="91"/>
  <c r="C194" i="91"/>
  <c r="D193" i="91"/>
  <c r="C193" i="91"/>
  <c r="D192" i="91"/>
  <c r="C192" i="91"/>
  <c r="D191" i="91"/>
  <c r="C191" i="91"/>
  <c r="D190" i="91"/>
  <c r="C190" i="91"/>
  <c r="D189" i="91"/>
  <c r="C189" i="91"/>
  <c r="D188" i="91"/>
  <c r="C188" i="91"/>
  <c r="D187" i="91"/>
  <c r="C187" i="91"/>
  <c r="D186" i="91"/>
  <c r="C186" i="91"/>
  <c r="D185" i="91"/>
  <c r="C185" i="91"/>
  <c r="D184" i="91"/>
  <c r="C184" i="91"/>
  <c r="D183" i="91"/>
  <c r="C183" i="91"/>
  <c r="D182" i="91"/>
  <c r="C182" i="91"/>
  <c r="D181" i="91"/>
  <c r="C181" i="91"/>
  <c r="D180" i="91"/>
  <c r="C180" i="91"/>
  <c r="D179" i="91"/>
  <c r="C179" i="91"/>
  <c r="D178" i="91"/>
  <c r="C178" i="91"/>
  <c r="D177" i="91"/>
  <c r="C177" i="91"/>
  <c r="D176" i="91"/>
  <c r="C176" i="91"/>
  <c r="D175" i="91"/>
  <c r="C175" i="91"/>
  <c r="D174" i="91"/>
  <c r="C174" i="91"/>
  <c r="D173" i="91"/>
  <c r="C173" i="91"/>
  <c r="D172" i="91"/>
  <c r="C172" i="91"/>
  <c r="D171" i="91"/>
  <c r="C171" i="91"/>
  <c r="D170" i="91"/>
  <c r="C170" i="91"/>
  <c r="D169" i="91"/>
  <c r="C169" i="91"/>
  <c r="D168" i="91"/>
  <c r="C168" i="91"/>
  <c r="D167" i="91"/>
  <c r="C167" i="91"/>
  <c r="D166" i="91"/>
  <c r="C166" i="91"/>
  <c r="D165" i="91"/>
  <c r="C165" i="91"/>
  <c r="D164" i="91"/>
  <c r="C164" i="91"/>
  <c r="D160" i="91"/>
  <c r="C160" i="91"/>
  <c r="D159" i="91"/>
  <c r="C159" i="91"/>
  <c r="D158" i="91"/>
  <c r="C158" i="91"/>
  <c r="D157" i="91"/>
  <c r="C157" i="91"/>
  <c r="D156" i="91"/>
  <c r="C156" i="91"/>
  <c r="D155" i="91"/>
  <c r="C155" i="91"/>
  <c r="D153" i="91"/>
  <c r="C153" i="91"/>
  <c r="D152" i="91"/>
  <c r="C152" i="91"/>
  <c r="D151" i="91"/>
  <c r="C151" i="91"/>
  <c r="D150" i="91"/>
  <c r="C150" i="91"/>
  <c r="D149" i="91"/>
  <c r="C149" i="91"/>
  <c r="D148" i="91"/>
  <c r="C148" i="91"/>
  <c r="D147" i="91"/>
  <c r="C147" i="91"/>
  <c r="D146" i="91"/>
  <c r="C146" i="91"/>
  <c r="D145" i="91"/>
  <c r="C145" i="91"/>
  <c r="D143" i="91"/>
  <c r="C143" i="91"/>
  <c r="D142" i="91"/>
  <c r="C142" i="91"/>
  <c r="D141" i="91"/>
  <c r="C141" i="91"/>
  <c r="D140" i="91"/>
  <c r="C140" i="91"/>
  <c r="D138" i="91"/>
  <c r="C138" i="91"/>
  <c r="D137" i="91"/>
  <c r="C137" i="91"/>
  <c r="D136" i="91"/>
  <c r="C136" i="91"/>
  <c r="D135" i="91"/>
  <c r="C135" i="91"/>
  <c r="D133" i="91"/>
  <c r="C133" i="91"/>
  <c r="D132" i="91"/>
  <c r="C132" i="91"/>
  <c r="D131" i="91"/>
  <c r="C131" i="91"/>
  <c r="D130" i="91"/>
  <c r="C130" i="91"/>
  <c r="D129" i="91"/>
  <c r="C129" i="91"/>
  <c r="D127" i="91"/>
  <c r="C127" i="91"/>
  <c r="D126" i="91"/>
  <c r="C126" i="91"/>
  <c r="D125" i="91"/>
  <c r="C125" i="91"/>
  <c r="D124" i="91"/>
  <c r="C124" i="91"/>
  <c r="D123" i="91"/>
  <c r="C123" i="91"/>
  <c r="D118" i="91"/>
  <c r="C118" i="91"/>
  <c r="D117" i="91"/>
  <c r="C117" i="91"/>
  <c r="D116" i="91"/>
  <c r="C116" i="91"/>
  <c r="D115" i="91"/>
  <c r="C115" i="91"/>
  <c r="D114" i="91"/>
  <c r="C114" i="91"/>
  <c r="D110" i="91"/>
  <c r="C110" i="91"/>
  <c r="D109" i="91"/>
  <c r="C109" i="91"/>
  <c r="D108" i="91"/>
  <c r="C108" i="91"/>
  <c r="D107" i="91"/>
  <c r="C107" i="91"/>
  <c r="D106" i="91"/>
  <c r="C106" i="91"/>
  <c r="D105" i="91"/>
  <c r="C105" i="91"/>
  <c r="D101" i="91"/>
  <c r="C101" i="91"/>
  <c r="D100" i="91"/>
  <c r="C100" i="91"/>
  <c r="D99" i="91"/>
  <c r="C99" i="91"/>
  <c r="D98" i="91"/>
  <c r="C98" i="91"/>
  <c r="D97" i="91"/>
  <c r="C97" i="91"/>
  <c r="D96" i="91"/>
  <c r="C96" i="91"/>
  <c r="D92" i="91"/>
  <c r="C92" i="91"/>
  <c r="D91" i="91"/>
  <c r="C91" i="91"/>
  <c r="D90" i="91"/>
  <c r="C90" i="91"/>
  <c r="D89" i="91"/>
  <c r="C89" i="91"/>
  <c r="D88" i="91"/>
  <c r="C88" i="91"/>
  <c r="D87" i="91"/>
  <c r="C87" i="91"/>
  <c r="D86" i="91"/>
  <c r="C86" i="91"/>
  <c r="D85" i="91"/>
  <c r="C85" i="91"/>
  <c r="D84" i="91"/>
  <c r="C84" i="91"/>
  <c r="D83" i="91"/>
  <c r="C83" i="91"/>
  <c r="D82" i="91"/>
  <c r="C82" i="91"/>
  <c r="D78" i="91"/>
  <c r="C78" i="91"/>
  <c r="D77" i="91"/>
  <c r="C77" i="91"/>
  <c r="D76" i="91"/>
  <c r="C76" i="91"/>
  <c r="D75" i="91"/>
  <c r="C75" i="91"/>
  <c r="D74" i="91"/>
  <c r="C74" i="91"/>
  <c r="D73" i="91"/>
  <c r="C73" i="91"/>
  <c r="D72" i="91"/>
  <c r="C72" i="91"/>
  <c r="D71" i="91"/>
  <c r="C71" i="91"/>
  <c r="D70" i="91"/>
  <c r="C70" i="91"/>
  <c r="D69" i="91"/>
  <c r="C69" i="91"/>
  <c r="D68" i="91"/>
  <c r="C68" i="91"/>
  <c r="D67" i="91"/>
  <c r="C67" i="91"/>
  <c r="D66" i="91"/>
  <c r="C66" i="91"/>
  <c r="D65" i="91"/>
  <c r="C65" i="91"/>
  <c r="D64" i="91"/>
  <c r="C64" i="91"/>
  <c r="D60" i="91"/>
  <c r="C60" i="91"/>
  <c r="D59" i="91"/>
  <c r="C59" i="91"/>
  <c r="D58" i="91"/>
  <c r="C58" i="91"/>
  <c r="D57" i="91"/>
  <c r="C57" i="91"/>
  <c r="D56" i="91"/>
  <c r="C56" i="91"/>
  <c r="D55" i="91"/>
  <c r="C55" i="91"/>
  <c r="D54" i="91"/>
  <c r="C54" i="91"/>
  <c r="D53" i="91"/>
  <c r="C53" i="91"/>
  <c r="D52" i="91"/>
  <c r="C52" i="91"/>
  <c r="D51" i="91"/>
  <c r="C51" i="91"/>
  <c r="D50" i="91"/>
  <c r="C50" i="91"/>
  <c r="D49" i="91"/>
  <c r="C49" i="91"/>
  <c r="D48" i="91"/>
  <c r="C48" i="91"/>
  <c r="D47" i="91"/>
  <c r="C47" i="91"/>
  <c r="D46" i="91"/>
  <c r="C46" i="91"/>
  <c r="D45" i="91"/>
  <c r="C45" i="91"/>
  <c r="D44" i="91"/>
  <c r="C44" i="91"/>
  <c r="D43" i="91"/>
  <c r="C43" i="91"/>
  <c r="D42" i="91"/>
  <c r="C42" i="91"/>
  <c r="D41" i="91"/>
  <c r="C41" i="91"/>
  <c r="D40" i="91"/>
  <c r="C40" i="91"/>
  <c r="D39" i="91"/>
  <c r="C39" i="91"/>
  <c r="D38" i="91"/>
  <c r="C38" i="91"/>
  <c r="D37" i="91"/>
  <c r="C37" i="91"/>
  <c r="D36" i="91"/>
  <c r="C36" i="91"/>
  <c r="D35" i="91"/>
  <c r="C35" i="91"/>
  <c r="D34" i="91"/>
  <c r="C34" i="91"/>
  <c r="D33" i="91"/>
  <c r="C33" i="91"/>
  <c r="D32" i="91"/>
  <c r="C32" i="91"/>
  <c r="D31" i="91"/>
  <c r="C31" i="91"/>
  <c r="D30" i="91"/>
  <c r="C30" i="91"/>
  <c r="D29" i="91"/>
  <c r="C29" i="91"/>
  <c r="D28" i="91"/>
  <c r="C28" i="91"/>
  <c r="D27" i="91"/>
  <c r="C27" i="91"/>
  <c r="D26" i="91"/>
  <c r="C26" i="91"/>
  <c r="D25" i="91"/>
  <c r="C25" i="91"/>
  <c r="D20" i="91"/>
  <c r="C20" i="91"/>
  <c r="D19" i="91"/>
  <c r="C19" i="91"/>
  <c r="D18" i="91"/>
  <c r="C18" i="91"/>
  <c r="D17" i="91"/>
  <c r="C17" i="91"/>
  <c r="D16" i="91"/>
  <c r="C16" i="91"/>
  <c r="D15" i="91"/>
  <c r="C15" i="91"/>
  <c r="D14" i="91"/>
  <c r="C14" i="91"/>
  <c r="D13" i="91"/>
  <c r="C13" i="91"/>
  <c r="D12" i="91"/>
  <c r="C12" i="91"/>
  <c r="D11" i="91"/>
  <c r="C11" i="91"/>
  <c r="D21" i="91" l="1"/>
  <c r="D93" i="91"/>
  <c r="D102" i="91"/>
  <c r="D119" i="91"/>
  <c r="C79" i="91"/>
  <c r="C119" i="91"/>
  <c r="D79" i="91"/>
  <c r="C111" i="91"/>
  <c r="D161" i="91"/>
  <c r="C228" i="91"/>
  <c r="D61" i="91"/>
  <c r="D111" i="91"/>
  <c r="C197" i="91"/>
  <c r="C206" i="91"/>
  <c r="C161" i="91"/>
  <c r="C21" i="91"/>
  <c r="C93" i="91"/>
  <c r="C102" i="91"/>
  <c r="D197" i="91"/>
  <c r="D206" i="91"/>
  <c r="C61" i="91"/>
  <c r="D208" i="91" l="1"/>
  <c r="D215" i="91" s="1"/>
  <c r="C208" i="91"/>
  <c r="C212" i="91" s="1"/>
  <c r="C215" i="91" l="1"/>
  <c r="K212" i="14"/>
  <c r="J212" i="14"/>
  <c r="K200" i="14" l="1"/>
  <c r="J200" i="14"/>
  <c r="K137" i="14"/>
  <c r="K136" i="14"/>
  <c r="K135" i="14"/>
  <c r="J137" i="14"/>
  <c r="J136" i="14"/>
  <c r="J135" i="14"/>
  <c r="K127" i="14"/>
  <c r="J127" i="14"/>
  <c r="K124" i="14"/>
  <c r="J124" i="14"/>
  <c r="K96" i="14"/>
  <c r="J96" i="14"/>
  <c r="K82" i="14"/>
  <c r="J82" i="14"/>
  <c r="K27" i="14"/>
  <c r="J27" i="14"/>
  <c r="K25" i="14"/>
  <c r="J25" i="14"/>
  <c r="G244" i="14" l="1"/>
  <c r="G243" i="14" l="1"/>
  <c r="G242" i="14"/>
  <c r="G241" i="14"/>
  <c r="C238" i="14" l="1"/>
  <c r="C237" i="14"/>
  <c r="C236" i="14"/>
  <c r="C235" i="14"/>
  <c r="C232" i="14"/>
  <c r="C231" i="14"/>
  <c r="D228" i="14"/>
  <c r="C227" i="14"/>
  <c r="C226" i="14"/>
  <c r="C225" i="14"/>
  <c r="C224" i="14"/>
  <c r="C223" i="14"/>
  <c r="C222" i="14"/>
  <c r="C221" i="14"/>
  <c r="C220" i="14"/>
  <c r="C219" i="14"/>
  <c r="C211" i="14"/>
  <c r="D205" i="14"/>
  <c r="C205" i="14"/>
  <c r="D204" i="14"/>
  <c r="C204" i="14"/>
  <c r="D203" i="14"/>
  <c r="C203" i="14"/>
  <c r="D202" i="14"/>
  <c r="C202" i="14"/>
  <c r="D201" i="14"/>
  <c r="C201" i="14"/>
  <c r="D200" i="14"/>
  <c r="C200" i="14"/>
  <c r="D196" i="14"/>
  <c r="C196" i="14"/>
  <c r="D195" i="14"/>
  <c r="C195" i="14"/>
  <c r="D194" i="14"/>
  <c r="C194" i="14"/>
  <c r="D193" i="14"/>
  <c r="C193" i="14"/>
  <c r="D192" i="14"/>
  <c r="C192" i="14"/>
  <c r="D191" i="14"/>
  <c r="C191" i="14"/>
  <c r="D190" i="14"/>
  <c r="C190" i="14"/>
  <c r="D189" i="14"/>
  <c r="C189" i="14"/>
  <c r="D188" i="14"/>
  <c r="C188" i="14"/>
  <c r="D187" i="14"/>
  <c r="C187" i="14"/>
  <c r="D186" i="14"/>
  <c r="C186" i="14"/>
  <c r="D185" i="14"/>
  <c r="C185" i="14"/>
  <c r="D184" i="14"/>
  <c r="C184" i="14"/>
  <c r="D183" i="14"/>
  <c r="C183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6" i="14"/>
  <c r="C176" i="14"/>
  <c r="D175" i="14"/>
  <c r="C175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8" i="14"/>
  <c r="C168" i="14"/>
  <c r="D167" i="14"/>
  <c r="C167" i="14"/>
  <c r="D166" i="14"/>
  <c r="C166" i="14"/>
  <c r="D165" i="14"/>
  <c r="C165" i="14"/>
  <c r="D164" i="14"/>
  <c r="C164" i="14"/>
  <c r="D160" i="14"/>
  <c r="C160" i="14"/>
  <c r="D159" i="14"/>
  <c r="C159" i="14"/>
  <c r="D158" i="14"/>
  <c r="C158" i="14"/>
  <c r="D157" i="14"/>
  <c r="C157" i="14"/>
  <c r="D156" i="14"/>
  <c r="C156" i="14"/>
  <c r="D155" i="14"/>
  <c r="C155" i="14"/>
  <c r="D153" i="14"/>
  <c r="C153" i="14"/>
  <c r="D152" i="14"/>
  <c r="C152" i="14"/>
  <c r="D151" i="14"/>
  <c r="C151" i="14"/>
  <c r="D150" i="14"/>
  <c r="C150" i="14"/>
  <c r="D149" i="14"/>
  <c r="C149" i="14"/>
  <c r="D148" i="14"/>
  <c r="C148" i="14"/>
  <c r="D147" i="14"/>
  <c r="C147" i="14"/>
  <c r="D146" i="14"/>
  <c r="C146" i="14"/>
  <c r="D145" i="14"/>
  <c r="C145" i="14"/>
  <c r="D143" i="14"/>
  <c r="C143" i="14"/>
  <c r="D142" i="14"/>
  <c r="C142" i="14"/>
  <c r="D141" i="14"/>
  <c r="C141" i="14"/>
  <c r="D140" i="14"/>
  <c r="C140" i="14"/>
  <c r="D138" i="14"/>
  <c r="C138" i="14"/>
  <c r="D137" i="14"/>
  <c r="C137" i="14"/>
  <c r="D136" i="14"/>
  <c r="C136" i="14"/>
  <c r="D135" i="14"/>
  <c r="C135" i="14"/>
  <c r="D133" i="14"/>
  <c r="C133" i="14"/>
  <c r="D132" i="14"/>
  <c r="C132" i="14"/>
  <c r="D131" i="14"/>
  <c r="C131" i="14"/>
  <c r="D130" i="14"/>
  <c r="C130" i="14"/>
  <c r="D129" i="14"/>
  <c r="C129" i="14"/>
  <c r="D127" i="14"/>
  <c r="C127" i="14"/>
  <c r="D126" i="14"/>
  <c r="C126" i="14"/>
  <c r="D125" i="14"/>
  <c r="C125" i="14"/>
  <c r="D124" i="14"/>
  <c r="C124" i="14"/>
  <c r="D123" i="14"/>
  <c r="C123" i="14"/>
  <c r="D118" i="14"/>
  <c r="C118" i="14"/>
  <c r="D117" i="14"/>
  <c r="C117" i="14"/>
  <c r="D116" i="14"/>
  <c r="C116" i="14"/>
  <c r="D115" i="14"/>
  <c r="C115" i="14"/>
  <c r="D114" i="14"/>
  <c r="C114" i="14"/>
  <c r="D110" i="14"/>
  <c r="C110" i="14"/>
  <c r="D109" i="14"/>
  <c r="C109" i="14"/>
  <c r="D108" i="14"/>
  <c r="C108" i="14"/>
  <c r="D107" i="14"/>
  <c r="C107" i="14"/>
  <c r="D106" i="14"/>
  <c r="C106" i="14"/>
  <c r="D105" i="14"/>
  <c r="C105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71" i="14"/>
  <c r="C71" i="14"/>
  <c r="D70" i="14"/>
  <c r="C70" i="14"/>
  <c r="D69" i="14"/>
  <c r="C69" i="14"/>
  <c r="D68" i="14"/>
  <c r="C68" i="14"/>
  <c r="D67" i="14"/>
  <c r="C67" i="14"/>
  <c r="D66" i="14"/>
  <c r="C66" i="14"/>
  <c r="D65" i="14"/>
  <c r="C65" i="14"/>
  <c r="D64" i="14"/>
  <c r="C64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D111" i="14" l="1"/>
  <c r="D206" i="14"/>
  <c r="C21" i="14"/>
  <c r="C119" i="14"/>
  <c r="C102" i="14"/>
  <c r="D161" i="14"/>
  <c r="C111" i="14"/>
  <c r="C206" i="14"/>
  <c r="D21" i="14"/>
  <c r="C93" i="14"/>
  <c r="C161" i="14"/>
  <c r="D102" i="14"/>
  <c r="D93" i="14"/>
  <c r="C79" i="14"/>
  <c r="C197" i="14"/>
  <c r="D119" i="14"/>
  <c r="C228" i="14"/>
  <c r="D79" i="14"/>
  <c r="D197" i="14"/>
  <c r="C61" i="14"/>
  <c r="D61" i="14"/>
  <c r="C208" i="14" l="1"/>
  <c r="D208" i="14"/>
  <c r="D215" i="14" s="1"/>
  <c r="C212" i="14" l="1"/>
  <c r="C215" i="14"/>
  <c r="G244" i="83"/>
  <c r="G243" i="83"/>
  <c r="G242" i="83"/>
  <c r="G241" i="83"/>
  <c r="C238" i="83"/>
  <c r="C237" i="83"/>
  <c r="C236" i="83"/>
  <c r="C235" i="83"/>
  <c r="C233" i="83"/>
  <c r="C232" i="83"/>
  <c r="C231" i="83"/>
  <c r="D228" i="83"/>
  <c r="C227" i="83"/>
  <c r="C226" i="83"/>
  <c r="C225" i="83"/>
  <c r="C224" i="83"/>
  <c r="C223" i="83"/>
  <c r="C222" i="83"/>
  <c r="C221" i="83"/>
  <c r="C220" i="83"/>
  <c r="C219" i="83"/>
  <c r="C211" i="83"/>
  <c r="D205" i="83"/>
  <c r="C205" i="83"/>
  <c r="D204" i="83"/>
  <c r="C204" i="83"/>
  <c r="D203" i="83"/>
  <c r="C203" i="83"/>
  <c r="D202" i="83"/>
  <c r="C202" i="83"/>
  <c r="D201" i="83"/>
  <c r="C201" i="83"/>
  <c r="D200" i="83"/>
  <c r="C200" i="83"/>
  <c r="D196" i="83"/>
  <c r="C196" i="83"/>
  <c r="D195" i="83"/>
  <c r="C195" i="83"/>
  <c r="D194" i="83"/>
  <c r="C194" i="83"/>
  <c r="D193" i="83"/>
  <c r="C193" i="83"/>
  <c r="D192" i="83"/>
  <c r="C192" i="83"/>
  <c r="D191" i="83"/>
  <c r="C191" i="83"/>
  <c r="D190" i="83"/>
  <c r="C190" i="83"/>
  <c r="D189" i="83"/>
  <c r="C189" i="83"/>
  <c r="D188" i="83"/>
  <c r="C188" i="83"/>
  <c r="D187" i="83"/>
  <c r="C187" i="83"/>
  <c r="D186" i="83"/>
  <c r="C186" i="83"/>
  <c r="D185" i="83"/>
  <c r="C185" i="83"/>
  <c r="D184" i="83"/>
  <c r="C184" i="83"/>
  <c r="D183" i="83"/>
  <c r="C183" i="83"/>
  <c r="D182" i="83"/>
  <c r="C182" i="83"/>
  <c r="D181" i="83"/>
  <c r="C181" i="83"/>
  <c r="D180" i="83"/>
  <c r="C180" i="83"/>
  <c r="D179" i="83"/>
  <c r="C179" i="83"/>
  <c r="D178" i="83"/>
  <c r="C178" i="83"/>
  <c r="D177" i="83"/>
  <c r="C177" i="83"/>
  <c r="D176" i="83"/>
  <c r="C176" i="83"/>
  <c r="D175" i="83"/>
  <c r="C175" i="83"/>
  <c r="D174" i="83"/>
  <c r="C174" i="83"/>
  <c r="D173" i="83"/>
  <c r="C173" i="83"/>
  <c r="D172" i="83"/>
  <c r="C172" i="83"/>
  <c r="D171" i="83"/>
  <c r="C171" i="83"/>
  <c r="D170" i="83"/>
  <c r="C170" i="83"/>
  <c r="D169" i="83"/>
  <c r="C169" i="83"/>
  <c r="D168" i="83"/>
  <c r="C168" i="83"/>
  <c r="D167" i="83"/>
  <c r="C167" i="83"/>
  <c r="D166" i="83"/>
  <c r="C166" i="83"/>
  <c r="D165" i="83"/>
  <c r="C165" i="83"/>
  <c r="D164" i="83"/>
  <c r="C164" i="83"/>
  <c r="D160" i="83"/>
  <c r="C160" i="83"/>
  <c r="D159" i="83"/>
  <c r="C159" i="83"/>
  <c r="D158" i="83"/>
  <c r="C158" i="83"/>
  <c r="D157" i="83"/>
  <c r="C157" i="83"/>
  <c r="D156" i="83"/>
  <c r="C156" i="83"/>
  <c r="D155" i="83"/>
  <c r="C155" i="83"/>
  <c r="D153" i="83"/>
  <c r="C153" i="83"/>
  <c r="D152" i="83"/>
  <c r="C152" i="83"/>
  <c r="D151" i="83"/>
  <c r="C151" i="83"/>
  <c r="D150" i="83"/>
  <c r="C150" i="83"/>
  <c r="D149" i="83"/>
  <c r="C149" i="83"/>
  <c r="D148" i="83"/>
  <c r="C148" i="83"/>
  <c r="D147" i="83"/>
  <c r="C147" i="83"/>
  <c r="D146" i="83"/>
  <c r="C146" i="83"/>
  <c r="D145" i="83"/>
  <c r="C145" i="83"/>
  <c r="D143" i="83"/>
  <c r="C143" i="83"/>
  <c r="D142" i="83"/>
  <c r="C142" i="83"/>
  <c r="D141" i="83"/>
  <c r="C141" i="83"/>
  <c r="D140" i="83"/>
  <c r="C140" i="83"/>
  <c r="D138" i="83"/>
  <c r="C138" i="83"/>
  <c r="D137" i="83"/>
  <c r="C137" i="83"/>
  <c r="D136" i="83"/>
  <c r="C136" i="83"/>
  <c r="D135" i="83"/>
  <c r="C135" i="83"/>
  <c r="D133" i="83"/>
  <c r="C133" i="83"/>
  <c r="D132" i="83"/>
  <c r="C132" i="83"/>
  <c r="D131" i="83"/>
  <c r="C131" i="83"/>
  <c r="D130" i="83"/>
  <c r="C130" i="83"/>
  <c r="D129" i="83"/>
  <c r="C129" i="83"/>
  <c r="D127" i="83"/>
  <c r="C127" i="83"/>
  <c r="D126" i="83"/>
  <c r="C126" i="83"/>
  <c r="D125" i="83"/>
  <c r="C125" i="83"/>
  <c r="D124" i="83"/>
  <c r="C124" i="83"/>
  <c r="D123" i="83"/>
  <c r="C123" i="83"/>
  <c r="D118" i="83"/>
  <c r="C118" i="83"/>
  <c r="D117" i="83"/>
  <c r="C117" i="83"/>
  <c r="D116" i="83"/>
  <c r="C116" i="83"/>
  <c r="D115" i="83"/>
  <c r="C115" i="83"/>
  <c r="D114" i="83"/>
  <c r="C114" i="83"/>
  <c r="D110" i="83"/>
  <c r="C110" i="83"/>
  <c r="D109" i="83"/>
  <c r="C109" i="83"/>
  <c r="D108" i="83"/>
  <c r="C108" i="83"/>
  <c r="D107" i="83"/>
  <c r="C107" i="83"/>
  <c r="D106" i="83"/>
  <c r="C106" i="83"/>
  <c r="D105" i="83"/>
  <c r="C105" i="83"/>
  <c r="D101" i="83"/>
  <c r="C101" i="83"/>
  <c r="D100" i="83"/>
  <c r="C100" i="83"/>
  <c r="D99" i="83"/>
  <c r="C99" i="83"/>
  <c r="D98" i="83"/>
  <c r="C98" i="83"/>
  <c r="D97" i="83"/>
  <c r="C97" i="83"/>
  <c r="D96" i="83"/>
  <c r="C96" i="83"/>
  <c r="D92" i="83"/>
  <c r="C92" i="83"/>
  <c r="D91" i="83"/>
  <c r="C91" i="83"/>
  <c r="D90" i="83"/>
  <c r="C90" i="83"/>
  <c r="D89" i="83"/>
  <c r="C89" i="83"/>
  <c r="D88" i="83"/>
  <c r="C88" i="83"/>
  <c r="D87" i="83"/>
  <c r="C87" i="83"/>
  <c r="D86" i="83"/>
  <c r="C86" i="83"/>
  <c r="D85" i="83"/>
  <c r="C85" i="83"/>
  <c r="D84" i="83"/>
  <c r="C84" i="83"/>
  <c r="D83" i="83"/>
  <c r="C83" i="83"/>
  <c r="D82" i="83"/>
  <c r="C82" i="83"/>
  <c r="D78" i="83"/>
  <c r="C78" i="83"/>
  <c r="D77" i="83"/>
  <c r="C77" i="83"/>
  <c r="D76" i="83"/>
  <c r="C76" i="83"/>
  <c r="D75" i="83"/>
  <c r="C75" i="83"/>
  <c r="D74" i="83"/>
  <c r="C74" i="83"/>
  <c r="D73" i="83"/>
  <c r="C73" i="83"/>
  <c r="D72" i="83"/>
  <c r="C72" i="83"/>
  <c r="D71" i="83"/>
  <c r="C71" i="83"/>
  <c r="D70" i="83"/>
  <c r="C70" i="83"/>
  <c r="D69" i="83"/>
  <c r="C69" i="83"/>
  <c r="D68" i="83"/>
  <c r="C68" i="83"/>
  <c r="D67" i="83"/>
  <c r="C67" i="83"/>
  <c r="D66" i="83"/>
  <c r="C66" i="83"/>
  <c r="D65" i="83"/>
  <c r="C65" i="83"/>
  <c r="D64" i="83"/>
  <c r="C64" i="83"/>
  <c r="D60" i="83"/>
  <c r="C60" i="83"/>
  <c r="D59" i="83"/>
  <c r="C59" i="83"/>
  <c r="D58" i="83"/>
  <c r="C58" i="83"/>
  <c r="D57" i="83"/>
  <c r="C57" i="83"/>
  <c r="D56" i="83"/>
  <c r="C56" i="83"/>
  <c r="D55" i="83"/>
  <c r="C55" i="83"/>
  <c r="D54" i="83"/>
  <c r="C54" i="83"/>
  <c r="D53" i="83"/>
  <c r="C53" i="83"/>
  <c r="D52" i="83"/>
  <c r="C52" i="83"/>
  <c r="D51" i="83"/>
  <c r="C51" i="83"/>
  <c r="D50" i="83"/>
  <c r="C50" i="83"/>
  <c r="D49" i="83"/>
  <c r="C49" i="83"/>
  <c r="D48" i="83"/>
  <c r="C48" i="83"/>
  <c r="D47" i="83"/>
  <c r="C47" i="83"/>
  <c r="D46" i="83"/>
  <c r="C46" i="83"/>
  <c r="D45" i="83"/>
  <c r="C45" i="83"/>
  <c r="D44" i="83"/>
  <c r="C44" i="83"/>
  <c r="D43" i="83"/>
  <c r="C43" i="83"/>
  <c r="D42" i="83"/>
  <c r="C42" i="83"/>
  <c r="D41" i="83"/>
  <c r="C41" i="83"/>
  <c r="D40" i="83"/>
  <c r="C40" i="83"/>
  <c r="D39" i="83"/>
  <c r="C39" i="83"/>
  <c r="D38" i="83"/>
  <c r="C38" i="83"/>
  <c r="D37" i="83"/>
  <c r="C37" i="83"/>
  <c r="D36" i="83"/>
  <c r="C36" i="83"/>
  <c r="D35" i="83"/>
  <c r="C35" i="83"/>
  <c r="D34" i="83"/>
  <c r="C34" i="83"/>
  <c r="D33" i="83"/>
  <c r="C33" i="83"/>
  <c r="D32" i="83"/>
  <c r="C32" i="83"/>
  <c r="D31" i="83"/>
  <c r="C31" i="83"/>
  <c r="D30" i="83"/>
  <c r="C30" i="83"/>
  <c r="D29" i="83"/>
  <c r="C29" i="83"/>
  <c r="D28" i="83"/>
  <c r="C28" i="83"/>
  <c r="D27" i="83"/>
  <c r="C27" i="83"/>
  <c r="D26" i="83"/>
  <c r="C26" i="83"/>
  <c r="D25" i="83"/>
  <c r="C25" i="83"/>
  <c r="D20" i="83"/>
  <c r="C20" i="83"/>
  <c r="D19" i="83"/>
  <c r="C19" i="83"/>
  <c r="D18" i="83"/>
  <c r="C18" i="83"/>
  <c r="D17" i="83"/>
  <c r="C17" i="83"/>
  <c r="D16" i="83"/>
  <c r="C16" i="83"/>
  <c r="D15" i="83"/>
  <c r="C15" i="83"/>
  <c r="D14" i="83"/>
  <c r="C14" i="83"/>
  <c r="D13" i="83"/>
  <c r="C13" i="83"/>
  <c r="D12" i="83"/>
  <c r="C12" i="83"/>
  <c r="D11" i="83"/>
  <c r="C11" i="83"/>
  <c r="D102" i="83" l="1"/>
  <c r="D119" i="83"/>
  <c r="C111" i="83"/>
  <c r="C161" i="83"/>
  <c r="D61" i="83"/>
  <c r="D93" i="83"/>
  <c r="C61" i="83"/>
  <c r="D111" i="83"/>
  <c r="C206" i="83"/>
  <c r="D197" i="83"/>
  <c r="D21" i="83"/>
  <c r="C102" i="83"/>
  <c r="C228" i="83"/>
  <c r="C197" i="83"/>
  <c r="C79" i="83"/>
  <c r="D206" i="83"/>
  <c r="D161" i="83"/>
  <c r="C21" i="83"/>
  <c r="C93" i="83"/>
  <c r="D79" i="83"/>
  <c r="C119" i="83"/>
  <c r="C208" i="83" l="1"/>
  <c r="D208" i="83"/>
  <c r="D215" i="83" s="1"/>
  <c r="C212" i="83" l="1"/>
  <c r="C215" i="83"/>
  <c r="G244" i="39" l="1"/>
  <c r="G243" i="39"/>
  <c r="G242" i="39"/>
  <c r="G241" i="39"/>
  <c r="C238" i="39"/>
  <c r="C237" i="39"/>
  <c r="C236" i="39"/>
  <c r="C235" i="39"/>
  <c r="C233" i="39"/>
  <c r="C232" i="39"/>
  <c r="C231" i="39"/>
  <c r="D228" i="39"/>
  <c r="C227" i="39"/>
  <c r="C226" i="39"/>
  <c r="C225" i="39"/>
  <c r="C224" i="39"/>
  <c r="C223" i="39"/>
  <c r="C222" i="39"/>
  <c r="C221" i="39"/>
  <c r="C220" i="39"/>
  <c r="C219" i="39"/>
  <c r="C211" i="39"/>
  <c r="D205" i="39"/>
  <c r="C205" i="39"/>
  <c r="D204" i="39"/>
  <c r="C204" i="39"/>
  <c r="D203" i="39"/>
  <c r="C203" i="39"/>
  <c r="D202" i="39"/>
  <c r="C202" i="39"/>
  <c r="D201" i="39"/>
  <c r="C201" i="39"/>
  <c r="D200" i="39"/>
  <c r="C200" i="39"/>
  <c r="D196" i="39"/>
  <c r="C196" i="39"/>
  <c r="D195" i="39"/>
  <c r="C195" i="39"/>
  <c r="D194" i="39"/>
  <c r="C194" i="39"/>
  <c r="D193" i="39"/>
  <c r="C193" i="39"/>
  <c r="D192" i="39"/>
  <c r="C192" i="39"/>
  <c r="D191" i="39"/>
  <c r="C191" i="39"/>
  <c r="D190" i="39"/>
  <c r="C190" i="39"/>
  <c r="D189" i="39"/>
  <c r="C189" i="39"/>
  <c r="D188" i="39"/>
  <c r="C188" i="39"/>
  <c r="D187" i="39"/>
  <c r="C187" i="39"/>
  <c r="D186" i="39"/>
  <c r="C186" i="39"/>
  <c r="D185" i="39"/>
  <c r="C185" i="39"/>
  <c r="D184" i="39"/>
  <c r="C184" i="39"/>
  <c r="D183" i="39"/>
  <c r="C183" i="39"/>
  <c r="D182" i="39"/>
  <c r="C182" i="39"/>
  <c r="D181" i="39"/>
  <c r="C181" i="39"/>
  <c r="D180" i="39"/>
  <c r="C180" i="39"/>
  <c r="D179" i="39"/>
  <c r="C179" i="39"/>
  <c r="D178" i="39"/>
  <c r="C178" i="39"/>
  <c r="D177" i="39"/>
  <c r="C177" i="39"/>
  <c r="D176" i="39"/>
  <c r="C176" i="39"/>
  <c r="D175" i="39"/>
  <c r="C175" i="39"/>
  <c r="D174" i="39"/>
  <c r="C174" i="39"/>
  <c r="D173" i="39"/>
  <c r="C173" i="39"/>
  <c r="D172" i="39"/>
  <c r="C172" i="39"/>
  <c r="D171" i="39"/>
  <c r="C171" i="39"/>
  <c r="D170" i="39"/>
  <c r="C170" i="39"/>
  <c r="D169" i="39"/>
  <c r="C169" i="39"/>
  <c r="D168" i="39"/>
  <c r="C168" i="39"/>
  <c r="D167" i="39"/>
  <c r="C167" i="39"/>
  <c r="D166" i="39"/>
  <c r="C166" i="39"/>
  <c r="D165" i="39"/>
  <c r="C165" i="39"/>
  <c r="D164" i="39"/>
  <c r="C164" i="39"/>
  <c r="D160" i="39"/>
  <c r="C160" i="39"/>
  <c r="D159" i="39"/>
  <c r="C159" i="39"/>
  <c r="D158" i="39"/>
  <c r="C158" i="39"/>
  <c r="D157" i="39"/>
  <c r="C157" i="39"/>
  <c r="D156" i="39"/>
  <c r="C156" i="39"/>
  <c r="D155" i="39"/>
  <c r="C155" i="39"/>
  <c r="D153" i="39"/>
  <c r="C153" i="39"/>
  <c r="D152" i="39"/>
  <c r="C152" i="39"/>
  <c r="D151" i="39"/>
  <c r="C151" i="39"/>
  <c r="D150" i="39"/>
  <c r="C150" i="39"/>
  <c r="D149" i="39"/>
  <c r="C149" i="39"/>
  <c r="D148" i="39"/>
  <c r="C148" i="39"/>
  <c r="D147" i="39"/>
  <c r="C147" i="39"/>
  <c r="D146" i="39"/>
  <c r="C146" i="39"/>
  <c r="D145" i="39"/>
  <c r="C145" i="39"/>
  <c r="D143" i="39"/>
  <c r="C143" i="39"/>
  <c r="D142" i="39"/>
  <c r="C142" i="39"/>
  <c r="D141" i="39"/>
  <c r="C141" i="39"/>
  <c r="D140" i="39"/>
  <c r="C140" i="39"/>
  <c r="D138" i="39"/>
  <c r="C138" i="39"/>
  <c r="D137" i="39"/>
  <c r="C137" i="39"/>
  <c r="D136" i="39"/>
  <c r="C136" i="39"/>
  <c r="D135" i="39"/>
  <c r="C135" i="39"/>
  <c r="D133" i="39"/>
  <c r="C133" i="39"/>
  <c r="D132" i="39"/>
  <c r="C132" i="39"/>
  <c r="D131" i="39"/>
  <c r="C131" i="39"/>
  <c r="D130" i="39"/>
  <c r="C130" i="39"/>
  <c r="D129" i="39"/>
  <c r="C129" i="39"/>
  <c r="D127" i="39"/>
  <c r="C127" i="39"/>
  <c r="D126" i="39"/>
  <c r="C126" i="39"/>
  <c r="D125" i="39"/>
  <c r="C125" i="39"/>
  <c r="D124" i="39"/>
  <c r="C124" i="39"/>
  <c r="D123" i="39"/>
  <c r="C123" i="39"/>
  <c r="D118" i="39"/>
  <c r="C118" i="39"/>
  <c r="D117" i="39"/>
  <c r="C117" i="39"/>
  <c r="D116" i="39"/>
  <c r="C116" i="39"/>
  <c r="D115" i="39"/>
  <c r="C115" i="39"/>
  <c r="D114" i="39"/>
  <c r="C114" i="39"/>
  <c r="D110" i="39"/>
  <c r="C110" i="39"/>
  <c r="D109" i="39"/>
  <c r="C109" i="39"/>
  <c r="D108" i="39"/>
  <c r="C108" i="39"/>
  <c r="D107" i="39"/>
  <c r="C107" i="39"/>
  <c r="D106" i="39"/>
  <c r="C106" i="39"/>
  <c r="D105" i="39"/>
  <c r="C105" i="39"/>
  <c r="D101" i="39"/>
  <c r="C101" i="39"/>
  <c r="D100" i="39"/>
  <c r="C100" i="39"/>
  <c r="D99" i="39"/>
  <c r="C99" i="39"/>
  <c r="D98" i="39"/>
  <c r="C98" i="39"/>
  <c r="D97" i="39"/>
  <c r="C97" i="39"/>
  <c r="D96" i="39"/>
  <c r="C96" i="39"/>
  <c r="D92" i="39"/>
  <c r="C92" i="39"/>
  <c r="D91" i="39"/>
  <c r="C91" i="39"/>
  <c r="D90" i="39"/>
  <c r="C90" i="39"/>
  <c r="D89" i="39"/>
  <c r="C89" i="39"/>
  <c r="D88" i="39"/>
  <c r="C88" i="39"/>
  <c r="D87" i="39"/>
  <c r="C87" i="39"/>
  <c r="D86" i="39"/>
  <c r="C86" i="39"/>
  <c r="D85" i="39"/>
  <c r="C85" i="39"/>
  <c r="D84" i="39"/>
  <c r="C84" i="39"/>
  <c r="D83" i="39"/>
  <c r="C83" i="39"/>
  <c r="D82" i="39"/>
  <c r="C82" i="39"/>
  <c r="D78" i="39"/>
  <c r="C78" i="39"/>
  <c r="D77" i="39"/>
  <c r="C77" i="39"/>
  <c r="D76" i="39"/>
  <c r="C76" i="39"/>
  <c r="D75" i="39"/>
  <c r="C75" i="39"/>
  <c r="D74" i="39"/>
  <c r="C74" i="39"/>
  <c r="D73" i="39"/>
  <c r="C73" i="39"/>
  <c r="D72" i="39"/>
  <c r="C72" i="39"/>
  <c r="D71" i="39"/>
  <c r="C71" i="39"/>
  <c r="D70" i="39"/>
  <c r="C70" i="39"/>
  <c r="D69" i="39"/>
  <c r="C69" i="39"/>
  <c r="D68" i="39"/>
  <c r="C68" i="39"/>
  <c r="D67" i="39"/>
  <c r="C67" i="39"/>
  <c r="D66" i="39"/>
  <c r="C66" i="39"/>
  <c r="D65" i="39"/>
  <c r="C65" i="39"/>
  <c r="D64" i="39"/>
  <c r="C64" i="39"/>
  <c r="D60" i="39"/>
  <c r="C60" i="39"/>
  <c r="D59" i="39"/>
  <c r="C59" i="39"/>
  <c r="D58" i="39"/>
  <c r="C58" i="39"/>
  <c r="D57" i="39"/>
  <c r="C57" i="39"/>
  <c r="D56" i="39"/>
  <c r="C56" i="39"/>
  <c r="D55" i="39"/>
  <c r="C55" i="39"/>
  <c r="D54" i="39"/>
  <c r="C54" i="39"/>
  <c r="D53" i="39"/>
  <c r="C53" i="39"/>
  <c r="D52" i="39"/>
  <c r="C52" i="39"/>
  <c r="D51" i="39"/>
  <c r="C51" i="39"/>
  <c r="D50" i="39"/>
  <c r="C50" i="39"/>
  <c r="D49" i="39"/>
  <c r="C49" i="39"/>
  <c r="D48" i="39"/>
  <c r="C48" i="39"/>
  <c r="D47" i="39"/>
  <c r="C47" i="39"/>
  <c r="D46" i="39"/>
  <c r="C46" i="39"/>
  <c r="D45" i="39"/>
  <c r="C45" i="39"/>
  <c r="D44" i="39"/>
  <c r="C44" i="39"/>
  <c r="D43" i="39"/>
  <c r="C43" i="39"/>
  <c r="D42" i="39"/>
  <c r="C42" i="39"/>
  <c r="D41" i="39"/>
  <c r="C41" i="39"/>
  <c r="D40" i="39"/>
  <c r="C40" i="39"/>
  <c r="D39" i="39"/>
  <c r="C39" i="39"/>
  <c r="D38" i="39"/>
  <c r="C38" i="39"/>
  <c r="D37" i="39"/>
  <c r="C37" i="39"/>
  <c r="D36" i="39"/>
  <c r="C36" i="39"/>
  <c r="D35" i="39"/>
  <c r="C35" i="39"/>
  <c r="D34" i="39"/>
  <c r="C34" i="39"/>
  <c r="D33" i="39"/>
  <c r="C33" i="39"/>
  <c r="D32" i="39"/>
  <c r="C32" i="39"/>
  <c r="D31" i="39"/>
  <c r="C31" i="39"/>
  <c r="D30" i="39"/>
  <c r="C30" i="39"/>
  <c r="D29" i="39"/>
  <c r="C29" i="39"/>
  <c r="D28" i="39"/>
  <c r="C28" i="39"/>
  <c r="D27" i="39"/>
  <c r="C27" i="39"/>
  <c r="D26" i="39"/>
  <c r="C26" i="39"/>
  <c r="D25" i="39"/>
  <c r="C25" i="39"/>
  <c r="D20" i="39"/>
  <c r="C20" i="39"/>
  <c r="D19" i="39"/>
  <c r="C19" i="39"/>
  <c r="D18" i="39"/>
  <c r="C18" i="39"/>
  <c r="D17" i="39"/>
  <c r="C17" i="39"/>
  <c r="D16" i="39"/>
  <c r="C16" i="39"/>
  <c r="D15" i="39"/>
  <c r="C15" i="39"/>
  <c r="D14" i="39"/>
  <c r="C14" i="39"/>
  <c r="D13" i="39"/>
  <c r="C13" i="39"/>
  <c r="D12" i="39"/>
  <c r="C12" i="39"/>
  <c r="D11" i="39"/>
  <c r="C11" i="39"/>
  <c r="C119" i="39" l="1"/>
  <c r="D21" i="39"/>
  <c r="D102" i="39"/>
  <c r="D119" i="39"/>
  <c r="C102" i="39"/>
  <c r="C111" i="39"/>
  <c r="C206" i="39"/>
  <c r="C93" i="39"/>
  <c r="D93" i="39"/>
  <c r="C79" i="39"/>
  <c r="D161" i="39"/>
  <c r="D79" i="39"/>
  <c r="C161" i="39"/>
  <c r="C197" i="39"/>
  <c r="C228" i="39"/>
  <c r="D197" i="39"/>
  <c r="D111" i="39"/>
  <c r="C21" i="39"/>
  <c r="D206" i="39"/>
  <c r="C61" i="39"/>
  <c r="D61" i="39"/>
  <c r="D208" i="39" l="1"/>
  <c r="D215" i="39" s="1"/>
  <c r="C208" i="39"/>
  <c r="C215" i="39" l="1"/>
  <c r="C212" i="39"/>
  <c r="G244" i="27" l="1"/>
  <c r="G243" i="27"/>
  <c r="G242" i="27"/>
  <c r="G241" i="27"/>
  <c r="C238" i="27"/>
  <c r="C237" i="27"/>
  <c r="C236" i="27"/>
  <c r="C235" i="27"/>
  <c r="C233" i="27"/>
  <c r="C232" i="27"/>
  <c r="C231" i="27"/>
  <c r="D228" i="27"/>
  <c r="C227" i="27"/>
  <c r="C226" i="27"/>
  <c r="C225" i="27"/>
  <c r="C224" i="27"/>
  <c r="C223" i="27"/>
  <c r="C222" i="27"/>
  <c r="C221" i="27"/>
  <c r="C220" i="27"/>
  <c r="C219" i="27"/>
  <c r="C211" i="27"/>
  <c r="D205" i="27"/>
  <c r="C205" i="27"/>
  <c r="D204" i="27"/>
  <c r="C204" i="27"/>
  <c r="D203" i="27"/>
  <c r="C203" i="27"/>
  <c r="D202" i="27"/>
  <c r="C202" i="27"/>
  <c r="D201" i="27"/>
  <c r="C201" i="27"/>
  <c r="D200" i="27"/>
  <c r="C200" i="27"/>
  <c r="D196" i="27"/>
  <c r="C196" i="27"/>
  <c r="D195" i="27"/>
  <c r="C195" i="27"/>
  <c r="D194" i="27"/>
  <c r="C194" i="27"/>
  <c r="D193" i="27"/>
  <c r="C193" i="27"/>
  <c r="D192" i="27"/>
  <c r="C192" i="27"/>
  <c r="D191" i="27"/>
  <c r="C191" i="27"/>
  <c r="D190" i="27"/>
  <c r="C190" i="27"/>
  <c r="D189" i="27"/>
  <c r="C189" i="27"/>
  <c r="D188" i="27"/>
  <c r="C188" i="27"/>
  <c r="D187" i="27"/>
  <c r="C187" i="27"/>
  <c r="D186" i="27"/>
  <c r="C186" i="27"/>
  <c r="D185" i="27"/>
  <c r="C185" i="27"/>
  <c r="D184" i="27"/>
  <c r="C184" i="27"/>
  <c r="D183" i="27"/>
  <c r="C183" i="27"/>
  <c r="D182" i="27"/>
  <c r="C182" i="27"/>
  <c r="D181" i="27"/>
  <c r="C181" i="27"/>
  <c r="D180" i="27"/>
  <c r="C180" i="27"/>
  <c r="D179" i="27"/>
  <c r="C179" i="27"/>
  <c r="D178" i="27"/>
  <c r="C178" i="27"/>
  <c r="D177" i="27"/>
  <c r="C177" i="27"/>
  <c r="D176" i="27"/>
  <c r="C176" i="27"/>
  <c r="D175" i="27"/>
  <c r="C175" i="27"/>
  <c r="D174" i="27"/>
  <c r="C174" i="27"/>
  <c r="D173" i="27"/>
  <c r="C173" i="27"/>
  <c r="D172" i="27"/>
  <c r="C172" i="27"/>
  <c r="D171" i="27"/>
  <c r="C171" i="27"/>
  <c r="D170" i="27"/>
  <c r="C170" i="27"/>
  <c r="D169" i="27"/>
  <c r="C169" i="27"/>
  <c r="D168" i="27"/>
  <c r="C168" i="27"/>
  <c r="D167" i="27"/>
  <c r="C167" i="27"/>
  <c r="D166" i="27"/>
  <c r="C166" i="27"/>
  <c r="D165" i="27"/>
  <c r="C165" i="27"/>
  <c r="D164" i="27"/>
  <c r="C164" i="27"/>
  <c r="D160" i="27"/>
  <c r="C160" i="27"/>
  <c r="D159" i="27"/>
  <c r="C159" i="27"/>
  <c r="D158" i="27"/>
  <c r="C158" i="27"/>
  <c r="D157" i="27"/>
  <c r="C157" i="27"/>
  <c r="D156" i="27"/>
  <c r="C156" i="27"/>
  <c r="D155" i="27"/>
  <c r="C155" i="27"/>
  <c r="D153" i="27"/>
  <c r="C153" i="27"/>
  <c r="D152" i="27"/>
  <c r="C152" i="27"/>
  <c r="D151" i="27"/>
  <c r="C151" i="27"/>
  <c r="D150" i="27"/>
  <c r="C150" i="27"/>
  <c r="D149" i="27"/>
  <c r="C149" i="27"/>
  <c r="D148" i="27"/>
  <c r="C148" i="27"/>
  <c r="D147" i="27"/>
  <c r="C147" i="27"/>
  <c r="D146" i="27"/>
  <c r="C146" i="27"/>
  <c r="D145" i="27"/>
  <c r="C145" i="27"/>
  <c r="D143" i="27"/>
  <c r="C143" i="27"/>
  <c r="D142" i="27"/>
  <c r="C142" i="27"/>
  <c r="D141" i="27"/>
  <c r="C141" i="27"/>
  <c r="D140" i="27"/>
  <c r="C140" i="27"/>
  <c r="D138" i="27"/>
  <c r="C138" i="27"/>
  <c r="D137" i="27"/>
  <c r="C137" i="27"/>
  <c r="D136" i="27"/>
  <c r="C136" i="27"/>
  <c r="D135" i="27"/>
  <c r="C135" i="27"/>
  <c r="D133" i="27"/>
  <c r="C133" i="27"/>
  <c r="D132" i="27"/>
  <c r="C132" i="27"/>
  <c r="D131" i="27"/>
  <c r="C131" i="27"/>
  <c r="D130" i="27"/>
  <c r="C130" i="27"/>
  <c r="D129" i="27"/>
  <c r="C129" i="27"/>
  <c r="D127" i="27"/>
  <c r="C127" i="27"/>
  <c r="D126" i="27"/>
  <c r="C126" i="27"/>
  <c r="D125" i="27"/>
  <c r="C125" i="27"/>
  <c r="D124" i="27"/>
  <c r="C124" i="27"/>
  <c r="D123" i="27"/>
  <c r="C123" i="27"/>
  <c r="D118" i="27"/>
  <c r="C118" i="27"/>
  <c r="D117" i="27"/>
  <c r="C117" i="27"/>
  <c r="D116" i="27"/>
  <c r="C116" i="27"/>
  <c r="D115" i="27"/>
  <c r="C115" i="27"/>
  <c r="D114" i="27"/>
  <c r="C114" i="27"/>
  <c r="D110" i="27"/>
  <c r="C110" i="27"/>
  <c r="D109" i="27"/>
  <c r="C109" i="27"/>
  <c r="D108" i="27"/>
  <c r="C108" i="27"/>
  <c r="D107" i="27"/>
  <c r="C107" i="27"/>
  <c r="D106" i="27"/>
  <c r="C106" i="27"/>
  <c r="D105" i="27"/>
  <c r="C105" i="27"/>
  <c r="D101" i="27"/>
  <c r="C101" i="27"/>
  <c r="D100" i="27"/>
  <c r="C100" i="27"/>
  <c r="D99" i="27"/>
  <c r="C99" i="27"/>
  <c r="D98" i="27"/>
  <c r="C98" i="27"/>
  <c r="D97" i="27"/>
  <c r="C97" i="27"/>
  <c r="D96" i="27"/>
  <c r="C96" i="27"/>
  <c r="D92" i="27"/>
  <c r="C92" i="27"/>
  <c r="D91" i="27"/>
  <c r="C91" i="27"/>
  <c r="D90" i="27"/>
  <c r="C90" i="27"/>
  <c r="D89" i="27"/>
  <c r="C89" i="27"/>
  <c r="D88" i="27"/>
  <c r="C88" i="27"/>
  <c r="D87" i="27"/>
  <c r="C87" i="27"/>
  <c r="D86" i="27"/>
  <c r="C86" i="27"/>
  <c r="D85" i="27"/>
  <c r="C85" i="27"/>
  <c r="D84" i="27"/>
  <c r="C84" i="27"/>
  <c r="D83" i="27"/>
  <c r="C83" i="27"/>
  <c r="D82" i="27"/>
  <c r="C82" i="27"/>
  <c r="D78" i="27"/>
  <c r="C78" i="27"/>
  <c r="D77" i="27"/>
  <c r="C77" i="27"/>
  <c r="D76" i="27"/>
  <c r="C76" i="27"/>
  <c r="D75" i="27"/>
  <c r="C75" i="27"/>
  <c r="D74" i="27"/>
  <c r="C74" i="27"/>
  <c r="D73" i="27"/>
  <c r="C73" i="27"/>
  <c r="D72" i="27"/>
  <c r="C72" i="27"/>
  <c r="D71" i="27"/>
  <c r="C71" i="27"/>
  <c r="D70" i="27"/>
  <c r="C70" i="27"/>
  <c r="D69" i="27"/>
  <c r="C69" i="27"/>
  <c r="D68" i="27"/>
  <c r="C68" i="27"/>
  <c r="D67" i="27"/>
  <c r="C67" i="27"/>
  <c r="D66" i="27"/>
  <c r="C66" i="27"/>
  <c r="D65" i="27"/>
  <c r="C65" i="27"/>
  <c r="D64" i="27"/>
  <c r="C64" i="27"/>
  <c r="D60" i="27"/>
  <c r="C60" i="27"/>
  <c r="D59" i="27"/>
  <c r="C59" i="27"/>
  <c r="D58" i="27"/>
  <c r="C58" i="27"/>
  <c r="D57" i="27"/>
  <c r="C57" i="27"/>
  <c r="D56" i="27"/>
  <c r="C56" i="27"/>
  <c r="D55" i="27"/>
  <c r="C55" i="27"/>
  <c r="D54" i="27"/>
  <c r="C54" i="27"/>
  <c r="D53" i="27"/>
  <c r="C53" i="27"/>
  <c r="D52" i="27"/>
  <c r="C52" i="27"/>
  <c r="D51" i="27"/>
  <c r="C51" i="27"/>
  <c r="D50" i="27"/>
  <c r="C50" i="27"/>
  <c r="D49" i="27"/>
  <c r="C49" i="27"/>
  <c r="D48" i="27"/>
  <c r="C48" i="27"/>
  <c r="D47" i="27"/>
  <c r="C47" i="27"/>
  <c r="D46" i="27"/>
  <c r="C46" i="27"/>
  <c r="D45" i="27"/>
  <c r="C45" i="27"/>
  <c r="D44" i="27"/>
  <c r="C44" i="27"/>
  <c r="D43" i="27"/>
  <c r="C43" i="27"/>
  <c r="D42" i="27"/>
  <c r="C42" i="27"/>
  <c r="D41" i="27"/>
  <c r="C41" i="27"/>
  <c r="D40" i="27"/>
  <c r="C40" i="27"/>
  <c r="D39" i="27"/>
  <c r="C39" i="27"/>
  <c r="D38" i="27"/>
  <c r="C38" i="27"/>
  <c r="D37" i="27"/>
  <c r="C37" i="27"/>
  <c r="D36" i="27"/>
  <c r="C36" i="27"/>
  <c r="D35" i="27"/>
  <c r="C35" i="27"/>
  <c r="D34" i="27"/>
  <c r="C34" i="27"/>
  <c r="D33" i="27"/>
  <c r="C33" i="27"/>
  <c r="D32" i="27"/>
  <c r="C32" i="27"/>
  <c r="D31" i="27"/>
  <c r="C31" i="27"/>
  <c r="D30" i="27"/>
  <c r="C30" i="27"/>
  <c r="D29" i="27"/>
  <c r="C29" i="27"/>
  <c r="D28" i="27"/>
  <c r="C28" i="27"/>
  <c r="D27" i="27"/>
  <c r="C27" i="27"/>
  <c r="D26" i="27"/>
  <c r="C26" i="27"/>
  <c r="D25" i="27"/>
  <c r="C25" i="27"/>
  <c r="D20" i="27"/>
  <c r="C20" i="27"/>
  <c r="D19" i="27"/>
  <c r="C19" i="27"/>
  <c r="D18" i="27"/>
  <c r="C18" i="27"/>
  <c r="D17" i="27"/>
  <c r="C17" i="27"/>
  <c r="D16" i="27"/>
  <c r="C16" i="27"/>
  <c r="D15" i="27"/>
  <c r="C15" i="27"/>
  <c r="D14" i="27"/>
  <c r="C14" i="27"/>
  <c r="D13" i="27"/>
  <c r="C13" i="27"/>
  <c r="D12" i="27"/>
  <c r="C12" i="27"/>
  <c r="D11" i="27"/>
  <c r="C11" i="27"/>
  <c r="C102" i="27" l="1"/>
  <c r="D21" i="27"/>
  <c r="D93" i="27"/>
  <c r="D102" i="27"/>
  <c r="C21" i="27"/>
  <c r="C93" i="27"/>
  <c r="C79" i="27"/>
  <c r="C119" i="27"/>
  <c r="D79" i="27"/>
  <c r="D119" i="27"/>
  <c r="C228" i="27"/>
  <c r="C111" i="27"/>
  <c r="C161" i="27"/>
  <c r="D61" i="27"/>
  <c r="D111" i="27"/>
  <c r="D161" i="27"/>
  <c r="C197" i="27"/>
  <c r="C206" i="27"/>
  <c r="D197" i="27"/>
  <c r="D206" i="27"/>
  <c r="C61" i="27"/>
  <c r="D208" i="27" l="1"/>
  <c r="D215" i="27" s="1"/>
  <c r="C208" i="27"/>
  <c r="C212" i="27" l="1"/>
  <c r="C215" i="27"/>
  <c r="G244" i="43"/>
  <c r="G243" i="43"/>
  <c r="G242" i="43"/>
  <c r="G241" i="43"/>
  <c r="C238" i="43"/>
  <c r="C237" i="43"/>
  <c r="C236" i="43"/>
  <c r="C235" i="43"/>
  <c r="C233" i="43"/>
  <c r="C232" i="43"/>
  <c r="C231" i="43"/>
  <c r="D228" i="43"/>
  <c r="C227" i="43"/>
  <c r="C226" i="43"/>
  <c r="C225" i="43"/>
  <c r="C224" i="43"/>
  <c r="C223" i="43"/>
  <c r="C222" i="43"/>
  <c r="C221" i="43"/>
  <c r="C220" i="43"/>
  <c r="C219" i="43"/>
  <c r="C211" i="43"/>
  <c r="D205" i="43"/>
  <c r="C205" i="43"/>
  <c r="D204" i="43"/>
  <c r="C204" i="43"/>
  <c r="D203" i="43"/>
  <c r="C203" i="43"/>
  <c r="D202" i="43"/>
  <c r="C202" i="43"/>
  <c r="D201" i="43"/>
  <c r="C201" i="43"/>
  <c r="D200" i="43"/>
  <c r="C200" i="43"/>
  <c r="D196" i="43"/>
  <c r="C196" i="43"/>
  <c r="D195" i="43"/>
  <c r="C195" i="43"/>
  <c r="D194" i="43"/>
  <c r="C194" i="43"/>
  <c r="D193" i="43"/>
  <c r="C193" i="43"/>
  <c r="D192" i="43"/>
  <c r="C192" i="43"/>
  <c r="D191" i="43"/>
  <c r="C191" i="43"/>
  <c r="D190" i="43"/>
  <c r="C190" i="43"/>
  <c r="D189" i="43"/>
  <c r="C189" i="43"/>
  <c r="D188" i="43"/>
  <c r="C188" i="43"/>
  <c r="D187" i="43"/>
  <c r="C187" i="43"/>
  <c r="D186" i="43"/>
  <c r="C186" i="43"/>
  <c r="D185" i="43"/>
  <c r="C185" i="43"/>
  <c r="D184" i="43"/>
  <c r="C184" i="43"/>
  <c r="D183" i="43"/>
  <c r="C183" i="43"/>
  <c r="D182" i="43"/>
  <c r="C182" i="43"/>
  <c r="D181" i="43"/>
  <c r="C181" i="43"/>
  <c r="D180" i="43"/>
  <c r="C180" i="43"/>
  <c r="D179" i="43"/>
  <c r="C179" i="43"/>
  <c r="D178" i="43"/>
  <c r="C178" i="43"/>
  <c r="D177" i="43"/>
  <c r="C177" i="43"/>
  <c r="D176" i="43"/>
  <c r="C176" i="43"/>
  <c r="D175" i="43"/>
  <c r="C175" i="43"/>
  <c r="D174" i="43"/>
  <c r="C174" i="43"/>
  <c r="D173" i="43"/>
  <c r="C173" i="43"/>
  <c r="D172" i="43"/>
  <c r="C172" i="43"/>
  <c r="D171" i="43"/>
  <c r="C171" i="43"/>
  <c r="D170" i="43"/>
  <c r="C170" i="43"/>
  <c r="D169" i="43"/>
  <c r="C169" i="43"/>
  <c r="D168" i="43"/>
  <c r="C168" i="43"/>
  <c r="D167" i="43"/>
  <c r="C167" i="43"/>
  <c r="D166" i="43"/>
  <c r="C166" i="43"/>
  <c r="D165" i="43"/>
  <c r="C165" i="43"/>
  <c r="D164" i="43"/>
  <c r="C164" i="43"/>
  <c r="D160" i="43"/>
  <c r="C160" i="43"/>
  <c r="D159" i="43"/>
  <c r="C159" i="43"/>
  <c r="D158" i="43"/>
  <c r="C158" i="43"/>
  <c r="D157" i="43"/>
  <c r="C157" i="43"/>
  <c r="D156" i="43"/>
  <c r="C156" i="43"/>
  <c r="D155" i="43"/>
  <c r="C155" i="43"/>
  <c r="D153" i="43"/>
  <c r="C153" i="43"/>
  <c r="D152" i="43"/>
  <c r="C152" i="43"/>
  <c r="D151" i="43"/>
  <c r="C151" i="43"/>
  <c r="D150" i="43"/>
  <c r="C150" i="43"/>
  <c r="D149" i="43"/>
  <c r="C149" i="43"/>
  <c r="D148" i="43"/>
  <c r="C148" i="43"/>
  <c r="D147" i="43"/>
  <c r="C147" i="43"/>
  <c r="D146" i="43"/>
  <c r="C146" i="43"/>
  <c r="D145" i="43"/>
  <c r="C145" i="43"/>
  <c r="D143" i="43"/>
  <c r="C143" i="43"/>
  <c r="D142" i="43"/>
  <c r="C142" i="43"/>
  <c r="D141" i="43"/>
  <c r="C141" i="43"/>
  <c r="D140" i="43"/>
  <c r="C140" i="43"/>
  <c r="D138" i="43"/>
  <c r="C138" i="43"/>
  <c r="D137" i="43"/>
  <c r="C137" i="43"/>
  <c r="D136" i="43"/>
  <c r="C136" i="43"/>
  <c r="D135" i="43"/>
  <c r="C135" i="43"/>
  <c r="D133" i="43"/>
  <c r="C133" i="43"/>
  <c r="D132" i="43"/>
  <c r="C132" i="43"/>
  <c r="D131" i="43"/>
  <c r="C131" i="43"/>
  <c r="D130" i="43"/>
  <c r="C130" i="43"/>
  <c r="D129" i="43"/>
  <c r="C129" i="43"/>
  <c r="D127" i="43"/>
  <c r="C127" i="43"/>
  <c r="D126" i="43"/>
  <c r="C126" i="43"/>
  <c r="D125" i="43"/>
  <c r="C125" i="43"/>
  <c r="D124" i="43"/>
  <c r="C124" i="43"/>
  <c r="D123" i="43"/>
  <c r="C123" i="43"/>
  <c r="D118" i="43"/>
  <c r="C118" i="43"/>
  <c r="D117" i="43"/>
  <c r="C117" i="43"/>
  <c r="D116" i="43"/>
  <c r="C116" i="43"/>
  <c r="D115" i="43"/>
  <c r="C115" i="43"/>
  <c r="D114" i="43"/>
  <c r="C114" i="43"/>
  <c r="D110" i="43"/>
  <c r="C110" i="43"/>
  <c r="D109" i="43"/>
  <c r="C109" i="43"/>
  <c r="D108" i="43"/>
  <c r="C108" i="43"/>
  <c r="D107" i="43"/>
  <c r="C107" i="43"/>
  <c r="D106" i="43"/>
  <c r="C106" i="43"/>
  <c r="D105" i="43"/>
  <c r="C105" i="43"/>
  <c r="D101" i="43"/>
  <c r="C101" i="43"/>
  <c r="D100" i="43"/>
  <c r="C100" i="43"/>
  <c r="D99" i="43"/>
  <c r="C99" i="43"/>
  <c r="D98" i="43"/>
  <c r="C98" i="43"/>
  <c r="D97" i="43"/>
  <c r="C97" i="43"/>
  <c r="D96" i="43"/>
  <c r="C96" i="43"/>
  <c r="D92" i="43"/>
  <c r="C92" i="43"/>
  <c r="D91" i="43"/>
  <c r="C91" i="43"/>
  <c r="D90" i="43"/>
  <c r="C90" i="43"/>
  <c r="D89" i="43"/>
  <c r="C89" i="43"/>
  <c r="D88" i="43"/>
  <c r="C88" i="43"/>
  <c r="D87" i="43"/>
  <c r="C87" i="43"/>
  <c r="D86" i="43"/>
  <c r="C86" i="43"/>
  <c r="D85" i="43"/>
  <c r="C85" i="43"/>
  <c r="D84" i="43"/>
  <c r="C84" i="43"/>
  <c r="D83" i="43"/>
  <c r="C83" i="43"/>
  <c r="D82" i="43"/>
  <c r="C82" i="43"/>
  <c r="D78" i="43"/>
  <c r="C78" i="43"/>
  <c r="D77" i="43"/>
  <c r="C77" i="43"/>
  <c r="D76" i="43"/>
  <c r="C76" i="43"/>
  <c r="D75" i="43"/>
  <c r="C75" i="43"/>
  <c r="D74" i="43"/>
  <c r="C74" i="43"/>
  <c r="D73" i="43"/>
  <c r="C73" i="43"/>
  <c r="D72" i="43"/>
  <c r="C72" i="43"/>
  <c r="D71" i="43"/>
  <c r="C71" i="43"/>
  <c r="D70" i="43"/>
  <c r="C70" i="43"/>
  <c r="D69" i="43"/>
  <c r="C69" i="43"/>
  <c r="D68" i="43"/>
  <c r="C68" i="43"/>
  <c r="D67" i="43"/>
  <c r="C67" i="43"/>
  <c r="D66" i="43"/>
  <c r="C66" i="43"/>
  <c r="D65" i="43"/>
  <c r="C65" i="43"/>
  <c r="D64" i="43"/>
  <c r="C64" i="43"/>
  <c r="D60" i="43"/>
  <c r="C60" i="43"/>
  <c r="D59" i="43"/>
  <c r="C59" i="43"/>
  <c r="D58" i="43"/>
  <c r="C58" i="43"/>
  <c r="D57" i="43"/>
  <c r="C57" i="43"/>
  <c r="D56" i="43"/>
  <c r="C56" i="43"/>
  <c r="D55" i="43"/>
  <c r="C55" i="43"/>
  <c r="D54" i="43"/>
  <c r="C54" i="43"/>
  <c r="D53" i="43"/>
  <c r="C53" i="43"/>
  <c r="D52" i="43"/>
  <c r="C52" i="43"/>
  <c r="D51" i="43"/>
  <c r="C51" i="43"/>
  <c r="D50" i="43"/>
  <c r="C50" i="43"/>
  <c r="D49" i="43"/>
  <c r="C49" i="43"/>
  <c r="D48" i="43"/>
  <c r="C48" i="43"/>
  <c r="D47" i="43"/>
  <c r="C47" i="43"/>
  <c r="D46" i="43"/>
  <c r="C46" i="43"/>
  <c r="D45" i="43"/>
  <c r="C45" i="43"/>
  <c r="D44" i="43"/>
  <c r="C44" i="43"/>
  <c r="D43" i="43"/>
  <c r="C43" i="43"/>
  <c r="D42" i="43"/>
  <c r="C42" i="43"/>
  <c r="D41" i="43"/>
  <c r="C41" i="43"/>
  <c r="D40" i="43"/>
  <c r="C40" i="43"/>
  <c r="D39" i="43"/>
  <c r="C39" i="43"/>
  <c r="D38" i="43"/>
  <c r="C38" i="43"/>
  <c r="D37" i="43"/>
  <c r="C37" i="43"/>
  <c r="D36" i="43"/>
  <c r="C36" i="43"/>
  <c r="D35" i="43"/>
  <c r="C35" i="43"/>
  <c r="D34" i="43"/>
  <c r="C34" i="43"/>
  <c r="D33" i="43"/>
  <c r="C33" i="43"/>
  <c r="D32" i="43"/>
  <c r="C32" i="43"/>
  <c r="D31" i="43"/>
  <c r="C31" i="43"/>
  <c r="D30" i="43"/>
  <c r="C30" i="43"/>
  <c r="D29" i="43"/>
  <c r="C29" i="43"/>
  <c r="D28" i="43"/>
  <c r="C28" i="43"/>
  <c r="D27" i="43"/>
  <c r="C27" i="43"/>
  <c r="D26" i="43"/>
  <c r="C26" i="43"/>
  <c r="D25" i="43"/>
  <c r="C25" i="43"/>
  <c r="D20" i="43"/>
  <c r="C20" i="43"/>
  <c r="D19" i="43"/>
  <c r="C19" i="43"/>
  <c r="D18" i="43"/>
  <c r="C18" i="43"/>
  <c r="D17" i="43"/>
  <c r="C17" i="43"/>
  <c r="D16" i="43"/>
  <c r="C16" i="43"/>
  <c r="D15" i="43"/>
  <c r="C15" i="43"/>
  <c r="D14" i="43"/>
  <c r="C14" i="43"/>
  <c r="D13" i="43"/>
  <c r="C13" i="43"/>
  <c r="D12" i="43"/>
  <c r="C12" i="43"/>
  <c r="D11" i="43"/>
  <c r="C11" i="43"/>
  <c r="D119" i="43" l="1"/>
  <c r="C21" i="43"/>
  <c r="C102" i="43"/>
  <c r="C93" i="43"/>
  <c r="C119" i="43"/>
  <c r="C161" i="43"/>
  <c r="D93" i="43"/>
  <c r="D161" i="43"/>
  <c r="D206" i="43"/>
  <c r="C79" i="43"/>
  <c r="C228" i="43"/>
  <c r="D21" i="43"/>
  <c r="D111" i="43"/>
  <c r="C197" i="43"/>
  <c r="C206" i="43"/>
  <c r="C111" i="43"/>
  <c r="D79" i="43"/>
  <c r="D102" i="43"/>
  <c r="D197" i="43"/>
  <c r="C61" i="43"/>
  <c r="D61" i="43"/>
  <c r="D208" i="43" l="1"/>
  <c r="D215" i="43" s="1"/>
  <c r="C208" i="43"/>
  <c r="C212" i="43" l="1"/>
  <c r="C215" i="43"/>
  <c r="G244" i="104"/>
  <c r="G243" i="104"/>
  <c r="G242" i="104"/>
  <c r="G241" i="104"/>
  <c r="C238" i="104"/>
  <c r="C237" i="104"/>
  <c r="C236" i="104"/>
  <c r="C235" i="104"/>
  <c r="C233" i="104"/>
  <c r="C232" i="104"/>
  <c r="C231" i="104"/>
  <c r="D228" i="104"/>
  <c r="C227" i="104"/>
  <c r="C226" i="104"/>
  <c r="C225" i="104"/>
  <c r="C224" i="104"/>
  <c r="C223" i="104"/>
  <c r="C222" i="104"/>
  <c r="C221" i="104"/>
  <c r="C220" i="104"/>
  <c r="C219" i="104"/>
  <c r="C211" i="104"/>
  <c r="D205" i="104"/>
  <c r="C205" i="104"/>
  <c r="D204" i="104"/>
  <c r="C204" i="104"/>
  <c r="D203" i="104"/>
  <c r="C203" i="104"/>
  <c r="D202" i="104"/>
  <c r="C202" i="104"/>
  <c r="D201" i="104"/>
  <c r="C201" i="104"/>
  <c r="D200" i="104"/>
  <c r="C200" i="104"/>
  <c r="D196" i="104"/>
  <c r="C196" i="104"/>
  <c r="D195" i="104"/>
  <c r="C195" i="104"/>
  <c r="D194" i="104"/>
  <c r="C194" i="104"/>
  <c r="D193" i="104"/>
  <c r="C193" i="104"/>
  <c r="D192" i="104"/>
  <c r="C192" i="104"/>
  <c r="D191" i="104"/>
  <c r="C191" i="104"/>
  <c r="D190" i="104"/>
  <c r="C190" i="104"/>
  <c r="D189" i="104"/>
  <c r="C189" i="104"/>
  <c r="D188" i="104"/>
  <c r="C188" i="104"/>
  <c r="D187" i="104"/>
  <c r="C187" i="104"/>
  <c r="D186" i="104"/>
  <c r="C186" i="104"/>
  <c r="D185" i="104"/>
  <c r="C185" i="104"/>
  <c r="D184" i="104"/>
  <c r="C184" i="104"/>
  <c r="D183" i="104"/>
  <c r="C183" i="104"/>
  <c r="D182" i="104"/>
  <c r="C182" i="104"/>
  <c r="D181" i="104"/>
  <c r="C181" i="104"/>
  <c r="D180" i="104"/>
  <c r="C180" i="104"/>
  <c r="D179" i="104"/>
  <c r="C179" i="104"/>
  <c r="D178" i="104"/>
  <c r="C178" i="104"/>
  <c r="D177" i="104"/>
  <c r="C177" i="104"/>
  <c r="D176" i="104"/>
  <c r="C176" i="104"/>
  <c r="D175" i="104"/>
  <c r="C175" i="104"/>
  <c r="D174" i="104"/>
  <c r="C174" i="104"/>
  <c r="D173" i="104"/>
  <c r="C173" i="104"/>
  <c r="D172" i="104"/>
  <c r="C172" i="104"/>
  <c r="D171" i="104"/>
  <c r="C171" i="104"/>
  <c r="D170" i="104"/>
  <c r="C170" i="104"/>
  <c r="D169" i="104"/>
  <c r="C169" i="104"/>
  <c r="D168" i="104"/>
  <c r="C168" i="104"/>
  <c r="D167" i="104"/>
  <c r="C167" i="104"/>
  <c r="D166" i="104"/>
  <c r="C166" i="104"/>
  <c r="D165" i="104"/>
  <c r="C165" i="104"/>
  <c r="D164" i="104"/>
  <c r="C164" i="104"/>
  <c r="D160" i="104"/>
  <c r="C160" i="104"/>
  <c r="D159" i="104"/>
  <c r="C159" i="104"/>
  <c r="D158" i="104"/>
  <c r="C158" i="104"/>
  <c r="D157" i="104"/>
  <c r="C157" i="104"/>
  <c r="D156" i="104"/>
  <c r="C156" i="104"/>
  <c r="D155" i="104"/>
  <c r="C155" i="104"/>
  <c r="D153" i="104"/>
  <c r="C153" i="104"/>
  <c r="D152" i="104"/>
  <c r="C152" i="104"/>
  <c r="D151" i="104"/>
  <c r="C151" i="104"/>
  <c r="D150" i="104"/>
  <c r="C150" i="104"/>
  <c r="D149" i="104"/>
  <c r="C149" i="104"/>
  <c r="D148" i="104"/>
  <c r="C148" i="104"/>
  <c r="D147" i="104"/>
  <c r="C147" i="104"/>
  <c r="D146" i="104"/>
  <c r="C146" i="104"/>
  <c r="D145" i="104"/>
  <c r="C145" i="104"/>
  <c r="D143" i="104"/>
  <c r="C143" i="104"/>
  <c r="D142" i="104"/>
  <c r="C142" i="104"/>
  <c r="D141" i="104"/>
  <c r="C141" i="104"/>
  <c r="D140" i="104"/>
  <c r="C140" i="104"/>
  <c r="D138" i="104"/>
  <c r="C138" i="104"/>
  <c r="D137" i="104"/>
  <c r="C137" i="104"/>
  <c r="D136" i="104"/>
  <c r="C136" i="104"/>
  <c r="D135" i="104"/>
  <c r="C135" i="104"/>
  <c r="D133" i="104"/>
  <c r="C133" i="104"/>
  <c r="D132" i="104"/>
  <c r="C132" i="104"/>
  <c r="D131" i="104"/>
  <c r="C131" i="104"/>
  <c r="D130" i="104"/>
  <c r="C130" i="104"/>
  <c r="D129" i="104"/>
  <c r="C129" i="104"/>
  <c r="D127" i="104"/>
  <c r="C127" i="104"/>
  <c r="D126" i="104"/>
  <c r="C126" i="104"/>
  <c r="D125" i="104"/>
  <c r="C125" i="104"/>
  <c r="D124" i="104"/>
  <c r="C124" i="104"/>
  <c r="D123" i="104"/>
  <c r="C123" i="104"/>
  <c r="D118" i="104"/>
  <c r="C118" i="104"/>
  <c r="D117" i="104"/>
  <c r="C117" i="104"/>
  <c r="D116" i="104"/>
  <c r="C116" i="104"/>
  <c r="D115" i="104"/>
  <c r="C115" i="104"/>
  <c r="D114" i="104"/>
  <c r="C114" i="104"/>
  <c r="D110" i="104"/>
  <c r="C110" i="104"/>
  <c r="D109" i="104"/>
  <c r="C109" i="104"/>
  <c r="D108" i="104"/>
  <c r="C108" i="104"/>
  <c r="D107" i="104"/>
  <c r="C107" i="104"/>
  <c r="D106" i="104"/>
  <c r="C106" i="104"/>
  <c r="D105" i="104"/>
  <c r="C105" i="104"/>
  <c r="D101" i="104"/>
  <c r="C101" i="104"/>
  <c r="D100" i="104"/>
  <c r="C100" i="104"/>
  <c r="D99" i="104"/>
  <c r="C99" i="104"/>
  <c r="D98" i="104"/>
  <c r="C98" i="104"/>
  <c r="D97" i="104"/>
  <c r="C97" i="104"/>
  <c r="D96" i="104"/>
  <c r="C96" i="104"/>
  <c r="D92" i="104"/>
  <c r="C92" i="104"/>
  <c r="D91" i="104"/>
  <c r="C91" i="104"/>
  <c r="D90" i="104"/>
  <c r="C90" i="104"/>
  <c r="D89" i="104"/>
  <c r="C89" i="104"/>
  <c r="D88" i="104"/>
  <c r="C88" i="104"/>
  <c r="D87" i="104"/>
  <c r="C87" i="104"/>
  <c r="D86" i="104"/>
  <c r="C86" i="104"/>
  <c r="D85" i="104"/>
  <c r="C85" i="104"/>
  <c r="D84" i="104"/>
  <c r="C84" i="104"/>
  <c r="D83" i="104"/>
  <c r="C83" i="104"/>
  <c r="D82" i="104"/>
  <c r="C82" i="104"/>
  <c r="D78" i="104"/>
  <c r="C78" i="104"/>
  <c r="D77" i="104"/>
  <c r="C77" i="104"/>
  <c r="D76" i="104"/>
  <c r="C76" i="104"/>
  <c r="D75" i="104"/>
  <c r="C75" i="104"/>
  <c r="D74" i="104"/>
  <c r="C74" i="104"/>
  <c r="D73" i="104"/>
  <c r="C73" i="104"/>
  <c r="D72" i="104"/>
  <c r="C72" i="104"/>
  <c r="D71" i="104"/>
  <c r="C71" i="104"/>
  <c r="D70" i="104"/>
  <c r="C70" i="104"/>
  <c r="D69" i="104"/>
  <c r="C69" i="104"/>
  <c r="D68" i="104"/>
  <c r="C68" i="104"/>
  <c r="D67" i="104"/>
  <c r="C67" i="104"/>
  <c r="D66" i="104"/>
  <c r="C66" i="104"/>
  <c r="D65" i="104"/>
  <c r="C65" i="104"/>
  <c r="D64" i="104"/>
  <c r="C64" i="104"/>
  <c r="D60" i="104"/>
  <c r="C60" i="104"/>
  <c r="D59" i="104"/>
  <c r="C59" i="104"/>
  <c r="D58" i="104"/>
  <c r="C58" i="104"/>
  <c r="D57" i="104"/>
  <c r="C57" i="104"/>
  <c r="D56" i="104"/>
  <c r="C56" i="104"/>
  <c r="D55" i="104"/>
  <c r="C55" i="104"/>
  <c r="D54" i="104"/>
  <c r="C54" i="104"/>
  <c r="D53" i="104"/>
  <c r="C53" i="104"/>
  <c r="D52" i="104"/>
  <c r="C52" i="104"/>
  <c r="D51" i="104"/>
  <c r="C51" i="104"/>
  <c r="D50" i="104"/>
  <c r="C50" i="104"/>
  <c r="D49" i="104"/>
  <c r="C49" i="104"/>
  <c r="D48" i="104"/>
  <c r="C48" i="104"/>
  <c r="D47" i="104"/>
  <c r="C47" i="104"/>
  <c r="D46" i="104"/>
  <c r="C46" i="104"/>
  <c r="D45" i="104"/>
  <c r="C45" i="104"/>
  <c r="D44" i="104"/>
  <c r="C44" i="104"/>
  <c r="D43" i="104"/>
  <c r="C43" i="104"/>
  <c r="D42" i="104"/>
  <c r="C42" i="104"/>
  <c r="D41" i="104"/>
  <c r="C41" i="104"/>
  <c r="D40" i="104"/>
  <c r="C40" i="104"/>
  <c r="D39" i="104"/>
  <c r="C39" i="104"/>
  <c r="D38" i="104"/>
  <c r="C38" i="104"/>
  <c r="D37" i="104"/>
  <c r="C37" i="104"/>
  <c r="D36" i="104"/>
  <c r="C36" i="104"/>
  <c r="D35" i="104"/>
  <c r="C35" i="104"/>
  <c r="D34" i="104"/>
  <c r="C34" i="104"/>
  <c r="D33" i="104"/>
  <c r="C33" i="104"/>
  <c r="D32" i="104"/>
  <c r="C32" i="104"/>
  <c r="D31" i="104"/>
  <c r="C31" i="104"/>
  <c r="D30" i="104"/>
  <c r="C30" i="104"/>
  <c r="D29" i="104"/>
  <c r="C29" i="104"/>
  <c r="D28" i="104"/>
  <c r="C28" i="104"/>
  <c r="D27" i="104"/>
  <c r="C27" i="104"/>
  <c r="D26" i="104"/>
  <c r="C26" i="104"/>
  <c r="D25" i="104"/>
  <c r="C25" i="104"/>
  <c r="D20" i="104"/>
  <c r="C20" i="104"/>
  <c r="D19" i="104"/>
  <c r="C19" i="104"/>
  <c r="D18" i="104"/>
  <c r="C18" i="104"/>
  <c r="D17" i="104"/>
  <c r="C17" i="104"/>
  <c r="D16" i="104"/>
  <c r="C16" i="104"/>
  <c r="D15" i="104"/>
  <c r="C15" i="104"/>
  <c r="D14" i="104"/>
  <c r="C14" i="104"/>
  <c r="D13" i="104"/>
  <c r="C13" i="104"/>
  <c r="D12" i="104"/>
  <c r="C12" i="104"/>
  <c r="D11" i="104"/>
  <c r="C11" i="104"/>
  <c r="D21" i="104" l="1"/>
  <c r="D102" i="104"/>
  <c r="C102" i="104"/>
  <c r="C79" i="104"/>
  <c r="D93" i="104"/>
  <c r="D206" i="104"/>
  <c r="D119" i="104"/>
  <c r="C228" i="104"/>
  <c r="D61" i="104"/>
  <c r="C111" i="104"/>
  <c r="C161" i="104"/>
  <c r="D79" i="104"/>
  <c r="C119" i="104"/>
  <c r="C61" i="104"/>
  <c r="D111" i="104"/>
  <c r="D161" i="104"/>
  <c r="C197" i="104"/>
  <c r="C206" i="104"/>
  <c r="C21" i="104"/>
  <c r="C93" i="104"/>
  <c r="D197" i="104"/>
  <c r="C208" i="104" l="1"/>
  <c r="D208" i="104"/>
  <c r="D215" i="104" s="1"/>
  <c r="C212" i="104" l="1"/>
  <c r="C215" i="104"/>
  <c r="G244" i="37"/>
  <c r="G243" i="37"/>
  <c r="G242" i="37"/>
  <c r="G241" i="37"/>
  <c r="C238" i="37"/>
  <c r="C237" i="37"/>
  <c r="C236" i="37"/>
  <c r="C235" i="37"/>
  <c r="C233" i="37"/>
  <c r="C232" i="37"/>
  <c r="C231" i="37"/>
  <c r="D228" i="37"/>
  <c r="C227" i="37"/>
  <c r="C226" i="37"/>
  <c r="C225" i="37"/>
  <c r="C224" i="37"/>
  <c r="C223" i="37"/>
  <c r="C222" i="37"/>
  <c r="C221" i="37"/>
  <c r="C220" i="37"/>
  <c r="C219" i="37"/>
  <c r="C211" i="37"/>
  <c r="D205" i="37"/>
  <c r="C205" i="37"/>
  <c r="D204" i="37"/>
  <c r="C204" i="37"/>
  <c r="D203" i="37"/>
  <c r="C203" i="37"/>
  <c r="D202" i="37"/>
  <c r="C202" i="37"/>
  <c r="D201" i="37"/>
  <c r="C201" i="37"/>
  <c r="D200" i="37"/>
  <c r="C200" i="37"/>
  <c r="D196" i="37"/>
  <c r="C196" i="37"/>
  <c r="D195" i="37"/>
  <c r="C195" i="37"/>
  <c r="D194" i="37"/>
  <c r="C194" i="37"/>
  <c r="D193" i="37"/>
  <c r="C193" i="37"/>
  <c r="D192" i="37"/>
  <c r="C192" i="37"/>
  <c r="D191" i="37"/>
  <c r="C191" i="37"/>
  <c r="D190" i="37"/>
  <c r="C190" i="37"/>
  <c r="D189" i="37"/>
  <c r="C189" i="37"/>
  <c r="D188" i="37"/>
  <c r="C188" i="37"/>
  <c r="D187" i="37"/>
  <c r="C187" i="37"/>
  <c r="D186" i="37"/>
  <c r="C186" i="37"/>
  <c r="D185" i="37"/>
  <c r="C185" i="37"/>
  <c r="D184" i="37"/>
  <c r="C184" i="37"/>
  <c r="D183" i="37"/>
  <c r="C183" i="37"/>
  <c r="D182" i="37"/>
  <c r="C182" i="37"/>
  <c r="D181" i="37"/>
  <c r="C181" i="37"/>
  <c r="D180" i="37"/>
  <c r="C180" i="37"/>
  <c r="D179" i="37"/>
  <c r="C179" i="37"/>
  <c r="D178" i="37"/>
  <c r="C178" i="37"/>
  <c r="D177" i="37"/>
  <c r="C177" i="37"/>
  <c r="D176" i="37"/>
  <c r="C176" i="37"/>
  <c r="D175" i="37"/>
  <c r="C175" i="37"/>
  <c r="D174" i="37"/>
  <c r="C174" i="37"/>
  <c r="D173" i="37"/>
  <c r="C173" i="37"/>
  <c r="D172" i="37"/>
  <c r="C172" i="37"/>
  <c r="D171" i="37"/>
  <c r="C171" i="37"/>
  <c r="D170" i="37"/>
  <c r="C170" i="37"/>
  <c r="D169" i="37"/>
  <c r="C169" i="37"/>
  <c r="D168" i="37"/>
  <c r="C168" i="37"/>
  <c r="D167" i="37"/>
  <c r="C167" i="37"/>
  <c r="D166" i="37"/>
  <c r="C166" i="37"/>
  <c r="D165" i="37"/>
  <c r="C165" i="37"/>
  <c r="D164" i="37"/>
  <c r="C164" i="37"/>
  <c r="D160" i="37"/>
  <c r="C160" i="37"/>
  <c r="D159" i="37"/>
  <c r="C159" i="37"/>
  <c r="D158" i="37"/>
  <c r="C158" i="37"/>
  <c r="D157" i="37"/>
  <c r="C157" i="37"/>
  <c r="D156" i="37"/>
  <c r="C156" i="37"/>
  <c r="D155" i="37"/>
  <c r="C155" i="37"/>
  <c r="D153" i="37"/>
  <c r="C153" i="37"/>
  <c r="D152" i="37"/>
  <c r="C152" i="37"/>
  <c r="D151" i="37"/>
  <c r="C151" i="37"/>
  <c r="D150" i="37"/>
  <c r="C150" i="37"/>
  <c r="D149" i="37"/>
  <c r="C149" i="37"/>
  <c r="D148" i="37"/>
  <c r="C148" i="37"/>
  <c r="D147" i="37"/>
  <c r="C147" i="37"/>
  <c r="D146" i="37"/>
  <c r="C146" i="37"/>
  <c r="D145" i="37"/>
  <c r="C145" i="37"/>
  <c r="D143" i="37"/>
  <c r="C143" i="37"/>
  <c r="D142" i="37"/>
  <c r="C142" i="37"/>
  <c r="D141" i="37"/>
  <c r="C141" i="37"/>
  <c r="D140" i="37"/>
  <c r="C140" i="37"/>
  <c r="D138" i="37"/>
  <c r="C138" i="37"/>
  <c r="D137" i="37"/>
  <c r="C137" i="37"/>
  <c r="D136" i="37"/>
  <c r="C136" i="37"/>
  <c r="D135" i="37"/>
  <c r="C135" i="37"/>
  <c r="D133" i="37"/>
  <c r="C133" i="37"/>
  <c r="D132" i="37"/>
  <c r="C132" i="37"/>
  <c r="D131" i="37"/>
  <c r="C131" i="37"/>
  <c r="D130" i="37"/>
  <c r="C130" i="37"/>
  <c r="D129" i="37"/>
  <c r="C129" i="37"/>
  <c r="D127" i="37"/>
  <c r="C127" i="37"/>
  <c r="D126" i="37"/>
  <c r="C126" i="37"/>
  <c r="D125" i="37"/>
  <c r="C125" i="37"/>
  <c r="D124" i="37"/>
  <c r="C124" i="37"/>
  <c r="D123" i="37"/>
  <c r="C123" i="37"/>
  <c r="D118" i="37"/>
  <c r="C118" i="37"/>
  <c r="D117" i="37"/>
  <c r="C117" i="37"/>
  <c r="D116" i="37"/>
  <c r="C116" i="37"/>
  <c r="D115" i="37"/>
  <c r="C115" i="37"/>
  <c r="D114" i="37"/>
  <c r="C114" i="37"/>
  <c r="D110" i="37"/>
  <c r="C110" i="37"/>
  <c r="D109" i="37"/>
  <c r="C109" i="37"/>
  <c r="D108" i="37"/>
  <c r="C108" i="37"/>
  <c r="D107" i="37"/>
  <c r="C107" i="37"/>
  <c r="D106" i="37"/>
  <c r="C106" i="37"/>
  <c r="D105" i="37"/>
  <c r="C105" i="37"/>
  <c r="D101" i="37"/>
  <c r="C101" i="37"/>
  <c r="D100" i="37"/>
  <c r="C100" i="37"/>
  <c r="D99" i="37"/>
  <c r="C99" i="37"/>
  <c r="D98" i="37"/>
  <c r="C98" i="37"/>
  <c r="D97" i="37"/>
  <c r="C97" i="37"/>
  <c r="D96" i="37"/>
  <c r="C96" i="37"/>
  <c r="D92" i="37"/>
  <c r="C92" i="37"/>
  <c r="D91" i="37"/>
  <c r="C91" i="37"/>
  <c r="D90" i="37"/>
  <c r="C90" i="37"/>
  <c r="D89" i="37"/>
  <c r="C89" i="37"/>
  <c r="D88" i="37"/>
  <c r="C88" i="37"/>
  <c r="D87" i="37"/>
  <c r="C87" i="37"/>
  <c r="D86" i="37"/>
  <c r="C86" i="37"/>
  <c r="D85" i="37"/>
  <c r="C85" i="37"/>
  <c r="D84" i="37"/>
  <c r="C84" i="37"/>
  <c r="D83" i="37"/>
  <c r="C83" i="37"/>
  <c r="D82" i="37"/>
  <c r="C82" i="37"/>
  <c r="D78" i="37"/>
  <c r="C78" i="37"/>
  <c r="D77" i="37"/>
  <c r="C77" i="37"/>
  <c r="D76" i="37"/>
  <c r="C76" i="37"/>
  <c r="D75" i="37"/>
  <c r="C75" i="37"/>
  <c r="D74" i="37"/>
  <c r="C74" i="37"/>
  <c r="D73" i="37"/>
  <c r="C73" i="37"/>
  <c r="D72" i="37"/>
  <c r="C72" i="37"/>
  <c r="D71" i="37"/>
  <c r="C71" i="37"/>
  <c r="D70" i="37"/>
  <c r="C70" i="37"/>
  <c r="D69" i="37"/>
  <c r="C69" i="37"/>
  <c r="D68" i="37"/>
  <c r="C68" i="37"/>
  <c r="D67" i="37"/>
  <c r="C67" i="37"/>
  <c r="D66" i="37"/>
  <c r="C66" i="37"/>
  <c r="D65" i="37"/>
  <c r="C65" i="37"/>
  <c r="D64" i="37"/>
  <c r="C64" i="37"/>
  <c r="D60" i="37"/>
  <c r="C60" i="37"/>
  <c r="D59" i="37"/>
  <c r="C59" i="37"/>
  <c r="D58" i="37"/>
  <c r="C58" i="37"/>
  <c r="D57" i="37"/>
  <c r="C57" i="37"/>
  <c r="D56" i="37"/>
  <c r="C56" i="37"/>
  <c r="D55" i="37"/>
  <c r="C55" i="37"/>
  <c r="D54" i="37"/>
  <c r="C54" i="37"/>
  <c r="D53" i="37"/>
  <c r="C53" i="37"/>
  <c r="D52" i="37"/>
  <c r="C52" i="37"/>
  <c r="D51" i="37"/>
  <c r="C51" i="37"/>
  <c r="D50" i="37"/>
  <c r="C50" i="37"/>
  <c r="D49" i="37"/>
  <c r="C49" i="37"/>
  <c r="D48" i="37"/>
  <c r="C48" i="37"/>
  <c r="D47" i="37"/>
  <c r="C47" i="37"/>
  <c r="D46" i="37"/>
  <c r="C46" i="37"/>
  <c r="D45" i="37"/>
  <c r="C45" i="37"/>
  <c r="D44" i="37"/>
  <c r="C44" i="37"/>
  <c r="D43" i="37"/>
  <c r="C43" i="37"/>
  <c r="D42" i="37"/>
  <c r="C42" i="37"/>
  <c r="D41" i="37"/>
  <c r="C41" i="37"/>
  <c r="D40" i="37"/>
  <c r="C40" i="37"/>
  <c r="D39" i="37"/>
  <c r="C39" i="37"/>
  <c r="D38" i="37"/>
  <c r="C38" i="37"/>
  <c r="D37" i="37"/>
  <c r="C37" i="37"/>
  <c r="D36" i="37"/>
  <c r="C36" i="37"/>
  <c r="D35" i="37"/>
  <c r="C35" i="37"/>
  <c r="D34" i="37"/>
  <c r="C34" i="37"/>
  <c r="D33" i="37"/>
  <c r="C33" i="37"/>
  <c r="D32" i="37"/>
  <c r="C32" i="37"/>
  <c r="D31" i="37"/>
  <c r="C31" i="37"/>
  <c r="D30" i="37"/>
  <c r="C30" i="37"/>
  <c r="D29" i="37"/>
  <c r="C29" i="37"/>
  <c r="D28" i="37"/>
  <c r="C28" i="37"/>
  <c r="D27" i="37"/>
  <c r="C27" i="37"/>
  <c r="D26" i="37"/>
  <c r="C26" i="37"/>
  <c r="D25" i="37"/>
  <c r="C25" i="37"/>
  <c r="D20" i="37"/>
  <c r="C20" i="37"/>
  <c r="D19" i="37"/>
  <c r="C19" i="37"/>
  <c r="D18" i="37"/>
  <c r="C18" i="37"/>
  <c r="D17" i="37"/>
  <c r="C17" i="37"/>
  <c r="D16" i="37"/>
  <c r="C16" i="37"/>
  <c r="D15" i="37"/>
  <c r="C15" i="37"/>
  <c r="D14" i="37"/>
  <c r="C14" i="37"/>
  <c r="D13" i="37"/>
  <c r="C13" i="37"/>
  <c r="D12" i="37"/>
  <c r="C12" i="37"/>
  <c r="D11" i="37"/>
  <c r="C11" i="37"/>
  <c r="D93" i="37" l="1"/>
  <c r="D161" i="37"/>
  <c r="C79" i="37"/>
  <c r="C111" i="37"/>
  <c r="D79" i="37"/>
  <c r="D21" i="37"/>
  <c r="D102" i="37"/>
  <c r="C119" i="37"/>
  <c r="C206" i="37"/>
  <c r="C21" i="37"/>
  <c r="C93" i="37"/>
  <c r="C102" i="37"/>
  <c r="D119" i="37"/>
  <c r="C228" i="37"/>
  <c r="C161" i="37"/>
  <c r="D197" i="37"/>
  <c r="D111" i="37"/>
  <c r="C197" i="37"/>
  <c r="D206" i="37"/>
  <c r="C61" i="37"/>
  <c r="D61" i="37"/>
  <c r="D208" i="37" l="1"/>
  <c r="D215" i="37" s="1"/>
  <c r="C208" i="37"/>
  <c r="C212" i="37" l="1"/>
  <c r="C215" i="37"/>
  <c r="G244" i="46"/>
  <c r="G243" i="46"/>
  <c r="G242" i="46"/>
  <c r="G241" i="46"/>
  <c r="C238" i="46"/>
  <c r="C237" i="46"/>
  <c r="C236" i="46"/>
  <c r="C235" i="46"/>
  <c r="C233" i="46"/>
  <c r="C232" i="46"/>
  <c r="C231" i="46"/>
  <c r="D228" i="46"/>
  <c r="C227" i="46"/>
  <c r="C226" i="46"/>
  <c r="C225" i="46"/>
  <c r="C224" i="46"/>
  <c r="C223" i="46"/>
  <c r="C222" i="46"/>
  <c r="C221" i="46"/>
  <c r="C220" i="46"/>
  <c r="C219" i="46"/>
  <c r="C211" i="46"/>
  <c r="D205" i="46"/>
  <c r="C205" i="46"/>
  <c r="D204" i="46"/>
  <c r="C204" i="46"/>
  <c r="D203" i="46"/>
  <c r="C203" i="46"/>
  <c r="D202" i="46"/>
  <c r="C202" i="46"/>
  <c r="D201" i="46"/>
  <c r="C201" i="46"/>
  <c r="D200" i="46"/>
  <c r="C200" i="46"/>
  <c r="D196" i="46"/>
  <c r="C196" i="46"/>
  <c r="D195" i="46"/>
  <c r="C195" i="46"/>
  <c r="D194" i="46"/>
  <c r="C194" i="46"/>
  <c r="D193" i="46"/>
  <c r="C193" i="46"/>
  <c r="D192" i="46"/>
  <c r="C192" i="46"/>
  <c r="D191" i="46"/>
  <c r="C191" i="46"/>
  <c r="D190" i="46"/>
  <c r="C190" i="46"/>
  <c r="D189" i="46"/>
  <c r="C189" i="46"/>
  <c r="D188" i="46"/>
  <c r="C188" i="46"/>
  <c r="D187" i="46"/>
  <c r="C187" i="46"/>
  <c r="D186" i="46"/>
  <c r="C186" i="46"/>
  <c r="D185" i="46"/>
  <c r="C185" i="46"/>
  <c r="D184" i="46"/>
  <c r="C184" i="46"/>
  <c r="D183" i="46"/>
  <c r="C183" i="46"/>
  <c r="D182" i="46"/>
  <c r="C182" i="46"/>
  <c r="D181" i="46"/>
  <c r="C181" i="46"/>
  <c r="D180" i="46"/>
  <c r="C180" i="46"/>
  <c r="D179" i="46"/>
  <c r="C179" i="46"/>
  <c r="D178" i="46"/>
  <c r="C178" i="46"/>
  <c r="D177" i="46"/>
  <c r="C177" i="46"/>
  <c r="D176" i="46"/>
  <c r="C176" i="46"/>
  <c r="D175" i="46"/>
  <c r="C175" i="46"/>
  <c r="D174" i="46"/>
  <c r="C174" i="46"/>
  <c r="D173" i="46"/>
  <c r="C173" i="46"/>
  <c r="D172" i="46"/>
  <c r="C172" i="46"/>
  <c r="D171" i="46"/>
  <c r="C171" i="46"/>
  <c r="D170" i="46"/>
  <c r="C170" i="46"/>
  <c r="D169" i="46"/>
  <c r="C169" i="46"/>
  <c r="D168" i="46"/>
  <c r="C168" i="46"/>
  <c r="D167" i="46"/>
  <c r="C167" i="46"/>
  <c r="D166" i="46"/>
  <c r="C166" i="46"/>
  <c r="D165" i="46"/>
  <c r="C165" i="46"/>
  <c r="D164" i="46"/>
  <c r="C164" i="46"/>
  <c r="D160" i="46"/>
  <c r="C160" i="46"/>
  <c r="D159" i="46"/>
  <c r="C159" i="46"/>
  <c r="D158" i="46"/>
  <c r="C158" i="46"/>
  <c r="D157" i="46"/>
  <c r="C157" i="46"/>
  <c r="D156" i="46"/>
  <c r="C156" i="46"/>
  <c r="D155" i="46"/>
  <c r="C155" i="46"/>
  <c r="D153" i="46"/>
  <c r="C153" i="46"/>
  <c r="D152" i="46"/>
  <c r="C152" i="46"/>
  <c r="D151" i="46"/>
  <c r="C151" i="46"/>
  <c r="D150" i="46"/>
  <c r="C150" i="46"/>
  <c r="D149" i="46"/>
  <c r="C149" i="46"/>
  <c r="D148" i="46"/>
  <c r="C148" i="46"/>
  <c r="D147" i="46"/>
  <c r="C147" i="46"/>
  <c r="D146" i="46"/>
  <c r="C146" i="46"/>
  <c r="D145" i="46"/>
  <c r="C145" i="46"/>
  <c r="D143" i="46"/>
  <c r="C143" i="46"/>
  <c r="D142" i="46"/>
  <c r="C142" i="46"/>
  <c r="D141" i="46"/>
  <c r="C141" i="46"/>
  <c r="D140" i="46"/>
  <c r="C140" i="46"/>
  <c r="D138" i="46"/>
  <c r="C138" i="46"/>
  <c r="D137" i="46"/>
  <c r="C137" i="46"/>
  <c r="D136" i="46"/>
  <c r="C136" i="46"/>
  <c r="D135" i="46"/>
  <c r="C135" i="46"/>
  <c r="D133" i="46"/>
  <c r="C133" i="46"/>
  <c r="D132" i="46"/>
  <c r="C132" i="46"/>
  <c r="D131" i="46"/>
  <c r="C131" i="46"/>
  <c r="D130" i="46"/>
  <c r="C130" i="46"/>
  <c r="D129" i="46"/>
  <c r="C129" i="46"/>
  <c r="D127" i="46"/>
  <c r="C127" i="46"/>
  <c r="D126" i="46"/>
  <c r="C126" i="46"/>
  <c r="D125" i="46"/>
  <c r="C125" i="46"/>
  <c r="D124" i="46"/>
  <c r="C124" i="46"/>
  <c r="D123" i="46"/>
  <c r="C123" i="46"/>
  <c r="D118" i="46"/>
  <c r="C118" i="46"/>
  <c r="D117" i="46"/>
  <c r="C117" i="46"/>
  <c r="D116" i="46"/>
  <c r="C116" i="46"/>
  <c r="D115" i="46"/>
  <c r="C115" i="46"/>
  <c r="D114" i="46"/>
  <c r="C114" i="46"/>
  <c r="D110" i="46"/>
  <c r="C110" i="46"/>
  <c r="D109" i="46"/>
  <c r="C109" i="46"/>
  <c r="D108" i="46"/>
  <c r="C108" i="46"/>
  <c r="D107" i="46"/>
  <c r="C107" i="46"/>
  <c r="D106" i="46"/>
  <c r="C106" i="46"/>
  <c r="D105" i="46"/>
  <c r="C105" i="46"/>
  <c r="D101" i="46"/>
  <c r="C101" i="46"/>
  <c r="D100" i="46"/>
  <c r="C100" i="46"/>
  <c r="D99" i="46"/>
  <c r="C99" i="46"/>
  <c r="D98" i="46"/>
  <c r="C98" i="46"/>
  <c r="D97" i="46"/>
  <c r="C97" i="46"/>
  <c r="D96" i="46"/>
  <c r="C96" i="46"/>
  <c r="D92" i="46"/>
  <c r="C92" i="46"/>
  <c r="D91" i="46"/>
  <c r="C91" i="46"/>
  <c r="D90" i="46"/>
  <c r="C90" i="46"/>
  <c r="D89" i="46"/>
  <c r="C89" i="46"/>
  <c r="D88" i="46"/>
  <c r="C88" i="46"/>
  <c r="D87" i="46"/>
  <c r="C87" i="46"/>
  <c r="D86" i="46"/>
  <c r="C86" i="46"/>
  <c r="D85" i="46"/>
  <c r="C85" i="46"/>
  <c r="D84" i="46"/>
  <c r="C84" i="46"/>
  <c r="D83" i="46"/>
  <c r="C83" i="46"/>
  <c r="D82" i="46"/>
  <c r="C82" i="46"/>
  <c r="D78" i="46"/>
  <c r="C78" i="46"/>
  <c r="D77" i="46"/>
  <c r="C77" i="46"/>
  <c r="D76" i="46"/>
  <c r="C76" i="46"/>
  <c r="D75" i="46"/>
  <c r="C75" i="46"/>
  <c r="D74" i="46"/>
  <c r="C74" i="46"/>
  <c r="D73" i="46"/>
  <c r="C73" i="46"/>
  <c r="D72" i="46"/>
  <c r="C72" i="46"/>
  <c r="D71" i="46"/>
  <c r="C71" i="46"/>
  <c r="D70" i="46"/>
  <c r="C70" i="46"/>
  <c r="D69" i="46"/>
  <c r="C69" i="46"/>
  <c r="D68" i="46"/>
  <c r="C68" i="46"/>
  <c r="D67" i="46"/>
  <c r="C67" i="46"/>
  <c r="D66" i="46"/>
  <c r="C66" i="46"/>
  <c r="D65" i="46"/>
  <c r="C65" i="46"/>
  <c r="D64" i="46"/>
  <c r="C64" i="46"/>
  <c r="D60" i="46"/>
  <c r="C60" i="46"/>
  <c r="D59" i="46"/>
  <c r="C59" i="46"/>
  <c r="D58" i="46"/>
  <c r="C58" i="46"/>
  <c r="D57" i="46"/>
  <c r="C57" i="46"/>
  <c r="D56" i="46"/>
  <c r="C56" i="46"/>
  <c r="D55" i="46"/>
  <c r="C55" i="46"/>
  <c r="D54" i="46"/>
  <c r="C54" i="46"/>
  <c r="D53" i="46"/>
  <c r="C53" i="46"/>
  <c r="D52" i="46"/>
  <c r="C52" i="46"/>
  <c r="D51" i="46"/>
  <c r="C51" i="46"/>
  <c r="D50" i="46"/>
  <c r="C50" i="46"/>
  <c r="D49" i="46"/>
  <c r="C49" i="46"/>
  <c r="D48" i="46"/>
  <c r="C48" i="46"/>
  <c r="D47" i="46"/>
  <c r="C47" i="46"/>
  <c r="D46" i="46"/>
  <c r="C46" i="46"/>
  <c r="D45" i="46"/>
  <c r="C45" i="46"/>
  <c r="D44" i="46"/>
  <c r="C44" i="46"/>
  <c r="D43" i="46"/>
  <c r="C43" i="46"/>
  <c r="D42" i="46"/>
  <c r="C42" i="46"/>
  <c r="D41" i="46"/>
  <c r="C41" i="46"/>
  <c r="D40" i="46"/>
  <c r="C40" i="46"/>
  <c r="D39" i="46"/>
  <c r="C39" i="46"/>
  <c r="D38" i="46"/>
  <c r="C38" i="46"/>
  <c r="D37" i="46"/>
  <c r="C37" i="46"/>
  <c r="D36" i="46"/>
  <c r="C36" i="46"/>
  <c r="D35" i="46"/>
  <c r="C35" i="46"/>
  <c r="D34" i="46"/>
  <c r="C34" i="46"/>
  <c r="D33" i="46"/>
  <c r="C33" i="46"/>
  <c r="D32" i="46"/>
  <c r="C32" i="46"/>
  <c r="D31" i="46"/>
  <c r="C31" i="46"/>
  <c r="D30" i="46"/>
  <c r="C30" i="46"/>
  <c r="D29" i="46"/>
  <c r="C29" i="46"/>
  <c r="D28" i="46"/>
  <c r="C28" i="46"/>
  <c r="D27" i="46"/>
  <c r="C27" i="46"/>
  <c r="D26" i="46"/>
  <c r="C26" i="46"/>
  <c r="D25" i="46"/>
  <c r="C25" i="46"/>
  <c r="D20" i="46"/>
  <c r="C20" i="46"/>
  <c r="D19" i="46"/>
  <c r="C19" i="46"/>
  <c r="D18" i="46"/>
  <c r="C18" i="46"/>
  <c r="D17" i="46"/>
  <c r="C17" i="46"/>
  <c r="D16" i="46"/>
  <c r="C16" i="46"/>
  <c r="D15" i="46"/>
  <c r="C15" i="46"/>
  <c r="D14" i="46"/>
  <c r="C14" i="46"/>
  <c r="D13" i="46"/>
  <c r="C13" i="46"/>
  <c r="D12" i="46"/>
  <c r="C12" i="46"/>
  <c r="D11" i="46"/>
  <c r="C11" i="46"/>
  <c r="C21" i="46" l="1"/>
  <c r="C102" i="46"/>
  <c r="C119" i="46"/>
  <c r="D21" i="46"/>
  <c r="D102" i="46"/>
  <c r="C161" i="46"/>
  <c r="D93" i="46"/>
  <c r="D161" i="46"/>
  <c r="C228" i="46"/>
  <c r="C79" i="46"/>
  <c r="C197" i="46"/>
  <c r="D119" i="46"/>
  <c r="C111" i="46"/>
  <c r="C206" i="46"/>
  <c r="C93" i="46"/>
  <c r="D79" i="46"/>
  <c r="D111" i="46"/>
  <c r="D197" i="46"/>
  <c r="D206" i="46"/>
  <c r="C61" i="46"/>
  <c r="D61" i="46"/>
  <c r="C208" i="46" l="1"/>
  <c r="D208" i="46"/>
  <c r="D215" i="46" s="1"/>
  <c r="C212" i="46" l="1"/>
  <c r="C215" i="46"/>
  <c r="G244" i="79" l="1"/>
  <c r="G243" i="79"/>
  <c r="G242" i="79"/>
  <c r="G241" i="79"/>
  <c r="C238" i="79"/>
  <c r="C237" i="79"/>
  <c r="C236" i="79"/>
  <c r="C235" i="79"/>
  <c r="C233" i="79"/>
  <c r="C232" i="79"/>
  <c r="C231" i="79"/>
  <c r="D228" i="79"/>
  <c r="C227" i="79"/>
  <c r="C226" i="79"/>
  <c r="C225" i="79"/>
  <c r="C224" i="79"/>
  <c r="C223" i="79"/>
  <c r="C222" i="79"/>
  <c r="C221" i="79"/>
  <c r="C220" i="79"/>
  <c r="C219" i="79"/>
  <c r="C211" i="79"/>
  <c r="D205" i="79"/>
  <c r="C205" i="79"/>
  <c r="D204" i="79"/>
  <c r="C204" i="79"/>
  <c r="D203" i="79"/>
  <c r="C203" i="79"/>
  <c r="D202" i="79"/>
  <c r="C202" i="79"/>
  <c r="D201" i="79"/>
  <c r="C201" i="79"/>
  <c r="D200" i="79"/>
  <c r="C200" i="79"/>
  <c r="D196" i="79"/>
  <c r="C196" i="79"/>
  <c r="D195" i="79"/>
  <c r="C195" i="79"/>
  <c r="D194" i="79"/>
  <c r="C194" i="79"/>
  <c r="D193" i="79"/>
  <c r="C193" i="79"/>
  <c r="D192" i="79"/>
  <c r="C192" i="79"/>
  <c r="D191" i="79"/>
  <c r="C191" i="79"/>
  <c r="D190" i="79"/>
  <c r="C190" i="79"/>
  <c r="D189" i="79"/>
  <c r="C189" i="79"/>
  <c r="D188" i="79"/>
  <c r="C188" i="79"/>
  <c r="D187" i="79"/>
  <c r="C187" i="79"/>
  <c r="D186" i="79"/>
  <c r="C186" i="79"/>
  <c r="D185" i="79"/>
  <c r="C185" i="79"/>
  <c r="D184" i="79"/>
  <c r="C184" i="79"/>
  <c r="D183" i="79"/>
  <c r="C183" i="79"/>
  <c r="D182" i="79"/>
  <c r="C182" i="79"/>
  <c r="D181" i="79"/>
  <c r="C181" i="79"/>
  <c r="D180" i="79"/>
  <c r="C180" i="79"/>
  <c r="D179" i="79"/>
  <c r="C179" i="79"/>
  <c r="D178" i="79"/>
  <c r="C178" i="79"/>
  <c r="D177" i="79"/>
  <c r="C177" i="79"/>
  <c r="D176" i="79"/>
  <c r="C176" i="79"/>
  <c r="D175" i="79"/>
  <c r="C175" i="79"/>
  <c r="D174" i="79"/>
  <c r="C174" i="79"/>
  <c r="D173" i="79"/>
  <c r="C173" i="79"/>
  <c r="D172" i="79"/>
  <c r="C172" i="79"/>
  <c r="D171" i="79"/>
  <c r="C171" i="79"/>
  <c r="D170" i="79"/>
  <c r="C170" i="79"/>
  <c r="D169" i="79"/>
  <c r="C169" i="79"/>
  <c r="D168" i="79"/>
  <c r="C168" i="79"/>
  <c r="D167" i="79"/>
  <c r="C167" i="79"/>
  <c r="D166" i="79"/>
  <c r="C166" i="79"/>
  <c r="D165" i="79"/>
  <c r="C165" i="79"/>
  <c r="D164" i="79"/>
  <c r="C164" i="79"/>
  <c r="D160" i="79"/>
  <c r="C160" i="79"/>
  <c r="D159" i="79"/>
  <c r="C159" i="79"/>
  <c r="D158" i="79"/>
  <c r="C158" i="79"/>
  <c r="D157" i="79"/>
  <c r="C157" i="79"/>
  <c r="D156" i="79"/>
  <c r="C156" i="79"/>
  <c r="D155" i="79"/>
  <c r="C155" i="79"/>
  <c r="D153" i="79"/>
  <c r="C153" i="79"/>
  <c r="D152" i="79"/>
  <c r="C152" i="79"/>
  <c r="D151" i="79"/>
  <c r="C151" i="79"/>
  <c r="D150" i="79"/>
  <c r="C150" i="79"/>
  <c r="D149" i="79"/>
  <c r="C149" i="79"/>
  <c r="D148" i="79"/>
  <c r="C148" i="79"/>
  <c r="D147" i="79"/>
  <c r="C147" i="79"/>
  <c r="D146" i="79"/>
  <c r="C146" i="79"/>
  <c r="D145" i="79"/>
  <c r="C145" i="79"/>
  <c r="D143" i="79"/>
  <c r="C143" i="79"/>
  <c r="D142" i="79"/>
  <c r="C142" i="79"/>
  <c r="D141" i="79"/>
  <c r="C141" i="79"/>
  <c r="D140" i="79"/>
  <c r="C140" i="79"/>
  <c r="D138" i="79"/>
  <c r="C138" i="79"/>
  <c r="D137" i="79"/>
  <c r="C137" i="79"/>
  <c r="D136" i="79"/>
  <c r="C136" i="79"/>
  <c r="D135" i="79"/>
  <c r="C135" i="79"/>
  <c r="D133" i="79"/>
  <c r="C133" i="79"/>
  <c r="D132" i="79"/>
  <c r="C132" i="79"/>
  <c r="D131" i="79"/>
  <c r="C131" i="79"/>
  <c r="D130" i="79"/>
  <c r="C130" i="79"/>
  <c r="D129" i="79"/>
  <c r="C129" i="79"/>
  <c r="D127" i="79"/>
  <c r="C127" i="79"/>
  <c r="D126" i="79"/>
  <c r="C126" i="79"/>
  <c r="D125" i="79"/>
  <c r="C125" i="79"/>
  <c r="D124" i="79"/>
  <c r="C124" i="79"/>
  <c r="D123" i="79"/>
  <c r="C123" i="79"/>
  <c r="D118" i="79"/>
  <c r="C118" i="79"/>
  <c r="D117" i="79"/>
  <c r="C117" i="79"/>
  <c r="D116" i="79"/>
  <c r="C116" i="79"/>
  <c r="D115" i="79"/>
  <c r="C115" i="79"/>
  <c r="D114" i="79"/>
  <c r="C114" i="79"/>
  <c r="D110" i="79"/>
  <c r="C110" i="79"/>
  <c r="D109" i="79"/>
  <c r="C109" i="79"/>
  <c r="D108" i="79"/>
  <c r="C108" i="79"/>
  <c r="D107" i="79"/>
  <c r="C107" i="79"/>
  <c r="D106" i="79"/>
  <c r="C106" i="79"/>
  <c r="D105" i="79"/>
  <c r="C105" i="79"/>
  <c r="D101" i="79"/>
  <c r="C101" i="79"/>
  <c r="D100" i="79"/>
  <c r="C100" i="79"/>
  <c r="D99" i="79"/>
  <c r="C99" i="79"/>
  <c r="D98" i="79"/>
  <c r="C98" i="79"/>
  <c r="D97" i="79"/>
  <c r="C97" i="79"/>
  <c r="D96" i="79"/>
  <c r="C96" i="79"/>
  <c r="D92" i="79"/>
  <c r="C92" i="79"/>
  <c r="D91" i="79"/>
  <c r="C91" i="79"/>
  <c r="D90" i="79"/>
  <c r="C90" i="79"/>
  <c r="D89" i="79"/>
  <c r="C89" i="79"/>
  <c r="D88" i="79"/>
  <c r="C88" i="79"/>
  <c r="D87" i="79"/>
  <c r="C87" i="79"/>
  <c r="D86" i="79"/>
  <c r="C86" i="79"/>
  <c r="D85" i="79"/>
  <c r="C85" i="79"/>
  <c r="D84" i="79"/>
  <c r="C84" i="79"/>
  <c r="D83" i="79"/>
  <c r="C83" i="79"/>
  <c r="D82" i="79"/>
  <c r="C82" i="79"/>
  <c r="D78" i="79"/>
  <c r="C78" i="79"/>
  <c r="D77" i="79"/>
  <c r="C77" i="79"/>
  <c r="D76" i="79"/>
  <c r="C76" i="79"/>
  <c r="D75" i="79"/>
  <c r="C75" i="79"/>
  <c r="D74" i="79"/>
  <c r="C74" i="79"/>
  <c r="D73" i="79"/>
  <c r="C73" i="79"/>
  <c r="D72" i="79"/>
  <c r="C72" i="79"/>
  <c r="D71" i="79"/>
  <c r="C71" i="79"/>
  <c r="D70" i="79"/>
  <c r="C70" i="79"/>
  <c r="D69" i="79"/>
  <c r="C69" i="79"/>
  <c r="D68" i="79"/>
  <c r="C68" i="79"/>
  <c r="D67" i="79"/>
  <c r="C67" i="79"/>
  <c r="D66" i="79"/>
  <c r="C66" i="79"/>
  <c r="D65" i="79"/>
  <c r="C65" i="79"/>
  <c r="D64" i="79"/>
  <c r="C64" i="79"/>
  <c r="D60" i="79"/>
  <c r="C60" i="79"/>
  <c r="D59" i="79"/>
  <c r="C59" i="79"/>
  <c r="D58" i="79"/>
  <c r="C58" i="79"/>
  <c r="D57" i="79"/>
  <c r="C57" i="79"/>
  <c r="D56" i="79"/>
  <c r="C56" i="79"/>
  <c r="D55" i="79"/>
  <c r="C55" i="79"/>
  <c r="D54" i="79"/>
  <c r="C54" i="79"/>
  <c r="D53" i="79"/>
  <c r="C53" i="79"/>
  <c r="D52" i="79"/>
  <c r="C52" i="79"/>
  <c r="D51" i="79"/>
  <c r="C51" i="79"/>
  <c r="D50" i="79"/>
  <c r="C50" i="79"/>
  <c r="D49" i="79"/>
  <c r="C49" i="79"/>
  <c r="D48" i="79"/>
  <c r="C48" i="79"/>
  <c r="D47" i="79"/>
  <c r="C47" i="79"/>
  <c r="D46" i="79"/>
  <c r="C46" i="79"/>
  <c r="D45" i="79"/>
  <c r="C45" i="79"/>
  <c r="D44" i="79"/>
  <c r="C44" i="79"/>
  <c r="D43" i="79"/>
  <c r="C43" i="79"/>
  <c r="D42" i="79"/>
  <c r="C42" i="79"/>
  <c r="D41" i="79"/>
  <c r="C41" i="79"/>
  <c r="D40" i="79"/>
  <c r="C40" i="79"/>
  <c r="D39" i="79"/>
  <c r="C39" i="79"/>
  <c r="D38" i="79"/>
  <c r="C38" i="79"/>
  <c r="D37" i="79"/>
  <c r="C37" i="79"/>
  <c r="D36" i="79"/>
  <c r="C36" i="79"/>
  <c r="D35" i="79"/>
  <c r="C35" i="79"/>
  <c r="D34" i="79"/>
  <c r="C34" i="79"/>
  <c r="D33" i="79"/>
  <c r="C33" i="79"/>
  <c r="D32" i="79"/>
  <c r="C32" i="79"/>
  <c r="D31" i="79"/>
  <c r="C31" i="79"/>
  <c r="D30" i="79"/>
  <c r="C30" i="79"/>
  <c r="D29" i="79"/>
  <c r="C29" i="79"/>
  <c r="D28" i="79"/>
  <c r="C28" i="79"/>
  <c r="D27" i="79"/>
  <c r="C27" i="79"/>
  <c r="D26" i="79"/>
  <c r="C26" i="79"/>
  <c r="D25" i="79"/>
  <c r="C25" i="79"/>
  <c r="D20" i="79"/>
  <c r="C20" i="79"/>
  <c r="D19" i="79"/>
  <c r="C19" i="79"/>
  <c r="D18" i="79"/>
  <c r="C18" i="79"/>
  <c r="D17" i="79"/>
  <c r="C17" i="79"/>
  <c r="D16" i="79"/>
  <c r="C16" i="79"/>
  <c r="D15" i="79"/>
  <c r="C15" i="79"/>
  <c r="D14" i="79"/>
  <c r="C14" i="79"/>
  <c r="D13" i="79"/>
  <c r="C13" i="79"/>
  <c r="D12" i="79"/>
  <c r="C12" i="79"/>
  <c r="D11" i="79"/>
  <c r="C11" i="79"/>
  <c r="D197" i="79" l="1"/>
  <c r="C21" i="79"/>
  <c r="C93" i="79"/>
  <c r="C102" i="79"/>
  <c r="D79" i="79"/>
  <c r="D102" i="79"/>
  <c r="D119" i="79"/>
  <c r="C228" i="79"/>
  <c r="D61" i="79"/>
  <c r="C111" i="79"/>
  <c r="C161" i="79"/>
  <c r="D111" i="79"/>
  <c r="D161" i="79"/>
  <c r="C197" i="79"/>
  <c r="C206" i="79"/>
  <c r="C79" i="79"/>
  <c r="D93" i="79"/>
  <c r="D206" i="79"/>
  <c r="D21" i="79"/>
  <c r="C119" i="79"/>
  <c r="C61" i="79"/>
  <c r="C208" i="79" l="1"/>
  <c r="D208" i="79"/>
  <c r="D215" i="79" s="1"/>
  <c r="C212" i="79" l="1"/>
  <c r="C215" i="79"/>
  <c r="G244" i="85" l="1"/>
  <c r="G243" i="85"/>
  <c r="G242" i="85"/>
  <c r="G241" i="85"/>
  <c r="C238" i="85"/>
  <c r="C237" i="85"/>
  <c r="C236" i="85"/>
  <c r="C235" i="85"/>
  <c r="C233" i="85"/>
  <c r="C232" i="85"/>
  <c r="C231" i="85"/>
  <c r="D228" i="85"/>
  <c r="C227" i="85"/>
  <c r="C226" i="85"/>
  <c r="C225" i="85"/>
  <c r="C224" i="85"/>
  <c r="C223" i="85"/>
  <c r="C222" i="85"/>
  <c r="C221" i="85"/>
  <c r="C220" i="85"/>
  <c r="C219" i="85"/>
  <c r="C211" i="85"/>
  <c r="D205" i="85"/>
  <c r="C205" i="85"/>
  <c r="D204" i="85"/>
  <c r="C204" i="85"/>
  <c r="D203" i="85"/>
  <c r="C203" i="85"/>
  <c r="D202" i="85"/>
  <c r="C202" i="85"/>
  <c r="D201" i="85"/>
  <c r="C201" i="85"/>
  <c r="D200" i="85"/>
  <c r="C200" i="85"/>
  <c r="D196" i="85"/>
  <c r="C196" i="85"/>
  <c r="D195" i="85"/>
  <c r="C195" i="85"/>
  <c r="D194" i="85"/>
  <c r="C194" i="85"/>
  <c r="D193" i="85"/>
  <c r="C193" i="85"/>
  <c r="D192" i="85"/>
  <c r="C192" i="85"/>
  <c r="D191" i="85"/>
  <c r="C191" i="85"/>
  <c r="D190" i="85"/>
  <c r="C190" i="85"/>
  <c r="D189" i="85"/>
  <c r="C189" i="85"/>
  <c r="D188" i="85"/>
  <c r="C188" i="85"/>
  <c r="D187" i="85"/>
  <c r="C187" i="85"/>
  <c r="D186" i="85"/>
  <c r="C186" i="85"/>
  <c r="D185" i="85"/>
  <c r="C185" i="85"/>
  <c r="D184" i="85"/>
  <c r="C184" i="85"/>
  <c r="D183" i="85"/>
  <c r="C183" i="85"/>
  <c r="D182" i="85"/>
  <c r="C182" i="85"/>
  <c r="D181" i="85"/>
  <c r="C181" i="85"/>
  <c r="D180" i="85"/>
  <c r="C180" i="85"/>
  <c r="D179" i="85"/>
  <c r="C179" i="85"/>
  <c r="D178" i="85"/>
  <c r="C178" i="85"/>
  <c r="D177" i="85"/>
  <c r="C177" i="85"/>
  <c r="D176" i="85"/>
  <c r="C176" i="85"/>
  <c r="D175" i="85"/>
  <c r="C175" i="85"/>
  <c r="D174" i="85"/>
  <c r="C174" i="85"/>
  <c r="D173" i="85"/>
  <c r="C173" i="85"/>
  <c r="D172" i="85"/>
  <c r="C172" i="85"/>
  <c r="D171" i="85"/>
  <c r="C171" i="85"/>
  <c r="D170" i="85"/>
  <c r="C170" i="85"/>
  <c r="D169" i="85"/>
  <c r="C169" i="85"/>
  <c r="D168" i="85"/>
  <c r="C168" i="85"/>
  <c r="D167" i="85"/>
  <c r="C167" i="85"/>
  <c r="D166" i="85"/>
  <c r="C166" i="85"/>
  <c r="D165" i="85"/>
  <c r="C165" i="85"/>
  <c r="D164" i="85"/>
  <c r="C164" i="85"/>
  <c r="D160" i="85"/>
  <c r="C160" i="85"/>
  <c r="D159" i="85"/>
  <c r="C159" i="85"/>
  <c r="D158" i="85"/>
  <c r="C158" i="85"/>
  <c r="D157" i="85"/>
  <c r="C157" i="85"/>
  <c r="D156" i="85"/>
  <c r="C156" i="85"/>
  <c r="D155" i="85"/>
  <c r="C155" i="85"/>
  <c r="D153" i="85"/>
  <c r="C153" i="85"/>
  <c r="D152" i="85"/>
  <c r="C152" i="85"/>
  <c r="D151" i="85"/>
  <c r="C151" i="85"/>
  <c r="D150" i="85"/>
  <c r="C150" i="85"/>
  <c r="D149" i="85"/>
  <c r="C149" i="85"/>
  <c r="D148" i="85"/>
  <c r="C148" i="85"/>
  <c r="D147" i="85"/>
  <c r="C147" i="85"/>
  <c r="D146" i="85"/>
  <c r="C146" i="85"/>
  <c r="D145" i="85"/>
  <c r="C145" i="85"/>
  <c r="D143" i="85"/>
  <c r="C143" i="85"/>
  <c r="D142" i="85"/>
  <c r="C142" i="85"/>
  <c r="D141" i="85"/>
  <c r="C141" i="85"/>
  <c r="D140" i="85"/>
  <c r="C140" i="85"/>
  <c r="D138" i="85"/>
  <c r="C138" i="85"/>
  <c r="D137" i="85"/>
  <c r="C137" i="85"/>
  <c r="D136" i="85"/>
  <c r="C136" i="85"/>
  <c r="D135" i="85"/>
  <c r="C135" i="85"/>
  <c r="D133" i="85"/>
  <c r="C133" i="85"/>
  <c r="D132" i="85"/>
  <c r="C132" i="85"/>
  <c r="D131" i="85"/>
  <c r="C131" i="85"/>
  <c r="D130" i="85"/>
  <c r="C130" i="85"/>
  <c r="D129" i="85"/>
  <c r="C129" i="85"/>
  <c r="D127" i="85"/>
  <c r="C127" i="85"/>
  <c r="D126" i="85"/>
  <c r="C126" i="85"/>
  <c r="D125" i="85"/>
  <c r="C125" i="85"/>
  <c r="D124" i="85"/>
  <c r="C124" i="85"/>
  <c r="D123" i="85"/>
  <c r="C123" i="85"/>
  <c r="D118" i="85"/>
  <c r="C118" i="85"/>
  <c r="D117" i="85"/>
  <c r="C117" i="85"/>
  <c r="D116" i="85"/>
  <c r="C116" i="85"/>
  <c r="D115" i="85"/>
  <c r="C115" i="85"/>
  <c r="D114" i="85"/>
  <c r="C114" i="85"/>
  <c r="D110" i="85"/>
  <c r="C110" i="85"/>
  <c r="D109" i="85"/>
  <c r="C109" i="85"/>
  <c r="D108" i="85"/>
  <c r="C108" i="85"/>
  <c r="D107" i="85"/>
  <c r="C107" i="85"/>
  <c r="D106" i="85"/>
  <c r="C106" i="85"/>
  <c r="D105" i="85"/>
  <c r="C105" i="85"/>
  <c r="D101" i="85"/>
  <c r="C101" i="85"/>
  <c r="D100" i="85"/>
  <c r="C100" i="85"/>
  <c r="D99" i="85"/>
  <c r="C99" i="85"/>
  <c r="D98" i="85"/>
  <c r="C98" i="85"/>
  <c r="D97" i="85"/>
  <c r="C97" i="85"/>
  <c r="D96" i="85"/>
  <c r="C96" i="85"/>
  <c r="D92" i="85"/>
  <c r="C92" i="85"/>
  <c r="D91" i="85"/>
  <c r="C91" i="85"/>
  <c r="D90" i="85"/>
  <c r="C90" i="85"/>
  <c r="D89" i="85"/>
  <c r="C89" i="85"/>
  <c r="D88" i="85"/>
  <c r="C88" i="85"/>
  <c r="D87" i="85"/>
  <c r="C87" i="85"/>
  <c r="D86" i="85"/>
  <c r="C86" i="85"/>
  <c r="D85" i="85"/>
  <c r="C85" i="85"/>
  <c r="D84" i="85"/>
  <c r="C84" i="85"/>
  <c r="D83" i="85"/>
  <c r="C83" i="85"/>
  <c r="D82" i="85"/>
  <c r="C82" i="85"/>
  <c r="D78" i="85"/>
  <c r="C78" i="85"/>
  <c r="D77" i="85"/>
  <c r="C77" i="85"/>
  <c r="D76" i="85"/>
  <c r="C76" i="85"/>
  <c r="D75" i="85"/>
  <c r="C75" i="85"/>
  <c r="D74" i="85"/>
  <c r="C74" i="85"/>
  <c r="D73" i="85"/>
  <c r="C73" i="85"/>
  <c r="D72" i="85"/>
  <c r="C72" i="85"/>
  <c r="D71" i="85"/>
  <c r="C71" i="85"/>
  <c r="D70" i="85"/>
  <c r="C70" i="85"/>
  <c r="D69" i="85"/>
  <c r="C69" i="85"/>
  <c r="D68" i="85"/>
  <c r="C68" i="85"/>
  <c r="D67" i="85"/>
  <c r="C67" i="85"/>
  <c r="D66" i="85"/>
  <c r="C66" i="85"/>
  <c r="D65" i="85"/>
  <c r="C65" i="85"/>
  <c r="D64" i="85"/>
  <c r="C64" i="85"/>
  <c r="D60" i="85"/>
  <c r="C60" i="85"/>
  <c r="D59" i="85"/>
  <c r="C59" i="85"/>
  <c r="D58" i="85"/>
  <c r="C58" i="85"/>
  <c r="D57" i="85"/>
  <c r="C57" i="85"/>
  <c r="D56" i="85"/>
  <c r="C56" i="85"/>
  <c r="D55" i="85"/>
  <c r="C55" i="85"/>
  <c r="D54" i="85"/>
  <c r="C54" i="85"/>
  <c r="D53" i="85"/>
  <c r="C53" i="85"/>
  <c r="D52" i="85"/>
  <c r="C52" i="85"/>
  <c r="D51" i="85"/>
  <c r="C51" i="85"/>
  <c r="D50" i="85"/>
  <c r="C50" i="85"/>
  <c r="D49" i="85"/>
  <c r="C49" i="85"/>
  <c r="D48" i="85"/>
  <c r="C48" i="85"/>
  <c r="D47" i="85"/>
  <c r="C47" i="85"/>
  <c r="D46" i="85"/>
  <c r="C46" i="85"/>
  <c r="D45" i="85"/>
  <c r="C45" i="85"/>
  <c r="D44" i="85"/>
  <c r="C44" i="85"/>
  <c r="D43" i="85"/>
  <c r="C43" i="85"/>
  <c r="D42" i="85"/>
  <c r="C42" i="85"/>
  <c r="D41" i="85"/>
  <c r="C41" i="85"/>
  <c r="D40" i="85"/>
  <c r="C40" i="85"/>
  <c r="D39" i="85"/>
  <c r="C39" i="85"/>
  <c r="D38" i="85"/>
  <c r="C38" i="85"/>
  <c r="D37" i="85"/>
  <c r="C37" i="85"/>
  <c r="D36" i="85"/>
  <c r="C36" i="85"/>
  <c r="D35" i="85"/>
  <c r="C35" i="85"/>
  <c r="D34" i="85"/>
  <c r="C34" i="85"/>
  <c r="D33" i="85"/>
  <c r="C33" i="85"/>
  <c r="D32" i="85"/>
  <c r="C32" i="85"/>
  <c r="D31" i="85"/>
  <c r="C31" i="85"/>
  <c r="D30" i="85"/>
  <c r="C30" i="85"/>
  <c r="D29" i="85"/>
  <c r="C29" i="85"/>
  <c r="D28" i="85"/>
  <c r="C28" i="85"/>
  <c r="D27" i="85"/>
  <c r="C27" i="85"/>
  <c r="D26" i="85"/>
  <c r="C26" i="85"/>
  <c r="D25" i="85"/>
  <c r="C25" i="85"/>
  <c r="D20" i="85"/>
  <c r="C20" i="85"/>
  <c r="D19" i="85"/>
  <c r="C19" i="85"/>
  <c r="D18" i="85"/>
  <c r="C18" i="85"/>
  <c r="D17" i="85"/>
  <c r="C17" i="85"/>
  <c r="D16" i="85"/>
  <c r="C16" i="85"/>
  <c r="D15" i="85"/>
  <c r="C15" i="85"/>
  <c r="D14" i="85"/>
  <c r="C14" i="85"/>
  <c r="D13" i="85"/>
  <c r="C13" i="85"/>
  <c r="D12" i="85"/>
  <c r="C12" i="85"/>
  <c r="D11" i="85"/>
  <c r="C11" i="85"/>
  <c r="C111" i="85" l="1"/>
  <c r="C119" i="85"/>
  <c r="D21" i="85"/>
  <c r="D102" i="85"/>
  <c r="C206" i="85"/>
  <c r="C21" i="85"/>
  <c r="D93" i="85"/>
  <c r="D161" i="85"/>
  <c r="C79" i="85"/>
  <c r="C197" i="85"/>
  <c r="D61" i="85"/>
  <c r="D197" i="85"/>
  <c r="C93" i="85"/>
  <c r="C102" i="85"/>
  <c r="D119" i="85"/>
  <c r="C228" i="85"/>
  <c r="C161" i="85"/>
  <c r="D79" i="85"/>
  <c r="D111" i="85"/>
  <c r="D206" i="85"/>
  <c r="C61" i="85"/>
  <c r="D208" i="85" l="1"/>
  <c r="D215" i="85" s="1"/>
  <c r="C208" i="85"/>
  <c r="C212" i="85" l="1"/>
  <c r="C215" i="85"/>
  <c r="G244" i="72"/>
  <c r="G243" i="72"/>
  <c r="G242" i="72"/>
  <c r="G241" i="72"/>
  <c r="C238" i="72"/>
  <c r="C237" i="72"/>
  <c r="C236" i="72"/>
  <c r="C235" i="72"/>
  <c r="C233" i="72"/>
  <c r="C232" i="72"/>
  <c r="C231" i="72"/>
  <c r="D228" i="72"/>
  <c r="C227" i="72"/>
  <c r="C226" i="72"/>
  <c r="C225" i="72"/>
  <c r="C224" i="72"/>
  <c r="C223" i="72"/>
  <c r="C222" i="72"/>
  <c r="C221" i="72"/>
  <c r="C220" i="72"/>
  <c r="C219" i="72"/>
  <c r="C211" i="72"/>
  <c r="D205" i="72"/>
  <c r="C205" i="72"/>
  <c r="D204" i="72"/>
  <c r="C204" i="72"/>
  <c r="D203" i="72"/>
  <c r="C203" i="72"/>
  <c r="D202" i="72"/>
  <c r="C202" i="72"/>
  <c r="D201" i="72"/>
  <c r="C201" i="72"/>
  <c r="D200" i="72"/>
  <c r="C200" i="72"/>
  <c r="D196" i="72"/>
  <c r="C196" i="72"/>
  <c r="D195" i="72"/>
  <c r="C195" i="72"/>
  <c r="D194" i="72"/>
  <c r="C194" i="72"/>
  <c r="D193" i="72"/>
  <c r="C193" i="72"/>
  <c r="D192" i="72"/>
  <c r="C192" i="72"/>
  <c r="D191" i="72"/>
  <c r="C191" i="72"/>
  <c r="D190" i="72"/>
  <c r="C190" i="72"/>
  <c r="D189" i="72"/>
  <c r="C189" i="72"/>
  <c r="D188" i="72"/>
  <c r="C188" i="72"/>
  <c r="D187" i="72"/>
  <c r="C187" i="72"/>
  <c r="D186" i="72"/>
  <c r="C186" i="72"/>
  <c r="D185" i="72"/>
  <c r="C185" i="72"/>
  <c r="D184" i="72"/>
  <c r="C184" i="72"/>
  <c r="D183" i="72"/>
  <c r="C183" i="72"/>
  <c r="D182" i="72"/>
  <c r="C182" i="72"/>
  <c r="D181" i="72"/>
  <c r="C181" i="72"/>
  <c r="D180" i="72"/>
  <c r="C180" i="72"/>
  <c r="D179" i="72"/>
  <c r="C179" i="72"/>
  <c r="D178" i="72"/>
  <c r="C178" i="72"/>
  <c r="D177" i="72"/>
  <c r="C177" i="72"/>
  <c r="D176" i="72"/>
  <c r="C176" i="72"/>
  <c r="D175" i="72"/>
  <c r="C175" i="72"/>
  <c r="D174" i="72"/>
  <c r="C174" i="72"/>
  <c r="D173" i="72"/>
  <c r="C173" i="72"/>
  <c r="D172" i="72"/>
  <c r="C172" i="72"/>
  <c r="D171" i="72"/>
  <c r="C171" i="72"/>
  <c r="D170" i="72"/>
  <c r="C170" i="72"/>
  <c r="D169" i="72"/>
  <c r="C169" i="72"/>
  <c r="D168" i="72"/>
  <c r="C168" i="72"/>
  <c r="D167" i="72"/>
  <c r="C167" i="72"/>
  <c r="D166" i="72"/>
  <c r="C166" i="72"/>
  <c r="D165" i="72"/>
  <c r="C165" i="72"/>
  <c r="D164" i="72"/>
  <c r="C164" i="72"/>
  <c r="D160" i="72"/>
  <c r="C160" i="72"/>
  <c r="D159" i="72"/>
  <c r="C159" i="72"/>
  <c r="D158" i="72"/>
  <c r="C158" i="72"/>
  <c r="D157" i="72"/>
  <c r="C157" i="72"/>
  <c r="D156" i="72"/>
  <c r="C156" i="72"/>
  <c r="D155" i="72"/>
  <c r="C155" i="72"/>
  <c r="D153" i="72"/>
  <c r="C153" i="72"/>
  <c r="D152" i="72"/>
  <c r="C152" i="72"/>
  <c r="D151" i="72"/>
  <c r="C151" i="72"/>
  <c r="D150" i="72"/>
  <c r="C150" i="72"/>
  <c r="D149" i="72"/>
  <c r="C149" i="72"/>
  <c r="D148" i="72"/>
  <c r="C148" i="72"/>
  <c r="D147" i="72"/>
  <c r="C147" i="72"/>
  <c r="D146" i="72"/>
  <c r="C146" i="72"/>
  <c r="D145" i="72"/>
  <c r="C145" i="72"/>
  <c r="D143" i="72"/>
  <c r="C143" i="72"/>
  <c r="D142" i="72"/>
  <c r="C142" i="72"/>
  <c r="D141" i="72"/>
  <c r="C141" i="72"/>
  <c r="D140" i="72"/>
  <c r="C140" i="72"/>
  <c r="D138" i="72"/>
  <c r="C138" i="72"/>
  <c r="D137" i="72"/>
  <c r="C137" i="72"/>
  <c r="D136" i="72"/>
  <c r="C136" i="72"/>
  <c r="D135" i="72"/>
  <c r="C135" i="72"/>
  <c r="D133" i="72"/>
  <c r="C133" i="72"/>
  <c r="D132" i="72"/>
  <c r="C132" i="72"/>
  <c r="D131" i="72"/>
  <c r="C131" i="72"/>
  <c r="D130" i="72"/>
  <c r="C130" i="72"/>
  <c r="D129" i="72"/>
  <c r="C129" i="72"/>
  <c r="D127" i="72"/>
  <c r="C127" i="72"/>
  <c r="D126" i="72"/>
  <c r="C126" i="72"/>
  <c r="D125" i="72"/>
  <c r="C125" i="72"/>
  <c r="D124" i="72"/>
  <c r="C124" i="72"/>
  <c r="D123" i="72"/>
  <c r="C123" i="72"/>
  <c r="D118" i="72"/>
  <c r="C118" i="72"/>
  <c r="D117" i="72"/>
  <c r="C117" i="72"/>
  <c r="D116" i="72"/>
  <c r="C116" i="72"/>
  <c r="D115" i="72"/>
  <c r="C115" i="72"/>
  <c r="D114" i="72"/>
  <c r="C114" i="72"/>
  <c r="D110" i="72"/>
  <c r="C110" i="72"/>
  <c r="D109" i="72"/>
  <c r="C109" i="72"/>
  <c r="D108" i="72"/>
  <c r="C108" i="72"/>
  <c r="D107" i="72"/>
  <c r="C107" i="72"/>
  <c r="D106" i="72"/>
  <c r="C106" i="72"/>
  <c r="D105" i="72"/>
  <c r="C105" i="72"/>
  <c r="D101" i="72"/>
  <c r="C101" i="72"/>
  <c r="D100" i="72"/>
  <c r="C100" i="72"/>
  <c r="D99" i="72"/>
  <c r="C99" i="72"/>
  <c r="D98" i="72"/>
  <c r="C98" i="72"/>
  <c r="D97" i="72"/>
  <c r="C97" i="72"/>
  <c r="D96" i="72"/>
  <c r="C96" i="72"/>
  <c r="D92" i="72"/>
  <c r="C92" i="72"/>
  <c r="D91" i="72"/>
  <c r="C91" i="72"/>
  <c r="D90" i="72"/>
  <c r="C90" i="72"/>
  <c r="D89" i="72"/>
  <c r="C89" i="72"/>
  <c r="D88" i="72"/>
  <c r="C88" i="72"/>
  <c r="D87" i="72"/>
  <c r="C87" i="72"/>
  <c r="D86" i="72"/>
  <c r="C86" i="72"/>
  <c r="D85" i="72"/>
  <c r="C85" i="72"/>
  <c r="D84" i="72"/>
  <c r="C84" i="72"/>
  <c r="D83" i="72"/>
  <c r="C83" i="72"/>
  <c r="D82" i="72"/>
  <c r="C82" i="72"/>
  <c r="D78" i="72"/>
  <c r="C78" i="72"/>
  <c r="D77" i="72"/>
  <c r="C77" i="72"/>
  <c r="D76" i="72"/>
  <c r="C76" i="72"/>
  <c r="D75" i="72"/>
  <c r="C75" i="72"/>
  <c r="D74" i="72"/>
  <c r="C74" i="72"/>
  <c r="D73" i="72"/>
  <c r="C73" i="72"/>
  <c r="D72" i="72"/>
  <c r="C72" i="72"/>
  <c r="D71" i="72"/>
  <c r="C71" i="72"/>
  <c r="D70" i="72"/>
  <c r="C70" i="72"/>
  <c r="D69" i="72"/>
  <c r="C69" i="72"/>
  <c r="D68" i="72"/>
  <c r="C68" i="72"/>
  <c r="D67" i="72"/>
  <c r="C67" i="72"/>
  <c r="D66" i="72"/>
  <c r="C66" i="72"/>
  <c r="D65" i="72"/>
  <c r="C65" i="72"/>
  <c r="D64" i="72"/>
  <c r="C64" i="72"/>
  <c r="D60" i="72"/>
  <c r="C60" i="72"/>
  <c r="D59" i="72"/>
  <c r="C59" i="72"/>
  <c r="D58" i="72"/>
  <c r="C58" i="72"/>
  <c r="D57" i="72"/>
  <c r="C57" i="72"/>
  <c r="D56" i="72"/>
  <c r="C56" i="72"/>
  <c r="D55" i="72"/>
  <c r="C55" i="72"/>
  <c r="D54" i="72"/>
  <c r="C54" i="72"/>
  <c r="D53" i="72"/>
  <c r="C53" i="72"/>
  <c r="D52" i="72"/>
  <c r="C52" i="72"/>
  <c r="D51" i="72"/>
  <c r="C51" i="72"/>
  <c r="D50" i="72"/>
  <c r="C50" i="72"/>
  <c r="D49" i="72"/>
  <c r="C49" i="72"/>
  <c r="D48" i="72"/>
  <c r="C48" i="72"/>
  <c r="D47" i="72"/>
  <c r="C47" i="72"/>
  <c r="D46" i="72"/>
  <c r="C46" i="72"/>
  <c r="D45" i="72"/>
  <c r="C45" i="72"/>
  <c r="D44" i="72"/>
  <c r="C44" i="72"/>
  <c r="D43" i="72"/>
  <c r="C43" i="72"/>
  <c r="D42" i="72"/>
  <c r="C42" i="72"/>
  <c r="D41" i="72"/>
  <c r="C41" i="72"/>
  <c r="D40" i="72"/>
  <c r="C40" i="72"/>
  <c r="D39" i="72"/>
  <c r="C39" i="72"/>
  <c r="D38" i="72"/>
  <c r="C38" i="72"/>
  <c r="D37" i="72"/>
  <c r="C37" i="72"/>
  <c r="D36" i="72"/>
  <c r="C36" i="72"/>
  <c r="D35" i="72"/>
  <c r="C35" i="72"/>
  <c r="D34" i="72"/>
  <c r="C34" i="72"/>
  <c r="D33" i="72"/>
  <c r="C33" i="72"/>
  <c r="D32" i="72"/>
  <c r="C32" i="72"/>
  <c r="D31" i="72"/>
  <c r="C31" i="72"/>
  <c r="D30" i="72"/>
  <c r="C30" i="72"/>
  <c r="D29" i="72"/>
  <c r="C29" i="72"/>
  <c r="D28" i="72"/>
  <c r="C28" i="72"/>
  <c r="D27" i="72"/>
  <c r="C27" i="72"/>
  <c r="D26" i="72"/>
  <c r="C26" i="72"/>
  <c r="D25" i="72"/>
  <c r="C25" i="72"/>
  <c r="D20" i="72"/>
  <c r="C20" i="72"/>
  <c r="D19" i="72"/>
  <c r="C19" i="72"/>
  <c r="D18" i="72"/>
  <c r="C18" i="72"/>
  <c r="D17" i="72"/>
  <c r="C17" i="72"/>
  <c r="D16" i="72"/>
  <c r="C16" i="72"/>
  <c r="D15" i="72"/>
  <c r="C15" i="72"/>
  <c r="D14" i="72"/>
  <c r="C14" i="72"/>
  <c r="D13" i="72"/>
  <c r="C13" i="72"/>
  <c r="D12" i="72"/>
  <c r="C12" i="72"/>
  <c r="D11" i="72"/>
  <c r="C11" i="72"/>
  <c r="D93" i="72" l="1"/>
  <c r="C79" i="72"/>
  <c r="C119" i="72"/>
  <c r="D79" i="72"/>
  <c r="C161" i="72"/>
  <c r="C21" i="72"/>
  <c r="C111" i="72"/>
  <c r="D206" i="72"/>
  <c r="C228" i="72"/>
  <c r="D21" i="72"/>
  <c r="D102" i="72"/>
  <c r="C197" i="72"/>
  <c r="D119" i="72"/>
  <c r="C206" i="72"/>
  <c r="C102" i="72"/>
  <c r="D161" i="72"/>
  <c r="D61" i="72"/>
  <c r="D111" i="72"/>
  <c r="C93" i="72"/>
  <c r="D197" i="72"/>
  <c r="C61" i="72"/>
  <c r="C208" i="72" l="1"/>
  <c r="D208" i="72"/>
  <c r="D215" i="72" s="1"/>
  <c r="C212" i="72" l="1"/>
  <c r="C215" i="72"/>
  <c r="G244" i="65"/>
  <c r="G243" i="65"/>
  <c r="G242" i="65"/>
  <c r="G241" i="65"/>
  <c r="C238" i="65"/>
  <c r="C237" i="65"/>
  <c r="C236" i="65"/>
  <c r="C235" i="65"/>
  <c r="C233" i="65"/>
  <c r="C232" i="65"/>
  <c r="C231" i="65"/>
  <c r="D228" i="65"/>
  <c r="C227" i="65"/>
  <c r="C226" i="65"/>
  <c r="C225" i="65"/>
  <c r="C224" i="65"/>
  <c r="C223" i="65"/>
  <c r="C222" i="65"/>
  <c r="C221" i="65"/>
  <c r="C220" i="65"/>
  <c r="C219" i="65"/>
  <c r="C211" i="65"/>
  <c r="D205" i="65"/>
  <c r="C205" i="65"/>
  <c r="D204" i="65"/>
  <c r="C204" i="65"/>
  <c r="D203" i="65"/>
  <c r="C203" i="65"/>
  <c r="D202" i="65"/>
  <c r="C202" i="65"/>
  <c r="D201" i="65"/>
  <c r="C201" i="65"/>
  <c r="D200" i="65"/>
  <c r="C200" i="65"/>
  <c r="D196" i="65"/>
  <c r="C196" i="65"/>
  <c r="D195" i="65"/>
  <c r="C195" i="65"/>
  <c r="D194" i="65"/>
  <c r="C194" i="65"/>
  <c r="D193" i="65"/>
  <c r="C193" i="65"/>
  <c r="D192" i="65"/>
  <c r="C192" i="65"/>
  <c r="D191" i="65"/>
  <c r="C191" i="65"/>
  <c r="D190" i="65"/>
  <c r="C190" i="65"/>
  <c r="D189" i="65"/>
  <c r="C189" i="65"/>
  <c r="D188" i="65"/>
  <c r="C188" i="65"/>
  <c r="D187" i="65"/>
  <c r="C187" i="65"/>
  <c r="D186" i="65"/>
  <c r="C186" i="65"/>
  <c r="D185" i="65"/>
  <c r="C185" i="65"/>
  <c r="D184" i="65"/>
  <c r="C184" i="65"/>
  <c r="D183" i="65"/>
  <c r="C183" i="65"/>
  <c r="D182" i="65"/>
  <c r="C182" i="65"/>
  <c r="D181" i="65"/>
  <c r="C181" i="65"/>
  <c r="D180" i="65"/>
  <c r="C180" i="65"/>
  <c r="D179" i="65"/>
  <c r="C179" i="65"/>
  <c r="D178" i="65"/>
  <c r="C178" i="65"/>
  <c r="D177" i="65"/>
  <c r="C177" i="65"/>
  <c r="D176" i="65"/>
  <c r="C176" i="65"/>
  <c r="D175" i="65"/>
  <c r="C175" i="65"/>
  <c r="D174" i="65"/>
  <c r="C174" i="65"/>
  <c r="D173" i="65"/>
  <c r="C173" i="65"/>
  <c r="D172" i="65"/>
  <c r="C172" i="65"/>
  <c r="D171" i="65"/>
  <c r="C171" i="65"/>
  <c r="D170" i="65"/>
  <c r="C170" i="65"/>
  <c r="D169" i="65"/>
  <c r="C169" i="65"/>
  <c r="D168" i="65"/>
  <c r="C168" i="65"/>
  <c r="D167" i="65"/>
  <c r="C167" i="65"/>
  <c r="D166" i="65"/>
  <c r="C166" i="65"/>
  <c r="D165" i="65"/>
  <c r="C165" i="65"/>
  <c r="D164" i="65"/>
  <c r="C164" i="65"/>
  <c r="D160" i="65"/>
  <c r="C160" i="65"/>
  <c r="D159" i="65"/>
  <c r="C159" i="65"/>
  <c r="D158" i="65"/>
  <c r="C158" i="65"/>
  <c r="D157" i="65"/>
  <c r="C157" i="65"/>
  <c r="D156" i="65"/>
  <c r="C156" i="65"/>
  <c r="D155" i="65"/>
  <c r="C155" i="65"/>
  <c r="D153" i="65"/>
  <c r="C153" i="65"/>
  <c r="D152" i="65"/>
  <c r="C152" i="65"/>
  <c r="D151" i="65"/>
  <c r="C151" i="65"/>
  <c r="D150" i="65"/>
  <c r="C150" i="65"/>
  <c r="D149" i="65"/>
  <c r="C149" i="65"/>
  <c r="D148" i="65"/>
  <c r="C148" i="65"/>
  <c r="D147" i="65"/>
  <c r="C147" i="65"/>
  <c r="D146" i="65"/>
  <c r="C146" i="65"/>
  <c r="D145" i="65"/>
  <c r="C145" i="65"/>
  <c r="D143" i="65"/>
  <c r="C143" i="65"/>
  <c r="D142" i="65"/>
  <c r="C142" i="65"/>
  <c r="D141" i="65"/>
  <c r="C141" i="65"/>
  <c r="D140" i="65"/>
  <c r="C140" i="65"/>
  <c r="D138" i="65"/>
  <c r="C138" i="65"/>
  <c r="D137" i="65"/>
  <c r="C137" i="65"/>
  <c r="D136" i="65"/>
  <c r="C136" i="65"/>
  <c r="D135" i="65"/>
  <c r="C135" i="65"/>
  <c r="D133" i="65"/>
  <c r="C133" i="65"/>
  <c r="D132" i="65"/>
  <c r="C132" i="65"/>
  <c r="D131" i="65"/>
  <c r="C131" i="65"/>
  <c r="D130" i="65"/>
  <c r="C130" i="65"/>
  <c r="D129" i="65"/>
  <c r="C129" i="65"/>
  <c r="D127" i="65"/>
  <c r="C127" i="65"/>
  <c r="D126" i="65"/>
  <c r="C126" i="65"/>
  <c r="D125" i="65"/>
  <c r="C125" i="65"/>
  <c r="D124" i="65"/>
  <c r="C124" i="65"/>
  <c r="D123" i="65"/>
  <c r="C123" i="65"/>
  <c r="D118" i="65"/>
  <c r="C118" i="65"/>
  <c r="D117" i="65"/>
  <c r="C117" i="65"/>
  <c r="D116" i="65"/>
  <c r="C116" i="65"/>
  <c r="D115" i="65"/>
  <c r="C115" i="65"/>
  <c r="D114" i="65"/>
  <c r="C114" i="65"/>
  <c r="D110" i="65"/>
  <c r="C110" i="65"/>
  <c r="D109" i="65"/>
  <c r="C109" i="65"/>
  <c r="D108" i="65"/>
  <c r="C108" i="65"/>
  <c r="D107" i="65"/>
  <c r="C107" i="65"/>
  <c r="D106" i="65"/>
  <c r="C106" i="65"/>
  <c r="D105" i="65"/>
  <c r="C105" i="65"/>
  <c r="D101" i="65"/>
  <c r="C101" i="65"/>
  <c r="D100" i="65"/>
  <c r="C100" i="65"/>
  <c r="D99" i="65"/>
  <c r="C99" i="65"/>
  <c r="D98" i="65"/>
  <c r="C98" i="65"/>
  <c r="D97" i="65"/>
  <c r="C97" i="65"/>
  <c r="D96" i="65"/>
  <c r="C96" i="65"/>
  <c r="D92" i="65"/>
  <c r="C92" i="65"/>
  <c r="D91" i="65"/>
  <c r="C91" i="65"/>
  <c r="D90" i="65"/>
  <c r="C90" i="65"/>
  <c r="D89" i="65"/>
  <c r="C89" i="65"/>
  <c r="D88" i="65"/>
  <c r="C88" i="65"/>
  <c r="D87" i="65"/>
  <c r="C87" i="65"/>
  <c r="D86" i="65"/>
  <c r="C86" i="65"/>
  <c r="D85" i="65"/>
  <c r="C85" i="65"/>
  <c r="D84" i="65"/>
  <c r="C84" i="65"/>
  <c r="D83" i="65"/>
  <c r="C83" i="65"/>
  <c r="D82" i="65"/>
  <c r="C82" i="65"/>
  <c r="D78" i="65"/>
  <c r="C78" i="65"/>
  <c r="D77" i="65"/>
  <c r="C77" i="65"/>
  <c r="D76" i="65"/>
  <c r="C76" i="65"/>
  <c r="D75" i="65"/>
  <c r="C75" i="65"/>
  <c r="D74" i="65"/>
  <c r="C74" i="65"/>
  <c r="D73" i="65"/>
  <c r="C73" i="65"/>
  <c r="D72" i="65"/>
  <c r="C72" i="65"/>
  <c r="D71" i="65"/>
  <c r="C71" i="65"/>
  <c r="D70" i="65"/>
  <c r="C70" i="65"/>
  <c r="D69" i="65"/>
  <c r="C69" i="65"/>
  <c r="D68" i="65"/>
  <c r="C68" i="65"/>
  <c r="D67" i="65"/>
  <c r="C67" i="65"/>
  <c r="D66" i="65"/>
  <c r="C66" i="65"/>
  <c r="D65" i="65"/>
  <c r="C65" i="65"/>
  <c r="D64" i="65"/>
  <c r="C64" i="65"/>
  <c r="D60" i="65"/>
  <c r="C60" i="65"/>
  <c r="D59" i="65"/>
  <c r="C59" i="65"/>
  <c r="D58" i="65"/>
  <c r="C58" i="65"/>
  <c r="D57" i="65"/>
  <c r="C57" i="65"/>
  <c r="D56" i="65"/>
  <c r="C56" i="65"/>
  <c r="D55" i="65"/>
  <c r="C55" i="65"/>
  <c r="D54" i="65"/>
  <c r="C54" i="65"/>
  <c r="D53" i="65"/>
  <c r="C53" i="65"/>
  <c r="D52" i="65"/>
  <c r="C52" i="65"/>
  <c r="D51" i="65"/>
  <c r="C51" i="65"/>
  <c r="D50" i="65"/>
  <c r="C50" i="65"/>
  <c r="D49" i="65"/>
  <c r="C49" i="65"/>
  <c r="D48" i="65"/>
  <c r="C48" i="65"/>
  <c r="D47" i="65"/>
  <c r="C47" i="65"/>
  <c r="D46" i="65"/>
  <c r="C46" i="65"/>
  <c r="D45" i="65"/>
  <c r="C45" i="65"/>
  <c r="D44" i="65"/>
  <c r="C44" i="65"/>
  <c r="D43" i="65"/>
  <c r="C43" i="65"/>
  <c r="D42" i="65"/>
  <c r="C42" i="65"/>
  <c r="D41" i="65"/>
  <c r="C41" i="65"/>
  <c r="D40" i="65"/>
  <c r="C40" i="65"/>
  <c r="D39" i="65"/>
  <c r="C39" i="65"/>
  <c r="D38" i="65"/>
  <c r="C38" i="65"/>
  <c r="D37" i="65"/>
  <c r="C37" i="65"/>
  <c r="D36" i="65"/>
  <c r="C36" i="65"/>
  <c r="D35" i="65"/>
  <c r="C35" i="65"/>
  <c r="D34" i="65"/>
  <c r="C34" i="65"/>
  <c r="D33" i="65"/>
  <c r="C33" i="65"/>
  <c r="D32" i="65"/>
  <c r="C32" i="65"/>
  <c r="D31" i="65"/>
  <c r="C31" i="65"/>
  <c r="D30" i="65"/>
  <c r="C30" i="65"/>
  <c r="D29" i="65"/>
  <c r="C29" i="65"/>
  <c r="D28" i="65"/>
  <c r="C28" i="65"/>
  <c r="D27" i="65"/>
  <c r="C27" i="65"/>
  <c r="D26" i="65"/>
  <c r="C26" i="65"/>
  <c r="D25" i="65"/>
  <c r="C25" i="65"/>
  <c r="D20" i="65"/>
  <c r="C20" i="65"/>
  <c r="D19" i="65"/>
  <c r="C19" i="65"/>
  <c r="D18" i="65"/>
  <c r="C18" i="65"/>
  <c r="D17" i="65"/>
  <c r="C17" i="65"/>
  <c r="D16" i="65"/>
  <c r="C16" i="65"/>
  <c r="D15" i="65"/>
  <c r="C15" i="65"/>
  <c r="D14" i="65"/>
  <c r="C14" i="65"/>
  <c r="D13" i="65"/>
  <c r="C13" i="65"/>
  <c r="D12" i="65"/>
  <c r="C12" i="65"/>
  <c r="D11" i="65"/>
  <c r="C11" i="65"/>
  <c r="D93" i="65" l="1"/>
  <c r="D161" i="65"/>
  <c r="D197" i="65"/>
  <c r="C79" i="65"/>
  <c r="C197" i="65"/>
  <c r="C21" i="65"/>
  <c r="C102" i="65"/>
  <c r="C119" i="65"/>
  <c r="D111" i="65"/>
  <c r="D119" i="65"/>
  <c r="D206" i="65"/>
  <c r="C93" i="65"/>
  <c r="C161" i="65"/>
  <c r="C206" i="65"/>
  <c r="D21" i="65"/>
  <c r="D102" i="65"/>
  <c r="C228" i="65"/>
  <c r="C111" i="65"/>
  <c r="D79" i="65"/>
  <c r="C61" i="65"/>
  <c r="D61" i="65"/>
  <c r="D208" i="65" l="1"/>
  <c r="D215" i="65" s="1"/>
  <c r="C208" i="65"/>
  <c r="C212" i="65" l="1"/>
  <c r="C215" i="65"/>
  <c r="F228" i="172" l="1"/>
  <c r="K208" i="172"/>
  <c r="J208" i="172"/>
  <c r="F21" i="172"/>
  <c r="A1" i="172"/>
  <c r="E232" i="172" l="1"/>
  <c r="E233" i="172"/>
  <c r="G233" i="172" s="1"/>
  <c r="K17" i="172"/>
  <c r="K18" i="172"/>
  <c r="F208" i="172"/>
  <c r="E123" i="172"/>
  <c r="G123" i="172" s="1"/>
  <c r="E88" i="172"/>
  <c r="G88" i="172" s="1"/>
  <c r="E18" i="172"/>
  <c r="G18" i="172" s="1"/>
  <c r="E203" i="172"/>
  <c r="G203" i="172" s="1"/>
  <c r="E37" i="172"/>
  <c r="G37" i="172" s="1"/>
  <c r="E42" i="172"/>
  <c r="E46" i="172"/>
  <c r="G46" i="172" s="1"/>
  <c r="E158" i="172"/>
  <c r="E84" i="172"/>
  <c r="G84" i="172" s="1"/>
  <c r="E169" i="172"/>
  <c r="G169" i="172" s="1"/>
  <c r="E34" i="172"/>
  <c r="G34" i="172" s="1"/>
  <c r="E50" i="172"/>
  <c r="E149" i="172"/>
  <c r="G149" i="172" s="1"/>
  <c r="E54" i="172"/>
  <c r="G54" i="172" s="1"/>
  <c r="E181" i="172"/>
  <c r="E222" i="172"/>
  <c r="G222" i="172" s="1"/>
  <c r="E58" i="172"/>
  <c r="G58" i="172" s="1"/>
  <c r="E185" i="172"/>
  <c r="E15" i="172"/>
  <c r="G15" i="172" s="1"/>
  <c r="E31" i="172"/>
  <c r="G31" i="172" s="1"/>
  <c r="E43" i="172"/>
  <c r="E59" i="172"/>
  <c r="G59" i="172" s="1"/>
  <c r="E66" i="172"/>
  <c r="G66" i="172" s="1"/>
  <c r="E74" i="172"/>
  <c r="G74" i="172" s="1"/>
  <c r="E96" i="172"/>
  <c r="G96" i="172" s="1"/>
  <c r="E118" i="172"/>
  <c r="E231" i="172"/>
  <c r="G231" i="172" s="1"/>
  <c r="E65" i="172"/>
  <c r="G65" i="172" s="1"/>
  <c r="E77" i="172"/>
  <c r="G77" i="172" s="1"/>
  <c r="E204" i="172"/>
  <c r="G204" i="172" s="1"/>
  <c r="E13" i="172"/>
  <c r="E29" i="172"/>
  <c r="G29" i="172" s="1"/>
  <c r="E33" i="172"/>
  <c r="G33" i="172" s="1"/>
  <c r="E41" i="172"/>
  <c r="E45" i="172"/>
  <c r="G45" i="172" s="1"/>
  <c r="E53" i="172"/>
  <c r="G53" i="172" s="1"/>
  <c r="E68" i="172"/>
  <c r="E83" i="172"/>
  <c r="G83" i="172" s="1"/>
  <c r="E87" i="172"/>
  <c r="E91" i="172"/>
  <c r="G91" i="172" s="1"/>
  <c r="E129" i="172"/>
  <c r="G129" i="172" s="1"/>
  <c r="E133" i="172"/>
  <c r="E138" i="172"/>
  <c r="E148" i="172"/>
  <c r="G148" i="172" s="1"/>
  <c r="E152" i="172"/>
  <c r="G152" i="172" s="1"/>
  <c r="E157" i="172"/>
  <c r="G157" i="172" s="1"/>
  <c r="E172" i="172"/>
  <c r="E176" i="172"/>
  <c r="G176" i="172" s="1"/>
  <c r="E184" i="172"/>
  <c r="G184" i="172" s="1"/>
  <c r="E188" i="172"/>
  <c r="E192" i="172"/>
  <c r="E131" i="172"/>
  <c r="G131" i="172" s="1"/>
  <c r="E55" i="172"/>
  <c r="G55" i="172" s="1"/>
  <c r="E107" i="172"/>
  <c r="G107" i="172" s="1"/>
  <c r="E180" i="172"/>
  <c r="E52" i="172"/>
  <c r="G52" i="172" s="1"/>
  <c r="E108" i="172"/>
  <c r="G108" i="172" s="1"/>
  <c r="E142" i="172"/>
  <c r="E191" i="172"/>
  <c r="G191" i="172" s="1"/>
  <c r="E20" i="172"/>
  <c r="G20" i="172" s="1"/>
  <c r="E86" i="172"/>
  <c r="E90" i="172"/>
  <c r="E137" i="172"/>
  <c r="E226" i="172"/>
  <c r="G226" i="172" s="1"/>
  <c r="E56" i="172"/>
  <c r="E32" i="172"/>
  <c r="G32" i="172" s="1"/>
  <c r="E179" i="172"/>
  <c r="G179" i="172" s="1"/>
  <c r="E16" i="172"/>
  <c r="G16" i="172" s="1"/>
  <c r="E28" i="172"/>
  <c r="G28" i="172" s="1"/>
  <c r="E101" i="172"/>
  <c r="G101" i="172" s="1"/>
  <c r="E132" i="172"/>
  <c r="E156" i="172"/>
  <c r="E12" i="172"/>
  <c r="G12" i="172" s="1"/>
  <c r="E72" i="172"/>
  <c r="E168" i="172"/>
  <c r="G168" i="172" s="1"/>
  <c r="E196" i="172"/>
  <c r="G196" i="172" s="1"/>
  <c r="E76" i="172"/>
  <c r="G76" i="172" s="1"/>
  <c r="E124" i="172"/>
  <c r="E227" i="172"/>
  <c r="G227" i="172" s="1"/>
  <c r="E189" i="172"/>
  <c r="E220" i="172"/>
  <c r="E26" i="172"/>
  <c r="G26" i="172" s="1"/>
  <c r="E30" i="172"/>
  <c r="G30" i="172" s="1"/>
  <c r="E38" i="172"/>
  <c r="G38" i="172" s="1"/>
  <c r="E125" i="172"/>
  <c r="G125" i="172" s="1"/>
  <c r="E145" i="172"/>
  <c r="E165" i="172"/>
  <c r="G165" i="172" s="1"/>
  <c r="E173" i="172"/>
  <c r="E177" i="172"/>
  <c r="G177" i="172" s="1"/>
  <c r="E193" i="172"/>
  <c r="G193" i="172" s="1"/>
  <c r="E35" i="172"/>
  <c r="E39" i="172"/>
  <c r="G39" i="172" s="1"/>
  <c r="E47" i="172"/>
  <c r="G47" i="172" s="1"/>
  <c r="E51" i="172"/>
  <c r="E70" i="172"/>
  <c r="E126" i="172"/>
  <c r="E136" i="172"/>
  <c r="G136" i="172" s="1"/>
  <c r="E146" i="172"/>
  <c r="E150" i="172"/>
  <c r="E155" i="172"/>
  <c r="G155" i="172" s="1"/>
  <c r="E159" i="172"/>
  <c r="G159" i="172" s="1"/>
  <c r="E166" i="172"/>
  <c r="E178" i="172"/>
  <c r="G178" i="172" s="1"/>
  <c r="E190" i="172"/>
  <c r="E194" i="172"/>
  <c r="G194" i="172" s="1"/>
  <c r="E78" i="172"/>
  <c r="E19" i="172"/>
  <c r="E182" i="172"/>
  <c r="E224" i="172"/>
  <c r="E186" i="172"/>
  <c r="E141" i="172"/>
  <c r="E170" i="172"/>
  <c r="G170" i="172" s="1"/>
  <c r="E89" i="172"/>
  <c r="G89" i="172" s="1"/>
  <c r="E114" i="172"/>
  <c r="E174" i="172"/>
  <c r="G174" i="172" s="1"/>
  <c r="E14" i="172"/>
  <c r="E69" i="172"/>
  <c r="G69" i="172" s="1"/>
  <c r="E49" i="172"/>
  <c r="G49" i="172" s="1"/>
  <c r="E57" i="172"/>
  <c r="G57" i="172" s="1"/>
  <c r="E160" i="172"/>
  <c r="E200" i="172"/>
  <c r="E223" i="172"/>
  <c r="E17" i="172"/>
  <c r="G17" i="172" s="1"/>
  <c r="E225" i="172"/>
  <c r="G225" i="172" s="1"/>
  <c r="E98" i="172"/>
  <c r="G98" i="172" s="1"/>
  <c r="E151" i="172"/>
  <c r="G151" i="172" s="1"/>
  <c r="E109" i="172"/>
  <c r="E221" i="172"/>
  <c r="E110" i="172"/>
  <c r="E205" i="172"/>
  <c r="E85" i="172"/>
  <c r="E71" i="172"/>
  <c r="G232" i="172"/>
  <c r="E127" i="172"/>
  <c r="E147" i="172"/>
  <c r="E167" i="172"/>
  <c r="E183" i="172"/>
  <c r="E75" i="172"/>
  <c r="E67" i="172"/>
  <c r="E99" i="172"/>
  <c r="E116" i="172"/>
  <c r="E117" i="172"/>
  <c r="E143" i="172"/>
  <c r="E100" i="172"/>
  <c r="E64" i="172"/>
  <c r="E27" i="172"/>
  <c r="E105" i="172"/>
  <c r="E82" i="172"/>
  <c r="E164" i="172"/>
  <c r="E201" i="172"/>
  <c r="E219" i="172"/>
  <c r="E25" i="172"/>
  <c r="E11" i="172"/>
  <c r="E48" i="172"/>
  <c r="E135" i="172"/>
  <c r="E40" i="172"/>
  <c r="E60" i="172"/>
  <c r="E171" i="172"/>
  <c r="E36" i="172"/>
  <c r="E44" i="172"/>
  <c r="E115" i="172"/>
  <c r="E175" i="172"/>
  <c r="E202" i="172"/>
  <c r="E92" i="172"/>
  <c r="E106" i="172"/>
  <c r="E130" i="172"/>
  <c r="E153" i="172"/>
  <c r="E187" i="172"/>
  <c r="E73" i="172"/>
  <c r="E97" i="172"/>
  <c r="E140" i="172"/>
  <c r="E195" i="172"/>
  <c r="G189" i="172" l="1"/>
  <c r="F215" i="172"/>
  <c r="G223" i="172"/>
  <c r="G173" i="172"/>
  <c r="G43" i="172"/>
  <c r="G185" i="172"/>
  <c r="E235" i="172"/>
  <c r="G56" i="172"/>
  <c r="G192" i="172"/>
  <c r="G133" i="172"/>
  <c r="G41" i="172"/>
  <c r="G188" i="172"/>
  <c r="G87" i="172"/>
  <c r="G172" i="172"/>
  <c r="G42" i="172"/>
  <c r="G158" i="172"/>
  <c r="G145" i="172"/>
  <c r="G180" i="172"/>
  <c r="G50" i="172"/>
  <c r="G124" i="172"/>
  <c r="G220" i="172"/>
  <c r="G68" i="172"/>
  <c r="G86" i="172"/>
  <c r="G118" i="172"/>
  <c r="G13" i="172"/>
  <c r="G72" i="172"/>
  <c r="G156" i="172"/>
  <c r="G181" i="172"/>
  <c r="G132" i="172"/>
  <c r="G14" i="172"/>
  <c r="G138" i="172"/>
  <c r="G142" i="172"/>
  <c r="G90" i="172"/>
  <c r="G137" i="172"/>
  <c r="M18" i="172"/>
  <c r="G200" i="172"/>
  <c r="G19" i="172"/>
  <c r="G70" i="172"/>
  <c r="G186" i="172"/>
  <c r="G35" i="172"/>
  <c r="G141" i="172"/>
  <c r="G114" i="172"/>
  <c r="G224" i="172"/>
  <c r="E206" i="172"/>
  <c r="G182" i="172"/>
  <c r="G190" i="172"/>
  <c r="G126" i="172"/>
  <c r="G150" i="172"/>
  <c r="G166" i="172"/>
  <c r="G146" i="172"/>
  <c r="G160" i="172"/>
  <c r="M17" i="172"/>
  <c r="G51" i="172"/>
  <c r="G78" i="172"/>
  <c r="G60" i="172"/>
  <c r="G109" i="172"/>
  <c r="G73" i="172"/>
  <c r="G115" i="172"/>
  <c r="G40" i="172"/>
  <c r="G205" i="172"/>
  <c r="G187" i="172"/>
  <c r="G135" i="172"/>
  <c r="G75" i="172"/>
  <c r="G153" i="172"/>
  <c r="G48" i="172"/>
  <c r="G147" i="172"/>
  <c r="G71" i="172"/>
  <c r="G85" i="172"/>
  <c r="G201" i="172"/>
  <c r="G130" i="172"/>
  <c r="G116" i="172"/>
  <c r="G183" i="172"/>
  <c r="G175" i="172"/>
  <c r="G195" i="172"/>
  <c r="G36" i="172"/>
  <c r="G100" i="172"/>
  <c r="G143" i="172"/>
  <c r="G99" i="172"/>
  <c r="G110" i="172"/>
  <c r="G221" i="172"/>
  <c r="G44" i="172"/>
  <c r="G27" i="172"/>
  <c r="G106" i="172"/>
  <c r="G92" i="172"/>
  <c r="G140" i="172"/>
  <c r="G202" i="172"/>
  <c r="G171" i="172"/>
  <c r="G117" i="172"/>
  <c r="G67" i="172"/>
  <c r="G235" i="172"/>
  <c r="K14" i="172"/>
  <c r="G167" i="172"/>
  <c r="G127" i="172"/>
  <c r="E111" i="172"/>
  <c r="G105" i="172"/>
  <c r="E79" i="172"/>
  <c r="G64" i="172"/>
  <c r="E161" i="172"/>
  <c r="G82" i="172"/>
  <c r="E93" i="172"/>
  <c r="E21" i="172"/>
  <c r="G11" i="172"/>
  <c r="E102" i="172"/>
  <c r="G97" i="172"/>
  <c r="G164" i="172"/>
  <c r="E197" i="172"/>
  <c r="G25" i="172"/>
  <c r="E61" i="172"/>
  <c r="G219" i="172"/>
  <c r="E228" i="172"/>
  <c r="E119" i="172"/>
  <c r="E237" i="172" l="1"/>
  <c r="M15" i="172"/>
  <c r="M14" i="172"/>
  <c r="M12" i="172"/>
  <c r="G161" i="172"/>
  <c r="M16" i="172"/>
  <c r="E208" i="172"/>
  <c r="M19" i="172"/>
  <c r="G206" i="172"/>
  <c r="E236" i="172"/>
  <c r="G119" i="172"/>
  <c r="K15" i="172"/>
  <c r="M13" i="172"/>
  <c r="G79" i="172"/>
  <c r="G102" i="172"/>
  <c r="G111" i="172"/>
  <c r="G228" i="172"/>
  <c r="G237" i="172"/>
  <c r="G197" i="172"/>
  <c r="G93" i="172"/>
  <c r="G21" i="172"/>
  <c r="M11" i="172"/>
  <c r="G61" i="172"/>
  <c r="E238" i="172" l="1"/>
  <c r="E215" i="172"/>
  <c r="H228" i="172"/>
  <c r="G236" i="172"/>
  <c r="G238" i="172" s="1"/>
  <c r="H224" i="172"/>
  <c r="H221" i="172"/>
  <c r="H227" i="172"/>
  <c r="H222" i="172"/>
  <c r="H219" i="172"/>
  <c r="M160" i="172"/>
  <c r="M74" i="172"/>
  <c r="H225" i="172"/>
  <c r="H220" i="172"/>
  <c r="H226" i="172"/>
  <c r="M33" i="172"/>
  <c r="M196" i="172"/>
  <c r="M145" i="172"/>
  <c r="M42" i="172"/>
  <c r="M172" i="172"/>
  <c r="M179" i="172"/>
  <c r="M150" i="172"/>
  <c r="M116" i="172"/>
  <c r="M77" i="172"/>
  <c r="M167" i="172"/>
  <c r="M173" i="172"/>
  <c r="K13" i="172"/>
  <c r="M65" i="172"/>
  <c r="H223" i="172"/>
  <c r="M28" i="172"/>
  <c r="M149" i="172"/>
  <c r="M68" i="172"/>
  <c r="M127" i="172"/>
  <c r="M101" i="172"/>
  <c r="M151" i="172"/>
  <c r="M136" i="172"/>
  <c r="M91" i="172"/>
  <c r="M158" i="172"/>
  <c r="M156" i="172"/>
  <c r="M141" i="172"/>
  <c r="M191" i="172"/>
  <c r="M168" i="172"/>
  <c r="M143" i="172"/>
  <c r="M166" i="172"/>
  <c r="M131" i="172"/>
  <c r="M84" i="172"/>
  <c r="M165" i="172"/>
  <c r="M147" i="172"/>
  <c r="M155" i="172"/>
  <c r="M185" i="172"/>
  <c r="M204" i="172"/>
  <c r="M181" i="172"/>
  <c r="M176" i="172"/>
  <c r="M78" i="172"/>
  <c r="M190" i="172"/>
  <c r="M32" i="172"/>
  <c r="M107" i="172"/>
  <c r="M132" i="172"/>
  <c r="M184" i="172"/>
  <c r="M138" i="172"/>
  <c r="M69" i="172"/>
  <c r="M38" i="172"/>
  <c r="M26" i="172"/>
  <c r="M58" i="172"/>
  <c r="M159" i="172"/>
  <c r="M39" i="172"/>
  <c r="M54" i="172"/>
  <c r="M52" i="172"/>
  <c r="M29" i="172"/>
  <c r="M67" i="172"/>
  <c r="M194" i="172"/>
  <c r="M123" i="172"/>
  <c r="M70" i="172"/>
  <c r="M110" i="172"/>
  <c r="M152" i="172"/>
  <c r="M203" i="172"/>
  <c r="M55" i="172"/>
  <c r="M193" i="172"/>
  <c r="M72" i="172"/>
  <c r="M178" i="172"/>
  <c r="M174" i="172"/>
  <c r="M170" i="172"/>
  <c r="M46" i="172"/>
  <c r="M34" i="172"/>
  <c r="M99" i="172"/>
  <c r="M76" i="172"/>
  <c r="M83" i="172"/>
  <c r="M188" i="172"/>
  <c r="M59" i="172"/>
  <c r="M98" i="172"/>
  <c r="M182" i="172"/>
  <c r="M180" i="172"/>
  <c r="M169" i="172"/>
  <c r="M37" i="172"/>
  <c r="M124" i="172"/>
  <c r="M41" i="172"/>
  <c r="M177" i="172"/>
  <c r="M86" i="172"/>
  <c r="M35" i="172"/>
  <c r="M87" i="172"/>
  <c r="M125" i="172"/>
  <c r="M186" i="172"/>
  <c r="M142" i="172"/>
  <c r="M90" i="172"/>
  <c r="M189" i="172"/>
  <c r="M57" i="172"/>
  <c r="M30" i="172"/>
  <c r="M45" i="172"/>
  <c r="M192" i="172"/>
  <c r="M205" i="172"/>
  <c r="M53" i="172"/>
  <c r="M133" i="172"/>
  <c r="M50" i="172"/>
  <c r="M85" i="172"/>
  <c r="M109" i="172"/>
  <c r="M108" i="172"/>
  <c r="M43" i="172"/>
  <c r="M47" i="172"/>
  <c r="M56" i="172"/>
  <c r="M75" i="172"/>
  <c r="M88" i="172"/>
  <c r="M49" i="172"/>
  <c r="M129" i="172"/>
  <c r="M146" i="172"/>
  <c r="M89" i="172"/>
  <c r="M148" i="172"/>
  <c r="M137" i="172"/>
  <c r="M66" i="172"/>
  <c r="M118" i="172"/>
  <c r="M157" i="172"/>
  <c r="M126" i="172"/>
  <c r="M31" i="172"/>
  <c r="M117" i="172"/>
  <c r="M51" i="172"/>
  <c r="M183" i="172"/>
  <c r="M71" i="172"/>
  <c r="M96" i="172"/>
  <c r="M153" i="172"/>
  <c r="M187" i="172"/>
  <c r="M40" i="172"/>
  <c r="M171" i="172"/>
  <c r="M27" i="172"/>
  <c r="M100" i="172"/>
  <c r="M48" i="172"/>
  <c r="M115" i="172"/>
  <c r="M201" i="172"/>
  <c r="M36" i="172"/>
  <c r="M202" i="172"/>
  <c r="M130" i="172"/>
  <c r="M114" i="172"/>
  <c r="M140" i="172"/>
  <c r="M135" i="172"/>
  <c r="M92" i="172"/>
  <c r="M73" i="172"/>
  <c r="M175" i="172"/>
  <c r="M44" i="172"/>
  <c r="M200" i="172"/>
  <c r="M106" i="172"/>
  <c r="M195" i="172"/>
  <c r="M60" i="172"/>
  <c r="M79" i="172"/>
  <c r="M111" i="172"/>
  <c r="M119" i="172"/>
  <c r="M105" i="172"/>
  <c r="M25" i="172"/>
  <c r="M93" i="172"/>
  <c r="M206" i="172"/>
  <c r="M61" i="172"/>
  <c r="M82" i="172"/>
  <c r="M161" i="172"/>
  <c r="G208" i="172"/>
  <c r="M164" i="172"/>
  <c r="M102" i="172"/>
  <c r="M197" i="172"/>
  <c r="M97" i="172"/>
  <c r="H16" i="172"/>
  <c r="H15" i="172"/>
  <c r="H14" i="172"/>
  <c r="H13" i="172"/>
  <c r="H12" i="172"/>
  <c r="H11" i="172"/>
  <c r="H19" i="172"/>
  <c r="H18" i="172"/>
  <c r="H17" i="172"/>
  <c r="H20" i="172"/>
  <c r="H21" i="172"/>
  <c r="K11" i="172"/>
  <c r="M21" i="172"/>
  <c r="M64" i="172"/>
  <c r="H208" i="172" l="1"/>
  <c r="H203" i="172"/>
  <c r="H192" i="172"/>
  <c r="H184" i="172"/>
  <c r="H176" i="172"/>
  <c r="H168" i="172"/>
  <c r="H155" i="172"/>
  <c r="H146" i="172"/>
  <c r="H136" i="172"/>
  <c r="H126" i="172"/>
  <c r="H107" i="172"/>
  <c r="H89" i="172"/>
  <c r="H79" i="172"/>
  <c r="H78" i="172"/>
  <c r="H204" i="172"/>
  <c r="H193" i="172"/>
  <c r="H185" i="172"/>
  <c r="H177" i="172"/>
  <c r="H169" i="172"/>
  <c r="H156" i="172"/>
  <c r="H147" i="172"/>
  <c r="H137" i="172"/>
  <c r="H127" i="172"/>
  <c r="H108" i="172"/>
  <c r="H90" i="172"/>
  <c r="H82" i="172"/>
  <c r="H71" i="172"/>
  <c r="M208" i="172"/>
  <c r="H200" i="172"/>
  <c r="H189" i="172"/>
  <c r="H181" i="172"/>
  <c r="H173" i="172"/>
  <c r="H165" i="172"/>
  <c r="H161" i="172"/>
  <c r="H160" i="172"/>
  <c r="H151" i="172"/>
  <c r="H142" i="172"/>
  <c r="H132" i="172"/>
  <c r="H123" i="172"/>
  <c r="H117" i="172"/>
  <c r="H99" i="172"/>
  <c r="H86" i="172"/>
  <c r="H75" i="172"/>
  <c r="H196" i="172"/>
  <c r="H171" i="172"/>
  <c r="H166" i="172"/>
  <c r="H148" i="172"/>
  <c r="H145" i="172"/>
  <c r="H141" i="172"/>
  <c r="H101" i="172"/>
  <c r="H98" i="172"/>
  <c r="H93" i="172"/>
  <c r="H77" i="172"/>
  <c r="H74" i="172"/>
  <c r="H66" i="172"/>
  <c r="H53" i="172"/>
  <c r="H45" i="172"/>
  <c r="H37" i="172"/>
  <c r="H29" i="172"/>
  <c r="H194" i="172"/>
  <c r="H191" i="172"/>
  <c r="H188" i="172"/>
  <c r="H138" i="172"/>
  <c r="H135" i="172"/>
  <c r="H131" i="172"/>
  <c r="H118" i="172"/>
  <c r="H96" i="172"/>
  <c r="H72" i="172"/>
  <c r="H67" i="172"/>
  <c r="H54" i="172"/>
  <c r="H46" i="172"/>
  <c r="H38" i="172"/>
  <c r="H30" i="172"/>
  <c r="H195" i="172"/>
  <c r="H190" i="172"/>
  <c r="H140" i="172"/>
  <c r="H133" i="172"/>
  <c r="H116" i="172"/>
  <c r="H111" i="172"/>
  <c r="H97" i="172"/>
  <c r="H73" i="172"/>
  <c r="H70" i="172"/>
  <c r="H58" i="172"/>
  <c r="H50" i="172"/>
  <c r="H42" i="172"/>
  <c r="H34" i="172"/>
  <c r="H26" i="172"/>
  <c r="H172" i="172"/>
  <c r="H150" i="172"/>
  <c r="H143" i="172"/>
  <c r="H110" i="172"/>
  <c r="H106" i="172"/>
  <c r="H76" i="172"/>
  <c r="H59" i="172"/>
  <c r="H31" i="172"/>
  <c r="H28" i="172"/>
  <c r="H25" i="172"/>
  <c r="H164" i="172"/>
  <c r="H119" i="172"/>
  <c r="H102" i="172"/>
  <c r="H100" i="172"/>
  <c r="H92" i="172"/>
  <c r="H88" i="172"/>
  <c r="H56" i="172"/>
  <c r="H51" i="172"/>
  <c r="H186" i="172"/>
  <c r="H159" i="172"/>
  <c r="H124" i="172"/>
  <c r="H85" i="172"/>
  <c r="H83" i="172"/>
  <c r="H61" i="172"/>
  <c r="H47" i="172"/>
  <c r="H44" i="172"/>
  <c r="H41" i="172"/>
  <c r="H206" i="172"/>
  <c r="H202" i="172"/>
  <c r="H201" i="172"/>
  <c r="H175" i="172"/>
  <c r="H153" i="172"/>
  <c r="H87" i="172"/>
  <c r="H69" i="172"/>
  <c r="H65" i="172"/>
  <c r="H55" i="172"/>
  <c r="H179" i="172"/>
  <c r="H174" i="172"/>
  <c r="H152" i="172"/>
  <c r="H125" i="172"/>
  <c r="H109" i="172"/>
  <c r="H84" i="172"/>
  <c r="H187" i="172"/>
  <c r="H130" i="172"/>
  <c r="H158" i="172"/>
  <c r="H129" i="172"/>
  <c r="H57" i="172"/>
  <c r="H35" i="172"/>
  <c r="H68" i="172"/>
  <c r="H27" i="172"/>
  <c r="H60" i="172"/>
  <c r="H182" i="172"/>
  <c r="H183" i="172"/>
  <c r="H170" i="172"/>
  <c r="H114" i="172"/>
  <c r="H49" i="172"/>
  <c r="H39" i="172"/>
  <c r="H33" i="172"/>
  <c r="K12" i="172"/>
  <c r="H105" i="172"/>
  <c r="H64" i="172"/>
  <c r="H205" i="172"/>
  <c r="H91" i="172"/>
  <c r="H157" i="172"/>
  <c r="H36" i="172"/>
  <c r="H43" i="172"/>
  <c r="H115" i="172"/>
  <c r="H32" i="172"/>
  <c r="H167" i="172"/>
  <c r="H197" i="172"/>
  <c r="H178" i="172"/>
  <c r="H52" i="172"/>
  <c r="H180" i="172"/>
  <c r="H149" i="172"/>
  <c r="H48" i="172"/>
  <c r="H40" i="172"/>
  <c r="G215" i="172"/>
  <c r="G244" i="106" l="1"/>
  <c r="G243" i="106"/>
  <c r="G242" i="106"/>
  <c r="G241" i="106"/>
  <c r="C238" i="106"/>
  <c r="C237" i="106"/>
  <c r="C236" i="106"/>
  <c r="C235" i="106"/>
  <c r="C233" i="106"/>
  <c r="C232" i="106"/>
  <c r="C231" i="106"/>
  <c r="D228" i="106"/>
  <c r="C227" i="106"/>
  <c r="C226" i="106"/>
  <c r="C225" i="106"/>
  <c r="C224" i="106"/>
  <c r="C223" i="106"/>
  <c r="C222" i="106"/>
  <c r="C221" i="106"/>
  <c r="C220" i="106"/>
  <c r="C219" i="106"/>
  <c r="C211" i="106"/>
  <c r="D205" i="106"/>
  <c r="C205" i="106"/>
  <c r="D204" i="106"/>
  <c r="C204" i="106"/>
  <c r="D203" i="106"/>
  <c r="C203" i="106"/>
  <c r="D202" i="106"/>
  <c r="C202" i="106"/>
  <c r="D201" i="106"/>
  <c r="C201" i="106"/>
  <c r="D200" i="106"/>
  <c r="C200" i="106"/>
  <c r="D196" i="106"/>
  <c r="C196" i="106"/>
  <c r="D195" i="106"/>
  <c r="C195" i="106"/>
  <c r="D194" i="106"/>
  <c r="C194" i="106"/>
  <c r="D193" i="106"/>
  <c r="C193" i="106"/>
  <c r="D192" i="106"/>
  <c r="C192" i="106"/>
  <c r="D191" i="106"/>
  <c r="C191" i="106"/>
  <c r="D190" i="106"/>
  <c r="C190" i="106"/>
  <c r="D189" i="106"/>
  <c r="C189" i="106"/>
  <c r="D188" i="106"/>
  <c r="C188" i="106"/>
  <c r="D187" i="106"/>
  <c r="C187" i="106"/>
  <c r="D186" i="106"/>
  <c r="C186" i="106"/>
  <c r="D185" i="106"/>
  <c r="C185" i="106"/>
  <c r="D184" i="106"/>
  <c r="C184" i="106"/>
  <c r="D183" i="106"/>
  <c r="C183" i="106"/>
  <c r="D182" i="106"/>
  <c r="C182" i="106"/>
  <c r="D181" i="106"/>
  <c r="C181" i="106"/>
  <c r="D180" i="106"/>
  <c r="C180" i="106"/>
  <c r="D179" i="106"/>
  <c r="C179" i="106"/>
  <c r="D178" i="106"/>
  <c r="C178" i="106"/>
  <c r="D177" i="106"/>
  <c r="C177" i="106"/>
  <c r="D176" i="106"/>
  <c r="C176" i="106"/>
  <c r="D175" i="106"/>
  <c r="C175" i="106"/>
  <c r="D174" i="106"/>
  <c r="C174" i="106"/>
  <c r="D173" i="106"/>
  <c r="C173" i="106"/>
  <c r="D172" i="106"/>
  <c r="C172" i="106"/>
  <c r="D171" i="106"/>
  <c r="C171" i="106"/>
  <c r="D170" i="106"/>
  <c r="C170" i="106"/>
  <c r="D169" i="106"/>
  <c r="C169" i="106"/>
  <c r="D168" i="106"/>
  <c r="C168" i="106"/>
  <c r="D167" i="106"/>
  <c r="C167" i="106"/>
  <c r="D166" i="106"/>
  <c r="C166" i="106"/>
  <c r="D165" i="106"/>
  <c r="C165" i="106"/>
  <c r="D164" i="106"/>
  <c r="C164" i="106"/>
  <c r="D160" i="106"/>
  <c r="C160" i="106"/>
  <c r="D159" i="106"/>
  <c r="C159" i="106"/>
  <c r="D158" i="106"/>
  <c r="C158" i="106"/>
  <c r="D157" i="106"/>
  <c r="C157" i="106"/>
  <c r="D156" i="106"/>
  <c r="C156" i="106"/>
  <c r="D155" i="106"/>
  <c r="C155" i="106"/>
  <c r="D153" i="106"/>
  <c r="C153" i="106"/>
  <c r="D152" i="106"/>
  <c r="C152" i="106"/>
  <c r="D151" i="106"/>
  <c r="C151" i="106"/>
  <c r="D150" i="106"/>
  <c r="C150" i="106"/>
  <c r="D149" i="106"/>
  <c r="C149" i="106"/>
  <c r="D148" i="106"/>
  <c r="C148" i="106"/>
  <c r="D147" i="106"/>
  <c r="C147" i="106"/>
  <c r="D146" i="106"/>
  <c r="C146" i="106"/>
  <c r="D145" i="106"/>
  <c r="C145" i="106"/>
  <c r="D143" i="106"/>
  <c r="C143" i="106"/>
  <c r="D142" i="106"/>
  <c r="C142" i="106"/>
  <c r="D141" i="106"/>
  <c r="C141" i="106"/>
  <c r="D140" i="106"/>
  <c r="C140" i="106"/>
  <c r="D138" i="106"/>
  <c r="C138" i="106"/>
  <c r="D137" i="106"/>
  <c r="C137" i="106"/>
  <c r="D136" i="106"/>
  <c r="C136" i="106"/>
  <c r="D135" i="106"/>
  <c r="C135" i="106"/>
  <c r="D133" i="106"/>
  <c r="C133" i="106"/>
  <c r="D132" i="106"/>
  <c r="C132" i="106"/>
  <c r="D131" i="106"/>
  <c r="C131" i="106"/>
  <c r="D130" i="106"/>
  <c r="C130" i="106"/>
  <c r="D129" i="106"/>
  <c r="C129" i="106"/>
  <c r="D127" i="106"/>
  <c r="C127" i="106"/>
  <c r="D126" i="106"/>
  <c r="C126" i="106"/>
  <c r="D125" i="106"/>
  <c r="C125" i="106"/>
  <c r="D124" i="106"/>
  <c r="C124" i="106"/>
  <c r="D123" i="106"/>
  <c r="C123" i="106"/>
  <c r="D118" i="106"/>
  <c r="C118" i="106"/>
  <c r="D117" i="106"/>
  <c r="C117" i="106"/>
  <c r="D116" i="106"/>
  <c r="C116" i="106"/>
  <c r="D115" i="106"/>
  <c r="C115" i="106"/>
  <c r="D114" i="106"/>
  <c r="C114" i="106"/>
  <c r="D110" i="106"/>
  <c r="C110" i="106"/>
  <c r="D109" i="106"/>
  <c r="C109" i="106"/>
  <c r="D108" i="106"/>
  <c r="C108" i="106"/>
  <c r="D107" i="106"/>
  <c r="C107" i="106"/>
  <c r="D106" i="106"/>
  <c r="C106" i="106"/>
  <c r="D105" i="106"/>
  <c r="C105" i="106"/>
  <c r="D101" i="106"/>
  <c r="C101" i="106"/>
  <c r="D100" i="106"/>
  <c r="C100" i="106"/>
  <c r="D99" i="106"/>
  <c r="C99" i="106"/>
  <c r="D98" i="106"/>
  <c r="C98" i="106"/>
  <c r="D97" i="106"/>
  <c r="C97" i="106"/>
  <c r="D96" i="106"/>
  <c r="C96" i="106"/>
  <c r="D92" i="106"/>
  <c r="C92" i="106"/>
  <c r="D91" i="106"/>
  <c r="C91" i="106"/>
  <c r="D90" i="106"/>
  <c r="C90" i="106"/>
  <c r="D89" i="106"/>
  <c r="C89" i="106"/>
  <c r="D88" i="106"/>
  <c r="C88" i="106"/>
  <c r="D87" i="106"/>
  <c r="C87" i="106"/>
  <c r="D86" i="106"/>
  <c r="C86" i="106"/>
  <c r="D85" i="106"/>
  <c r="C85" i="106"/>
  <c r="D84" i="106"/>
  <c r="C84" i="106"/>
  <c r="D83" i="106"/>
  <c r="C83" i="106"/>
  <c r="D82" i="106"/>
  <c r="C82" i="106"/>
  <c r="D78" i="106"/>
  <c r="C78" i="106"/>
  <c r="D77" i="106"/>
  <c r="C77" i="106"/>
  <c r="D76" i="106"/>
  <c r="C76" i="106"/>
  <c r="D75" i="106"/>
  <c r="C75" i="106"/>
  <c r="D74" i="106"/>
  <c r="C74" i="106"/>
  <c r="D73" i="106"/>
  <c r="C73" i="106"/>
  <c r="D72" i="106"/>
  <c r="C72" i="106"/>
  <c r="D71" i="106"/>
  <c r="C71" i="106"/>
  <c r="D70" i="106"/>
  <c r="C70" i="106"/>
  <c r="D69" i="106"/>
  <c r="C69" i="106"/>
  <c r="D68" i="106"/>
  <c r="C68" i="106"/>
  <c r="D67" i="106"/>
  <c r="C67" i="106"/>
  <c r="D66" i="106"/>
  <c r="C66" i="106"/>
  <c r="D65" i="106"/>
  <c r="C65" i="106"/>
  <c r="D64" i="106"/>
  <c r="C64" i="106"/>
  <c r="D60" i="106"/>
  <c r="C60" i="106"/>
  <c r="D59" i="106"/>
  <c r="C59" i="106"/>
  <c r="D58" i="106"/>
  <c r="C58" i="106"/>
  <c r="D57" i="106"/>
  <c r="C57" i="106"/>
  <c r="D56" i="106"/>
  <c r="C56" i="106"/>
  <c r="D55" i="106"/>
  <c r="C55" i="106"/>
  <c r="D54" i="106"/>
  <c r="C54" i="106"/>
  <c r="D53" i="106"/>
  <c r="C53" i="106"/>
  <c r="D52" i="106"/>
  <c r="C52" i="106"/>
  <c r="D51" i="106"/>
  <c r="C51" i="106"/>
  <c r="D50" i="106"/>
  <c r="C50" i="106"/>
  <c r="D49" i="106"/>
  <c r="C49" i="106"/>
  <c r="D48" i="106"/>
  <c r="C48" i="106"/>
  <c r="D47" i="106"/>
  <c r="C47" i="106"/>
  <c r="D46" i="106"/>
  <c r="C46" i="106"/>
  <c r="D45" i="106"/>
  <c r="C45" i="106"/>
  <c r="D44" i="106"/>
  <c r="C44" i="106"/>
  <c r="D43" i="106"/>
  <c r="C43" i="106"/>
  <c r="D42" i="106"/>
  <c r="C42" i="106"/>
  <c r="D41" i="106"/>
  <c r="C41" i="106"/>
  <c r="D40" i="106"/>
  <c r="C40" i="106"/>
  <c r="D39" i="106"/>
  <c r="C39" i="106"/>
  <c r="D38" i="106"/>
  <c r="C38" i="106"/>
  <c r="D37" i="106"/>
  <c r="C37" i="106"/>
  <c r="D36" i="106"/>
  <c r="C36" i="106"/>
  <c r="D35" i="106"/>
  <c r="C35" i="106"/>
  <c r="D34" i="106"/>
  <c r="C34" i="106"/>
  <c r="D33" i="106"/>
  <c r="C33" i="106"/>
  <c r="D32" i="106"/>
  <c r="C32" i="106"/>
  <c r="D31" i="106"/>
  <c r="C31" i="106"/>
  <c r="D30" i="106"/>
  <c r="C30" i="106"/>
  <c r="D29" i="106"/>
  <c r="C29" i="106"/>
  <c r="D28" i="106"/>
  <c r="C28" i="106"/>
  <c r="D27" i="106"/>
  <c r="C27" i="106"/>
  <c r="D26" i="106"/>
  <c r="C26" i="106"/>
  <c r="D25" i="106"/>
  <c r="C25" i="106"/>
  <c r="D20" i="106"/>
  <c r="C20" i="106"/>
  <c r="D19" i="106"/>
  <c r="C19" i="106"/>
  <c r="D18" i="106"/>
  <c r="C18" i="106"/>
  <c r="D17" i="106"/>
  <c r="C17" i="106"/>
  <c r="D16" i="106"/>
  <c r="C16" i="106"/>
  <c r="D15" i="106"/>
  <c r="C15" i="106"/>
  <c r="D14" i="106"/>
  <c r="C14" i="106"/>
  <c r="D13" i="106"/>
  <c r="C13" i="106"/>
  <c r="D12" i="106"/>
  <c r="C12" i="106"/>
  <c r="D11" i="106"/>
  <c r="C11" i="106"/>
  <c r="D21" i="106" l="1"/>
  <c r="D102" i="106"/>
  <c r="D119" i="106"/>
  <c r="C21" i="106"/>
  <c r="C102" i="106"/>
  <c r="C119" i="106"/>
  <c r="C93" i="106"/>
  <c r="D161" i="106"/>
  <c r="C228" i="106"/>
  <c r="C79" i="106"/>
  <c r="C197" i="106"/>
  <c r="C161" i="106"/>
  <c r="D197" i="106"/>
  <c r="C111" i="106"/>
  <c r="C206" i="106"/>
  <c r="D93" i="106"/>
  <c r="D79" i="106"/>
  <c r="D111" i="106"/>
  <c r="D206" i="106"/>
  <c r="C61" i="106"/>
  <c r="D61" i="106"/>
  <c r="D208" i="106" l="1"/>
  <c r="D215" i="106" s="1"/>
  <c r="C208" i="106"/>
  <c r="C215" i="106" l="1"/>
  <c r="C212" i="106"/>
  <c r="G244" i="87" l="1"/>
  <c r="G243" i="87"/>
  <c r="G242" i="87"/>
  <c r="G241" i="87"/>
  <c r="C238" i="87"/>
  <c r="C237" i="87"/>
  <c r="C236" i="87"/>
  <c r="C235" i="87"/>
  <c r="C233" i="87"/>
  <c r="C232" i="87"/>
  <c r="C231" i="87"/>
  <c r="D228" i="87"/>
  <c r="C227" i="87"/>
  <c r="C226" i="87"/>
  <c r="C225" i="87"/>
  <c r="C224" i="87"/>
  <c r="C223" i="87"/>
  <c r="C222" i="87"/>
  <c r="C221" i="87"/>
  <c r="C220" i="87"/>
  <c r="C219" i="87"/>
  <c r="C211" i="87"/>
  <c r="D205" i="87"/>
  <c r="C205" i="87"/>
  <c r="D204" i="87"/>
  <c r="C204" i="87"/>
  <c r="D203" i="87"/>
  <c r="C203" i="87"/>
  <c r="D202" i="87"/>
  <c r="C202" i="87"/>
  <c r="D201" i="87"/>
  <c r="C201" i="87"/>
  <c r="D200" i="87"/>
  <c r="C200" i="87"/>
  <c r="D196" i="87"/>
  <c r="C196" i="87"/>
  <c r="D195" i="87"/>
  <c r="C195" i="87"/>
  <c r="D194" i="87"/>
  <c r="C194" i="87"/>
  <c r="D193" i="87"/>
  <c r="C193" i="87"/>
  <c r="D192" i="87"/>
  <c r="C192" i="87"/>
  <c r="D191" i="87"/>
  <c r="C191" i="87"/>
  <c r="D190" i="87"/>
  <c r="C190" i="87"/>
  <c r="D189" i="87"/>
  <c r="C189" i="87"/>
  <c r="D188" i="87"/>
  <c r="C188" i="87"/>
  <c r="D187" i="87"/>
  <c r="C187" i="87"/>
  <c r="D186" i="87"/>
  <c r="C186" i="87"/>
  <c r="D185" i="87"/>
  <c r="C185" i="87"/>
  <c r="D184" i="87"/>
  <c r="C184" i="87"/>
  <c r="D183" i="87"/>
  <c r="C183" i="87"/>
  <c r="D182" i="87"/>
  <c r="C182" i="87"/>
  <c r="D181" i="87"/>
  <c r="C181" i="87"/>
  <c r="D180" i="87"/>
  <c r="C180" i="87"/>
  <c r="D179" i="87"/>
  <c r="C179" i="87"/>
  <c r="D178" i="87"/>
  <c r="C178" i="87"/>
  <c r="D177" i="87"/>
  <c r="C177" i="87"/>
  <c r="D176" i="87"/>
  <c r="C176" i="87"/>
  <c r="D175" i="87"/>
  <c r="C175" i="87"/>
  <c r="D174" i="87"/>
  <c r="C174" i="87"/>
  <c r="D173" i="87"/>
  <c r="C173" i="87"/>
  <c r="D172" i="87"/>
  <c r="C172" i="87"/>
  <c r="D171" i="87"/>
  <c r="C171" i="87"/>
  <c r="D170" i="87"/>
  <c r="C170" i="87"/>
  <c r="D169" i="87"/>
  <c r="C169" i="87"/>
  <c r="D168" i="87"/>
  <c r="C168" i="87"/>
  <c r="D167" i="87"/>
  <c r="C167" i="87"/>
  <c r="D166" i="87"/>
  <c r="C166" i="87"/>
  <c r="D165" i="87"/>
  <c r="C165" i="87"/>
  <c r="D164" i="87"/>
  <c r="C164" i="87"/>
  <c r="D160" i="87"/>
  <c r="C160" i="87"/>
  <c r="D159" i="87"/>
  <c r="C159" i="87"/>
  <c r="D158" i="87"/>
  <c r="C158" i="87"/>
  <c r="D157" i="87"/>
  <c r="C157" i="87"/>
  <c r="D156" i="87"/>
  <c r="C156" i="87"/>
  <c r="D155" i="87"/>
  <c r="C155" i="87"/>
  <c r="D153" i="87"/>
  <c r="C153" i="87"/>
  <c r="D152" i="87"/>
  <c r="C152" i="87"/>
  <c r="D151" i="87"/>
  <c r="C151" i="87"/>
  <c r="D150" i="87"/>
  <c r="C150" i="87"/>
  <c r="D149" i="87"/>
  <c r="C149" i="87"/>
  <c r="D148" i="87"/>
  <c r="C148" i="87"/>
  <c r="D147" i="87"/>
  <c r="C147" i="87"/>
  <c r="D146" i="87"/>
  <c r="C146" i="87"/>
  <c r="D145" i="87"/>
  <c r="C145" i="87"/>
  <c r="D143" i="87"/>
  <c r="C143" i="87"/>
  <c r="D142" i="87"/>
  <c r="C142" i="87"/>
  <c r="D141" i="87"/>
  <c r="C141" i="87"/>
  <c r="D140" i="87"/>
  <c r="C140" i="87"/>
  <c r="D138" i="87"/>
  <c r="C138" i="87"/>
  <c r="D137" i="87"/>
  <c r="C137" i="87"/>
  <c r="D136" i="87"/>
  <c r="C136" i="87"/>
  <c r="D135" i="87"/>
  <c r="C135" i="87"/>
  <c r="D133" i="87"/>
  <c r="C133" i="87"/>
  <c r="D132" i="87"/>
  <c r="C132" i="87"/>
  <c r="D131" i="87"/>
  <c r="C131" i="87"/>
  <c r="D130" i="87"/>
  <c r="C130" i="87"/>
  <c r="D129" i="87"/>
  <c r="C129" i="87"/>
  <c r="D127" i="87"/>
  <c r="C127" i="87"/>
  <c r="D126" i="87"/>
  <c r="C126" i="87"/>
  <c r="D125" i="87"/>
  <c r="C125" i="87"/>
  <c r="D124" i="87"/>
  <c r="C124" i="87"/>
  <c r="D123" i="87"/>
  <c r="C123" i="87"/>
  <c r="D118" i="87"/>
  <c r="C118" i="87"/>
  <c r="D117" i="87"/>
  <c r="C117" i="87"/>
  <c r="D116" i="87"/>
  <c r="C116" i="87"/>
  <c r="D115" i="87"/>
  <c r="C115" i="87"/>
  <c r="D114" i="87"/>
  <c r="C114" i="87"/>
  <c r="D110" i="87"/>
  <c r="C110" i="87"/>
  <c r="D109" i="87"/>
  <c r="C109" i="87"/>
  <c r="D108" i="87"/>
  <c r="C108" i="87"/>
  <c r="D107" i="87"/>
  <c r="C107" i="87"/>
  <c r="D106" i="87"/>
  <c r="C106" i="87"/>
  <c r="D105" i="87"/>
  <c r="C105" i="87"/>
  <c r="D101" i="87"/>
  <c r="C101" i="87"/>
  <c r="D100" i="87"/>
  <c r="C100" i="87"/>
  <c r="D99" i="87"/>
  <c r="C99" i="87"/>
  <c r="D98" i="87"/>
  <c r="C98" i="87"/>
  <c r="D97" i="87"/>
  <c r="C97" i="87"/>
  <c r="D96" i="87"/>
  <c r="C96" i="87"/>
  <c r="D92" i="87"/>
  <c r="C92" i="87"/>
  <c r="D91" i="87"/>
  <c r="C91" i="87"/>
  <c r="D90" i="87"/>
  <c r="C90" i="87"/>
  <c r="D89" i="87"/>
  <c r="C89" i="87"/>
  <c r="D88" i="87"/>
  <c r="C88" i="87"/>
  <c r="D87" i="87"/>
  <c r="C87" i="87"/>
  <c r="D86" i="87"/>
  <c r="C86" i="87"/>
  <c r="D85" i="87"/>
  <c r="C85" i="87"/>
  <c r="D84" i="87"/>
  <c r="C84" i="87"/>
  <c r="D83" i="87"/>
  <c r="C83" i="87"/>
  <c r="D82" i="87"/>
  <c r="C82" i="87"/>
  <c r="D78" i="87"/>
  <c r="C78" i="87"/>
  <c r="D77" i="87"/>
  <c r="C77" i="87"/>
  <c r="D76" i="87"/>
  <c r="C76" i="87"/>
  <c r="D75" i="87"/>
  <c r="C75" i="87"/>
  <c r="D74" i="87"/>
  <c r="C74" i="87"/>
  <c r="D73" i="87"/>
  <c r="C73" i="87"/>
  <c r="D72" i="87"/>
  <c r="C72" i="87"/>
  <c r="D71" i="87"/>
  <c r="C71" i="87"/>
  <c r="D70" i="87"/>
  <c r="C70" i="87"/>
  <c r="D69" i="87"/>
  <c r="C69" i="87"/>
  <c r="D68" i="87"/>
  <c r="C68" i="87"/>
  <c r="D67" i="87"/>
  <c r="C67" i="87"/>
  <c r="D66" i="87"/>
  <c r="C66" i="87"/>
  <c r="D65" i="87"/>
  <c r="C65" i="87"/>
  <c r="D64" i="87"/>
  <c r="C64" i="87"/>
  <c r="D60" i="87"/>
  <c r="C60" i="87"/>
  <c r="D59" i="87"/>
  <c r="C59" i="87"/>
  <c r="D58" i="87"/>
  <c r="C58" i="87"/>
  <c r="D57" i="87"/>
  <c r="C57" i="87"/>
  <c r="D56" i="87"/>
  <c r="C56" i="87"/>
  <c r="D55" i="87"/>
  <c r="C55" i="87"/>
  <c r="D54" i="87"/>
  <c r="C54" i="87"/>
  <c r="D53" i="87"/>
  <c r="C53" i="87"/>
  <c r="D52" i="87"/>
  <c r="C52" i="87"/>
  <c r="D51" i="87"/>
  <c r="C51" i="87"/>
  <c r="D50" i="87"/>
  <c r="C50" i="87"/>
  <c r="D49" i="87"/>
  <c r="C49" i="87"/>
  <c r="D48" i="87"/>
  <c r="C48" i="87"/>
  <c r="D47" i="87"/>
  <c r="C47" i="87"/>
  <c r="D46" i="87"/>
  <c r="C46" i="87"/>
  <c r="D45" i="87"/>
  <c r="C45" i="87"/>
  <c r="D44" i="87"/>
  <c r="C44" i="87"/>
  <c r="D43" i="87"/>
  <c r="C43" i="87"/>
  <c r="D42" i="87"/>
  <c r="C42" i="87"/>
  <c r="D41" i="87"/>
  <c r="C41" i="87"/>
  <c r="D40" i="87"/>
  <c r="C40" i="87"/>
  <c r="D39" i="87"/>
  <c r="C39" i="87"/>
  <c r="D38" i="87"/>
  <c r="C38" i="87"/>
  <c r="D37" i="87"/>
  <c r="C37" i="87"/>
  <c r="D36" i="87"/>
  <c r="C36" i="87"/>
  <c r="D35" i="87"/>
  <c r="C35" i="87"/>
  <c r="D34" i="87"/>
  <c r="C34" i="87"/>
  <c r="D33" i="87"/>
  <c r="C33" i="87"/>
  <c r="D32" i="87"/>
  <c r="C32" i="87"/>
  <c r="D31" i="87"/>
  <c r="C31" i="87"/>
  <c r="D30" i="87"/>
  <c r="C30" i="87"/>
  <c r="D29" i="87"/>
  <c r="C29" i="87"/>
  <c r="D28" i="87"/>
  <c r="C28" i="87"/>
  <c r="D27" i="87"/>
  <c r="C27" i="87"/>
  <c r="D26" i="87"/>
  <c r="C26" i="87"/>
  <c r="D25" i="87"/>
  <c r="C25" i="87"/>
  <c r="D20" i="87"/>
  <c r="C20" i="87"/>
  <c r="D19" i="87"/>
  <c r="C19" i="87"/>
  <c r="D18" i="87"/>
  <c r="C18" i="87"/>
  <c r="D17" i="87"/>
  <c r="C17" i="87"/>
  <c r="D16" i="87"/>
  <c r="C16" i="87"/>
  <c r="D15" i="87"/>
  <c r="C15" i="87"/>
  <c r="D14" i="87"/>
  <c r="C14" i="87"/>
  <c r="D13" i="87"/>
  <c r="C13" i="87"/>
  <c r="D12" i="87"/>
  <c r="C12" i="87"/>
  <c r="D11" i="87"/>
  <c r="C11" i="87"/>
  <c r="D93" i="87" l="1"/>
  <c r="D102" i="87"/>
  <c r="D119" i="87"/>
  <c r="D161" i="87"/>
  <c r="D21" i="87"/>
  <c r="C93" i="87"/>
  <c r="D79" i="87"/>
  <c r="C161" i="87"/>
  <c r="C79" i="87"/>
  <c r="C228" i="87"/>
  <c r="C111" i="87"/>
  <c r="C206" i="87"/>
  <c r="D111" i="87"/>
  <c r="C197" i="87"/>
  <c r="C21" i="87"/>
  <c r="C102" i="87"/>
  <c r="C119" i="87"/>
  <c r="D197" i="87"/>
  <c r="D206" i="87"/>
  <c r="C61" i="87"/>
  <c r="D61" i="87"/>
  <c r="D208" i="87" l="1"/>
  <c r="D215" i="87" s="1"/>
  <c r="C208" i="87"/>
  <c r="C212" i="87" s="1"/>
  <c r="C215" i="87" l="1"/>
  <c r="E73" i="84" l="1"/>
  <c r="E74" i="84"/>
  <c r="G244" i="57" l="1"/>
  <c r="G243" i="57"/>
  <c r="G242" i="57"/>
  <c r="G241" i="57"/>
  <c r="C238" i="57" l="1"/>
  <c r="C237" i="57"/>
  <c r="C236" i="57"/>
  <c r="C235" i="57"/>
  <c r="C233" i="57"/>
  <c r="C232" i="57"/>
  <c r="C231" i="57"/>
  <c r="D228" i="57"/>
  <c r="C227" i="57"/>
  <c r="C226" i="57"/>
  <c r="C225" i="57"/>
  <c r="C224" i="57"/>
  <c r="C223" i="57"/>
  <c r="C222" i="57"/>
  <c r="C221" i="57"/>
  <c r="C220" i="57"/>
  <c r="C219" i="57"/>
  <c r="C211" i="57"/>
  <c r="D205" i="57"/>
  <c r="C205" i="57"/>
  <c r="D204" i="57"/>
  <c r="C204" i="57"/>
  <c r="D203" i="57"/>
  <c r="C203" i="57"/>
  <c r="D202" i="57"/>
  <c r="C202" i="57"/>
  <c r="D201" i="57"/>
  <c r="C201" i="57"/>
  <c r="D200" i="57"/>
  <c r="C200" i="57"/>
  <c r="D196" i="57"/>
  <c r="C196" i="57"/>
  <c r="D195" i="57"/>
  <c r="C195" i="57"/>
  <c r="D194" i="57"/>
  <c r="C194" i="57"/>
  <c r="D193" i="57"/>
  <c r="C193" i="57"/>
  <c r="D192" i="57"/>
  <c r="C192" i="57"/>
  <c r="D191" i="57"/>
  <c r="C191" i="57"/>
  <c r="D190" i="57"/>
  <c r="C190" i="57"/>
  <c r="D189" i="57"/>
  <c r="C189" i="57"/>
  <c r="D188" i="57"/>
  <c r="C188" i="57"/>
  <c r="D187" i="57"/>
  <c r="C187" i="57"/>
  <c r="D186" i="57"/>
  <c r="C186" i="57"/>
  <c r="D185" i="57"/>
  <c r="C185" i="57"/>
  <c r="D184" i="57"/>
  <c r="C184" i="57"/>
  <c r="D183" i="57"/>
  <c r="C183" i="57"/>
  <c r="D182" i="57"/>
  <c r="C182" i="57"/>
  <c r="D181" i="57"/>
  <c r="C181" i="57"/>
  <c r="D180" i="57"/>
  <c r="C180" i="57"/>
  <c r="D179" i="57"/>
  <c r="C179" i="57"/>
  <c r="D178" i="57"/>
  <c r="C178" i="57"/>
  <c r="D177" i="57"/>
  <c r="C177" i="57"/>
  <c r="D176" i="57"/>
  <c r="C176" i="57"/>
  <c r="D175" i="57"/>
  <c r="C175" i="57"/>
  <c r="D174" i="57"/>
  <c r="C174" i="57"/>
  <c r="D173" i="57"/>
  <c r="C173" i="57"/>
  <c r="D172" i="57"/>
  <c r="C172" i="57"/>
  <c r="D171" i="57"/>
  <c r="C171" i="57"/>
  <c r="D170" i="57"/>
  <c r="C170" i="57"/>
  <c r="D169" i="57"/>
  <c r="C169" i="57"/>
  <c r="D168" i="57"/>
  <c r="C168" i="57"/>
  <c r="D167" i="57"/>
  <c r="C167" i="57"/>
  <c r="D166" i="57"/>
  <c r="C166" i="57"/>
  <c r="D165" i="57"/>
  <c r="C165" i="57"/>
  <c r="D164" i="57"/>
  <c r="C164" i="57"/>
  <c r="D160" i="57"/>
  <c r="C160" i="57"/>
  <c r="D159" i="57"/>
  <c r="C159" i="57"/>
  <c r="D158" i="57"/>
  <c r="C158" i="57"/>
  <c r="D157" i="57"/>
  <c r="C157" i="57"/>
  <c r="D156" i="57"/>
  <c r="C156" i="57"/>
  <c r="D155" i="57"/>
  <c r="C155" i="57"/>
  <c r="D153" i="57"/>
  <c r="C153" i="57"/>
  <c r="D152" i="57"/>
  <c r="C152" i="57"/>
  <c r="D151" i="57"/>
  <c r="C151" i="57"/>
  <c r="D150" i="57"/>
  <c r="C150" i="57"/>
  <c r="D149" i="57"/>
  <c r="C149" i="57"/>
  <c r="D148" i="57"/>
  <c r="C148" i="57"/>
  <c r="D147" i="57"/>
  <c r="C147" i="57"/>
  <c r="D146" i="57"/>
  <c r="C146" i="57"/>
  <c r="D145" i="57"/>
  <c r="C145" i="57"/>
  <c r="D143" i="57"/>
  <c r="C143" i="57"/>
  <c r="D142" i="57"/>
  <c r="C142" i="57"/>
  <c r="D141" i="57"/>
  <c r="C141" i="57"/>
  <c r="D140" i="57"/>
  <c r="C140" i="57"/>
  <c r="D138" i="57"/>
  <c r="C138" i="57"/>
  <c r="D137" i="57"/>
  <c r="C137" i="57"/>
  <c r="D136" i="57"/>
  <c r="C136" i="57"/>
  <c r="D135" i="57"/>
  <c r="C135" i="57"/>
  <c r="D133" i="57"/>
  <c r="C133" i="57"/>
  <c r="D132" i="57"/>
  <c r="C132" i="57"/>
  <c r="D131" i="57"/>
  <c r="C131" i="57"/>
  <c r="D130" i="57"/>
  <c r="C130" i="57"/>
  <c r="D129" i="57"/>
  <c r="C129" i="57"/>
  <c r="D127" i="57"/>
  <c r="C127" i="57"/>
  <c r="D126" i="57"/>
  <c r="C126" i="57"/>
  <c r="D125" i="57"/>
  <c r="C125" i="57"/>
  <c r="D124" i="57"/>
  <c r="C124" i="57"/>
  <c r="D123" i="57"/>
  <c r="C123" i="57"/>
  <c r="D118" i="57"/>
  <c r="C118" i="57"/>
  <c r="D117" i="57"/>
  <c r="C117" i="57"/>
  <c r="D116" i="57"/>
  <c r="C116" i="57"/>
  <c r="D115" i="57"/>
  <c r="C115" i="57"/>
  <c r="D114" i="57"/>
  <c r="C114" i="57"/>
  <c r="D110" i="57"/>
  <c r="C110" i="57"/>
  <c r="D109" i="57"/>
  <c r="C109" i="57"/>
  <c r="D108" i="57"/>
  <c r="C108" i="57"/>
  <c r="D107" i="57"/>
  <c r="C107" i="57"/>
  <c r="D106" i="57"/>
  <c r="C106" i="57"/>
  <c r="D105" i="57"/>
  <c r="C105" i="57"/>
  <c r="D101" i="57"/>
  <c r="C101" i="57"/>
  <c r="D100" i="57"/>
  <c r="C100" i="57"/>
  <c r="D99" i="57"/>
  <c r="C99" i="57"/>
  <c r="D98" i="57"/>
  <c r="C98" i="57"/>
  <c r="D97" i="57"/>
  <c r="C97" i="57"/>
  <c r="D96" i="57"/>
  <c r="C96" i="57"/>
  <c r="D92" i="57"/>
  <c r="C92" i="57"/>
  <c r="D91" i="57"/>
  <c r="C91" i="57"/>
  <c r="D90" i="57"/>
  <c r="C90" i="57"/>
  <c r="D89" i="57"/>
  <c r="C89" i="57"/>
  <c r="D88" i="57"/>
  <c r="C88" i="57"/>
  <c r="D87" i="57"/>
  <c r="C87" i="57"/>
  <c r="D86" i="57"/>
  <c r="C86" i="57"/>
  <c r="D85" i="57"/>
  <c r="C85" i="57"/>
  <c r="D84" i="57"/>
  <c r="C84" i="57"/>
  <c r="D83" i="57"/>
  <c r="C83" i="57"/>
  <c r="D82" i="57"/>
  <c r="C82" i="57"/>
  <c r="D78" i="57"/>
  <c r="C78" i="57"/>
  <c r="D77" i="57"/>
  <c r="C77" i="57"/>
  <c r="D76" i="57"/>
  <c r="C76" i="57"/>
  <c r="D75" i="57"/>
  <c r="C75" i="57"/>
  <c r="D74" i="57"/>
  <c r="C74" i="57"/>
  <c r="D73" i="57"/>
  <c r="C73" i="57"/>
  <c r="D72" i="57"/>
  <c r="C72" i="57"/>
  <c r="D71" i="57"/>
  <c r="C71" i="57"/>
  <c r="D70" i="57"/>
  <c r="C70" i="57"/>
  <c r="D69" i="57"/>
  <c r="C69" i="57"/>
  <c r="D68" i="57"/>
  <c r="C68" i="57"/>
  <c r="D67" i="57"/>
  <c r="C67" i="57"/>
  <c r="D66" i="57"/>
  <c r="C66" i="57"/>
  <c r="D65" i="57"/>
  <c r="C65" i="57"/>
  <c r="D64" i="57"/>
  <c r="C64" i="57"/>
  <c r="D60" i="57"/>
  <c r="C60" i="57"/>
  <c r="D59" i="57"/>
  <c r="C59" i="57"/>
  <c r="D58" i="57"/>
  <c r="C58" i="57"/>
  <c r="D57" i="57"/>
  <c r="C57" i="57"/>
  <c r="D56" i="57"/>
  <c r="C56" i="57"/>
  <c r="D55" i="57"/>
  <c r="C55" i="57"/>
  <c r="D54" i="57"/>
  <c r="C54" i="57"/>
  <c r="D53" i="57"/>
  <c r="C53" i="57"/>
  <c r="D52" i="57"/>
  <c r="C52" i="57"/>
  <c r="D51" i="57"/>
  <c r="C51" i="57"/>
  <c r="D50" i="57"/>
  <c r="C50" i="57"/>
  <c r="D49" i="57"/>
  <c r="C49" i="57"/>
  <c r="D48" i="57"/>
  <c r="C48" i="57"/>
  <c r="D47" i="57"/>
  <c r="C47" i="57"/>
  <c r="D46" i="57"/>
  <c r="C46" i="57"/>
  <c r="D45" i="57"/>
  <c r="C45" i="57"/>
  <c r="D44" i="57"/>
  <c r="C44" i="57"/>
  <c r="D43" i="57"/>
  <c r="C43" i="57"/>
  <c r="D42" i="57"/>
  <c r="C42" i="57"/>
  <c r="D41" i="57"/>
  <c r="C41" i="57"/>
  <c r="D40" i="57"/>
  <c r="C40" i="57"/>
  <c r="D39" i="57"/>
  <c r="C39" i="57"/>
  <c r="D38" i="57"/>
  <c r="C38" i="57"/>
  <c r="D37" i="57"/>
  <c r="C37" i="57"/>
  <c r="D36" i="57"/>
  <c r="C36" i="57"/>
  <c r="D35" i="57"/>
  <c r="C35" i="57"/>
  <c r="D34" i="57"/>
  <c r="C34" i="57"/>
  <c r="D33" i="57"/>
  <c r="C33" i="57"/>
  <c r="D32" i="57"/>
  <c r="C32" i="57"/>
  <c r="D31" i="57"/>
  <c r="C31" i="57"/>
  <c r="D30" i="57"/>
  <c r="C30" i="57"/>
  <c r="D29" i="57"/>
  <c r="C29" i="57"/>
  <c r="D28" i="57"/>
  <c r="C28" i="57"/>
  <c r="D27" i="57"/>
  <c r="C27" i="57"/>
  <c r="D26" i="57"/>
  <c r="C26" i="57"/>
  <c r="D25" i="57"/>
  <c r="C25" i="57"/>
  <c r="D20" i="57"/>
  <c r="C20" i="57"/>
  <c r="D19" i="57"/>
  <c r="C19" i="57"/>
  <c r="D18" i="57"/>
  <c r="C18" i="57"/>
  <c r="D17" i="57"/>
  <c r="C17" i="57"/>
  <c r="D16" i="57"/>
  <c r="C16" i="57"/>
  <c r="D15" i="57"/>
  <c r="C15" i="57"/>
  <c r="D14" i="57"/>
  <c r="C14" i="57"/>
  <c r="D13" i="57"/>
  <c r="C13" i="57"/>
  <c r="D12" i="57"/>
  <c r="C12" i="57"/>
  <c r="D11" i="57"/>
  <c r="C11" i="57"/>
  <c r="C93" i="57" l="1"/>
  <c r="C111" i="57"/>
  <c r="C197" i="57"/>
  <c r="D21" i="57"/>
  <c r="D102" i="57"/>
  <c r="D111" i="57"/>
  <c r="D197" i="57"/>
  <c r="C102" i="57"/>
  <c r="D93" i="57"/>
  <c r="C79" i="57"/>
  <c r="C161" i="57"/>
  <c r="C206" i="57"/>
  <c r="D79" i="57"/>
  <c r="C119" i="57"/>
  <c r="D119" i="57"/>
  <c r="C21" i="57"/>
  <c r="D161" i="57"/>
  <c r="D206" i="57"/>
  <c r="C228" i="57"/>
  <c r="C61" i="57"/>
  <c r="D61" i="57"/>
  <c r="C238" i="113"/>
  <c r="C237" i="113"/>
  <c r="C236" i="113"/>
  <c r="C235" i="113"/>
  <c r="C233" i="113"/>
  <c r="C232" i="113"/>
  <c r="C231" i="113"/>
  <c r="D228" i="113"/>
  <c r="C227" i="113"/>
  <c r="C226" i="113"/>
  <c r="C225" i="113"/>
  <c r="C224" i="113"/>
  <c r="C223" i="113"/>
  <c r="C222" i="113"/>
  <c r="C221" i="113"/>
  <c r="C220" i="113"/>
  <c r="C219" i="113"/>
  <c r="C211" i="113"/>
  <c r="D205" i="113"/>
  <c r="C205" i="113"/>
  <c r="D204" i="113"/>
  <c r="C204" i="113"/>
  <c r="D203" i="113"/>
  <c r="C203" i="113"/>
  <c r="D202" i="113"/>
  <c r="C202" i="113"/>
  <c r="D201" i="113"/>
  <c r="C201" i="113"/>
  <c r="D200" i="113"/>
  <c r="C200" i="113"/>
  <c r="D196" i="113"/>
  <c r="C196" i="113"/>
  <c r="D195" i="113"/>
  <c r="C195" i="113"/>
  <c r="D194" i="113"/>
  <c r="C194" i="113"/>
  <c r="D193" i="113"/>
  <c r="C193" i="113"/>
  <c r="D192" i="113"/>
  <c r="C192" i="113"/>
  <c r="D191" i="113"/>
  <c r="C191" i="113"/>
  <c r="D190" i="113"/>
  <c r="C190" i="113"/>
  <c r="D189" i="113"/>
  <c r="C189" i="113"/>
  <c r="D188" i="113"/>
  <c r="C188" i="113"/>
  <c r="D187" i="113"/>
  <c r="C187" i="113"/>
  <c r="D186" i="113"/>
  <c r="C186" i="113"/>
  <c r="D185" i="113"/>
  <c r="C185" i="113"/>
  <c r="D184" i="113"/>
  <c r="C184" i="113"/>
  <c r="D183" i="113"/>
  <c r="C183" i="113"/>
  <c r="D182" i="113"/>
  <c r="C182" i="113"/>
  <c r="D181" i="113"/>
  <c r="C181" i="113"/>
  <c r="D180" i="113"/>
  <c r="C180" i="113"/>
  <c r="D179" i="113"/>
  <c r="C179" i="113"/>
  <c r="D178" i="113"/>
  <c r="C178" i="113"/>
  <c r="D177" i="113"/>
  <c r="C177" i="113"/>
  <c r="D176" i="113"/>
  <c r="C176" i="113"/>
  <c r="D175" i="113"/>
  <c r="C175" i="113"/>
  <c r="D174" i="113"/>
  <c r="C174" i="113"/>
  <c r="D173" i="113"/>
  <c r="C173" i="113"/>
  <c r="D172" i="113"/>
  <c r="C172" i="113"/>
  <c r="D171" i="113"/>
  <c r="C171" i="113"/>
  <c r="D170" i="113"/>
  <c r="C170" i="113"/>
  <c r="D169" i="113"/>
  <c r="C169" i="113"/>
  <c r="D168" i="113"/>
  <c r="C168" i="113"/>
  <c r="D167" i="113"/>
  <c r="C167" i="113"/>
  <c r="D166" i="113"/>
  <c r="C166" i="113"/>
  <c r="D165" i="113"/>
  <c r="C165" i="113"/>
  <c r="D164" i="113"/>
  <c r="C164" i="113"/>
  <c r="D160" i="113"/>
  <c r="C160" i="113"/>
  <c r="D159" i="113"/>
  <c r="C159" i="113"/>
  <c r="D158" i="113"/>
  <c r="C158" i="113"/>
  <c r="D157" i="113"/>
  <c r="C157" i="113"/>
  <c r="D156" i="113"/>
  <c r="C156" i="113"/>
  <c r="D155" i="113"/>
  <c r="C155" i="113"/>
  <c r="D153" i="113"/>
  <c r="C153" i="113"/>
  <c r="D152" i="113"/>
  <c r="C152" i="113"/>
  <c r="D151" i="113"/>
  <c r="C151" i="113"/>
  <c r="D150" i="113"/>
  <c r="C150" i="113"/>
  <c r="D149" i="113"/>
  <c r="C149" i="113"/>
  <c r="D148" i="113"/>
  <c r="C148" i="113"/>
  <c r="D147" i="113"/>
  <c r="C147" i="113"/>
  <c r="D146" i="113"/>
  <c r="C146" i="113"/>
  <c r="D145" i="113"/>
  <c r="C145" i="113"/>
  <c r="D143" i="113"/>
  <c r="C143" i="113"/>
  <c r="D142" i="113"/>
  <c r="C142" i="113"/>
  <c r="D141" i="113"/>
  <c r="C141" i="113"/>
  <c r="D140" i="113"/>
  <c r="C140" i="113"/>
  <c r="D138" i="113"/>
  <c r="C138" i="113"/>
  <c r="D137" i="113"/>
  <c r="C137" i="113"/>
  <c r="D136" i="113"/>
  <c r="C136" i="113"/>
  <c r="D135" i="113"/>
  <c r="C135" i="113"/>
  <c r="D133" i="113"/>
  <c r="C133" i="113"/>
  <c r="D132" i="113"/>
  <c r="C132" i="113"/>
  <c r="D131" i="113"/>
  <c r="C131" i="113"/>
  <c r="D130" i="113"/>
  <c r="C130" i="113"/>
  <c r="D129" i="113"/>
  <c r="C129" i="113"/>
  <c r="D127" i="113"/>
  <c r="C127" i="113"/>
  <c r="D126" i="113"/>
  <c r="C126" i="113"/>
  <c r="D125" i="113"/>
  <c r="C125" i="113"/>
  <c r="D124" i="113"/>
  <c r="C124" i="113"/>
  <c r="D123" i="113"/>
  <c r="C123" i="113"/>
  <c r="D118" i="113"/>
  <c r="C118" i="113"/>
  <c r="D117" i="113"/>
  <c r="C117" i="113"/>
  <c r="D116" i="113"/>
  <c r="C116" i="113"/>
  <c r="D115" i="113"/>
  <c r="C115" i="113"/>
  <c r="D114" i="113"/>
  <c r="C114" i="113"/>
  <c r="D110" i="113"/>
  <c r="C110" i="113"/>
  <c r="D109" i="113"/>
  <c r="C109" i="113"/>
  <c r="D108" i="113"/>
  <c r="C108" i="113"/>
  <c r="D107" i="113"/>
  <c r="C107" i="113"/>
  <c r="D106" i="113"/>
  <c r="C106" i="113"/>
  <c r="D105" i="113"/>
  <c r="C105" i="113"/>
  <c r="D101" i="113"/>
  <c r="C101" i="113"/>
  <c r="D100" i="113"/>
  <c r="C100" i="113"/>
  <c r="D99" i="113"/>
  <c r="C99" i="113"/>
  <c r="D98" i="113"/>
  <c r="C98" i="113"/>
  <c r="D97" i="113"/>
  <c r="C97" i="113"/>
  <c r="D96" i="113"/>
  <c r="C96" i="113"/>
  <c r="D92" i="113"/>
  <c r="C92" i="113"/>
  <c r="D91" i="113"/>
  <c r="C91" i="113"/>
  <c r="D90" i="113"/>
  <c r="C90" i="113"/>
  <c r="D89" i="113"/>
  <c r="C89" i="113"/>
  <c r="D88" i="113"/>
  <c r="C88" i="113"/>
  <c r="D87" i="113"/>
  <c r="C87" i="113"/>
  <c r="D86" i="113"/>
  <c r="C86" i="113"/>
  <c r="D85" i="113"/>
  <c r="C85" i="113"/>
  <c r="D84" i="113"/>
  <c r="C84" i="113"/>
  <c r="D83" i="113"/>
  <c r="C83" i="113"/>
  <c r="D82" i="113"/>
  <c r="C82" i="113"/>
  <c r="D78" i="113"/>
  <c r="C78" i="113"/>
  <c r="D77" i="113"/>
  <c r="C77" i="113"/>
  <c r="D76" i="113"/>
  <c r="C76" i="113"/>
  <c r="D75" i="113"/>
  <c r="C75" i="113"/>
  <c r="D74" i="113"/>
  <c r="C74" i="113"/>
  <c r="D73" i="113"/>
  <c r="C73" i="113"/>
  <c r="D72" i="113"/>
  <c r="C72" i="113"/>
  <c r="D71" i="113"/>
  <c r="C71" i="113"/>
  <c r="D70" i="113"/>
  <c r="C70" i="113"/>
  <c r="D69" i="113"/>
  <c r="C69" i="113"/>
  <c r="D68" i="113"/>
  <c r="C68" i="113"/>
  <c r="D67" i="113"/>
  <c r="C67" i="113"/>
  <c r="D66" i="113"/>
  <c r="C66" i="113"/>
  <c r="D65" i="113"/>
  <c r="C65" i="113"/>
  <c r="D64" i="113"/>
  <c r="C64" i="113"/>
  <c r="D60" i="113"/>
  <c r="C60" i="113"/>
  <c r="D59" i="113"/>
  <c r="C59" i="113"/>
  <c r="D58" i="113"/>
  <c r="C58" i="113"/>
  <c r="D57" i="113"/>
  <c r="C57" i="113"/>
  <c r="D56" i="113"/>
  <c r="C56" i="113"/>
  <c r="D55" i="113"/>
  <c r="C55" i="113"/>
  <c r="D54" i="113"/>
  <c r="C54" i="113"/>
  <c r="D53" i="113"/>
  <c r="C53" i="113"/>
  <c r="D52" i="113"/>
  <c r="C52" i="113"/>
  <c r="D51" i="113"/>
  <c r="C51" i="113"/>
  <c r="D50" i="113"/>
  <c r="C50" i="113"/>
  <c r="D49" i="113"/>
  <c r="C49" i="113"/>
  <c r="D48" i="113"/>
  <c r="C48" i="113"/>
  <c r="D47" i="113"/>
  <c r="C47" i="113"/>
  <c r="D46" i="113"/>
  <c r="C46" i="113"/>
  <c r="D45" i="113"/>
  <c r="C45" i="113"/>
  <c r="D44" i="113"/>
  <c r="C44" i="113"/>
  <c r="D43" i="113"/>
  <c r="C43" i="113"/>
  <c r="D42" i="113"/>
  <c r="C42" i="113"/>
  <c r="D41" i="113"/>
  <c r="C41" i="113"/>
  <c r="D40" i="113"/>
  <c r="C40" i="113"/>
  <c r="D39" i="113"/>
  <c r="C39" i="113"/>
  <c r="D38" i="113"/>
  <c r="C38" i="113"/>
  <c r="D37" i="113"/>
  <c r="C37" i="113"/>
  <c r="D36" i="113"/>
  <c r="C36" i="113"/>
  <c r="D35" i="113"/>
  <c r="C35" i="113"/>
  <c r="D34" i="113"/>
  <c r="C34" i="113"/>
  <c r="D33" i="113"/>
  <c r="C33" i="113"/>
  <c r="D32" i="113"/>
  <c r="C32" i="113"/>
  <c r="D31" i="113"/>
  <c r="C31" i="113"/>
  <c r="D30" i="113"/>
  <c r="C30" i="113"/>
  <c r="D29" i="113"/>
  <c r="C29" i="113"/>
  <c r="D28" i="113"/>
  <c r="C28" i="113"/>
  <c r="D27" i="113"/>
  <c r="C27" i="113"/>
  <c r="D26" i="113"/>
  <c r="C26" i="113"/>
  <c r="D25" i="113"/>
  <c r="C25" i="113"/>
  <c r="D20" i="113"/>
  <c r="C20" i="113"/>
  <c r="D19" i="113"/>
  <c r="C19" i="113"/>
  <c r="D18" i="113"/>
  <c r="C18" i="113"/>
  <c r="D17" i="113"/>
  <c r="C17" i="113"/>
  <c r="D16" i="113"/>
  <c r="C16" i="113"/>
  <c r="D15" i="113"/>
  <c r="C15" i="113"/>
  <c r="D14" i="113"/>
  <c r="C14" i="113"/>
  <c r="D13" i="113"/>
  <c r="C13" i="113"/>
  <c r="D12" i="113"/>
  <c r="C12" i="113"/>
  <c r="D11" i="113"/>
  <c r="C11" i="113"/>
  <c r="D208" i="57" l="1"/>
  <c r="D215" i="57" s="1"/>
  <c r="D93" i="113"/>
  <c r="C208" i="57"/>
  <c r="D79" i="113"/>
  <c r="C197" i="113"/>
  <c r="C206" i="113"/>
  <c r="D197" i="113"/>
  <c r="D206" i="113"/>
  <c r="C21" i="113"/>
  <c r="C93" i="113"/>
  <c r="D21" i="113"/>
  <c r="C61" i="113"/>
  <c r="C119" i="113"/>
  <c r="C161" i="113"/>
  <c r="D119" i="113"/>
  <c r="C228" i="113"/>
  <c r="C111" i="113"/>
  <c r="D111" i="113"/>
  <c r="D161" i="113"/>
  <c r="C102" i="113"/>
  <c r="C79" i="113"/>
  <c r="D102" i="113"/>
  <c r="D61" i="113"/>
  <c r="C212" i="57" l="1"/>
  <c r="C215" i="57"/>
  <c r="C208" i="113"/>
  <c r="D208" i="113"/>
  <c r="D215" i="113" s="1"/>
  <c r="C212" i="113" l="1"/>
  <c r="C215" i="113"/>
  <c r="G244" i="66" l="1"/>
  <c r="G243" i="66"/>
  <c r="G242" i="66"/>
  <c r="G241" i="66"/>
  <c r="C238" i="66"/>
  <c r="C237" i="66"/>
  <c r="C236" i="66"/>
  <c r="C235" i="66"/>
  <c r="C233" i="66"/>
  <c r="C232" i="66"/>
  <c r="C231" i="66"/>
  <c r="D228" i="66"/>
  <c r="C227" i="66"/>
  <c r="C226" i="66"/>
  <c r="C225" i="66"/>
  <c r="C224" i="66"/>
  <c r="C223" i="66"/>
  <c r="C222" i="66"/>
  <c r="C221" i="66"/>
  <c r="C220" i="66"/>
  <c r="C219" i="66"/>
  <c r="C211" i="66"/>
  <c r="D205" i="66"/>
  <c r="C205" i="66"/>
  <c r="D204" i="66"/>
  <c r="C204" i="66"/>
  <c r="D203" i="66"/>
  <c r="C203" i="66"/>
  <c r="D202" i="66"/>
  <c r="C202" i="66"/>
  <c r="D201" i="66"/>
  <c r="C201" i="66"/>
  <c r="D200" i="66"/>
  <c r="C200" i="66"/>
  <c r="D196" i="66"/>
  <c r="C196" i="66"/>
  <c r="D195" i="66"/>
  <c r="C195" i="66"/>
  <c r="D194" i="66"/>
  <c r="C194" i="66"/>
  <c r="D193" i="66"/>
  <c r="C193" i="66"/>
  <c r="D192" i="66"/>
  <c r="C192" i="66"/>
  <c r="D191" i="66"/>
  <c r="C191" i="66"/>
  <c r="D190" i="66"/>
  <c r="C190" i="66"/>
  <c r="D189" i="66"/>
  <c r="C189" i="66"/>
  <c r="D188" i="66"/>
  <c r="C188" i="66"/>
  <c r="D187" i="66"/>
  <c r="C187" i="66"/>
  <c r="D186" i="66"/>
  <c r="C186" i="66"/>
  <c r="D185" i="66"/>
  <c r="C185" i="66"/>
  <c r="D184" i="66"/>
  <c r="C184" i="66"/>
  <c r="D183" i="66"/>
  <c r="C183" i="66"/>
  <c r="D182" i="66"/>
  <c r="C182" i="66"/>
  <c r="D181" i="66"/>
  <c r="C181" i="66"/>
  <c r="D180" i="66"/>
  <c r="C180" i="66"/>
  <c r="D179" i="66"/>
  <c r="C179" i="66"/>
  <c r="D178" i="66"/>
  <c r="C178" i="66"/>
  <c r="D177" i="66"/>
  <c r="C177" i="66"/>
  <c r="D176" i="66"/>
  <c r="C176" i="66"/>
  <c r="D175" i="66"/>
  <c r="C175" i="66"/>
  <c r="D174" i="66"/>
  <c r="C174" i="66"/>
  <c r="D173" i="66"/>
  <c r="C173" i="66"/>
  <c r="D172" i="66"/>
  <c r="C172" i="66"/>
  <c r="D171" i="66"/>
  <c r="C171" i="66"/>
  <c r="D170" i="66"/>
  <c r="C170" i="66"/>
  <c r="D169" i="66"/>
  <c r="C169" i="66"/>
  <c r="D168" i="66"/>
  <c r="C168" i="66"/>
  <c r="D167" i="66"/>
  <c r="C167" i="66"/>
  <c r="D166" i="66"/>
  <c r="C166" i="66"/>
  <c r="D165" i="66"/>
  <c r="C165" i="66"/>
  <c r="D164" i="66"/>
  <c r="C164" i="66"/>
  <c r="D160" i="66"/>
  <c r="C160" i="66"/>
  <c r="D159" i="66"/>
  <c r="C159" i="66"/>
  <c r="D158" i="66"/>
  <c r="C158" i="66"/>
  <c r="D157" i="66"/>
  <c r="C157" i="66"/>
  <c r="D156" i="66"/>
  <c r="C156" i="66"/>
  <c r="D155" i="66"/>
  <c r="C155" i="66"/>
  <c r="D153" i="66"/>
  <c r="C153" i="66"/>
  <c r="D152" i="66"/>
  <c r="C152" i="66"/>
  <c r="D151" i="66"/>
  <c r="C151" i="66"/>
  <c r="D150" i="66"/>
  <c r="C150" i="66"/>
  <c r="D149" i="66"/>
  <c r="C149" i="66"/>
  <c r="D148" i="66"/>
  <c r="C148" i="66"/>
  <c r="D147" i="66"/>
  <c r="C147" i="66"/>
  <c r="D146" i="66"/>
  <c r="C146" i="66"/>
  <c r="D145" i="66"/>
  <c r="C145" i="66"/>
  <c r="D143" i="66"/>
  <c r="C143" i="66"/>
  <c r="D142" i="66"/>
  <c r="C142" i="66"/>
  <c r="D141" i="66"/>
  <c r="C141" i="66"/>
  <c r="D140" i="66"/>
  <c r="C140" i="66"/>
  <c r="D138" i="66"/>
  <c r="C138" i="66"/>
  <c r="D137" i="66"/>
  <c r="C137" i="66"/>
  <c r="D136" i="66"/>
  <c r="C136" i="66"/>
  <c r="D135" i="66"/>
  <c r="C135" i="66"/>
  <c r="D133" i="66"/>
  <c r="C133" i="66"/>
  <c r="D132" i="66"/>
  <c r="C132" i="66"/>
  <c r="D131" i="66"/>
  <c r="C131" i="66"/>
  <c r="D130" i="66"/>
  <c r="C130" i="66"/>
  <c r="D129" i="66"/>
  <c r="C129" i="66"/>
  <c r="D127" i="66"/>
  <c r="C127" i="66"/>
  <c r="D126" i="66"/>
  <c r="C126" i="66"/>
  <c r="D125" i="66"/>
  <c r="C125" i="66"/>
  <c r="D124" i="66"/>
  <c r="C124" i="66"/>
  <c r="D123" i="66"/>
  <c r="C123" i="66"/>
  <c r="D118" i="66"/>
  <c r="C118" i="66"/>
  <c r="D117" i="66"/>
  <c r="C117" i="66"/>
  <c r="D116" i="66"/>
  <c r="C116" i="66"/>
  <c r="D115" i="66"/>
  <c r="C115" i="66"/>
  <c r="D114" i="66"/>
  <c r="C114" i="66"/>
  <c r="D110" i="66"/>
  <c r="C110" i="66"/>
  <c r="D109" i="66"/>
  <c r="C109" i="66"/>
  <c r="D108" i="66"/>
  <c r="C108" i="66"/>
  <c r="D107" i="66"/>
  <c r="C107" i="66"/>
  <c r="D106" i="66"/>
  <c r="C106" i="66"/>
  <c r="D105" i="66"/>
  <c r="C105" i="66"/>
  <c r="D101" i="66"/>
  <c r="C101" i="66"/>
  <c r="D100" i="66"/>
  <c r="C100" i="66"/>
  <c r="D99" i="66"/>
  <c r="C99" i="66"/>
  <c r="D98" i="66"/>
  <c r="C98" i="66"/>
  <c r="D97" i="66"/>
  <c r="C97" i="66"/>
  <c r="D96" i="66"/>
  <c r="C96" i="66"/>
  <c r="D92" i="66"/>
  <c r="C92" i="66"/>
  <c r="D91" i="66"/>
  <c r="C91" i="66"/>
  <c r="D90" i="66"/>
  <c r="C90" i="66"/>
  <c r="D89" i="66"/>
  <c r="C89" i="66"/>
  <c r="D88" i="66"/>
  <c r="C88" i="66"/>
  <c r="D87" i="66"/>
  <c r="C87" i="66"/>
  <c r="D86" i="66"/>
  <c r="C86" i="66"/>
  <c r="D85" i="66"/>
  <c r="C85" i="66"/>
  <c r="D84" i="66"/>
  <c r="C84" i="66"/>
  <c r="D83" i="66"/>
  <c r="C83" i="66"/>
  <c r="D82" i="66"/>
  <c r="C82" i="66"/>
  <c r="D78" i="66"/>
  <c r="C78" i="66"/>
  <c r="D77" i="66"/>
  <c r="C77" i="66"/>
  <c r="D76" i="66"/>
  <c r="C76" i="66"/>
  <c r="D75" i="66"/>
  <c r="C75" i="66"/>
  <c r="D74" i="66"/>
  <c r="C74" i="66"/>
  <c r="D73" i="66"/>
  <c r="C73" i="66"/>
  <c r="D72" i="66"/>
  <c r="C72" i="66"/>
  <c r="D71" i="66"/>
  <c r="C71" i="66"/>
  <c r="D70" i="66"/>
  <c r="C70" i="66"/>
  <c r="D69" i="66"/>
  <c r="C69" i="66"/>
  <c r="D68" i="66"/>
  <c r="C68" i="66"/>
  <c r="D67" i="66"/>
  <c r="C67" i="66"/>
  <c r="D66" i="66"/>
  <c r="C66" i="66"/>
  <c r="D65" i="66"/>
  <c r="C65" i="66"/>
  <c r="D64" i="66"/>
  <c r="C64" i="66"/>
  <c r="D60" i="66"/>
  <c r="C60" i="66"/>
  <c r="D59" i="66"/>
  <c r="C59" i="66"/>
  <c r="D58" i="66"/>
  <c r="C58" i="66"/>
  <c r="D57" i="66"/>
  <c r="C57" i="66"/>
  <c r="D56" i="66"/>
  <c r="C56" i="66"/>
  <c r="D55" i="66"/>
  <c r="C55" i="66"/>
  <c r="D54" i="66"/>
  <c r="C54" i="66"/>
  <c r="D53" i="66"/>
  <c r="C53" i="66"/>
  <c r="D52" i="66"/>
  <c r="C52" i="66"/>
  <c r="D51" i="66"/>
  <c r="C51" i="66"/>
  <c r="D50" i="66"/>
  <c r="C50" i="66"/>
  <c r="D49" i="66"/>
  <c r="C49" i="66"/>
  <c r="D48" i="66"/>
  <c r="C48" i="66"/>
  <c r="D47" i="66"/>
  <c r="C47" i="66"/>
  <c r="D46" i="66"/>
  <c r="C46" i="66"/>
  <c r="D45" i="66"/>
  <c r="C45" i="66"/>
  <c r="D44" i="66"/>
  <c r="C44" i="66"/>
  <c r="D43" i="66"/>
  <c r="C43" i="66"/>
  <c r="D42" i="66"/>
  <c r="C42" i="66"/>
  <c r="D41" i="66"/>
  <c r="C41" i="66"/>
  <c r="D40" i="66"/>
  <c r="C40" i="66"/>
  <c r="D39" i="66"/>
  <c r="C39" i="66"/>
  <c r="D38" i="66"/>
  <c r="C38" i="66"/>
  <c r="D37" i="66"/>
  <c r="C37" i="66"/>
  <c r="D36" i="66"/>
  <c r="C36" i="66"/>
  <c r="D35" i="66"/>
  <c r="C35" i="66"/>
  <c r="D34" i="66"/>
  <c r="C34" i="66"/>
  <c r="D33" i="66"/>
  <c r="C33" i="66"/>
  <c r="D32" i="66"/>
  <c r="C32" i="66"/>
  <c r="D31" i="66"/>
  <c r="C31" i="66"/>
  <c r="D30" i="66"/>
  <c r="C30" i="66"/>
  <c r="D29" i="66"/>
  <c r="C29" i="66"/>
  <c r="D28" i="66"/>
  <c r="C28" i="66"/>
  <c r="D27" i="66"/>
  <c r="C27" i="66"/>
  <c r="D26" i="66"/>
  <c r="C26" i="66"/>
  <c r="D25" i="66"/>
  <c r="C25" i="66"/>
  <c r="D20" i="66"/>
  <c r="C20" i="66"/>
  <c r="D19" i="66"/>
  <c r="C19" i="66"/>
  <c r="D18" i="66"/>
  <c r="C18" i="66"/>
  <c r="D17" i="66"/>
  <c r="C17" i="66"/>
  <c r="D16" i="66"/>
  <c r="C16" i="66"/>
  <c r="D15" i="66"/>
  <c r="C15" i="66"/>
  <c r="D14" i="66"/>
  <c r="C14" i="66"/>
  <c r="D13" i="66"/>
  <c r="C13" i="66"/>
  <c r="D12" i="66"/>
  <c r="C12" i="66"/>
  <c r="D11" i="66"/>
  <c r="C11" i="66"/>
  <c r="D21" i="66" l="1"/>
  <c r="D102" i="66"/>
  <c r="D111" i="66"/>
  <c r="D119" i="66"/>
  <c r="C161" i="66"/>
  <c r="C206" i="66"/>
  <c r="D93" i="66"/>
  <c r="C228" i="66"/>
  <c r="C21" i="66"/>
  <c r="C102" i="66"/>
  <c r="C111" i="66"/>
  <c r="C197" i="66"/>
  <c r="D79" i="66"/>
  <c r="D161" i="66"/>
  <c r="D197" i="66"/>
  <c r="C93" i="66"/>
  <c r="D206" i="66"/>
  <c r="C79" i="66"/>
  <c r="C119" i="66"/>
  <c r="C61" i="66"/>
  <c r="D61" i="66"/>
  <c r="C208" i="66" l="1"/>
  <c r="D208" i="66"/>
  <c r="D215" i="66" s="1"/>
  <c r="C212" i="66" l="1"/>
  <c r="C215" i="66"/>
  <c r="G244" i="19" l="1"/>
  <c r="G243" i="19"/>
  <c r="G242" i="19"/>
  <c r="G241" i="19"/>
  <c r="C238" i="19"/>
  <c r="C237" i="19"/>
  <c r="C236" i="19"/>
  <c r="C235" i="19"/>
  <c r="C233" i="19"/>
  <c r="C232" i="19"/>
  <c r="C231" i="19"/>
  <c r="D228" i="19"/>
  <c r="C227" i="19"/>
  <c r="C226" i="19"/>
  <c r="C225" i="19"/>
  <c r="C224" i="19"/>
  <c r="C223" i="19"/>
  <c r="C222" i="19"/>
  <c r="C221" i="19"/>
  <c r="C220" i="19"/>
  <c r="C219" i="19"/>
  <c r="C211" i="19"/>
  <c r="D205" i="19"/>
  <c r="C205" i="19"/>
  <c r="D204" i="19"/>
  <c r="C204" i="19"/>
  <c r="D203" i="19"/>
  <c r="C203" i="19"/>
  <c r="D202" i="19"/>
  <c r="C202" i="19"/>
  <c r="D201" i="19"/>
  <c r="C201" i="19"/>
  <c r="D200" i="19"/>
  <c r="C200" i="19"/>
  <c r="D196" i="19"/>
  <c r="C196" i="19"/>
  <c r="D195" i="19"/>
  <c r="C195" i="19"/>
  <c r="D194" i="19"/>
  <c r="C194" i="19"/>
  <c r="D193" i="19"/>
  <c r="C193" i="19"/>
  <c r="D192" i="19"/>
  <c r="C192" i="19"/>
  <c r="D191" i="19"/>
  <c r="C191" i="19"/>
  <c r="D190" i="19"/>
  <c r="C190" i="19"/>
  <c r="D189" i="19"/>
  <c r="C189" i="19"/>
  <c r="D188" i="19"/>
  <c r="C188" i="19"/>
  <c r="D187" i="19"/>
  <c r="C187" i="19"/>
  <c r="D186" i="19"/>
  <c r="C186" i="19"/>
  <c r="D185" i="19"/>
  <c r="C185" i="19"/>
  <c r="D184" i="19"/>
  <c r="C184" i="19"/>
  <c r="D183" i="19"/>
  <c r="C183" i="19"/>
  <c r="D182" i="19"/>
  <c r="C182" i="19"/>
  <c r="D181" i="19"/>
  <c r="C181" i="19"/>
  <c r="D180" i="19"/>
  <c r="C180" i="19"/>
  <c r="D179" i="19"/>
  <c r="C179" i="19"/>
  <c r="D178" i="19"/>
  <c r="C178" i="19"/>
  <c r="D177" i="19"/>
  <c r="C177" i="19"/>
  <c r="D176" i="19"/>
  <c r="C176" i="19"/>
  <c r="D175" i="19"/>
  <c r="C175" i="19"/>
  <c r="D174" i="19"/>
  <c r="C174" i="19"/>
  <c r="D173" i="19"/>
  <c r="C173" i="19"/>
  <c r="D172" i="19"/>
  <c r="C172" i="19"/>
  <c r="D171" i="19"/>
  <c r="C171" i="19"/>
  <c r="D170" i="19"/>
  <c r="C170" i="19"/>
  <c r="D169" i="19"/>
  <c r="C169" i="19"/>
  <c r="D168" i="19"/>
  <c r="C168" i="19"/>
  <c r="D167" i="19"/>
  <c r="C167" i="19"/>
  <c r="D166" i="19"/>
  <c r="C166" i="19"/>
  <c r="D165" i="19"/>
  <c r="C165" i="19"/>
  <c r="D164" i="19"/>
  <c r="C164" i="19"/>
  <c r="D160" i="19"/>
  <c r="C160" i="19"/>
  <c r="D159" i="19"/>
  <c r="C159" i="19"/>
  <c r="D158" i="19"/>
  <c r="C158" i="19"/>
  <c r="D157" i="19"/>
  <c r="C157" i="19"/>
  <c r="D156" i="19"/>
  <c r="C156" i="19"/>
  <c r="D155" i="19"/>
  <c r="C155" i="19"/>
  <c r="D153" i="19"/>
  <c r="C153" i="19"/>
  <c r="D152" i="19"/>
  <c r="C152" i="19"/>
  <c r="D151" i="19"/>
  <c r="C151" i="19"/>
  <c r="D150" i="19"/>
  <c r="C150" i="19"/>
  <c r="D149" i="19"/>
  <c r="C149" i="19"/>
  <c r="D148" i="19"/>
  <c r="C148" i="19"/>
  <c r="D147" i="19"/>
  <c r="C147" i="19"/>
  <c r="D146" i="19"/>
  <c r="C146" i="19"/>
  <c r="D145" i="19"/>
  <c r="C145" i="19"/>
  <c r="D143" i="19"/>
  <c r="C143" i="19"/>
  <c r="D142" i="19"/>
  <c r="C142" i="19"/>
  <c r="D141" i="19"/>
  <c r="C141" i="19"/>
  <c r="D140" i="19"/>
  <c r="C140" i="19"/>
  <c r="D138" i="19"/>
  <c r="C138" i="19"/>
  <c r="D137" i="19"/>
  <c r="C137" i="19"/>
  <c r="D136" i="19"/>
  <c r="C136" i="19"/>
  <c r="D135" i="19"/>
  <c r="C135" i="19"/>
  <c r="D133" i="19"/>
  <c r="C133" i="19"/>
  <c r="D132" i="19"/>
  <c r="C132" i="19"/>
  <c r="D131" i="19"/>
  <c r="C131" i="19"/>
  <c r="D130" i="19"/>
  <c r="C130" i="19"/>
  <c r="D129" i="19"/>
  <c r="C129" i="19"/>
  <c r="D127" i="19"/>
  <c r="C127" i="19"/>
  <c r="D126" i="19"/>
  <c r="C126" i="19"/>
  <c r="D125" i="19"/>
  <c r="C125" i="19"/>
  <c r="D124" i="19"/>
  <c r="C124" i="19"/>
  <c r="D123" i="19"/>
  <c r="C123" i="19"/>
  <c r="D118" i="19"/>
  <c r="C118" i="19"/>
  <c r="D117" i="19"/>
  <c r="C117" i="19"/>
  <c r="D116" i="19"/>
  <c r="C116" i="19"/>
  <c r="D115" i="19"/>
  <c r="C115" i="19"/>
  <c r="D114" i="19"/>
  <c r="C114" i="19"/>
  <c r="D110" i="19"/>
  <c r="C110" i="19"/>
  <c r="D109" i="19"/>
  <c r="C109" i="19"/>
  <c r="D108" i="19"/>
  <c r="C108" i="19"/>
  <c r="D107" i="19"/>
  <c r="C107" i="19"/>
  <c r="D106" i="19"/>
  <c r="C106" i="19"/>
  <c r="D105" i="19"/>
  <c r="C105" i="19"/>
  <c r="D101" i="19"/>
  <c r="C101" i="19"/>
  <c r="D100" i="19"/>
  <c r="C100" i="19"/>
  <c r="D99" i="19"/>
  <c r="C99" i="19"/>
  <c r="D98" i="19"/>
  <c r="C98" i="19"/>
  <c r="D97" i="19"/>
  <c r="C97" i="19"/>
  <c r="D96" i="19"/>
  <c r="C96" i="19"/>
  <c r="D92" i="19"/>
  <c r="C92" i="19"/>
  <c r="D91" i="19"/>
  <c r="C91" i="19"/>
  <c r="D90" i="19"/>
  <c r="C90" i="19"/>
  <c r="D89" i="19"/>
  <c r="C89" i="19"/>
  <c r="D88" i="19"/>
  <c r="C88" i="19"/>
  <c r="D87" i="19"/>
  <c r="C87" i="19"/>
  <c r="D86" i="19"/>
  <c r="C86" i="19"/>
  <c r="D85" i="19"/>
  <c r="C85" i="19"/>
  <c r="D84" i="19"/>
  <c r="C84" i="19"/>
  <c r="D83" i="19"/>
  <c r="C83" i="19"/>
  <c r="D82" i="19"/>
  <c r="C82" i="19"/>
  <c r="D78" i="19"/>
  <c r="C78" i="19"/>
  <c r="D77" i="19"/>
  <c r="C77" i="19"/>
  <c r="D76" i="19"/>
  <c r="C76" i="19"/>
  <c r="D75" i="19"/>
  <c r="C75" i="19"/>
  <c r="D74" i="19"/>
  <c r="C74" i="19"/>
  <c r="D73" i="19"/>
  <c r="C73" i="19"/>
  <c r="D72" i="19"/>
  <c r="C72" i="19"/>
  <c r="D71" i="19"/>
  <c r="C71" i="19"/>
  <c r="D70" i="19"/>
  <c r="C70" i="19"/>
  <c r="D69" i="19"/>
  <c r="C69" i="19"/>
  <c r="D68" i="19"/>
  <c r="C68" i="19"/>
  <c r="D67" i="19"/>
  <c r="C67" i="19"/>
  <c r="D66" i="19"/>
  <c r="C66" i="19"/>
  <c r="D65" i="19"/>
  <c r="C65" i="19"/>
  <c r="D64" i="19"/>
  <c r="C64" i="19"/>
  <c r="D60" i="19"/>
  <c r="C60" i="19"/>
  <c r="D59" i="19"/>
  <c r="C59" i="19"/>
  <c r="D58" i="19"/>
  <c r="C58" i="19"/>
  <c r="D57" i="19"/>
  <c r="C57" i="19"/>
  <c r="D56" i="19"/>
  <c r="C56" i="19"/>
  <c r="D55" i="19"/>
  <c r="C55" i="19"/>
  <c r="D54" i="19"/>
  <c r="C54" i="19"/>
  <c r="D53" i="19"/>
  <c r="C53" i="19"/>
  <c r="D52" i="19"/>
  <c r="C52" i="19"/>
  <c r="D51" i="19"/>
  <c r="C51" i="19"/>
  <c r="D50" i="19"/>
  <c r="C50" i="19"/>
  <c r="D49" i="19"/>
  <c r="C49" i="19"/>
  <c r="D48" i="19"/>
  <c r="C48" i="19"/>
  <c r="D47" i="19"/>
  <c r="C47" i="19"/>
  <c r="D46" i="19"/>
  <c r="C46" i="19"/>
  <c r="D45" i="19"/>
  <c r="C45" i="19"/>
  <c r="D44" i="19"/>
  <c r="C44" i="19"/>
  <c r="D43" i="19"/>
  <c r="C43" i="19"/>
  <c r="D42" i="19"/>
  <c r="C42" i="19"/>
  <c r="D41" i="19"/>
  <c r="C41" i="19"/>
  <c r="D40" i="19"/>
  <c r="C40" i="19"/>
  <c r="D39" i="19"/>
  <c r="C39" i="19"/>
  <c r="D38" i="19"/>
  <c r="C38" i="19"/>
  <c r="D37" i="19"/>
  <c r="C37" i="19"/>
  <c r="D36" i="19"/>
  <c r="C36" i="19"/>
  <c r="D35" i="19"/>
  <c r="C35" i="19"/>
  <c r="D34" i="19"/>
  <c r="C34" i="19"/>
  <c r="D33" i="19"/>
  <c r="C33" i="19"/>
  <c r="D32" i="19"/>
  <c r="C32" i="19"/>
  <c r="D31" i="19"/>
  <c r="C31" i="19"/>
  <c r="D30" i="19"/>
  <c r="C30" i="19"/>
  <c r="D29" i="19"/>
  <c r="C29" i="19"/>
  <c r="D28" i="19"/>
  <c r="C28" i="19"/>
  <c r="D27" i="19"/>
  <c r="C27" i="19"/>
  <c r="D26" i="19"/>
  <c r="C26" i="19"/>
  <c r="D25" i="19"/>
  <c r="C25" i="19"/>
  <c r="D20" i="19"/>
  <c r="C20" i="19"/>
  <c r="D19" i="19"/>
  <c r="C19" i="19"/>
  <c r="D18" i="19"/>
  <c r="C18" i="19"/>
  <c r="D17" i="19"/>
  <c r="C17" i="19"/>
  <c r="D16" i="19"/>
  <c r="C16" i="19"/>
  <c r="D15" i="19"/>
  <c r="C15" i="19"/>
  <c r="D14" i="19"/>
  <c r="C14" i="19"/>
  <c r="D13" i="19"/>
  <c r="C13" i="19"/>
  <c r="D12" i="19"/>
  <c r="C12" i="19"/>
  <c r="D11" i="19"/>
  <c r="C11" i="19"/>
  <c r="C206" i="19" l="1"/>
  <c r="C161" i="19"/>
  <c r="D93" i="19"/>
  <c r="D102" i="19"/>
  <c r="C111" i="19"/>
  <c r="C102" i="19"/>
  <c r="C21" i="19"/>
  <c r="D111" i="19"/>
  <c r="D161" i="19"/>
  <c r="C79" i="19"/>
  <c r="C197" i="19"/>
  <c r="D197" i="19"/>
  <c r="D21" i="19"/>
  <c r="C119" i="19"/>
  <c r="D79" i="19"/>
  <c r="C228" i="19"/>
  <c r="C93" i="19"/>
  <c r="D119" i="19"/>
  <c r="D206" i="19"/>
  <c r="C61" i="19"/>
  <c r="D61" i="19"/>
  <c r="C208" i="19" l="1"/>
  <c r="D208" i="19"/>
  <c r="D215" i="19" s="1"/>
  <c r="C212" i="19" l="1"/>
  <c r="C215" i="19"/>
  <c r="C11" i="158" l="1"/>
  <c r="G244" i="158" l="1"/>
  <c r="G243" i="158"/>
  <c r="G242" i="158"/>
  <c r="G241" i="158"/>
  <c r="C238" i="158"/>
  <c r="C237" i="158"/>
  <c r="C236" i="158"/>
  <c r="C235" i="158"/>
  <c r="C233" i="158"/>
  <c r="C232" i="158"/>
  <c r="C231" i="158"/>
  <c r="D228" i="158"/>
  <c r="C227" i="158"/>
  <c r="C226" i="158"/>
  <c r="C225" i="158"/>
  <c r="C224" i="158"/>
  <c r="C223" i="158"/>
  <c r="C222" i="158"/>
  <c r="C221" i="158"/>
  <c r="C220" i="158"/>
  <c r="C219" i="158"/>
  <c r="C211" i="158"/>
  <c r="D205" i="158"/>
  <c r="C205" i="158"/>
  <c r="D204" i="158"/>
  <c r="C204" i="158"/>
  <c r="D203" i="158"/>
  <c r="C203" i="158"/>
  <c r="D202" i="158"/>
  <c r="C202" i="158"/>
  <c r="D201" i="158"/>
  <c r="C201" i="158"/>
  <c r="D200" i="158"/>
  <c r="C200" i="158"/>
  <c r="D196" i="158"/>
  <c r="C196" i="158"/>
  <c r="D195" i="158"/>
  <c r="C195" i="158"/>
  <c r="D194" i="158"/>
  <c r="C194" i="158"/>
  <c r="D193" i="158"/>
  <c r="C193" i="158"/>
  <c r="D192" i="158"/>
  <c r="C192" i="158"/>
  <c r="D191" i="158"/>
  <c r="C191" i="158"/>
  <c r="D190" i="158"/>
  <c r="C190" i="158"/>
  <c r="D189" i="158"/>
  <c r="C189" i="158"/>
  <c r="D188" i="158"/>
  <c r="C188" i="158"/>
  <c r="D187" i="158"/>
  <c r="C187" i="158"/>
  <c r="D186" i="158"/>
  <c r="C186" i="158"/>
  <c r="D185" i="158"/>
  <c r="C185" i="158"/>
  <c r="D184" i="158"/>
  <c r="C184" i="158"/>
  <c r="D183" i="158"/>
  <c r="C183" i="158"/>
  <c r="D182" i="158"/>
  <c r="C182" i="158"/>
  <c r="D181" i="158"/>
  <c r="C181" i="158"/>
  <c r="D180" i="158"/>
  <c r="C180" i="158"/>
  <c r="D179" i="158"/>
  <c r="C179" i="158"/>
  <c r="D178" i="158"/>
  <c r="C178" i="158"/>
  <c r="D177" i="158"/>
  <c r="C177" i="158"/>
  <c r="D176" i="158"/>
  <c r="C176" i="158"/>
  <c r="D175" i="158"/>
  <c r="C175" i="158"/>
  <c r="D174" i="158"/>
  <c r="C174" i="158"/>
  <c r="D173" i="158"/>
  <c r="C173" i="158"/>
  <c r="D172" i="158"/>
  <c r="C172" i="158"/>
  <c r="D171" i="158"/>
  <c r="C171" i="158"/>
  <c r="D170" i="158"/>
  <c r="C170" i="158"/>
  <c r="D169" i="158"/>
  <c r="C169" i="158"/>
  <c r="D168" i="158"/>
  <c r="C168" i="158"/>
  <c r="D167" i="158"/>
  <c r="C167" i="158"/>
  <c r="D166" i="158"/>
  <c r="C166" i="158"/>
  <c r="D165" i="158"/>
  <c r="C165" i="158"/>
  <c r="D164" i="158"/>
  <c r="C164" i="158"/>
  <c r="D160" i="158"/>
  <c r="C160" i="158"/>
  <c r="D159" i="158"/>
  <c r="C159" i="158"/>
  <c r="D158" i="158"/>
  <c r="C158" i="158"/>
  <c r="D157" i="158"/>
  <c r="C157" i="158"/>
  <c r="D156" i="158"/>
  <c r="C156" i="158"/>
  <c r="D155" i="158"/>
  <c r="C155" i="158"/>
  <c r="D153" i="158"/>
  <c r="C153" i="158"/>
  <c r="D152" i="158"/>
  <c r="C152" i="158"/>
  <c r="D151" i="158"/>
  <c r="C151" i="158"/>
  <c r="D150" i="158"/>
  <c r="C150" i="158"/>
  <c r="D149" i="158"/>
  <c r="C149" i="158"/>
  <c r="D148" i="158"/>
  <c r="C148" i="158"/>
  <c r="D147" i="158"/>
  <c r="C147" i="158"/>
  <c r="D146" i="158"/>
  <c r="C146" i="158"/>
  <c r="D145" i="158"/>
  <c r="C145" i="158"/>
  <c r="D143" i="158"/>
  <c r="C143" i="158"/>
  <c r="D142" i="158"/>
  <c r="C142" i="158"/>
  <c r="D141" i="158"/>
  <c r="C141" i="158"/>
  <c r="D140" i="158"/>
  <c r="C140" i="158"/>
  <c r="D138" i="158"/>
  <c r="C138" i="158"/>
  <c r="D137" i="158"/>
  <c r="C137" i="158"/>
  <c r="D136" i="158"/>
  <c r="C136" i="158"/>
  <c r="D135" i="158"/>
  <c r="C135" i="158"/>
  <c r="D133" i="158"/>
  <c r="C133" i="158"/>
  <c r="D132" i="158"/>
  <c r="C132" i="158"/>
  <c r="D131" i="158"/>
  <c r="C131" i="158"/>
  <c r="D130" i="158"/>
  <c r="C130" i="158"/>
  <c r="D129" i="158"/>
  <c r="C129" i="158"/>
  <c r="D127" i="158"/>
  <c r="C127" i="158"/>
  <c r="D126" i="158"/>
  <c r="C126" i="158"/>
  <c r="D125" i="158"/>
  <c r="C125" i="158"/>
  <c r="D124" i="158"/>
  <c r="C124" i="158"/>
  <c r="D123" i="158"/>
  <c r="C123" i="158"/>
  <c r="D118" i="158"/>
  <c r="C118" i="158"/>
  <c r="D117" i="158"/>
  <c r="C117" i="158"/>
  <c r="D116" i="158"/>
  <c r="C116" i="158"/>
  <c r="D115" i="158"/>
  <c r="C115" i="158"/>
  <c r="D114" i="158"/>
  <c r="C114" i="158"/>
  <c r="D110" i="158"/>
  <c r="C110" i="158"/>
  <c r="D109" i="158"/>
  <c r="C109" i="158"/>
  <c r="D108" i="158"/>
  <c r="C108" i="158"/>
  <c r="D107" i="158"/>
  <c r="C107" i="158"/>
  <c r="D106" i="158"/>
  <c r="C106" i="158"/>
  <c r="D105" i="158"/>
  <c r="C105" i="158"/>
  <c r="D101" i="158"/>
  <c r="C101" i="158"/>
  <c r="D100" i="158"/>
  <c r="C100" i="158"/>
  <c r="D99" i="158"/>
  <c r="C99" i="158"/>
  <c r="D98" i="158"/>
  <c r="C98" i="158"/>
  <c r="D97" i="158"/>
  <c r="C97" i="158"/>
  <c r="D96" i="158"/>
  <c r="C96" i="158"/>
  <c r="D92" i="158"/>
  <c r="C92" i="158"/>
  <c r="D91" i="158"/>
  <c r="C91" i="158"/>
  <c r="D90" i="158"/>
  <c r="C90" i="158"/>
  <c r="D89" i="158"/>
  <c r="C89" i="158"/>
  <c r="D88" i="158"/>
  <c r="C88" i="158"/>
  <c r="D87" i="158"/>
  <c r="C87" i="158"/>
  <c r="D86" i="158"/>
  <c r="C86" i="158"/>
  <c r="D85" i="158"/>
  <c r="C85" i="158"/>
  <c r="D84" i="158"/>
  <c r="C84" i="158"/>
  <c r="D83" i="158"/>
  <c r="C83" i="158"/>
  <c r="D82" i="158"/>
  <c r="C82" i="158"/>
  <c r="D78" i="158"/>
  <c r="C78" i="158"/>
  <c r="D77" i="158"/>
  <c r="C77" i="158"/>
  <c r="D76" i="158"/>
  <c r="C76" i="158"/>
  <c r="D75" i="158"/>
  <c r="C75" i="158"/>
  <c r="D74" i="158"/>
  <c r="C74" i="158"/>
  <c r="D73" i="158"/>
  <c r="C73" i="158"/>
  <c r="D72" i="158"/>
  <c r="C72" i="158"/>
  <c r="D71" i="158"/>
  <c r="C71" i="158"/>
  <c r="D70" i="158"/>
  <c r="C70" i="158"/>
  <c r="D69" i="158"/>
  <c r="C69" i="158"/>
  <c r="D68" i="158"/>
  <c r="C68" i="158"/>
  <c r="D67" i="158"/>
  <c r="C67" i="158"/>
  <c r="D66" i="158"/>
  <c r="C66" i="158"/>
  <c r="D65" i="158"/>
  <c r="C65" i="158"/>
  <c r="D64" i="158"/>
  <c r="C64" i="158"/>
  <c r="D60" i="158"/>
  <c r="C60" i="158"/>
  <c r="D59" i="158"/>
  <c r="C59" i="158"/>
  <c r="D58" i="158"/>
  <c r="C58" i="158"/>
  <c r="D57" i="158"/>
  <c r="C57" i="158"/>
  <c r="D56" i="158"/>
  <c r="C56" i="158"/>
  <c r="D55" i="158"/>
  <c r="C55" i="158"/>
  <c r="D54" i="158"/>
  <c r="C54" i="158"/>
  <c r="D53" i="158"/>
  <c r="C53" i="158"/>
  <c r="D52" i="158"/>
  <c r="C52" i="158"/>
  <c r="D51" i="158"/>
  <c r="C51" i="158"/>
  <c r="D50" i="158"/>
  <c r="C50" i="158"/>
  <c r="D49" i="158"/>
  <c r="C49" i="158"/>
  <c r="D48" i="158"/>
  <c r="C48" i="158"/>
  <c r="D47" i="158"/>
  <c r="C47" i="158"/>
  <c r="D46" i="158"/>
  <c r="C46" i="158"/>
  <c r="D45" i="158"/>
  <c r="C45" i="158"/>
  <c r="D44" i="158"/>
  <c r="C44" i="158"/>
  <c r="D43" i="158"/>
  <c r="C43" i="158"/>
  <c r="D42" i="158"/>
  <c r="C42" i="158"/>
  <c r="D41" i="158"/>
  <c r="C41" i="158"/>
  <c r="D40" i="158"/>
  <c r="C40" i="158"/>
  <c r="D39" i="158"/>
  <c r="C39" i="158"/>
  <c r="D38" i="158"/>
  <c r="C38" i="158"/>
  <c r="D37" i="158"/>
  <c r="C37" i="158"/>
  <c r="D36" i="158"/>
  <c r="C36" i="158"/>
  <c r="D35" i="158"/>
  <c r="C35" i="158"/>
  <c r="D34" i="158"/>
  <c r="C34" i="158"/>
  <c r="D33" i="158"/>
  <c r="C33" i="158"/>
  <c r="D32" i="158"/>
  <c r="C32" i="158"/>
  <c r="D31" i="158"/>
  <c r="C31" i="158"/>
  <c r="D30" i="158"/>
  <c r="C30" i="158"/>
  <c r="D29" i="158"/>
  <c r="C29" i="158"/>
  <c r="D28" i="158"/>
  <c r="C28" i="158"/>
  <c r="D27" i="158"/>
  <c r="C27" i="158"/>
  <c r="D26" i="158"/>
  <c r="C26" i="158"/>
  <c r="D25" i="158"/>
  <c r="C25" i="158"/>
  <c r="D20" i="158"/>
  <c r="C20" i="158"/>
  <c r="D19" i="158"/>
  <c r="C19" i="158"/>
  <c r="D18" i="158"/>
  <c r="C18" i="158"/>
  <c r="D17" i="158"/>
  <c r="C17" i="158"/>
  <c r="D16" i="158"/>
  <c r="C16" i="158"/>
  <c r="D15" i="158"/>
  <c r="C15" i="158"/>
  <c r="D14" i="158"/>
  <c r="C14" i="158"/>
  <c r="D13" i="158"/>
  <c r="C13" i="158"/>
  <c r="D12" i="158"/>
  <c r="C12" i="158"/>
  <c r="D11" i="158"/>
  <c r="D119" i="158" l="1"/>
  <c r="C79" i="158"/>
  <c r="C119" i="158"/>
  <c r="D102" i="158"/>
  <c r="C111" i="158"/>
  <c r="D79" i="158"/>
  <c r="C228" i="158"/>
  <c r="D111" i="158"/>
  <c r="D161" i="158"/>
  <c r="D197" i="158"/>
  <c r="D206" i="158"/>
  <c r="D21" i="158"/>
  <c r="D93" i="158"/>
  <c r="C197" i="158"/>
  <c r="C206" i="158"/>
  <c r="D61" i="158"/>
  <c r="C161" i="158"/>
  <c r="C21" i="158"/>
  <c r="C93" i="158"/>
  <c r="C102" i="158"/>
  <c r="C61" i="158"/>
  <c r="D208" i="158" l="1"/>
  <c r="D215" i="158" s="1"/>
  <c r="C208" i="158"/>
  <c r="C215" i="158" l="1"/>
  <c r="C212" i="158"/>
  <c r="G244" i="94"/>
  <c r="G243" i="94"/>
  <c r="G242" i="94"/>
  <c r="G241" i="94"/>
  <c r="C238" i="94"/>
  <c r="C237" i="94"/>
  <c r="C236" i="94"/>
  <c r="C235" i="94"/>
  <c r="C233" i="94"/>
  <c r="C232" i="94"/>
  <c r="C231" i="94"/>
  <c r="D228" i="94"/>
  <c r="C227" i="94"/>
  <c r="C226" i="94"/>
  <c r="C225" i="94"/>
  <c r="C224" i="94"/>
  <c r="C223" i="94"/>
  <c r="C222" i="94"/>
  <c r="C221" i="94"/>
  <c r="C220" i="94"/>
  <c r="C219" i="94"/>
  <c r="C211" i="94"/>
  <c r="D205" i="94"/>
  <c r="C205" i="94"/>
  <c r="D204" i="94"/>
  <c r="C204" i="94"/>
  <c r="D203" i="94"/>
  <c r="C203" i="94"/>
  <c r="D202" i="94"/>
  <c r="C202" i="94"/>
  <c r="D201" i="94"/>
  <c r="C201" i="94"/>
  <c r="D200" i="94"/>
  <c r="C200" i="94"/>
  <c r="D196" i="94"/>
  <c r="C196" i="94"/>
  <c r="D195" i="94"/>
  <c r="C195" i="94"/>
  <c r="D194" i="94"/>
  <c r="C194" i="94"/>
  <c r="D193" i="94"/>
  <c r="C193" i="94"/>
  <c r="D192" i="94"/>
  <c r="C192" i="94"/>
  <c r="D191" i="94"/>
  <c r="C191" i="94"/>
  <c r="D190" i="94"/>
  <c r="C190" i="94"/>
  <c r="D189" i="94"/>
  <c r="C189" i="94"/>
  <c r="D188" i="94"/>
  <c r="C188" i="94"/>
  <c r="D187" i="94"/>
  <c r="C187" i="94"/>
  <c r="D186" i="94"/>
  <c r="C186" i="94"/>
  <c r="D185" i="94"/>
  <c r="C185" i="94"/>
  <c r="D184" i="94"/>
  <c r="C184" i="94"/>
  <c r="D183" i="94"/>
  <c r="C183" i="94"/>
  <c r="D182" i="94"/>
  <c r="C182" i="94"/>
  <c r="D181" i="94"/>
  <c r="C181" i="94"/>
  <c r="D180" i="94"/>
  <c r="C180" i="94"/>
  <c r="D179" i="94"/>
  <c r="C179" i="94"/>
  <c r="D178" i="94"/>
  <c r="C178" i="94"/>
  <c r="D177" i="94"/>
  <c r="C177" i="94"/>
  <c r="D176" i="94"/>
  <c r="C176" i="94"/>
  <c r="D175" i="94"/>
  <c r="C175" i="94"/>
  <c r="D174" i="94"/>
  <c r="C174" i="94"/>
  <c r="D173" i="94"/>
  <c r="C173" i="94"/>
  <c r="D172" i="94"/>
  <c r="C172" i="94"/>
  <c r="D171" i="94"/>
  <c r="C171" i="94"/>
  <c r="D170" i="94"/>
  <c r="C170" i="94"/>
  <c r="D169" i="94"/>
  <c r="C169" i="94"/>
  <c r="D168" i="94"/>
  <c r="C168" i="94"/>
  <c r="D167" i="94"/>
  <c r="C167" i="94"/>
  <c r="D166" i="94"/>
  <c r="C166" i="94"/>
  <c r="D165" i="94"/>
  <c r="C165" i="94"/>
  <c r="D164" i="94"/>
  <c r="C164" i="94"/>
  <c r="D160" i="94"/>
  <c r="C160" i="94"/>
  <c r="D159" i="94"/>
  <c r="C159" i="94"/>
  <c r="D158" i="94"/>
  <c r="C158" i="94"/>
  <c r="D157" i="94"/>
  <c r="C157" i="94"/>
  <c r="D156" i="94"/>
  <c r="C156" i="94"/>
  <c r="D155" i="94"/>
  <c r="C155" i="94"/>
  <c r="D153" i="94"/>
  <c r="C153" i="94"/>
  <c r="D152" i="94"/>
  <c r="C152" i="94"/>
  <c r="D151" i="94"/>
  <c r="C151" i="94"/>
  <c r="D150" i="94"/>
  <c r="C150" i="94"/>
  <c r="D149" i="94"/>
  <c r="C149" i="94"/>
  <c r="D148" i="94"/>
  <c r="C148" i="94"/>
  <c r="D147" i="94"/>
  <c r="C147" i="94"/>
  <c r="D146" i="94"/>
  <c r="C146" i="94"/>
  <c r="D145" i="94"/>
  <c r="C145" i="94"/>
  <c r="D143" i="94"/>
  <c r="C143" i="94"/>
  <c r="D142" i="94"/>
  <c r="C142" i="94"/>
  <c r="D141" i="94"/>
  <c r="C141" i="94"/>
  <c r="D140" i="94"/>
  <c r="C140" i="94"/>
  <c r="D138" i="94"/>
  <c r="C138" i="94"/>
  <c r="D137" i="94"/>
  <c r="C137" i="94"/>
  <c r="D136" i="94"/>
  <c r="C136" i="94"/>
  <c r="D135" i="94"/>
  <c r="C135" i="94"/>
  <c r="D133" i="94"/>
  <c r="C133" i="94"/>
  <c r="D132" i="94"/>
  <c r="C132" i="94"/>
  <c r="D131" i="94"/>
  <c r="C131" i="94"/>
  <c r="D130" i="94"/>
  <c r="C130" i="94"/>
  <c r="D129" i="94"/>
  <c r="C129" i="94"/>
  <c r="D127" i="94"/>
  <c r="C127" i="94"/>
  <c r="D126" i="94"/>
  <c r="C126" i="94"/>
  <c r="D125" i="94"/>
  <c r="C125" i="94"/>
  <c r="D124" i="94"/>
  <c r="C124" i="94"/>
  <c r="D123" i="94"/>
  <c r="C123" i="94"/>
  <c r="D118" i="94"/>
  <c r="C118" i="94"/>
  <c r="D117" i="94"/>
  <c r="C117" i="94"/>
  <c r="D116" i="94"/>
  <c r="C116" i="94"/>
  <c r="D115" i="94"/>
  <c r="C115" i="94"/>
  <c r="D114" i="94"/>
  <c r="C114" i="94"/>
  <c r="D110" i="94"/>
  <c r="C110" i="94"/>
  <c r="D109" i="94"/>
  <c r="C109" i="94"/>
  <c r="D108" i="94"/>
  <c r="C108" i="94"/>
  <c r="D107" i="94"/>
  <c r="C107" i="94"/>
  <c r="D106" i="94"/>
  <c r="C106" i="94"/>
  <c r="D105" i="94"/>
  <c r="C105" i="94"/>
  <c r="D101" i="94"/>
  <c r="C101" i="94"/>
  <c r="D100" i="94"/>
  <c r="C100" i="94"/>
  <c r="D99" i="94"/>
  <c r="C99" i="94"/>
  <c r="D98" i="94"/>
  <c r="C98" i="94"/>
  <c r="D97" i="94"/>
  <c r="C97" i="94"/>
  <c r="D96" i="94"/>
  <c r="C96" i="94"/>
  <c r="D92" i="94"/>
  <c r="C92" i="94"/>
  <c r="D91" i="94"/>
  <c r="C91" i="94"/>
  <c r="D90" i="94"/>
  <c r="C90" i="94"/>
  <c r="D89" i="94"/>
  <c r="C89" i="94"/>
  <c r="D88" i="94"/>
  <c r="C88" i="94"/>
  <c r="D87" i="94"/>
  <c r="C87" i="94"/>
  <c r="D86" i="94"/>
  <c r="C86" i="94"/>
  <c r="D85" i="94"/>
  <c r="C85" i="94"/>
  <c r="D84" i="94"/>
  <c r="C84" i="94"/>
  <c r="D83" i="94"/>
  <c r="C83" i="94"/>
  <c r="D82" i="94"/>
  <c r="C82" i="94"/>
  <c r="D78" i="94"/>
  <c r="C78" i="94"/>
  <c r="D77" i="94"/>
  <c r="C77" i="94"/>
  <c r="D76" i="94"/>
  <c r="C76" i="94"/>
  <c r="D75" i="94"/>
  <c r="C75" i="94"/>
  <c r="D74" i="94"/>
  <c r="C74" i="94"/>
  <c r="D73" i="94"/>
  <c r="C73" i="94"/>
  <c r="D72" i="94"/>
  <c r="C72" i="94"/>
  <c r="D71" i="94"/>
  <c r="C71" i="94"/>
  <c r="D70" i="94"/>
  <c r="C70" i="94"/>
  <c r="D69" i="94"/>
  <c r="C69" i="94"/>
  <c r="D68" i="94"/>
  <c r="C68" i="94"/>
  <c r="D67" i="94"/>
  <c r="C67" i="94"/>
  <c r="D66" i="94"/>
  <c r="C66" i="94"/>
  <c r="D65" i="94"/>
  <c r="C65" i="94"/>
  <c r="D64" i="94"/>
  <c r="C64" i="94"/>
  <c r="D60" i="94"/>
  <c r="C60" i="94"/>
  <c r="D59" i="94"/>
  <c r="C59" i="94"/>
  <c r="D58" i="94"/>
  <c r="C58" i="94"/>
  <c r="D57" i="94"/>
  <c r="C57" i="94"/>
  <c r="D56" i="94"/>
  <c r="C56" i="94"/>
  <c r="D55" i="94"/>
  <c r="C55" i="94"/>
  <c r="D54" i="94"/>
  <c r="C54" i="94"/>
  <c r="D53" i="94"/>
  <c r="C53" i="94"/>
  <c r="D52" i="94"/>
  <c r="C52" i="94"/>
  <c r="D51" i="94"/>
  <c r="C51" i="94"/>
  <c r="D50" i="94"/>
  <c r="C50" i="94"/>
  <c r="D49" i="94"/>
  <c r="C49" i="94"/>
  <c r="D48" i="94"/>
  <c r="C48" i="94"/>
  <c r="D47" i="94"/>
  <c r="C47" i="94"/>
  <c r="D46" i="94"/>
  <c r="C46" i="94"/>
  <c r="D45" i="94"/>
  <c r="C45" i="94"/>
  <c r="D44" i="94"/>
  <c r="C44" i="94"/>
  <c r="D43" i="94"/>
  <c r="C43" i="94"/>
  <c r="D42" i="94"/>
  <c r="C42" i="94"/>
  <c r="D41" i="94"/>
  <c r="C41" i="94"/>
  <c r="D40" i="94"/>
  <c r="C40" i="94"/>
  <c r="D39" i="94"/>
  <c r="C39" i="94"/>
  <c r="D38" i="94"/>
  <c r="C38" i="94"/>
  <c r="D37" i="94"/>
  <c r="C37" i="94"/>
  <c r="D36" i="94"/>
  <c r="C36" i="94"/>
  <c r="D35" i="94"/>
  <c r="C35" i="94"/>
  <c r="D34" i="94"/>
  <c r="C34" i="94"/>
  <c r="D33" i="94"/>
  <c r="C33" i="94"/>
  <c r="D32" i="94"/>
  <c r="C32" i="94"/>
  <c r="D31" i="94"/>
  <c r="C31" i="94"/>
  <c r="D30" i="94"/>
  <c r="C30" i="94"/>
  <c r="D29" i="94"/>
  <c r="C29" i="94"/>
  <c r="D28" i="94"/>
  <c r="C28" i="94"/>
  <c r="D27" i="94"/>
  <c r="C27" i="94"/>
  <c r="D26" i="94"/>
  <c r="C26" i="94"/>
  <c r="D25" i="94"/>
  <c r="C25" i="94"/>
  <c r="D20" i="94"/>
  <c r="C20" i="94"/>
  <c r="D19" i="94"/>
  <c r="C19" i="94"/>
  <c r="D18" i="94"/>
  <c r="C18" i="94"/>
  <c r="D17" i="94"/>
  <c r="C17" i="94"/>
  <c r="D16" i="94"/>
  <c r="C16" i="94"/>
  <c r="D15" i="94"/>
  <c r="C15" i="94"/>
  <c r="D14" i="94"/>
  <c r="C14" i="94"/>
  <c r="D13" i="94"/>
  <c r="C13" i="94"/>
  <c r="D12" i="94"/>
  <c r="C12" i="94"/>
  <c r="D11" i="94"/>
  <c r="C11" i="94"/>
  <c r="C21" i="94" l="1"/>
  <c r="C102" i="94"/>
  <c r="C119" i="94"/>
  <c r="D119" i="94"/>
  <c r="D161" i="94"/>
  <c r="D93" i="94"/>
  <c r="D21" i="94"/>
  <c r="D102" i="94"/>
  <c r="C93" i="94"/>
  <c r="C161" i="94"/>
  <c r="C228" i="94"/>
  <c r="D79" i="94"/>
  <c r="D197" i="94"/>
  <c r="C111" i="94"/>
  <c r="C206" i="94"/>
  <c r="C79" i="94"/>
  <c r="C197" i="94"/>
  <c r="D111" i="94"/>
  <c r="D206" i="94"/>
  <c r="C61" i="94"/>
  <c r="D61" i="94"/>
  <c r="C208" i="94" l="1"/>
  <c r="D208" i="94"/>
  <c r="D215" i="94" s="1"/>
  <c r="C212" i="94" l="1"/>
  <c r="C215" i="94"/>
  <c r="G244" i="157"/>
  <c r="G243" i="157"/>
  <c r="G242" i="157"/>
  <c r="G241" i="157"/>
  <c r="C238" i="157"/>
  <c r="C237" i="157"/>
  <c r="C236" i="157"/>
  <c r="C235" i="157"/>
  <c r="C233" i="157"/>
  <c r="C232" i="157"/>
  <c r="C231" i="157"/>
  <c r="D228" i="157"/>
  <c r="C227" i="157"/>
  <c r="C226" i="157"/>
  <c r="C225" i="157"/>
  <c r="C224" i="157"/>
  <c r="C223" i="157"/>
  <c r="C222" i="157"/>
  <c r="C221" i="157"/>
  <c r="C220" i="157"/>
  <c r="C219" i="157"/>
  <c r="C211" i="157"/>
  <c r="D205" i="157"/>
  <c r="C205" i="157"/>
  <c r="D204" i="157"/>
  <c r="C204" i="157"/>
  <c r="D203" i="157"/>
  <c r="C203" i="157"/>
  <c r="D202" i="157"/>
  <c r="C202" i="157"/>
  <c r="D201" i="157"/>
  <c r="C201" i="157"/>
  <c r="D200" i="157"/>
  <c r="C200" i="157"/>
  <c r="D196" i="157"/>
  <c r="C196" i="157"/>
  <c r="D195" i="157"/>
  <c r="C195" i="157"/>
  <c r="D194" i="157"/>
  <c r="C194" i="157"/>
  <c r="D193" i="157"/>
  <c r="C193" i="157"/>
  <c r="D192" i="157"/>
  <c r="C192" i="157"/>
  <c r="D191" i="157"/>
  <c r="C191" i="157"/>
  <c r="D190" i="157"/>
  <c r="C190" i="157"/>
  <c r="D189" i="157"/>
  <c r="C189" i="157"/>
  <c r="D188" i="157"/>
  <c r="C188" i="157"/>
  <c r="D187" i="157"/>
  <c r="C187" i="157"/>
  <c r="D186" i="157"/>
  <c r="C186" i="157"/>
  <c r="D185" i="157"/>
  <c r="C185" i="157"/>
  <c r="D184" i="157"/>
  <c r="C184" i="157"/>
  <c r="D183" i="157"/>
  <c r="C183" i="157"/>
  <c r="D182" i="157"/>
  <c r="C182" i="157"/>
  <c r="D181" i="157"/>
  <c r="C181" i="157"/>
  <c r="D180" i="157"/>
  <c r="C180" i="157"/>
  <c r="D179" i="157"/>
  <c r="C179" i="157"/>
  <c r="D178" i="157"/>
  <c r="C178" i="157"/>
  <c r="D177" i="157"/>
  <c r="C177" i="157"/>
  <c r="D176" i="157"/>
  <c r="C176" i="157"/>
  <c r="D175" i="157"/>
  <c r="C175" i="157"/>
  <c r="D174" i="157"/>
  <c r="C174" i="157"/>
  <c r="D173" i="157"/>
  <c r="C173" i="157"/>
  <c r="D172" i="157"/>
  <c r="C172" i="157"/>
  <c r="D171" i="157"/>
  <c r="C171" i="157"/>
  <c r="D170" i="157"/>
  <c r="C170" i="157"/>
  <c r="D169" i="157"/>
  <c r="C169" i="157"/>
  <c r="D168" i="157"/>
  <c r="C168" i="157"/>
  <c r="D167" i="157"/>
  <c r="C167" i="157"/>
  <c r="D166" i="157"/>
  <c r="C166" i="157"/>
  <c r="D165" i="157"/>
  <c r="C165" i="157"/>
  <c r="D164" i="157"/>
  <c r="C164" i="157"/>
  <c r="D160" i="157"/>
  <c r="C160" i="157"/>
  <c r="D159" i="157"/>
  <c r="C159" i="157"/>
  <c r="D158" i="157"/>
  <c r="C158" i="157"/>
  <c r="D157" i="157"/>
  <c r="C157" i="157"/>
  <c r="D156" i="157"/>
  <c r="C156" i="157"/>
  <c r="D155" i="157"/>
  <c r="C155" i="157"/>
  <c r="D153" i="157"/>
  <c r="C153" i="157"/>
  <c r="D152" i="157"/>
  <c r="C152" i="157"/>
  <c r="D151" i="157"/>
  <c r="C151" i="157"/>
  <c r="D150" i="157"/>
  <c r="C150" i="157"/>
  <c r="D149" i="157"/>
  <c r="C149" i="157"/>
  <c r="D148" i="157"/>
  <c r="C148" i="157"/>
  <c r="D147" i="157"/>
  <c r="C147" i="157"/>
  <c r="D146" i="157"/>
  <c r="C146" i="157"/>
  <c r="D145" i="157"/>
  <c r="C145" i="157"/>
  <c r="D143" i="157"/>
  <c r="C143" i="157"/>
  <c r="D142" i="157"/>
  <c r="C142" i="157"/>
  <c r="D141" i="157"/>
  <c r="C141" i="157"/>
  <c r="D140" i="157"/>
  <c r="C140" i="157"/>
  <c r="D138" i="157"/>
  <c r="C138" i="157"/>
  <c r="D137" i="157"/>
  <c r="C137" i="157"/>
  <c r="D136" i="157"/>
  <c r="C136" i="157"/>
  <c r="D135" i="157"/>
  <c r="C135" i="157"/>
  <c r="D133" i="157"/>
  <c r="C133" i="157"/>
  <c r="D132" i="157"/>
  <c r="C132" i="157"/>
  <c r="D131" i="157"/>
  <c r="C131" i="157"/>
  <c r="D130" i="157"/>
  <c r="C130" i="157"/>
  <c r="D129" i="157"/>
  <c r="C129" i="157"/>
  <c r="D127" i="157"/>
  <c r="C127" i="157"/>
  <c r="D126" i="157"/>
  <c r="C126" i="157"/>
  <c r="D125" i="157"/>
  <c r="C125" i="157"/>
  <c r="D124" i="157"/>
  <c r="C124" i="157"/>
  <c r="D123" i="157"/>
  <c r="C123" i="157"/>
  <c r="D118" i="157"/>
  <c r="C118" i="157"/>
  <c r="D117" i="157"/>
  <c r="C117" i="157"/>
  <c r="D116" i="157"/>
  <c r="C116" i="157"/>
  <c r="D115" i="157"/>
  <c r="C115" i="157"/>
  <c r="D114" i="157"/>
  <c r="C114" i="157"/>
  <c r="D110" i="157"/>
  <c r="C110" i="157"/>
  <c r="D109" i="157"/>
  <c r="C109" i="157"/>
  <c r="D108" i="157"/>
  <c r="C108" i="157"/>
  <c r="D107" i="157"/>
  <c r="C107" i="157"/>
  <c r="D106" i="157"/>
  <c r="C106" i="157"/>
  <c r="D105" i="157"/>
  <c r="C105" i="157"/>
  <c r="D101" i="157"/>
  <c r="C101" i="157"/>
  <c r="D100" i="157"/>
  <c r="C100" i="157"/>
  <c r="D99" i="157"/>
  <c r="C99" i="157"/>
  <c r="D98" i="157"/>
  <c r="C98" i="157"/>
  <c r="D97" i="157"/>
  <c r="C97" i="157"/>
  <c r="D96" i="157"/>
  <c r="C96" i="157"/>
  <c r="D92" i="157"/>
  <c r="C92" i="157"/>
  <c r="D91" i="157"/>
  <c r="C91" i="157"/>
  <c r="D90" i="157"/>
  <c r="C90" i="157"/>
  <c r="D89" i="157"/>
  <c r="C89" i="157"/>
  <c r="D88" i="157"/>
  <c r="C88" i="157"/>
  <c r="D87" i="157"/>
  <c r="C87" i="157"/>
  <c r="D86" i="157"/>
  <c r="C86" i="157"/>
  <c r="D85" i="157"/>
  <c r="C85" i="157"/>
  <c r="D84" i="157"/>
  <c r="C84" i="157"/>
  <c r="D83" i="157"/>
  <c r="C83" i="157"/>
  <c r="D82" i="157"/>
  <c r="C82" i="157"/>
  <c r="D78" i="157"/>
  <c r="C78" i="157"/>
  <c r="D77" i="157"/>
  <c r="C77" i="157"/>
  <c r="D76" i="157"/>
  <c r="C76" i="157"/>
  <c r="D75" i="157"/>
  <c r="C75" i="157"/>
  <c r="D74" i="157"/>
  <c r="C74" i="157"/>
  <c r="D73" i="157"/>
  <c r="C73" i="157"/>
  <c r="D72" i="157"/>
  <c r="C72" i="157"/>
  <c r="D71" i="157"/>
  <c r="C71" i="157"/>
  <c r="D70" i="157"/>
  <c r="C70" i="157"/>
  <c r="D69" i="157"/>
  <c r="C69" i="157"/>
  <c r="D68" i="157"/>
  <c r="C68" i="157"/>
  <c r="D67" i="157"/>
  <c r="C67" i="157"/>
  <c r="D66" i="157"/>
  <c r="C66" i="157"/>
  <c r="D65" i="157"/>
  <c r="C65" i="157"/>
  <c r="D64" i="157"/>
  <c r="C64" i="157"/>
  <c r="D60" i="157"/>
  <c r="C60" i="157"/>
  <c r="D59" i="157"/>
  <c r="C59" i="157"/>
  <c r="D58" i="157"/>
  <c r="C58" i="157"/>
  <c r="D57" i="157"/>
  <c r="C57" i="157"/>
  <c r="D56" i="157"/>
  <c r="C56" i="157"/>
  <c r="D55" i="157"/>
  <c r="C55" i="157"/>
  <c r="D54" i="157"/>
  <c r="C54" i="157"/>
  <c r="D53" i="157"/>
  <c r="C53" i="157"/>
  <c r="D52" i="157"/>
  <c r="C52" i="157"/>
  <c r="D51" i="157"/>
  <c r="C51" i="157"/>
  <c r="D50" i="157"/>
  <c r="C50" i="157"/>
  <c r="D49" i="157"/>
  <c r="C49" i="157"/>
  <c r="D48" i="157"/>
  <c r="C48" i="157"/>
  <c r="D47" i="157"/>
  <c r="C47" i="157"/>
  <c r="D46" i="157"/>
  <c r="C46" i="157"/>
  <c r="D45" i="157"/>
  <c r="C45" i="157"/>
  <c r="D44" i="157"/>
  <c r="C44" i="157"/>
  <c r="D43" i="157"/>
  <c r="C43" i="157"/>
  <c r="D42" i="157"/>
  <c r="C42" i="157"/>
  <c r="D41" i="157"/>
  <c r="C41" i="157"/>
  <c r="D40" i="157"/>
  <c r="C40" i="157"/>
  <c r="D39" i="157"/>
  <c r="C39" i="157"/>
  <c r="D38" i="157"/>
  <c r="C38" i="157"/>
  <c r="D37" i="157"/>
  <c r="C37" i="157"/>
  <c r="D36" i="157"/>
  <c r="C36" i="157"/>
  <c r="D35" i="157"/>
  <c r="C35" i="157"/>
  <c r="D34" i="157"/>
  <c r="C34" i="157"/>
  <c r="D33" i="157"/>
  <c r="C33" i="157"/>
  <c r="D32" i="157"/>
  <c r="C32" i="157"/>
  <c r="D31" i="157"/>
  <c r="C31" i="157"/>
  <c r="D30" i="157"/>
  <c r="C30" i="157"/>
  <c r="D29" i="157"/>
  <c r="C29" i="157"/>
  <c r="D28" i="157"/>
  <c r="C28" i="157"/>
  <c r="D27" i="157"/>
  <c r="C27" i="157"/>
  <c r="D26" i="157"/>
  <c r="C26" i="157"/>
  <c r="D25" i="157"/>
  <c r="C25" i="157"/>
  <c r="D20" i="157"/>
  <c r="C20" i="157"/>
  <c r="D19" i="157"/>
  <c r="C19" i="157"/>
  <c r="D18" i="157"/>
  <c r="C18" i="157"/>
  <c r="D17" i="157"/>
  <c r="C17" i="157"/>
  <c r="D16" i="157"/>
  <c r="C16" i="157"/>
  <c r="D15" i="157"/>
  <c r="C15" i="157"/>
  <c r="D14" i="157"/>
  <c r="C14" i="157"/>
  <c r="D13" i="157"/>
  <c r="C13" i="157"/>
  <c r="D12" i="157"/>
  <c r="C12" i="157"/>
  <c r="D11" i="157"/>
  <c r="C11" i="157"/>
  <c r="C93" i="157" l="1"/>
  <c r="D119" i="157"/>
  <c r="C111" i="157"/>
  <c r="C119" i="157"/>
  <c r="D206" i="157"/>
  <c r="C161" i="157"/>
  <c r="C61" i="157"/>
  <c r="C79" i="157"/>
  <c r="D79" i="157"/>
  <c r="C228" i="157"/>
  <c r="C21" i="157"/>
  <c r="D161" i="157"/>
  <c r="D111" i="157"/>
  <c r="D21" i="157"/>
  <c r="D93" i="157"/>
  <c r="C102" i="157"/>
  <c r="C197" i="157"/>
  <c r="C206" i="157"/>
  <c r="D102" i="157"/>
  <c r="D197" i="157"/>
  <c r="D61" i="157"/>
  <c r="C208" i="157" l="1"/>
  <c r="D208" i="157"/>
  <c r="D215" i="157" s="1"/>
  <c r="C212" i="157" l="1"/>
  <c r="C215" i="157"/>
  <c r="G244" i="156"/>
  <c r="G243" i="156"/>
  <c r="G242" i="156"/>
  <c r="G241" i="156"/>
  <c r="C238" i="156"/>
  <c r="C237" i="156"/>
  <c r="C236" i="156"/>
  <c r="C235" i="156"/>
  <c r="C233" i="156"/>
  <c r="C232" i="156"/>
  <c r="C231" i="156"/>
  <c r="D228" i="156"/>
  <c r="C227" i="156"/>
  <c r="C226" i="156"/>
  <c r="C225" i="156"/>
  <c r="C224" i="156"/>
  <c r="C223" i="156"/>
  <c r="C222" i="156"/>
  <c r="C221" i="156"/>
  <c r="C220" i="156"/>
  <c r="C219" i="156"/>
  <c r="C211" i="156"/>
  <c r="D205" i="156"/>
  <c r="C205" i="156"/>
  <c r="D204" i="156"/>
  <c r="C204" i="156"/>
  <c r="D203" i="156"/>
  <c r="C203" i="156"/>
  <c r="D202" i="156"/>
  <c r="C202" i="156"/>
  <c r="D201" i="156"/>
  <c r="C201" i="156"/>
  <c r="D200" i="156"/>
  <c r="C200" i="156"/>
  <c r="D196" i="156"/>
  <c r="C196" i="156"/>
  <c r="D195" i="156"/>
  <c r="C195" i="156"/>
  <c r="D194" i="156"/>
  <c r="C194" i="156"/>
  <c r="D193" i="156"/>
  <c r="C193" i="156"/>
  <c r="D192" i="156"/>
  <c r="C192" i="156"/>
  <c r="D191" i="156"/>
  <c r="C191" i="156"/>
  <c r="D190" i="156"/>
  <c r="C190" i="156"/>
  <c r="D189" i="156"/>
  <c r="C189" i="156"/>
  <c r="D188" i="156"/>
  <c r="C188" i="156"/>
  <c r="D187" i="156"/>
  <c r="C187" i="156"/>
  <c r="D186" i="156"/>
  <c r="C186" i="156"/>
  <c r="D185" i="156"/>
  <c r="C185" i="156"/>
  <c r="D184" i="156"/>
  <c r="C184" i="156"/>
  <c r="D183" i="156"/>
  <c r="C183" i="156"/>
  <c r="D182" i="156"/>
  <c r="C182" i="156"/>
  <c r="D181" i="156"/>
  <c r="C181" i="156"/>
  <c r="D180" i="156"/>
  <c r="C180" i="156"/>
  <c r="D179" i="156"/>
  <c r="C179" i="156"/>
  <c r="D178" i="156"/>
  <c r="C178" i="156"/>
  <c r="D177" i="156"/>
  <c r="C177" i="156"/>
  <c r="D176" i="156"/>
  <c r="C176" i="156"/>
  <c r="D175" i="156"/>
  <c r="C175" i="156"/>
  <c r="D174" i="156"/>
  <c r="C174" i="156"/>
  <c r="D173" i="156"/>
  <c r="C173" i="156"/>
  <c r="D172" i="156"/>
  <c r="C172" i="156"/>
  <c r="D171" i="156"/>
  <c r="C171" i="156"/>
  <c r="D170" i="156"/>
  <c r="C170" i="156"/>
  <c r="D169" i="156"/>
  <c r="C169" i="156"/>
  <c r="D168" i="156"/>
  <c r="C168" i="156"/>
  <c r="D167" i="156"/>
  <c r="C167" i="156"/>
  <c r="D166" i="156"/>
  <c r="C166" i="156"/>
  <c r="D165" i="156"/>
  <c r="C165" i="156"/>
  <c r="D164" i="156"/>
  <c r="C164" i="156"/>
  <c r="D160" i="156"/>
  <c r="C160" i="156"/>
  <c r="D159" i="156"/>
  <c r="C159" i="156"/>
  <c r="D158" i="156"/>
  <c r="C158" i="156"/>
  <c r="D157" i="156"/>
  <c r="C157" i="156"/>
  <c r="D156" i="156"/>
  <c r="C156" i="156"/>
  <c r="D155" i="156"/>
  <c r="C155" i="156"/>
  <c r="D153" i="156"/>
  <c r="C153" i="156"/>
  <c r="D152" i="156"/>
  <c r="C152" i="156"/>
  <c r="D151" i="156"/>
  <c r="C151" i="156"/>
  <c r="D150" i="156"/>
  <c r="C150" i="156"/>
  <c r="D149" i="156"/>
  <c r="C149" i="156"/>
  <c r="D148" i="156"/>
  <c r="C148" i="156"/>
  <c r="D147" i="156"/>
  <c r="C147" i="156"/>
  <c r="D146" i="156"/>
  <c r="C146" i="156"/>
  <c r="D145" i="156"/>
  <c r="C145" i="156"/>
  <c r="D143" i="156"/>
  <c r="C143" i="156"/>
  <c r="D142" i="156"/>
  <c r="C142" i="156"/>
  <c r="D141" i="156"/>
  <c r="C141" i="156"/>
  <c r="D140" i="156"/>
  <c r="C140" i="156"/>
  <c r="D138" i="156"/>
  <c r="C138" i="156"/>
  <c r="D137" i="156"/>
  <c r="C137" i="156"/>
  <c r="D136" i="156"/>
  <c r="C136" i="156"/>
  <c r="D135" i="156"/>
  <c r="C135" i="156"/>
  <c r="D133" i="156"/>
  <c r="C133" i="156"/>
  <c r="D132" i="156"/>
  <c r="C132" i="156"/>
  <c r="D131" i="156"/>
  <c r="C131" i="156"/>
  <c r="D130" i="156"/>
  <c r="C130" i="156"/>
  <c r="D129" i="156"/>
  <c r="C129" i="156"/>
  <c r="D127" i="156"/>
  <c r="C127" i="156"/>
  <c r="D126" i="156"/>
  <c r="C126" i="156"/>
  <c r="D125" i="156"/>
  <c r="C125" i="156"/>
  <c r="D124" i="156"/>
  <c r="C124" i="156"/>
  <c r="D123" i="156"/>
  <c r="C123" i="156"/>
  <c r="D118" i="156"/>
  <c r="C118" i="156"/>
  <c r="D117" i="156"/>
  <c r="C117" i="156"/>
  <c r="D116" i="156"/>
  <c r="C116" i="156"/>
  <c r="D115" i="156"/>
  <c r="C115" i="156"/>
  <c r="D114" i="156"/>
  <c r="C114" i="156"/>
  <c r="D110" i="156"/>
  <c r="C110" i="156"/>
  <c r="D109" i="156"/>
  <c r="C109" i="156"/>
  <c r="D108" i="156"/>
  <c r="C108" i="156"/>
  <c r="D107" i="156"/>
  <c r="C107" i="156"/>
  <c r="D106" i="156"/>
  <c r="C106" i="156"/>
  <c r="D105" i="156"/>
  <c r="C105" i="156"/>
  <c r="D101" i="156"/>
  <c r="C101" i="156"/>
  <c r="D100" i="156"/>
  <c r="C100" i="156"/>
  <c r="D99" i="156"/>
  <c r="C99" i="156"/>
  <c r="D98" i="156"/>
  <c r="C98" i="156"/>
  <c r="D97" i="156"/>
  <c r="C97" i="156"/>
  <c r="D96" i="156"/>
  <c r="C96" i="156"/>
  <c r="D92" i="156"/>
  <c r="C92" i="156"/>
  <c r="D91" i="156"/>
  <c r="C91" i="156"/>
  <c r="D90" i="156"/>
  <c r="C90" i="156"/>
  <c r="D89" i="156"/>
  <c r="C89" i="156"/>
  <c r="D88" i="156"/>
  <c r="C88" i="156"/>
  <c r="D87" i="156"/>
  <c r="C87" i="156"/>
  <c r="D86" i="156"/>
  <c r="C86" i="156"/>
  <c r="D85" i="156"/>
  <c r="C85" i="156"/>
  <c r="D84" i="156"/>
  <c r="C84" i="156"/>
  <c r="D83" i="156"/>
  <c r="C83" i="156"/>
  <c r="D82" i="156"/>
  <c r="C82" i="156"/>
  <c r="D78" i="156"/>
  <c r="C78" i="156"/>
  <c r="D77" i="156"/>
  <c r="C77" i="156"/>
  <c r="D76" i="156"/>
  <c r="C76" i="156"/>
  <c r="D75" i="156"/>
  <c r="C75" i="156"/>
  <c r="D74" i="156"/>
  <c r="C74" i="156"/>
  <c r="D73" i="156"/>
  <c r="C73" i="156"/>
  <c r="D72" i="156"/>
  <c r="C72" i="156"/>
  <c r="D71" i="156"/>
  <c r="C71" i="156"/>
  <c r="D70" i="156"/>
  <c r="C70" i="156"/>
  <c r="D69" i="156"/>
  <c r="C69" i="156"/>
  <c r="D68" i="156"/>
  <c r="C68" i="156"/>
  <c r="D67" i="156"/>
  <c r="C67" i="156"/>
  <c r="D66" i="156"/>
  <c r="C66" i="156"/>
  <c r="D65" i="156"/>
  <c r="C65" i="156"/>
  <c r="D64" i="156"/>
  <c r="C64" i="156"/>
  <c r="D60" i="156"/>
  <c r="C60" i="156"/>
  <c r="D59" i="156"/>
  <c r="C59" i="156"/>
  <c r="D58" i="156"/>
  <c r="C58" i="156"/>
  <c r="D57" i="156"/>
  <c r="C57" i="156"/>
  <c r="D56" i="156"/>
  <c r="C56" i="156"/>
  <c r="D55" i="156"/>
  <c r="C55" i="156"/>
  <c r="D54" i="156"/>
  <c r="C54" i="156"/>
  <c r="D53" i="156"/>
  <c r="C53" i="156"/>
  <c r="D52" i="156"/>
  <c r="C52" i="156"/>
  <c r="D51" i="156"/>
  <c r="C51" i="156"/>
  <c r="D50" i="156"/>
  <c r="C50" i="156"/>
  <c r="D49" i="156"/>
  <c r="C49" i="156"/>
  <c r="D48" i="156"/>
  <c r="C48" i="156"/>
  <c r="D47" i="156"/>
  <c r="C47" i="156"/>
  <c r="D46" i="156"/>
  <c r="C46" i="156"/>
  <c r="D45" i="156"/>
  <c r="C45" i="156"/>
  <c r="D44" i="156"/>
  <c r="C44" i="156"/>
  <c r="D43" i="156"/>
  <c r="C43" i="156"/>
  <c r="D42" i="156"/>
  <c r="C42" i="156"/>
  <c r="D41" i="156"/>
  <c r="C41" i="156"/>
  <c r="D40" i="156"/>
  <c r="C40" i="156"/>
  <c r="D39" i="156"/>
  <c r="C39" i="156"/>
  <c r="D38" i="156"/>
  <c r="C38" i="156"/>
  <c r="D37" i="156"/>
  <c r="C37" i="156"/>
  <c r="D36" i="156"/>
  <c r="C36" i="156"/>
  <c r="D35" i="156"/>
  <c r="C35" i="156"/>
  <c r="D34" i="156"/>
  <c r="C34" i="156"/>
  <c r="D33" i="156"/>
  <c r="C33" i="156"/>
  <c r="D32" i="156"/>
  <c r="C32" i="156"/>
  <c r="D31" i="156"/>
  <c r="C31" i="156"/>
  <c r="D30" i="156"/>
  <c r="C30" i="156"/>
  <c r="D29" i="156"/>
  <c r="C29" i="156"/>
  <c r="D28" i="156"/>
  <c r="C28" i="156"/>
  <c r="D27" i="156"/>
  <c r="C27" i="156"/>
  <c r="D26" i="156"/>
  <c r="C26" i="156"/>
  <c r="D25" i="156"/>
  <c r="C25" i="156"/>
  <c r="D20" i="156"/>
  <c r="C20" i="156"/>
  <c r="D19" i="156"/>
  <c r="C19" i="156"/>
  <c r="D18" i="156"/>
  <c r="C18" i="156"/>
  <c r="D17" i="156"/>
  <c r="C17" i="156"/>
  <c r="D16" i="156"/>
  <c r="C16" i="156"/>
  <c r="D15" i="156"/>
  <c r="C15" i="156"/>
  <c r="D14" i="156"/>
  <c r="C14" i="156"/>
  <c r="D13" i="156"/>
  <c r="C13" i="156"/>
  <c r="D12" i="156"/>
  <c r="C12" i="156"/>
  <c r="D11" i="156"/>
  <c r="C11" i="156"/>
  <c r="C21" i="156" l="1"/>
  <c r="C93" i="156"/>
  <c r="D119" i="156"/>
  <c r="D161" i="156"/>
  <c r="C102" i="156"/>
  <c r="D21" i="156"/>
  <c r="D93" i="156"/>
  <c r="D102" i="156"/>
  <c r="C79" i="156"/>
  <c r="C119" i="156"/>
  <c r="C161" i="156"/>
  <c r="D61" i="156"/>
  <c r="D111" i="156"/>
  <c r="D79" i="156"/>
  <c r="C197" i="156"/>
  <c r="C206" i="156"/>
  <c r="C228" i="156"/>
  <c r="C111" i="156"/>
  <c r="D197" i="156"/>
  <c r="D206" i="156"/>
  <c r="C61" i="156"/>
  <c r="D208" i="156" l="1"/>
  <c r="D215" i="156" s="1"/>
  <c r="C208" i="156"/>
  <c r="C215" i="156" s="1"/>
  <c r="C212" i="156" l="1"/>
  <c r="G244" i="155"/>
  <c r="G243" i="155"/>
  <c r="G242" i="155"/>
  <c r="G241" i="155"/>
  <c r="C238" i="155"/>
  <c r="C237" i="155"/>
  <c r="C236" i="155"/>
  <c r="C235" i="155"/>
  <c r="C233" i="155"/>
  <c r="C232" i="155"/>
  <c r="C231" i="155"/>
  <c r="D228" i="155"/>
  <c r="C227" i="155"/>
  <c r="C226" i="155"/>
  <c r="C225" i="155"/>
  <c r="C224" i="155"/>
  <c r="C223" i="155"/>
  <c r="C222" i="155"/>
  <c r="C221" i="155"/>
  <c r="C220" i="155"/>
  <c r="C219" i="155"/>
  <c r="C211" i="155"/>
  <c r="D205" i="155"/>
  <c r="C205" i="155"/>
  <c r="D204" i="155"/>
  <c r="C204" i="155"/>
  <c r="D203" i="155"/>
  <c r="C203" i="155"/>
  <c r="D202" i="155"/>
  <c r="C202" i="155"/>
  <c r="D201" i="155"/>
  <c r="C201" i="155"/>
  <c r="D200" i="155"/>
  <c r="C200" i="155"/>
  <c r="D196" i="155"/>
  <c r="C196" i="155"/>
  <c r="D195" i="155"/>
  <c r="C195" i="155"/>
  <c r="D194" i="155"/>
  <c r="C194" i="155"/>
  <c r="D193" i="155"/>
  <c r="C193" i="155"/>
  <c r="D192" i="155"/>
  <c r="C192" i="155"/>
  <c r="D191" i="155"/>
  <c r="C191" i="155"/>
  <c r="D190" i="155"/>
  <c r="C190" i="155"/>
  <c r="D189" i="155"/>
  <c r="C189" i="155"/>
  <c r="D188" i="155"/>
  <c r="C188" i="155"/>
  <c r="D187" i="155"/>
  <c r="C187" i="155"/>
  <c r="D186" i="155"/>
  <c r="C186" i="155"/>
  <c r="D185" i="155"/>
  <c r="C185" i="155"/>
  <c r="D184" i="155"/>
  <c r="C184" i="155"/>
  <c r="D183" i="155"/>
  <c r="C183" i="155"/>
  <c r="D182" i="155"/>
  <c r="C182" i="155"/>
  <c r="D181" i="155"/>
  <c r="C181" i="155"/>
  <c r="D180" i="155"/>
  <c r="C180" i="155"/>
  <c r="D179" i="155"/>
  <c r="C179" i="155"/>
  <c r="D178" i="155"/>
  <c r="C178" i="155"/>
  <c r="D177" i="155"/>
  <c r="C177" i="155"/>
  <c r="D176" i="155"/>
  <c r="C176" i="155"/>
  <c r="D175" i="155"/>
  <c r="C175" i="155"/>
  <c r="D174" i="155"/>
  <c r="C174" i="155"/>
  <c r="D173" i="155"/>
  <c r="C173" i="155"/>
  <c r="D172" i="155"/>
  <c r="C172" i="155"/>
  <c r="D171" i="155"/>
  <c r="C171" i="155"/>
  <c r="D170" i="155"/>
  <c r="C170" i="155"/>
  <c r="D169" i="155"/>
  <c r="C169" i="155"/>
  <c r="D168" i="155"/>
  <c r="C168" i="155"/>
  <c r="D167" i="155"/>
  <c r="C167" i="155"/>
  <c r="D166" i="155"/>
  <c r="C166" i="155"/>
  <c r="D165" i="155"/>
  <c r="C165" i="155"/>
  <c r="D164" i="155"/>
  <c r="C164" i="155"/>
  <c r="D160" i="155"/>
  <c r="C160" i="155"/>
  <c r="D159" i="155"/>
  <c r="C159" i="155"/>
  <c r="D158" i="155"/>
  <c r="C158" i="155"/>
  <c r="D157" i="155"/>
  <c r="C157" i="155"/>
  <c r="D156" i="155"/>
  <c r="C156" i="155"/>
  <c r="D155" i="155"/>
  <c r="C155" i="155"/>
  <c r="D153" i="155"/>
  <c r="C153" i="155"/>
  <c r="D152" i="155"/>
  <c r="C152" i="155"/>
  <c r="D151" i="155"/>
  <c r="C151" i="155"/>
  <c r="D150" i="155"/>
  <c r="C150" i="155"/>
  <c r="D149" i="155"/>
  <c r="C149" i="155"/>
  <c r="D148" i="155"/>
  <c r="C148" i="155"/>
  <c r="D147" i="155"/>
  <c r="C147" i="155"/>
  <c r="D146" i="155"/>
  <c r="C146" i="155"/>
  <c r="D145" i="155"/>
  <c r="C145" i="155"/>
  <c r="D143" i="155"/>
  <c r="C143" i="155"/>
  <c r="D142" i="155"/>
  <c r="C142" i="155"/>
  <c r="D141" i="155"/>
  <c r="C141" i="155"/>
  <c r="D140" i="155"/>
  <c r="C140" i="155"/>
  <c r="D138" i="155"/>
  <c r="C138" i="155"/>
  <c r="D137" i="155"/>
  <c r="C137" i="155"/>
  <c r="D136" i="155"/>
  <c r="C136" i="155"/>
  <c r="D135" i="155"/>
  <c r="C135" i="155"/>
  <c r="D133" i="155"/>
  <c r="C133" i="155"/>
  <c r="D132" i="155"/>
  <c r="C132" i="155"/>
  <c r="D131" i="155"/>
  <c r="C131" i="155"/>
  <c r="D130" i="155"/>
  <c r="C130" i="155"/>
  <c r="D129" i="155"/>
  <c r="C129" i="155"/>
  <c r="D127" i="155"/>
  <c r="C127" i="155"/>
  <c r="D126" i="155"/>
  <c r="C126" i="155"/>
  <c r="D125" i="155"/>
  <c r="C125" i="155"/>
  <c r="D124" i="155"/>
  <c r="C124" i="155"/>
  <c r="D123" i="155"/>
  <c r="C123" i="155"/>
  <c r="D118" i="155"/>
  <c r="C118" i="155"/>
  <c r="D117" i="155"/>
  <c r="C117" i="155"/>
  <c r="D116" i="155"/>
  <c r="C116" i="155"/>
  <c r="D115" i="155"/>
  <c r="C115" i="155"/>
  <c r="D114" i="155"/>
  <c r="C114" i="155"/>
  <c r="D110" i="155"/>
  <c r="C110" i="155"/>
  <c r="D109" i="155"/>
  <c r="C109" i="155"/>
  <c r="D108" i="155"/>
  <c r="C108" i="155"/>
  <c r="D107" i="155"/>
  <c r="C107" i="155"/>
  <c r="D106" i="155"/>
  <c r="C106" i="155"/>
  <c r="D105" i="155"/>
  <c r="C105" i="155"/>
  <c r="D101" i="155"/>
  <c r="C101" i="155"/>
  <c r="D100" i="155"/>
  <c r="C100" i="155"/>
  <c r="D99" i="155"/>
  <c r="C99" i="155"/>
  <c r="D98" i="155"/>
  <c r="C98" i="155"/>
  <c r="D97" i="155"/>
  <c r="C97" i="155"/>
  <c r="D96" i="155"/>
  <c r="C96" i="155"/>
  <c r="D92" i="155"/>
  <c r="C92" i="155"/>
  <c r="D91" i="155"/>
  <c r="C91" i="155"/>
  <c r="D90" i="155"/>
  <c r="C90" i="155"/>
  <c r="D89" i="155"/>
  <c r="C89" i="155"/>
  <c r="D88" i="155"/>
  <c r="C88" i="155"/>
  <c r="D87" i="155"/>
  <c r="C87" i="155"/>
  <c r="D86" i="155"/>
  <c r="C86" i="155"/>
  <c r="D85" i="155"/>
  <c r="C85" i="155"/>
  <c r="D84" i="155"/>
  <c r="C84" i="155"/>
  <c r="D83" i="155"/>
  <c r="C83" i="155"/>
  <c r="D82" i="155"/>
  <c r="C82" i="155"/>
  <c r="D78" i="155"/>
  <c r="C78" i="155"/>
  <c r="D77" i="155"/>
  <c r="C77" i="155"/>
  <c r="D76" i="155"/>
  <c r="C76" i="155"/>
  <c r="D75" i="155"/>
  <c r="C75" i="155"/>
  <c r="D74" i="155"/>
  <c r="C74" i="155"/>
  <c r="D73" i="155"/>
  <c r="C73" i="155"/>
  <c r="D72" i="155"/>
  <c r="C72" i="155"/>
  <c r="D71" i="155"/>
  <c r="C71" i="155"/>
  <c r="D70" i="155"/>
  <c r="C70" i="155"/>
  <c r="D69" i="155"/>
  <c r="C69" i="155"/>
  <c r="D68" i="155"/>
  <c r="C68" i="155"/>
  <c r="D67" i="155"/>
  <c r="C67" i="155"/>
  <c r="D66" i="155"/>
  <c r="C66" i="155"/>
  <c r="D65" i="155"/>
  <c r="C65" i="155"/>
  <c r="D64" i="155"/>
  <c r="C64" i="155"/>
  <c r="D60" i="155"/>
  <c r="C60" i="155"/>
  <c r="D59" i="155"/>
  <c r="C59" i="155"/>
  <c r="D58" i="155"/>
  <c r="C58" i="155"/>
  <c r="D57" i="155"/>
  <c r="C57" i="155"/>
  <c r="D56" i="155"/>
  <c r="C56" i="155"/>
  <c r="D55" i="155"/>
  <c r="C55" i="155"/>
  <c r="D54" i="155"/>
  <c r="C54" i="155"/>
  <c r="D53" i="155"/>
  <c r="C53" i="155"/>
  <c r="D52" i="155"/>
  <c r="C52" i="155"/>
  <c r="D51" i="155"/>
  <c r="C51" i="155"/>
  <c r="D50" i="155"/>
  <c r="C50" i="155"/>
  <c r="D49" i="155"/>
  <c r="C49" i="155"/>
  <c r="D48" i="155"/>
  <c r="C48" i="155"/>
  <c r="D47" i="155"/>
  <c r="C47" i="155"/>
  <c r="D46" i="155"/>
  <c r="C46" i="155"/>
  <c r="D45" i="155"/>
  <c r="C45" i="155"/>
  <c r="D44" i="155"/>
  <c r="C44" i="155"/>
  <c r="D43" i="155"/>
  <c r="C43" i="155"/>
  <c r="D42" i="155"/>
  <c r="C42" i="155"/>
  <c r="D41" i="155"/>
  <c r="C41" i="155"/>
  <c r="D40" i="155"/>
  <c r="C40" i="155"/>
  <c r="D39" i="155"/>
  <c r="C39" i="155"/>
  <c r="D38" i="155"/>
  <c r="C38" i="155"/>
  <c r="D37" i="155"/>
  <c r="C37" i="155"/>
  <c r="D36" i="155"/>
  <c r="C36" i="155"/>
  <c r="D35" i="155"/>
  <c r="C35" i="155"/>
  <c r="D34" i="155"/>
  <c r="C34" i="155"/>
  <c r="D33" i="155"/>
  <c r="C33" i="155"/>
  <c r="D32" i="155"/>
  <c r="C32" i="155"/>
  <c r="D31" i="155"/>
  <c r="C31" i="155"/>
  <c r="D30" i="155"/>
  <c r="C30" i="155"/>
  <c r="D29" i="155"/>
  <c r="C29" i="155"/>
  <c r="D28" i="155"/>
  <c r="C28" i="155"/>
  <c r="D27" i="155"/>
  <c r="C27" i="155"/>
  <c r="D26" i="155"/>
  <c r="C26" i="155"/>
  <c r="D25" i="155"/>
  <c r="C25" i="155"/>
  <c r="D20" i="155"/>
  <c r="C20" i="155"/>
  <c r="D19" i="155"/>
  <c r="C19" i="155"/>
  <c r="D18" i="155"/>
  <c r="C18" i="155"/>
  <c r="D17" i="155"/>
  <c r="C17" i="155"/>
  <c r="D16" i="155"/>
  <c r="C16" i="155"/>
  <c r="D15" i="155"/>
  <c r="C15" i="155"/>
  <c r="D14" i="155"/>
  <c r="C14" i="155"/>
  <c r="D13" i="155"/>
  <c r="C13" i="155"/>
  <c r="D12" i="155"/>
  <c r="C12" i="155"/>
  <c r="D11" i="155"/>
  <c r="C11" i="155"/>
  <c r="C119" i="155" l="1"/>
  <c r="D93" i="155"/>
  <c r="D119" i="155"/>
  <c r="D161" i="155"/>
  <c r="C79" i="155"/>
  <c r="C111" i="155"/>
  <c r="D79" i="155"/>
  <c r="C161" i="155"/>
  <c r="C21" i="155"/>
  <c r="C93" i="155"/>
  <c r="C197" i="155"/>
  <c r="C206" i="155"/>
  <c r="D197" i="155"/>
  <c r="C102" i="155"/>
  <c r="D206" i="155"/>
  <c r="D111" i="155"/>
  <c r="C228" i="155"/>
  <c r="D21" i="155"/>
  <c r="D102" i="155"/>
  <c r="C61" i="155"/>
  <c r="D61" i="155"/>
  <c r="D208" i="155" l="1"/>
  <c r="D215" i="155" s="1"/>
  <c r="C208" i="155"/>
  <c r="C212" i="155" l="1"/>
  <c r="C215" i="155"/>
  <c r="G244" i="54"/>
  <c r="G243" i="54"/>
  <c r="G242" i="54"/>
  <c r="G241" i="54"/>
  <c r="C238" i="54"/>
  <c r="C237" i="54"/>
  <c r="C236" i="54"/>
  <c r="C235" i="54"/>
  <c r="C233" i="54"/>
  <c r="C232" i="54"/>
  <c r="C231" i="54"/>
  <c r="D228" i="54"/>
  <c r="C227" i="54"/>
  <c r="C226" i="54"/>
  <c r="C225" i="54"/>
  <c r="C224" i="54"/>
  <c r="C223" i="54"/>
  <c r="C222" i="54"/>
  <c r="C221" i="54"/>
  <c r="C220" i="54"/>
  <c r="C219" i="54"/>
  <c r="C211" i="54"/>
  <c r="D205" i="54"/>
  <c r="C205" i="54"/>
  <c r="D204" i="54"/>
  <c r="C204" i="54"/>
  <c r="D203" i="54"/>
  <c r="C203" i="54"/>
  <c r="D202" i="54"/>
  <c r="C202" i="54"/>
  <c r="D201" i="54"/>
  <c r="C201" i="54"/>
  <c r="D200" i="54"/>
  <c r="C200" i="54"/>
  <c r="D196" i="54"/>
  <c r="C196" i="54"/>
  <c r="D195" i="54"/>
  <c r="C195" i="54"/>
  <c r="D194" i="54"/>
  <c r="C194" i="54"/>
  <c r="D193" i="54"/>
  <c r="C193" i="54"/>
  <c r="D192" i="54"/>
  <c r="C192" i="54"/>
  <c r="D191" i="54"/>
  <c r="C191" i="54"/>
  <c r="D190" i="54"/>
  <c r="C190" i="54"/>
  <c r="D189" i="54"/>
  <c r="C189" i="54"/>
  <c r="D188" i="54"/>
  <c r="C188" i="54"/>
  <c r="D187" i="54"/>
  <c r="C187" i="54"/>
  <c r="D186" i="54"/>
  <c r="C186" i="54"/>
  <c r="D185" i="54"/>
  <c r="C185" i="54"/>
  <c r="D184" i="54"/>
  <c r="C184" i="54"/>
  <c r="D183" i="54"/>
  <c r="C183" i="54"/>
  <c r="D182" i="54"/>
  <c r="C182" i="54"/>
  <c r="D181" i="54"/>
  <c r="C181" i="54"/>
  <c r="D180" i="54"/>
  <c r="C180" i="54"/>
  <c r="D179" i="54"/>
  <c r="C179" i="54"/>
  <c r="D178" i="54"/>
  <c r="C178" i="54"/>
  <c r="D177" i="54"/>
  <c r="C177" i="54"/>
  <c r="D176" i="54"/>
  <c r="C176" i="54"/>
  <c r="D175" i="54"/>
  <c r="C175" i="54"/>
  <c r="D174" i="54"/>
  <c r="C174" i="54"/>
  <c r="D173" i="54"/>
  <c r="C173" i="54"/>
  <c r="D172" i="54"/>
  <c r="C172" i="54"/>
  <c r="D171" i="54"/>
  <c r="C171" i="54"/>
  <c r="D170" i="54"/>
  <c r="C170" i="54"/>
  <c r="D169" i="54"/>
  <c r="C169" i="54"/>
  <c r="D168" i="54"/>
  <c r="C168" i="54"/>
  <c r="D167" i="54"/>
  <c r="C167" i="54"/>
  <c r="D166" i="54"/>
  <c r="C166" i="54"/>
  <c r="D165" i="54"/>
  <c r="C165" i="54"/>
  <c r="D164" i="54"/>
  <c r="C164" i="54"/>
  <c r="D160" i="54"/>
  <c r="C160" i="54"/>
  <c r="D159" i="54"/>
  <c r="C159" i="54"/>
  <c r="D158" i="54"/>
  <c r="C158" i="54"/>
  <c r="D157" i="54"/>
  <c r="C157" i="54"/>
  <c r="D156" i="54"/>
  <c r="C156" i="54"/>
  <c r="D155" i="54"/>
  <c r="C155" i="54"/>
  <c r="D153" i="54"/>
  <c r="C153" i="54"/>
  <c r="D152" i="54"/>
  <c r="C152" i="54"/>
  <c r="D151" i="54"/>
  <c r="C151" i="54"/>
  <c r="D150" i="54"/>
  <c r="C150" i="54"/>
  <c r="D149" i="54"/>
  <c r="C149" i="54"/>
  <c r="D148" i="54"/>
  <c r="C148" i="54"/>
  <c r="D147" i="54"/>
  <c r="C147" i="54"/>
  <c r="D146" i="54"/>
  <c r="C146" i="54"/>
  <c r="D145" i="54"/>
  <c r="C145" i="54"/>
  <c r="D143" i="54"/>
  <c r="C143" i="54"/>
  <c r="D142" i="54"/>
  <c r="C142" i="54"/>
  <c r="D141" i="54"/>
  <c r="C141" i="54"/>
  <c r="D140" i="54"/>
  <c r="C140" i="54"/>
  <c r="D138" i="54"/>
  <c r="C138" i="54"/>
  <c r="D137" i="54"/>
  <c r="C137" i="54"/>
  <c r="D136" i="54"/>
  <c r="C136" i="54"/>
  <c r="D135" i="54"/>
  <c r="C135" i="54"/>
  <c r="D133" i="54"/>
  <c r="C133" i="54"/>
  <c r="D132" i="54"/>
  <c r="C132" i="54"/>
  <c r="D131" i="54"/>
  <c r="C131" i="54"/>
  <c r="D130" i="54"/>
  <c r="C130" i="54"/>
  <c r="D129" i="54"/>
  <c r="C129" i="54"/>
  <c r="D127" i="54"/>
  <c r="C127" i="54"/>
  <c r="D126" i="54"/>
  <c r="C126" i="54"/>
  <c r="D125" i="54"/>
  <c r="C125" i="54"/>
  <c r="D124" i="54"/>
  <c r="C124" i="54"/>
  <c r="D123" i="54"/>
  <c r="C123" i="54"/>
  <c r="D118" i="54"/>
  <c r="C118" i="54"/>
  <c r="D117" i="54"/>
  <c r="C117" i="54"/>
  <c r="D116" i="54"/>
  <c r="C116" i="54"/>
  <c r="D115" i="54"/>
  <c r="C115" i="54"/>
  <c r="D114" i="54"/>
  <c r="C114" i="54"/>
  <c r="D110" i="54"/>
  <c r="C110" i="54"/>
  <c r="D109" i="54"/>
  <c r="C109" i="54"/>
  <c r="D108" i="54"/>
  <c r="C108" i="54"/>
  <c r="D107" i="54"/>
  <c r="C107" i="54"/>
  <c r="D106" i="54"/>
  <c r="C106" i="54"/>
  <c r="D105" i="54"/>
  <c r="C105" i="54"/>
  <c r="D101" i="54"/>
  <c r="C101" i="54"/>
  <c r="D100" i="54"/>
  <c r="C100" i="54"/>
  <c r="D99" i="54"/>
  <c r="C99" i="54"/>
  <c r="D98" i="54"/>
  <c r="C98" i="54"/>
  <c r="D97" i="54"/>
  <c r="C97" i="54"/>
  <c r="D96" i="54"/>
  <c r="C96" i="54"/>
  <c r="D92" i="54"/>
  <c r="C92" i="54"/>
  <c r="D91" i="54"/>
  <c r="C91" i="54"/>
  <c r="D90" i="54"/>
  <c r="C90" i="54"/>
  <c r="D89" i="54"/>
  <c r="C89" i="54"/>
  <c r="D88" i="54"/>
  <c r="C88" i="54"/>
  <c r="D87" i="54"/>
  <c r="C87" i="54"/>
  <c r="D86" i="54"/>
  <c r="C86" i="54"/>
  <c r="D85" i="54"/>
  <c r="C85" i="54"/>
  <c r="D84" i="54"/>
  <c r="C84" i="54"/>
  <c r="D83" i="54"/>
  <c r="C83" i="54"/>
  <c r="D82" i="54"/>
  <c r="C82" i="54"/>
  <c r="D78" i="54"/>
  <c r="C78" i="54"/>
  <c r="D77" i="54"/>
  <c r="C77" i="54"/>
  <c r="D76" i="54"/>
  <c r="C76" i="54"/>
  <c r="D75" i="54"/>
  <c r="C75" i="54"/>
  <c r="D74" i="54"/>
  <c r="C74" i="54"/>
  <c r="D73" i="54"/>
  <c r="C73" i="54"/>
  <c r="D72" i="54"/>
  <c r="C72" i="54"/>
  <c r="D71" i="54"/>
  <c r="C71" i="54"/>
  <c r="D70" i="54"/>
  <c r="C70" i="54"/>
  <c r="D69" i="54"/>
  <c r="C69" i="54"/>
  <c r="D68" i="54"/>
  <c r="C68" i="54"/>
  <c r="D67" i="54"/>
  <c r="C67" i="54"/>
  <c r="D66" i="54"/>
  <c r="C66" i="54"/>
  <c r="D65" i="54"/>
  <c r="C65" i="54"/>
  <c r="D64" i="54"/>
  <c r="C64" i="54"/>
  <c r="D60" i="54"/>
  <c r="C60" i="54"/>
  <c r="D59" i="54"/>
  <c r="C59" i="54"/>
  <c r="D58" i="54"/>
  <c r="C58" i="54"/>
  <c r="D57" i="54"/>
  <c r="C57" i="54"/>
  <c r="D56" i="54"/>
  <c r="C56" i="54"/>
  <c r="D55" i="54"/>
  <c r="C55" i="54"/>
  <c r="D54" i="54"/>
  <c r="C54" i="54"/>
  <c r="D53" i="54"/>
  <c r="C53" i="54"/>
  <c r="D52" i="54"/>
  <c r="C52" i="54"/>
  <c r="D51" i="54"/>
  <c r="C51" i="54"/>
  <c r="D50" i="54"/>
  <c r="C50" i="54"/>
  <c r="D49" i="54"/>
  <c r="C49" i="54"/>
  <c r="D48" i="54"/>
  <c r="C48" i="54"/>
  <c r="D47" i="54"/>
  <c r="C47" i="54"/>
  <c r="D46" i="54"/>
  <c r="C46" i="54"/>
  <c r="D45" i="54"/>
  <c r="C45" i="54"/>
  <c r="D44" i="54"/>
  <c r="C44" i="54"/>
  <c r="D43" i="54"/>
  <c r="C43" i="54"/>
  <c r="D42" i="54"/>
  <c r="C42" i="54"/>
  <c r="D41" i="54"/>
  <c r="C41" i="54"/>
  <c r="D40" i="54"/>
  <c r="C40" i="54"/>
  <c r="D39" i="54"/>
  <c r="C39" i="54"/>
  <c r="D38" i="54"/>
  <c r="C38" i="54"/>
  <c r="D37" i="54"/>
  <c r="C37" i="54"/>
  <c r="D36" i="54"/>
  <c r="C36" i="54"/>
  <c r="D35" i="54"/>
  <c r="C35" i="54"/>
  <c r="D34" i="54"/>
  <c r="C34" i="54"/>
  <c r="D33" i="54"/>
  <c r="C33" i="54"/>
  <c r="D32" i="54"/>
  <c r="C32" i="54"/>
  <c r="D31" i="54"/>
  <c r="C31" i="54"/>
  <c r="D30" i="54"/>
  <c r="C30" i="54"/>
  <c r="D29" i="54"/>
  <c r="C29" i="54"/>
  <c r="D28" i="54"/>
  <c r="C28" i="54"/>
  <c r="D27" i="54"/>
  <c r="C27" i="54"/>
  <c r="D26" i="54"/>
  <c r="C26" i="54"/>
  <c r="D25" i="54"/>
  <c r="C25" i="54"/>
  <c r="D20" i="54"/>
  <c r="C20" i="54"/>
  <c r="D19" i="54"/>
  <c r="C19" i="54"/>
  <c r="D18" i="54"/>
  <c r="C18" i="54"/>
  <c r="D17" i="54"/>
  <c r="C17" i="54"/>
  <c r="D16" i="54"/>
  <c r="C16" i="54"/>
  <c r="D15" i="54"/>
  <c r="C15" i="54"/>
  <c r="D14" i="54"/>
  <c r="C14" i="54"/>
  <c r="D13" i="54"/>
  <c r="C13" i="54"/>
  <c r="D12" i="54"/>
  <c r="C12" i="54"/>
  <c r="D11" i="54"/>
  <c r="C11" i="54"/>
  <c r="D79" i="54" l="1"/>
  <c r="D119" i="54"/>
  <c r="C228" i="54"/>
  <c r="C61" i="54"/>
  <c r="C111" i="54"/>
  <c r="C161" i="54"/>
  <c r="C79" i="54"/>
  <c r="C102" i="54"/>
  <c r="C119" i="54"/>
  <c r="D161" i="54"/>
  <c r="D206" i="54"/>
  <c r="C197" i="54"/>
  <c r="D111" i="54"/>
  <c r="D197" i="54"/>
  <c r="D93" i="54"/>
  <c r="D21" i="54"/>
  <c r="D102" i="54"/>
  <c r="C21" i="54"/>
  <c r="C93" i="54"/>
  <c r="C206" i="54"/>
  <c r="D61" i="54"/>
  <c r="C208" i="54" l="1"/>
  <c r="D208" i="54"/>
  <c r="D215" i="54" s="1"/>
  <c r="C212" i="54" l="1"/>
  <c r="C215" i="54"/>
  <c r="G244" i="60"/>
  <c r="G243" i="60"/>
  <c r="G242" i="60"/>
  <c r="G241" i="60"/>
  <c r="C238" i="60"/>
  <c r="C237" i="60"/>
  <c r="C236" i="60"/>
  <c r="C235" i="60"/>
  <c r="C233" i="60"/>
  <c r="C232" i="60"/>
  <c r="C231" i="60"/>
  <c r="D228" i="60"/>
  <c r="C227" i="60"/>
  <c r="C226" i="60"/>
  <c r="C225" i="60"/>
  <c r="C224" i="60"/>
  <c r="C223" i="60"/>
  <c r="C222" i="60"/>
  <c r="C221" i="60"/>
  <c r="C220" i="60"/>
  <c r="C219" i="60"/>
  <c r="C211" i="60"/>
  <c r="D205" i="60"/>
  <c r="C205" i="60"/>
  <c r="D204" i="60"/>
  <c r="C204" i="60"/>
  <c r="D203" i="60"/>
  <c r="C203" i="60"/>
  <c r="D202" i="60"/>
  <c r="C202" i="60"/>
  <c r="D201" i="60"/>
  <c r="C201" i="60"/>
  <c r="D200" i="60"/>
  <c r="C200" i="60"/>
  <c r="D196" i="60"/>
  <c r="C196" i="60"/>
  <c r="D195" i="60"/>
  <c r="C195" i="60"/>
  <c r="D194" i="60"/>
  <c r="C194" i="60"/>
  <c r="D193" i="60"/>
  <c r="C193" i="60"/>
  <c r="D192" i="60"/>
  <c r="C192" i="60"/>
  <c r="D191" i="60"/>
  <c r="C191" i="60"/>
  <c r="D190" i="60"/>
  <c r="C190" i="60"/>
  <c r="D189" i="60"/>
  <c r="C189" i="60"/>
  <c r="D188" i="60"/>
  <c r="C188" i="60"/>
  <c r="D187" i="60"/>
  <c r="C187" i="60"/>
  <c r="D186" i="60"/>
  <c r="C186" i="60"/>
  <c r="D185" i="60"/>
  <c r="C185" i="60"/>
  <c r="D184" i="60"/>
  <c r="C184" i="60"/>
  <c r="D183" i="60"/>
  <c r="C183" i="60"/>
  <c r="D182" i="60"/>
  <c r="C182" i="60"/>
  <c r="D181" i="60"/>
  <c r="C181" i="60"/>
  <c r="D180" i="60"/>
  <c r="C180" i="60"/>
  <c r="D179" i="60"/>
  <c r="C179" i="60"/>
  <c r="D178" i="60"/>
  <c r="C178" i="60"/>
  <c r="D177" i="60"/>
  <c r="C177" i="60"/>
  <c r="D176" i="60"/>
  <c r="C176" i="60"/>
  <c r="D175" i="60"/>
  <c r="C175" i="60"/>
  <c r="D174" i="60"/>
  <c r="C174" i="60"/>
  <c r="D173" i="60"/>
  <c r="C173" i="60"/>
  <c r="D172" i="60"/>
  <c r="C172" i="60"/>
  <c r="D171" i="60"/>
  <c r="C171" i="60"/>
  <c r="D170" i="60"/>
  <c r="C170" i="60"/>
  <c r="D169" i="60"/>
  <c r="C169" i="60"/>
  <c r="D168" i="60"/>
  <c r="C168" i="60"/>
  <c r="D167" i="60"/>
  <c r="C167" i="60"/>
  <c r="D166" i="60"/>
  <c r="C166" i="60"/>
  <c r="D165" i="60"/>
  <c r="C165" i="60"/>
  <c r="D164" i="60"/>
  <c r="C164" i="60"/>
  <c r="D160" i="60"/>
  <c r="C160" i="60"/>
  <c r="D159" i="60"/>
  <c r="C159" i="60"/>
  <c r="D158" i="60"/>
  <c r="C158" i="60"/>
  <c r="D157" i="60"/>
  <c r="C157" i="60"/>
  <c r="D156" i="60"/>
  <c r="C156" i="60"/>
  <c r="D155" i="60"/>
  <c r="C155" i="60"/>
  <c r="D153" i="60"/>
  <c r="C153" i="60"/>
  <c r="D152" i="60"/>
  <c r="C152" i="60"/>
  <c r="D151" i="60"/>
  <c r="C151" i="60"/>
  <c r="D150" i="60"/>
  <c r="C150" i="60"/>
  <c r="D149" i="60"/>
  <c r="C149" i="60"/>
  <c r="D148" i="60"/>
  <c r="C148" i="60"/>
  <c r="D147" i="60"/>
  <c r="C147" i="60"/>
  <c r="D146" i="60"/>
  <c r="C146" i="60"/>
  <c r="D145" i="60"/>
  <c r="C145" i="60"/>
  <c r="D143" i="60"/>
  <c r="C143" i="60"/>
  <c r="D142" i="60"/>
  <c r="C142" i="60"/>
  <c r="D141" i="60"/>
  <c r="C141" i="60"/>
  <c r="D140" i="60"/>
  <c r="C140" i="60"/>
  <c r="D138" i="60"/>
  <c r="C138" i="60"/>
  <c r="D137" i="60"/>
  <c r="C137" i="60"/>
  <c r="D136" i="60"/>
  <c r="C136" i="60"/>
  <c r="D135" i="60"/>
  <c r="C135" i="60"/>
  <c r="D133" i="60"/>
  <c r="C133" i="60"/>
  <c r="D132" i="60"/>
  <c r="C132" i="60"/>
  <c r="D131" i="60"/>
  <c r="C131" i="60"/>
  <c r="D130" i="60"/>
  <c r="C130" i="60"/>
  <c r="D129" i="60"/>
  <c r="C129" i="60"/>
  <c r="D127" i="60"/>
  <c r="C127" i="60"/>
  <c r="D126" i="60"/>
  <c r="C126" i="60"/>
  <c r="D125" i="60"/>
  <c r="C125" i="60"/>
  <c r="D124" i="60"/>
  <c r="C124" i="60"/>
  <c r="D123" i="60"/>
  <c r="C123" i="60"/>
  <c r="D118" i="60"/>
  <c r="C118" i="60"/>
  <c r="D117" i="60"/>
  <c r="C117" i="60"/>
  <c r="D116" i="60"/>
  <c r="C116" i="60"/>
  <c r="D115" i="60"/>
  <c r="C115" i="60"/>
  <c r="D114" i="60"/>
  <c r="C114" i="60"/>
  <c r="D110" i="60"/>
  <c r="C110" i="60"/>
  <c r="D109" i="60"/>
  <c r="C109" i="60"/>
  <c r="D108" i="60"/>
  <c r="C108" i="60"/>
  <c r="D107" i="60"/>
  <c r="C107" i="60"/>
  <c r="D106" i="60"/>
  <c r="C106" i="60"/>
  <c r="D105" i="60"/>
  <c r="C105" i="60"/>
  <c r="D101" i="60"/>
  <c r="C101" i="60"/>
  <c r="D100" i="60"/>
  <c r="C100" i="60"/>
  <c r="D99" i="60"/>
  <c r="C99" i="60"/>
  <c r="D98" i="60"/>
  <c r="C98" i="60"/>
  <c r="D97" i="60"/>
  <c r="C97" i="60"/>
  <c r="D96" i="60"/>
  <c r="C96" i="60"/>
  <c r="D92" i="60"/>
  <c r="C92" i="60"/>
  <c r="D91" i="60"/>
  <c r="C91" i="60"/>
  <c r="D90" i="60"/>
  <c r="C90" i="60"/>
  <c r="D89" i="60"/>
  <c r="C89" i="60"/>
  <c r="D88" i="60"/>
  <c r="C88" i="60"/>
  <c r="D87" i="60"/>
  <c r="C87" i="60"/>
  <c r="D86" i="60"/>
  <c r="C86" i="60"/>
  <c r="D85" i="60"/>
  <c r="C85" i="60"/>
  <c r="D84" i="60"/>
  <c r="C84" i="60"/>
  <c r="D83" i="60"/>
  <c r="C83" i="60"/>
  <c r="D82" i="60"/>
  <c r="C82" i="60"/>
  <c r="D78" i="60"/>
  <c r="C78" i="60"/>
  <c r="D77" i="60"/>
  <c r="C77" i="60"/>
  <c r="D76" i="60"/>
  <c r="C76" i="60"/>
  <c r="D75" i="60"/>
  <c r="C75" i="60"/>
  <c r="D74" i="60"/>
  <c r="C74" i="60"/>
  <c r="D73" i="60"/>
  <c r="C73" i="60"/>
  <c r="D72" i="60"/>
  <c r="C72" i="60"/>
  <c r="D71" i="60"/>
  <c r="C71" i="60"/>
  <c r="D70" i="60"/>
  <c r="C70" i="60"/>
  <c r="D69" i="60"/>
  <c r="C69" i="60"/>
  <c r="D68" i="60"/>
  <c r="C68" i="60"/>
  <c r="D67" i="60"/>
  <c r="C67" i="60"/>
  <c r="D66" i="60"/>
  <c r="C66" i="60"/>
  <c r="D65" i="60"/>
  <c r="C65" i="60"/>
  <c r="D64" i="60"/>
  <c r="C64" i="60"/>
  <c r="D60" i="60"/>
  <c r="C60" i="60"/>
  <c r="D59" i="60"/>
  <c r="C59" i="60"/>
  <c r="D58" i="60"/>
  <c r="C58" i="60"/>
  <c r="D57" i="60"/>
  <c r="C57" i="60"/>
  <c r="D56" i="60"/>
  <c r="C56" i="60"/>
  <c r="D55" i="60"/>
  <c r="C55" i="60"/>
  <c r="D54" i="60"/>
  <c r="C54" i="60"/>
  <c r="D53" i="60"/>
  <c r="C53" i="60"/>
  <c r="D52" i="60"/>
  <c r="C52" i="60"/>
  <c r="D51" i="60"/>
  <c r="C51" i="60"/>
  <c r="D50" i="60"/>
  <c r="C50" i="60"/>
  <c r="D49" i="60"/>
  <c r="C49" i="60"/>
  <c r="D48" i="60"/>
  <c r="C48" i="60"/>
  <c r="D47" i="60"/>
  <c r="C47" i="60"/>
  <c r="D46" i="60"/>
  <c r="C46" i="60"/>
  <c r="D45" i="60"/>
  <c r="C45" i="60"/>
  <c r="D44" i="60"/>
  <c r="C44" i="60"/>
  <c r="D43" i="60"/>
  <c r="C43" i="60"/>
  <c r="D42" i="60"/>
  <c r="C42" i="60"/>
  <c r="D41" i="60"/>
  <c r="C41" i="60"/>
  <c r="D40" i="60"/>
  <c r="C40" i="60"/>
  <c r="D39" i="60"/>
  <c r="C39" i="60"/>
  <c r="D38" i="60"/>
  <c r="C38" i="60"/>
  <c r="D37" i="60"/>
  <c r="C37" i="60"/>
  <c r="D36" i="60"/>
  <c r="C36" i="60"/>
  <c r="D35" i="60"/>
  <c r="C35" i="60"/>
  <c r="D34" i="60"/>
  <c r="C34" i="60"/>
  <c r="D33" i="60"/>
  <c r="C33" i="60"/>
  <c r="D32" i="60"/>
  <c r="C32" i="60"/>
  <c r="D31" i="60"/>
  <c r="C31" i="60"/>
  <c r="D30" i="60"/>
  <c r="C30" i="60"/>
  <c r="D29" i="60"/>
  <c r="C29" i="60"/>
  <c r="D28" i="60"/>
  <c r="C28" i="60"/>
  <c r="D27" i="60"/>
  <c r="C27" i="60"/>
  <c r="D26" i="60"/>
  <c r="C26" i="60"/>
  <c r="D25" i="60"/>
  <c r="C25" i="60"/>
  <c r="D20" i="60"/>
  <c r="C20" i="60"/>
  <c r="D19" i="60"/>
  <c r="C19" i="60"/>
  <c r="D18" i="60"/>
  <c r="C18" i="60"/>
  <c r="D17" i="60"/>
  <c r="C17" i="60"/>
  <c r="D16" i="60"/>
  <c r="C16" i="60"/>
  <c r="D15" i="60"/>
  <c r="C15" i="60"/>
  <c r="D14" i="60"/>
  <c r="C14" i="60"/>
  <c r="D13" i="60"/>
  <c r="C13" i="60"/>
  <c r="D12" i="60"/>
  <c r="C12" i="60"/>
  <c r="D11" i="60"/>
  <c r="C11" i="60"/>
  <c r="C228" i="60" l="1"/>
  <c r="C111" i="60"/>
  <c r="D61" i="60"/>
  <c r="D111" i="60"/>
  <c r="D119" i="60"/>
  <c r="D161" i="60"/>
  <c r="C21" i="60"/>
  <c r="D21" i="60"/>
  <c r="D93" i="60"/>
  <c r="D102" i="60"/>
  <c r="C79" i="60"/>
  <c r="C119" i="60"/>
  <c r="D79" i="60"/>
  <c r="C161" i="60"/>
  <c r="C197" i="60"/>
  <c r="C206" i="60"/>
  <c r="C93" i="60"/>
  <c r="C102" i="60"/>
  <c r="D197" i="60"/>
  <c r="D206" i="60"/>
  <c r="C61" i="60"/>
  <c r="D208" i="60" l="1"/>
  <c r="D215" i="60" s="1"/>
  <c r="C208" i="60"/>
  <c r="C212" i="60" l="1"/>
  <c r="C215" i="60"/>
  <c r="G244" i="118"/>
  <c r="G243" i="118"/>
  <c r="G242" i="118"/>
  <c r="G241" i="118"/>
  <c r="C238" i="118"/>
  <c r="C237" i="118"/>
  <c r="C236" i="118"/>
  <c r="C235" i="118"/>
  <c r="C232" i="118"/>
  <c r="C231" i="118"/>
  <c r="C227" i="118"/>
  <c r="C226" i="118"/>
  <c r="C225" i="118"/>
  <c r="C224" i="118"/>
  <c r="C223" i="118"/>
  <c r="C222" i="118"/>
  <c r="C221" i="118"/>
  <c r="C220" i="118"/>
  <c r="C219" i="118"/>
  <c r="C211" i="118"/>
  <c r="D205" i="118"/>
  <c r="C205" i="118"/>
  <c r="D204" i="118"/>
  <c r="C204" i="118"/>
  <c r="D203" i="118"/>
  <c r="C203" i="118"/>
  <c r="D202" i="118"/>
  <c r="C202" i="118"/>
  <c r="D201" i="118"/>
  <c r="C201" i="118"/>
  <c r="D200" i="118"/>
  <c r="C200" i="118"/>
  <c r="D196" i="118"/>
  <c r="C196" i="118"/>
  <c r="D195" i="118"/>
  <c r="C195" i="118"/>
  <c r="D194" i="118"/>
  <c r="C194" i="118"/>
  <c r="D193" i="118"/>
  <c r="C193" i="118"/>
  <c r="D192" i="118"/>
  <c r="C192" i="118"/>
  <c r="D191" i="118"/>
  <c r="C191" i="118"/>
  <c r="D190" i="118"/>
  <c r="C190" i="118"/>
  <c r="D189" i="118"/>
  <c r="C189" i="118"/>
  <c r="D188" i="118"/>
  <c r="C188" i="118"/>
  <c r="D187" i="118"/>
  <c r="C187" i="118"/>
  <c r="D186" i="118"/>
  <c r="C186" i="118"/>
  <c r="D185" i="118"/>
  <c r="C185" i="118"/>
  <c r="D184" i="118"/>
  <c r="C184" i="118"/>
  <c r="D183" i="118"/>
  <c r="C183" i="118"/>
  <c r="D182" i="118"/>
  <c r="C182" i="118"/>
  <c r="D181" i="118"/>
  <c r="C181" i="118"/>
  <c r="D180" i="118"/>
  <c r="C180" i="118"/>
  <c r="D179" i="118"/>
  <c r="C179" i="118"/>
  <c r="D178" i="118"/>
  <c r="C178" i="118"/>
  <c r="D177" i="118"/>
  <c r="C177" i="118"/>
  <c r="D176" i="118"/>
  <c r="C176" i="118"/>
  <c r="D175" i="118"/>
  <c r="C175" i="118"/>
  <c r="D174" i="118"/>
  <c r="C174" i="118"/>
  <c r="D173" i="118"/>
  <c r="C173" i="118"/>
  <c r="D172" i="118"/>
  <c r="C172" i="118"/>
  <c r="D171" i="118"/>
  <c r="C171" i="118"/>
  <c r="D170" i="118"/>
  <c r="C170" i="118"/>
  <c r="D169" i="118"/>
  <c r="C169" i="118"/>
  <c r="D168" i="118"/>
  <c r="C168" i="118"/>
  <c r="D167" i="118"/>
  <c r="C167" i="118"/>
  <c r="D166" i="118"/>
  <c r="C166" i="118"/>
  <c r="D165" i="118"/>
  <c r="C165" i="118"/>
  <c r="D164" i="118"/>
  <c r="C164" i="118"/>
  <c r="D160" i="118"/>
  <c r="C160" i="118"/>
  <c r="D159" i="118"/>
  <c r="C159" i="118"/>
  <c r="D158" i="118"/>
  <c r="C158" i="118"/>
  <c r="D157" i="118"/>
  <c r="C157" i="118"/>
  <c r="D156" i="118"/>
  <c r="C156" i="118"/>
  <c r="D155" i="118"/>
  <c r="C155" i="118"/>
  <c r="D153" i="118"/>
  <c r="C153" i="118"/>
  <c r="D152" i="118"/>
  <c r="C152" i="118"/>
  <c r="D151" i="118"/>
  <c r="C151" i="118"/>
  <c r="D150" i="118"/>
  <c r="C150" i="118"/>
  <c r="D149" i="118"/>
  <c r="C149" i="118"/>
  <c r="D148" i="118"/>
  <c r="C148" i="118"/>
  <c r="D147" i="118"/>
  <c r="C147" i="118"/>
  <c r="D146" i="118"/>
  <c r="C146" i="118"/>
  <c r="D145" i="118"/>
  <c r="C145" i="118"/>
  <c r="D143" i="118"/>
  <c r="C143" i="118"/>
  <c r="D142" i="118"/>
  <c r="C142" i="118"/>
  <c r="D141" i="118"/>
  <c r="C141" i="118"/>
  <c r="D140" i="118"/>
  <c r="C140" i="118"/>
  <c r="D138" i="118"/>
  <c r="C138" i="118"/>
  <c r="D137" i="118"/>
  <c r="C137" i="118"/>
  <c r="D136" i="118"/>
  <c r="C136" i="118"/>
  <c r="D135" i="118"/>
  <c r="C135" i="118"/>
  <c r="D133" i="118"/>
  <c r="C133" i="118"/>
  <c r="D132" i="118"/>
  <c r="C132" i="118"/>
  <c r="D131" i="118"/>
  <c r="C131" i="118"/>
  <c r="D130" i="118"/>
  <c r="C130" i="118"/>
  <c r="D129" i="118"/>
  <c r="C129" i="118"/>
  <c r="D127" i="118"/>
  <c r="C127" i="118"/>
  <c r="D126" i="118"/>
  <c r="C126" i="118"/>
  <c r="D125" i="118"/>
  <c r="C125" i="118"/>
  <c r="D124" i="118"/>
  <c r="C124" i="118"/>
  <c r="D123" i="118"/>
  <c r="C123" i="118"/>
  <c r="D118" i="118"/>
  <c r="C118" i="118"/>
  <c r="D117" i="118"/>
  <c r="C117" i="118"/>
  <c r="D116" i="118"/>
  <c r="C116" i="118"/>
  <c r="D115" i="118"/>
  <c r="C115" i="118"/>
  <c r="D114" i="118"/>
  <c r="C114" i="118"/>
  <c r="D110" i="118"/>
  <c r="C110" i="118"/>
  <c r="D109" i="118"/>
  <c r="C109" i="118"/>
  <c r="D108" i="118"/>
  <c r="C108" i="118"/>
  <c r="D107" i="118"/>
  <c r="C107" i="118"/>
  <c r="D106" i="118"/>
  <c r="C106" i="118"/>
  <c r="D105" i="118"/>
  <c r="C105" i="118"/>
  <c r="D101" i="118"/>
  <c r="C101" i="118"/>
  <c r="D100" i="118"/>
  <c r="C100" i="118"/>
  <c r="D99" i="118"/>
  <c r="C99" i="118"/>
  <c r="D98" i="118"/>
  <c r="C98" i="118"/>
  <c r="D97" i="118"/>
  <c r="C97" i="118"/>
  <c r="D96" i="118"/>
  <c r="C96" i="118"/>
  <c r="D92" i="118"/>
  <c r="C92" i="118"/>
  <c r="D91" i="118"/>
  <c r="C91" i="118"/>
  <c r="D90" i="118"/>
  <c r="C90" i="118"/>
  <c r="D89" i="118"/>
  <c r="C89" i="118"/>
  <c r="D88" i="118"/>
  <c r="C88" i="118"/>
  <c r="D87" i="118"/>
  <c r="C87" i="118"/>
  <c r="D86" i="118"/>
  <c r="C86" i="118"/>
  <c r="D85" i="118"/>
  <c r="C85" i="118"/>
  <c r="D84" i="118"/>
  <c r="C84" i="118"/>
  <c r="D83" i="118"/>
  <c r="C83" i="118"/>
  <c r="D82" i="118"/>
  <c r="C82" i="118"/>
  <c r="D78" i="118"/>
  <c r="C78" i="118"/>
  <c r="D77" i="118"/>
  <c r="C77" i="118"/>
  <c r="D76" i="118"/>
  <c r="C76" i="118"/>
  <c r="D75" i="118"/>
  <c r="C75" i="118"/>
  <c r="D74" i="118"/>
  <c r="C74" i="118"/>
  <c r="D73" i="118"/>
  <c r="C73" i="118"/>
  <c r="D72" i="118"/>
  <c r="C72" i="118"/>
  <c r="D71" i="118"/>
  <c r="C71" i="118"/>
  <c r="D70" i="118"/>
  <c r="C70" i="118"/>
  <c r="D69" i="118"/>
  <c r="C69" i="118"/>
  <c r="D68" i="118"/>
  <c r="C68" i="118"/>
  <c r="D67" i="118"/>
  <c r="C67" i="118"/>
  <c r="D66" i="118"/>
  <c r="C66" i="118"/>
  <c r="D65" i="118"/>
  <c r="C65" i="118"/>
  <c r="D64" i="118"/>
  <c r="C64" i="118"/>
  <c r="D60" i="118"/>
  <c r="C60" i="118"/>
  <c r="D59" i="118"/>
  <c r="C59" i="118"/>
  <c r="D58" i="118"/>
  <c r="C58" i="118"/>
  <c r="D57" i="118"/>
  <c r="C57" i="118"/>
  <c r="D56" i="118"/>
  <c r="C56" i="118"/>
  <c r="D55" i="118"/>
  <c r="C55" i="118"/>
  <c r="D54" i="118"/>
  <c r="C54" i="118"/>
  <c r="D53" i="118"/>
  <c r="C53" i="118"/>
  <c r="D52" i="118"/>
  <c r="C52" i="118"/>
  <c r="D51" i="118"/>
  <c r="C51" i="118"/>
  <c r="D50" i="118"/>
  <c r="C50" i="118"/>
  <c r="D49" i="118"/>
  <c r="C49" i="118"/>
  <c r="D48" i="118"/>
  <c r="C48" i="118"/>
  <c r="D47" i="118"/>
  <c r="C47" i="118"/>
  <c r="D46" i="118"/>
  <c r="C46" i="118"/>
  <c r="D45" i="118"/>
  <c r="C45" i="118"/>
  <c r="D44" i="118"/>
  <c r="C44" i="118"/>
  <c r="D43" i="118"/>
  <c r="C43" i="118"/>
  <c r="D42" i="118"/>
  <c r="C42" i="118"/>
  <c r="D41" i="118"/>
  <c r="C41" i="118"/>
  <c r="D40" i="118"/>
  <c r="C40" i="118"/>
  <c r="D39" i="118"/>
  <c r="C39" i="118"/>
  <c r="D38" i="118"/>
  <c r="C38" i="118"/>
  <c r="D37" i="118"/>
  <c r="C37" i="118"/>
  <c r="D36" i="118"/>
  <c r="C36" i="118"/>
  <c r="D35" i="118"/>
  <c r="C35" i="118"/>
  <c r="D34" i="118"/>
  <c r="C34" i="118"/>
  <c r="D33" i="118"/>
  <c r="C33" i="118"/>
  <c r="D32" i="118"/>
  <c r="C32" i="118"/>
  <c r="D31" i="118"/>
  <c r="C31" i="118"/>
  <c r="D30" i="118"/>
  <c r="C30" i="118"/>
  <c r="D29" i="118"/>
  <c r="C29" i="118"/>
  <c r="D28" i="118"/>
  <c r="C28" i="118"/>
  <c r="D27" i="118"/>
  <c r="C27" i="118"/>
  <c r="D26" i="118"/>
  <c r="C26" i="118"/>
  <c r="D25" i="118"/>
  <c r="C25" i="118"/>
  <c r="D20" i="118"/>
  <c r="C20" i="118"/>
  <c r="D19" i="118"/>
  <c r="C19" i="118"/>
  <c r="D18" i="118"/>
  <c r="C18" i="118"/>
  <c r="D17" i="118"/>
  <c r="C17" i="118"/>
  <c r="D16" i="118"/>
  <c r="C16" i="118"/>
  <c r="D15" i="118"/>
  <c r="C15" i="118"/>
  <c r="D14" i="118"/>
  <c r="C14" i="118"/>
  <c r="D13" i="118"/>
  <c r="C13" i="118"/>
  <c r="D12" i="118"/>
  <c r="C12" i="118"/>
  <c r="D11" i="118"/>
  <c r="C11" i="118"/>
  <c r="C79" i="118" l="1"/>
  <c r="C119" i="118"/>
  <c r="C206" i="118"/>
  <c r="D161" i="118"/>
  <c r="D206" i="118"/>
  <c r="D79" i="118"/>
  <c r="D119" i="118"/>
  <c r="C111" i="118"/>
  <c r="C197" i="118"/>
  <c r="D102" i="118"/>
  <c r="D111" i="118"/>
  <c r="D197" i="118"/>
  <c r="C21" i="118"/>
  <c r="C61" i="118"/>
  <c r="C102" i="118"/>
  <c r="D21" i="118"/>
  <c r="D61" i="118"/>
  <c r="C93" i="118"/>
  <c r="C161" i="118"/>
  <c r="D93" i="118"/>
  <c r="G244" i="103" l="1"/>
  <c r="G243" i="103"/>
  <c r="G242" i="103"/>
  <c r="G241" i="103"/>
  <c r="C238" i="103"/>
  <c r="C237" i="103"/>
  <c r="C236" i="103"/>
  <c r="C235" i="103"/>
  <c r="C232" i="103"/>
  <c r="C231" i="103"/>
  <c r="C227" i="103"/>
  <c r="C226" i="103"/>
  <c r="C225" i="103"/>
  <c r="C224" i="103"/>
  <c r="C223" i="103"/>
  <c r="C222" i="103"/>
  <c r="C221" i="103"/>
  <c r="C220" i="103"/>
  <c r="C219" i="103"/>
  <c r="C211" i="103"/>
  <c r="D205" i="103"/>
  <c r="C205" i="103"/>
  <c r="D204" i="103"/>
  <c r="C204" i="103"/>
  <c r="D203" i="103"/>
  <c r="C203" i="103"/>
  <c r="D202" i="103"/>
  <c r="C202" i="103"/>
  <c r="D201" i="103"/>
  <c r="C201" i="103"/>
  <c r="D200" i="103"/>
  <c r="C200" i="103"/>
  <c r="D196" i="103"/>
  <c r="C196" i="103"/>
  <c r="D195" i="103"/>
  <c r="C195" i="103"/>
  <c r="D194" i="103"/>
  <c r="C194" i="103"/>
  <c r="D193" i="103"/>
  <c r="C193" i="103"/>
  <c r="D192" i="103"/>
  <c r="C192" i="103"/>
  <c r="D191" i="103"/>
  <c r="C191" i="103"/>
  <c r="D190" i="103"/>
  <c r="C190" i="103"/>
  <c r="D189" i="103"/>
  <c r="C189" i="103"/>
  <c r="D188" i="103"/>
  <c r="C188" i="103"/>
  <c r="D187" i="103"/>
  <c r="C187" i="103"/>
  <c r="D186" i="103"/>
  <c r="C186" i="103"/>
  <c r="D185" i="103"/>
  <c r="C185" i="103"/>
  <c r="D184" i="103"/>
  <c r="C184" i="103"/>
  <c r="D183" i="103"/>
  <c r="C183" i="103"/>
  <c r="D182" i="103"/>
  <c r="C182" i="103"/>
  <c r="D181" i="103"/>
  <c r="C181" i="103"/>
  <c r="D180" i="103"/>
  <c r="C180" i="103"/>
  <c r="D179" i="103"/>
  <c r="C179" i="103"/>
  <c r="D178" i="103"/>
  <c r="C178" i="103"/>
  <c r="D177" i="103"/>
  <c r="C177" i="103"/>
  <c r="D176" i="103"/>
  <c r="C176" i="103"/>
  <c r="D175" i="103"/>
  <c r="C175" i="103"/>
  <c r="D174" i="103"/>
  <c r="C174" i="103"/>
  <c r="D173" i="103"/>
  <c r="C173" i="103"/>
  <c r="D172" i="103"/>
  <c r="C172" i="103"/>
  <c r="D171" i="103"/>
  <c r="C171" i="103"/>
  <c r="D170" i="103"/>
  <c r="C170" i="103"/>
  <c r="D169" i="103"/>
  <c r="C169" i="103"/>
  <c r="D168" i="103"/>
  <c r="C168" i="103"/>
  <c r="D167" i="103"/>
  <c r="C167" i="103"/>
  <c r="D166" i="103"/>
  <c r="C166" i="103"/>
  <c r="D165" i="103"/>
  <c r="C165" i="103"/>
  <c r="D164" i="103"/>
  <c r="C164" i="103"/>
  <c r="D160" i="103"/>
  <c r="C160" i="103"/>
  <c r="D159" i="103"/>
  <c r="C159" i="103"/>
  <c r="D158" i="103"/>
  <c r="C158" i="103"/>
  <c r="D157" i="103"/>
  <c r="C157" i="103"/>
  <c r="D156" i="103"/>
  <c r="C156" i="103"/>
  <c r="D155" i="103"/>
  <c r="C155" i="103"/>
  <c r="D153" i="103"/>
  <c r="C153" i="103"/>
  <c r="D152" i="103"/>
  <c r="C152" i="103"/>
  <c r="D151" i="103"/>
  <c r="C151" i="103"/>
  <c r="D150" i="103"/>
  <c r="C150" i="103"/>
  <c r="D149" i="103"/>
  <c r="C149" i="103"/>
  <c r="D148" i="103"/>
  <c r="C148" i="103"/>
  <c r="D147" i="103"/>
  <c r="C147" i="103"/>
  <c r="D146" i="103"/>
  <c r="C146" i="103"/>
  <c r="D145" i="103"/>
  <c r="C145" i="103"/>
  <c r="D143" i="103"/>
  <c r="C143" i="103"/>
  <c r="D142" i="103"/>
  <c r="C142" i="103"/>
  <c r="D141" i="103"/>
  <c r="C141" i="103"/>
  <c r="D140" i="103"/>
  <c r="C140" i="103"/>
  <c r="D138" i="103"/>
  <c r="C138" i="103"/>
  <c r="D137" i="103"/>
  <c r="C137" i="103"/>
  <c r="D136" i="103"/>
  <c r="C136" i="103"/>
  <c r="D135" i="103"/>
  <c r="C135" i="103"/>
  <c r="D133" i="103"/>
  <c r="C133" i="103"/>
  <c r="D132" i="103"/>
  <c r="C132" i="103"/>
  <c r="D131" i="103"/>
  <c r="C131" i="103"/>
  <c r="D130" i="103"/>
  <c r="C130" i="103"/>
  <c r="D129" i="103"/>
  <c r="C129" i="103"/>
  <c r="D127" i="103"/>
  <c r="C127" i="103"/>
  <c r="D126" i="103"/>
  <c r="C126" i="103"/>
  <c r="D125" i="103"/>
  <c r="C125" i="103"/>
  <c r="D124" i="103"/>
  <c r="C124" i="103"/>
  <c r="D123" i="103"/>
  <c r="C123" i="103"/>
  <c r="D118" i="103"/>
  <c r="C118" i="103"/>
  <c r="D117" i="103"/>
  <c r="C117" i="103"/>
  <c r="D116" i="103"/>
  <c r="C116" i="103"/>
  <c r="D115" i="103"/>
  <c r="C115" i="103"/>
  <c r="D114" i="103"/>
  <c r="C114" i="103"/>
  <c r="D110" i="103"/>
  <c r="C110" i="103"/>
  <c r="D109" i="103"/>
  <c r="C109" i="103"/>
  <c r="D108" i="103"/>
  <c r="C108" i="103"/>
  <c r="D107" i="103"/>
  <c r="C107" i="103"/>
  <c r="D106" i="103"/>
  <c r="C106" i="103"/>
  <c r="D105" i="103"/>
  <c r="C105" i="103"/>
  <c r="D101" i="103"/>
  <c r="C101" i="103"/>
  <c r="D100" i="103"/>
  <c r="C100" i="103"/>
  <c r="D99" i="103"/>
  <c r="C99" i="103"/>
  <c r="D98" i="103"/>
  <c r="C98" i="103"/>
  <c r="D97" i="103"/>
  <c r="C97" i="103"/>
  <c r="D96" i="103"/>
  <c r="C96" i="103"/>
  <c r="D92" i="103"/>
  <c r="C92" i="103"/>
  <c r="D91" i="103"/>
  <c r="C91" i="103"/>
  <c r="D90" i="103"/>
  <c r="C90" i="103"/>
  <c r="D89" i="103"/>
  <c r="C89" i="103"/>
  <c r="D88" i="103"/>
  <c r="C88" i="103"/>
  <c r="D87" i="103"/>
  <c r="C87" i="103"/>
  <c r="D86" i="103"/>
  <c r="C86" i="103"/>
  <c r="D85" i="103"/>
  <c r="C85" i="103"/>
  <c r="D84" i="103"/>
  <c r="C84" i="103"/>
  <c r="D83" i="103"/>
  <c r="C83" i="103"/>
  <c r="D82" i="103"/>
  <c r="C82" i="103"/>
  <c r="D78" i="103"/>
  <c r="C78" i="103"/>
  <c r="D77" i="103"/>
  <c r="C77" i="103"/>
  <c r="D76" i="103"/>
  <c r="C76" i="103"/>
  <c r="D75" i="103"/>
  <c r="C75" i="103"/>
  <c r="D74" i="103"/>
  <c r="C74" i="103"/>
  <c r="D73" i="103"/>
  <c r="C73" i="103"/>
  <c r="D72" i="103"/>
  <c r="C72" i="103"/>
  <c r="D71" i="103"/>
  <c r="C71" i="103"/>
  <c r="D70" i="103"/>
  <c r="C70" i="103"/>
  <c r="D69" i="103"/>
  <c r="C69" i="103"/>
  <c r="D68" i="103"/>
  <c r="C68" i="103"/>
  <c r="D67" i="103"/>
  <c r="C67" i="103"/>
  <c r="D66" i="103"/>
  <c r="C66" i="103"/>
  <c r="D65" i="103"/>
  <c r="C65" i="103"/>
  <c r="D64" i="103"/>
  <c r="C64" i="103"/>
  <c r="D60" i="103"/>
  <c r="C60" i="103"/>
  <c r="D59" i="103"/>
  <c r="C59" i="103"/>
  <c r="D58" i="103"/>
  <c r="C58" i="103"/>
  <c r="D57" i="103"/>
  <c r="C57" i="103"/>
  <c r="D56" i="103"/>
  <c r="C56" i="103"/>
  <c r="D55" i="103"/>
  <c r="C55" i="103"/>
  <c r="D54" i="103"/>
  <c r="C54" i="103"/>
  <c r="D53" i="103"/>
  <c r="C53" i="103"/>
  <c r="D52" i="103"/>
  <c r="C52" i="103"/>
  <c r="D51" i="103"/>
  <c r="C51" i="103"/>
  <c r="D50" i="103"/>
  <c r="C50" i="103"/>
  <c r="D49" i="103"/>
  <c r="C49" i="103"/>
  <c r="D48" i="103"/>
  <c r="C48" i="103"/>
  <c r="D47" i="103"/>
  <c r="C47" i="103"/>
  <c r="D46" i="103"/>
  <c r="C46" i="103"/>
  <c r="D45" i="103"/>
  <c r="C45" i="103"/>
  <c r="D44" i="103"/>
  <c r="C44" i="103"/>
  <c r="D43" i="103"/>
  <c r="C43" i="103"/>
  <c r="D42" i="103"/>
  <c r="C42" i="103"/>
  <c r="D41" i="103"/>
  <c r="C41" i="103"/>
  <c r="D40" i="103"/>
  <c r="C40" i="103"/>
  <c r="D39" i="103"/>
  <c r="C39" i="103"/>
  <c r="D38" i="103"/>
  <c r="C38" i="103"/>
  <c r="D37" i="103"/>
  <c r="C37" i="103"/>
  <c r="D36" i="103"/>
  <c r="C36" i="103"/>
  <c r="D35" i="103"/>
  <c r="C35" i="103"/>
  <c r="D34" i="103"/>
  <c r="C34" i="103"/>
  <c r="D33" i="103"/>
  <c r="C33" i="103"/>
  <c r="D32" i="103"/>
  <c r="C32" i="103"/>
  <c r="D31" i="103"/>
  <c r="C31" i="103"/>
  <c r="D30" i="103"/>
  <c r="C30" i="103"/>
  <c r="D29" i="103"/>
  <c r="C29" i="103"/>
  <c r="D28" i="103"/>
  <c r="C28" i="103"/>
  <c r="D27" i="103"/>
  <c r="C27" i="103"/>
  <c r="D26" i="103"/>
  <c r="C26" i="103"/>
  <c r="D25" i="103"/>
  <c r="C25" i="103"/>
  <c r="D20" i="103"/>
  <c r="C20" i="103"/>
  <c r="D19" i="103"/>
  <c r="C19" i="103"/>
  <c r="D18" i="103"/>
  <c r="C18" i="103"/>
  <c r="D17" i="103"/>
  <c r="C17" i="103"/>
  <c r="D16" i="103"/>
  <c r="C16" i="103"/>
  <c r="D15" i="103"/>
  <c r="C15" i="103"/>
  <c r="D14" i="103"/>
  <c r="C14" i="103"/>
  <c r="D13" i="103"/>
  <c r="C13" i="103"/>
  <c r="D12" i="103"/>
  <c r="C12" i="103"/>
  <c r="D11" i="103"/>
  <c r="C11" i="103"/>
  <c r="D119" i="103" l="1"/>
  <c r="C197" i="103"/>
  <c r="C206" i="103"/>
  <c r="C21" i="103"/>
  <c r="C93" i="103"/>
  <c r="D79" i="103"/>
  <c r="D93" i="103"/>
  <c r="C119" i="103"/>
  <c r="D21" i="103"/>
  <c r="C102" i="103"/>
  <c r="D197" i="103"/>
  <c r="D206" i="103"/>
  <c r="C79" i="103"/>
  <c r="D102" i="103"/>
  <c r="C161" i="103"/>
  <c r="C111" i="103"/>
  <c r="D161" i="103"/>
  <c r="D111" i="103"/>
  <c r="C61" i="103"/>
  <c r="D61" i="103"/>
  <c r="F206" i="83" l="1"/>
  <c r="F197" i="83"/>
  <c r="F161" i="83"/>
  <c r="F119" i="83"/>
  <c r="F111" i="83"/>
  <c r="F102" i="83"/>
  <c r="F93" i="83"/>
  <c r="F79" i="83"/>
  <c r="F61" i="83"/>
  <c r="F21" i="83"/>
  <c r="F197" i="66" l="1"/>
  <c r="F161" i="66"/>
  <c r="F119" i="66"/>
  <c r="F111" i="66"/>
  <c r="F102" i="66"/>
  <c r="F93" i="66"/>
  <c r="F79" i="66"/>
  <c r="F61" i="66"/>
  <c r="F206" i="67" l="1"/>
  <c r="F197" i="67"/>
  <c r="F161" i="67"/>
  <c r="F119" i="67"/>
  <c r="F111" i="67"/>
  <c r="F102" i="67"/>
  <c r="F93" i="67"/>
  <c r="F79" i="67"/>
  <c r="F61" i="67"/>
  <c r="F21" i="67"/>
  <c r="F61" i="103" l="1"/>
  <c r="C233" i="103" l="1"/>
  <c r="D228" i="103"/>
  <c r="C228" i="103" l="1"/>
  <c r="C208" i="103" l="1"/>
  <c r="C212" i="103" s="1"/>
  <c r="D208" i="103"/>
  <c r="D215" i="103" s="1"/>
  <c r="C215" i="103" l="1"/>
  <c r="Z208" i="152" l="1"/>
  <c r="Y208" i="152"/>
  <c r="X208" i="152"/>
  <c r="W208" i="152"/>
  <c r="A1" i="97" l="1"/>
  <c r="F237" i="157" l="1"/>
  <c r="F237" i="158"/>
  <c r="X208" i="158"/>
  <c r="W208" i="158"/>
  <c r="Y208" i="158" l="1"/>
  <c r="Z208" i="158"/>
  <c r="C233" i="118" l="1"/>
  <c r="D228" i="118"/>
  <c r="C228" i="118" l="1"/>
  <c r="C208" i="118" l="1"/>
  <c r="C212" i="118" s="1"/>
  <c r="D208" i="118"/>
  <c r="D215" i="118" s="1"/>
  <c r="C215" i="118" l="1"/>
  <c r="C233" i="100" l="1"/>
  <c r="D228" i="100"/>
  <c r="D93" i="100" l="1"/>
  <c r="D119" i="100"/>
  <c r="D161" i="100"/>
  <c r="C206" i="100"/>
  <c r="D21" i="100"/>
  <c r="C111" i="100"/>
  <c r="C161" i="100"/>
  <c r="D79" i="100"/>
  <c r="C93" i="100"/>
  <c r="D102" i="100"/>
  <c r="C21" i="100"/>
  <c r="C79" i="100"/>
  <c r="C102" i="100"/>
  <c r="C119" i="100"/>
  <c r="C228" i="100"/>
  <c r="D111" i="100"/>
  <c r="C197" i="100"/>
  <c r="D197" i="100"/>
  <c r="D206" i="100"/>
  <c r="C61" i="100"/>
  <c r="D61" i="100"/>
  <c r="D208" i="100" l="1"/>
  <c r="D215" i="100" s="1"/>
  <c r="C208" i="100"/>
  <c r="C212" i="100" s="1"/>
  <c r="C215" i="100" l="1"/>
  <c r="C233" i="59"/>
  <c r="D228" i="59"/>
  <c r="D197" i="59" l="1"/>
  <c r="C79" i="59"/>
  <c r="C111" i="59"/>
  <c r="C197" i="59"/>
  <c r="D111" i="59"/>
  <c r="D206" i="59"/>
  <c r="D21" i="59"/>
  <c r="D102" i="59"/>
  <c r="C206" i="59"/>
  <c r="D119" i="59"/>
  <c r="D93" i="59"/>
  <c r="C119" i="59"/>
  <c r="C21" i="59"/>
  <c r="C102" i="59"/>
  <c r="C228" i="59"/>
  <c r="C93" i="59"/>
  <c r="D161" i="59"/>
  <c r="D79" i="59"/>
  <c r="C161" i="59"/>
  <c r="C61" i="59"/>
  <c r="D61" i="59"/>
  <c r="D208" i="59" l="1"/>
  <c r="D215" i="59" s="1"/>
  <c r="C208" i="59"/>
  <c r="C212" i="59" s="1"/>
  <c r="C215" i="59" l="1"/>
  <c r="C233" i="67"/>
  <c r="D228" i="67"/>
  <c r="C197" i="67" l="1"/>
  <c r="D79" i="67"/>
  <c r="D111" i="67"/>
  <c r="D119" i="67"/>
  <c r="C111" i="67"/>
  <c r="C79" i="67"/>
  <c r="C161" i="67"/>
  <c r="C93" i="67"/>
  <c r="D161" i="67"/>
  <c r="C228" i="67"/>
  <c r="C21" i="67"/>
  <c r="D21" i="67"/>
  <c r="C102" i="67"/>
  <c r="C119" i="67"/>
  <c r="D197" i="67"/>
  <c r="D206" i="67"/>
  <c r="C206" i="67"/>
  <c r="D93" i="67"/>
  <c r="D102" i="67"/>
  <c r="C61" i="67"/>
  <c r="D61" i="67"/>
  <c r="D208" i="67" l="1"/>
  <c r="D215" i="67" s="1"/>
  <c r="C208" i="67"/>
  <c r="C212" i="67" s="1"/>
  <c r="C215" i="67" l="1"/>
  <c r="F228" i="43" l="1"/>
  <c r="E227" i="43"/>
  <c r="E226" i="43"/>
  <c r="E225" i="43"/>
  <c r="E224" i="43"/>
  <c r="E223" i="43"/>
  <c r="E222" i="43"/>
  <c r="E221" i="43"/>
  <c r="E220" i="43"/>
  <c r="E219" i="103"/>
  <c r="E219" i="19"/>
  <c r="E219" i="10"/>
  <c r="E219" i="118"/>
  <c r="E219" i="60"/>
  <c r="E219" i="133"/>
  <c r="E219" i="54"/>
  <c r="E219" i="155"/>
  <c r="E219" i="156"/>
  <c r="E219" i="157"/>
  <c r="E219" i="158"/>
  <c r="E219" i="94"/>
  <c r="E219" i="145"/>
  <c r="E219" i="164"/>
  <c r="E219" i="15"/>
  <c r="E219" i="150"/>
  <c r="E219" i="68"/>
  <c r="E219" i="100"/>
  <c r="E219" i="67"/>
  <c r="E219" i="59"/>
  <c r="E219" i="84"/>
  <c r="E219" i="66"/>
  <c r="E219" i="63"/>
  <c r="E219" i="62"/>
  <c r="E219" i="58"/>
  <c r="E219" i="136"/>
  <c r="E219" i="53"/>
  <c r="E219" i="98"/>
  <c r="E219" i="49"/>
  <c r="E219" i="83"/>
  <c r="E219" i="47"/>
  <c r="E219" i="46"/>
  <c r="E219" i="102"/>
  <c r="E219" i="45"/>
  <c r="E219" i="104"/>
  <c r="E219" i="106"/>
  <c r="E219" i="57"/>
  <c r="E219" i="42"/>
  <c r="E219" i="71"/>
  <c r="E219" i="167"/>
  <c r="E219" i="39"/>
  <c r="E219" i="135"/>
  <c r="E219" i="38"/>
  <c r="E219" i="152"/>
  <c r="E219" i="120"/>
  <c r="E219" i="37"/>
  <c r="E219" i="90"/>
  <c r="E219" i="24"/>
  <c r="E219" i="141"/>
  <c r="E219" i="33"/>
  <c r="E219" i="32"/>
  <c r="E219" i="79"/>
  <c r="E219" i="31"/>
  <c r="E219" i="64"/>
  <c r="E219" i="72"/>
  <c r="E219" i="28"/>
  <c r="E219" i="65"/>
  <c r="E219" i="119"/>
  <c r="E219" i="25"/>
  <c r="E219" i="20"/>
  <c r="E219" i="159"/>
  <c r="E219" i="16"/>
  <c r="E219" i="27"/>
  <c r="E219" i="111"/>
  <c r="E219" i="165"/>
  <c r="E219" i="55"/>
  <c r="E219" i="21"/>
  <c r="E219" i="14"/>
  <c r="E219" i="85"/>
  <c r="E219" i="149"/>
  <c r="E219" i="143"/>
  <c r="E219" i="87"/>
  <c r="E219" i="69"/>
  <c r="E219" i="86"/>
  <c r="E219" i="89"/>
  <c r="E219" i="142"/>
  <c r="E219" i="91"/>
  <c r="E219" i="92"/>
  <c r="E219" i="113"/>
  <c r="E219" i="1"/>
  <c r="E219" i="50"/>
  <c r="E219" i="95"/>
  <c r="E219" i="43"/>
  <c r="F161" i="103"/>
  <c r="F161" i="19"/>
  <c r="F161" i="118"/>
  <c r="F161" i="60"/>
  <c r="F161" i="54"/>
  <c r="F161" i="155"/>
  <c r="F161" i="156"/>
  <c r="F161" i="157"/>
  <c r="F161" i="158"/>
  <c r="F161" i="94"/>
  <c r="F161" i="100"/>
  <c r="F161" i="59"/>
  <c r="F208" i="84"/>
  <c r="F161" i="58"/>
  <c r="F161" i="53"/>
  <c r="F161" i="98"/>
  <c r="F161" i="49"/>
  <c r="F161" i="47"/>
  <c r="F161" i="46"/>
  <c r="F161" i="104"/>
  <c r="F161" i="106"/>
  <c r="F161" i="57"/>
  <c r="F161" i="42"/>
  <c r="F161" i="71"/>
  <c r="F161" i="39"/>
  <c r="F161" i="37"/>
  <c r="F161" i="90"/>
  <c r="F161" i="24"/>
  <c r="F161" i="141"/>
  <c r="F161" i="79"/>
  <c r="F161" i="31"/>
  <c r="F161" i="64"/>
  <c r="F161" i="72"/>
  <c r="F161" i="28"/>
  <c r="F161" i="65"/>
  <c r="F161" i="119"/>
  <c r="F161" i="25"/>
  <c r="F161" i="20"/>
  <c r="F161" i="16"/>
  <c r="F161" i="165"/>
  <c r="F161" i="55"/>
  <c r="F161" i="14"/>
  <c r="F161" i="85"/>
  <c r="F161" i="87"/>
  <c r="F161" i="69"/>
  <c r="F161" i="86"/>
  <c r="F161" i="142"/>
  <c r="F161" i="91"/>
  <c r="F161" i="92"/>
  <c r="F161" i="113"/>
  <c r="F161" i="1"/>
  <c r="F161" i="50"/>
  <c r="F161" i="95"/>
  <c r="F161" i="43"/>
  <c r="F208" i="83"/>
  <c r="F215" i="83" s="1"/>
  <c r="F206" i="103"/>
  <c r="F206" i="19"/>
  <c r="F206" i="118"/>
  <c r="F206" i="60"/>
  <c r="F206" i="54"/>
  <c r="F206" i="155"/>
  <c r="F206" i="156"/>
  <c r="F206" i="157"/>
  <c r="F206" i="158"/>
  <c r="F206" i="94"/>
  <c r="F206" i="100"/>
  <c r="F206" i="59"/>
  <c r="F206" i="66"/>
  <c r="F208" i="66" s="1"/>
  <c r="F206" i="58"/>
  <c r="F206" i="53"/>
  <c r="F206" i="98"/>
  <c r="F206" i="49"/>
  <c r="F206" i="47"/>
  <c r="F206" i="46"/>
  <c r="F208" i="102"/>
  <c r="F206" i="104"/>
  <c r="F206" i="106"/>
  <c r="F206" i="57"/>
  <c r="F206" i="42"/>
  <c r="F206" i="71"/>
  <c r="F206" i="39"/>
  <c r="F206" i="37"/>
  <c r="F206" i="90"/>
  <c r="F206" i="24"/>
  <c r="F206" i="141"/>
  <c r="F206" i="79"/>
  <c r="F206" i="31"/>
  <c r="F206" i="64"/>
  <c r="F206" i="72"/>
  <c r="F206" i="28"/>
  <c r="F206" i="65"/>
  <c r="F206" i="119"/>
  <c r="F206" i="25"/>
  <c r="F206" i="20"/>
  <c r="F206" i="16"/>
  <c r="F206" i="165"/>
  <c r="F206" i="55"/>
  <c r="F206" i="21"/>
  <c r="F206" i="14"/>
  <c r="F206" i="85"/>
  <c r="F206" i="87"/>
  <c r="F206" i="69"/>
  <c r="F206" i="86"/>
  <c r="F206" i="142"/>
  <c r="F206" i="91"/>
  <c r="F206" i="92"/>
  <c r="F206" i="113"/>
  <c r="F206" i="1"/>
  <c r="F206" i="50"/>
  <c r="F206" i="95"/>
  <c r="F206" i="43"/>
  <c r="E205" i="103"/>
  <c r="E204" i="103"/>
  <c r="E203" i="103"/>
  <c r="E202" i="103"/>
  <c r="E201" i="103"/>
  <c r="E200" i="103"/>
  <c r="E205" i="19"/>
  <c r="E204" i="19"/>
  <c r="E203" i="19"/>
  <c r="E202" i="19"/>
  <c r="E201" i="19"/>
  <c r="E200" i="19"/>
  <c r="E205" i="10"/>
  <c r="E204" i="10"/>
  <c r="E203" i="10"/>
  <c r="E202" i="10"/>
  <c r="E201" i="10"/>
  <c r="E200" i="10"/>
  <c r="E205" i="118"/>
  <c r="E204" i="118"/>
  <c r="E203" i="118"/>
  <c r="E202" i="118"/>
  <c r="E201" i="118"/>
  <c r="E200" i="118"/>
  <c r="E205" i="60"/>
  <c r="E204" i="60"/>
  <c r="E203" i="60"/>
  <c r="E202" i="60"/>
  <c r="E201" i="60"/>
  <c r="E200" i="60"/>
  <c r="E205" i="133"/>
  <c r="E204" i="133"/>
  <c r="E203" i="133"/>
  <c r="E202" i="133"/>
  <c r="E201" i="133"/>
  <c r="E200" i="133"/>
  <c r="E205" i="54"/>
  <c r="E204" i="54"/>
  <c r="E203" i="54"/>
  <c r="E202" i="54"/>
  <c r="E201" i="54"/>
  <c r="E200" i="54"/>
  <c r="E205" i="155"/>
  <c r="E204" i="155"/>
  <c r="E203" i="155"/>
  <c r="E202" i="155"/>
  <c r="E201" i="155"/>
  <c r="E200" i="155"/>
  <c r="E205" i="156"/>
  <c r="E204" i="156"/>
  <c r="E203" i="156"/>
  <c r="E202" i="156"/>
  <c r="E201" i="156"/>
  <c r="E200" i="156"/>
  <c r="E205" i="157"/>
  <c r="E204" i="157"/>
  <c r="E203" i="157"/>
  <c r="E202" i="157"/>
  <c r="E201" i="157"/>
  <c r="E200" i="157"/>
  <c r="E205" i="158"/>
  <c r="E204" i="158"/>
  <c r="E203" i="158"/>
  <c r="E202" i="158"/>
  <c r="E201" i="158"/>
  <c r="E200" i="158"/>
  <c r="E205" i="94"/>
  <c r="E204" i="94"/>
  <c r="E203" i="94"/>
  <c r="E202" i="94"/>
  <c r="E201" i="94"/>
  <c r="E200" i="94"/>
  <c r="E205" i="145"/>
  <c r="E204" i="145"/>
  <c r="E203" i="145"/>
  <c r="E202" i="145"/>
  <c r="E201" i="145"/>
  <c r="E200" i="145"/>
  <c r="E205" i="164"/>
  <c r="E204" i="164"/>
  <c r="E203" i="164"/>
  <c r="E202" i="164"/>
  <c r="E201" i="164"/>
  <c r="E200" i="164"/>
  <c r="E205" i="15"/>
  <c r="E204" i="15"/>
  <c r="E203" i="15"/>
  <c r="E202" i="15"/>
  <c r="E201" i="15"/>
  <c r="E200" i="15"/>
  <c r="E205" i="150"/>
  <c r="E204" i="150"/>
  <c r="E203" i="150"/>
  <c r="E202" i="150"/>
  <c r="E201" i="150"/>
  <c r="E200" i="150"/>
  <c r="E205" i="68"/>
  <c r="E204" i="68"/>
  <c r="E203" i="68"/>
  <c r="E202" i="68"/>
  <c r="E201" i="68"/>
  <c r="E200" i="68"/>
  <c r="E205" i="100"/>
  <c r="E204" i="100"/>
  <c r="E203" i="100"/>
  <c r="E202" i="100"/>
  <c r="E201" i="100"/>
  <c r="E200" i="100"/>
  <c r="E205" i="67"/>
  <c r="E204" i="67"/>
  <c r="E203" i="67"/>
  <c r="E202" i="67"/>
  <c r="E201" i="67"/>
  <c r="E200" i="67"/>
  <c r="E205" i="59"/>
  <c r="E204" i="59"/>
  <c r="E203" i="59"/>
  <c r="E202" i="59"/>
  <c r="E201" i="59"/>
  <c r="E200" i="59"/>
  <c r="E205" i="84"/>
  <c r="E204" i="84"/>
  <c r="E203" i="84"/>
  <c r="E202" i="84"/>
  <c r="E201" i="84"/>
  <c r="E200" i="84"/>
  <c r="E205" i="66"/>
  <c r="E204" i="66"/>
  <c r="E203" i="66"/>
  <c r="E202" i="66"/>
  <c r="E201" i="66"/>
  <c r="E200" i="66"/>
  <c r="E205" i="63"/>
  <c r="E204" i="63"/>
  <c r="E203" i="63"/>
  <c r="E202" i="63"/>
  <c r="E201" i="63"/>
  <c r="E200" i="63"/>
  <c r="E205" i="62"/>
  <c r="E204" i="62"/>
  <c r="E203" i="62"/>
  <c r="E202" i="62"/>
  <c r="E201" i="62"/>
  <c r="E200" i="62"/>
  <c r="E205" i="58"/>
  <c r="E204" i="58"/>
  <c r="E203" i="58"/>
  <c r="E202" i="58"/>
  <c r="E201" i="58"/>
  <c r="E200" i="58"/>
  <c r="E205" i="136"/>
  <c r="E204" i="136"/>
  <c r="E203" i="136"/>
  <c r="E202" i="136"/>
  <c r="E201" i="136"/>
  <c r="E200" i="136"/>
  <c r="E205" i="53"/>
  <c r="E204" i="53"/>
  <c r="E203" i="53"/>
  <c r="E202" i="53"/>
  <c r="E201" i="53"/>
  <c r="E200" i="53"/>
  <c r="E205" i="98"/>
  <c r="E204" i="98"/>
  <c r="E203" i="98"/>
  <c r="E202" i="98"/>
  <c r="E201" i="98"/>
  <c r="E200" i="98"/>
  <c r="E205" i="49"/>
  <c r="E204" i="49"/>
  <c r="E203" i="49"/>
  <c r="E202" i="49"/>
  <c r="E201" i="49"/>
  <c r="E200" i="49"/>
  <c r="E205" i="83"/>
  <c r="E204" i="83"/>
  <c r="E203" i="83"/>
  <c r="E202" i="83"/>
  <c r="E201" i="83"/>
  <c r="E200" i="83"/>
  <c r="E205" i="47"/>
  <c r="E204" i="47"/>
  <c r="E203" i="47"/>
  <c r="E202" i="47"/>
  <c r="E201" i="47"/>
  <c r="E200" i="47"/>
  <c r="E205" i="46"/>
  <c r="E204" i="46"/>
  <c r="E203" i="46"/>
  <c r="E202" i="46"/>
  <c r="E201" i="46"/>
  <c r="E200" i="46"/>
  <c r="E205" i="102"/>
  <c r="E204" i="102"/>
  <c r="E203" i="102"/>
  <c r="E202" i="102"/>
  <c r="E201" i="102"/>
  <c r="E200" i="102"/>
  <c r="E205" i="45"/>
  <c r="E204" i="45"/>
  <c r="E203" i="45"/>
  <c r="E202" i="45"/>
  <c r="E201" i="45"/>
  <c r="E200" i="45"/>
  <c r="E205" i="104"/>
  <c r="E204" i="104"/>
  <c r="E203" i="104"/>
  <c r="E202" i="104"/>
  <c r="E201" i="104"/>
  <c r="E200" i="104"/>
  <c r="E205" i="106"/>
  <c r="E204" i="106"/>
  <c r="E203" i="106"/>
  <c r="E202" i="106"/>
  <c r="E201" i="106"/>
  <c r="E200" i="106"/>
  <c r="E205" i="57"/>
  <c r="E204" i="57"/>
  <c r="E203" i="57"/>
  <c r="E202" i="57"/>
  <c r="E201" i="57"/>
  <c r="E200" i="57"/>
  <c r="E205" i="42"/>
  <c r="E204" i="42"/>
  <c r="E203" i="42"/>
  <c r="E202" i="42"/>
  <c r="E201" i="42"/>
  <c r="E200" i="42"/>
  <c r="E205" i="71"/>
  <c r="E204" i="71"/>
  <c r="E203" i="71"/>
  <c r="E202" i="71"/>
  <c r="E201" i="71"/>
  <c r="E200" i="71"/>
  <c r="E205" i="167"/>
  <c r="E204" i="167"/>
  <c r="E203" i="167"/>
  <c r="E202" i="167"/>
  <c r="E201" i="167"/>
  <c r="E200" i="167"/>
  <c r="E205" i="39"/>
  <c r="E204" i="39"/>
  <c r="E203" i="39"/>
  <c r="E202" i="39"/>
  <c r="E201" i="39"/>
  <c r="E200" i="39"/>
  <c r="E205" i="135"/>
  <c r="E204" i="135"/>
  <c r="E203" i="135"/>
  <c r="E202" i="135"/>
  <c r="E201" i="135"/>
  <c r="E200" i="135"/>
  <c r="E205" i="38"/>
  <c r="E204" i="38"/>
  <c r="E203" i="38"/>
  <c r="E202" i="38"/>
  <c r="E201" i="38"/>
  <c r="E200" i="38"/>
  <c r="E205" i="152"/>
  <c r="E204" i="152"/>
  <c r="E203" i="152"/>
  <c r="E202" i="152"/>
  <c r="E201" i="152"/>
  <c r="E200" i="152"/>
  <c r="E205" i="120"/>
  <c r="E204" i="120"/>
  <c r="E203" i="120"/>
  <c r="E202" i="120"/>
  <c r="E201" i="120"/>
  <c r="E200" i="120"/>
  <c r="E205" i="37"/>
  <c r="E204" i="37"/>
  <c r="E203" i="37"/>
  <c r="E202" i="37"/>
  <c r="E201" i="37"/>
  <c r="E200" i="37"/>
  <c r="E205" i="90"/>
  <c r="E204" i="90"/>
  <c r="E203" i="90"/>
  <c r="E202" i="90"/>
  <c r="E201" i="90"/>
  <c r="E200" i="90"/>
  <c r="E205" i="24"/>
  <c r="E204" i="24"/>
  <c r="E203" i="24"/>
  <c r="E202" i="24"/>
  <c r="E201" i="24"/>
  <c r="E200" i="24"/>
  <c r="E205" i="141"/>
  <c r="E204" i="141"/>
  <c r="E203" i="141"/>
  <c r="E202" i="141"/>
  <c r="E201" i="141"/>
  <c r="E200" i="141"/>
  <c r="E205" i="33"/>
  <c r="E204" i="33"/>
  <c r="E203" i="33"/>
  <c r="E202" i="33"/>
  <c r="E201" i="33"/>
  <c r="E200" i="33"/>
  <c r="E205" i="32"/>
  <c r="E204" i="32"/>
  <c r="E203" i="32"/>
  <c r="E202" i="32"/>
  <c r="E201" i="32"/>
  <c r="E200" i="32"/>
  <c r="E205" i="79"/>
  <c r="E204" i="79"/>
  <c r="E203" i="79"/>
  <c r="E202" i="79"/>
  <c r="E201" i="79"/>
  <c r="E200" i="79"/>
  <c r="E205" i="31"/>
  <c r="E204" i="31"/>
  <c r="E203" i="31"/>
  <c r="E202" i="31"/>
  <c r="E201" i="31"/>
  <c r="E200" i="31"/>
  <c r="E205" i="64"/>
  <c r="E204" i="64"/>
  <c r="E203" i="64"/>
  <c r="E202" i="64"/>
  <c r="E201" i="64"/>
  <c r="E200" i="64"/>
  <c r="E205" i="72"/>
  <c r="E204" i="72"/>
  <c r="E203" i="72"/>
  <c r="E202" i="72"/>
  <c r="E201" i="72"/>
  <c r="E200" i="72"/>
  <c r="E205" i="28"/>
  <c r="E204" i="28"/>
  <c r="E203" i="28"/>
  <c r="E202" i="28"/>
  <c r="E201" i="28"/>
  <c r="E200" i="28"/>
  <c r="E205" i="65"/>
  <c r="E204" i="65"/>
  <c r="E203" i="65"/>
  <c r="E202" i="65"/>
  <c r="E201" i="65"/>
  <c r="E200" i="65"/>
  <c r="E205" i="119"/>
  <c r="E204" i="119"/>
  <c r="E203" i="119"/>
  <c r="E202" i="119"/>
  <c r="E201" i="119"/>
  <c r="E200" i="119"/>
  <c r="E205" i="25"/>
  <c r="E204" i="25"/>
  <c r="E203" i="25"/>
  <c r="E202" i="25"/>
  <c r="E201" i="25"/>
  <c r="E200" i="25"/>
  <c r="E205" i="20"/>
  <c r="E204" i="20"/>
  <c r="E203" i="20"/>
  <c r="E202" i="20"/>
  <c r="E201" i="20"/>
  <c r="E200" i="20"/>
  <c r="E205" i="159"/>
  <c r="E204" i="159"/>
  <c r="E203" i="159"/>
  <c r="E202" i="159"/>
  <c r="E201" i="159"/>
  <c r="E200" i="159"/>
  <c r="E205" i="16"/>
  <c r="E204" i="16"/>
  <c r="E203" i="16"/>
  <c r="E202" i="16"/>
  <c r="E201" i="16"/>
  <c r="E200" i="16"/>
  <c r="E205" i="27"/>
  <c r="E204" i="27"/>
  <c r="E203" i="27"/>
  <c r="E202" i="27"/>
  <c r="E201" i="27"/>
  <c r="E200" i="27"/>
  <c r="E205" i="111"/>
  <c r="E204" i="111"/>
  <c r="E203" i="111"/>
  <c r="E202" i="111"/>
  <c r="E201" i="111"/>
  <c r="E200" i="111"/>
  <c r="E205" i="165"/>
  <c r="E204" i="165"/>
  <c r="E203" i="165"/>
  <c r="E202" i="165"/>
  <c r="E201" i="165"/>
  <c r="E200" i="165"/>
  <c r="E205" i="55"/>
  <c r="E204" i="55"/>
  <c r="E203" i="55"/>
  <c r="E202" i="55"/>
  <c r="E201" i="55"/>
  <c r="E200" i="55"/>
  <c r="E205" i="21"/>
  <c r="E204" i="21"/>
  <c r="E203" i="21"/>
  <c r="E202" i="21"/>
  <c r="E201" i="21"/>
  <c r="E200" i="21"/>
  <c r="E205" i="14"/>
  <c r="E204" i="14"/>
  <c r="E203" i="14"/>
  <c r="E202" i="14"/>
  <c r="E201" i="14"/>
  <c r="E200" i="14"/>
  <c r="E205" i="85"/>
  <c r="E204" i="85"/>
  <c r="E203" i="85"/>
  <c r="E202" i="85"/>
  <c r="E201" i="85"/>
  <c r="E200" i="85"/>
  <c r="E205" i="149"/>
  <c r="E204" i="149"/>
  <c r="E203" i="149"/>
  <c r="E202" i="149"/>
  <c r="E201" i="149"/>
  <c r="E200" i="149"/>
  <c r="E205" i="143"/>
  <c r="E204" i="143"/>
  <c r="E203" i="143"/>
  <c r="E202" i="143"/>
  <c r="E201" i="143"/>
  <c r="E200" i="143"/>
  <c r="E205" i="87"/>
  <c r="E204" i="87"/>
  <c r="E203" i="87"/>
  <c r="E202" i="87"/>
  <c r="E201" i="87"/>
  <c r="E200" i="87"/>
  <c r="E205" i="69"/>
  <c r="E204" i="69"/>
  <c r="E203" i="69"/>
  <c r="E202" i="69"/>
  <c r="E201" i="69"/>
  <c r="E200" i="69"/>
  <c r="E205" i="86"/>
  <c r="E204" i="86"/>
  <c r="E203" i="86"/>
  <c r="E202" i="86"/>
  <c r="E201" i="86"/>
  <c r="E200" i="86"/>
  <c r="E205" i="89"/>
  <c r="E204" i="89"/>
  <c r="E203" i="89"/>
  <c r="E202" i="89"/>
  <c r="E201" i="89"/>
  <c r="E200" i="89"/>
  <c r="E205" i="142"/>
  <c r="E204" i="142"/>
  <c r="E203" i="142"/>
  <c r="E202" i="142"/>
  <c r="E201" i="142"/>
  <c r="E200" i="142"/>
  <c r="E205" i="91"/>
  <c r="E204" i="91"/>
  <c r="E203" i="91"/>
  <c r="E202" i="91"/>
  <c r="E201" i="91"/>
  <c r="E200" i="91"/>
  <c r="E205" i="92"/>
  <c r="E204" i="92"/>
  <c r="E203" i="92"/>
  <c r="E202" i="92"/>
  <c r="E201" i="92"/>
  <c r="E200" i="92"/>
  <c r="E205" i="113"/>
  <c r="E204" i="113"/>
  <c r="E203" i="113"/>
  <c r="E202" i="113"/>
  <c r="E201" i="113"/>
  <c r="E200" i="113"/>
  <c r="E205" i="1"/>
  <c r="E204" i="1"/>
  <c r="E203" i="1"/>
  <c r="E202" i="1"/>
  <c r="E201" i="1"/>
  <c r="E200" i="1"/>
  <c r="E205" i="50"/>
  <c r="E204" i="50"/>
  <c r="E203" i="50"/>
  <c r="E202" i="50"/>
  <c r="E201" i="50"/>
  <c r="E200" i="50"/>
  <c r="E205" i="95"/>
  <c r="E204" i="95"/>
  <c r="E203" i="95"/>
  <c r="E202" i="95"/>
  <c r="E201" i="95"/>
  <c r="E200" i="95"/>
  <c r="E205" i="43"/>
  <c r="E204" i="43"/>
  <c r="E203" i="43"/>
  <c r="E202" i="43"/>
  <c r="E201" i="43"/>
  <c r="E200" i="43"/>
  <c r="F197" i="103"/>
  <c r="F197" i="19"/>
  <c r="F197" i="118"/>
  <c r="F197" i="60"/>
  <c r="F197" i="54"/>
  <c r="F197" i="155"/>
  <c r="F197" i="156"/>
  <c r="F197" i="157"/>
  <c r="F197" i="158"/>
  <c r="F197" i="94"/>
  <c r="F197" i="100"/>
  <c r="F197" i="59"/>
  <c r="F197" i="58"/>
  <c r="F197" i="53"/>
  <c r="F197" i="98"/>
  <c r="F197" i="49"/>
  <c r="F197" i="47"/>
  <c r="F197" i="46"/>
  <c r="F197" i="104"/>
  <c r="F197" i="106"/>
  <c r="F197" i="57"/>
  <c r="F197" i="42"/>
  <c r="F197" i="71"/>
  <c r="F197" i="39"/>
  <c r="F197" i="37"/>
  <c r="F197" i="90"/>
  <c r="F197" i="24"/>
  <c r="F197" i="141"/>
  <c r="F197" i="79"/>
  <c r="F197" i="31"/>
  <c r="F197" i="64"/>
  <c r="F197" i="72"/>
  <c r="F197" i="28"/>
  <c r="F197" i="65"/>
  <c r="F197" i="119"/>
  <c r="F197" i="25"/>
  <c r="F197" i="20"/>
  <c r="F197" i="16"/>
  <c r="F197" i="165"/>
  <c r="F197" i="55"/>
  <c r="F197" i="21"/>
  <c r="F197" i="14"/>
  <c r="F197" i="85"/>
  <c r="F197" i="87"/>
  <c r="F197" i="69"/>
  <c r="F197" i="86"/>
  <c r="F197" i="142"/>
  <c r="F197" i="91"/>
  <c r="F197" i="92"/>
  <c r="F197" i="113"/>
  <c r="F197" i="1"/>
  <c r="F197" i="50"/>
  <c r="F197" i="95"/>
  <c r="F197" i="43"/>
  <c r="E196" i="103"/>
  <c r="E195" i="103"/>
  <c r="E194" i="103"/>
  <c r="E193" i="103"/>
  <c r="E192" i="103"/>
  <c r="E191" i="103"/>
  <c r="E190" i="103"/>
  <c r="E189" i="103"/>
  <c r="E188" i="103"/>
  <c r="E187" i="103"/>
  <c r="E186" i="103"/>
  <c r="E185" i="103"/>
  <c r="E184" i="103"/>
  <c r="E183" i="103"/>
  <c r="E182" i="103"/>
  <c r="E181" i="103"/>
  <c r="E180" i="103"/>
  <c r="E179" i="103"/>
  <c r="E178" i="103"/>
  <c r="E177" i="103"/>
  <c r="E176" i="103"/>
  <c r="E175" i="103"/>
  <c r="E174" i="103"/>
  <c r="E173" i="103"/>
  <c r="E172" i="103"/>
  <c r="E171" i="103"/>
  <c r="E170" i="103"/>
  <c r="E169" i="103"/>
  <c r="E168" i="103"/>
  <c r="E167" i="103"/>
  <c r="E166" i="103"/>
  <c r="E165" i="103"/>
  <c r="E164" i="103"/>
  <c r="E196" i="19"/>
  <c r="E195" i="19"/>
  <c r="E194" i="19"/>
  <c r="E193" i="19"/>
  <c r="E192" i="19"/>
  <c r="E191" i="19"/>
  <c r="E190" i="19"/>
  <c r="E189" i="19"/>
  <c r="E188" i="19"/>
  <c r="E187" i="19"/>
  <c r="E186" i="19"/>
  <c r="E185" i="19"/>
  <c r="E184" i="19"/>
  <c r="E183" i="19"/>
  <c r="E182" i="19"/>
  <c r="E181" i="19"/>
  <c r="E180" i="19"/>
  <c r="E179" i="19"/>
  <c r="E178" i="19"/>
  <c r="E177" i="19"/>
  <c r="E176" i="19"/>
  <c r="E175" i="19"/>
  <c r="E174" i="19"/>
  <c r="E173" i="19"/>
  <c r="E172" i="19"/>
  <c r="E171" i="19"/>
  <c r="E170" i="19"/>
  <c r="E169" i="19"/>
  <c r="E168" i="19"/>
  <c r="E167" i="19"/>
  <c r="E166" i="19"/>
  <c r="E165" i="19"/>
  <c r="E164" i="19"/>
  <c r="E196" i="10"/>
  <c r="E195" i="10"/>
  <c r="E194" i="10"/>
  <c r="E193" i="10"/>
  <c r="E192" i="10"/>
  <c r="E191" i="10"/>
  <c r="E190" i="10"/>
  <c r="E189" i="10"/>
  <c r="E188" i="10"/>
  <c r="E187" i="10"/>
  <c r="E186" i="10"/>
  <c r="E185" i="10"/>
  <c r="E184" i="10"/>
  <c r="E183" i="10"/>
  <c r="E182" i="10"/>
  <c r="E181" i="10"/>
  <c r="E180" i="10"/>
  <c r="E179" i="10"/>
  <c r="E178" i="10"/>
  <c r="E177" i="10"/>
  <c r="E176" i="10"/>
  <c r="E175" i="10"/>
  <c r="E174" i="10"/>
  <c r="E173" i="10"/>
  <c r="E172" i="10"/>
  <c r="E171" i="10"/>
  <c r="E170" i="10"/>
  <c r="E169" i="10"/>
  <c r="E168" i="10"/>
  <c r="E167" i="10"/>
  <c r="E166" i="10"/>
  <c r="E165" i="10"/>
  <c r="E164" i="10"/>
  <c r="E196" i="118"/>
  <c r="E195" i="118"/>
  <c r="E194" i="118"/>
  <c r="E193" i="118"/>
  <c r="E192" i="118"/>
  <c r="E191" i="118"/>
  <c r="E190" i="118"/>
  <c r="E189" i="118"/>
  <c r="E188" i="118"/>
  <c r="E187" i="118"/>
  <c r="E186" i="118"/>
  <c r="E185" i="118"/>
  <c r="E184" i="118"/>
  <c r="E183" i="118"/>
  <c r="E182" i="118"/>
  <c r="E181" i="118"/>
  <c r="E180" i="118"/>
  <c r="E179" i="118"/>
  <c r="E178" i="118"/>
  <c r="E177" i="118"/>
  <c r="E176" i="118"/>
  <c r="E175" i="118"/>
  <c r="E174" i="118"/>
  <c r="E173" i="118"/>
  <c r="E172" i="118"/>
  <c r="E171" i="118"/>
  <c r="E170" i="118"/>
  <c r="E169" i="118"/>
  <c r="E168" i="118"/>
  <c r="E167" i="118"/>
  <c r="E166" i="118"/>
  <c r="E165" i="118"/>
  <c r="E164" i="118"/>
  <c r="E196" i="60"/>
  <c r="E195" i="60"/>
  <c r="E194" i="60"/>
  <c r="E193" i="60"/>
  <c r="E192" i="60"/>
  <c r="E191" i="60"/>
  <c r="E190" i="60"/>
  <c r="E189" i="60"/>
  <c r="E188" i="60"/>
  <c r="E187" i="60"/>
  <c r="E186" i="60"/>
  <c r="E185" i="60"/>
  <c r="E184" i="60"/>
  <c r="E183" i="60"/>
  <c r="E182" i="60"/>
  <c r="E181" i="60"/>
  <c r="E180" i="60"/>
  <c r="E179" i="60"/>
  <c r="E178" i="60"/>
  <c r="E177" i="60"/>
  <c r="E176" i="60"/>
  <c r="E175" i="60"/>
  <c r="E174" i="60"/>
  <c r="E173" i="60"/>
  <c r="E172" i="60"/>
  <c r="E171" i="60"/>
  <c r="E170" i="60"/>
  <c r="E169" i="60"/>
  <c r="E168" i="60"/>
  <c r="E167" i="60"/>
  <c r="E166" i="60"/>
  <c r="E165" i="60"/>
  <c r="E164" i="60"/>
  <c r="E196" i="133"/>
  <c r="E195" i="133"/>
  <c r="E194" i="133"/>
  <c r="E193" i="133"/>
  <c r="E192" i="133"/>
  <c r="E191" i="133"/>
  <c r="E190" i="133"/>
  <c r="E189" i="133"/>
  <c r="E188" i="133"/>
  <c r="E187" i="133"/>
  <c r="E186" i="133"/>
  <c r="E185" i="133"/>
  <c r="E184" i="133"/>
  <c r="E183" i="133"/>
  <c r="E182" i="133"/>
  <c r="E181" i="133"/>
  <c r="E180" i="133"/>
  <c r="E179" i="133"/>
  <c r="E178" i="133"/>
  <c r="E177" i="133"/>
  <c r="E176" i="133"/>
  <c r="E175" i="133"/>
  <c r="E174" i="133"/>
  <c r="E173" i="133"/>
  <c r="E172" i="133"/>
  <c r="E171" i="133"/>
  <c r="E170" i="133"/>
  <c r="E169" i="133"/>
  <c r="E168" i="133"/>
  <c r="E167" i="133"/>
  <c r="E166" i="133"/>
  <c r="E165" i="133"/>
  <c r="E164" i="133"/>
  <c r="E196" i="54"/>
  <c r="E195" i="54"/>
  <c r="E194" i="54"/>
  <c r="E193" i="54"/>
  <c r="E192" i="54"/>
  <c r="E191" i="54"/>
  <c r="E190" i="54"/>
  <c r="E189" i="54"/>
  <c r="E188" i="54"/>
  <c r="E187" i="54"/>
  <c r="E186" i="54"/>
  <c r="E185" i="54"/>
  <c r="E184" i="54"/>
  <c r="E183" i="54"/>
  <c r="E182" i="54"/>
  <c r="E181" i="54"/>
  <c r="E180" i="54"/>
  <c r="E179" i="54"/>
  <c r="E178" i="54"/>
  <c r="E177" i="54"/>
  <c r="E176" i="54"/>
  <c r="E175" i="54"/>
  <c r="E174" i="54"/>
  <c r="E173" i="54"/>
  <c r="E172" i="54"/>
  <c r="E171" i="54"/>
  <c r="E170" i="54"/>
  <c r="E169" i="54"/>
  <c r="E168" i="54"/>
  <c r="E167" i="54"/>
  <c r="E166" i="54"/>
  <c r="E165" i="54"/>
  <c r="E164" i="54"/>
  <c r="E196" i="155"/>
  <c r="E195" i="155"/>
  <c r="E194" i="155"/>
  <c r="E193" i="155"/>
  <c r="E192" i="155"/>
  <c r="E191" i="155"/>
  <c r="E190" i="155"/>
  <c r="E189" i="155"/>
  <c r="E188" i="155"/>
  <c r="E187" i="155"/>
  <c r="E186" i="155"/>
  <c r="E185" i="155"/>
  <c r="E184" i="155"/>
  <c r="E183" i="155"/>
  <c r="E182" i="155"/>
  <c r="E181" i="155"/>
  <c r="E180" i="155"/>
  <c r="E179" i="155"/>
  <c r="E178" i="155"/>
  <c r="E177" i="155"/>
  <c r="E176" i="155"/>
  <c r="E175" i="155"/>
  <c r="E174" i="155"/>
  <c r="E173" i="155"/>
  <c r="E172" i="155"/>
  <c r="E171" i="155"/>
  <c r="E170" i="155"/>
  <c r="E169" i="155"/>
  <c r="E168" i="155"/>
  <c r="E167" i="155"/>
  <c r="E166" i="155"/>
  <c r="E165" i="155"/>
  <c r="E164" i="155"/>
  <c r="E196" i="156"/>
  <c r="E195" i="156"/>
  <c r="E194" i="156"/>
  <c r="E193" i="156"/>
  <c r="E192" i="156"/>
  <c r="E191" i="156"/>
  <c r="E190" i="156"/>
  <c r="E189" i="156"/>
  <c r="E188" i="156"/>
  <c r="E187" i="156"/>
  <c r="E186" i="156"/>
  <c r="E185" i="156"/>
  <c r="E184" i="156"/>
  <c r="E183" i="156"/>
  <c r="E182" i="156"/>
  <c r="E181" i="156"/>
  <c r="E180" i="156"/>
  <c r="E179" i="156"/>
  <c r="E178" i="156"/>
  <c r="E177" i="156"/>
  <c r="E176" i="156"/>
  <c r="E175" i="156"/>
  <c r="E174" i="156"/>
  <c r="E173" i="156"/>
  <c r="E172" i="156"/>
  <c r="E171" i="156"/>
  <c r="E170" i="156"/>
  <c r="E169" i="156"/>
  <c r="E168" i="156"/>
  <c r="E167" i="156"/>
  <c r="E166" i="156"/>
  <c r="E165" i="156"/>
  <c r="E164" i="156"/>
  <c r="E196" i="157"/>
  <c r="E195" i="157"/>
  <c r="E194" i="157"/>
  <c r="E193" i="157"/>
  <c r="E192" i="157"/>
  <c r="E191" i="157"/>
  <c r="E190" i="157"/>
  <c r="E189" i="157"/>
  <c r="E188" i="157"/>
  <c r="E187" i="157"/>
  <c r="E186" i="157"/>
  <c r="E185" i="157"/>
  <c r="E184" i="157"/>
  <c r="E183" i="157"/>
  <c r="E182" i="157"/>
  <c r="E181" i="157"/>
  <c r="E180" i="157"/>
  <c r="E179" i="157"/>
  <c r="E178" i="157"/>
  <c r="E177" i="157"/>
  <c r="E176" i="157"/>
  <c r="E175" i="157"/>
  <c r="E174" i="157"/>
  <c r="E173" i="157"/>
  <c r="E172" i="157"/>
  <c r="E171" i="157"/>
  <c r="E170" i="157"/>
  <c r="E169" i="157"/>
  <c r="E168" i="157"/>
  <c r="E167" i="157"/>
  <c r="E166" i="157"/>
  <c r="E165" i="157"/>
  <c r="E164" i="157"/>
  <c r="E196" i="158"/>
  <c r="E195" i="158"/>
  <c r="E194" i="158"/>
  <c r="E193" i="158"/>
  <c r="E192" i="158"/>
  <c r="E191" i="158"/>
  <c r="E190" i="158"/>
  <c r="E189" i="158"/>
  <c r="E188" i="158"/>
  <c r="E187" i="158"/>
  <c r="E186" i="158"/>
  <c r="E185" i="158"/>
  <c r="E184" i="158"/>
  <c r="E183" i="158"/>
  <c r="E182" i="158"/>
  <c r="E181" i="158"/>
  <c r="E180" i="158"/>
  <c r="E179" i="158"/>
  <c r="E178" i="158"/>
  <c r="E177" i="158"/>
  <c r="E176" i="158"/>
  <c r="E175" i="158"/>
  <c r="E174" i="158"/>
  <c r="E173" i="158"/>
  <c r="E172" i="158"/>
  <c r="E171" i="158"/>
  <c r="E170" i="158"/>
  <c r="E169" i="158"/>
  <c r="E168" i="158"/>
  <c r="E167" i="158"/>
  <c r="E166" i="158"/>
  <c r="E165" i="158"/>
  <c r="E164" i="158"/>
  <c r="E196" i="94"/>
  <c r="E195" i="94"/>
  <c r="E194" i="94"/>
  <c r="E193" i="94"/>
  <c r="E192" i="94"/>
  <c r="E191" i="94"/>
  <c r="E190" i="94"/>
  <c r="E189" i="94"/>
  <c r="E188" i="94"/>
  <c r="E187" i="94"/>
  <c r="E186" i="94"/>
  <c r="E185" i="94"/>
  <c r="E184" i="94"/>
  <c r="E183" i="94"/>
  <c r="E182" i="94"/>
  <c r="E181" i="94"/>
  <c r="E180" i="94"/>
  <c r="E179" i="94"/>
  <c r="E178" i="94"/>
  <c r="E177" i="94"/>
  <c r="E176" i="94"/>
  <c r="E175" i="94"/>
  <c r="E174" i="94"/>
  <c r="E173" i="94"/>
  <c r="E172" i="94"/>
  <c r="E171" i="94"/>
  <c r="E170" i="94"/>
  <c r="E169" i="94"/>
  <c r="E168" i="94"/>
  <c r="E167" i="94"/>
  <c r="E166" i="94"/>
  <c r="E165" i="94"/>
  <c r="E164" i="94"/>
  <c r="E196" i="145"/>
  <c r="E195" i="145"/>
  <c r="E194" i="145"/>
  <c r="E193" i="145"/>
  <c r="E192" i="145"/>
  <c r="E191" i="145"/>
  <c r="E190" i="145"/>
  <c r="E189" i="145"/>
  <c r="E188" i="145"/>
  <c r="E187" i="145"/>
  <c r="E186" i="145"/>
  <c r="E185" i="145"/>
  <c r="E184" i="145"/>
  <c r="E183" i="145"/>
  <c r="E182" i="145"/>
  <c r="E181" i="145"/>
  <c r="E180" i="145"/>
  <c r="E179" i="145"/>
  <c r="E178" i="145"/>
  <c r="E177" i="145"/>
  <c r="E176" i="145"/>
  <c r="E175" i="145"/>
  <c r="E174" i="145"/>
  <c r="E173" i="145"/>
  <c r="E172" i="145"/>
  <c r="E171" i="145"/>
  <c r="E170" i="145"/>
  <c r="E169" i="145"/>
  <c r="E168" i="145"/>
  <c r="E167" i="145"/>
  <c r="E166" i="145"/>
  <c r="E165" i="145"/>
  <c r="E164" i="145"/>
  <c r="E196" i="164"/>
  <c r="E195" i="164"/>
  <c r="E194" i="164"/>
  <c r="E193" i="164"/>
  <c r="E192" i="164"/>
  <c r="E191" i="164"/>
  <c r="E190" i="164"/>
  <c r="E189" i="164"/>
  <c r="E188" i="164"/>
  <c r="E187" i="164"/>
  <c r="E186" i="164"/>
  <c r="E185" i="164"/>
  <c r="E184" i="164"/>
  <c r="E183" i="164"/>
  <c r="E182" i="164"/>
  <c r="E181" i="164"/>
  <c r="E180" i="164"/>
  <c r="E179" i="164"/>
  <c r="E178" i="164"/>
  <c r="E177" i="164"/>
  <c r="E176" i="164"/>
  <c r="E175" i="164"/>
  <c r="E174" i="164"/>
  <c r="E173" i="164"/>
  <c r="E172" i="164"/>
  <c r="E171" i="164"/>
  <c r="E170" i="164"/>
  <c r="E169" i="164"/>
  <c r="E168" i="164"/>
  <c r="E167" i="164"/>
  <c r="E166" i="164"/>
  <c r="E165" i="164"/>
  <c r="E164" i="164"/>
  <c r="E196" i="15"/>
  <c r="E195" i="15"/>
  <c r="E194" i="15"/>
  <c r="E193" i="15"/>
  <c r="E192" i="15"/>
  <c r="E191" i="15"/>
  <c r="E190" i="15"/>
  <c r="E189" i="15"/>
  <c r="E188" i="15"/>
  <c r="E187" i="15"/>
  <c r="E186" i="15"/>
  <c r="E185" i="15"/>
  <c r="E184" i="15"/>
  <c r="E183" i="15"/>
  <c r="E182" i="15"/>
  <c r="E181" i="15"/>
  <c r="E180" i="15"/>
  <c r="E179" i="15"/>
  <c r="E178" i="15"/>
  <c r="E177" i="15"/>
  <c r="E176" i="15"/>
  <c r="E175" i="15"/>
  <c r="E174" i="15"/>
  <c r="E173" i="15"/>
  <c r="E172" i="15"/>
  <c r="E171" i="15"/>
  <c r="E170" i="15"/>
  <c r="E169" i="15"/>
  <c r="E168" i="15"/>
  <c r="E167" i="15"/>
  <c r="E166" i="15"/>
  <c r="E165" i="15"/>
  <c r="E164" i="15"/>
  <c r="E196" i="150"/>
  <c r="E195" i="150"/>
  <c r="E194" i="150"/>
  <c r="E193" i="150"/>
  <c r="E192" i="150"/>
  <c r="E191" i="150"/>
  <c r="E190" i="150"/>
  <c r="E189" i="150"/>
  <c r="E188" i="150"/>
  <c r="E187" i="150"/>
  <c r="E186" i="150"/>
  <c r="E185" i="150"/>
  <c r="E184" i="150"/>
  <c r="E183" i="150"/>
  <c r="E182" i="150"/>
  <c r="E181" i="150"/>
  <c r="E180" i="150"/>
  <c r="E179" i="150"/>
  <c r="E178" i="150"/>
  <c r="E177" i="150"/>
  <c r="E176" i="150"/>
  <c r="E175" i="150"/>
  <c r="E174" i="150"/>
  <c r="E173" i="150"/>
  <c r="E172" i="150"/>
  <c r="E171" i="150"/>
  <c r="E170" i="150"/>
  <c r="E169" i="150"/>
  <c r="E168" i="150"/>
  <c r="E167" i="150"/>
  <c r="E166" i="150"/>
  <c r="E165" i="150"/>
  <c r="E164" i="150"/>
  <c r="E196" i="68"/>
  <c r="E195" i="68"/>
  <c r="E194" i="68"/>
  <c r="E193" i="68"/>
  <c r="E192" i="68"/>
  <c r="E191" i="68"/>
  <c r="E190" i="68"/>
  <c r="E189" i="68"/>
  <c r="E188" i="68"/>
  <c r="E187" i="68"/>
  <c r="E186" i="68"/>
  <c r="E185" i="68"/>
  <c r="E184" i="68"/>
  <c r="E183" i="68"/>
  <c r="E182" i="68"/>
  <c r="E181" i="68"/>
  <c r="E180" i="68"/>
  <c r="E179" i="68"/>
  <c r="E178" i="68"/>
  <c r="E177" i="68"/>
  <c r="E176" i="68"/>
  <c r="E175" i="68"/>
  <c r="E174" i="68"/>
  <c r="E173" i="68"/>
  <c r="E172" i="68"/>
  <c r="E171" i="68"/>
  <c r="E170" i="68"/>
  <c r="E169" i="68"/>
  <c r="E168" i="68"/>
  <c r="E167" i="68"/>
  <c r="E166" i="68"/>
  <c r="E165" i="68"/>
  <c r="E164" i="68"/>
  <c r="E196" i="100"/>
  <c r="E195" i="100"/>
  <c r="E194" i="100"/>
  <c r="E193" i="100"/>
  <c r="E192" i="100"/>
  <c r="E191" i="100"/>
  <c r="E190" i="100"/>
  <c r="E189" i="100"/>
  <c r="E188" i="100"/>
  <c r="E187" i="100"/>
  <c r="E186" i="100"/>
  <c r="E185" i="100"/>
  <c r="E184" i="100"/>
  <c r="E183" i="100"/>
  <c r="E182" i="100"/>
  <c r="E181" i="100"/>
  <c r="E180" i="100"/>
  <c r="E179" i="100"/>
  <c r="E178" i="100"/>
  <c r="E177" i="100"/>
  <c r="E176" i="100"/>
  <c r="E175" i="100"/>
  <c r="E174" i="100"/>
  <c r="E173" i="100"/>
  <c r="E172" i="100"/>
  <c r="E171" i="100"/>
  <c r="E170" i="100"/>
  <c r="E169" i="100"/>
  <c r="E168" i="100"/>
  <c r="E167" i="100"/>
  <c r="E166" i="100"/>
  <c r="E165" i="100"/>
  <c r="E164" i="100"/>
  <c r="E196" i="67"/>
  <c r="E195" i="67"/>
  <c r="E194" i="67"/>
  <c r="E193" i="67"/>
  <c r="E192" i="67"/>
  <c r="E191" i="67"/>
  <c r="E190" i="67"/>
  <c r="E189" i="67"/>
  <c r="E188" i="67"/>
  <c r="E187" i="67"/>
  <c r="E186" i="67"/>
  <c r="E185" i="67"/>
  <c r="E184" i="67"/>
  <c r="E183" i="67"/>
  <c r="E182" i="67"/>
  <c r="E181" i="67"/>
  <c r="E180" i="67"/>
  <c r="E179" i="67"/>
  <c r="E178" i="67"/>
  <c r="E177" i="67"/>
  <c r="E176" i="67"/>
  <c r="E175" i="67"/>
  <c r="E174" i="67"/>
  <c r="E173" i="67"/>
  <c r="E172" i="67"/>
  <c r="E171" i="67"/>
  <c r="E170" i="67"/>
  <c r="E169" i="67"/>
  <c r="E168" i="67"/>
  <c r="E167" i="67"/>
  <c r="E166" i="67"/>
  <c r="E165" i="67"/>
  <c r="E164" i="67"/>
  <c r="E196" i="59"/>
  <c r="E195" i="59"/>
  <c r="E194" i="59"/>
  <c r="E193" i="59"/>
  <c r="E192" i="59"/>
  <c r="E191" i="59"/>
  <c r="E190" i="59"/>
  <c r="E189" i="59"/>
  <c r="E188" i="59"/>
  <c r="E187" i="59"/>
  <c r="E186" i="59"/>
  <c r="E185" i="59"/>
  <c r="E184" i="59"/>
  <c r="E183" i="59"/>
  <c r="E182" i="59"/>
  <c r="E181" i="59"/>
  <c r="E180" i="59"/>
  <c r="E179" i="59"/>
  <c r="E178" i="59"/>
  <c r="E177" i="59"/>
  <c r="E176" i="59"/>
  <c r="E175" i="59"/>
  <c r="E174" i="59"/>
  <c r="E173" i="59"/>
  <c r="E172" i="59"/>
  <c r="E171" i="59"/>
  <c r="E170" i="59"/>
  <c r="E169" i="59"/>
  <c r="E168" i="59"/>
  <c r="E167" i="59"/>
  <c r="E166" i="59"/>
  <c r="E165" i="59"/>
  <c r="E164" i="59"/>
  <c r="E196" i="84"/>
  <c r="E195" i="84"/>
  <c r="E194" i="84"/>
  <c r="E193" i="84"/>
  <c r="E192" i="84"/>
  <c r="E191" i="84"/>
  <c r="E190" i="84"/>
  <c r="E189" i="84"/>
  <c r="E188" i="84"/>
  <c r="E187" i="84"/>
  <c r="E186" i="84"/>
  <c r="E185" i="84"/>
  <c r="E184" i="84"/>
  <c r="E183" i="84"/>
  <c r="E182" i="84"/>
  <c r="E181" i="84"/>
  <c r="E180" i="84"/>
  <c r="E179" i="84"/>
  <c r="E178" i="84"/>
  <c r="E177" i="84"/>
  <c r="E176" i="84"/>
  <c r="E175" i="84"/>
  <c r="E174" i="84"/>
  <c r="E173" i="84"/>
  <c r="E172" i="84"/>
  <c r="E171" i="84"/>
  <c r="E170" i="84"/>
  <c r="E169" i="84"/>
  <c r="E168" i="84"/>
  <c r="E167" i="84"/>
  <c r="E166" i="84"/>
  <c r="E165" i="84"/>
  <c r="E164" i="84"/>
  <c r="E196" i="66"/>
  <c r="E195" i="66"/>
  <c r="E194" i="66"/>
  <c r="E193" i="66"/>
  <c r="E192" i="66"/>
  <c r="E191" i="66"/>
  <c r="E190" i="66"/>
  <c r="E189" i="66"/>
  <c r="E188" i="66"/>
  <c r="E187" i="66"/>
  <c r="E186" i="66"/>
  <c r="E185" i="66"/>
  <c r="E184" i="66"/>
  <c r="E183" i="66"/>
  <c r="E182" i="66"/>
  <c r="E181" i="66"/>
  <c r="E180" i="66"/>
  <c r="E179" i="66"/>
  <c r="E178" i="66"/>
  <c r="E177" i="66"/>
  <c r="E176" i="66"/>
  <c r="E175" i="66"/>
  <c r="E174" i="66"/>
  <c r="E173" i="66"/>
  <c r="E172" i="66"/>
  <c r="E171" i="66"/>
  <c r="E170" i="66"/>
  <c r="E169" i="66"/>
  <c r="E168" i="66"/>
  <c r="E167" i="66"/>
  <c r="E166" i="66"/>
  <c r="E165" i="66"/>
  <c r="E164" i="66"/>
  <c r="E196" i="63"/>
  <c r="E195" i="63"/>
  <c r="E194" i="63"/>
  <c r="E193" i="63"/>
  <c r="E192" i="63"/>
  <c r="E191" i="63"/>
  <c r="E190" i="63"/>
  <c r="E189" i="63"/>
  <c r="E188" i="63"/>
  <c r="E187" i="63"/>
  <c r="E186" i="63"/>
  <c r="E185" i="63"/>
  <c r="E184" i="63"/>
  <c r="E183" i="63"/>
  <c r="E182" i="63"/>
  <c r="E181" i="63"/>
  <c r="E180" i="63"/>
  <c r="E179" i="63"/>
  <c r="E178" i="63"/>
  <c r="E177" i="63"/>
  <c r="E176" i="63"/>
  <c r="E175" i="63"/>
  <c r="E174" i="63"/>
  <c r="E173" i="63"/>
  <c r="E172" i="63"/>
  <c r="E171" i="63"/>
  <c r="E170" i="63"/>
  <c r="E169" i="63"/>
  <c r="E168" i="63"/>
  <c r="E167" i="63"/>
  <c r="E166" i="63"/>
  <c r="E165" i="63"/>
  <c r="E164" i="63"/>
  <c r="E196" i="62"/>
  <c r="E195" i="62"/>
  <c r="E194" i="62"/>
  <c r="E193" i="62"/>
  <c r="E192" i="62"/>
  <c r="E191" i="62"/>
  <c r="E190" i="62"/>
  <c r="E189" i="62"/>
  <c r="E188" i="62"/>
  <c r="E187" i="62"/>
  <c r="E186" i="62"/>
  <c r="E185" i="62"/>
  <c r="E184" i="62"/>
  <c r="E183" i="62"/>
  <c r="E182" i="62"/>
  <c r="E181" i="62"/>
  <c r="E180" i="62"/>
  <c r="E179" i="62"/>
  <c r="E178" i="62"/>
  <c r="E177" i="62"/>
  <c r="E176" i="62"/>
  <c r="E175" i="62"/>
  <c r="E174" i="62"/>
  <c r="E173" i="62"/>
  <c r="E172" i="62"/>
  <c r="E171" i="62"/>
  <c r="E170" i="62"/>
  <c r="E169" i="62"/>
  <c r="E168" i="62"/>
  <c r="E167" i="62"/>
  <c r="E166" i="62"/>
  <c r="E165" i="62"/>
  <c r="E164" i="62"/>
  <c r="E196" i="58"/>
  <c r="E195" i="58"/>
  <c r="E194" i="58"/>
  <c r="E193" i="58"/>
  <c r="E192" i="58"/>
  <c r="E191" i="58"/>
  <c r="E190" i="58"/>
  <c r="E189" i="58"/>
  <c r="E188" i="58"/>
  <c r="E187" i="58"/>
  <c r="E186" i="58"/>
  <c r="E185" i="58"/>
  <c r="E184" i="58"/>
  <c r="E183" i="58"/>
  <c r="E182" i="58"/>
  <c r="E181" i="58"/>
  <c r="E180" i="58"/>
  <c r="E179" i="58"/>
  <c r="E178" i="58"/>
  <c r="E177" i="58"/>
  <c r="E176" i="58"/>
  <c r="E175" i="58"/>
  <c r="E174" i="58"/>
  <c r="E173" i="58"/>
  <c r="E172" i="58"/>
  <c r="E171" i="58"/>
  <c r="E170" i="58"/>
  <c r="E169" i="58"/>
  <c r="E168" i="58"/>
  <c r="E167" i="58"/>
  <c r="E166" i="58"/>
  <c r="E165" i="58"/>
  <c r="E164" i="58"/>
  <c r="E196" i="136"/>
  <c r="E195" i="136"/>
  <c r="E194" i="136"/>
  <c r="E193" i="136"/>
  <c r="E192" i="136"/>
  <c r="E191" i="136"/>
  <c r="E190" i="136"/>
  <c r="E189" i="136"/>
  <c r="E188" i="136"/>
  <c r="E187" i="136"/>
  <c r="E186" i="136"/>
  <c r="E185" i="136"/>
  <c r="E184" i="136"/>
  <c r="E183" i="136"/>
  <c r="E182" i="136"/>
  <c r="E181" i="136"/>
  <c r="E180" i="136"/>
  <c r="E179" i="136"/>
  <c r="E178" i="136"/>
  <c r="E177" i="136"/>
  <c r="E176" i="136"/>
  <c r="E175" i="136"/>
  <c r="E174" i="136"/>
  <c r="E173" i="136"/>
  <c r="E172" i="136"/>
  <c r="E171" i="136"/>
  <c r="E170" i="136"/>
  <c r="E169" i="136"/>
  <c r="E168" i="136"/>
  <c r="E167" i="136"/>
  <c r="E166" i="136"/>
  <c r="E165" i="136"/>
  <c r="E164" i="136"/>
  <c r="E196" i="53"/>
  <c r="E195" i="53"/>
  <c r="E194" i="53"/>
  <c r="E193" i="53"/>
  <c r="E192" i="53"/>
  <c r="E191" i="53"/>
  <c r="E190" i="53"/>
  <c r="E189" i="53"/>
  <c r="E188" i="53"/>
  <c r="E187" i="53"/>
  <c r="E186" i="53"/>
  <c r="E185" i="53"/>
  <c r="E184" i="53"/>
  <c r="E183" i="53"/>
  <c r="E182" i="53"/>
  <c r="E181" i="53"/>
  <c r="E180" i="53"/>
  <c r="E179" i="53"/>
  <c r="E178" i="53"/>
  <c r="E177" i="53"/>
  <c r="E176" i="53"/>
  <c r="E175" i="53"/>
  <c r="E174" i="53"/>
  <c r="E173" i="53"/>
  <c r="E172" i="53"/>
  <c r="E171" i="53"/>
  <c r="E170" i="53"/>
  <c r="E169" i="53"/>
  <c r="E168" i="53"/>
  <c r="E167" i="53"/>
  <c r="E166" i="53"/>
  <c r="E165" i="53"/>
  <c r="E164" i="53"/>
  <c r="E196" i="98"/>
  <c r="E195" i="98"/>
  <c r="E194" i="98"/>
  <c r="E193" i="98"/>
  <c r="E192" i="98"/>
  <c r="E191" i="98"/>
  <c r="E190" i="98"/>
  <c r="E189" i="98"/>
  <c r="E188" i="98"/>
  <c r="E187" i="98"/>
  <c r="E186" i="98"/>
  <c r="E185" i="98"/>
  <c r="E184" i="98"/>
  <c r="E183" i="98"/>
  <c r="E182" i="98"/>
  <c r="E181" i="98"/>
  <c r="E180" i="98"/>
  <c r="E179" i="98"/>
  <c r="E178" i="98"/>
  <c r="E177" i="98"/>
  <c r="E176" i="98"/>
  <c r="E175" i="98"/>
  <c r="E174" i="98"/>
  <c r="E173" i="98"/>
  <c r="E172" i="98"/>
  <c r="E171" i="98"/>
  <c r="E170" i="98"/>
  <c r="E169" i="98"/>
  <c r="E168" i="98"/>
  <c r="E167" i="98"/>
  <c r="E166" i="98"/>
  <c r="E165" i="98"/>
  <c r="E164" i="98"/>
  <c r="E196" i="49"/>
  <c r="E195" i="49"/>
  <c r="E194" i="49"/>
  <c r="E193" i="49"/>
  <c r="E192" i="49"/>
  <c r="E191" i="49"/>
  <c r="E190" i="49"/>
  <c r="E189" i="49"/>
  <c r="E188" i="49"/>
  <c r="E187" i="49"/>
  <c r="E186" i="49"/>
  <c r="E185" i="49"/>
  <c r="E184" i="49"/>
  <c r="E183" i="49"/>
  <c r="E182" i="49"/>
  <c r="E181" i="49"/>
  <c r="E180" i="49"/>
  <c r="E179" i="49"/>
  <c r="E178" i="49"/>
  <c r="E177" i="49"/>
  <c r="E176" i="49"/>
  <c r="E175" i="49"/>
  <c r="E174" i="49"/>
  <c r="E173" i="49"/>
  <c r="E172" i="49"/>
  <c r="E171" i="49"/>
  <c r="E170" i="49"/>
  <c r="E169" i="49"/>
  <c r="E168" i="49"/>
  <c r="E167" i="49"/>
  <c r="E166" i="49"/>
  <c r="E165" i="49"/>
  <c r="E164" i="49"/>
  <c r="E196" i="83"/>
  <c r="E195" i="83"/>
  <c r="E194" i="83"/>
  <c r="E193" i="83"/>
  <c r="E192" i="83"/>
  <c r="E191" i="83"/>
  <c r="E190" i="83"/>
  <c r="E189" i="83"/>
  <c r="E188" i="83"/>
  <c r="E187" i="83"/>
  <c r="E186" i="83"/>
  <c r="E185" i="83"/>
  <c r="E184" i="83"/>
  <c r="E183" i="83"/>
  <c r="E182" i="83"/>
  <c r="E181" i="83"/>
  <c r="E180" i="83"/>
  <c r="E179" i="83"/>
  <c r="E178" i="83"/>
  <c r="E177" i="83"/>
  <c r="E176" i="83"/>
  <c r="E175" i="83"/>
  <c r="E174" i="83"/>
  <c r="E173" i="83"/>
  <c r="E172" i="83"/>
  <c r="E171" i="83"/>
  <c r="E170" i="83"/>
  <c r="E169" i="83"/>
  <c r="E168" i="83"/>
  <c r="E167" i="83"/>
  <c r="E166" i="83"/>
  <c r="E165" i="83"/>
  <c r="E164" i="83"/>
  <c r="E196" i="47"/>
  <c r="E195" i="47"/>
  <c r="E194" i="47"/>
  <c r="E193" i="47"/>
  <c r="E192" i="47"/>
  <c r="E191" i="47"/>
  <c r="E190" i="47"/>
  <c r="E189" i="47"/>
  <c r="E188" i="47"/>
  <c r="E187" i="47"/>
  <c r="E186" i="47"/>
  <c r="E185" i="47"/>
  <c r="E184" i="47"/>
  <c r="E183" i="47"/>
  <c r="E182" i="47"/>
  <c r="E181" i="47"/>
  <c r="E180" i="47"/>
  <c r="E179" i="47"/>
  <c r="E178" i="47"/>
  <c r="E177" i="47"/>
  <c r="E176" i="47"/>
  <c r="E175" i="47"/>
  <c r="E174" i="47"/>
  <c r="E173" i="47"/>
  <c r="E172" i="47"/>
  <c r="E171" i="47"/>
  <c r="E170" i="47"/>
  <c r="E169" i="47"/>
  <c r="E168" i="47"/>
  <c r="E167" i="47"/>
  <c r="E166" i="47"/>
  <c r="E165" i="47"/>
  <c r="E164" i="47"/>
  <c r="E196" i="46"/>
  <c r="E195" i="46"/>
  <c r="E194" i="46"/>
  <c r="E193" i="46"/>
  <c r="E192" i="46"/>
  <c r="E191" i="46"/>
  <c r="E190" i="46"/>
  <c r="E189" i="46"/>
  <c r="E188" i="46"/>
  <c r="E187" i="46"/>
  <c r="E186" i="46"/>
  <c r="E185" i="46"/>
  <c r="E184" i="46"/>
  <c r="E183" i="46"/>
  <c r="E182" i="46"/>
  <c r="E181" i="46"/>
  <c r="E180" i="46"/>
  <c r="E179" i="46"/>
  <c r="E178" i="46"/>
  <c r="E177" i="46"/>
  <c r="E176" i="46"/>
  <c r="E175" i="46"/>
  <c r="E174" i="46"/>
  <c r="E173" i="46"/>
  <c r="E172" i="46"/>
  <c r="E171" i="46"/>
  <c r="E170" i="46"/>
  <c r="E169" i="46"/>
  <c r="E168" i="46"/>
  <c r="E167" i="46"/>
  <c r="E166" i="46"/>
  <c r="E165" i="46"/>
  <c r="E164" i="46"/>
  <c r="E196" i="102"/>
  <c r="E195" i="102"/>
  <c r="E194" i="102"/>
  <c r="E193" i="102"/>
  <c r="E192" i="102"/>
  <c r="E191" i="102"/>
  <c r="E190" i="102"/>
  <c r="E189" i="102"/>
  <c r="E188" i="102"/>
  <c r="E187" i="102"/>
  <c r="E186" i="102"/>
  <c r="E185" i="102"/>
  <c r="E184" i="102"/>
  <c r="E183" i="102"/>
  <c r="E182" i="102"/>
  <c r="E181" i="102"/>
  <c r="E180" i="102"/>
  <c r="E179" i="102"/>
  <c r="E178" i="102"/>
  <c r="E177" i="102"/>
  <c r="E176" i="102"/>
  <c r="E175" i="102"/>
  <c r="E174" i="102"/>
  <c r="E173" i="102"/>
  <c r="E172" i="102"/>
  <c r="E171" i="102"/>
  <c r="E170" i="102"/>
  <c r="E169" i="102"/>
  <c r="E168" i="102"/>
  <c r="E167" i="102"/>
  <c r="E166" i="102"/>
  <c r="E165" i="102"/>
  <c r="E164" i="102"/>
  <c r="E196" i="45"/>
  <c r="E195" i="45"/>
  <c r="E194" i="45"/>
  <c r="E193" i="45"/>
  <c r="E192" i="45"/>
  <c r="E191" i="45"/>
  <c r="E190" i="45"/>
  <c r="E189" i="45"/>
  <c r="E188" i="45"/>
  <c r="E187" i="45"/>
  <c r="E186" i="45"/>
  <c r="E185" i="45"/>
  <c r="E184" i="45"/>
  <c r="E183" i="45"/>
  <c r="E182" i="45"/>
  <c r="E181" i="45"/>
  <c r="E180" i="45"/>
  <c r="E179" i="45"/>
  <c r="E178" i="45"/>
  <c r="E177" i="45"/>
  <c r="E176" i="45"/>
  <c r="E175" i="45"/>
  <c r="E174" i="45"/>
  <c r="E173" i="45"/>
  <c r="E172" i="45"/>
  <c r="E171" i="45"/>
  <c r="E170" i="45"/>
  <c r="E169" i="45"/>
  <c r="E168" i="45"/>
  <c r="E167" i="45"/>
  <c r="E166" i="45"/>
  <c r="E165" i="45"/>
  <c r="E164" i="45"/>
  <c r="E196" i="104"/>
  <c r="E195" i="104"/>
  <c r="E194" i="104"/>
  <c r="E193" i="104"/>
  <c r="E192" i="104"/>
  <c r="E191" i="104"/>
  <c r="E190" i="104"/>
  <c r="E189" i="104"/>
  <c r="E188" i="104"/>
  <c r="E187" i="104"/>
  <c r="E186" i="104"/>
  <c r="E185" i="104"/>
  <c r="E184" i="104"/>
  <c r="E183" i="104"/>
  <c r="E182" i="104"/>
  <c r="E181" i="104"/>
  <c r="E180" i="104"/>
  <c r="E179" i="104"/>
  <c r="E178" i="104"/>
  <c r="E177" i="104"/>
  <c r="E176" i="104"/>
  <c r="E175" i="104"/>
  <c r="E174" i="104"/>
  <c r="E173" i="104"/>
  <c r="E172" i="104"/>
  <c r="E171" i="104"/>
  <c r="E170" i="104"/>
  <c r="E169" i="104"/>
  <c r="E168" i="104"/>
  <c r="E167" i="104"/>
  <c r="E166" i="104"/>
  <c r="E165" i="104"/>
  <c r="E164" i="104"/>
  <c r="E196" i="106"/>
  <c r="E195" i="106"/>
  <c r="E194" i="106"/>
  <c r="E193" i="106"/>
  <c r="E192" i="106"/>
  <c r="E191" i="106"/>
  <c r="E190" i="106"/>
  <c r="E189" i="106"/>
  <c r="E188" i="106"/>
  <c r="E187" i="106"/>
  <c r="E186" i="106"/>
  <c r="E185" i="106"/>
  <c r="E184" i="106"/>
  <c r="E183" i="106"/>
  <c r="E182" i="106"/>
  <c r="E181" i="106"/>
  <c r="E180" i="106"/>
  <c r="E179" i="106"/>
  <c r="E178" i="106"/>
  <c r="E177" i="106"/>
  <c r="E176" i="106"/>
  <c r="E175" i="106"/>
  <c r="E174" i="106"/>
  <c r="E173" i="106"/>
  <c r="E172" i="106"/>
  <c r="E171" i="106"/>
  <c r="E170" i="106"/>
  <c r="E169" i="106"/>
  <c r="E168" i="106"/>
  <c r="E167" i="106"/>
  <c r="E166" i="106"/>
  <c r="E165" i="106"/>
  <c r="E164" i="106"/>
  <c r="E196" i="57"/>
  <c r="E195" i="57"/>
  <c r="E194" i="57"/>
  <c r="E193" i="57"/>
  <c r="E192" i="57"/>
  <c r="E191" i="57"/>
  <c r="E190" i="57"/>
  <c r="E189" i="57"/>
  <c r="E188" i="57"/>
  <c r="E187" i="57"/>
  <c r="E186" i="57"/>
  <c r="E185" i="57"/>
  <c r="E184" i="57"/>
  <c r="E183" i="57"/>
  <c r="E182" i="57"/>
  <c r="E181" i="57"/>
  <c r="E180" i="57"/>
  <c r="E179" i="57"/>
  <c r="E178" i="57"/>
  <c r="E177" i="57"/>
  <c r="E176" i="57"/>
  <c r="E175" i="57"/>
  <c r="E174" i="57"/>
  <c r="E173" i="57"/>
  <c r="E172" i="57"/>
  <c r="E171" i="57"/>
  <c r="E170" i="57"/>
  <c r="E169" i="57"/>
  <c r="E168" i="57"/>
  <c r="E167" i="57"/>
  <c r="E166" i="57"/>
  <c r="E165" i="57"/>
  <c r="E164" i="57"/>
  <c r="E196" i="42"/>
  <c r="E195" i="42"/>
  <c r="E194" i="42"/>
  <c r="E193" i="42"/>
  <c r="E192" i="42"/>
  <c r="E191" i="42"/>
  <c r="E190" i="42"/>
  <c r="E189" i="42"/>
  <c r="E188" i="42"/>
  <c r="E187" i="42"/>
  <c r="E186" i="42"/>
  <c r="E185" i="42"/>
  <c r="E184" i="42"/>
  <c r="E183" i="42"/>
  <c r="E182" i="42"/>
  <c r="E181" i="42"/>
  <c r="E180" i="42"/>
  <c r="E179" i="42"/>
  <c r="E178" i="42"/>
  <c r="E177" i="42"/>
  <c r="E176" i="42"/>
  <c r="E175" i="42"/>
  <c r="E174" i="42"/>
  <c r="E173" i="42"/>
  <c r="E172" i="42"/>
  <c r="E171" i="42"/>
  <c r="E170" i="42"/>
  <c r="E169" i="42"/>
  <c r="E168" i="42"/>
  <c r="E167" i="42"/>
  <c r="E166" i="42"/>
  <c r="E165" i="42"/>
  <c r="E164" i="42"/>
  <c r="E196" i="71"/>
  <c r="E195" i="71"/>
  <c r="E194" i="71"/>
  <c r="E193" i="71"/>
  <c r="E192" i="71"/>
  <c r="E191" i="71"/>
  <c r="E190" i="71"/>
  <c r="E189" i="71"/>
  <c r="E188" i="71"/>
  <c r="E187" i="71"/>
  <c r="E186" i="71"/>
  <c r="E185" i="71"/>
  <c r="E184" i="71"/>
  <c r="E183" i="71"/>
  <c r="E182" i="71"/>
  <c r="E181" i="71"/>
  <c r="E180" i="71"/>
  <c r="E179" i="71"/>
  <c r="E178" i="71"/>
  <c r="E177" i="71"/>
  <c r="E176" i="71"/>
  <c r="E175" i="71"/>
  <c r="E174" i="71"/>
  <c r="E173" i="71"/>
  <c r="E172" i="71"/>
  <c r="E171" i="71"/>
  <c r="E170" i="71"/>
  <c r="E169" i="71"/>
  <c r="E168" i="71"/>
  <c r="E167" i="71"/>
  <c r="E166" i="71"/>
  <c r="E165" i="71"/>
  <c r="E164" i="71"/>
  <c r="E196" i="167"/>
  <c r="E195" i="167"/>
  <c r="E194" i="167"/>
  <c r="E193" i="167"/>
  <c r="E192" i="167"/>
  <c r="E191" i="167"/>
  <c r="E190" i="167"/>
  <c r="E189" i="167"/>
  <c r="E188" i="167"/>
  <c r="E187" i="167"/>
  <c r="E186" i="167"/>
  <c r="E185" i="167"/>
  <c r="E184" i="167"/>
  <c r="E183" i="167"/>
  <c r="E182" i="167"/>
  <c r="E181" i="167"/>
  <c r="E180" i="167"/>
  <c r="E179" i="167"/>
  <c r="E178" i="167"/>
  <c r="E177" i="167"/>
  <c r="E176" i="167"/>
  <c r="E175" i="167"/>
  <c r="E174" i="167"/>
  <c r="E173" i="167"/>
  <c r="E172" i="167"/>
  <c r="E171" i="167"/>
  <c r="E170" i="167"/>
  <c r="E169" i="167"/>
  <c r="E168" i="167"/>
  <c r="E167" i="167"/>
  <c r="E166" i="167"/>
  <c r="E165" i="167"/>
  <c r="E164" i="167"/>
  <c r="E196" i="39"/>
  <c r="E195" i="39"/>
  <c r="E194" i="39"/>
  <c r="E193" i="39"/>
  <c r="E192" i="39"/>
  <c r="E191" i="39"/>
  <c r="E190" i="39"/>
  <c r="E189" i="39"/>
  <c r="E188" i="39"/>
  <c r="E187" i="39"/>
  <c r="E186" i="39"/>
  <c r="E185" i="39"/>
  <c r="E184" i="39"/>
  <c r="E183" i="39"/>
  <c r="E182" i="39"/>
  <c r="E181" i="39"/>
  <c r="E180" i="39"/>
  <c r="E179" i="39"/>
  <c r="E178" i="39"/>
  <c r="E177" i="39"/>
  <c r="E176" i="39"/>
  <c r="E175" i="39"/>
  <c r="E174" i="39"/>
  <c r="E173" i="39"/>
  <c r="E172" i="39"/>
  <c r="E171" i="39"/>
  <c r="E170" i="39"/>
  <c r="E169" i="39"/>
  <c r="E168" i="39"/>
  <c r="E167" i="39"/>
  <c r="E166" i="39"/>
  <c r="E165" i="39"/>
  <c r="E164" i="39"/>
  <c r="E196" i="135"/>
  <c r="E195" i="135"/>
  <c r="E194" i="135"/>
  <c r="E193" i="135"/>
  <c r="E192" i="135"/>
  <c r="E191" i="135"/>
  <c r="E190" i="135"/>
  <c r="E189" i="135"/>
  <c r="E188" i="135"/>
  <c r="E187" i="135"/>
  <c r="E186" i="135"/>
  <c r="E185" i="135"/>
  <c r="E184" i="135"/>
  <c r="E183" i="135"/>
  <c r="E182" i="135"/>
  <c r="E181" i="135"/>
  <c r="E180" i="135"/>
  <c r="E179" i="135"/>
  <c r="E178" i="135"/>
  <c r="E177" i="135"/>
  <c r="E176" i="135"/>
  <c r="E175" i="135"/>
  <c r="E174" i="135"/>
  <c r="E173" i="135"/>
  <c r="E172" i="135"/>
  <c r="E171" i="135"/>
  <c r="E170" i="135"/>
  <c r="E169" i="135"/>
  <c r="E168" i="135"/>
  <c r="E167" i="135"/>
  <c r="E166" i="135"/>
  <c r="E165" i="135"/>
  <c r="E164" i="135"/>
  <c r="E196" i="38"/>
  <c r="E195" i="38"/>
  <c r="E194" i="38"/>
  <c r="E193" i="38"/>
  <c r="E192" i="38"/>
  <c r="E191" i="38"/>
  <c r="E190" i="38"/>
  <c r="E189" i="38"/>
  <c r="E188" i="38"/>
  <c r="E187" i="38"/>
  <c r="E186" i="38"/>
  <c r="E185" i="38"/>
  <c r="E184" i="38"/>
  <c r="E183" i="38"/>
  <c r="E182" i="38"/>
  <c r="E181" i="38"/>
  <c r="E180" i="38"/>
  <c r="E179" i="38"/>
  <c r="E178" i="38"/>
  <c r="E177" i="38"/>
  <c r="E176" i="38"/>
  <c r="E175" i="38"/>
  <c r="E174" i="38"/>
  <c r="E173" i="38"/>
  <c r="E172" i="38"/>
  <c r="E171" i="38"/>
  <c r="E170" i="38"/>
  <c r="E169" i="38"/>
  <c r="E168" i="38"/>
  <c r="E167" i="38"/>
  <c r="E166" i="38"/>
  <c r="E165" i="38"/>
  <c r="E164" i="38"/>
  <c r="E196" i="152"/>
  <c r="E195" i="152"/>
  <c r="E194" i="152"/>
  <c r="E193" i="152"/>
  <c r="E192" i="152"/>
  <c r="E191" i="152"/>
  <c r="E190" i="152"/>
  <c r="E189" i="152"/>
  <c r="E188" i="152"/>
  <c r="E187" i="152"/>
  <c r="E186" i="152"/>
  <c r="E185" i="152"/>
  <c r="E184" i="152"/>
  <c r="E183" i="152"/>
  <c r="E182" i="152"/>
  <c r="E181" i="152"/>
  <c r="E180" i="152"/>
  <c r="E179" i="152"/>
  <c r="E178" i="152"/>
  <c r="E177" i="152"/>
  <c r="E176" i="152"/>
  <c r="E175" i="152"/>
  <c r="E174" i="152"/>
  <c r="E173" i="152"/>
  <c r="E172" i="152"/>
  <c r="E171" i="152"/>
  <c r="E170" i="152"/>
  <c r="E169" i="152"/>
  <c r="E168" i="152"/>
  <c r="E167" i="152"/>
  <c r="E166" i="152"/>
  <c r="E165" i="152"/>
  <c r="E164" i="152"/>
  <c r="E196" i="120"/>
  <c r="E195" i="120"/>
  <c r="E194" i="120"/>
  <c r="E193" i="120"/>
  <c r="E192" i="120"/>
  <c r="E191" i="120"/>
  <c r="E190" i="120"/>
  <c r="E189" i="120"/>
  <c r="E188" i="120"/>
  <c r="E187" i="120"/>
  <c r="E186" i="120"/>
  <c r="E185" i="120"/>
  <c r="E184" i="120"/>
  <c r="E183" i="120"/>
  <c r="E182" i="120"/>
  <c r="E181" i="120"/>
  <c r="E180" i="120"/>
  <c r="E179" i="120"/>
  <c r="E178" i="120"/>
  <c r="E177" i="120"/>
  <c r="E176" i="120"/>
  <c r="E175" i="120"/>
  <c r="E174" i="120"/>
  <c r="E173" i="120"/>
  <c r="E172" i="120"/>
  <c r="E171" i="120"/>
  <c r="E170" i="120"/>
  <c r="E169" i="120"/>
  <c r="E168" i="120"/>
  <c r="E167" i="120"/>
  <c r="E166" i="120"/>
  <c r="E165" i="120"/>
  <c r="E164" i="120"/>
  <c r="E196" i="37"/>
  <c r="E195" i="37"/>
  <c r="E194" i="37"/>
  <c r="E193" i="37"/>
  <c r="E192" i="37"/>
  <c r="E191" i="37"/>
  <c r="E190" i="37"/>
  <c r="E189" i="37"/>
  <c r="E188" i="37"/>
  <c r="E187" i="37"/>
  <c r="E186" i="37"/>
  <c r="E185" i="37"/>
  <c r="E184" i="37"/>
  <c r="E183" i="37"/>
  <c r="E182" i="37"/>
  <c r="E181" i="37"/>
  <c r="E180" i="37"/>
  <c r="E179" i="37"/>
  <c r="E178" i="37"/>
  <c r="E177" i="37"/>
  <c r="E176" i="37"/>
  <c r="E175" i="37"/>
  <c r="E174" i="37"/>
  <c r="E173" i="37"/>
  <c r="E172" i="37"/>
  <c r="E171" i="37"/>
  <c r="E170" i="37"/>
  <c r="E169" i="37"/>
  <c r="E168" i="37"/>
  <c r="E167" i="37"/>
  <c r="E166" i="37"/>
  <c r="E165" i="37"/>
  <c r="E164" i="37"/>
  <c r="E196" i="90"/>
  <c r="E195" i="90"/>
  <c r="E194" i="90"/>
  <c r="E193" i="90"/>
  <c r="E192" i="90"/>
  <c r="E191" i="90"/>
  <c r="E190" i="90"/>
  <c r="E189" i="90"/>
  <c r="E188" i="90"/>
  <c r="E187" i="90"/>
  <c r="E186" i="90"/>
  <c r="E185" i="90"/>
  <c r="E184" i="90"/>
  <c r="E183" i="90"/>
  <c r="E182" i="90"/>
  <c r="E181" i="90"/>
  <c r="E180" i="90"/>
  <c r="E179" i="90"/>
  <c r="E178" i="90"/>
  <c r="E177" i="90"/>
  <c r="E176" i="90"/>
  <c r="E175" i="90"/>
  <c r="E174" i="90"/>
  <c r="E173" i="90"/>
  <c r="E172" i="90"/>
  <c r="E171" i="90"/>
  <c r="E170" i="90"/>
  <c r="E169" i="90"/>
  <c r="E168" i="90"/>
  <c r="E167" i="90"/>
  <c r="E166" i="90"/>
  <c r="E165" i="90"/>
  <c r="E164" i="90"/>
  <c r="E196" i="24"/>
  <c r="E195" i="24"/>
  <c r="E194" i="24"/>
  <c r="E193" i="24"/>
  <c r="E192" i="24"/>
  <c r="E191" i="24"/>
  <c r="E190" i="24"/>
  <c r="E189" i="24"/>
  <c r="E188" i="24"/>
  <c r="E187" i="24"/>
  <c r="E186" i="24"/>
  <c r="E185" i="24"/>
  <c r="E184" i="24"/>
  <c r="E183" i="24"/>
  <c r="E182" i="24"/>
  <c r="E181" i="24"/>
  <c r="E180" i="24"/>
  <c r="E179" i="24"/>
  <c r="E178" i="24"/>
  <c r="E177" i="24"/>
  <c r="E176" i="24"/>
  <c r="E175" i="24"/>
  <c r="E174" i="24"/>
  <c r="E173" i="24"/>
  <c r="E172" i="24"/>
  <c r="E171" i="24"/>
  <c r="E170" i="24"/>
  <c r="E169" i="24"/>
  <c r="E168" i="24"/>
  <c r="E167" i="24"/>
  <c r="E166" i="24"/>
  <c r="E165" i="24"/>
  <c r="E164" i="24"/>
  <c r="E196" i="141"/>
  <c r="E195" i="141"/>
  <c r="E194" i="141"/>
  <c r="E193" i="141"/>
  <c r="E192" i="141"/>
  <c r="E191" i="141"/>
  <c r="E190" i="141"/>
  <c r="E189" i="141"/>
  <c r="E188" i="141"/>
  <c r="E187" i="141"/>
  <c r="E186" i="141"/>
  <c r="E185" i="141"/>
  <c r="E184" i="141"/>
  <c r="E183" i="141"/>
  <c r="E182" i="141"/>
  <c r="E181" i="141"/>
  <c r="E180" i="141"/>
  <c r="E179" i="141"/>
  <c r="E178" i="141"/>
  <c r="E177" i="141"/>
  <c r="E176" i="141"/>
  <c r="E175" i="141"/>
  <c r="E174" i="141"/>
  <c r="E173" i="141"/>
  <c r="E172" i="141"/>
  <c r="E171" i="141"/>
  <c r="E170" i="141"/>
  <c r="E169" i="141"/>
  <c r="E168" i="141"/>
  <c r="E167" i="141"/>
  <c r="E166" i="141"/>
  <c r="E165" i="141"/>
  <c r="E164" i="141"/>
  <c r="E196" i="33"/>
  <c r="E195" i="33"/>
  <c r="E194" i="33"/>
  <c r="E193" i="33"/>
  <c r="E192" i="33"/>
  <c r="E191" i="33"/>
  <c r="E190" i="33"/>
  <c r="E189" i="33"/>
  <c r="E188" i="33"/>
  <c r="E187" i="33"/>
  <c r="E186" i="33"/>
  <c r="E185" i="33"/>
  <c r="E184" i="33"/>
  <c r="E183" i="33"/>
  <c r="E182" i="33"/>
  <c r="E181" i="33"/>
  <c r="E180" i="33"/>
  <c r="E179" i="33"/>
  <c r="E178" i="33"/>
  <c r="E177" i="33"/>
  <c r="E176" i="33"/>
  <c r="E175" i="33"/>
  <c r="E174" i="33"/>
  <c r="E173" i="33"/>
  <c r="E172" i="33"/>
  <c r="E171" i="33"/>
  <c r="E170" i="33"/>
  <c r="E169" i="33"/>
  <c r="E168" i="33"/>
  <c r="E167" i="33"/>
  <c r="E166" i="33"/>
  <c r="E165" i="33"/>
  <c r="E164" i="33"/>
  <c r="E196" i="32"/>
  <c r="E195" i="32"/>
  <c r="E194" i="32"/>
  <c r="E193" i="32"/>
  <c r="E192" i="32"/>
  <c r="E191" i="32"/>
  <c r="E190" i="32"/>
  <c r="E189" i="32"/>
  <c r="E188" i="32"/>
  <c r="E187" i="32"/>
  <c r="E186" i="32"/>
  <c r="E185" i="32"/>
  <c r="E184" i="32"/>
  <c r="E183" i="32"/>
  <c r="E182" i="32"/>
  <c r="E181" i="32"/>
  <c r="E180" i="32"/>
  <c r="E179" i="32"/>
  <c r="E178" i="32"/>
  <c r="E177" i="32"/>
  <c r="E176" i="32"/>
  <c r="E175" i="32"/>
  <c r="E174" i="32"/>
  <c r="E173" i="32"/>
  <c r="E172" i="32"/>
  <c r="E171" i="32"/>
  <c r="E170" i="32"/>
  <c r="E169" i="32"/>
  <c r="E168" i="32"/>
  <c r="E167" i="32"/>
  <c r="E166" i="32"/>
  <c r="E165" i="32"/>
  <c r="E164" i="32"/>
  <c r="E196" i="79"/>
  <c r="E195" i="79"/>
  <c r="E194" i="79"/>
  <c r="E193" i="79"/>
  <c r="E192" i="79"/>
  <c r="E191" i="79"/>
  <c r="E190" i="79"/>
  <c r="E189" i="79"/>
  <c r="E188" i="79"/>
  <c r="E187" i="79"/>
  <c r="E186" i="79"/>
  <c r="E185" i="79"/>
  <c r="E184" i="79"/>
  <c r="E183" i="79"/>
  <c r="E182" i="79"/>
  <c r="E181" i="79"/>
  <c r="E180" i="79"/>
  <c r="E179" i="79"/>
  <c r="E178" i="79"/>
  <c r="E177" i="79"/>
  <c r="E176" i="79"/>
  <c r="E175" i="79"/>
  <c r="E174" i="79"/>
  <c r="E173" i="79"/>
  <c r="E172" i="79"/>
  <c r="E171" i="79"/>
  <c r="E170" i="79"/>
  <c r="E169" i="79"/>
  <c r="E168" i="79"/>
  <c r="E167" i="79"/>
  <c r="E166" i="79"/>
  <c r="E165" i="79"/>
  <c r="E164" i="79"/>
  <c r="E196" i="31"/>
  <c r="E195" i="31"/>
  <c r="E194" i="31"/>
  <c r="E193" i="31"/>
  <c r="E192" i="31"/>
  <c r="E191" i="31"/>
  <c r="E190" i="31"/>
  <c r="E189" i="31"/>
  <c r="E188" i="31"/>
  <c r="E187" i="31"/>
  <c r="E186" i="31"/>
  <c r="E185" i="31"/>
  <c r="E184" i="31"/>
  <c r="E183" i="31"/>
  <c r="E182" i="31"/>
  <c r="E181" i="31"/>
  <c r="E180" i="31"/>
  <c r="E179" i="31"/>
  <c r="E178" i="31"/>
  <c r="E177" i="31"/>
  <c r="E176" i="31"/>
  <c r="E175" i="31"/>
  <c r="E174" i="31"/>
  <c r="E173" i="31"/>
  <c r="E172" i="31"/>
  <c r="E171" i="31"/>
  <c r="E170" i="31"/>
  <c r="E169" i="31"/>
  <c r="E168" i="31"/>
  <c r="E167" i="31"/>
  <c r="E166" i="31"/>
  <c r="E165" i="31"/>
  <c r="E164" i="31"/>
  <c r="E196" i="64"/>
  <c r="E195" i="64"/>
  <c r="E194" i="64"/>
  <c r="E193" i="64"/>
  <c r="E192" i="64"/>
  <c r="E191" i="64"/>
  <c r="E190" i="64"/>
  <c r="E189" i="64"/>
  <c r="E188" i="64"/>
  <c r="E187" i="64"/>
  <c r="E186" i="64"/>
  <c r="E185" i="64"/>
  <c r="E184" i="64"/>
  <c r="E183" i="64"/>
  <c r="E182" i="64"/>
  <c r="E181" i="64"/>
  <c r="E180" i="64"/>
  <c r="E179" i="64"/>
  <c r="E178" i="64"/>
  <c r="E177" i="64"/>
  <c r="E176" i="64"/>
  <c r="E175" i="64"/>
  <c r="E174" i="64"/>
  <c r="E173" i="64"/>
  <c r="E172" i="64"/>
  <c r="E171" i="64"/>
  <c r="E170" i="64"/>
  <c r="E169" i="64"/>
  <c r="E168" i="64"/>
  <c r="E167" i="64"/>
  <c r="E166" i="64"/>
  <c r="E165" i="64"/>
  <c r="E164" i="64"/>
  <c r="E196" i="72"/>
  <c r="E195" i="72"/>
  <c r="E194" i="72"/>
  <c r="E193" i="72"/>
  <c r="E192" i="72"/>
  <c r="E191" i="72"/>
  <c r="E190" i="72"/>
  <c r="E189" i="72"/>
  <c r="E188" i="72"/>
  <c r="E187" i="72"/>
  <c r="E186" i="72"/>
  <c r="E185" i="72"/>
  <c r="E184" i="72"/>
  <c r="E183" i="72"/>
  <c r="E182" i="72"/>
  <c r="E181" i="72"/>
  <c r="E180" i="72"/>
  <c r="E179" i="72"/>
  <c r="E178" i="72"/>
  <c r="E177" i="72"/>
  <c r="E176" i="72"/>
  <c r="E175" i="72"/>
  <c r="E174" i="72"/>
  <c r="E173" i="72"/>
  <c r="E172" i="72"/>
  <c r="E171" i="72"/>
  <c r="E170" i="72"/>
  <c r="E169" i="72"/>
  <c r="E168" i="72"/>
  <c r="E167" i="72"/>
  <c r="E166" i="72"/>
  <c r="E165" i="72"/>
  <c r="E164" i="72"/>
  <c r="E196" i="28"/>
  <c r="E195" i="28"/>
  <c r="E194" i="28"/>
  <c r="E193" i="28"/>
  <c r="E192" i="28"/>
  <c r="E191" i="28"/>
  <c r="E190" i="28"/>
  <c r="E189" i="28"/>
  <c r="E188" i="28"/>
  <c r="E187" i="28"/>
  <c r="E186" i="28"/>
  <c r="E185" i="28"/>
  <c r="E184" i="28"/>
  <c r="E183" i="28"/>
  <c r="E182" i="28"/>
  <c r="E181" i="28"/>
  <c r="E180" i="28"/>
  <c r="E179" i="28"/>
  <c r="E178" i="28"/>
  <c r="E177" i="28"/>
  <c r="E176" i="28"/>
  <c r="E175" i="28"/>
  <c r="E174" i="28"/>
  <c r="E173" i="28"/>
  <c r="E172" i="28"/>
  <c r="E171" i="28"/>
  <c r="E170" i="28"/>
  <c r="E169" i="28"/>
  <c r="E168" i="28"/>
  <c r="E167" i="28"/>
  <c r="E166" i="28"/>
  <c r="E165" i="28"/>
  <c r="E164" i="28"/>
  <c r="E196" i="65"/>
  <c r="E195" i="65"/>
  <c r="E194" i="65"/>
  <c r="E193" i="65"/>
  <c r="E192" i="65"/>
  <c r="E191" i="65"/>
  <c r="E190" i="65"/>
  <c r="E189" i="65"/>
  <c r="E188" i="65"/>
  <c r="E187" i="65"/>
  <c r="E186" i="65"/>
  <c r="E185" i="65"/>
  <c r="E184" i="65"/>
  <c r="E183" i="65"/>
  <c r="E182" i="65"/>
  <c r="E181" i="65"/>
  <c r="E180" i="65"/>
  <c r="E179" i="65"/>
  <c r="E178" i="65"/>
  <c r="E177" i="65"/>
  <c r="E176" i="65"/>
  <c r="E175" i="65"/>
  <c r="E174" i="65"/>
  <c r="E173" i="65"/>
  <c r="E172" i="65"/>
  <c r="E171" i="65"/>
  <c r="E170" i="65"/>
  <c r="E169" i="65"/>
  <c r="E168" i="65"/>
  <c r="E167" i="65"/>
  <c r="E166" i="65"/>
  <c r="E165" i="65"/>
  <c r="E164" i="65"/>
  <c r="E196" i="119"/>
  <c r="E195" i="119"/>
  <c r="E194" i="119"/>
  <c r="E193" i="119"/>
  <c r="E192" i="119"/>
  <c r="E191" i="119"/>
  <c r="E190" i="119"/>
  <c r="E189" i="119"/>
  <c r="E188" i="119"/>
  <c r="E187" i="119"/>
  <c r="E186" i="119"/>
  <c r="E185" i="119"/>
  <c r="E184" i="119"/>
  <c r="E183" i="119"/>
  <c r="E182" i="119"/>
  <c r="E181" i="119"/>
  <c r="E180" i="119"/>
  <c r="E179" i="119"/>
  <c r="E178" i="119"/>
  <c r="E177" i="119"/>
  <c r="E176" i="119"/>
  <c r="E175" i="119"/>
  <c r="E174" i="119"/>
  <c r="E173" i="119"/>
  <c r="E172" i="119"/>
  <c r="E171" i="119"/>
  <c r="E170" i="119"/>
  <c r="E169" i="119"/>
  <c r="E168" i="119"/>
  <c r="E167" i="119"/>
  <c r="E166" i="119"/>
  <c r="E165" i="119"/>
  <c r="E164" i="119"/>
  <c r="E196" i="25"/>
  <c r="E195" i="25"/>
  <c r="E194" i="25"/>
  <c r="E193" i="25"/>
  <c r="E192" i="25"/>
  <c r="E191" i="25"/>
  <c r="E190" i="25"/>
  <c r="E189" i="25"/>
  <c r="E188" i="25"/>
  <c r="E187" i="25"/>
  <c r="E186" i="25"/>
  <c r="E185" i="25"/>
  <c r="E184" i="25"/>
  <c r="E183" i="25"/>
  <c r="E182" i="25"/>
  <c r="E181" i="25"/>
  <c r="E180" i="25"/>
  <c r="E179" i="25"/>
  <c r="E178" i="25"/>
  <c r="E177" i="25"/>
  <c r="E176" i="25"/>
  <c r="E175" i="25"/>
  <c r="E174" i="25"/>
  <c r="E173" i="25"/>
  <c r="E172" i="25"/>
  <c r="E171" i="25"/>
  <c r="E170" i="25"/>
  <c r="E169" i="25"/>
  <c r="E168" i="25"/>
  <c r="E167" i="25"/>
  <c r="E166" i="25"/>
  <c r="E165" i="25"/>
  <c r="E164" i="25"/>
  <c r="E196" i="20"/>
  <c r="E195" i="20"/>
  <c r="E194" i="20"/>
  <c r="E193" i="20"/>
  <c r="E192" i="20"/>
  <c r="E191" i="20"/>
  <c r="E190" i="20"/>
  <c r="E189" i="20"/>
  <c r="E188" i="20"/>
  <c r="E187" i="20"/>
  <c r="E186" i="20"/>
  <c r="E185" i="20"/>
  <c r="E184" i="20"/>
  <c r="E183" i="20"/>
  <c r="E182" i="20"/>
  <c r="E181" i="20"/>
  <c r="E180" i="20"/>
  <c r="E179" i="20"/>
  <c r="E178" i="20"/>
  <c r="E177" i="20"/>
  <c r="E176" i="20"/>
  <c r="E175" i="20"/>
  <c r="E174" i="20"/>
  <c r="E173" i="20"/>
  <c r="E172" i="20"/>
  <c r="E171" i="20"/>
  <c r="E170" i="20"/>
  <c r="E169" i="20"/>
  <c r="E168" i="20"/>
  <c r="E167" i="20"/>
  <c r="E166" i="20"/>
  <c r="E165" i="20"/>
  <c r="E164" i="20"/>
  <c r="E196" i="159"/>
  <c r="E195" i="159"/>
  <c r="E194" i="159"/>
  <c r="E193" i="159"/>
  <c r="E192" i="159"/>
  <c r="E191" i="159"/>
  <c r="E190" i="159"/>
  <c r="E189" i="159"/>
  <c r="E188" i="159"/>
  <c r="E187" i="159"/>
  <c r="E186" i="159"/>
  <c r="E185" i="159"/>
  <c r="E184" i="159"/>
  <c r="E183" i="159"/>
  <c r="E182" i="159"/>
  <c r="E181" i="159"/>
  <c r="E180" i="159"/>
  <c r="E179" i="159"/>
  <c r="E178" i="159"/>
  <c r="E177" i="159"/>
  <c r="E176" i="159"/>
  <c r="E175" i="159"/>
  <c r="E174" i="159"/>
  <c r="E173" i="159"/>
  <c r="E172" i="159"/>
  <c r="E171" i="159"/>
  <c r="E170" i="159"/>
  <c r="E169" i="159"/>
  <c r="E168" i="159"/>
  <c r="E167" i="159"/>
  <c r="E166" i="159"/>
  <c r="E165" i="159"/>
  <c r="E164" i="159"/>
  <c r="E196" i="16"/>
  <c r="E195" i="16"/>
  <c r="E194" i="16"/>
  <c r="E193" i="16"/>
  <c r="E192" i="16"/>
  <c r="E191" i="16"/>
  <c r="E190" i="16"/>
  <c r="E189" i="16"/>
  <c r="E188" i="16"/>
  <c r="E187" i="16"/>
  <c r="E186" i="16"/>
  <c r="E185" i="16"/>
  <c r="E184" i="16"/>
  <c r="E183" i="16"/>
  <c r="E182" i="16"/>
  <c r="E181" i="16"/>
  <c r="E180" i="16"/>
  <c r="E179" i="16"/>
  <c r="E178" i="16"/>
  <c r="E177" i="16"/>
  <c r="E176" i="16"/>
  <c r="E175" i="16"/>
  <c r="E174" i="16"/>
  <c r="E173" i="16"/>
  <c r="E172" i="16"/>
  <c r="E171" i="16"/>
  <c r="E170" i="16"/>
  <c r="E169" i="16"/>
  <c r="E168" i="16"/>
  <c r="E167" i="16"/>
  <c r="E166" i="16"/>
  <c r="E165" i="16"/>
  <c r="E164" i="16"/>
  <c r="E196" i="27"/>
  <c r="E195" i="27"/>
  <c r="E194" i="27"/>
  <c r="E193" i="27"/>
  <c r="E192" i="27"/>
  <c r="E191" i="27"/>
  <c r="E190" i="27"/>
  <c r="E189" i="27"/>
  <c r="E188" i="27"/>
  <c r="E187" i="27"/>
  <c r="E186" i="27"/>
  <c r="E185" i="27"/>
  <c r="E184" i="27"/>
  <c r="E183" i="27"/>
  <c r="E182" i="27"/>
  <c r="E181" i="27"/>
  <c r="E180" i="27"/>
  <c r="E179" i="27"/>
  <c r="E178" i="27"/>
  <c r="E177" i="27"/>
  <c r="E176" i="27"/>
  <c r="E175" i="27"/>
  <c r="E174" i="27"/>
  <c r="E173" i="27"/>
  <c r="E172" i="27"/>
  <c r="E171" i="27"/>
  <c r="E170" i="27"/>
  <c r="E169" i="27"/>
  <c r="E168" i="27"/>
  <c r="E167" i="27"/>
  <c r="E166" i="27"/>
  <c r="E165" i="27"/>
  <c r="E164" i="27"/>
  <c r="E196" i="111"/>
  <c r="E195" i="111"/>
  <c r="E194" i="111"/>
  <c r="E193" i="111"/>
  <c r="E192" i="111"/>
  <c r="E191" i="111"/>
  <c r="E190" i="111"/>
  <c r="E189" i="111"/>
  <c r="E188" i="111"/>
  <c r="E187" i="111"/>
  <c r="E186" i="111"/>
  <c r="E185" i="111"/>
  <c r="E184" i="111"/>
  <c r="E183" i="111"/>
  <c r="E182" i="111"/>
  <c r="E181" i="111"/>
  <c r="E180" i="111"/>
  <c r="E179" i="111"/>
  <c r="E178" i="111"/>
  <c r="E177" i="111"/>
  <c r="E176" i="111"/>
  <c r="E175" i="111"/>
  <c r="E174" i="111"/>
  <c r="E173" i="111"/>
  <c r="E172" i="111"/>
  <c r="E171" i="111"/>
  <c r="E170" i="111"/>
  <c r="E169" i="111"/>
  <c r="E168" i="111"/>
  <c r="E167" i="111"/>
  <c r="E166" i="111"/>
  <c r="E165" i="111"/>
  <c r="E164" i="111"/>
  <c r="E196" i="165"/>
  <c r="E195" i="165"/>
  <c r="E194" i="165"/>
  <c r="E193" i="165"/>
  <c r="E192" i="165"/>
  <c r="E191" i="165"/>
  <c r="E190" i="165"/>
  <c r="E189" i="165"/>
  <c r="E188" i="165"/>
  <c r="E187" i="165"/>
  <c r="E186" i="165"/>
  <c r="E185" i="165"/>
  <c r="E184" i="165"/>
  <c r="E183" i="165"/>
  <c r="E182" i="165"/>
  <c r="E181" i="165"/>
  <c r="E180" i="165"/>
  <c r="E179" i="165"/>
  <c r="E178" i="165"/>
  <c r="E177" i="165"/>
  <c r="E176" i="165"/>
  <c r="E175" i="165"/>
  <c r="E174" i="165"/>
  <c r="E173" i="165"/>
  <c r="E172" i="165"/>
  <c r="E171" i="165"/>
  <c r="E170" i="165"/>
  <c r="E169" i="165"/>
  <c r="E168" i="165"/>
  <c r="E167" i="165"/>
  <c r="E166" i="165"/>
  <c r="E165" i="165"/>
  <c r="E164" i="165"/>
  <c r="E196" i="55"/>
  <c r="E195" i="55"/>
  <c r="E194" i="55"/>
  <c r="E193" i="55"/>
  <c r="E192" i="55"/>
  <c r="E191" i="55"/>
  <c r="E190" i="55"/>
  <c r="E189" i="55"/>
  <c r="E188" i="55"/>
  <c r="E187" i="55"/>
  <c r="E186" i="55"/>
  <c r="E185" i="55"/>
  <c r="E184" i="55"/>
  <c r="E183" i="55"/>
  <c r="E182" i="55"/>
  <c r="E181" i="55"/>
  <c r="E180" i="55"/>
  <c r="E179" i="55"/>
  <c r="E178" i="55"/>
  <c r="E177" i="55"/>
  <c r="E176" i="55"/>
  <c r="E175" i="55"/>
  <c r="E174" i="55"/>
  <c r="E173" i="55"/>
  <c r="E172" i="55"/>
  <c r="E171" i="55"/>
  <c r="E170" i="55"/>
  <c r="E169" i="55"/>
  <c r="E168" i="55"/>
  <c r="E167" i="55"/>
  <c r="E166" i="55"/>
  <c r="E165" i="55"/>
  <c r="E164" i="55"/>
  <c r="E196" i="21"/>
  <c r="E195" i="21"/>
  <c r="E194" i="21"/>
  <c r="E193" i="21"/>
  <c r="E192" i="21"/>
  <c r="E191" i="21"/>
  <c r="E190" i="21"/>
  <c r="E189" i="21"/>
  <c r="E188" i="21"/>
  <c r="E187" i="21"/>
  <c r="E186" i="21"/>
  <c r="E185" i="21"/>
  <c r="E184" i="21"/>
  <c r="E183" i="21"/>
  <c r="E182" i="21"/>
  <c r="E181" i="21"/>
  <c r="E180" i="21"/>
  <c r="E179" i="21"/>
  <c r="E178" i="21"/>
  <c r="E177" i="21"/>
  <c r="E176" i="21"/>
  <c r="E175" i="21"/>
  <c r="E174" i="21"/>
  <c r="E173" i="21"/>
  <c r="E172" i="21"/>
  <c r="E171" i="21"/>
  <c r="E170" i="21"/>
  <c r="E169" i="21"/>
  <c r="E168" i="21"/>
  <c r="E167" i="21"/>
  <c r="E166" i="21"/>
  <c r="E165" i="21"/>
  <c r="E164" i="21"/>
  <c r="E196" i="14"/>
  <c r="E195" i="14"/>
  <c r="E194" i="14"/>
  <c r="E193" i="14"/>
  <c r="E192" i="14"/>
  <c r="E191" i="14"/>
  <c r="E190" i="14"/>
  <c r="E189" i="14"/>
  <c r="E188" i="14"/>
  <c r="E187" i="14"/>
  <c r="E186" i="14"/>
  <c r="E185" i="14"/>
  <c r="E184" i="14"/>
  <c r="E183" i="14"/>
  <c r="E182" i="14"/>
  <c r="E181" i="14"/>
  <c r="E180" i="14"/>
  <c r="E179" i="14"/>
  <c r="E178" i="14"/>
  <c r="E177" i="14"/>
  <c r="E176" i="14"/>
  <c r="E175" i="14"/>
  <c r="E174" i="14"/>
  <c r="E173" i="14"/>
  <c r="E172" i="14"/>
  <c r="E171" i="14"/>
  <c r="E170" i="14"/>
  <c r="E169" i="14"/>
  <c r="E168" i="14"/>
  <c r="E167" i="14"/>
  <c r="E166" i="14"/>
  <c r="E165" i="14"/>
  <c r="E164" i="14"/>
  <c r="E196" i="85"/>
  <c r="E195" i="85"/>
  <c r="E194" i="85"/>
  <c r="E193" i="85"/>
  <c r="E192" i="85"/>
  <c r="E191" i="85"/>
  <c r="E190" i="85"/>
  <c r="E189" i="85"/>
  <c r="E188" i="85"/>
  <c r="E187" i="85"/>
  <c r="E186" i="85"/>
  <c r="E185" i="85"/>
  <c r="E184" i="85"/>
  <c r="E183" i="85"/>
  <c r="E182" i="85"/>
  <c r="E181" i="85"/>
  <c r="E180" i="85"/>
  <c r="E179" i="85"/>
  <c r="E178" i="85"/>
  <c r="E177" i="85"/>
  <c r="E176" i="85"/>
  <c r="E175" i="85"/>
  <c r="E174" i="85"/>
  <c r="E173" i="85"/>
  <c r="E172" i="85"/>
  <c r="E171" i="85"/>
  <c r="E170" i="85"/>
  <c r="E169" i="85"/>
  <c r="E168" i="85"/>
  <c r="E167" i="85"/>
  <c r="E166" i="85"/>
  <c r="E165" i="85"/>
  <c r="E164" i="85"/>
  <c r="E196" i="149"/>
  <c r="E195" i="149"/>
  <c r="E194" i="149"/>
  <c r="E193" i="149"/>
  <c r="E192" i="149"/>
  <c r="E191" i="149"/>
  <c r="E190" i="149"/>
  <c r="E189" i="149"/>
  <c r="E188" i="149"/>
  <c r="E187" i="149"/>
  <c r="E186" i="149"/>
  <c r="E185" i="149"/>
  <c r="E184" i="149"/>
  <c r="E183" i="149"/>
  <c r="E182" i="149"/>
  <c r="E181" i="149"/>
  <c r="E180" i="149"/>
  <c r="E179" i="149"/>
  <c r="E178" i="149"/>
  <c r="E177" i="149"/>
  <c r="E176" i="149"/>
  <c r="E175" i="149"/>
  <c r="E174" i="149"/>
  <c r="E173" i="149"/>
  <c r="E172" i="149"/>
  <c r="E171" i="149"/>
  <c r="E170" i="149"/>
  <c r="E169" i="149"/>
  <c r="E168" i="149"/>
  <c r="E167" i="149"/>
  <c r="E166" i="149"/>
  <c r="E165" i="149"/>
  <c r="E164" i="149"/>
  <c r="E196" i="143"/>
  <c r="E195" i="143"/>
  <c r="E194" i="143"/>
  <c r="E193" i="143"/>
  <c r="E192" i="143"/>
  <c r="E191" i="143"/>
  <c r="E190" i="143"/>
  <c r="E189" i="143"/>
  <c r="E188" i="143"/>
  <c r="E187" i="143"/>
  <c r="E186" i="143"/>
  <c r="E185" i="143"/>
  <c r="E184" i="143"/>
  <c r="E183" i="143"/>
  <c r="E182" i="143"/>
  <c r="E181" i="143"/>
  <c r="E180" i="143"/>
  <c r="E179" i="143"/>
  <c r="E178" i="143"/>
  <c r="E177" i="143"/>
  <c r="E176" i="143"/>
  <c r="E175" i="143"/>
  <c r="E174" i="143"/>
  <c r="E173" i="143"/>
  <c r="E172" i="143"/>
  <c r="E171" i="143"/>
  <c r="E170" i="143"/>
  <c r="E169" i="143"/>
  <c r="E168" i="143"/>
  <c r="E167" i="143"/>
  <c r="E166" i="143"/>
  <c r="E165" i="143"/>
  <c r="E164" i="143"/>
  <c r="E196" i="87"/>
  <c r="E195" i="87"/>
  <c r="E194" i="87"/>
  <c r="E193" i="87"/>
  <c r="E192" i="87"/>
  <c r="E191" i="87"/>
  <c r="E190" i="87"/>
  <c r="E189" i="87"/>
  <c r="E188" i="87"/>
  <c r="E187" i="87"/>
  <c r="E186" i="87"/>
  <c r="E185" i="87"/>
  <c r="E184" i="87"/>
  <c r="E183" i="87"/>
  <c r="E182" i="87"/>
  <c r="E181" i="87"/>
  <c r="E180" i="87"/>
  <c r="E179" i="87"/>
  <c r="E178" i="87"/>
  <c r="E177" i="87"/>
  <c r="E176" i="87"/>
  <c r="E175" i="87"/>
  <c r="E174" i="87"/>
  <c r="E173" i="87"/>
  <c r="E172" i="87"/>
  <c r="E171" i="87"/>
  <c r="E170" i="87"/>
  <c r="E169" i="87"/>
  <c r="E168" i="87"/>
  <c r="E167" i="87"/>
  <c r="E166" i="87"/>
  <c r="E165" i="87"/>
  <c r="E164" i="87"/>
  <c r="E196" i="69"/>
  <c r="E195" i="69"/>
  <c r="E194" i="69"/>
  <c r="E193" i="69"/>
  <c r="E192" i="69"/>
  <c r="E191" i="69"/>
  <c r="E190" i="69"/>
  <c r="E189" i="69"/>
  <c r="E188" i="69"/>
  <c r="E187" i="69"/>
  <c r="E186" i="69"/>
  <c r="E185" i="69"/>
  <c r="E184" i="69"/>
  <c r="E183" i="69"/>
  <c r="E182" i="69"/>
  <c r="E181" i="69"/>
  <c r="E180" i="69"/>
  <c r="E179" i="69"/>
  <c r="E178" i="69"/>
  <c r="E177" i="69"/>
  <c r="E176" i="69"/>
  <c r="E175" i="69"/>
  <c r="E174" i="69"/>
  <c r="E173" i="69"/>
  <c r="E172" i="69"/>
  <c r="E171" i="69"/>
  <c r="E170" i="69"/>
  <c r="E169" i="69"/>
  <c r="E168" i="69"/>
  <c r="E167" i="69"/>
  <c r="E166" i="69"/>
  <c r="E165" i="69"/>
  <c r="E164" i="69"/>
  <c r="E196" i="86"/>
  <c r="E195" i="86"/>
  <c r="E194" i="86"/>
  <c r="E193" i="86"/>
  <c r="E192" i="86"/>
  <c r="E191" i="86"/>
  <c r="E190" i="86"/>
  <c r="E189" i="86"/>
  <c r="E188" i="86"/>
  <c r="E187" i="86"/>
  <c r="E186" i="86"/>
  <c r="E185" i="86"/>
  <c r="E184" i="86"/>
  <c r="E183" i="86"/>
  <c r="E182" i="86"/>
  <c r="E181" i="86"/>
  <c r="E180" i="86"/>
  <c r="E179" i="86"/>
  <c r="E178" i="86"/>
  <c r="E177" i="86"/>
  <c r="E176" i="86"/>
  <c r="E175" i="86"/>
  <c r="E174" i="86"/>
  <c r="E173" i="86"/>
  <c r="E172" i="86"/>
  <c r="E171" i="86"/>
  <c r="E170" i="86"/>
  <c r="E169" i="86"/>
  <c r="E168" i="86"/>
  <c r="E167" i="86"/>
  <c r="E166" i="86"/>
  <c r="E165" i="86"/>
  <c r="E164" i="86"/>
  <c r="E196" i="89"/>
  <c r="E195" i="89"/>
  <c r="E194" i="89"/>
  <c r="E193" i="89"/>
  <c r="E192" i="89"/>
  <c r="E191" i="89"/>
  <c r="E190" i="89"/>
  <c r="E189" i="89"/>
  <c r="E188" i="89"/>
  <c r="E187" i="89"/>
  <c r="E186" i="89"/>
  <c r="E185" i="89"/>
  <c r="E184" i="89"/>
  <c r="E183" i="89"/>
  <c r="E182" i="89"/>
  <c r="E181" i="89"/>
  <c r="E180" i="89"/>
  <c r="E179" i="89"/>
  <c r="E178" i="89"/>
  <c r="E177" i="89"/>
  <c r="E176" i="89"/>
  <c r="E175" i="89"/>
  <c r="E174" i="89"/>
  <c r="E173" i="89"/>
  <c r="E172" i="89"/>
  <c r="E171" i="89"/>
  <c r="E170" i="89"/>
  <c r="E169" i="89"/>
  <c r="E168" i="89"/>
  <c r="E167" i="89"/>
  <c r="E166" i="89"/>
  <c r="E165" i="89"/>
  <c r="E164" i="89"/>
  <c r="E196" i="142"/>
  <c r="E195" i="142"/>
  <c r="E194" i="142"/>
  <c r="E193" i="142"/>
  <c r="E192" i="142"/>
  <c r="E191" i="142"/>
  <c r="E190" i="142"/>
  <c r="E189" i="142"/>
  <c r="E188" i="142"/>
  <c r="E187" i="142"/>
  <c r="E186" i="142"/>
  <c r="E185" i="142"/>
  <c r="E184" i="142"/>
  <c r="E183" i="142"/>
  <c r="E182" i="142"/>
  <c r="E181" i="142"/>
  <c r="E180" i="142"/>
  <c r="E179" i="142"/>
  <c r="E178" i="142"/>
  <c r="E177" i="142"/>
  <c r="E176" i="142"/>
  <c r="E175" i="142"/>
  <c r="E174" i="142"/>
  <c r="E173" i="142"/>
  <c r="E172" i="142"/>
  <c r="E171" i="142"/>
  <c r="E170" i="142"/>
  <c r="E169" i="142"/>
  <c r="E168" i="142"/>
  <c r="E167" i="142"/>
  <c r="E166" i="142"/>
  <c r="E165" i="142"/>
  <c r="E164" i="142"/>
  <c r="E196" i="91"/>
  <c r="E195" i="91"/>
  <c r="E194" i="91"/>
  <c r="E193" i="91"/>
  <c r="E192" i="91"/>
  <c r="E191" i="91"/>
  <c r="E190" i="91"/>
  <c r="E189" i="91"/>
  <c r="E188" i="91"/>
  <c r="E187" i="91"/>
  <c r="E186" i="91"/>
  <c r="E185" i="91"/>
  <c r="E184" i="91"/>
  <c r="E183" i="91"/>
  <c r="E182" i="91"/>
  <c r="E181" i="91"/>
  <c r="E180" i="91"/>
  <c r="E179" i="91"/>
  <c r="E178" i="91"/>
  <c r="E177" i="91"/>
  <c r="E176" i="91"/>
  <c r="E175" i="91"/>
  <c r="E174" i="91"/>
  <c r="E173" i="91"/>
  <c r="E172" i="91"/>
  <c r="E171" i="91"/>
  <c r="E170" i="91"/>
  <c r="E169" i="91"/>
  <c r="E168" i="91"/>
  <c r="E167" i="91"/>
  <c r="E166" i="91"/>
  <c r="E165" i="91"/>
  <c r="E164" i="91"/>
  <c r="E196" i="92"/>
  <c r="E195" i="92"/>
  <c r="E194" i="92"/>
  <c r="E193" i="92"/>
  <c r="E192" i="92"/>
  <c r="E191" i="92"/>
  <c r="E190" i="92"/>
  <c r="E189" i="92"/>
  <c r="E188" i="92"/>
  <c r="E187" i="92"/>
  <c r="E186" i="92"/>
  <c r="E185" i="92"/>
  <c r="E184" i="92"/>
  <c r="E183" i="92"/>
  <c r="E182" i="92"/>
  <c r="E181" i="92"/>
  <c r="E180" i="92"/>
  <c r="E179" i="92"/>
  <c r="E178" i="92"/>
  <c r="E177" i="92"/>
  <c r="E176" i="92"/>
  <c r="E175" i="92"/>
  <c r="E174" i="92"/>
  <c r="E173" i="92"/>
  <c r="E172" i="92"/>
  <c r="E171" i="92"/>
  <c r="E170" i="92"/>
  <c r="E169" i="92"/>
  <c r="E168" i="92"/>
  <c r="E167" i="92"/>
  <c r="E166" i="92"/>
  <c r="E165" i="92"/>
  <c r="E164" i="92"/>
  <c r="E196" i="113"/>
  <c r="E195" i="113"/>
  <c r="E194" i="113"/>
  <c r="E193" i="113"/>
  <c r="E192" i="113"/>
  <c r="E191" i="113"/>
  <c r="E190" i="113"/>
  <c r="E189" i="113"/>
  <c r="E188" i="113"/>
  <c r="E187" i="113"/>
  <c r="E186" i="113"/>
  <c r="E185" i="113"/>
  <c r="E184" i="113"/>
  <c r="E183" i="113"/>
  <c r="E182" i="113"/>
  <c r="E181" i="113"/>
  <c r="E180" i="113"/>
  <c r="E179" i="113"/>
  <c r="E178" i="113"/>
  <c r="E177" i="113"/>
  <c r="E176" i="113"/>
  <c r="E175" i="113"/>
  <c r="E174" i="113"/>
  <c r="E173" i="113"/>
  <c r="E172" i="113"/>
  <c r="E171" i="113"/>
  <c r="E170" i="113"/>
  <c r="E169" i="113"/>
  <c r="E168" i="113"/>
  <c r="E167" i="113"/>
  <c r="E166" i="113"/>
  <c r="E165" i="113"/>
  <c r="E164" i="113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96" i="50"/>
  <c r="E195" i="50"/>
  <c r="E194" i="50"/>
  <c r="E193" i="50"/>
  <c r="E192" i="50"/>
  <c r="E191" i="50"/>
  <c r="E190" i="50"/>
  <c r="E189" i="50"/>
  <c r="E188" i="50"/>
  <c r="E187" i="50"/>
  <c r="E186" i="50"/>
  <c r="E185" i="50"/>
  <c r="E184" i="50"/>
  <c r="E183" i="50"/>
  <c r="E182" i="50"/>
  <c r="E181" i="50"/>
  <c r="E180" i="50"/>
  <c r="E179" i="50"/>
  <c r="E178" i="50"/>
  <c r="E177" i="50"/>
  <c r="E176" i="50"/>
  <c r="E175" i="50"/>
  <c r="E174" i="50"/>
  <c r="E173" i="50"/>
  <c r="E172" i="50"/>
  <c r="E171" i="50"/>
  <c r="E170" i="50"/>
  <c r="E169" i="50"/>
  <c r="E168" i="50"/>
  <c r="E167" i="50"/>
  <c r="E166" i="50"/>
  <c r="E165" i="50"/>
  <c r="E164" i="50"/>
  <c r="E196" i="95"/>
  <c r="E195" i="95"/>
  <c r="E194" i="95"/>
  <c r="E193" i="95"/>
  <c r="E192" i="95"/>
  <c r="E191" i="95"/>
  <c r="E190" i="95"/>
  <c r="E189" i="95"/>
  <c r="E188" i="95"/>
  <c r="E187" i="95"/>
  <c r="E186" i="95"/>
  <c r="E185" i="95"/>
  <c r="E184" i="95"/>
  <c r="E183" i="95"/>
  <c r="E182" i="95"/>
  <c r="E181" i="95"/>
  <c r="E180" i="95"/>
  <c r="E179" i="95"/>
  <c r="E178" i="95"/>
  <c r="E177" i="95"/>
  <c r="E176" i="95"/>
  <c r="E175" i="95"/>
  <c r="E174" i="95"/>
  <c r="E173" i="95"/>
  <c r="E172" i="95"/>
  <c r="E171" i="95"/>
  <c r="E170" i="95"/>
  <c r="E169" i="95"/>
  <c r="E168" i="95"/>
  <c r="E167" i="95"/>
  <c r="E166" i="95"/>
  <c r="E165" i="95"/>
  <c r="E164" i="95"/>
  <c r="E196" i="43"/>
  <c r="E195" i="43"/>
  <c r="E194" i="43"/>
  <c r="E193" i="43"/>
  <c r="E192" i="43"/>
  <c r="E191" i="43"/>
  <c r="E190" i="43"/>
  <c r="E189" i="43"/>
  <c r="E188" i="43"/>
  <c r="E187" i="43"/>
  <c r="E186" i="43"/>
  <c r="E185" i="43"/>
  <c r="E184" i="43"/>
  <c r="E183" i="43"/>
  <c r="E182" i="43"/>
  <c r="E181" i="43"/>
  <c r="E180" i="43"/>
  <c r="E179" i="43"/>
  <c r="E178" i="43"/>
  <c r="E177" i="43"/>
  <c r="E176" i="43"/>
  <c r="E175" i="43"/>
  <c r="E174" i="43"/>
  <c r="E173" i="43"/>
  <c r="E172" i="43"/>
  <c r="E171" i="43"/>
  <c r="E170" i="43"/>
  <c r="E169" i="43"/>
  <c r="E168" i="43"/>
  <c r="E167" i="43"/>
  <c r="E166" i="43"/>
  <c r="E165" i="43"/>
  <c r="E164" i="43"/>
  <c r="E160" i="103"/>
  <c r="E159" i="103"/>
  <c r="E158" i="103"/>
  <c r="E157" i="103"/>
  <c r="E156" i="103"/>
  <c r="E155" i="103"/>
  <c r="E160" i="19"/>
  <c r="E159" i="19"/>
  <c r="E158" i="19"/>
  <c r="E157" i="19"/>
  <c r="E156" i="19"/>
  <c r="E155" i="19"/>
  <c r="E160" i="10"/>
  <c r="E159" i="10"/>
  <c r="E158" i="10"/>
  <c r="E157" i="10"/>
  <c r="E156" i="10"/>
  <c r="E155" i="10"/>
  <c r="E160" i="118"/>
  <c r="E159" i="118"/>
  <c r="E158" i="118"/>
  <c r="E157" i="118"/>
  <c r="E156" i="118"/>
  <c r="E155" i="118"/>
  <c r="E160" i="60"/>
  <c r="E159" i="60"/>
  <c r="E158" i="60"/>
  <c r="E157" i="60"/>
  <c r="E156" i="60"/>
  <c r="E155" i="60"/>
  <c r="E160" i="133"/>
  <c r="E159" i="133"/>
  <c r="E158" i="133"/>
  <c r="E157" i="133"/>
  <c r="E156" i="133"/>
  <c r="E155" i="133"/>
  <c r="E160" i="54"/>
  <c r="E159" i="54"/>
  <c r="E158" i="54"/>
  <c r="E157" i="54"/>
  <c r="E156" i="54"/>
  <c r="E155" i="54"/>
  <c r="E160" i="155"/>
  <c r="E159" i="155"/>
  <c r="E158" i="155"/>
  <c r="E157" i="155"/>
  <c r="E156" i="155"/>
  <c r="E155" i="155"/>
  <c r="E160" i="156"/>
  <c r="E159" i="156"/>
  <c r="E158" i="156"/>
  <c r="E157" i="156"/>
  <c r="E156" i="156"/>
  <c r="E155" i="156"/>
  <c r="E160" i="157"/>
  <c r="E159" i="157"/>
  <c r="E158" i="157"/>
  <c r="E157" i="157"/>
  <c r="E156" i="157"/>
  <c r="E155" i="157"/>
  <c r="E160" i="158"/>
  <c r="E159" i="158"/>
  <c r="E158" i="158"/>
  <c r="E157" i="158"/>
  <c r="E156" i="158"/>
  <c r="E155" i="158"/>
  <c r="E160" i="94"/>
  <c r="E159" i="94"/>
  <c r="E158" i="94"/>
  <c r="E157" i="94"/>
  <c r="E156" i="94"/>
  <c r="E155" i="94"/>
  <c r="E160" i="145"/>
  <c r="E159" i="145"/>
  <c r="E158" i="145"/>
  <c r="E157" i="145"/>
  <c r="E156" i="145"/>
  <c r="E155" i="145"/>
  <c r="E160" i="164"/>
  <c r="E159" i="164"/>
  <c r="E158" i="164"/>
  <c r="E157" i="164"/>
  <c r="E156" i="164"/>
  <c r="E155" i="164"/>
  <c r="E160" i="15"/>
  <c r="E159" i="15"/>
  <c r="E158" i="15"/>
  <c r="E157" i="15"/>
  <c r="E156" i="15"/>
  <c r="E155" i="15"/>
  <c r="E160" i="150"/>
  <c r="E159" i="150"/>
  <c r="E158" i="150"/>
  <c r="E157" i="150"/>
  <c r="E156" i="150"/>
  <c r="E155" i="150"/>
  <c r="E160" i="68"/>
  <c r="E159" i="68"/>
  <c r="E158" i="68"/>
  <c r="E157" i="68"/>
  <c r="E156" i="68"/>
  <c r="E155" i="68"/>
  <c r="E160" i="100"/>
  <c r="E159" i="100"/>
  <c r="E158" i="100"/>
  <c r="E157" i="100"/>
  <c r="E156" i="100"/>
  <c r="E155" i="100"/>
  <c r="E160" i="67"/>
  <c r="E159" i="67"/>
  <c r="E158" i="67"/>
  <c r="E157" i="67"/>
  <c r="E156" i="67"/>
  <c r="E155" i="67"/>
  <c r="E160" i="59"/>
  <c r="E159" i="59"/>
  <c r="E158" i="59"/>
  <c r="E157" i="59"/>
  <c r="E156" i="59"/>
  <c r="E155" i="59"/>
  <c r="E160" i="84"/>
  <c r="E159" i="84"/>
  <c r="E158" i="84"/>
  <c r="E157" i="84"/>
  <c r="E156" i="84"/>
  <c r="E155" i="84"/>
  <c r="E160" i="66"/>
  <c r="E159" i="66"/>
  <c r="E158" i="66"/>
  <c r="E157" i="66"/>
  <c r="E156" i="66"/>
  <c r="E155" i="66"/>
  <c r="E160" i="63"/>
  <c r="E159" i="63"/>
  <c r="E158" i="63"/>
  <c r="E157" i="63"/>
  <c r="E156" i="63"/>
  <c r="E155" i="63"/>
  <c r="E160" i="62"/>
  <c r="E159" i="62"/>
  <c r="E158" i="62"/>
  <c r="E157" i="62"/>
  <c r="E156" i="62"/>
  <c r="E155" i="62"/>
  <c r="E160" i="58"/>
  <c r="E159" i="58"/>
  <c r="E158" i="58"/>
  <c r="E157" i="58"/>
  <c r="E156" i="58"/>
  <c r="E155" i="58"/>
  <c r="E160" i="136"/>
  <c r="E159" i="136"/>
  <c r="E158" i="136"/>
  <c r="E157" i="136"/>
  <c r="E156" i="136"/>
  <c r="E155" i="136"/>
  <c r="E160" i="53"/>
  <c r="E159" i="53"/>
  <c r="E158" i="53"/>
  <c r="E157" i="53"/>
  <c r="E156" i="53"/>
  <c r="E155" i="53"/>
  <c r="E160" i="98"/>
  <c r="E159" i="98"/>
  <c r="E158" i="98"/>
  <c r="E157" i="98"/>
  <c r="E156" i="98"/>
  <c r="E155" i="98"/>
  <c r="E160" i="49"/>
  <c r="E159" i="49"/>
  <c r="E158" i="49"/>
  <c r="E157" i="49"/>
  <c r="E156" i="49"/>
  <c r="E155" i="49"/>
  <c r="E160" i="83"/>
  <c r="E159" i="83"/>
  <c r="E158" i="83"/>
  <c r="E157" i="83"/>
  <c r="E156" i="83"/>
  <c r="E155" i="83"/>
  <c r="E160" i="47"/>
  <c r="E159" i="47"/>
  <c r="E158" i="47"/>
  <c r="E157" i="47"/>
  <c r="E156" i="47"/>
  <c r="E155" i="47"/>
  <c r="E160" i="46"/>
  <c r="E159" i="46"/>
  <c r="E158" i="46"/>
  <c r="E157" i="46"/>
  <c r="E156" i="46"/>
  <c r="E155" i="46"/>
  <c r="E160" i="102"/>
  <c r="E159" i="102"/>
  <c r="E158" i="102"/>
  <c r="E157" i="102"/>
  <c r="E156" i="102"/>
  <c r="E155" i="102"/>
  <c r="E160" i="45"/>
  <c r="E159" i="45"/>
  <c r="E158" i="45"/>
  <c r="E157" i="45"/>
  <c r="E156" i="45"/>
  <c r="E155" i="45"/>
  <c r="E160" i="104"/>
  <c r="E159" i="104"/>
  <c r="E158" i="104"/>
  <c r="E157" i="104"/>
  <c r="E156" i="104"/>
  <c r="E155" i="104"/>
  <c r="E160" i="106"/>
  <c r="E159" i="106"/>
  <c r="E158" i="106"/>
  <c r="E157" i="106"/>
  <c r="E156" i="106"/>
  <c r="E155" i="106"/>
  <c r="E160" i="57"/>
  <c r="E159" i="57"/>
  <c r="E158" i="57"/>
  <c r="E157" i="57"/>
  <c r="E156" i="57"/>
  <c r="E155" i="57"/>
  <c r="E160" i="42"/>
  <c r="E159" i="42"/>
  <c r="E158" i="42"/>
  <c r="E157" i="42"/>
  <c r="E156" i="42"/>
  <c r="E155" i="42"/>
  <c r="E160" i="71"/>
  <c r="E159" i="71"/>
  <c r="E158" i="71"/>
  <c r="E157" i="71"/>
  <c r="E156" i="71"/>
  <c r="E155" i="71"/>
  <c r="E160" i="167"/>
  <c r="E159" i="167"/>
  <c r="E158" i="167"/>
  <c r="E157" i="167"/>
  <c r="E156" i="167"/>
  <c r="E155" i="167"/>
  <c r="E160" i="39"/>
  <c r="E159" i="39"/>
  <c r="E158" i="39"/>
  <c r="E157" i="39"/>
  <c r="E156" i="39"/>
  <c r="E155" i="39"/>
  <c r="E160" i="135"/>
  <c r="E159" i="135"/>
  <c r="E158" i="135"/>
  <c r="E157" i="135"/>
  <c r="E156" i="135"/>
  <c r="E155" i="135"/>
  <c r="E160" i="38"/>
  <c r="E159" i="38"/>
  <c r="E158" i="38"/>
  <c r="E157" i="38"/>
  <c r="E156" i="38"/>
  <c r="E155" i="38"/>
  <c r="E160" i="152"/>
  <c r="E159" i="152"/>
  <c r="E158" i="152"/>
  <c r="E157" i="152"/>
  <c r="E156" i="152"/>
  <c r="E155" i="152"/>
  <c r="E160" i="120"/>
  <c r="E159" i="120"/>
  <c r="E158" i="120"/>
  <c r="E157" i="120"/>
  <c r="E156" i="120"/>
  <c r="E155" i="120"/>
  <c r="E160" i="37"/>
  <c r="E159" i="37"/>
  <c r="E158" i="37"/>
  <c r="E157" i="37"/>
  <c r="E156" i="37"/>
  <c r="E155" i="37"/>
  <c r="E160" i="90"/>
  <c r="E159" i="90"/>
  <c r="E158" i="90"/>
  <c r="E157" i="90"/>
  <c r="E156" i="90"/>
  <c r="E155" i="90"/>
  <c r="E160" i="24"/>
  <c r="E159" i="24"/>
  <c r="E158" i="24"/>
  <c r="E157" i="24"/>
  <c r="E156" i="24"/>
  <c r="E155" i="24"/>
  <c r="E160" i="141"/>
  <c r="E159" i="141"/>
  <c r="E158" i="141"/>
  <c r="E157" i="141"/>
  <c r="E156" i="141"/>
  <c r="E155" i="141"/>
  <c r="E160" i="33"/>
  <c r="E159" i="33"/>
  <c r="E158" i="33"/>
  <c r="E157" i="33"/>
  <c r="E156" i="33"/>
  <c r="E155" i="33"/>
  <c r="E160" i="32"/>
  <c r="E159" i="32"/>
  <c r="E158" i="32"/>
  <c r="E157" i="32"/>
  <c r="E156" i="32"/>
  <c r="E155" i="32"/>
  <c r="E160" i="79"/>
  <c r="E159" i="79"/>
  <c r="E158" i="79"/>
  <c r="E157" i="79"/>
  <c r="E156" i="79"/>
  <c r="E155" i="79"/>
  <c r="E160" i="31"/>
  <c r="E159" i="31"/>
  <c r="E158" i="31"/>
  <c r="E157" i="31"/>
  <c r="E156" i="31"/>
  <c r="E155" i="31"/>
  <c r="E160" i="64"/>
  <c r="E159" i="64"/>
  <c r="E158" i="64"/>
  <c r="E157" i="64"/>
  <c r="E156" i="64"/>
  <c r="E155" i="64"/>
  <c r="E160" i="72"/>
  <c r="E159" i="72"/>
  <c r="E158" i="72"/>
  <c r="E157" i="72"/>
  <c r="E156" i="72"/>
  <c r="E155" i="72"/>
  <c r="E160" i="28"/>
  <c r="E159" i="28"/>
  <c r="E158" i="28"/>
  <c r="E157" i="28"/>
  <c r="E156" i="28"/>
  <c r="E155" i="28"/>
  <c r="E160" i="65"/>
  <c r="E159" i="65"/>
  <c r="E158" i="65"/>
  <c r="E157" i="65"/>
  <c r="E156" i="65"/>
  <c r="E155" i="65"/>
  <c r="E160" i="119"/>
  <c r="E159" i="119"/>
  <c r="E158" i="119"/>
  <c r="E157" i="119"/>
  <c r="E156" i="119"/>
  <c r="E155" i="119"/>
  <c r="E160" i="25"/>
  <c r="E159" i="25"/>
  <c r="E158" i="25"/>
  <c r="E157" i="25"/>
  <c r="E156" i="25"/>
  <c r="E155" i="25"/>
  <c r="E160" i="20"/>
  <c r="E159" i="20"/>
  <c r="E158" i="20"/>
  <c r="E157" i="20"/>
  <c r="E156" i="20"/>
  <c r="E155" i="20"/>
  <c r="E160" i="159"/>
  <c r="E159" i="159"/>
  <c r="E158" i="159"/>
  <c r="E157" i="159"/>
  <c r="E156" i="159"/>
  <c r="E155" i="159"/>
  <c r="E160" i="16"/>
  <c r="E159" i="16"/>
  <c r="E158" i="16"/>
  <c r="E157" i="16"/>
  <c r="E156" i="16"/>
  <c r="E155" i="16"/>
  <c r="E160" i="27"/>
  <c r="E159" i="27"/>
  <c r="E158" i="27"/>
  <c r="E157" i="27"/>
  <c r="E156" i="27"/>
  <c r="E155" i="27"/>
  <c r="E160" i="111"/>
  <c r="E159" i="111"/>
  <c r="E158" i="111"/>
  <c r="E157" i="111"/>
  <c r="E156" i="111"/>
  <c r="E155" i="111"/>
  <c r="E160" i="165"/>
  <c r="E159" i="165"/>
  <c r="E158" i="165"/>
  <c r="E157" i="165"/>
  <c r="E156" i="165"/>
  <c r="E155" i="165"/>
  <c r="E160" i="55"/>
  <c r="E159" i="55"/>
  <c r="E158" i="55"/>
  <c r="E157" i="55"/>
  <c r="E156" i="55"/>
  <c r="E155" i="55"/>
  <c r="E160" i="21"/>
  <c r="E159" i="21"/>
  <c r="E158" i="21"/>
  <c r="E157" i="21"/>
  <c r="E156" i="21"/>
  <c r="E155" i="21"/>
  <c r="E160" i="14"/>
  <c r="E159" i="14"/>
  <c r="E158" i="14"/>
  <c r="E157" i="14"/>
  <c r="E156" i="14"/>
  <c r="E155" i="14"/>
  <c r="E160" i="85"/>
  <c r="E159" i="85"/>
  <c r="E158" i="85"/>
  <c r="E157" i="85"/>
  <c r="E156" i="85"/>
  <c r="E155" i="85"/>
  <c r="E160" i="149"/>
  <c r="E159" i="149"/>
  <c r="E158" i="149"/>
  <c r="E157" i="149"/>
  <c r="E156" i="149"/>
  <c r="E155" i="149"/>
  <c r="E160" i="143"/>
  <c r="E159" i="143"/>
  <c r="E158" i="143"/>
  <c r="E157" i="143"/>
  <c r="E156" i="143"/>
  <c r="E155" i="143"/>
  <c r="E160" i="87"/>
  <c r="E159" i="87"/>
  <c r="E158" i="87"/>
  <c r="E157" i="87"/>
  <c r="E156" i="87"/>
  <c r="E155" i="87"/>
  <c r="E160" i="69"/>
  <c r="E159" i="69"/>
  <c r="E158" i="69"/>
  <c r="E157" i="69"/>
  <c r="E156" i="69"/>
  <c r="E155" i="69"/>
  <c r="E160" i="86"/>
  <c r="E159" i="86"/>
  <c r="E158" i="86"/>
  <c r="E157" i="86"/>
  <c r="E156" i="86"/>
  <c r="E155" i="86"/>
  <c r="E160" i="89"/>
  <c r="E159" i="89"/>
  <c r="E158" i="89"/>
  <c r="E157" i="89"/>
  <c r="E156" i="89"/>
  <c r="E155" i="89"/>
  <c r="E160" i="142"/>
  <c r="E159" i="142"/>
  <c r="E158" i="142"/>
  <c r="E157" i="142"/>
  <c r="E156" i="142"/>
  <c r="E155" i="142"/>
  <c r="E160" i="91"/>
  <c r="E159" i="91"/>
  <c r="E158" i="91"/>
  <c r="E157" i="91"/>
  <c r="E156" i="91"/>
  <c r="E155" i="91"/>
  <c r="E160" i="92"/>
  <c r="E159" i="92"/>
  <c r="E158" i="92"/>
  <c r="E157" i="92"/>
  <c r="E156" i="92"/>
  <c r="E155" i="92"/>
  <c r="E160" i="113"/>
  <c r="E159" i="113"/>
  <c r="E158" i="113"/>
  <c r="E157" i="113"/>
  <c r="E156" i="113"/>
  <c r="E155" i="113"/>
  <c r="E160" i="1"/>
  <c r="E159" i="1"/>
  <c r="E158" i="1"/>
  <c r="E157" i="1"/>
  <c r="E156" i="1"/>
  <c r="E155" i="1"/>
  <c r="E160" i="50"/>
  <c r="E159" i="50"/>
  <c r="E158" i="50"/>
  <c r="E157" i="50"/>
  <c r="E156" i="50"/>
  <c r="E155" i="50"/>
  <c r="E160" i="95"/>
  <c r="E159" i="95"/>
  <c r="E158" i="95"/>
  <c r="E157" i="95"/>
  <c r="E156" i="95"/>
  <c r="E155" i="95"/>
  <c r="E160" i="43"/>
  <c r="E159" i="43"/>
  <c r="E158" i="43"/>
  <c r="E157" i="43"/>
  <c r="E156" i="43"/>
  <c r="E155" i="43"/>
  <c r="E153" i="103"/>
  <c r="E152" i="103"/>
  <c r="E151" i="103"/>
  <c r="E150" i="103"/>
  <c r="E149" i="103"/>
  <c r="E148" i="103"/>
  <c r="E147" i="103"/>
  <c r="E146" i="103"/>
  <c r="E145" i="103"/>
  <c r="E153" i="19"/>
  <c r="E152" i="19"/>
  <c r="E151" i="19"/>
  <c r="E150" i="19"/>
  <c r="E149" i="19"/>
  <c r="E148" i="19"/>
  <c r="E147" i="19"/>
  <c r="E146" i="19"/>
  <c r="E145" i="19"/>
  <c r="E153" i="10"/>
  <c r="E152" i="10"/>
  <c r="E151" i="10"/>
  <c r="E150" i="10"/>
  <c r="E149" i="10"/>
  <c r="E148" i="10"/>
  <c r="E147" i="10"/>
  <c r="E146" i="10"/>
  <c r="E145" i="10"/>
  <c r="E153" i="118"/>
  <c r="E152" i="118"/>
  <c r="E151" i="118"/>
  <c r="E150" i="118"/>
  <c r="E149" i="118"/>
  <c r="E148" i="118"/>
  <c r="E147" i="118"/>
  <c r="E146" i="118"/>
  <c r="E145" i="118"/>
  <c r="E153" i="60"/>
  <c r="E152" i="60"/>
  <c r="E151" i="60"/>
  <c r="E150" i="60"/>
  <c r="E149" i="60"/>
  <c r="E148" i="60"/>
  <c r="E147" i="60"/>
  <c r="E146" i="60"/>
  <c r="E145" i="60"/>
  <c r="E153" i="133"/>
  <c r="E152" i="133"/>
  <c r="E151" i="133"/>
  <c r="E150" i="133"/>
  <c r="E149" i="133"/>
  <c r="E148" i="133"/>
  <c r="E147" i="133"/>
  <c r="E146" i="133"/>
  <c r="E145" i="133"/>
  <c r="E153" i="54"/>
  <c r="E152" i="54"/>
  <c r="E151" i="54"/>
  <c r="E150" i="54"/>
  <c r="E149" i="54"/>
  <c r="E148" i="54"/>
  <c r="E147" i="54"/>
  <c r="E146" i="54"/>
  <c r="E145" i="54"/>
  <c r="E153" i="155"/>
  <c r="E152" i="155"/>
  <c r="E151" i="155"/>
  <c r="E150" i="155"/>
  <c r="E149" i="155"/>
  <c r="E148" i="155"/>
  <c r="E147" i="155"/>
  <c r="E146" i="155"/>
  <c r="E145" i="155"/>
  <c r="E153" i="156"/>
  <c r="E152" i="156"/>
  <c r="E151" i="156"/>
  <c r="E150" i="156"/>
  <c r="E149" i="156"/>
  <c r="E148" i="156"/>
  <c r="E147" i="156"/>
  <c r="E146" i="156"/>
  <c r="E145" i="156"/>
  <c r="E153" i="157"/>
  <c r="E152" i="157"/>
  <c r="E151" i="157"/>
  <c r="E150" i="157"/>
  <c r="E149" i="157"/>
  <c r="E148" i="157"/>
  <c r="E147" i="157"/>
  <c r="E146" i="157"/>
  <c r="E145" i="157"/>
  <c r="E153" i="158"/>
  <c r="E152" i="158"/>
  <c r="E151" i="158"/>
  <c r="E150" i="158"/>
  <c r="E149" i="158"/>
  <c r="E148" i="158"/>
  <c r="E147" i="158"/>
  <c r="E146" i="158"/>
  <c r="E145" i="158"/>
  <c r="E153" i="94"/>
  <c r="E152" i="94"/>
  <c r="E151" i="94"/>
  <c r="E150" i="94"/>
  <c r="E149" i="94"/>
  <c r="E148" i="94"/>
  <c r="E147" i="94"/>
  <c r="E146" i="94"/>
  <c r="E145" i="94"/>
  <c r="E153" i="145"/>
  <c r="E152" i="145"/>
  <c r="E151" i="145"/>
  <c r="E150" i="145"/>
  <c r="E149" i="145"/>
  <c r="E148" i="145"/>
  <c r="E147" i="145"/>
  <c r="E146" i="145"/>
  <c r="E145" i="145"/>
  <c r="E153" i="164"/>
  <c r="E152" i="164"/>
  <c r="E151" i="164"/>
  <c r="E150" i="164"/>
  <c r="E149" i="164"/>
  <c r="E148" i="164"/>
  <c r="E147" i="164"/>
  <c r="E146" i="164"/>
  <c r="E145" i="164"/>
  <c r="E153" i="15"/>
  <c r="E152" i="15"/>
  <c r="E151" i="15"/>
  <c r="E150" i="15"/>
  <c r="E149" i="15"/>
  <c r="E148" i="15"/>
  <c r="E147" i="15"/>
  <c r="E146" i="15"/>
  <c r="E145" i="15"/>
  <c r="E153" i="150"/>
  <c r="E152" i="150"/>
  <c r="E151" i="150"/>
  <c r="E150" i="150"/>
  <c r="E149" i="150"/>
  <c r="E148" i="150"/>
  <c r="E147" i="150"/>
  <c r="E146" i="150"/>
  <c r="E145" i="150"/>
  <c r="E153" i="68"/>
  <c r="E152" i="68"/>
  <c r="E151" i="68"/>
  <c r="E150" i="68"/>
  <c r="E149" i="68"/>
  <c r="E148" i="68"/>
  <c r="E147" i="68"/>
  <c r="E146" i="68"/>
  <c r="E145" i="68"/>
  <c r="E153" i="100"/>
  <c r="E152" i="100"/>
  <c r="E151" i="100"/>
  <c r="E150" i="100"/>
  <c r="E149" i="100"/>
  <c r="E148" i="100"/>
  <c r="E147" i="100"/>
  <c r="E146" i="100"/>
  <c r="E145" i="100"/>
  <c r="E153" i="67"/>
  <c r="E152" i="67"/>
  <c r="E151" i="67"/>
  <c r="E150" i="67"/>
  <c r="E149" i="67"/>
  <c r="E148" i="67"/>
  <c r="E147" i="67"/>
  <c r="E146" i="67"/>
  <c r="E145" i="67"/>
  <c r="E153" i="59"/>
  <c r="E152" i="59"/>
  <c r="E151" i="59"/>
  <c r="E150" i="59"/>
  <c r="E149" i="59"/>
  <c r="E148" i="59"/>
  <c r="E147" i="59"/>
  <c r="E146" i="59"/>
  <c r="E145" i="59"/>
  <c r="E153" i="84"/>
  <c r="E152" i="84"/>
  <c r="E151" i="84"/>
  <c r="E150" i="84"/>
  <c r="E149" i="84"/>
  <c r="E148" i="84"/>
  <c r="E147" i="84"/>
  <c r="E146" i="84"/>
  <c r="E145" i="84"/>
  <c r="E153" i="66"/>
  <c r="E152" i="66"/>
  <c r="E151" i="66"/>
  <c r="E150" i="66"/>
  <c r="E149" i="66"/>
  <c r="E148" i="66"/>
  <c r="E147" i="66"/>
  <c r="E146" i="66"/>
  <c r="E145" i="66"/>
  <c r="E153" i="63"/>
  <c r="E152" i="63"/>
  <c r="E151" i="63"/>
  <c r="E150" i="63"/>
  <c r="E149" i="63"/>
  <c r="E148" i="63"/>
  <c r="E147" i="63"/>
  <c r="E146" i="63"/>
  <c r="E145" i="63"/>
  <c r="E153" i="62"/>
  <c r="E152" i="62"/>
  <c r="E151" i="62"/>
  <c r="E150" i="62"/>
  <c r="E149" i="62"/>
  <c r="E148" i="62"/>
  <c r="E147" i="62"/>
  <c r="E146" i="62"/>
  <c r="E145" i="62"/>
  <c r="E153" i="58"/>
  <c r="E152" i="58"/>
  <c r="E151" i="58"/>
  <c r="E150" i="58"/>
  <c r="E149" i="58"/>
  <c r="E148" i="58"/>
  <c r="E147" i="58"/>
  <c r="E146" i="58"/>
  <c r="E145" i="58"/>
  <c r="E153" i="136"/>
  <c r="E152" i="136"/>
  <c r="E151" i="136"/>
  <c r="E150" i="136"/>
  <c r="E149" i="136"/>
  <c r="E148" i="136"/>
  <c r="E147" i="136"/>
  <c r="E146" i="136"/>
  <c r="E145" i="136"/>
  <c r="E153" i="53"/>
  <c r="E152" i="53"/>
  <c r="E151" i="53"/>
  <c r="E150" i="53"/>
  <c r="E149" i="53"/>
  <c r="E148" i="53"/>
  <c r="E147" i="53"/>
  <c r="E146" i="53"/>
  <c r="E145" i="53"/>
  <c r="E153" i="98"/>
  <c r="E152" i="98"/>
  <c r="E151" i="98"/>
  <c r="E150" i="98"/>
  <c r="E149" i="98"/>
  <c r="E148" i="98"/>
  <c r="E147" i="98"/>
  <c r="E146" i="98"/>
  <c r="E145" i="98"/>
  <c r="E153" i="49"/>
  <c r="E152" i="49"/>
  <c r="E151" i="49"/>
  <c r="E150" i="49"/>
  <c r="E149" i="49"/>
  <c r="E148" i="49"/>
  <c r="E147" i="49"/>
  <c r="E146" i="49"/>
  <c r="E145" i="49"/>
  <c r="E153" i="83"/>
  <c r="E152" i="83"/>
  <c r="E151" i="83"/>
  <c r="E150" i="83"/>
  <c r="E149" i="83"/>
  <c r="E148" i="83"/>
  <c r="E147" i="83"/>
  <c r="E146" i="83"/>
  <c r="E145" i="83"/>
  <c r="E153" i="47"/>
  <c r="E152" i="47"/>
  <c r="E151" i="47"/>
  <c r="E150" i="47"/>
  <c r="E149" i="47"/>
  <c r="E148" i="47"/>
  <c r="E147" i="47"/>
  <c r="E146" i="47"/>
  <c r="E145" i="47"/>
  <c r="E153" i="46"/>
  <c r="E152" i="46"/>
  <c r="E151" i="46"/>
  <c r="E150" i="46"/>
  <c r="E149" i="46"/>
  <c r="E148" i="46"/>
  <c r="E147" i="46"/>
  <c r="E146" i="46"/>
  <c r="E145" i="46"/>
  <c r="E153" i="102"/>
  <c r="E152" i="102"/>
  <c r="E151" i="102"/>
  <c r="E150" i="102"/>
  <c r="E149" i="102"/>
  <c r="E148" i="102"/>
  <c r="E147" i="102"/>
  <c r="E146" i="102"/>
  <c r="E145" i="102"/>
  <c r="E153" i="45"/>
  <c r="E152" i="45"/>
  <c r="E151" i="45"/>
  <c r="E150" i="45"/>
  <c r="E149" i="45"/>
  <c r="E148" i="45"/>
  <c r="E147" i="45"/>
  <c r="E146" i="45"/>
  <c r="E145" i="45"/>
  <c r="E153" i="104"/>
  <c r="E152" i="104"/>
  <c r="E151" i="104"/>
  <c r="E150" i="104"/>
  <c r="E149" i="104"/>
  <c r="E148" i="104"/>
  <c r="E147" i="104"/>
  <c r="E146" i="104"/>
  <c r="E145" i="104"/>
  <c r="E153" i="106"/>
  <c r="E152" i="106"/>
  <c r="E151" i="106"/>
  <c r="E150" i="106"/>
  <c r="E149" i="106"/>
  <c r="E148" i="106"/>
  <c r="E147" i="106"/>
  <c r="E146" i="106"/>
  <c r="E145" i="106"/>
  <c r="E153" i="57"/>
  <c r="E152" i="57"/>
  <c r="E151" i="57"/>
  <c r="E150" i="57"/>
  <c r="E149" i="57"/>
  <c r="E148" i="57"/>
  <c r="E147" i="57"/>
  <c r="E146" i="57"/>
  <c r="E145" i="57"/>
  <c r="E153" i="42"/>
  <c r="E152" i="42"/>
  <c r="E151" i="42"/>
  <c r="E150" i="42"/>
  <c r="E149" i="42"/>
  <c r="E148" i="42"/>
  <c r="E147" i="42"/>
  <c r="E146" i="42"/>
  <c r="E145" i="42"/>
  <c r="E153" i="71"/>
  <c r="E152" i="71"/>
  <c r="E151" i="71"/>
  <c r="E150" i="71"/>
  <c r="E149" i="71"/>
  <c r="E148" i="71"/>
  <c r="E147" i="71"/>
  <c r="E146" i="71"/>
  <c r="E145" i="71"/>
  <c r="E153" i="167"/>
  <c r="E152" i="167"/>
  <c r="E151" i="167"/>
  <c r="E150" i="167"/>
  <c r="E149" i="167"/>
  <c r="E148" i="167"/>
  <c r="E147" i="167"/>
  <c r="E146" i="167"/>
  <c r="E145" i="167"/>
  <c r="E153" i="39"/>
  <c r="E152" i="39"/>
  <c r="E151" i="39"/>
  <c r="E150" i="39"/>
  <c r="E149" i="39"/>
  <c r="E148" i="39"/>
  <c r="E147" i="39"/>
  <c r="E146" i="39"/>
  <c r="E145" i="39"/>
  <c r="E153" i="135"/>
  <c r="E152" i="135"/>
  <c r="E151" i="135"/>
  <c r="E150" i="135"/>
  <c r="E149" i="135"/>
  <c r="E148" i="135"/>
  <c r="E147" i="135"/>
  <c r="E146" i="135"/>
  <c r="E145" i="135"/>
  <c r="E153" i="38"/>
  <c r="E152" i="38"/>
  <c r="E151" i="38"/>
  <c r="E150" i="38"/>
  <c r="E149" i="38"/>
  <c r="E148" i="38"/>
  <c r="E147" i="38"/>
  <c r="E146" i="38"/>
  <c r="E145" i="38"/>
  <c r="E153" i="152"/>
  <c r="E152" i="152"/>
  <c r="E151" i="152"/>
  <c r="E150" i="152"/>
  <c r="E149" i="152"/>
  <c r="E148" i="152"/>
  <c r="E147" i="152"/>
  <c r="E146" i="152"/>
  <c r="E145" i="152"/>
  <c r="E153" i="120"/>
  <c r="E152" i="120"/>
  <c r="E151" i="120"/>
  <c r="E150" i="120"/>
  <c r="E149" i="120"/>
  <c r="E148" i="120"/>
  <c r="E147" i="120"/>
  <c r="E146" i="120"/>
  <c r="E145" i="120"/>
  <c r="E153" i="37"/>
  <c r="E152" i="37"/>
  <c r="E151" i="37"/>
  <c r="E150" i="37"/>
  <c r="E149" i="37"/>
  <c r="E148" i="37"/>
  <c r="E147" i="37"/>
  <c r="E146" i="37"/>
  <c r="E145" i="37"/>
  <c r="E153" i="90"/>
  <c r="E152" i="90"/>
  <c r="E151" i="90"/>
  <c r="E150" i="90"/>
  <c r="E149" i="90"/>
  <c r="E148" i="90"/>
  <c r="E147" i="90"/>
  <c r="E146" i="90"/>
  <c r="E145" i="90"/>
  <c r="E153" i="24"/>
  <c r="E152" i="24"/>
  <c r="E151" i="24"/>
  <c r="E150" i="24"/>
  <c r="E149" i="24"/>
  <c r="E148" i="24"/>
  <c r="E147" i="24"/>
  <c r="E146" i="24"/>
  <c r="E145" i="24"/>
  <c r="E153" i="141"/>
  <c r="E152" i="141"/>
  <c r="E151" i="141"/>
  <c r="E150" i="141"/>
  <c r="E149" i="141"/>
  <c r="E148" i="141"/>
  <c r="E147" i="141"/>
  <c r="E146" i="141"/>
  <c r="E145" i="141"/>
  <c r="E153" i="33"/>
  <c r="E152" i="33"/>
  <c r="E151" i="33"/>
  <c r="E150" i="33"/>
  <c r="E149" i="33"/>
  <c r="E148" i="33"/>
  <c r="E147" i="33"/>
  <c r="E146" i="33"/>
  <c r="E145" i="33"/>
  <c r="E153" i="32"/>
  <c r="E152" i="32"/>
  <c r="E151" i="32"/>
  <c r="E150" i="32"/>
  <c r="E149" i="32"/>
  <c r="E148" i="32"/>
  <c r="E147" i="32"/>
  <c r="E146" i="32"/>
  <c r="E145" i="32"/>
  <c r="E153" i="79"/>
  <c r="E152" i="79"/>
  <c r="E151" i="79"/>
  <c r="E150" i="79"/>
  <c r="E149" i="79"/>
  <c r="E148" i="79"/>
  <c r="E147" i="79"/>
  <c r="E146" i="79"/>
  <c r="E145" i="79"/>
  <c r="E153" i="31"/>
  <c r="E152" i="31"/>
  <c r="E151" i="31"/>
  <c r="E150" i="31"/>
  <c r="E149" i="31"/>
  <c r="E148" i="31"/>
  <c r="E147" i="31"/>
  <c r="E146" i="31"/>
  <c r="E145" i="31"/>
  <c r="E153" i="64"/>
  <c r="E152" i="64"/>
  <c r="E151" i="64"/>
  <c r="E150" i="64"/>
  <c r="E149" i="64"/>
  <c r="E148" i="64"/>
  <c r="E147" i="64"/>
  <c r="E146" i="64"/>
  <c r="E145" i="64"/>
  <c r="E153" i="72"/>
  <c r="E152" i="72"/>
  <c r="E151" i="72"/>
  <c r="E150" i="72"/>
  <c r="E149" i="72"/>
  <c r="E148" i="72"/>
  <c r="E147" i="72"/>
  <c r="E146" i="72"/>
  <c r="E145" i="72"/>
  <c r="E153" i="28"/>
  <c r="E152" i="28"/>
  <c r="E151" i="28"/>
  <c r="E150" i="28"/>
  <c r="E149" i="28"/>
  <c r="E148" i="28"/>
  <c r="E147" i="28"/>
  <c r="E146" i="28"/>
  <c r="E145" i="28"/>
  <c r="E153" i="65"/>
  <c r="E152" i="65"/>
  <c r="E151" i="65"/>
  <c r="E150" i="65"/>
  <c r="E149" i="65"/>
  <c r="E148" i="65"/>
  <c r="E147" i="65"/>
  <c r="E146" i="65"/>
  <c r="E145" i="65"/>
  <c r="E153" i="119"/>
  <c r="E152" i="119"/>
  <c r="E151" i="119"/>
  <c r="E150" i="119"/>
  <c r="E149" i="119"/>
  <c r="E148" i="119"/>
  <c r="E147" i="119"/>
  <c r="E146" i="119"/>
  <c r="E145" i="119"/>
  <c r="E153" i="25"/>
  <c r="E152" i="25"/>
  <c r="E151" i="25"/>
  <c r="E150" i="25"/>
  <c r="E149" i="25"/>
  <c r="E148" i="25"/>
  <c r="E147" i="25"/>
  <c r="E146" i="25"/>
  <c r="E145" i="25"/>
  <c r="E153" i="20"/>
  <c r="E152" i="20"/>
  <c r="E151" i="20"/>
  <c r="E150" i="20"/>
  <c r="E149" i="20"/>
  <c r="E148" i="20"/>
  <c r="E147" i="20"/>
  <c r="E146" i="20"/>
  <c r="E145" i="20"/>
  <c r="E153" i="159"/>
  <c r="E152" i="159"/>
  <c r="E151" i="159"/>
  <c r="E150" i="159"/>
  <c r="E149" i="159"/>
  <c r="E148" i="159"/>
  <c r="E147" i="159"/>
  <c r="E146" i="159"/>
  <c r="E145" i="159"/>
  <c r="E153" i="16"/>
  <c r="E152" i="16"/>
  <c r="E151" i="16"/>
  <c r="E150" i="16"/>
  <c r="E149" i="16"/>
  <c r="E148" i="16"/>
  <c r="E147" i="16"/>
  <c r="E146" i="16"/>
  <c r="E145" i="16"/>
  <c r="E153" i="27"/>
  <c r="E152" i="27"/>
  <c r="E151" i="27"/>
  <c r="E150" i="27"/>
  <c r="E149" i="27"/>
  <c r="E148" i="27"/>
  <c r="E147" i="27"/>
  <c r="E146" i="27"/>
  <c r="E145" i="27"/>
  <c r="E153" i="111"/>
  <c r="E152" i="111"/>
  <c r="E151" i="111"/>
  <c r="E150" i="111"/>
  <c r="E149" i="111"/>
  <c r="E148" i="111"/>
  <c r="E147" i="111"/>
  <c r="E146" i="111"/>
  <c r="E145" i="111"/>
  <c r="E153" i="165"/>
  <c r="E152" i="165"/>
  <c r="E151" i="165"/>
  <c r="E150" i="165"/>
  <c r="E149" i="165"/>
  <c r="E148" i="165"/>
  <c r="E147" i="165"/>
  <c r="E146" i="165"/>
  <c r="E145" i="165"/>
  <c r="E153" i="55"/>
  <c r="E152" i="55"/>
  <c r="E151" i="55"/>
  <c r="E150" i="55"/>
  <c r="E149" i="55"/>
  <c r="E148" i="55"/>
  <c r="E147" i="55"/>
  <c r="E146" i="55"/>
  <c r="E145" i="55"/>
  <c r="E153" i="21"/>
  <c r="E152" i="21"/>
  <c r="E151" i="21"/>
  <c r="E150" i="21"/>
  <c r="E149" i="21"/>
  <c r="E148" i="21"/>
  <c r="E147" i="21"/>
  <c r="E146" i="21"/>
  <c r="E145" i="21"/>
  <c r="E153" i="14"/>
  <c r="E152" i="14"/>
  <c r="E151" i="14"/>
  <c r="E150" i="14"/>
  <c r="E149" i="14"/>
  <c r="E148" i="14"/>
  <c r="E147" i="14"/>
  <c r="E146" i="14"/>
  <c r="E145" i="14"/>
  <c r="E153" i="85"/>
  <c r="E152" i="85"/>
  <c r="E151" i="85"/>
  <c r="E150" i="85"/>
  <c r="E149" i="85"/>
  <c r="E148" i="85"/>
  <c r="E147" i="85"/>
  <c r="E146" i="85"/>
  <c r="E145" i="85"/>
  <c r="E153" i="149"/>
  <c r="E152" i="149"/>
  <c r="E151" i="149"/>
  <c r="E150" i="149"/>
  <c r="E149" i="149"/>
  <c r="E148" i="149"/>
  <c r="E147" i="149"/>
  <c r="E146" i="149"/>
  <c r="E145" i="149"/>
  <c r="E153" i="143"/>
  <c r="E152" i="143"/>
  <c r="E151" i="143"/>
  <c r="E150" i="143"/>
  <c r="E149" i="143"/>
  <c r="E148" i="143"/>
  <c r="E147" i="143"/>
  <c r="E146" i="143"/>
  <c r="E145" i="143"/>
  <c r="E153" i="87"/>
  <c r="E152" i="87"/>
  <c r="E151" i="87"/>
  <c r="E150" i="87"/>
  <c r="E149" i="87"/>
  <c r="E148" i="87"/>
  <c r="E147" i="87"/>
  <c r="E146" i="87"/>
  <c r="E145" i="87"/>
  <c r="E153" i="69"/>
  <c r="E152" i="69"/>
  <c r="E151" i="69"/>
  <c r="E150" i="69"/>
  <c r="E149" i="69"/>
  <c r="E148" i="69"/>
  <c r="E147" i="69"/>
  <c r="E146" i="69"/>
  <c r="E145" i="69"/>
  <c r="E153" i="86"/>
  <c r="E152" i="86"/>
  <c r="E151" i="86"/>
  <c r="E150" i="86"/>
  <c r="E149" i="86"/>
  <c r="E148" i="86"/>
  <c r="E147" i="86"/>
  <c r="E146" i="86"/>
  <c r="E145" i="86"/>
  <c r="E153" i="89"/>
  <c r="E152" i="89"/>
  <c r="E151" i="89"/>
  <c r="E150" i="89"/>
  <c r="E149" i="89"/>
  <c r="E148" i="89"/>
  <c r="E147" i="89"/>
  <c r="E146" i="89"/>
  <c r="E145" i="89"/>
  <c r="E153" i="142"/>
  <c r="E152" i="142"/>
  <c r="E151" i="142"/>
  <c r="E150" i="142"/>
  <c r="E149" i="142"/>
  <c r="E148" i="142"/>
  <c r="E147" i="142"/>
  <c r="E146" i="142"/>
  <c r="E145" i="142"/>
  <c r="E153" i="91"/>
  <c r="E152" i="91"/>
  <c r="E151" i="91"/>
  <c r="E150" i="91"/>
  <c r="E149" i="91"/>
  <c r="E148" i="91"/>
  <c r="E147" i="91"/>
  <c r="E146" i="91"/>
  <c r="E145" i="91"/>
  <c r="E153" i="92"/>
  <c r="E152" i="92"/>
  <c r="E151" i="92"/>
  <c r="E150" i="92"/>
  <c r="E149" i="92"/>
  <c r="E148" i="92"/>
  <c r="E147" i="92"/>
  <c r="E146" i="92"/>
  <c r="E145" i="92"/>
  <c r="E153" i="113"/>
  <c r="E152" i="113"/>
  <c r="E151" i="113"/>
  <c r="E150" i="113"/>
  <c r="E149" i="113"/>
  <c r="E148" i="113"/>
  <c r="E147" i="113"/>
  <c r="E146" i="113"/>
  <c r="E145" i="113"/>
  <c r="E153" i="1"/>
  <c r="E152" i="1"/>
  <c r="E151" i="1"/>
  <c r="E150" i="1"/>
  <c r="E149" i="1"/>
  <c r="E148" i="1"/>
  <c r="E147" i="1"/>
  <c r="E146" i="1"/>
  <c r="E145" i="1"/>
  <c r="E153" i="50"/>
  <c r="E152" i="50"/>
  <c r="E151" i="50"/>
  <c r="E150" i="50"/>
  <c r="E149" i="50"/>
  <c r="E148" i="50"/>
  <c r="E147" i="50"/>
  <c r="E146" i="50"/>
  <c r="E145" i="50"/>
  <c r="E153" i="95"/>
  <c r="E152" i="95"/>
  <c r="E151" i="95"/>
  <c r="E150" i="95"/>
  <c r="E149" i="95"/>
  <c r="E148" i="95"/>
  <c r="E147" i="95"/>
  <c r="E146" i="95"/>
  <c r="E145" i="95"/>
  <c r="E153" i="43"/>
  <c r="E152" i="43"/>
  <c r="E151" i="43"/>
  <c r="E150" i="43"/>
  <c r="E149" i="43"/>
  <c r="E148" i="43"/>
  <c r="E147" i="43"/>
  <c r="E146" i="43"/>
  <c r="E145" i="43"/>
  <c r="E143" i="103"/>
  <c r="E142" i="103"/>
  <c r="E141" i="103"/>
  <c r="E140" i="103"/>
  <c r="E143" i="19"/>
  <c r="E142" i="19"/>
  <c r="E141" i="19"/>
  <c r="E140" i="19"/>
  <c r="E143" i="10"/>
  <c r="E142" i="10"/>
  <c r="E141" i="10"/>
  <c r="E140" i="10"/>
  <c r="E143" i="118"/>
  <c r="E142" i="118"/>
  <c r="E141" i="118"/>
  <c r="E140" i="118"/>
  <c r="E143" i="60"/>
  <c r="E142" i="60"/>
  <c r="E141" i="60"/>
  <c r="E140" i="60"/>
  <c r="E143" i="133"/>
  <c r="E142" i="133"/>
  <c r="E141" i="133"/>
  <c r="E140" i="133"/>
  <c r="E143" i="54"/>
  <c r="E142" i="54"/>
  <c r="E141" i="54"/>
  <c r="E140" i="54"/>
  <c r="E143" i="155"/>
  <c r="E142" i="155"/>
  <c r="E141" i="155"/>
  <c r="E140" i="155"/>
  <c r="E143" i="156"/>
  <c r="E142" i="156"/>
  <c r="E141" i="156"/>
  <c r="E140" i="156"/>
  <c r="E143" i="157"/>
  <c r="E142" i="157"/>
  <c r="E141" i="157"/>
  <c r="E140" i="157"/>
  <c r="E143" i="158"/>
  <c r="E142" i="158"/>
  <c r="E141" i="158"/>
  <c r="E140" i="158"/>
  <c r="E143" i="94"/>
  <c r="E142" i="94"/>
  <c r="E141" i="94"/>
  <c r="E140" i="94"/>
  <c r="E143" i="145"/>
  <c r="E142" i="145"/>
  <c r="E141" i="145"/>
  <c r="E140" i="145"/>
  <c r="E143" i="164"/>
  <c r="E142" i="164"/>
  <c r="E141" i="164"/>
  <c r="E140" i="164"/>
  <c r="E143" i="15"/>
  <c r="E142" i="15"/>
  <c r="E141" i="15"/>
  <c r="E140" i="15"/>
  <c r="E143" i="150"/>
  <c r="E142" i="150"/>
  <c r="E141" i="150"/>
  <c r="E140" i="150"/>
  <c r="E143" i="68"/>
  <c r="E142" i="68"/>
  <c r="E141" i="68"/>
  <c r="E140" i="68"/>
  <c r="E143" i="100"/>
  <c r="E142" i="100"/>
  <c r="E141" i="100"/>
  <c r="E140" i="100"/>
  <c r="E143" i="67"/>
  <c r="E142" i="67"/>
  <c r="E141" i="67"/>
  <c r="E140" i="67"/>
  <c r="E143" i="59"/>
  <c r="E142" i="59"/>
  <c r="E141" i="59"/>
  <c r="E140" i="59"/>
  <c r="E143" i="84"/>
  <c r="E142" i="84"/>
  <c r="E141" i="84"/>
  <c r="E140" i="84"/>
  <c r="E143" i="66"/>
  <c r="E142" i="66"/>
  <c r="E141" i="66"/>
  <c r="E140" i="66"/>
  <c r="E143" i="63"/>
  <c r="E142" i="63"/>
  <c r="E141" i="63"/>
  <c r="E140" i="63"/>
  <c r="E143" i="62"/>
  <c r="E142" i="62"/>
  <c r="E141" i="62"/>
  <c r="E140" i="62"/>
  <c r="E143" i="58"/>
  <c r="E142" i="58"/>
  <c r="E141" i="58"/>
  <c r="E140" i="58"/>
  <c r="E143" i="136"/>
  <c r="E142" i="136"/>
  <c r="E141" i="136"/>
  <c r="E140" i="136"/>
  <c r="E143" i="53"/>
  <c r="E142" i="53"/>
  <c r="E141" i="53"/>
  <c r="E140" i="53"/>
  <c r="E143" i="98"/>
  <c r="E142" i="98"/>
  <c r="E141" i="98"/>
  <c r="E140" i="98"/>
  <c r="E143" i="49"/>
  <c r="E142" i="49"/>
  <c r="E141" i="49"/>
  <c r="E140" i="49"/>
  <c r="E143" i="83"/>
  <c r="E142" i="83"/>
  <c r="E141" i="83"/>
  <c r="E140" i="83"/>
  <c r="E143" i="47"/>
  <c r="E142" i="47"/>
  <c r="E141" i="47"/>
  <c r="E140" i="47"/>
  <c r="E143" i="46"/>
  <c r="E142" i="46"/>
  <c r="E141" i="46"/>
  <c r="E140" i="46"/>
  <c r="E143" i="102"/>
  <c r="E142" i="102"/>
  <c r="E141" i="102"/>
  <c r="E140" i="102"/>
  <c r="E143" i="45"/>
  <c r="E142" i="45"/>
  <c r="E141" i="45"/>
  <c r="E140" i="45"/>
  <c r="E143" i="104"/>
  <c r="E142" i="104"/>
  <c r="E141" i="104"/>
  <c r="E140" i="104"/>
  <c r="E143" i="106"/>
  <c r="E142" i="106"/>
  <c r="E141" i="106"/>
  <c r="E140" i="106"/>
  <c r="E143" i="57"/>
  <c r="E142" i="57"/>
  <c r="E141" i="57"/>
  <c r="E140" i="57"/>
  <c r="E143" i="42"/>
  <c r="E142" i="42"/>
  <c r="E141" i="42"/>
  <c r="E140" i="42"/>
  <c r="E143" i="71"/>
  <c r="E142" i="71"/>
  <c r="E141" i="71"/>
  <c r="E140" i="71"/>
  <c r="E143" i="167"/>
  <c r="E142" i="167"/>
  <c r="E141" i="167"/>
  <c r="E140" i="167"/>
  <c r="E143" i="39"/>
  <c r="E142" i="39"/>
  <c r="E141" i="39"/>
  <c r="E140" i="39"/>
  <c r="E143" i="135"/>
  <c r="E142" i="135"/>
  <c r="E141" i="135"/>
  <c r="E140" i="135"/>
  <c r="E143" i="38"/>
  <c r="E142" i="38"/>
  <c r="E141" i="38"/>
  <c r="E140" i="38"/>
  <c r="E143" i="152"/>
  <c r="E142" i="152"/>
  <c r="E141" i="152"/>
  <c r="E140" i="152"/>
  <c r="E143" i="120"/>
  <c r="E142" i="120"/>
  <c r="E141" i="120"/>
  <c r="E140" i="120"/>
  <c r="E143" i="37"/>
  <c r="E142" i="37"/>
  <c r="E141" i="37"/>
  <c r="E140" i="37"/>
  <c r="E143" i="90"/>
  <c r="E142" i="90"/>
  <c r="E141" i="90"/>
  <c r="E140" i="90"/>
  <c r="E143" i="24"/>
  <c r="E142" i="24"/>
  <c r="E141" i="24"/>
  <c r="E140" i="24"/>
  <c r="E143" i="141"/>
  <c r="E142" i="141"/>
  <c r="E141" i="141"/>
  <c r="E140" i="141"/>
  <c r="E143" i="33"/>
  <c r="E142" i="33"/>
  <c r="E141" i="33"/>
  <c r="E140" i="33"/>
  <c r="E143" i="32"/>
  <c r="E142" i="32"/>
  <c r="E141" i="32"/>
  <c r="E140" i="32"/>
  <c r="E143" i="79"/>
  <c r="E142" i="79"/>
  <c r="E141" i="79"/>
  <c r="E140" i="79"/>
  <c r="E143" i="31"/>
  <c r="E142" i="31"/>
  <c r="E141" i="31"/>
  <c r="E140" i="31"/>
  <c r="E143" i="64"/>
  <c r="E142" i="64"/>
  <c r="E141" i="64"/>
  <c r="E140" i="64"/>
  <c r="E143" i="72"/>
  <c r="E142" i="72"/>
  <c r="E141" i="72"/>
  <c r="E140" i="72"/>
  <c r="E143" i="28"/>
  <c r="E142" i="28"/>
  <c r="E141" i="28"/>
  <c r="E140" i="28"/>
  <c r="E143" i="65"/>
  <c r="E142" i="65"/>
  <c r="E141" i="65"/>
  <c r="E140" i="65"/>
  <c r="E143" i="119"/>
  <c r="E142" i="119"/>
  <c r="E141" i="119"/>
  <c r="E140" i="119"/>
  <c r="E143" i="25"/>
  <c r="E142" i="25"/>
  <c r="E141" i="25"/>
  <c r="E140" i="25"/>
  <c r="E143" i="20"/>
  <c r="E142" i="20"/>
  <c r="E141" i="20"/>
  <c r="E140" i="20"/>
  <c r="E143" i="159"/>
  <c r="E142" i="159"/>
  <c r="E141" i="159"/>
  <c r="E140" i="159"/>
  <c r="E143" i="16"/>
  <c r="E142" i="16"/>
  <c r="E141" i="16"/>
  <c r="E140" i="16"/>
  <c r="E143" i="27"/>
  <c r="E142" i="27"/>
  <c r="E141" i="27"/>
  <c r="E140" i="27"/>
  <c r="E143" i="111"/>
  <c r="E142" i="111"/>
  <c r="E141" i="111"/>
  <c r="E140" i="111"/>
  <c r="E143" i="165"/>
  <c r="E142" i="165"/>
  <c r="E141" i="165"/>
  <c r="E140" i="165"/>
  <c r="E143" i="55"/>
  <c r="E142" i="55"/>
  <c r="E141" i="55"/>
  <c r="E140" i="55"/>
  <c r="E143" i="21"/>
  <c r="E142" i="21"/>
  <c r="E141" i="21"/>
  <c r="E140" i="21"/>
  <c r="E143" i="14"/>
  <c r="E142" i="14"/>
  <c r="E141" i="14"/>
  <c r="E140" i="14"/>
  <c r="E143" i="85"/>
  <c r="E142" i="85"/>
  <c r="E141" i="85"/>
  <c r="E140" i="85"/>
  <c r="E143" i="149"/>
  <c r="E142" i="149"/>
  <c r="E141" i="149"/>
  <c r="E140" i="149"/>
  <c r="E143" i="143"/>
  <c r="E142" i="143"/>
  <c r="E141" i="143"/>
  <c r="E140" i="143"/>
  <c r="E143" i="87"/>
  <c r="E142" i="87"/>
  <c r="E141" i="87"/>
  <c r="E140" i="87"/>
  <c r="E143" i="69"/>
  <c r="E142" i="69"/>
  <c r="E141" i="69"/>
  <c r="E140" i="69"/>
  <c r="E143" i="86"/>
  <c r="E142" i="86"/>
  <c r="E141" i="86"/>
  <c r="E140" i="86"/>
  <c r="E143" i="89"/>
  <c r="E142" i="89"/>
  <c r="E141" i="89"/>
  <c r="E140" i="89"/>
  <c r="E143" i="142"/>
  <c r="E142" i="142"/>
  <c r="E141" i="142"/>
  <c r="E140" i="142"/>
  <c r="E143" i="91"/>
  <c r="E142" i="91"/>
  <c r="E141" i="91"/>
  <c r="E140" i="91"/>
  <c r="E143" i="92"/>
  <c r="E142" i="92"/>
  <c r="E141" i="92"/>
  <c r="E140" i="92"/>
  <c r="E143" i="113"/>
  <c r="E142" i="113"/>
  <c r="E141" i="113"/>
  <c r="E140" i="113"/>
  <c r="E143" i="1"/>
  <c r="E142" i="1"/>
  <c r="E141" i="1"/>
  <c r="E140" i="1"/>
  <c r="E143" i="50"/>
  <c r="E142" i="50"/>
  <c r="E141" i="50"/>
  <c r="E140" i="50"/>
  <c r="E143" i="95"/>
  <c r="E142" i="95"/>
  <c r="E141" i="95"/>
  <c r="E140" i="95"/>
  <c r="E143" i="43"/>
  <c r="E142" i="43"/>
  <c r="E141" i="43"/>
  <c r="E140" i="43"/>
  <c r="E138" i="103"/>
  <c r="E137" i="103"/>
  <c r="E136" i="103"/>
  <c r="E135" i="103"/>
  <c r="E138" i="19"/>
  <c r="E137" i="19"/>
  <c r="E136" i="19"/>
  <c r="E135" i="19"/>
  <c r="E138" i="10"/>
  <c r="E137" i="10"/>
  <c r="E136" i="10"/>
  <c r="E135" i="10"/>
  <c r="E138" i="118"/>
  <c r="E137" i="118"/>
  <c r="E136" i="118"/>
  <c r="E135" i="118"/>
  <c r="E138" i="60"/>
  <c r="E137" i="60"/>
  <c r="E136" i="60"/>
  <c r="E135" i="60"/>
  <c r="E138" i="133"/>
  <c r="E137" i="133"/>
  <c r="E136" i="133"/>
  <c r="E135" i="133"/>
  <c r="E138" i="54"/>
  <c r="E137" i="54"/>
  <c r="E136" i="54"/>
  <c r="E135" i="54"/>
  <c r="E138" i="155"/>
  <c r="E137" i="155"/>
  <c r="E136" i="155"/>
  <c r="E135" i="155"/>
  <c r="E138" i="156"/>
  <c r="E137" i="156"/>
  <c r="E136" i="156"/>
  <c r="E135" i="156"/>
  <c r="E138" i="157"/>
  <c r="E137" i="157"/>
  <c r="E136" i="157"/>
  <c r="E135" i="157"/>
  <c r="E138" i="158"/>
  <c r="E137" i="158"/>
  <c r="E136" i="158"/>
  <c r="E135" i="158"/>
  <c r="E138" i="94"/>
  <c r="E137" i="94"/>
  <c r="E136" i="94"/>
  <c r="E135" i="94"/>
  <c r="E138" i="145"/>
  <c r="E137" i="145"/>
  <c r="E136" i="145"/>
  <c r="E135" i="145"/>
  <c r="E138" i="164"/>
  <c r="E137" i="164"/>
  <c r="E136" i="164"/>
  <c r="E135" i="164"/>
  <c r="E138" i="15"/>
  <c r="E137" i="15"/>
  <c r="E136" i="15"/>
  <c r="E135" i="15"/>
  <c r="E138" i="150"/>
  <c r="E137" i="150"/>
  <c r="E136" i="150"/>
  <c r="E135" i="150"/>
  <c r="E138" i="68"/>
  <c r="E137" i="68"/>
  <c r="E136" i="68"/>
  <c r="E135" i="68"/>
  <c r="E138" i="100"/>
  <c r="E137" i="100"/>
  <c r="E136" i="100"/>
  <c r="E135" i="100"/>
  <c r="E138" i="67"/>
  <c r="E137" i="67"/>
  <c r="E136" i="67"/>
  <c r="E135" i="67"/>
  <c r="E138" i="59"/>
  <c r="E137" i="59"/>
  <c r="E136" i="59"/>
  <c r="E135" i="59"/>
  <c r="E138" i="84"/>
  <c r="E137" i="84"/>
  <c r="E136" i="84"/>
  <c r="E135" i="84"/>
  <c r="E138" i="66"/>
  <c r="E137" i="66"/>
  <c r="E136" i="66"/>
  <c r="E135" i="66"/>
  <c r="E138" i="63"/>
  <c r="E137" i="63"/>
  <c r="E136" i="63"/>
  <c r="E135" i="63"/>
  <c r="E138" i="62"/>
  <c r="E137" i="62"/>
  <c r="E136" i="62"/>
  <c r="E135" i="62"/>
  <c r="E138" i="58"/>
  <c r="E137" i="58"/>
  <c r="E136" i="58"/>
  <c r="E135" i="58"/>
  <c r="E138" i="136"/>
  <c r="E137" i="136"/>
  <c r="E136" i="136"/>
  <c r="E135" i="136"/>
  <c r="E138" i="53"/>
  <c r="E137" i="53"/>
  <c r="E136" i="53"/>
  <c r="E135" i="53"/>
  <c r="E138" i="98"/>
  <c r="E137" i="98"/>
  <c r="E136" i="98"/>
  <c r="E135" i="98"/>
  <c r="E138" i="49"/>
  <c r="E137" i="49"/>
  <c r="E136" i="49"/>
  <c r="E135" i="49"/>
  <c r="E138" i="83"/>
  <c r="E137" i="83"/>
  <c r="E136" i="83"/>
  <c r="E135" i="83"/>
  <c r="E138" i="47"/>
  <c r="E137" i="47"/>
  <c r="E136" i="47"/>
  <c r="E135" i="47"/>
  <c r="E138" i="46"/>
  <c r="E137" i="46"/>
  <c r="E136" i="46"/>
  <c r="E135" i="46"/>
  <c r="E138" i="102"/>
  <c r="E137" i="102"/>
  <c r="E136" i="102"/>
  <c r="E135" i="102"/>
  <c r="E138" i="45"/>
  <c r="E137" i="45"/>
  <c r="E136" i="45"/>
  <c r="E135" i="45"/>
  <c r="E138" i="104"/>
  <c r="E137" i="104"/>
  <c r="E136" i="104"/>
  <c r="E135" i="104"/>
  <c r="E138" i="106"/>
  <c r="E137" i="106"/>
  <c r="E136" i="106"/>
  <c r="E135" i="106"/>
  <c r="E138" i="57"/>
  <c r="E137" i="57"/>
  <c r="E136" i="57"/>
  <c r="E135" i="57"/>
  <c r="E138" i="42"/>
  <c r="E137" i="42"/>
  <c r="E136" i="42"/>
  <c r="E135" i="42"/>
  <c r="E138" i="71"/>
  <c r="E137" i="71"/>
  <c r="E136" i="71"/>
  <c r="E135" i="71"/>
  <c r="E138" i="167"/>
  <c r="E137" i="167"/>
  <c r="E136" i="167"/>
  <c r="E135" i="167"/>
  <c r="E138" i="39"/>
  <c r="E137" i="39"/>
  <c r="E136" i="39"/>
  <c r="E135" i="39"/>
  <c r="E138" i="135"/>
  <c r="E137" i="135"/>
  <c r="E136" i="135"/>
  <c r="E135" i="135"/>
  <c r="E138" i="38"/>
  <c r="E137" i="38"/>
  <c r="E136" i="38"/>
  <c r="E135" i="38"/>
  <c r="E138" i="152"/>
  <c r="E137" i="152"/>
  <c r="E136" i="152"/>
  <c r="E135" i="152"/>
  <c r="E138" i="120"/>
  <c r="E137" i="120"/>
  <c r="E136" i="120"/>
  <c r="E135" i="120"/>
  <c r="E138" i="37"/>
  <c r="E137" i="37"/>
  <c r="E136" i="37"/>
  <c r="E135" i="37"/>
  <c r="E138" i="90"/>
  <c r="E137" i="90"/>
  <c r="E136" i="90"/>
  <c r="E135" i="90"/>
  <c r="E138" i="24"/>
  <c r="E137" i="24"/>
  <c r="E136" i="24"/>
  <c r="E135" i="24"/>
  <c r="E138" i="141"/>
  <c r="E137" i="141"/>
  <c r="E136" i="141"/>
  <c r="E135" i="141"/>
  <c r="E138" i="33"/>
  <c r="E137" i="33"/>
  <c r="E136" i="33"/>
  <c r="E135" i="33"/>
  <c r="E138" i="32"/>
  <c r="E137" i="32"/>
  <c r="E136" i="32"/>
  <c r="E135" i="32"/>
  <c r="E138" i="79"/>
  <c r="E137" i="79"/>
  <c r="E136" i="79"/>
  <c r="E135" i="79"/>
  <c r="E138" i="31"/>
  <c r="E137" i="31"/>
  <c r="E136" i="31"/>
  <c r="E135" i="31"/>
  <c r="E138" i="64"/>
  <c r="E137" i="64"/>
  <c r="E136" i="64"/>
  <c r="E135" i="64"/>
  <c r="E138" i="72"/>
  <c r="E137" i="72"/>
  <c r="E136" i="72"/>
  <c r="E135" i="72"/>
  <c r="E138" i="28"/>
  <c r="E137" i="28"/>
  <c r="E136" i="28"/>
  <c r="E135" i="28"/>
  <c r="E138" i="65"/>
  <c r="E137" i="65"/>
  <c r="E136" i="65"/>
  <c r="E135" i="65"/>
  <c r="E138" i="119"/>
  <c r="E137" i="119"/>
  <c r="E136" i="119"/>
  <c r="E135" i="119"/>
  <c r="E138" i="25"/>
  <c r="E137" i="25"/>
  <c r="E136" i="25"/>
  <c r="E135" i="25"/>
  <c r="E138" i="20"/>
  <c r="E137" i="20"/>
  <c r="E136" i="20"/>
  <c r="E135" i="20"/>
  <c r="E138" i="159"/>
  <c r="E137" i="159"/>
  <c r="E136" i="159"/>
  <c r="E135" i="159"/>
  <c r="E138" i="16"/>
  <c r="E137" i="16"/>
  <c r="E136" i="16"/>
  <c r="E135" i="16"/>
  <c r="E138" i="27"/>
  <c r="E137" i="27"/>
  <c r="E136" i="27"/>
  <c r="E135" i="27"/>
  <c r="E138" i="111"/>
  <c r="E137" i="111"/>
  <c r="E136" i="111"/>
  <c r="E135" i="111"/>
  <c r="E138" i="165"/>
  <c r="E137" i="165"/>
  <c r="E136" i="165"/>
  <c r="E135" i="165"/>
  <c r="E138" i="55"/>
  <c r="E137" i="55"/>
  <c r="E136" i="55"/>
  <c r="E135" i="55"/>
  <c r="E138" i="21"/>
  <c r="E137" i="21"/>
  <c r="E136" i="21"/>
  <c r="E135" i="21"/>
  <c r="E138" i="14"/>
  <c r="E137" i="14"/>
  <c r="E136" i="14"/>
  <c r="E135" i="14"/>
  <c r="E138" i="85"/>
  <c r="E137" i="85"/>
  <c r="E136" i="85"/>
  <c r="E135" i="85"/>
  <c r="E138" i="149"/>
  <c r="E137" i="149"/>
  <c r="E136" i="149"/>
  <c r="E135" i="149"/>
  <c r="E138" i="143"/>
  <c r="E137" i="143"/>
  <c r="E136" i="143"/>
  <c r="E135" i="143"/>
  <c r="E138" i="87"/>
  <c r="E137" i="87"/>
  <c r="E136" i="87"/>
  <c r="E135" i="87"/>
  <c r="E138" i="69"/>
  <c r="E137" i="69"/>
  <c r="E136" i="69"/>
  <c r="E135" i="69"/>
  <c r="E138" i="86"/>
  <c r="E137" i="86"/>
  <c r="E136" i="86"/>
  <c r="E135" i="86"/>
  <c r="E138" i="89"/>
  <c r="E137" i="89"/>
  <c r="E136" i="89"/>
  <c r="E135" i="89"/>
  <c r="E138" i="142"/>
  <c r="E137" i="142"/>
  <c r="E136" i="142"/>
  <c r="E135" i="142"/>
  <c r="E138" i="91"/>
  <c r="E137" i="91"/>
  <c r="E136" i="91"/>
  <c r="E135" i="91"/>
  <c r="E138" i="92"/>
  <c r="E137" i="92"/>
  <c r="E136" i="92"/>
  <c r="E135" i="92"/>
  <c r="E138" i="113"/>
  <c r="E137" i="113"/>
  <c r="E136" i="113"/>
  <c r="E135" i="113"/>
  <c r="E138" i="1"/>
  <c r="E137" i="1"/>
  <c r="E136" i="1"/>
  <c r="E135" i="1"/>
  <c r="E138" i="50"/>
  <c r="E137" i="50"/>
  <c r="E136" i="50"/>
  <c r="E135" i="50"/>
  <c r="E138" i="95"/>
  <c r="E137" i="95"/>
  <c r="E136" i="95"/>
  <c r="E135" i="95"/>
  <c r="E138" i="43"/>
  <c r="E137" i="43"/>
  <c r="E136" i="43"/>
  <c r="E135" i="43"/>
  <c r="E133" i="103"/>
  <c r="E132" i="103"/>
  <c r="E131" i="103"/>
  <c r="E130" i="103"/>
  <c r="E129" i="103"/>
  <c r="E133" i="19"/>
  <c r="E132" i="19"/>
  <c r="E131" i="19"/>
  <c r="E130" i="19"/>
  <c r="E129" i="19"/>
  <c r="E133" i="10"/>
  <c r="E132" i="10"/>
  <c r="E131" i="10"/>
  <c r="E130" i="10"/>
  <c r="E129" i="10"/>
  <c r="E133" i="118"/>
  <c r="E132" i="118"/>
  <c r="E131" i="118"/>
  <c r="E130" i="118"/>
  <c r="E129" i="118"/>
  <c r="E133" i="60"/>
  <c r="E132" i="60"/>
  <c r="E131" i="60"/>
  <c r="E130" i="60"/>
  <c r="E129" i="60"/>
  <c r="E133" i="133"/>
  <c r="E132" i="133"/>
  <c r="E131" i="133"/>
  <c r="E130" i="133"/>
  <c r="E129" i="133"/>
  <c r="E133" i="54"/>
  <c r="E132" i="54"/>
  <c r="E131" i="54"/>
  <c r="E130" i="54"/>
  <c r="E129" i="54"/>
  <c r="E133" i="155"/>
  <c r="E132" i="155"/>
  <c r="E131" i="155"/>
  <c r="E130" i="155"/>
  <c r="E129" i="155"/>
  <c r="E133" i="156"/>
  <c r="E132" i="156"/>
  <c r="E131" i="156"/>
  <c r="E130" i="156"/>
  <c r="E129" i="156"/>
  <c r="E133" i="157"/>
  <c r="E132" i="157"/>
  <c r="E131" i="157"/>
  <c r="E130" i="157"/>
  <c r="E129" i="157"/>
  <c r="E133" i="158"/>
  <c r="E132" i="158"/>
  <c r="E131" i="158"/>
  <c r="E130" i="158"/>
  <c r="E129" i="158"/>
  <c r="E133" i="94"/>
  <c r="E132" i="94"/>
  <c r="E131" i="94"/>
  <c r="E130" i="94"/>
  <c r="E129" i="94"/>
  <c r="E133" i="145"/>
  <c r="E132" i="145"/>
  <c r="E131" i="145"/>
  <c r="E130" i="145"/>
  <c r="E129" i="145"/>
  <c r="E133" i="164"/>
  <c r="E132" i="164"/>
  <c r="E131" i="164"/>
  <c r="E130" i="164"/>
  <c r="E129" i="164"/>
  <c r="E133" i="15"/>
  <c r="E132" i="15"/>
  <c r="E131" i="15"/>
  <c r="E130" i="15"/>
  <c r="E129" i="15"/>
  <c r="E133" i="150"/>
  <c r="E132" i="150"/>
  <c r="E131" i="150"/>
  <c r="E130" i="150"/>
  <c r="E129" i="150"/>
  <c r="E133" i="68"/>
  <c r="E132" i="68"/>
  <c r="E131" i="68"/>
  <c r="E130" i="68"/>
  <c r="E129" i="68"/>
  <c r="E133" i="100"/>
  <c r="E132" i="100"/>
  <c r="E131" i="100"/>
  <c r="E130" i="100"/>
  <c r="E129" i="100"/>
  <c r="E133" i="67"/>
  <c r="E132" i="67"/>
  <c r="E131" i="67"/>
  <c r="E130" i="67"/>
  <c r="E129" i="67"/>
  <c r="E133" i="59"/>
  <c r="E132" i="59"/>
  <c r="E131" i="59"/>
  <c r="E130" i="59"/>
  <c r="E129" i="59"/>
  <c r="E133" i="84"/>
  <c r="E132" i="84"/>
  <c r="E131" i="84"/>
  <c r="E130" i="84"/>
  <c r="E129" i="84"/>
  <c r="E133" i="66"/>
  <c r="E132" i="66"/>
  <c r="E131" i="66"/>
  <c r="E130" i="66"/>
  <c r="E129" i="66"/>
  <c r="E133" i="63"/>
  <c r="E132" i="63"/>
  <c r="E131" i="63"/>
  <c r="E130" i="63"/>
  <c r="E129" i="63"/>
  <c r="E133" i="62"/>
  <c r="E132" i="62"/>
  <c r="E131" i="62"/>
  <c r="E130" i="62"/>
  <c r="E129" i="62"/>
  <c r="E133" i="58"/>
  <c r="E132" i="58"/>
  <c r="E131" i="58"/>
  <c r="E130" i="58"/>
  <c r="E129" i="58"/>
  <c r="E133" i="136"/>
  <c r="E132" i="136"/>
  <c r="E131" i="136"/>
  <c r="E130" i="136"/>
  <c r="E129" i="136"/>
  <c r="E133" i="53"/>
  <c r="E132" i="53"/>
  <c r="E131" i="53"/>
  <c r="E130" i="53"/>
  <c r="E129" i="53"/>
  <c r="E133" i="98"/>
  <c r="E132" i="98"/>
  <c r="E131" i="98"/>
  <c r="E130" i="98"/>
  <c r="E129" i="98"/>
  <c r="E133" i="49"/>
  <c r="E132" i="49"/>
  <c r="E131" i="49"/>
  <c r="E130" i="49"/>
  <c r="E129" i="49"/>
  <c r="E133" i="83"/>
  <c r="E132" i="83"/>
  <c r="E131" i="83"/>
  <c r="E130" i="83"/>
  <c r="E129" i="83"/>
  <c r="E133" i="47"/>
  <c r="E132" i="47"/>
  <c r="E131" i="47"/>
  <c r="E130" i="47"/>
  <c r="E129" i="47"/>
  <c r="E133" i="46"/>
  <c r="E132" i="46"/>
  <c r="E131" i="46"/>
  <c r="E130" i="46"/>
  <c r="E129" i="46"/>
  <c r="E133" i="102"/>
  <c r="E132" i="102"/>
  <c r="E131" i="102"/>
  <c r="E130" i="102"/>
  <c r="E129" i="102"/>
  <c r="E133" i="45"/>
  <c r="E132" i="45"/>
  <c r="E131" i="45"/>
  <c r="E130" i="45"/>
  <c r="E129" i="45"/>
  <c r="E133" i="104"/>
  <c r="E132" i="104"/>
  <c r="E131" i="104"/>
  <c r="E130" i="104"/>
  <c r="E129" i="104"/>
  <c r="E133" i="106"/>
  <c r="E132" i="106"/>
  <c r="E131" i="106"/>
  <c r="E130" i="106"/>
  <c r="E129" i="106"/>
  <c r="E133" i="57"/>
  <c r="E132" i="57"/>
  <c r="E131" i="57"/>
  <c r="E130" i="57"/>
  <c r="E129" i="57"/>
  <c r="E133" i="42"/>
  <c r="E132" i="42"/>
  <c r="E131" i="42"/>
  <c r="E130" i="42"/>
  <c r="E129" i="42"/>
  <c r="E133" i="71"/>
  <c r="E132" i="71"/>
  <c r="E131" i="71"/>
  <c r="E130" i="71"/>
  <c r="E129" i="71"/>
  <c r="E133" i="167"/>
  <c r="E132" i="167"/>
  <c r="E131" i="167"/>
  <c r="E130" i="167"/>
  <c r="E129" i="167"/>
  <c r="E133" i="39"/>
  <c r="E132" i="39"/>
  <c r="E131" i="39"/>
  <c r="E130" i="39"/>
  <c r="E129" i="39"/>
  <c r="E133" i="135"/>
  <c r="E132" i="135"/>
  <c r="E131" i="135"/>
  <c r="E130" i="135"/>
  <c r="E129" i="135"/>
  <c r="E133" i="38"/>
  <c r="E132" i="38"/>
  <c r="E131" i="38"/>
  <c r="E130" i="38"/>
  <c r="E129" i="38"/>
  <c r="E133" i="152"/>
  <c r="E132" i="152"/>
  <c r="E131" i="152"/>
  <c r="E130" i="152"/>
  <c r="E129" i="152"/>
  <c r="E133" i="120"/>
  <c r="E132" i="120"/>
  <c r="E131" i="120"/>
  <c r="E130" i="120"/>
  <c r="E129" i="120"/>
  <c r="E133" i="37"/>
  <c r="E132" i="37"/>
  <c r="E131" i="37"/>
  <c r="E130" i="37"/>
  <c r="E129" i="37"/>
  <c r="E133" i="90"/>
  <c r="E132" i="90"/>
  <c r="E131" i="90"/>
  <c r="E130" i="90"/>
  <c r="E129" i="90"/>
  <c r="E133" i="24"/>
  <c r="E132" i="24"/>
  <c r="E131" i="24"/>
  <c r="E130" i="24"/>
  <c r="E129" i="24"/>
  <c r="E133" i="141"/>
  <c r="E132" i="141"/>
  <c r="E131" i="141"/>
  <c r="E130" i="141"/>
  <c r="E129" i="141"/>
  <c r="E133" i="33"/>
  <c r="E132" i="33"/>
  <c r="E131" i="33"/>
  <c r="E130" i="33"/>
  <c r="E129" i="33"/>
  <c r="E133" i="32"/>
  <c r="E132" i="32"/>
  <c r="E131" i="32"/>
  <c r="E130" i="32"/>
  <c r="E129" i="32"/>
  <c r="E133" i="79"/>
  <c r="E132" i="79"/>
  <c r="E131" i="79"/>
  <c r="E130" i="79"/>
  <c r="E129" i="79"/>
  <c r="E133" i="31"/>
  <c r="E132" i="31"/>
  <c r="E131" i="31"/>
  <c r="E130" i="31"/>
  <c r="E129" i="31"/>
  <c r="E133" i="64"/>
  <c r="E132" i="64"/>
  <c r="E131" i="64"/>
  <c r="E130" i="64"/>
  <c r="E129" i="64"/>
  <c r="E133" i="72"/>
  <c r="E132" i="72"/>
  <c r="E131" i="72"/>
  <c r="E130" i="72"/>
  <c r="E129" i="72"/>
  <c r="E133" i="28"/>
  <c r="E132" i="28"/>
  <c r="E131" i="28"/>
  <c r="E130" i="28"/>
  <c r="E129" i="28"/>
  <c r="E133" i="65"/>
  <c r="E132" i="65"/>
  <c r="E131" i="65"/>
  <c r="E130" i="65"/>
  <c r="E129" i="65"/>
  <c r="E133" i="119"/>
  <c r="E132" i="119"/>
  <c r="E131" i="119"/>
  <c r="E130" i="119"/>
  <c r="E129" i="119"/>
  <c r="E133" i="25"/>
  <c r="E132" i="25"/>
  <c r="E131" i="25"/>
  <c r="E130" i="25"/>
  <c r="E129" i="25"/>
  <c r="E133" i="20"/>
  <c r="E132" i="20"/>
  <c r="E131" i="20"/>
  <c r="E130" i="20"/>
  <c r="E129" i="20"/>
  <c r="E133" i="159"/>
  <c r="E132" i="159"/>
  <c r="E131" i="159"/>
  <c r="E130" i="159"/>
  <c r="E129" i="159"/>
  <c r="E133" i="16"/>
  <c r="E132" i="16"/>
  <c r="E131" i="16"/>
  <c r="E130" i="16"/>
  <c r="E129" i="16"/>
  <c r="E133" i="27"/>
  <c r="E132" i="27"/>
  <c r="E131" i="27"/>
  <c r="E130" i="27"/>
  <c r="E129" i="27"/>
  <c r="E133" i="111"/>
  <c r="E132" i="111"/>
  <c r="E131" i="111"/>
  <c r="E130" i="111"/>
  <c r="E129" i="111"/>
  <c r="E133" i="165"/>
  <c r="E132" i="165"/>
  <c r="E131" i="165"/>
  <c r="E130" i="165"/>
  <c r="E129" i="165"/>
  <c r="E133" i="55"/>
  <c r="E132" i="55"/>
  <c r="E131" i="55"/>
  <c r="E130" i="55"/>
  <c r="E129" i="55"/>
  <c r="E133" i="21"/>
  <c r="E132" i="21"/>
  <c r="E131" i="21"/>
  <c r="E130" i="21"/>
  <c r="E129" i="21"/>
  <c r="E133" i="14"/>
  <c r="E132" i="14"/>
  <c r="E131" i="14"/>
  <c r="E130" i="14"/>
  <c r="E129" i="14"/>
  <c r="E133" i="85"/>
  <c r="E132" i="85"/>
  <c r="E131" i="85"/>
  <c r="E130" i="85"/>
  <c r="E129" i="85"/>
  <c r="E133" i="149"/>
  <c r="E132" i="149"/>
  <c r="E131" i="149"/>
  <c r="E130" i="149"/>
  <c r="E129" i="149"/>
  <c r="E133" i="143"/>
  <c r="E132" i="143"/>
  <c r="E131" i="143"/>
  <c r="E130" i="143"/>
  <c r="E129" i="143"/>
  <c r="E133" i="87"/>
  <c r="E132" i="87"/>
  <c r="E131" i="87"/>
  <c r="E130" i="87"/>
  <c r="E129" i="87"/>
  <c r="E133" i="69"/>
  <c r="E132" i="69"/>
  <c r="E131" i="69"/>
  <c r="E130" i="69"/>
  <c r="E129" i="69"/>
  <c r="E133" i="86"/>
  <c r="E132" i="86"/>
  <c r="E131" i="86"/>
  <c r="E130" i="86"/>
  <c r="E129" i="86"/>
  <c r="E133" i="89"/>
  <c r="E132" i="89"/>
  <c r="E131" i="89"/>
  <c r="E130" i="89"/>
  <c r="E129" i="89"/>
  <c r="E133" i="142"/>
  <c r="E132" i="142"/>
  <c r="E131" i="142"/>
  <c r="E130" i="142"/>
  <c r="E129" i="142"/>
  <c r="E133" i="91"/>
  <c r="E132" i="91"/>
  <c r="E131" i="91"/>
  <c r="E130" i="91"/>
  <c r="E129" i="91"/>
  <c r="E133" i="92"/>
  <c r="E132" i="92"/>
  <c r="E131" i="92"/>
  <c r="E130" i="92"/>
  <c r="E129" i="92"/>
  <c r="E133" i="113"/>
  <c r="E132" i="113"/>
  <c r="E131" i="113"/>
  <c r="E130" i="113"/>
  <c r="E129" i="113"/>
  <c r="E133" i="1"/>
  <c r="E132" i="1"/>
  <c r="E131" i="1"/>
  <c r="E130" i="1"/>
  <c r="E129" i="1"/>
  <c r="E133" i="50"/>
  <c r="E132" i="50"/>
  <c r="E131" i="50"/>
  <c r="E130" i="50"/>
  <c r="E129" i="50"/>
  <c r="E133" i="95"/>
  <c r="E132" i="95"/>
  <c r="E131" i="95"/>
  <c r="E130" i="95"/>
  <c r="E129" i="95"/>
  <c r="E133" i="43"/>
  <c r="E132" i="43"/>
  <c r="E131" i="43"/>
  <c r="E130" i="43"/>
  <c r="E129" i="43"/>
  <c r="E127" i="103"/>
  <c r="E126" i="103"/>
  <c r="E125" i="103"/>
  <c r="E124" i="103"/>
  <c r="E123" i="103"/>
  <c r="E127" i="19"/>
  <c r="E126" i="19"/>
  <c r="E125" i="19"/>
  <c r="E124" i="19"/>
  <c r="E123" i="19"/>
  <c r="E127" i="10"/>
  <c r="E126" i="10"/>
  <c r="E125" i="10"/>
  <c r="E124" i="10"/>
  <c r="E123" i="10"/>
  <c r="E127" i="118"/>
  <c r="E126" i="118"/>
  <c r="E125" i="118"/>
  <c r="E124" i="118"/>
  <c r="E123" i="118"/>
  <c r="E127" i="60"/>
  <c r="E126" i="60"/>
  <c r="E125" i="60"/>
  <c r="E124" i="60"/>
  <c r="E123" i="60"/>
  <c r="E127" i="133"/>
  <c r="E126" i="133"/>
  <c r="E125" i="133"/>
  <c r="E124" i="133"/>
  <c r="E123" i="133"/>
  <c r="E127" i="54"/>
  <c r="E126" i="54"/>
  <c r="E125" i="54"/>
  <c r="E124" i="54"/>
  <c r="E123" i="54"/>
  <c r="E127" i="155"/>
  <c r="E126" i="155"/>
  <c r="E125" i="155"/>
  <c r="E124" i="155"/>
  <c r="E123" i="155"/>
  <c r="E127" i="156"/>
  <c r="E126" i="156"/>
  <c r="E125" i="156"/>
  <c r="E124" i="156"/>
  <c r="E123" i="156"/>
  <c r="E127" i="157"/>
  <c r="E126" i="157"/>
  <c r="E125" i="157"/>
  <c r="E124" i="157"/>
  <c r="E123" i="157"/>
  <c r="E127" i="158"/>
  <c r="E126" i="158"/>
  <c r="E125" i="158"/>
  <c r="E124" i="158"/>
  <c r="E123" i="158"/>
  <c r="E127" i="94"/>
  <c r="E126" i="94"/>
  <c r="E125" i="94"/>
  <c r="E124" i="94"/>
  <c r="E123" i="94"/>
  <c r="E127" i="145"/>
  <c r="E126" i="145"/>
  <c r="E125" i="145"/>
  <c r="E124" i="145"/>
  <c r="E123" i="145"/>
  <c r="E127" i="164"/>
  <c r="E126" i="164"/>
  <c r="E125" i="164"/>
  <c r="E124" i="164"/>
  <c r="E123" i="164"/>
  <c r="E127" i="15"/>
  <c r="E126" i="15"/>
  <c r="E125" i="15"/>
  <c r="E124" i="15"/>
  <c r="E123" i="15"/>
  <c r="E127" i="150"/>
  <c r="E126" i="150"/>
  <c r="E125" i="150"/>
  <c r="E124" i="150"/>
  <c r="E123" i="150"/>
  <c r="E127" i="68"/>
  <c r="E126" i="68"/>
  <c r="E125" i="68"/>
  <c r="E124" i="68"/>
  <c r="E123" i="68"/>
  <c r="E127" i="100"/>
  <c r="E126" i="100"/>
  <c r="E125" i="100"/>
  <c r="E124" i="100"/>
  <c r="E123" i="100"/>
  <c r="E127" i="67"/>
  <c r="E126" i="67"/>
  <c r="E125" i="67"/>
  <c r="E124" i="67"/>
  <c r="E123" i="67"/>
  <c r="E127" i="59"/>
  <c r="E126" i="59"/>
  <c r="E125" i="59"/>
  <c r="E124" i="59"/>
  <c r="E123" i="59"/>
  <c r="E127" i="84"/>
  <c r="E126" i="84"/>
  <c r="E125" i="84"/>
  <c r="E124" i="84"/>
  <c r="E123" i="84"/>
  <c r="E127" i="66"/>
  <c r="E126" i="66"/>
  <c r="E125" i="66"/>
  <c r="E124" i="66"/>
  <c r="E123" i="66"/>
  <c r="E127" i="63"/>
  <c r="E126" i="63"/>
  <c r="E125" i="63"/>
  <c r="E124" i="63"/>
  <c r="E123" i="63"/>
  <c r="E127" i="62"/>
  <c r="E126" i="62"/>
  <c r="E125" i="62"/>
  <c r="E124" i="62"/>
  <c r="E123" i="62"/>
  <c r="E127" i="58"/>
  <c r="E126" i="58"/>
  <c r="E125" i="58"/>
  <c r="E124" i="58"/>
  <c r="E123" i="58"/>
  <c r="E127" i="136"/>
  <c r="E126" i="136"/>
  <c r="E125" i="136"/>
  <c r="E124" i="136"/>
  <c r="E123" i="136"/>
  <c r="E127" i="53"/>
  <c r="E126" i="53"/>
  <c r="E125" i="53"/>
  <c r="E124" i="53"/>
  <c r="E123" i="53"/>
  <c r="E127" i="98"/>
  <c r="E126" i="98"/>
  <c r="E125" i="98"/>
  <c r="E124" i="98"/>
  <c r="E123" i="98"/>
  <c r="E127" i="49"/>
  <c r="E126" i="49"/>
  <c r="E125" i="49"/>
  <c r="E124" i="49"/>
  <c r="E123" i="49"/>
  <c r="E127" i="83"/>
  <c r="E126" i="83"/>
  <c r="E125" i="83"/>
  <c r="E124" i="83"/>
  <c r="E123" i="83"/>
  <c r="E127" i="47"/>
  <c r="E126" i="47"/>
  <c r="E125" i="47"/>
  <c r="E124" i="47"/>
  <c r="E123" i="47"/>
  <c r="E127" i="46"/>
  <c r="E126" i="46"/>
  <c r="E125" i="46"/>
  <c r="E124" i="46"/>
  <c r="E123" i="46"/>
  <c r="E127" i="102"/>
  <c r="E126" i="102"/>
  <c r="E125" i="102"/>
  <c r="E124" i="102"/>
  <c r="E123" i="102"/>
  <c r="E127" i="45"/>
  <c r="E126" i="45"/>
  <c r="E125" i="45"/>
  <c r="E124" i="45"/>
  <c r="E123" i="45"/>
  <c r="E127" i="104"/>
  <c r="E126" i="104"/>
  <c r="E125" i="104"/>
  <c r="E124" i="104"/>
  <c r="E123" i="104"/>
  <c r="E127" i="106"/>
  <c r="E126" i="106"/>
  <c r="E125" i="106"/>
  <c r="E124" i="106"/>
  <c r="E123" i="106"/>
  <c r="E127" i="57"/>
  <c r="E126" i="57"/>
  <c r="E125" i="57"/>
  <c r="E124" i="57"/>
  <c r="E123" i="57"/>
  <c r="E127" i="42"/>
  <c r="E126" i="42"/>
  <c r="E125" i="42"/>
  <c r="E124" i="42"/>
  <c r="E123" i="42"/>
  <c r="E127" i="71"/>
  <c r="E126" i="71"/>
  <c r="E125" i="71"/>
  <c r="E124" i="71"/>
  <c r="E123" i="71"/>
  <c r="E127" i="167"/>
  <c r="E126" i="167"/>
  <c r="E125" i="167"/>
  <c r="E124" i="167"/>
  <c r="E123" i="167"/>
  <c r="E127" i="39"/>
  <c r="E126" i="39"/>
  <c r="E125" i="39"/>
  <c r="E124" i="39"/>
  <c r="E123" i="39"/>
  <c r="E127" i="135"/>
  <c r="E126" i="135"/>
  <c r="E125" i="135"/>
  <c r="E124" i="135"/>
  <c r="E123" i="135"/>
  <c r="E127" i="38"/>
  <c r="E126" i="38"/>
  <c r="E125" i="38"/>
  <c r="E124" i="38"/>
  <c r="E123" i="38"/>
  <c r="E127" i="152"/>
  <c r="E126" i="152"/>
  <c r="E125" i="152"/>
  <c r="E124" i="152"/>
  <c r="E123" i="152"/>
  <c r="E127" i="120"/>
  <c r="E126" i="120"/>
  <c r="E125" i="120"/>
  <c r="E124" i="120"/>
  <c r="E123" i="120"/>
  <c r="E127" i="37"/>
  <c r="E126" i="37"/>
  <c r="E125" i="37"/>
  <c r="E124" i="37"/>
  <c r="E123" i="37"/>
  <c r="E127" i="90"/>
  <c r="E126" i="90"/>
  <c r="E125" i="90"/>
  <c r="E124" i="90"/>
  <c r="E123" i="90"/>
  <c r="E127" i="24"/>
  <c r="E126" i="24"/>
  <c r="E125" i="24"/>
  <c r="E124" i="24"/>
  <c r="E123" i="24"/>
  <c r="E127" i="141"/>
  <c r="E126" i="141"/>
  <c r="E125" i="141"/>
  <c r="E124" i="141"/>
  <c r="E123" i="141"/>
  <c r="E127" i="33"/>
  <c r="E126" i="33"/>
  <c r="E125" i="33"/>
  <c r="E124" i="33"/>
  <c r="E123" i="33"/>
  <c r="E127" i="32"/>
  <c r="E126" i="32"/>
  <c r="E125" i="32"/>
  <c r="E124" i="32"/>
  <c r="E123" i="32"/>
  <c r="E127" i="79"/>
  <c r="E126" i="79"/>
  <c r="E125" i="79"/>
  <c r="E124" i="79"/>
  <c r="E123" i="79"/>
  <c r="E127" i="31"/>
  <c r="E126" i="31"/>
  <c r="E125" i="31"/>
  <c r="E124" i="31"/>
  <c r="E123" i="31"/>
  <c r="E127" i="64"/>
  <c r="E126" i="64"/>
  <c r="E125" i="64"/>
  <c r="E124" i="64"/>
  <c r="E123" i="64"/>
  <c r="E127" i="72"/>
  <c r="E126" i="72"/>
  <c r="E125" i="72"/>
  <c r="E124" i="72"/>
  <c r="E123" i="72"/>
  <c r="E127" i="28"/>
  <c r="E126" i="28"/>
  <c r="E125" i="28"/>
  <c r="E124" i="28"/>
  <c r="E123" i="28"/>
  <c r="E127" i="65"/>
  <c r="E126" i="65"/>
  <c r="E125" i="65"/>
  <c r="E124" i="65"/>
  <c r="E123" i="65"/>
  <c r="E127" i="119"/>
  <c r="E126" i="119"/>
  <c r="E125" i="119"/>
  <c r="E124" i="119"/>
  <c r="E123" i="119"/>
  <c r="E127" i="25"/>
  <c r="E126" i="25"/>
  <c r="E125" i="25"/>
  <c r="E124" i="25"/>
  <c r="E123" i="25"/>
  <c r="E127" i="20"/>
  <c r="E126" i="20"/>
  <c r="E125" i="20"/>
  <c r="E124" i="20"/>
  <c r="E123" i="20"/>
  <c r="E127" i="159"/>
  <c r="E126" i="159"/>
  <c r="E125" i="159"/>
  <c r="E124" i="159"/>
  <c r="E123" i="159"/>
  <c r="E127" i="16"/>
  <c r="E126" i="16"/>
  <c r="E125" i="16"/>
  <c r="E124" i="16"/>
  <c r="E123" i="16"/>
  <c r="E127" i="27"/>
  <c r="E126" i="27"/>
  <c r="E125" i="27"/>
  <c r="E124" i="27"/>
  <c r="E123" i="27"/>
  <c r="E127" i="111"/>
  <c r="E126" i="111"/>
  <c r="E125" i="111"/>
  <c r="E124" i="111"/>
  <c r="E123" i="111"/>
  <c r="E127" i="165"/>
  <c r="E126" i="165"/>
  <c r="E125" i="165"/>
  <c r="E124" i="165"/>
  <c r="E123" i="165"/>
  <c r="E127" i="55"/>
  <c r="E126" i="55"/>
  <c r="E125" i="55"/>
  <c r="E124" i="55"/>
  <c r="E123" i="55"/>
  <c r="E127" i="21"/>
  <c r="E126" i="21"/>
  <c r="E125" i="21"/>
  <c r="E124" i="21"/>
  <c r="E123" i="21"/>
  <c r="E127" i="14"/>
  <c r="E126" i="14"/>
  <c r="E125" i="14"/>
  <c r="E124" i="14"/>
  <c r="E123" i="14"/>
  <c r="E127" i="85"/>
  <c r="E126" i="85"/>
  <c r="E125" i="85"/>
  <c r="E124" i="85"/>
  <c r="E123" i="85"/>
  <c r="E127" i="149"/>
  <c r="E126" i="149"/>
  <c r="E125" i="149"/>
  <c r="E124" i="149"/>
  <c r="E123" i="149"/>
  <c r="E127" i="143"/>
  <c r="E126" i="143"/>
  <c r="E125" i="143"/>
  <c r="E124" i="143"/>
  <c r="E123" i="143"/>
  <c r="E127" i="87"/>
  <c r="E126" i="87"/>
  <c r="E125" i="87"/>
  <c r="E124" i="87"/>
  <c r="E123" i="87"/>
  <c r="E127" i="69"/>
  <c r="E126" i="69"/>
  <c r="E125" i="69"/>
  <c r="E124" i="69"/>
  <c r="E123" i="69"/>
  <c r="E127" i="86"/>
  <c r="E126" i="86"/>
  <c r="E125" i="86"/>
  <c r="E124" i="86"/>
  <c r="E123" i="86"/>
  <c r="E127" i="89"/>
  <c r="E126" i="89"/>
  <c r="E125" i="89"/>
  <c r="E124" i="89"/>
  <c r="E123" i="89"/>
  <c r="E127" i="142"/>
  <c r="E126" i="142"/>
  <c r="E125" i="142"/>
  <c r="E124" i="142"/>
  <c r="E123" i="142"/>
  <c r="E127" i="91"/>
  <c r="E126" i="91"/>
  <c r="E125" i="91"/>
  <c r="E124" i="91"/>
  <c r="E123" i="91"/>
  <c r="E127" i="92"/>
  <c r="E126" i="92"/>
  <c r="E125" i="92"/>
  <c r="E124" i="92"/>
  <c r="E123" i="92"/>
  <c r="E127" i="113"/>
  <c r="E126" i="113"/>
  <c r="E125" i="113"/>
  <c r="E124" i="113"/>
  <c r="E123" i="113"/>
  <c r="E127" i="1"/>
  <c r="E126" i="1"/>
  <c r="E125" i="1"/>
  <c r="E124" i="1"/>
  <c r="E123" i="1"/>
  <c r="E127" i="50"/>
  <c r="E126" i="50"/>
  <c r="E125" i="50"/>
  <c r="E124" i="50"/>
  <c r="E123" i="50"/>
  <c r="E127" i="95"/>
  <c r="E126" i="95"/>
  <c r="E125" i="95"/>
  <c r="E124" i="95"/>
  <c r="E123" i="95"/>
  <c r="E127" i="43"/>
  <c r="E126" i="43"/>
  <c r="E125" i="43"/>
  <c r="E124" i="43"/>
  <c r="E123" i="43"/>
  <c r="E118" i="103"/>
  <c r="E117" i="103"/>
  <c r="E116" i="103"/>
  <c r="E115" i="103"/>
  <c r="E114" i="103"/>
  <c r="E118" i="19"/>
  <c r="E117" i="19"/>
  <c r="E116" i="19"/>
  <c r="E115" i="19"/>
  <c r="E114" i="19"/>
  <c r="E118" i="10"/>
  <c r="E117" i="10"/>
  <c r="E116" i="10"/>
  <c r="E115" i="10"/>
  <c r="E114" i="10"/>
  <c r="E118" i="118"/>
  <c r="E117" i="118"/>
  <c r="E116" i="118"/>
  <c r="E115" i="118"/>
  <c r="E114" i="118"/>
  <c r="E118" i="60"/>
  <c r="E117" i="60"/>
  <c r="E116" i="60"/>
  <c r="E115" i="60"/>
  <c r="E114" i="60"/>
  <c r="E118" i="133"/>
  <c r="E117" i="133"/>
  <c r="E116" i="133"/>
  <c r="E115" i="133"/>
  <c r="E114" i="133"/>
  <c r="E118" i="54"/>
  <c r="E117" i="54"/>
  <c r="E116" i="54"/>
  <c r="E115" i="54"/>
  <c r="E114" i="54"/>
  <c r="E118" i="155"/>
  <c r="E117" i="155"/>
  <c r="E116" i="155"/>
  <c r="E115" i="155"/>
  <c r="E114" i="155"/>
  <c r="E118" i="156"/>
  <c r="E117" i="156"/>
  <c r="E116" i="156"/>
  <c r="E115" i="156"/>
  <c r="E114" i="156"/>
  <c r="E118" i="157"/>
  <c r="E117" i="157"/>
  <c r="E116" i="157"/>
  <c r="E115" i="157"/>
  <c r="E114" i="157"/>
  <c r="E118" i="158"/>
  <c r="E117" i="158"/>
  <c r="E116" i="158"/>
  <c r="E115" i="158"/>
  <c r="E114" i="158"/>
  <c r="E118" i="94"/>
  <c r="E117" i="94"/>
  <c r="E116" i="94"/>
  <c r="E115" i="94"/>
  <c r="E114" i="94"/>
  <c r="E118" i="145"/>
  <c r="E117" i="145"/>
  <c r="E116" i="145"/>
  <c r="E115" i="145"/>
  <c r="E114" i="145"/>
  <c r="E118" i="164"/>
  <c r="E117" i="164"/>
  <c r="E116" i="164"/>
  <c r="E115" i="164"/>
  <c r="E114" i="164"/>
  <c r="E118" i="15"/>
  <c r="E117" i="15"/>
  <c r="E116" i="15"/>
  <c r="E115" i="15"/>
  <c r="E114" i="15"/>
  <c r="E118" i="150"/>
  <c r="E117" i="150"/>
  <c r="E116" i="150"/>
  <c r="E115" i="150"/>
  <c r="E114" i="150"/>
  <c r="E118" i="68"/>
  <c r="E117" i="68"/>
  <c r="E116" i="68"/>
  <c r="E115" i="68"/>
  <c r="E114" i="68"/>
  <c r="E118" i="100"/>
  <c r="E117" i="100"/>
  <c r="E116" i="100"/>
  <c r="E115" i="100"/>
  <c r="E114" i="100"/>
  <c r="E118" i="67"/>
  <c r="E117" i="67"/>
  <c r="E116" i="67"/>
  <c r="E115" i="67"/>
  <c r="E114" i="67"/>
  <c r="E118" i="59"/>
  <c r="E117" i="59"/>
  <c r="E116" i="59"/>
  <c r="E115" i="59"/>
  <c r="E114" i="59"/>
  <c r="E118" i="84"/>
  <c r="E117" i="84"/>
  <c r="E116" i="84"/>
  <c r="E115" i="84"/>
  <c r="E114" i="84"/>
  <c r="E118" i="66"/>
  <c r="E117" i="66"/>
  <c r="E116" i="66"/>
  <c r="E115" i="66"/>
  <c r="E114" i="66"/>
  <c r="E118" i="63"/>
  <c r="E117" i="63"/>
  <c r="E116" i="63"/>
  <c r="E115" i="63"/>
  <c r="E114" i="63"/>
  <c r="E118" i="62"/>
  <c r="E117" i="62"/>
  <c r="E116" i="62"/>
  <c r="E115" i="62"/>
  <c r="E114" i="62"/>
  <c r="E118" i="58"/>
  <c r="E117" i="58"/>
  <c r="E116" i="58"/>
  <c r="E115" i="58"/>
  <c r="E114" i="58"/>
  <c r="E118" i="136"/>
  <c r="E117" i="136"/>
  <c r="E116" i="136"/>
  <c r="E115" i="136"/>
  <c r="E114" i="136"/>
  <c r="E118" i="53"/>
  <c r="E117" i="53"/>
  <c r="E116" i="53"/>
  <c r="E115" i="53"/>
  <c r="E114" i="53"/>
  <c r="E118" i="98"/>
  <c r="E117" i="98"/>
  <c r="E116" i="98"/>
  <c r="E115" i="98"/>
  <c r="E114" i="98"/>
  <c r="E118" i="49"/>
  <c r="E117" i="49"/>
  <c r="E116" i="49"/>
  <c r="E115" i="49"/>
  <c r="E114" i="49"/>
  <c r="E118" i="83"/>
  <c r="E117" i="83"/>
  <c r="E116" i="83"/>
  <c r="E115" i="83"/>
  <c r="E114" i="83"/>
  <c r="E118" i="47"/>
  <c r="E117" i="47"/>
  <c r="E116" i="47"/>
  <c r="E115" i="47"/>
  <c r="E114" i="47"/>
  <c r="E118" i="46"/>
  <c r="E117" i="46"/>
  <c r="E116" i="46"/>
  <c r="E115" i="46"/>
  <c r="E114" i="46"/>
  <c r="E118" i="102"/>
  <c r="E117" i="102"/>
  <c r="E116" i="102"/>
  <c r="E115" i="102"/>
  <c r="E114" i="102"/>
  <c r="E118" i="45"/>
  <c r="E117" i="45"/>
  <c r="E116" i="45"/>
  <c r="E115" i="45"/>
  <c r="E114" i="45"/>
  <c r="E118" i="104"/>
  <c r="E117" i="104"/>
  <c r="E116" i="104"/>
  <c r="E115" i="104"/>
  <c r="E114" i="104"/>
  <c r="E118" i="106"/>
  <c r="E117" i="106"/>
  <c r="E116" i="106"/>
  <c r="E115" i="106"/>
  <c r="E114" i="106"/>
  <c r="E118" i="57"/>
  <c r="E117" i="57"/>
  <c r="E116" i="57"/>
  <c r="E115" i="57"/>
  <c r="E114" i="57"/>
  <c r="E118" i="42"/>
  <c r="E117" i="42"/>
  <c r="E116" i="42"/>
  <c r="E115" i="42"/>
  <c r="E114" i="42"/>
  <c r="E118" i="71"/>
  <c r="E117" i="71"/>
  <c r="E116" i="71"/>
  <c r="E115" i="71"/>
  <c r="E114" i="71"/>
  <c r="E118" i="167"/>
  <c r="E117" i="167"/>
  <c r="E116" i="167"/>
  <c r="E115" i="167"/>
  <c r="E114" i="167"/>
  <c r="E118" i="39"/>
  <c r="E117" i="39"/>
  <c r="E116" i="39"/>
  <c r="E115" i="39"/>
  <c r="E114" i="39"/>
  <c r="E118" i="135"/>
  <c r="E117" i="135"/>
  <c r="E116" i="135"/>
  <c r="E115" i="135"/>
  <c r="E114" i="135"/>
  <c r="E118" i="38"/>
  <c r="E117" i="38"/>
  <c r="E116" i="38"/>
  <c r="E115" i="38"/>
  <c r="E114" i="38"/>
  <c r="E118" i="152"/>
  <c r="E117" i="152"/>
  <c r="E116" i="152"/>
  <c r="E115" i="152"/>
  <c r="E114" i="152"/>
  <c r="E118" i="120"/>
  <c r="E117" i="120"/>
  <c r="E116" i="120"/>
  <c r="E115" i="120"/>
  <c r="E114" i="120"/>
  <c r="E118" i="37"/>
  <c r="E117" i="37"/>
  <c r="E116" i="37"/>
  <c r="E115" i="37"/>
  <c r="E114" i="37"/>
  <c r="E118" i="90"/>
  <c r="E117" i="90"/>
  <c r="E116" i="90"/>
  <c r="E115" i="90"/>
  <c r="E114" i="90"/>
  <c r="E118" i="24"/>
  <c r="E117" i="24"/>
  <c r="E116" i="24"/>
  <c r="E115" i="24"/>
  <c r="E114" i="24"/>
  <c r="E118" i="141"/>
  <c r="E117" i="141"/>
  <c r="E116" i="141"/>
  <c r="E115" i="141"/>
  <c r="E114" i="141"/>
  <c r="E118" i="33"/>
  <c r="E117" i="33"/>
  <c r="E116" i="33"/>
  <c r="E115" i="33"/>
  <c r="E114" i="33"/>
  <c r="E118" i="32"/>
  <c r="E117" i="32"/>
  <c r="E116" i="32"/>
  <c r="E115" i="32"/>
  <c r="E114" i="32"/>
  <c r="E118" i="79"/>
  <c r="E117" i="79"/>
  <c r="E116" i="79"/>
  <c r="E115" i="79"/>
  <c r="E114" i="79"/>
  <c r="E118" i="31"/>
  <c r="E117" i="31"/>
  <c r="E116" i="31"/>
  <c r="E115" i="31"/>
  <c r="E114" i="31"/>
  <c r="E118" i="64"/>
  <c r="E117" i="64"/>
  <c r="E116" i="64"/>
  <c r="E115" i="64"/>
  <c r="E114" i="64"/>
  <c r="E118" i="72"/>
  <c r="E117" i="72"/>
  <c r="E116" i="72"/>
  <c r="E115" i="72"/>
  <c r="E114" i="72"/>
  <c r="E118" i="28"/>
  <c r="E117" i="28"/>
  <c r="E116" i="28"/>
  <c r="E115" i="28"/>
  <c r="E114" i="28"/>
  <c r="E118" i="65"/>
  <c r="E117" i="65"/>
  <c r="E116" i="65"/>
  <c r="E115" i="65"/>
  <c r="E114" i="65"/>
  <c r="E118" i="119"/>
  <c r="E117" i="119"/>
  <c r="E116" i="119"/>
  <c r="E115" i="119"/>
  <c r="E114" i="119"/>
  <c r="E118" i="25"/>
  <c r="E117" i="25"/>
  <c r="E116" i="25"/>
  <c r="E115" i="25"/>
  <c r="E114" i="25"/>
  <c r="E118" i="20"/>
  <c r="E117" i="20"/>
  <c r="E116" i="20"/>
  <c r="E115" i="20"/>
  <c r="E114" i="20"/>
  <c r="E118" i="159"/>
  <c r="E117" i="159"/>
  <c r="E116" i="159"/>
  <c r="E115" i="159"/>
  <c r="E114" i="159"/>
  <c r="E118" i="16"/>
  <c r="E117" i="16"/>
  <c r="E116" i="16"/>
  <c r="E115" i="16"/>
  <c r="E114" i="16"/>
  <c r="E118" i="27"/>
  <c r="E117" i="27"/>
  <c r="E116" i="27"/>
  <c r="E115" i="27"/>
  <c r="E114" i="27"/>
  <c r="E118" i="111"/>
  <c r="E117" i="111"/>
  <c r="E116" i="111"/>
  <c r="E115" i="111"/>
  <c r="E114" i="111"/>
  <c r="E118" i="165"/>
  <c r="E117" i="165"/>
  <c r="E116" i="165"/>
  <c r="E115" i="165"/>
  <c r="E114" i="165"/>
  <c r="E118" i="55"/>
  <c r="E117" i="55"/>
  <c r="E116" i="55"/>
  <c r="E115" i="55"/>
  <c r="E114" i="55"/>
  <c r="E118" i="21"/>
  <c r="E117" i="21"/>
  <c r="E116" i="21"/>
  <c r="E115" i="21"/>
  <c r="E114" i="21"/>
  <c r="E118" i="14"/>
  <c r="E117" i="14"/>
  <c r="E116" i="14"/>
  <c r="E115" i="14"/>
  <c r="E114" i="14"/>
  <c r="E118" i="85"/>
  <c r="E117" i="85"/>
  <c r="E116" i="85"/>
  <c r="E115" i="85"/>
  <c r="E114" i="85"/>
  <c r="E118" i="149"/>
  <c r="E117" i="149"/>
  <c r="E116" i="149"/>
  <c r="E115" i="149"/>
  <c r="E114" i="149"/>
  <c r="E118" i="143"/>
  <c r="E117" i="143"/>
  <c r="E116" i="143"/>
  <c r="E115" i="143"/>
  <c r="E114" i="143"/>
  <c r="E118" i="87"/>
  <c r="E117" i="87"/>
  <c r="E116" i="87"/>
  <c r="E115" i="87"/>
  <c r="E114" i="87"/>
  <c r="E118" i="69"/>
  <c r="E117" i="69"/>
  <c r="E116" i="69"/>
  <c r="E115" i="69"/>
  <c r="E114" i="69"/>
  <c r="E118" i="86"/>
  <c r="E117" i="86"/>
  <c r="E116" i="86"/>
  <c r="E115" i="86"/>
  <c r="E114" i="86"/>
  <c r="E118" i="89"/>
  <c r="E117" i="89"/>
  <c r="E116" i="89"/>
  <c r="E115" i="89"/>
  <c r="E114" i="89"/>
  <c r="E118" i="142"/>
  <c r="E117" i="142"/>
  <c r="E116" i="142"/>
  <c r="E115" i="142"/>
  <c r="E114" i="142"/>
  <c r="E118" i="91"/>
  <c r="E117" i="91"/>
  <c r="E116" i="91"/>
  <c r="E115" i="91"/>
  <c r="E114" i="91"/>
  <c r="E118" i="92"/>
  <c r="E117" i="92"/>
  <c r="E116" i="92"/>
  <c r="E115" i="92"/>
  <c r="E114" i="92"/>
  <c r="E118" i="113"/>
  <c r="E117" i="113"/>
  <c r="E116" i="113"/>
  <c r="E115" i="113"/>
  <c r="E114" i="113"/>
  <c r="E118" i="1"/>
  <c r="E117" i="1"/>
  <c r="E116" i="1"/>
  <c r="E115" i="1"/>
  <c r="E114" i="1"/>
  <c r="E118" i="50"/>
  <c r="E117" i="50"/>
  <c r="E116" i="50"/>
  <c r="E115" i="50"/>
  <c r="E114" i="50"/>
  <c r="E118" i="95"/>
  <c r="E117" i="95"/>
  <c r="E116" i="95"/>
  <c r="E115" i="95"/>
  <c r="E114" i="95"/>
  <c r="E118" i="43"/>
  <c r="E117" i="43"/>
  <c r="E116" i="43"/>
  <c r="E115" i="43"/>
  <c r="E114" i="43"/>
  <c r="E110" i="103"/>
  <c r="E109" i="103"/>
  <c r="E108" i="103"/>
  <c r="E107" i="103"/>
  <c r="E106" i="103"/>
  <c r="E105" i="103"/>
  <c r="E110" i="19"/>
  <c r="E109" i="19"/>
  <c r="E108" i="19"/>
  <c r="E107" i="19"/>
  <c r="E106" i="19"/>
  <c r="E105" i="19"/>
  <c r="E110" i="10"/>
  <c r="E109" i="10"/>
  <c r="E108" i="10"/>
  <c r="E107" i="10"/>
  <c r="E106" i="10"/>
  <c r="E105" i="10"/>
  <c r="E110" i="118"/>
  <c r="E109" i="118"/>
  <c r="E108" i="118"/>
  <c r="E107" i="118"/>
  <c r="E106" i="118"/>
  <c r="E105" i="118"/>
  <c r="E110" i="60"/>
  <c r="E109" i="60"/>
  <c r="E108" i="60"/>
  <c r="E107" i="60"/>
  <c r="E106" i="60"/>
  <c r="E105" i="60"/>
  <c r="E110" i="133"/>
  <c r="E109" i="133"/>
  <c r="E108" i="133"/>
  <c r="E107" i="133"/>
  <c r="E106" i="133"/>
  <c r="E105" i="133"/>
  <c r="E110" i="54"/>
  <c r="E109" i="54"/>
  <c r="E108" i="54"/>
  <c r="E107" i="54"/>
  <c r="E106" i="54"/>
  <c r="E105" i="54"/>
  <c r="E110" i="155"/>
  <c r="E109" i="155"/>
  <c r="E108" i="155"/>
  <c r="E107" i="155"/>
  <c r="E106" i="155"/>
  <c r="E105" i="155"/>
  <c r="E110" i="156"/>
  <c r="E109" i="156"/>
  <c r="E108" i="156"/>
  <c r="E107" i="156"/>
  <c r="E106" i="156"/>
  <c r="E105" i="156"/>
  <c r="E110" i="157"/>
  <c r="E109" i="157"/>
  <c r="E108" i="157"/>
  <c r="E107" i="157"/>
  <c r="E106" i="157"/>
  <c r="E105" i="157"/>
  <c r="E110" i="158"/>
  <c r="E109" i="158"/>
  <c r="E108" i="158"/>
  <c r="E107" i="158"/>
  <c r="E106" i="158"/>
  <c r="E105" i="158"/>
  <c r="E110" i="94"/>
  <c r="E109" i="94"/>
  <c r="E108" i="94"/>
  <c r="E107" i="94"/>
  <c r="E106" i="94"/>
  <c r="E105" i="94"/>
  <c r="E110" i="145"/>
  <c r="E109" i="145"/>
  <c r="E108" i="145"/>
  <c r="E107" i="145"/>
  <c r="E106" i="145"/>
  <c r="E105" i="145"/>
  <c r="E110" i="164"/>
  <c r="E109" i="164"/>
  <c r="E108" i="164"/>
  <c r="E107" i="164"/>
  <c r="E106" i="164"/>
  <c r="E105" i="164"/>
  <c r="E110" i="15"/>
  <c r="E109" i="15"/>
  <c r="E108" i="15"/>
  <c r="E107" i="15"/>
  <c r="E106" i="15"/>
  <c r="E105" i="15"/>
  <c r="E110" i="150"/>
  <c r="E109" i="150"/>
  <c r="E108" i="150"/>
  <c r="E107" i="150"/>
  <c r="E106" i="150"/>
  <c r="E105" i="150"/>
  <c r="E110" i="68"/>
  <c r="E109" i="68"/>
  <c r="E108" i="68"/>
  <c r="E107" i="68"/>
  <c r="E106" i="68"/>
  <c r="E105" i="68"/>
  <c r="E110" i="100"/>
  <c r="E109" i="100"/>
  <c r="E108" i="100"/>
  <c r="E107" i="100"/>
  <c r="E106" i="100"/>
  <c r="E105" i="100"/>
  <c r="E110" i="67"/>
  <c r="E109" i="67"/>
  <c r="E108" i="67"/>
  <c r="E107" i="67"/>
  <c r="E106" i="67"/>
  <c r="E105" i="67"/>
  <c r="E110" i="59"/>
  <c r="E109" i="59"/>
  <c r="E108" i="59"/>
  <c r="E107" i="59"/>
  <c r="E106" i="59"/>
  <c r="E105" i="59"/>
  <c r="E110" i="84"/>
  <c r="E109" i="84"/>
  <c r="E108" i="84"/>
  <c r="E107" i="84"/>
  <c r="E106" i="84"/>
  <c r="E105" i="84"/>
  <c r="E110" i="66"/>
  <c r="E109" i="66"/>
  <c r="E108" i="66"/>
  <c r="E107" i="66"/>
  <c r="E106" i="66"/>
  <c r="E105" i="66"/>
  <c r="E110" i="63"/>
  <c r="E109" i="63"/>
  <c r="E108" i="63"/>
  <c r="E107" i="63"/>
  <c r="E106" i="63"/>
  <c r="E105" i="63"/>
  <c r="E110" i="62"/>
  <c r="E109" i="62"/>
  <c r="E108" i="62"/>
  <c r="E107" i="62"/>
  <c r="E106" i="62"/>
  <c r="E105" i="62"/>
  <c r="E110" i="58"/>
  <c r="E109" i="58"/>
  <c r="E108" i="58"/>
  <c r="E107" i="58"/>
  <c r="E106" i="58"/>
  <c r="E105" i="58"/>
  <c r="E110" i="136"/>
  <c r="E109" i="136"/>
  <c r="E108" i="136"/>
  <c r="E107" i="136"/>
  <c r="E106" i="136"/>
  <c r="E105" i="136"/>
  <c r="E110" i="53"/>
  <c r="E109" i="53"/>
  <c r="E108" i="53"/>
  <c r="E107" i="53"/>
  <c r="E106" i="53"/>
  <c r="E105" i="53"/>
  <c r="E110" i="98"/>
  <c r="E109" i="98"/>
  <c r="E108" i="98"/>
  <c r="E107" i="98"/>
  <c r="E106" i="98"/>
  <c r="E105" i="98"/>
  <c r="E110" i="49"/>
  <c r="E109" i="49"/>
  <c r="E108" i="49"/>
  <c r="E107" i="49"/>
  <c r="E106" i="49"/>
  <c r="E105" i="49"/>
  <c r="E110" i="83"/>
  <c r="E109" i="83"/>
  <c r="E108" i="83"/>
  <c r="E107" i="83"/>
  <c r="E106" i="83"/>
  <c r="E105" i="83"/>
  <c r="E110" i="47"/>
  <c r="E109" i="47"/>
  <c r="E108" i="47"/>
  <c r="E107" i="47"/>
  <c r="E106" i="47"/>
  <c r="E105" i="47"/>
  <c r="E110" i="46"/>
  <c r="E109" i="46"/>
  <c r="E108" i="46"/>
  <c r="E107" i="46"/>
  <c r="E106" i="46"/>
  <c r="E105" i="46"/>
  <c r="E110" i="102"/>
  <c r="E109" i="102"/>
  <c r="E108" i="102"/>
  <c r="E107" i="102"/>
  <c r="E106" i="102"/>
  <c r="E105" i="102"/>
  <c r="E110" i="45"/>
  <c r="E109" i="45"/>
  <c r="E108" i="45"/>
  <c r="E107" i="45"/>
  <c r="E106" i="45"/>
  <c r="E105" i="45"/>
  <c r="E110" i="104"/>
  <c r="E109" i="104"/>
  <c r="E108" i="104"/>
  <c r="E107" i="104"/>
  <c r="E106" i="104"/>
  <c r="E105" i="104"/>
  <c r="E110" i="106"/>
  <c r="E109" i="106"/>
  <c r="E108" i="106"/>
  <c r="E107" i="106"/>
  <c r="E106" i="106"/>
  <c r="E105" i="106"/>
  <c r="E110" i="57"/>
  <c r="E109" i="57"/>
  <c r="E108" i="57"/>
  <c r="E107" i="57"/>
  <c r="E106" i="57"/>
  <c r="E105" i="57"/>
  <c r="E110" i="42"/>
  <c r="E109" i="42"/>
  <c r="E108" i="42"/>
  <c r="E107" i="42"/>
  <c r="E106" i="42"/>
  <c r="E105" i="42"/>
  <c r="E110" i="71"/>
  <c r="E109" i="71"/>
  <c r="E108" i="71"/>
  <c r="E107" i="71"/>
  <c r="E106" i="71"/>
  <c r="E105" i="71"/>
  <c r="E110" i="167"/>
  <c r="E109" i="167"/>
  <c r="E108" i="167"/>
  <c r="E107" i="167"/>
  <c r="E106" i="167"/>
  <c r="E105" i="167"/>
  <c r="E110" i="39"/>
  <c r="E109" i="39"/>
  <c r="E108" i="39"/>
  <c r="E107" i="39"/>
  <c r="E106" i="39"/>
  <c r="E105" i="39"/>
  <c r="E110" i="135"/>
  <c r="E109" i="135"/>
  <c r="E108" i="135"/>
  <c r="E107" i="135"/>
  <c r="E106" i="135"/>
  <c r="E105" i="135"/>
  <c r="E110" i="38"/>
  <c r="E109" i="38"/>
  <c r="E108" i="38"/>
  <c r="E107" i="38"/>
  <c r="E106" i="38"/>
  <c r="E105" i="38"/>
  <c r="E110" i="152"/>
  <c r="E109" i="152"/>
  <c r="E108" i="152"/>
  <c r="E107" i="152"/>
  <c r="E106" i="152"/>
  <c r="E105" i="152"/>
  <c r="E110" i="120"/>
  <c r="E109" i="120"/>
  <c r="E108" i="120"/>
  <c r="E107" i="120"/>
  <c r="E106" i="120"/>
  <c r="E105" i="120"/>
  <c r="E110" i="37"/>
  <c r="E109" i="37"/>
  <c r="E108" i="37"/>
  <c r="E107" i="37"/>
  <c r="E106" i="37"/>
  <c r="E105" i="37"/>
  <c r="E110" i="90"/>
  <c r="E109" i="90"/>
  <c r="E108" i="90"/>
  <c r="E107" i="90"/>
  <c r="E106" i="90"/>
  <c r="E105" i="90"/>
  <c r="E110" i="24"/>
  <c r="E109" i="24"/>
  <c r="E108" i="24"/>
  <c r="E107" i="24"/>
  <c r="E106" i="24"/>
  <c r="E105" i="24"/>
  <c r="E110" i="141"/>
  <c r="E109" i="141"/>
  <c r="E108" i="141"/>
  <c r="E107" i="141"/>
  <c r="E106" i="141"/>
  <c r="E105" i="141"/>
  <c r="E110" i="33"/>
  <c r="E109" i="33"/>
  <c r="E108" i="33"/>
  <c r="E107" i="33"/>
  <c r="E106" i="33"/>
  <c r="E105" i="33"/>
  <c r="E110" i="32"/>
  <c r="E109" i="32"/>
  <c r="E108" i="32"/>
  <c r="E107" i="32"/>
  <c r="E106" i="32"/>
  <c r="E105" i="32"/>
  <c r="E110" i="79"/>
  <c r="E109" i="79"/>
  <c r="E108" i="79"/>
  <c r="E107" i="79"/>
  <c r="E106" i="79"/>
  <c r="E105" i="79"/>
  <c r="E110" i="31"/>
  <c r="E109" i="31"/>
  <c r="E108" i="31"/>
  <c r="E107" i="31"/>
  <c r="E106" i="31"/>
  <c r="E105" i="31"/>
  <c r="E110" i="64"/>
  <c r="E109" i="64"/>
  <c r="E108" i="64"/>
  <c r="E107" i="64"/>
  <c r="E106" i="64"/>
  <c r="E105" i="64"/>
  <c r="E110" i="72"/>
  <c r="E109" i="72"/>
  <c r="E108" i="72"/>
  <c r="E107" i="72"/>
  <c r="E106" i="72"/>
  <c r="E105" i="72"/>
  <c r="E110" i="28"/>
  <c r="E109" i="28"/>
  <c r="E108" i="28"/>
  <c r="E107" i="28"/>
  <c r="E106" i="28"/>
  <c r="E105" i="28"/>
  <c r="E110" i="65"/>
  <c r="E109" i="65"/>
  <c r="E108" i="65"/>
  <c r="E107" i="65"/>
  <c r="E106" i="65"/>
  <c r="E105" i="65"/>
  <c r="E110" i="119"/>
  <c r="E109" i="119"/>
  <c r="E108" i="119"/>
  <c r="E107" i="119"/>
  <c r="E106" i="119"/>
  <c r="E105" i="119"/>
  <c r="E110" i="25"/>
  <c r="E109" i="25"/>
  <c r="E108" i="25"/>
  <c r="E107" i="25"/>
  <c r="E106" i="25"/>
  <c r="E105" i="25"/>
  <c r="E110" i="20"/>
  <c r="E109" i="20"/>
  <c r="E108" i="20"/>
  <c r="E107" i="20"/>
  <c r="E106" i="20"/>
  <c r="E105" i="20"/>
  <c r="E110" i="159"/>
  <c r="E109" i="159"/>
  <c r="E108" i="159"/>
  <c r="E107" i="159"/>
  <c r="E106" i="159"/>
  <c r="E105" i="159"/>
  <c r="E110" i="16"/>
  <c r="E109" i="16"/>
  <c r="E108" i="16"/>
  <c r="E107" i="16"/>
  <c r="E106" i="16"/>
  <c r="E105" i="16"/>
  <c r="E110" i="27"/>
  <c r="E109" i="27"/>
  <c r="E108" i="27"/>
  <c r="E107" i="27"/>
  <c r="E106" i="27"/>
  <c r="E105" i="27"/>
  <c r="E110" i="111"/>
  <c r="E109" i="111"/>
  <c r="E108" i="111"/>
  <c r="E107" i="111"/>
  <c r="E106" i="111"/>
  <c r="E105" i="111"/>
  <c r="E110" i="165"/>
  <c r="E109" i="165"/>
  <c r="E108" i="165"/>
  <c r="E107" i="165"/>
  <c r="E106" i="165"/>
  <c r="E105" i="165"/>
  <c r="E110" i="55"/>
  <c r="E109" i="55"/>
  <c r="E108" i="55"/>
  <c r="E107" i="55"/>
  <c r="E106" i="55"/>
  <c r="E105" i="55"/>
  <c r="E110" i="21"/>
  <c r="E109" i="21"/>
  <c r="E108" i="21"/>
  <c r="E107" i="21"/>
  <c r="E106" i="21"/>
  <c r="E105" i="21"/>
  <c r="E110" i="14"/>
  <c r="E109" i="14"/>
  <c r="E108" i="14"/>
  <c r="E107" i="14"/>
  <c r="E106" i="14"/>
  <c r="E105" i="14"/>
  <c r="E110" i="85"/>
  <c r="E109" i="85"/>
  <c r="E108" i="85"/>
  <c r="E107" i="85"/>
  <c r="E106" i="85"/>
  <c r="E105" i="85"/>
  <c r="E110" i="149"/>
  <c r="E109" i="149"/>
  <c r="E108" i="149"/>
  <c r="E107" i="149"/>
  <c r="E106" i="149"/>
  <c r="E105" i="149"/>
  <c r="E110" i="143"/>
  <c r="E109" i="143"/>
  <c r="E108" i="143"/>
  <c r="E107" i="143"/>
  <c r="E106" i="143"/>
  <c r="E105" i="143"/>
  <c r="E110" i="87"/>
  <c r="E109" i="87"/>
  <c r="E108" i="87"/>
  <c r="E107" i="87"/>
  <c r="E106" i="87"/>
  <c r="E105" i="87"/>
  <c r="E110" i="69"/>
  <c r="E109" i="69"/>
  <c r="E108" i="69"/>
  <c r="E107" i="69"/>
  <c r="E106" i="69"/>
  <c r="E105" i="69"/>
  <c r="E110" i="86"/>
  <c r="E109" i="86"/>
  <c r="E108" i="86"/>
  <c r="E107" i="86"/>
  <c r="E106" i="86"/>
  <c r="E105" i="86"/>
  <c r="E110" i="89"/>
  <c r="E109" i="89"/>
  <c r="E108" i="89"/>
  <c r="E107" i="89"/>
  <c r="E106" i="89"/>
  <c r="E105" i="89"/>
  <c r="E110" i="142"/>
  <c r="E109" i="142"/>
  <c r="E108" i="142"/>
  <c r="E107" i="142"/>
  <c r="E106" i="142"/>
  <c r="E105" i="142"/>
  <c r="E110" i="91"/>
  <c r="E109" i="91"/>
  <c r="E108" i="91"/>
  <c r="E107" i="91"/>
  <c r="E106" i="91"/>
  <c r="E105" i="91"/>
  <c r="E110" i="92"/>
  <c r="E109" i="92"/>
  <c r="E108" i="92"/>
  <c r="E107" i="92"/>
  <c r="E106" i="92"/>
  <c r="E105" i="92"/>
  <c r="E110" i="113"/>
  <c r="E109" i="113"/>
  <c r="E108" i="113"/>
  <c r="E107" i="113"/>
  <c r="E106" i="113"/>
  <c r="E105" i="113"/>
  <c r="E110" i="1"/>
  <c r="E109" i="1"/>
  <c r="E108" i="1"/>
  <c r="E107" i="1"/>
  <c r="E106" i="1"/>
  <c r="E105" i="1"/>
  <c r="E110" i="50"/>
  <c r="E109" i="50"/>
  <c r="E108" i="50"/>
  <c r="E107" i="50"/>
  <c r="E106" i="50"/>
  <c r="E105" i="50"/>
  <c r="E110" i="95"/>
  <c r="E109" i="95"/>
  <c r="E108" i="95"/>
  <c r="E107" i="95"/>
  <c r="E106" i="95"/>
  <c r="E105" i="95"/>
  <c r="E110" i="43"/>
  <c r="E109" i="43"/>
  <c r="E108" i="43"/>
  <c r="E107" i="43"/>
  <c r="E106" i="43"/>
  <c r="E105" i="43"/>
  <c r="F119" i="103"/>
  <c r="F119" i="19"/>
  <c r="F119" i="118"/>
  <c r="F119" i="60"/>
  <c r="F119" i="54"/>
  <c r="F119" i="155"/>
  <c r="F119" i="156"/>
  <c r="F119" i="157"/>
  <c r="F119" i="158"/>
  <c r="F119" i="94"/>
  <c r="F119" i="100"/>
  <c r="F119" i="59"/>
  <c r="F119" i="58"/>
  <c r="F119" i="53"/>
  <c r="F119" i="98"/>
  <c r="F119" i="49"/>
  <c r="F119" i="47"/>
  <c r="F119" i="46"/>
  <c r="F119" i="104"/>
  <c r="F119" i="106"/>
  <c r="F119" i="57"/>
  <c r="F119" i="42"/>
  <c r="F119" i="71"/>
  <c r="F119" i="39"/>
  <c r="F119" i="37"/>
  <c r="F119" i="90"/>
  <c r="F119" i="24"/>
  <c r="F119" i="141"/>
  <c r="F119" i="79"/>
  <c r="F119" i="31"/>
  <c r="F119" i="64"/>
  <c r="F119" i="72"/>
  <c r="F119" i="28"/>
  <c r="F119" i="65"/>
  <c r="F119" i="119"/>
  <c r="F119" i="25"/>
  <c r="F119" i="20"/>
  <c r="F119" i="16"/>
  <c r="F119" i="165"/>
  <c r="F119" i="55"/>
  <c r="F119" i="21"/>
  <c r="F119" i="14"/>
  <c r="F119" i="85"/>
  <c r="F119" i="87"/>
  <c r="F119" i="69"/>
  <c r="F119" i="86"/>
  <c r="F119" i="142"/>
  <c r="F119" i="91"/>
  <c r="F119" i="92"/>
  <c r="F119" i="113"/>
  <c r="F119" i="1"/>
  <c r="F119" i="50"/>
  <c r="F119" i="95"/>
  <c r="F119" i="43"/>
  <c r="F111" i="103"/>
  <c r="F111" i="19"/>
  <c r="F111" i="118"/>
  <c r="F111" i="60"/>
  <c r="F111" i="54"/>
  <c r="F111" i="155"/>
  <c r="F111" i="156"/>
  <c r="F111" i="157"/>
  <c r="F111" i="158"/>
  <c r="F111" i="94"/>
  <c r="F111" i="100"/>
  <c r="F111" i="59"/>
  <c r="F111" i="58"/>
  <c r="F111" i="53"/>
  <c r="F111" i="98"/>
  <c r="F111" i="49"/>
  <c r="F111" i="47"/>
  <c r="F111" i="46"/>
  <c r="F111" i="104"/>
  <c r="F111" i="106"/>
  <c r="F111" i="57"/>
  <c r="F111" i="42"/>
  <c r="F111" i="71"/>
  <c r="F111" i="39"/>
  <c r="F111" i="37"/>
  <c r="F111" i="90"/>
  <c r="F111" i="24"/>
  <c r="F111" i="141"/>
  <c r="F111" i="79"/>
  <c r="F111" i="31"/>
  <c r="F111" i="64"/>
  <c r="F111" i="72"/>
  <c r="F111" i="28"/>
  <c r="F111" i="65"/>
  <c r="F111" i="119"/>
  <c r="F111" i="25"/>
  <c r="F111" i="20"/>
  <c r="F111" i="16"/>
  <c r="F111" i="165"/>
  <c r="F111" i="55"/>
  <c r="F111" i="21"/>
  <c r="F111" i="14"/>
  <c r="F111" i="85"/>
  <c r="F111" i="87"/>
  <c r="F111" i="69"/>
  <c r="F111" i="86"/>
  <c r="F111" i="142"/>
  <c r="F111" i="91"/>
  <c r="F111" i="92"/>
  <c r="F111" i="113"/>
  <c r="F111" i="1"/>
  <c r="F111" i="50"/>
  <c r="F111" i="95"/>
  <c r="F111" i="43"/>
  <c r="F102" i="103"/>
  <c r="F102" i="19"/>
  <c r="F102" i="118"/>
  <c r="F102" i="60"/>
  <c r="F102" i="54"/>
  <c r="F102" i="155"/>
  <c r="F102" i="156"/>
  <c r="F102" i="157"/>
  <c r="F102" i="158"/>
  <c r="F102" i="94"/>
  <c r="F102" i="100"/>
  <c r="F102" i="59"/>
  <c r="F102" i="58"/>
  <c r="F102" i="53"/>
  <c r="F102" i="98"/>
  <c r="F102" i="49"/>
  <c r="F102" i="47"/>
  <c r="F102" i="46"/>
  <c r="F102" i="104"/>
  <c r="F102" i="106"/>
  <c r="F102" i="57"/>
  <c r="F102" i="42"/>
  <c r="F102" i="71"/>
  <c r="F102" i="39"/>
  <c r="F102" i="37"/>
  <c r="F102" i="90"/>
  <c r="F102" i="24"/>
  <c r="F102" i="141"/>
  <c r="F102" i="79"/>
  <c r="F102" i="31"/>
  <c r="F102" i="64"/>
  <c r="F102" i="72"/>
  <c r="F102" i="28"/>
  <c r="F102" i="65"/>
  <c r="F102" i="119"/>
  <c r="F102" i="25"/>
  <c r="F102" i="20"/>
  <c r="F102" i="16"/>
  <c r="F102" i="165"/>
  <c r="F102" i="55"/>
  <c r="F102" i="21"/>
  <c r="F102" i="14"/>
  <c r="F102" i="85"/>
  <c r="F102" i="87"/>
  <c r="F102" i="69"/>
  <c r="F102" i="86"/>
  <c r="F102" i="142"/>
  <c r="F102" i="91"/>
  <c r="F102" i="92"/>
  <c r="F102" i="113"/>
  <c r="F102" i="1"/>
  <c r="F102" i="50"/>
  <c r="F102" i="95"/>
  <c r="F102" i="43"/>
  <c r="E101" i="103"/>
  <c r="E100" i="103"/>
  <c r="E99" i="103"/>
  <c r="E98" i="103"/>
  <c r="E97" i="103"/>
  <c r="E96" i="103"/>
  <c r="E101" i="19"/>
  <c r="E100" i="19"/>
  <c r="E99" i="19"/>
  <c r="E98" i="19"/>
  <c r="E97" i="19"/>
  <c r="E96" i="19"/>
  <c r="E101" i="10"/>
  <c r="E100" i="10"/>
  <c r="E99" i="10"/>
  <c r="E98" i="10"/>
  <c r="E97" i="10"/>
  <c r="E96" i="10"/>
  <c r="E101" i="118"/>
  <c r="E100" i="118"/>
  <c r="E99" i="118"/>
  <c r="E98" i="118"/>
  <c r="E97" i="118"/>
  <c r="E96" i="118"/>
  <c r="E101" i="60"/>
  <c r="E100" i="60"/>
  <c r="E99" i="60"/>
  <c r="E98" i="60"/>
  <c r="E97" i="60"/>
  <c r="E96" i="60"/>
  <c r="E101" i="133"/>
  <c r="E100" i="133"/>
  <c r="E99" i="133"/>
  <c r="E98" i="133"/>
  <c r="E97" i="133"/>
  <c r="E96" i="133"/>
  <c r="E101" i="54"/>
  <c r="E100" i="54"/>
  <c r="E99" i="54"/>
  <c r="E98" i="54"/>
  <c r="E97" i="54"/>
  <c r="E96" i="54"/>
  <c r="E101" i="155"/>
  <c r="E100" i="155"/>
  <c r="E99" i="155"/>
  <c r="E98" i="155"/>
  <c r="E97" i="155"/>
  <c r="E96" i="155"/>
  <c r="E101" i="156"/>
  <c r="E100" i="156"/>
  <c r="E99" i="156"/>
  <c r="E98" i="156"/>
  <c r="E97" i="156"/>
  <c r="E96" i="156"/>
  <c r="E101" i="157"/>
  <c r="E100" i="157"/>
  <c r="E99" i="157"/>
  <c r="E98" i="157"/>
  <c r="E97" i="157"/>
  <c r="E96" i="157"/>
  <c r="E101" i="158"/>
  <c r="E100" i="158"/>
  <c r="E99" i="158"/>
  <c r="E98" i="158"/>
  <c r="E97" i="158"/>
  <c r="E96" i="158"/>
  <c r="E101" i="94"/>
  <c r="E100" i="94"/>
  <c r="E99" i="94"/>
  <c r="E98" i="94"/>
  <c r="E97" i="94"/>
  <c r="E96" i="94"/>
  <c r="E101" i="145"/>
  <c r="E100" i="145"/>
  <c r="E99" i="145"/>
  <c r="E98" i="145"/>
  <c r="E97" i="145"/>
  <c r="E96" i="145"/>
  <c r="E101" i="164"/>
  <c r="E100" i="164"/>
  <c r="E99" i="164"/>
  <c r="E98" i="164"/>
  <c r="E97" i="164"/>
  <c r="E96" i="164"/>
  <c r="E101" i="15"/>
  <c r="E100" i="15"/>
  <c r="E99" i="15"/>
  <c r="E98" i="15"/>
  <c r="E97" i="15"/>
  <c r="E96" i="15"/>
  <c r="E101" i="150"/>
  <c r="E100" i="150"/>
  <c r="E99" i="150"/>
  <c r="E98" i="150"/>
  <c r="E97" i="150"/>
  <c r="E96" i="150"/>
  <c r="E101" i="68"/>
  <c r="E100" i="68"/>
  <c r="E99" i="68"/>
  <c r="E98" i="68"/>
  <c r="E97" i="68"/>
  <c r="E96" i="68"/>
  <c r="E101" i="100"/>
  <c r="E100" i="100"/>
  <c r="E99" i="100"/>
  <c r="E98" i="100"/>
  <c r="E97" i="100"/>
  <c r="E96" i="100"/>
  <c r="E101" i="67"/>
  <c r="E100" i="67"/>
  <c r="E99" i="67"/>
  <c r="E98" i="67"/>
  <c r="E97" i="67"/>
  <c r="E96" i="67"/>
  <c r="E101" i="59"/>
  <c r="E100" i="59"/>
  <c r="E99" i="59"/>
  <c r="E98" i="59"/>
  <c r="E97" i="59"/>
  <c r="E96" i="59"/>
  <c r="E101" i="84"/>
  <c r="E100" i="84"/>
  <c r="E99" i="84"/>
  <c r="E98" i="84"/>
  <c r="E97" i="84"/>
  <c r="E96" i="84"/>
  <c r="E101" i="66"/>
  <c r="E100" i="66"/>
  <c r="E99" i="66"/>
  <c r="E98" i="66"/>
  <c r="E97" i="66"/>
  <c r="E96" i="66"/>
  <c r="E101" i="63"/>
  <c r="E100" i="63"/>
  <c r="E99" i="63"/>
  <c r="E98" i="63"/>
  <c r="E97" i="63"/>
  <c r="E96" i="63"/>
  <c r="E101" i="62"/>
  <c r="E100" i="62"/>
  <c r="E99" i="62"/>
  <c r="E98" i="62"/>
  <c r="E97" i="62"/>
  <c r="E96" i="62"/>
  <c r="E101" i="58"/>
  <c r="E100" i="58"/>
  <c r="E99" i="58"/>
  <c r="E98" i="58"/>
  <c r="E97" i="58"/>
  <c r="E96" i="58"/>
  <c r="E101" i="136"/>
  <c r="E100" i="136"/>
  <c r="E99" i="136"/>
  <c r="E98" i="136"/>
  <c r="E97" i="136"/>
  <c r="E96" i="136"/>
  <c r="E101" i="53"/>
  <c r="E100" i="53"/>
  <c r="E99" i="53"/>
  <c r="E98" i="53"/>
  <c r="E97" i="53"/>
  <c r="E96" i="53"/>
  <c r="E101" i="98"/>
  <c r="E100" i="98"/>
  <c r="E99" i="98"/>
  <c r="E98" i="98"/>
  <c r="E97" i="98"/>
  <c r="E96" i="98"/>
  <c r="E101" i="49"/>
  <c r="E100" i="49"/>
  <c r="E99" i="49"/>
  <c r="E98" i="49"/>
  <c r="E97" i="49"/>
  <c r="E96" i="49"/>
  <c r="E101" i="83"/>
  <c r="E100" i="83"/>
  <c r="E99" i="83"/>
  <c r="E98" i="83"/>
  <c r="E97" i="83"/>
  <c r="E96" i="83"/>
  <c r="E101" i="47"/>
  <c r="E100" i="47"/>
  <c r="E99" i="47"/>
  <c r="E98" i="47"/>
  <c r="E97" i="47"/>
  <c r="E96" i="47"/>
  <c r="E101" i="46"/>
  <c r="E100" i="46"/>
  <c r="E99" i="46"/>
  <c r="E98" i="46"/>
  <c r="E97" i="46"/>
  <c r="E96" i="46"/>
  <c r="E101" i="102"/>
  <c r="E100" i="102"/>
  <c r="E99" i="102"/>
  <c r="E98" i="102"/>
  <c r="E97" i="102"/>
  <c r="E96" i="102"/>
  <c r="E101" i="45"/>
  <c r="E100" i="45"/>
  <c r="E99" i="45"/>
  <c r="E98" i="45"/>
  <c r="E97" i="45"/>
  <c r="E96" i="45"/>
  <c r="E101" i="104"/>
  <c r="E100" i="104"/>
  <c r="E99" i="104"/>
  <c r="E98" i="104"/>
  <c r="E97" i="104"/>
  <c r="E96" i="104"/>
  <c r="E101" i="106"/>
  <c r="E100" i="106"/>
  <c r="E99" i="106"/>
  <c r="E98" i="106"/>
  <c r="E97" i="106"/>
  <c r="E96" i="106"/>
  <c r="E101" i="57"/>
  <c r="E100" i="57"/>
  <c r="E99" i="57"/>
  <c r="E98" i="57"/>
  <c r="E97" i="57"/>
  <c r="E96" i="57"/>
  <c r="E101" i="42"/>
  <c r="E100" i="42"/>
  <c r="E99" i="42"/>
  <c r="E98" i="42"/>
  <c r="E97" i="42"/>
  <c r="E96" i="42"/>
  <c r="E101" i="71"/>
  <c r="E100" i="71"/>
  <c r="E99" i="71"/>
  <c r="E98" i="71"/>
  <c r="E97" i="71"/>
  <c r="E96" i="71"/>
  <c r="E101" i="167"/>
  <c r="E100" i="167"/>
  <c r="E99" i="167"/>
  <c r="E98" i="167"/>
  <c r="E97" i="167"/>
  <c r="E96" i="167"/>
  <c r="E101" i="39"/>
  <c r="E100" i="39"/>
  <c r="E99" i="39"/>
  <c r="E98" i="39"/>
  <c r="E97" i="39"/>
  <c r="E96" i="39"/>
  <c r="E101" i="135"/>
  <c r="E100" i="135"/>
  <c r="E99" i="135"/>
  <c r="E98" i="135"/>
  <c r="E97" i="135"/>
  <c r="E96" i="135"/>
  <c r="E101" i="38"/>
  <c r="E100" i="38"/>
  <c r="E99" i="38"/>
  <c r="E98" i="38"/>
  <c r="E97" i="38"/>
  <c r="E96" i="38"/>
  <c r="E101" i="152"/>
  <c r="E100" i="152"/>
  <c r="E99" i="152"/>
  <c r="E98" i="152"/>
  <c r="E97" i="152"/>
  <c r="E96" i="152"/>
  <c r="E101" i="120"/>
  <c r="E100" i="120"/>
  <c r="E99" i="120"/>
  <c r="E98" i="120"/>
  <c r="E97" i="120"/>
  <c r="E96" i="120"/>
  <c r="E101" i="37"/>
  <c r="E100" i="37"/>
  <c r="E99" i="37"/>
  <c r="E98" i="37"/>
  <c r="E97" i="37"/>
  <c r="E96" i="37"/>
  <c r="E101" i="90"/>
  <c r="E100" i="90"/>
  <c r="E99" i="90"/>
  <c r="E98" i="90"/>
  <c r="E97" i="90"/>
  <c r="E96" i="90"/>
  <c r="E101" i="24"/>
  <c r="E100" i="24"/>
  <c r="E99" i="24"/>
  <c r="E98" i="24"/>
  <c r="E97" i="24"/>
  <c r="E96" i="24"/>
  <c r="E101" i="141"/>
  <c r="E100" i="141"/>
  <c r="E99" i="141"/>
  <c r="E98" i="141"/>
  <c r="E97" i="141"/>
  <c r="E96" i="141"/>
  <c r="E101" i="33"/>
  <c r="E100" i="33"/>
  <c r="E99" i="33"/>
  <c r="E98" i="33"/>
  <c r="E97" i="33"/>
  <c r="E96" i="33"/>
  <c r="E101" i="32"/>
  <c r="E100" i="32"/>
  <c r="E99" i="32"/>
  <c r="E98" i="32"/>
  <c r="E97" i="32"/>
  <c r="E96" i="32"/>
  <c r="E101" i="79"/>
  <c r="E100" i="79"/>
  <c r="E99" i="79"/>
  <c r="E98" i="79"/>
  <c r="E97" i="79"/>
  <c r="E96" i="79"/>
  <c r="E101" i="31"/>
  <c r="E100" i="31"/>
  <c r="E99" i="31"/>
  <c r="E98" i="31"/>
  <c r="E97" i="31"/>
  <c r="E96" i="31"/>
  <c r="E101" i="64"/>
  <c r="E100" i="64"/>
  <c r="E99" i="64"/>
  <c r="E98" i="64"/>
  <c r="E97" i="64"/>
  <c r="E96" i="64"/>
  <c r="E101" i="72"/>
  <c r="E100" i="72"/>
  <c r="E99" i="72"/>
  <c r="E98" i="72"/>
  <c r="E97" i="72"/>
  <c r="E96" i="72"/>
  <c r="E101" i="28"/>
  <c r="E100" i="28"/>
  <c r="E99" i="28"/>
  <c r="E98" i="28"/>
  <c r="E97" i="28"/>
  <c r="E96" i="28"/>
  <c r="E101" i="65"/>
  <c r="E100" i="65"/>
  <c r="E99" i="65"/>
  <c r="E98" i="65"/>
  <c r="E97" i="65"/>
  <c r="E96" i="65"/>
  <c r="E101" i="119"/>
  <c r="E100" i="119"/>
  <c r="E99" i="119"/>
  <c r="E98" i="119"/>
  <c r="E97" i="119"/>
  <c r="E96" i="119"/>
  <c r="E101" i="25"/>
  <c r="E100" i="25"/>
  <c r="E99" i="25"/>
  <c r="E98" i="25"/>
  <c r="E97" i="25"/>
  <c r="E96" i="25"/>
  <c r="E101" i="20"/>
  <c r="E100" i="20"/>
  <c r="E99" i="20"/>
  <c r="E98" i="20"/>
  <c r="E97" i="20"/>
  <c r="E96" i="20"/>
  <c r="E101" i="159"/>
  <c r="E100" i="159"/>
  <c r="E99" i="159"/>
  <c r="E98" i="159"/>
  <c r="E97" i="159"/>
  <c r="E96" i="159"/>
  <c r="E101" i="16"/>
  <c r="E100" i="16"/>
  <c r="E99" i="16"/>
  <c r="E98" i="16"/>
  <c r="E97" i="16"/>
  <c r="E96" i="16"/>
  <c r="E101" i="27"/>
  <c r="E100" i="27"/>
  <c r="E99" i="27"/>
  <c r="E98" i="27"/>
  <c r="E97" i="27"/>
  <c r="E96" i="27"/>
  <c r="E101" i="111"/>
  <c r="E100" i="111"/>
  <c r="E99" i="111"/>
  <c r="E98" i="111"/>
  <c r="E97" i="111"/>
  <c r="E96" i="111"/>
  <c r="E101" i="165"/>
  <c r="E100" i="165"/>
  <c r="E99" i="165"/>
  <c r="E98" i="165"/>
  <c r="E97" i="165"/>
  <c r="E96" i="165"/>
  <c r="E101" i="55"/>
  <c r="E100" i="55"/>
  <c r="E99" i="55"/>
  <c r="E98" i="55"/>
  <c r="E97" i="55"/>
  <c r="E96" i="55"/>
  <c r="E101" i="21"/>
  <c r="E100" i="21"/>
  <c r="E99" i="21"/>
  <c r="E98" i="21"/>
  <c r="E97" i="21"/>
  <c r="E96" i="21"/>
  <c r="E101" i="14"/>
  <c r="E100" i="14"/>
  <c r="E99" i="14"/>
  <c r="E98" i="14"/>
  <c r="E97" i="14"/>
  <c r="E96" i="14"/>
  <c r="E101" i="85"/>
  <c r="E100" i="85"/>
  <c r="E99" i="85"/>
  <c r="E98" i="85"/>
  <c r="E97" i="85"/>
  <c r="E96" i="85"/>
  <c r="E101" i="149"/>
  <c r="E100" i="149"/>
  <c r="E99" i="149"/>
  <c r="E98" i="149"/>
  <c r="E97" i="149"/>
  <c r="E96" i="149"/>
  <c r="E101" i="143"/>
  <c r="E100" i="143"/>
  <c r="E99" i="143"/>
  <c r="E98" i="143"/>
  <c r="E97" i="143"/>
  <c r="E96" i="143"/>
  <c r="E101" i="87"/>
  <c r="E100" i="87"/>
  <c r="E99" i="87"/>
  <c r="E98" i="87"/>
  <c r="E97" i="87"/>
  <c r="E96" i="87"/>
  <c r="E101" i="69"/>
  <c r="E100" i="69"/>
  <c r="E99" i="69"/>
  <c r="E98" i="69"/>
  <c r="E97" i="69"/>
  <c r="E96" i="69"/>
  <c r="E101" i="86"/>
  <c r="E100" i="86"/>
  <c r="E99" i="86"/>
  <c r="E98" i="86"/>
  <c r="E97" i="86"/>
  <c r="E96" i="86"/>
  <c r="E101" i="89"/>
  <c r="E100" i="89"/>
  <c r="E99" i="89"/>
  <c r="E98" i="89"/>
  <c r="E97" i="89"/>
  <c r="E96" i="89"/>
  <c r="E101" i="142"/>
  <c r="E100" i="142"/>
  <c r="E99" i="142"/>
  <c r="E98" i="142"/>
  <c r="E97" i="142"/>
  <c r="E96" i="142"/>
  <c r="E101" i="91"/>
  <c r="E100" i="91"/>
  <c r="E99" i="91"/>
  <c r="E98" i="91"/>
  <c r="E97" i="91"/>
  <c r="E96" i="91"/>
  <c r="E101" i="92"/>
  <c r="E100" i="92"/>
  <c r="E99" i="92"/>
  <c r="E98" i="92"/>
  <c r="E97" i="92"/>
  <c r="E96" i="92"/>
  <c r="E101" i="113"/>
  <c r="E100" i="113"/>
  <c r="E99" i="113"/>
  <c r="E98" i="113"/>
  <c r="E97" i="113"/>
  <c r="E96" i="113"/>
  <c r="E101" i="1"/>
  <c r="E100" i="1"/>
  <c r="E99" i="1"/>
  <c r="E98" i="1"/>
  <c r="E97" i="1"/>
  <c r="E96" i="1"/>
  <c r="E101" i="50"/>
  <c r="E100" i="50"/>
  <c r="E99" i="50"/>
  <c r="E98" i="50"/>
  <c r="E97" i="50"/>
  <c r="E96" i="50"/>
  <c r="E101" i="95"/>
  <c r="E100" i="95"/>
  <c r="E99" i="95"/>
  <c r="E98" i="95"/>
  <c r="E97" i="95"/>
  <c r="E96" i="95"/>
  <c r="E101" i="43"/>
  <c r="E100" i="43"/>
  <c r="E99" i="43"/>
  <c r="E98" i="43"/>
  <c r="E97" i="43"/>
  <c r="E96" i="43"/>
  <c r="F93" i="103"/>
  <c r="F93" i="19"/>
  <c r="F93" i="118"/>
  <c r="F93" i="60"/>
  <c r="F93" i="54"/>
  <c r="F93" i="155"/>
  <c r="F93" i="156"/>
  <c r="F93" i="157"/>
  <c r="F93" i="158"/>
  <c r="F93" i="94"/>
  <c r="F93" i="100"/>
  <c r="F93" i="59"/>
  <c r="F93" i="58"/>
  <c r="F93" i="53"/>
  <c r="F93" i="98"/>
  <c r="F93" i="49"/>
  <c r="F93" i="47"/>
  <c r="F93" i="46"/>
  <c r="F93" i="104"/>
  <c r="F93" i="106"/>
  <c r="F93" i="57"/>
  <c r="F93" i="42"/>
  <c r="F93" i="71"/>
  <c r="F93" i="39"/>
  <c r="F93" i="37"/>
  <c r="F93" i="90"/>
  <c r="F93" i="24"/>
  <c r="F93" i="141"/>
  <c r="F93" i="79"/>
  <c r="F93" i="31"/>
  <c r="F93" i="64"/>
  <c r="F93" i="72"/>
  <c r="F93" i="28"/>
  <c r="F93" i="65"/>
  <c r="F93" i="119"/>
  <c r="F93" i="25"/>
  <c r="F93" i="20"/>
  <c r="F93" i="16"/>
  <c r="F93" i="165"/>
  <c r="F93" i="55"/>
  <c r="F93" i="21"/>
  <c r="F93" i="14"/>
  <c r="F93" i="85"/>
  <c r="F93" i="87"/>
  <c r="F93" i="69"/>
  <c r="F93" i="86"/>
  <c r="F93" i="142"/>
  <c r="F93" i="91"/>
  <c r="F93" i="92"/>
  <c r="F93" i="113"/>
  <c r="F93" i="1"/>
  <c r="F93" i="50"/>
  <c r="F93" i="95"/>
  <c r="F93" i="43"/>
  <c r="E92" i="103"/>
  <c r="E91" i="103"/>
  <c r="E90" i="103"/>
  <c r="E89" i="103"/>
  <c r="E88" i="103"/>
  <c r="E87" i="103"/>
  <c r="E86" i="103"/>
  <c r="E85" i="103"/>
  <c r="E84" i="103"/>
  <c r="E83" i="103"/>
  <c r="E82" i="103"/>
  <c r="E92" i="19"/>
  <c r="E91" i="19"/>
  <c r="E90" i="19"/>
  <c r="E89" i="19"/>
  <c r="E88" i="19"/>
  <c r="E87" i="19"/>
  <c r="E86" i="19"/>
  <c r="E85" i="19"/>
  <c r="E84" i="19"/>
  <c r="E83" i="19"/>
  <c r="E82" i="19"/>
  <c r="E92" i="10"/>
  <c r="E91" i="10"/>
  <c r="E90" i="10"/>
  <c r="E89" i="10"/>
  <c r="E88" i="10"/>
  <c r="E87" i="10"/>
  <c r="E86" i="10"/>
  <c r="E85" i="10"/>
  <c r="E84" i="10"/>
  <c r="E83" i="10"/>
  <c r="E82" i="10"/>
  <c r="E92" i="118"/>
  <c r="E91" i="118"/>
  <c r="E90" i="118"/>
  <c r="E89" i="118"/>
  <c r="E88" i="118"/>
  <c r="E87" i="118"/>
  <c r="E86" i="118"/>
  <c r="E85" i="118"/>
  <c r="E84" i="118"/>
  <c r="E83" i="118"/>
  <c r="E82" i="118"/>
  <c r="E92" i="60"/>
  <c r="E91" i="60"/>
  <c r="E90" i="60"/>
  <c r="E89" i="60"/>
  <c r="E88" i="60"/>
  <c r="E87" i="60"/>
  <c r="E86" i="60"/>
  <c r="E85" i="60"/>
  <c r="E84" i="60"/>
  <c r="E83" i="60"/>
  <c r="E82" i="60"/>
  <c r="E92" i="133"/>
  <c r="E91" i="133"/>
  <c r="E90" i="133"/>
  <c r="E89" i="133"/>
  <c r="E88" i="133"/>
  <c r="E87" i="133"/>
  <c r="E86" i="133"/>
  <c r="E85" i="133"/>
  <c r="E84" i="133"/>
  <c r="E83" i="133"/>
  <c r="E82" i="133"/>
  <c r="E92" i="54"/>
  <c r="E91" i="54"/>
  <c r="E90" i="54"/>
  <c r="E89" i="54"/>
  <c r="E88" i="54"/>
  <c r="E87" i="54"/>
  <c r="E86" i="54"/>
  <c r="E85" i="54"/>
  <c r="E84" i="54"/>
  <c r="E83" i="54"/>
  <c r="E82" i="54"/>
  <c r="E92" i="155"/>
  <c r="E91" i="155"/>
  <c r="E90" i="155"/>
  <c r="E89" i="155"/>
  <c r="E88" i="155"/>
  <c r="E87" i="155"/>
  <c r="E86" i="155"/>
  <c r="E85" i="155"/>
  <c r="E84" i="155"/>
  <c r="E83" i="155"/>
  <c r="E82" i="155"/>
  <c r="E92" i="156"/>
  <c r="E91" i="156"/>
  <c r="E90" i="156"/>
  <c r="E89" i="156"/>
  <c r="E88" i="156"/>
  <c r="E87" i="156"/>
  <c r="E86" i="156"/>
  <c r="E85" i="156"/>
  <c r="E84" i="156"/>
  <c r="E83" i="156"/>
  <c r="E82" i="156"/>
  <c r="E92" i="157"/>
  <c r="E91" i="157"/>
  <c r="E90" i="157"/>
  <c r="E89" i="157"/>
  <c r="E88" i="157"/>
  <c r="E87" i="157"/>
  <c r="E86" i="157"/>
  <c r="E85" i="157"/>
  <c r="E84" i="157"/>
  <c r="E83" i="157"/>
  <c r="E82" i="157"/>
  <c r="E92" i="158"/>
  <c r="E91" i="158"/>
  <c r="E90" i="158"/>
  <c r="E89" i="158"/>
  <c r="E88" i="158"/>
  <c r="E87" i="158"/>
  <c r="E86" i="158"/>
  <c r="E85" i="158"/>
  <c r="E84" i="158"/>
  <c r="E83" i="158"/>
  <c r="E82" i="158"/>
  <c r="E92" i="94"/>
  <c r="E91" i="94"/>
  <c r="E90" i="94"/>
  <c r="E89" i="94"/>
  <c r="E88" i="94"/>
  <c r="E87" i="94"/>
  <c r="E86" i="94"/>
  <c r="E85" i="94"/>
  <c r="E84" i="94"/>
  <c r="E83" i="94"/>
  <c r="E82" i="94"/>
  <c r="E92" i="145"/>
  <c r="E91" i="145"/>
  <c r="E90" i="145"/>
  <c r="E89" i="145"/>
  <c r="E88" i="145"/>
  <c r="E87" i="145"/>
  <c r="E86" i="145"/>
  <c r="E85" i="145"/>
  <c r="E84" i="145"/>
  <c r="E83" i="145"/>
  <c r="E82" i="145"/>
  <c r="E92" i="164"/>
  <c r="E91" i="164"/>
  <c r="E90" i="164"/>
  <c r="E89" i="164"/>
  <c r="E88" i="164"/>
  <c r="E87" i="164"/>
  <c r="E86" i="164"/>
  <c r="E85" i="164"/>
  <c r="E84" i="164"/>
  <c r="E83" i="164"/>
  <c r="E82" i="164"/>
  <c r="E92" i="15"/>
  <c r="E91" i="15"/>
  <c r="E90" i="15"/>
  <c r="E89" i="15"/>
  <c r="E88" i="15"/>
  <c r="E87" i="15"/>
  <c r="E86" i="15"/>
  <c r="E85" i="15"/>
  <c r="E84" i="15"/>
  <c r="E83" i="15"/>
  <c r="E82" i="15"/>
  <c r="E92" i="150"/>
  <c r="E91" i="150"/>
  <c r="E90" i="150"/>
  <c r="E89" i="150"/>
  <c r="E88" i="150"/>
  <c r="E87" i="150"/>
  <c r="E86" i="150"/>
  <c r="E85" i="150"/>
  <c r="E84" i="150"/>
  <c r="E83" i="150"/>
  <c r="E82" i="150"/>
  <c r="E92" i="68"/>
  <c r="E91" i="68"/>
  <c r="E90" i="68"/>
  <c r="E89" i="68"/>
  <c r="E88" i="68"/>
  <c r="E87" i="68"/>
  <c r="E86" i="68"/>
  <c r="E85" i="68"/>
  <c r="E84" i="68"/>
  <c r="E83" i="68"/>
  <c r="E82" i="68"/>
  <c r="E92" i="100"/>
  <c r="E91" i="100"/>
  <c r="E90" i="100"/>
  <c r="E89" i="100"/>
  <c r="E88" i="100"/>
  <c r="E87" i="100"/>
  <c r="E86" i="100"/>
  <c r="E85" i="100"/>
  <c r="E84" i="100"/>
  <c r="E83" i="100"/>
  <c r="E82" i="100"/>
  <c r="E92" i="67"/>
  <c r="E91" i="67"/>
  <c r="E90" i="67"/>
  <c r="E89" i="67"/>
  <c r="E88" i="67"/>
  <c r="E87" i="67"/>
  <c r="E86" i="67"/>
  <c r="E85" i="67"/>
  <c r="E84" i="67"/>
  <c r="E83" i="67"/>
  <c r="E82" i="67"/>
  <c r="E92" i="59"/>
  <c r="E91" i="59"/>
  <c r="E90" i="59"/>
  <c r="E89" i="59"/>
  <c r="E88" i="59"/>
  <c r="E87" i="59"/>
  <c r="E86" i="59"/>
  <c r="E85" i="59"/>
  <c r="E84" i="59"/>
  <c r="E83" i="59"/>
  <c r="E82" i="59"/>
  <c r="E92" i="84"/>
  <c r="E91" i="84"/>
  <c r="E90" i="84"/>
  <c r="E89" i="84"/>
  <c r="E88" i="84"/>
  <c r="E87" i="84"/>
  <c r="E86" i="84"/>
  <c r="E85" i="84"/>
  <c r="E84" i="84"/>
  <c r="E83" i="84"/>
  <c r="E82" i="84"/>
  <c r="E92" i="66"/>
  <c r="E91" i="66"/>
  <c r="E90" i="66"/>
  <c r="E89" i="66"/>
  <c r="E88" i="66"/>
  <c r="E87" i="66"/>
  <c r="E86" i="66"/>
  <c r="E85" i="66"/>
  <c r="E84" i="66"/>
  <c r="E83" i="66"/>
  <c r="E82" i="66"/>
  <c r="E92" i="63"/>
  <c r="E91" i="63"/>
  <c r="E90" i="63"/>
  <c r="E89" i="63"/>
  <c r="E88" i="63"/>
  <c r="E87" i="63"/>
  <c r="E86" i="63"/>
  <c r="E85" i="63"/>
  <c r="E84" i="63"/>
  <c r="E83" i="63"/>
  <c r="E82" i="63"/>
  <c r="E92" i="62"/>
  <c r="E91" i="62"/>
  <c r="E90" i="62"/>
  <c r="E89" i="62"/>
  <c r="E88" i="62"/>
  <c r="E87" i="62"/>
  <c r="E86" i="62"/>
  <c r="E85" i="62"/>
  <c r="E84" i="62"/>
  <c r="E83" i="62"/>
  <c r="E82" i="62"/>
  <c r="E92" i="58"/>
  <c r="E91" i="58"/>
  <c r="E90" i="58"/>
  <c r="E89" i="58"/>
  <c r="E88" i="58"/>
  <c r="E87" i="58"/>
  <c r="E86" i="58"/>
  <c r="E85" i="58"/>
  <c r="E84" i="58"/>
  <c r="E83" i="58"/>
  <c r="E82" i="58"/>
  <c r="E92" i="136"/>
  <c r="E91" i="136"/>
  <c r="E90" i="136"/>
  <c r="E89" i="136"/>
  <c r="E88" i="136"/>
  <c r="E87" i="136"/>
  <c r="E86" i="136"/>
  <c r="E85" i="136"/>
  <c r="E84" i="136"/>
  <c r="E83" i="136"/>
  <c r="E82" i="136"/>
  <c r="E92" i="53"/>
  <c r="E91" i="53"/>
  <c r="E90" i="53"/>
  <c r="E89" i="53"/>
  <c r="E88" i="53"/>
  <c r="E87" i="53"/>
  <c r="E86" i="53"/>
  <c r="E85" i="53"/>
  <c r="E84" i="53"/>
  <c r="E83" i="53"/>
  <c r="E82" i="53"/>
  <c r="E92" i="98"/>
  <c r="E91" i="98"/>
  <c r="E90" i="98"/>
  <c r="E89" i="98"/>
  <c r="E88" i="98"/>
  <c r="E87" i="98"/>
  <c r="E86" i="98"/>
  <c r="E85" i="98"/>
  <c r="E84" i="98"/>
  <c r="E83" i="98"/>
  <c r="E82" i="98"/>
  <c r="E92" i="49"/>
  <c r="E91" i="49"/>
  <c r="E90" i="49"/>
  <c r="E89" i="49"/>
  <c r="E88" i="49"/>
  <c r="E87" i="49"/>
  <c r="E86" i="49"/>
  <c r="E85" i="49"/>
  <c r="E84" i="49"/>
  <c r="E83" i="49"/>
  <c r="E82" i="49"/>
  <c r="E92" i="83"/>
  <c r="E91" i="83"/>
  <c r="E90" i="83"/>
  <c r="E89" i="83"/>
  <c r="E88" i="83"/>
  <c r="E87" i="83"/>
  <c r="E86" i="83"/>
  <c r="E85" i="83"/>
  <c r="E84" i="83"/>
  <c r="E83" i="83"/>
  <c r="E82" i="83"/>
  <c r="E92" i="47"/>
  <c r="E91" i="47"/>
  <c r="E90" i="47"/>
  <c r="E89" i="47"/>
  <c r="E88" i="47"/>
  <c r="E87" i="47"/>
  <c r="E86" i="47"/>
  <c r="E85" i="47"/>
  <c r="E84" i="47"/>
  <c r="E83" i="47"/>
  <c r="E82" i="47"/>
  <c r="E92" i="46"/>
  <c r="E91" i="46"/>
  <c r="E90" i="46"/>
  <c r="E89" i="46"/>
  <c r="E88" i="46"/>
  <c r="E87" i="46"/>
  <c r="E86" i="46"/>
  <c r="E85" i="46"/>
  <c r="E84" i="46"/>
  <c r="E83" i="46"/>
  <c r="E82" i="46"/>
  <c r="E92" i="102"/>
  <c r="E91" i="102"/>
  <c r="E90" i="102"/>
  <c r="E89" i="102"/>
  <c r="E88" i="102"/>
  <c r="E87" i="102"/>
  <c r="E86" i="102"/>
  <c r="E85" i="102"/>
  <c r="E84" i="102"/>
  <c r="E83" i="102"/>
  <c r="E82" i="102"/>
  <c r="E92" i="45"/>
  <c r="E91" i="45"/>
  <c r="E90" i="45"/>
  <c r="E89" i="45"/>
  <c r="E88" i="45"/>
  <c r="E87" i="45"/>
  <c r="E86" i="45"/>
  <c r="E85" i="45"/>
  <c r="E84" i="45"/>
  <c r="E83" i="45"/>
  <c r="E82" i="45"/>
  <c r="E92" i="104"/>
  <c r="E91" i="104"/>
  <c r="E90" i="104"/>
  <c r="E89" i="104"/>
  <c r="E88" i="104"/>
  <c r="E87" i="104"/>
  <c r="E86" i="104"/>
  <c r="E85" i="104"/>
  <c r="E84" i="104"/>
  <c r="E83" i="104"/>
  <c r="E82" i="104"/>
  <c r="E92" i="106"/>
  <c r="E91" i="106"/>
  <c r="E90" i="106"/>
  <c r="E89" i="106"/>
  <c r="E88" i="106"/>
  <c r="E87" i="106"/>
  <c r="E86" i="106"/>
  <c r="E85" i="106"/>
  <c r="E84" i="106"/>
  <c r="E83" i="106"/>
  <c r="E82" i="106"/>
  <c r="E92" i="57"/>
  <c r="E91" i="57"/>
  <c r="E90" i="57"/>
  <c r="E89" i="57"/>
  <c r="E88" i="57"/>
  <c r="E87" i="57"/>
  <c r="E86" i="57"/>
  <c r="E85" i="57"/>
  <c r="E84" i="57"/>
  <c r="E83" i="57"/>
  <c r="E82" i="57"/>
  <c r="E92" i="42"/>
  <c r="E91" i="42"/>
  <c r="E90" i="42"/>
  <c r="E89" i="42"/>
  <c r="E88" i="42"/>
  <c r="E87" i="42"/>
  <c r="E86" i="42"/>
  <c r="E85" i="42"/>
  <c r="E84" i="42"/>
  <c r="E83" i="42"/>
  <c r="E82" i="42"/>
  <c r="E92" i="71"/>
  <c r="E91" i="71"/>
  <c r="E90" i="71"/>
  <c r="E89" i="71"/>
  <c r="E88" i="71"/>
  <c r="E87" i="71"/>
  <c r="E86" i="71"/>
  <c r="E85" i="71"/>
  <c r="E84" i="71"/>
  <c r="E83" i="71"/>
  <c r="E82" i="71"/>
  <c r="E92" i="167"/>
  <c r="E91" i="167"/>
  <c r="E90" i="167"/>
  <c r="E89" i="167"/>
  <c r="E88" i="167"/>
  <c r="E87" i="167"/>
  <c r="E86" i="167"/>
  <c r="E85" i="167"/>
  <c r="E84" i="167"/>
  <c r="E83" i="167"/>
  <c r="E82" i="167"/>
  <c r="E92" i="39"/>
  <c r="E91" i="39"/>
  <c r="E90" i="39"/>
  <c r="E89" i="39"/>
  <c r="E88" i="39"/>
  <c r="E87" i="39"/>
  <c r="E86" i="39"/>
  <c r="E85" i="39"/>
  <c r="E84" i="39"/>
  <c r="E83" i="39"/>
  <c r="E82" i="39"/>
  <c r="E92" i="135"/>
  <c r="E91" i="135"/>
  <c r="E90" i="135"/>
  <c r="E89" i="135"/>
  <c r="E88" i="135"/>
  <c r="E87" i="135"/>
  <c r="E86" i="135"/>
  <c r="E85" i="135"/>
  <c r="E84" i="135"/>
  <c r="E83" i="135"/>
  <c r="E82" i="135"/>
  <c r="E92" i="38"/>
  <c r="E91" i="38"/>
  <c r="E90" i="38"/>
  <c r="E89" i="38"/>
  <c r="E88" i="38"/>
  <c r="E87" i="38"/>
  <c r="E86" i="38"/>
  <c r="E85" i="38"/>
  <c r="E84" i="38"/>
  <c r="E83" i="38"/>
  <c r="E82" i="38"/>
  <c r="E92" i="152"/>
  <c r="E91" i="152"/>
  <c r="E90" i="152"/>
  <c r="E89" i="152"/>
  <c r="E88" i="152"/>
  <c r="E87" i="152"/>
  <c r="E86" i="152"/>
  <c r="E85" i="152"/>
  <c r="E84" i="152"/>
  <c r="E83" i="152"/>
  <c r="E82" i="152"/>
  <c r="E92" i="120"/>
  <c r="E91" i="120"/>
  <c r="E90" i="120"/>
  <c r="E89" i="120"/>
  <c r="E88" i="120"/>
  <c r="E87" i="120"/>
  <c r="E86" i="120"/>
  <c r="E85" i="120"/>
  <c r="E84" i="120"/>
  <c r="E83" i="120"/>
  <c r="E82" i="120"/>
  <c r="E92" i="37"/>
  <c r="E91" i="37"/>
  <c r="E90" i="37"/>
  <c r="E89" i="37"/>
  <c r="E88" i="37"/>
  <c r="E87" i="37"/>
  <c r="E86" i="37"/>
  <c r="E85" i="37"/>
  <c r="E84" i="37"/>
  <c r="E83" i="37"/>
  <c r="E82" i="37"/>
  <c r="E92" i="90"/>
  <c r="E91" i="90"/>
  <c r="E90" i="90"/>
  <c r="E89" i="90"/>
  <c r="E88" i="90"/>
  <c r="E87" i="90"/>
  <c r="E86" i="90"/>
  <c r="E85" i="90"/>
  <c r="E84" i="90"/>
  <c r="E83" i="90"/>
  <c r="E82" i="90"/>
  <c r="E92" i="24"/>
  <c r="E91" i="24"/>
  <c r="E90" i="24"/>
  <c r="E89" i="24"/>
  <c r="E88" i="24"/>
  <c r="E87" i="24"/>
  <c r="E86" i="24"/>
  <c r="E85" i="24"/>
  <c r="E84" i="24"/>
  <c r="E83" i="24"/>
  <c r="E82" i="24"/>
  <c r="E92" i="141"/>
  <c r="E91" i="141"/>
  <c r="E90" i="141"/>
  <c r="E89" i="141"/>
  <c r="E88" i="141"/>
  <c r="E87" i="141"/>
  <c r="E86" i="141"/>
  <c r="E85" i="141"/>
  <c r="E84" i="141"/>
  <c r="E83" i="141"/>
  <c r="E82" i="141"/>
  <c r="E92" i="33"/>
  <c r="E91" i="33"/>
  <c r="E90" i="33"/>
  <c r="E89" i="33"/>
  <c r="E88" i="33"/>
  <c r="E87" i="33"/>
  <c r="E86" i="33"/>
  <c r="E85" i="33"/>
  <c r="E84" i="33"/>
  <c r="E83" i="33"/>
  <c r="E82" i="33"/>
  <c r="E92" i="32"/>
  <c r="E91" i="32"/>
  <c r="E90" i="32"/>
  <c r="E89" i="32"/>
  <c r="E88" i="32"/>
  <c r="E87" i="32"/>
  <c r="E86" i="32"/>
  <c r="E85" i="32"/>
  <c r="E84" i="32"/>
  <c r="E83" i="32"/>
  <c r="E82" i="32"/>
  <c r="E92" i="79"/>
  <c r="E91" i="79"/>
  <c r="E90" i="79"/>
  <c r="E89" i="79"/>
  <c r="E88" i="79"/>
  <c r="E87" i="79"/>
  <c r="E86" i="79"/>
  <c r="E85" i="79"/>
  <c r="E84" i="79"/>
  <c r="E83" i="79"/>
  <c r="E82" i="79"/>
  <c r="E92" i="31"/>
  <c r="E91" i="31"/>
  <c r="E90" i="31"/>
  <c r="E89" i="31"/>
  <c r="E88" i="31"/>
  <c r="E87" i="31"/>
  <c r="E86" i="31"/>
  <c r="E85" i="31"/>
  <c r="E84" i="31"/>
  <c r="E83" i="31"/>
  <c r="E82" i="31"/>
  <c r="E92" i="64"/>
  <c r="E91" i="64"/>
  <c r="E90" i="64"/>
  <c r="E89" i="64"/>
  <c r="E88" i="64"/>
  <c r="E87" i="64"/>
  <c r="E86" i="64"/>
  <c r="E85" i="64"/>
  <c r="E84" i="64"/>
  <c r="E83" i="64"/>
  <c r="E82" i="64"/>
  <c r="E92" i="72"/>
  <c r="E91" i="72"/>
  <c r="E90" i="72"/>
  <c r="E89" i="72"/>
  <c r="E88" i="72"/>
  <c r="E87" i="72"/>
  <c r="E86" i="72"/>
  <c r="E85" i="72"/>
  <c r="E84" i="72"/>
  <c r="E83" i="72"/>
  <c r="E82" i="72"/>
  <c r="E92" i="28"/>
  <c r="E91" i="28"/>
  <c r="E90" i="28"/>
  <c r="E89" i="28"/>
  <c r="E88" i="28"/>
  <c r="E87" i="28"/>
  <c r="E86" i="28"/>
  <c r="E85" i="28"/>
  <c r="E84" i="28"/>
  <c r="E83" i="28"/>
  <c r="E82" i="28"/>
  <c r="E92" i="65"/>
  <c r="E91" i="65"/>
  <c r="E90" i="65"/>
  <c r="E89" i="65"/>
  <c r="E88" i="65"/>
  <c r="E87" i="65"/>
  <c r="E86" i="65"/>
  <c r="E85" i="65"/>
  <c r="E84" i="65"/>
  <c r="E83" i="65"/>
  <c r="E82" i="65"/>
  <c r="E92" i="119"/>
  <c r="E91" i="119"/>
  <c r="E90" i="119"/>
  <c r="E89" i="119"/>
  <c r="E88" i="119"/>
  <c r="E87" i="119"/>
  <c r="E86" i="119"/>
  <c r="E85" i="119"/>
  <c r="E84" i="119"/>
  <c r="E83" i="119"/>
  <c r="E82" i="119"/>
  <c r="E92" i="25"/>
  <c r="E91" i="25"/>
  <c r="E90" i="25"/>
  <c r="E89" i="25"/>
  <c r="E88" i="25"/>
  <c r="E87" i="25"/>
  <c r="E86" i="25"/>
  <c r="E85" i="25"/>
  <c r="E84" i="25"/>
  <c r="E83" i="25"/>
  <c r="E82" i="25"/>
  <c r="E92" i="20"/>
  <c r="E91" i="20"/>
  <c r="E90" i="20"/>
  <c r="E89" i="20"/>
  <c r="E88" i="20"/>
  <c r="E87" i="20"/>
  <c r="E86" i="20"/>
  <c r="E85" i="20"/>
  <c r="E84" i="20"/>
  <c r="E83" i="20"/>
  <c r="E82" i="20"/>
  <c r="E92" i="159"/>
  <c r="E91" i="159"/>
  <c r="E90" i="159"/>
  <c r="E89" i="159"/>
  <c r="E88" i="159"/>
  <c r="E87" i="159"/>
  <c r="E86" i="159"/>
  <c r="E85" i="159"/>
  <c r="E84" i="159"/>
  <c r="E83" i="159"/>
  <c r="E82" i="159"/>
  <c r="E92" i="16"/>
  <c r="E91" i="16"/>
  <c r="E90" i="16"/>
  <c r="E89" i="16"/>
  <c r="E88" i="16"/>
  <c r="E87" i="16"/>
  <c r="E86" i="16"/>
  <c r="E85" i="16"/>
  <c r="E84" i="16"/>
  <c r="E83" i="16"/>
  <c r="E82" i="16"/>
  <c r="E92" i="27"/>
  <c r="E91" i="27"/>
  <c r="E90" i="27"/>
  <c r="E89" i="27"/>
  <c r="E88" i="27"/>
  <c r="E87" i="27"/>
  <c r="E86" i="27"/>
  <c r="E85" i="27"/>
  <c r="E84" i="27"/>
  <c r="E83" i="27"/>
  <c r="E82" i="27"/>
  <c r="E92" i="111"/>
  <c r="E91" i="111"/>
  <c r="E90" i="111"/>
  <c r="E89" i="111"/>
  <c r="E88" i="111"/>
  <c r="E87" i="111"/>
  <c r="E86" i="111"/>
  <c r="E85" i="111"/>
  <c r="E84" i="111"/>
  <c r="E83" i="111"/>
  <c r="E82" i="111"/>
  <c r="E92" i="165"/>
  <c r="E91" i="165"/>
  <c r="E90" i="165"/>
  <c r="E89" i="165"/>
  <c r="E88" i="165"/>
  <c r="E87" i="165"/>
  <c r="E86" i="165"/>
  <c r="E85" i="165"/>
  <c r="E84" i="165"/>
  <c r="E83" i="165"/>
  <c r="E82" i="165"/>
  <c r="E92" i="55"/>
  <c r="E91" i="55"/>
  <c r="E90" i="55"/>
  <c r="E89" i="55"/>
  <c r="E88" i="55"/>
  <c r="E87" i="55"/>
  <c r="E86" i="55"/>
  <c r="E85" i="55"/>
  <c r="E84" i="55"/>
  <c r="E83" i="55"/>
  <c r="E82" i="55"/>
  <c r="E92" i="21"/>
  <c r="E91" i="21"/>
  <c r="E90" i="21"/>
  <c r="E89" i="21"/>
  <c r="E88" i="21"/>
  <c r="E87" i="21"/>
  <c r="E86" i="21"/>
  <c r="E85" i="21"/>
  <c r="E84" i="21"/>
  <c r="E83" i="21"/>
  <c r="E82" i="21"/>
  <c r="E92" i="14"/>
  <c r="E91" i="14"/>
  <c r="E90" i="14"/>
  <c r="E89" i="14"/>
  <c r="E88" i="14"/>
  <c r="E87" i="14"/>
  <c r="E86" i="14"/>
  <c r="E85" i="14"/>
  <c r="E84" i="14"/>
  <c r="E83" i="14"/>
  <c r="E82" i="14"/>
  <c r="E92" i="85"/>
  <c r="E91" i="85"/>
  <c r="E90" i="85"/>
  <c r="E89" i="85"/>
  <c r="E88" i="85"/>
  <c r="E87" i="85"/>
  <c r="E86" i="85"/>
  <c r="E85" i="85"/>
  <c r="E84" i="85"/>
  <c r="E83" i="85"/>
  <c r="E82" i="85"/>
  <c r="E92" i="149"/>
  <c r="E91" i="149"/>
  <c r="E90" i="149"/>
  <c r="E89" i="149"/>
  <c r="E88" i="149"/>
  <c r="E87" i="149"/>
  <c r="E86" i="149"/>
  <c r="E85" i="149"/>
  <c r="E84" i="149"/>
  <c r="E83" i="149"/>
  <c r="E82" i="149"/>
  <c r="E92" i="143"/>
  <c r="E91" i="143"/>
  <c r="E90" i="143"/>
  <c r="E89" i="143"/>
  <c r="E88" i="143"/>
  <c r="E87" i="143"/>
  <c r="E86" i="143"/>
  <c r="E85" i="143"/>
  <c r="E84" i="143"/>
  <c r="E83" i="143"/>
  <c r="E82" i="143"/>
  <c r="E92" i="87"/>
  <c r="E91" i="87"/>
  <c r="E90" i="87"/>
  <c r="E89" i="87"/>
  <c r="E88" i="87"/>
  <c r="E87" i="87"/>
  <c r="E86" i="87"/>
  <c r="E85" i="87"/>
  <c r="E84" i="87"/>
  <c r="E83" i="87"/>
  <c r="E82" i="87"/>
  <c r="E92" i="69"/>
  <c r="E91" i="69"/>
  <c r="E90" i="69"/>
  <c r="E89" i="69"/>
  <c r="E88" i="69"/>
  <c r="E87" i="69"/>
  <c r="E86" i="69"/>
  <c r="E85" i="69"/>
  <c r="E84" i="69"/>
  <c r="E83" i="69"/>
  <c r="E82" i="69"/>
  <c r="E92" i="86"/>
  <c r="E91" i="86"/>
  <c r="E90" i="86"/>
  <c r="E89" i="86"/>
  <c r="E88" i="86"/>
  <c r="E87" i="86"/>
  <c r="E86" i="86"/>
  <c r="E85" i="86"/>
  <c r="E84" i="86"/>
  <c r="E83" i="86"/>
  <c r="E82" i="86"/>
  <c r="E92" i="89"/>
  <c r="E91" i="89"/>
  <c r="E90" i="89"/>
  <c r="E89" i="89"/>
  <c r="E88" i="89"/>
  <c r="E87" i="89"/>
  <c r="E86" i="89"/>
  <c r="E85" i="89"/>
  <c r="E84" i="89"/>
  <c r="E83" i="89"/>
  <c r="E82" i="89"/>
  <c r="E92" i="142"/>
  <c r="E91" i="142"/>
  <c r="E90" i="142"/>
  <c r="E89" i="142"/>
  <c r="E88" i="142"/>
  <c r="E87" i="142"/>
  <c r="E86" i="142"/>
  <c r="E85" i="142"/>
  <c r="E84" i="142"/>
  <c r="E83" i="142"/>
  <c r="E82" i="142"/>
  <c r="E92" i="91"/>
  <c r="E91" i="91"/>
  <c r="E90" i="91"/>
  <c r="E89" i="91"/>
  <c r="E88" i="91"/>
  <c r="E87" i="91"/>
  <c r="E86" i="91"/>
  <c r="E85" i="91"/>
  <c r="E84" i="91"/>
  <c r="E83" i="91"/>
  <c r="E82" i="91"/>
  <c r="E92" i="92"/>
  <c r="E91" i="92"/>
  <c r="E90" i="92"/>
  <c r="E89" i="92"/>
  <c r="E88" i="92"/>
  <c r="E87" i="92"/>
  <c r="E86" i="92"/>
  <c r="E85" i="92"/>
  <c r="E84" i="92"/>
  <c r="E83" i="92"/>
  <c r="E82" i="92"/>
  <c r="E92" i="113"/>
  <c r="E91" i="113"/>
  <c r="E90" i="113"/>
  <c r="E89" i="113"/>
  <c r="E88" i="113"/>
  <c r="E87" i="113"/>
  <c r="E86" i="113"/>
  <c r="E85" i="113"/>
  <c r="E84" i="113"/>
  <c r="E83" i="113"/>
  <c r="E82" i="113"/>
  <c r="E92" i="1"/>
  <c r="E91" i="1"/>
  <c r="E90" i="1"/>
  <c r="E89" i="1"/>
  <c r="E88" i="1"/>
  <c r="E87" i="1"/>
  <c r="E86" i="1"/>
  <c r="E85" i="1"/>
  <c r="E84" i="1"/>
  <c r="E83" i="1"/>
  <c r="E82" i="1"/>
  <c r="E92" i="50"/>
  <c r="E91" i="50"/>
  <c r="E90" i="50"/>
  <c r="E89" i="50"/>
  <c r="E88" i="50"/>
  <c r="E87" i="50"/>
  <c r="E86" i="50"/>
  <c r="E85" i="50"/>
  <c r="E84" i="50"/>
  <c r="E83" i="50"/>
  <c r="E82" i="50"/>
  <c r="E92" i="95"/>
  <c r="E91" i="95"/>
  <c r="E90" i="95"/>
  <c r="E89" i="95"/>
  <c r="E88" i="95"/>
  <c r="E87" i="95"/>
  <c r="E86" i="95"/>
  <c r="E85" i="95"/>
  <c r="E84" i="95"/>
  <c r="E83" i="95"/>
  <c r="E82" i="95"/>
  <c r="E92" i="43"/>
  <c r="E91" i="43"/>
  <c r="E90" i="43"/>
  <c r="E89" i="43"/>
  <c r="E88" i="43"/>
  <c r="E87" i="43"/>
  <c r="E86" i="43"/>
  <c r="E85" i="43"/>
  <c r="E84" i="43"/>
  <c r="E83" i="43"/>
  <c r="E82" i="43"/>
  <c r="F79" i="103"/>
  <c r="F79" i="19"/>
  <c r="F79" i="118"/>
  <c r="F79" i="60"/>
  <c r="F79" i="54"/>
  <c r="F79" i="155"/>
  <c r="F79" i="156"/>
  <c r="F79" i="157"/>
  <c r="F79" i="158"/>
  <c r="F79" i="94"/>
  <c r="F79" i="100"/>
  <c r="F208" i="67"/>
  <c r="F215" i="67" s="1"/>
  <c r="F79" i="59"/>
  <c r="F79" i="58"/>
  <c r="F79" i="53"/>
  <c r="F79" i="98"/>
  <c r="F79" i="49"/>
  <c r="F79" i="47"/>
  <c r="F79" i="46"/>
  <c r="F79" i="104"/>
  <c r="F79" i="106"/>
  <c r="F79" i="57"/>
  <c r="F79" i="42"/>
  <c r="F79" i="71"/>
  <c r="F79" i="39"/>
  <c r="F79" i="37"/>
  <c r="F79" i="90"/>
  <c r="F79" i="24"/>
  <c r="F79" i="141"/>
  <c r="F79" i="79"/>
  <c r="F79" i="31"/>
  <c r="F79" i="64"/>
  <c r="F79" i="72"/>
  <c r="F79" i="28"/>
  <c r="F79" i="65"/>
  <c r="F79" i="119"/>
  <c r="F79" i="25"/>
  <c r="F79" i="20"/>
  <c r="F79" i="16"/>
  <c r="F79" i="165"/>
  <c r="F79" i="55"/>
  <c r="F79" i="21"/>
  <c r="F79" i="14"/>
  <c r="F79" i="85"/>
  <c r="F79" i="87"/>
  <c r="F79" i="69"/>
  <c r="F79" i="86"/>
  <c r="F79" i="142"/>
  <c r="F79" i="91"/>
  <c r="F79" i="92"/>
  <c r="F79" i="113"/>
  <c r="F79" i="1"/>
  <c r="F79" i="50"/>
  <c r="F79" i="95"/>
  <c r="F79" i="43"/>
  <c r="E78" i="103"/>
  <c r="E77" i="103"/>
  <c r="E76" i="103"/>
  <c r="E75" i="103"/>
  <c r="E74" i="103"/>
  <c r="E73" i="103"/>
  <c r="E72" i="103"/>
  <c r="E71" i="103"/>
  <c r="E70" i="103"/>
  <c r="E69" i="103"/>
  <c r="E68" i="103"/>
  <c r="E67" i="103"/>
  <c r="E66" i="103"/>
  <c r="E65" i="103"/>
  <c r="E64" i="103"/>
  <c r="E78" i="19"/>
  <c r="E77" i="19"/>
  <c r="E76" i="19"/>
  <c r="E75" i="19"/>
  <c r="E74" i="19"/>
  <c r="E73" i="19"/>
  <c r="E72" i="19"/>
  <c r="E71" i="19"/>
  <c r="E70" i="19"/>
  <c r="E69" i="19"/>
  <c r="E68" i="19"/>
  <c r="E67" i="19"/>
  <c r="E66" i="19"/>
  <c r="E65" i="19"/>
  <c r="E64" i="19"/>
  <c r="E78" i="10"/>
  <c r="E77" i="10"/>
  <c r="E76" i="10"/>
  <c r="E75" i="10"/>
  <c r="E74" i="10"/>
  <c r="E73" i="10"/>
  <c r="E72" i="10"/>
  <c r="E71" i="10"/>
  <c r="E70" i="10"/>
  <c r="E69" i="10"/>
  <c r="E68" i="10"/>
  <c r="E67" i="10"/>
  <c r="E66" i="10"/>
  <c r="E65" i="10"/>
  <c r="E64" i="10"/>
  <c r="E78" i="118"/>
  <c r="E77" i="118"/>
  <c r="E76" i="118"/>
  <c r="E75" i="118"/>
  <c r="E74" i="118"/>
  <c r="E73" i="118"/>
  <c r="E72" i="118"/>
  <c r="E71" i="118"/>
  <c r="E70" i="118"/>
  <c r="E69" i="118"/>
  <c r="E68" i="118"/>
  <c r="E67" i="118"/>
  <c r="E66" i="118"/>
  <c r="E65" i="118"/>
  <c r="E64" i="118"/>
  <c r="E78" i="60"/>
  <c r="E77" i="60"/>
  <c r="E76" i="60"/>
  <c r="E75" i="60"/>
  <c r="E74" i="60"/>
  <c r="E73" i="60"/>
  <c r="E72" i="60"/>
  <c r="E71" i="60"/>
  <c r="E70" i="60"/>
  <c r="E69" i="60"/>
  <c r="E68" i="60"/>
  <c r="E67" i="60"/>
  <c r="E66" i="60"/>
  <c r="E65" i="60"/>
  <c r="E64" i="60"/>
  <c r="E78" i="133"/>
  <c r="E77" i="133"/>
  <c r="E76" i="133"/>
  <c r="E75" i="133"/>
  <c r="E74" i="133"/>
  <c r="E73" i="133"/>
  <c r="E72" i="133"/>
  <c r="E71" i="133"/>
  <c r="E70" i="133"/>
  <c r="E69" i="133"/>
  <c r="E68" i="133"/>
  <c r="E67" i="133"/>
  <c r="E66" i="133"/>
  <c r="E65" i="133"/>
  <c r="E64" i="133"/>
  <c r="E78" i="54"/>
  <c r="E77" i="54"/>
  <c r="E76" i="54"/>
  <c r="E75" i="54"/>
  <c r="E74" i="54"/>
  <c r="E73" i="54"/>
  <c r="E72" i="54"/>
  <c r="E71" i="54"/>
  <c r="E70" i="54"/>
  <c r="E69" i="54"/>
  <c r="E68" i="54"/>
  <c r="E67" i="54"/>
  <c r="E66" i="54"/>
  <c r="E65" i="54"/>
  <c r="E64" i="54"/>
  <c r="E78" i="155"/>
  <c r="E77" i="155"/>
  <c r="E76" i="155"/>
  <c r="E75" i="155"/>
  <c r="E74" i="155"/>
  <c r="E73" i="155"/>
  <c r="E72" i="155"/>
  <c r="E71" i="155"/>
  <c r="E70" i="155"/>
  <c r="E69" i="155"/>
  <c r="E68" i="155"/>
  <c r="E67" i="155"/>
  <c r="E66" i="155"/>
  <c r="E65" i="155"/>
  <c r="E64" i="155"/>
  <c r="E78" i="156"/>
  <c r="E77" i="156"/>
  <c r="E76" i="156"/>
  <c r="E75" i="156"/>
  <c r="E74" i="156"/>
  <c r="E73" i="156"/>
  <c r="E72" i="156"/>
  <c r="E71" i="156"/>
  <c r="E70" i="156"/>
  <c r="E69" i="156"/>
  <c r="E68" i="156"/>
  <c r="E67" i="156"/>
  <c r="E66" i="156"/>
  <c r="E65" i="156"/>
  <c r="E64" i="156"/>
  <c r="E78" i="157"/>
  <c r="E77" i="157"/>
  <c r="E76" i="157"/>
  <c r="E75" i="157"/>
  <c r="E74" i="157"/>
  <c r="E73" i="157"/>
  <c r="E72" i="157"/>
  <c r="E71" i="157"/>
  <c r="E70" i="157"/>
  <c r="E69" i="157"/>
  <c r="E68" i="157"/>
  <c r="E67" i="157"/>
  <c r="E66" i="157"/>
  <c r="E65" i="157"/>
  <c r="E64" i="157"/>
  <c r="E78" i="158"/>
  <c r="E77" i="158"/>
  <c r="E76" i="158"/>
  <c r="E75" i="158"/>
  <c r="E74" i="158"/>
  <c r="E73" i="158"/>
  <c r="E72" i="158"/>
  <c r="E71" i="158"/>
  <c r="E70" i="158"/>
  <c r="E69" i="158"/>
  <c r="E68" i="158"/>
  <c r="E67" i="158"/>
  <c r="E66" i="158"/>
  <c r="E65" i="158"/>
  <c r="E64" i="158"/>
  <c r="E78" i="94"/>
  <c r="E77" i="94"/>
  <c r="E76" i="94"/>
  <c r="E75" i="94"/>
  <c r="E74" i="94"/>
  <c r="E73" i="94"/>
  <c r="E72" i="94"/>
  <c r="E71" i="94"/>
  <c r="E70" i="94"/>
  <c r="E69" i="94"/>
  <c r="E68" i="94"/>
  <c r="E67" i="94"/>
  <c r="E66" i="94"/>
  <c r="E65" i="94"/>
  <c r="E64" i="94"/>
  <c r="E78" i="145"/>
  <c r="E77" i="145"/>
  <c r="E76" i="145"/>
  <c r="E75" i="145"/>
  <c r="E74" i="145"/>
  <c r="E73" i="145"/>
  <c r="E72" i="145"/>
  <c r="E71" i="145"/>
  <c r="E70" i="145"/>
  <c r="E69" i="145"/>
  <c r="E68" i="145"/>
  <c r="E67" i="145"/>
  <c r="E66" i="145"/>
  <c r="E65" i="145"/>
  <c r="E64" i="145"/>
  <c r="E78" i="164"/>
  <c r="E77" i="164"/>
  <c r="E76" i="164"/>
  <c r="E75" i="164"/>
  <c r="E74" i="164"/>
  <c r="E73" i="164"/>
  <c r="E72" i="164"/>
  <c r="E71" i="164"/>
  <c r="E70" i="164"/>
  <c r="E69" i="164"/>
  <c r="E68" i="164"/>
  <c r="E67" i="164"/>
  <c r="E66" i="164"/>
  <c r="E65" i="164"/>
  <c r="E64" i="164"/>
  <c r="E78" i="15"/>
  <c r="E77" i="15"/>
  <c r="E76" i="15"/>
  <c r="E75" i="15"/>
  <c r="E74" i="15"/>
  <c r="E73" i="15"/>
  <c r="E72" i="15"/>
  <c r="E71" i="15"/>
  <c r="E70" i="15"/>
  <c r="E69" i="15"/>
  <c r="E68" i="15"/>
  <c r="E67" i="15"/>
  <c r="E66" i="15"/>
  <c r="E65" i="15"/>
  <c r="E64" i="15"/>
  <c r="E78" i="150"/>
  <c r="E77" i="150"/>
  <c r="E76" i="150"/>
  <c r="E75" i="150"/>
  <c r="E74" i="150"/>
  <c r="E73" i="150"/>
  <c r="E72" i="150"/>
  <c r="E71" i="150"/>
  <c r="E70" i="150"/>
  <c r="E69" i="150"/>
  <c r="E68" i="150"/>
  <c r="E67" i="150"/>
  <c r="E66" i="150"/>
  <c r="E65" i="150"/>
  <c r="E64" i="150"/>
  <c r="E78" i="68"/>
  <c r="E77" i="68"/>
  <c r="E76" i="68"/>
  <c r="E75" i="68"/>
  <c r="E74" i="68"/>
  <c r="E73" i="68"/>
  <c r="E72" i="68"/>
  <c r="E71" i="68"/>
  <c r="E70" i="68"/>
  <c r="E69" i="68"/>
  <c r="E68" i="68"/>
  <c r="E67" i="68"/>
  <c r="E66" i="68"/>
  <c r="E65" i="68"/>
  <c r="E64" i="68"/>
  <c r="E78" i="100"/>
  <c r="E77" i="100"/>
  <c r="E76" i="100"/>
  <c r="E75" i="100"/>
  <c r="E74" i="100"/>
  <c r="E73" i="100"/>
  <c r="E72" i="100"/>
  <c r="E71" i="100"/>
  <c r="E70" i="100"/>
  <c r="E69" i="100"/>
  <c r="E68" i="100"/>
  <c r="E67" i="100"/>
  <c r="E66" i="100"/>
  <c r="E65" i="100"/>
  <c r="E64" i="100"/>
  <c r="E78" i="67"/>
  <c r="E77" i="67"/>
  <c r="E76" i="67"/>
  <c r="E75" i="67"/>
  <c r="E74" i="67"/>
  <c r="E73" i="67"/>
  <c r="E72" i="67"/>
  <c r="E71" i="67"/>
  <c r="E70" i="67"/>
  <c r="E69" i="67"/>
  <c r="E68" i="67"/>
  <c r="E67" i="67"/>
  <c r="E66" i="67"/>
  <c r="E65" i="67"/>
  <c r="E64" i="67"/>
  <c r="E78" i="59"/>
  <c r="E77" i="59"/>
  <c r="E76" i="59"/>
  <c r="E75" i="59"/>
  <c r="E74" i="59"/>
  <c r="E73" i="59"/>
  <c r="E72" i="59"/>
  <c r="E71" i="59"/>
  <c r="E70" i="59"/>
  <c r="E69" i="59"/>
  <c r="E68" i="59"/>
  <c r="E67" i="59"/>
  <c r="E66" i="59"/>
  <c r="E65" i="59"/>
  <c r="E64" i="59"/>
  <c r="E78" i="84"/>
  <c r="E77" i="84"/>
  <c r="E76" i="84"/>
  <c r="E75" i="84"/>
  <c r="E72" i="84"/>
  <c r="E71" i="84"/>
  <c r="E70" i="84"/>
  <c r="E69" i="84"/>
  <c r="E68" i="84"/>
  <c r="E67" i="84"/>
  <c r="E66" i="84"/>
  <c r="E65" i="84"/>
  <c r="E64" i="84"/>
  <c r="E78" i="66"/>
  <c r="E77" i="66"/>
  <c r="E76" i="66"/>
  <c r="E75" i="66"/>
  <c r="E74" i="66"/>
  <c r="E73" i="66"/>
  <c r="E72" i="66"/>
  <c r="E71" i="66"/>
  <c r="E70" i="66"/>
  <c r="E69" i="66"/>
  <c r="E68" i="66"/>
  <c r="E67" i="66"/>
  <c r="E66" i="66"/>
  <c r="E65" i="66"/>
  <c r="E64" i="66"/>
  <c r="E78" i="63"/>
  <c r="E77" i="63"/>
  <c r="E76" i="63"/>
  <c r="E75" i="63"/>
  <c r="E74" i="63"/>
  <c r="E73" i="63"/>
  <c r="E72" i="63"/>
  <c r="E71" i="63"/>
  <c r="E70" i="63"/>
  <c r="E69" i="63"/>
  <c r="E68" i="63"/>
  <c r="E67" i="63"/>
  <c r="E66" i="63"/>
  <c r="E65" i="63"/>
  <c r="E64" i="63"/>
  <c r="E78" i="62"/>
  <c r="E77" i="62"/>
  <c r="E76" i="62"/>
  <c r="E75" i="62"/>
  <c r="E74" i="62"/>
  <c r="E73" i="62"/>
  <c r="E72" i="62"/>
  <c r="E71" i="62"/>
  <c r="E70" i="62"/>
  <c r="E69" i="62"/>
  <c r="E68" i="62"/>
  <c r="E67" i="62"/>
  <c r="E66" i="62"/>
  <c r="E65" i="62"/>
  <c r="E64" i="62"/>
  <c r="E78" i="58"/>
  <c r="E77" i="58"/>
  <c r="E76" i="58"/>
  <c r="E75" i="58"/>
  <c r="E74" i="58"/>
  <c r="E73" i="58"/>
  <c r="E72" i="58"/>
  <c r="E71" i="58"/>
  <c r="E70" i="58"/>
  <c r="E69" i="58"/>
  <c r="E68" i="58"/>
  <c r="E67" i="58"/>
  <c r="E66" i="58"/>
  <c r="E65" i="58"/>
  <c r="E64" i="58"/>
  <c r="E78" i="136"/>
  <c r="E77" i="136"/>
  <c r="E76" i="136"/>
  <c r="E75" i="136"/>
  <c r="E74" i="136"/>
  <c r="E73" i="136"/>
  <c r="E72" i="136"/>
  <c r="E71" i="136"/>
  <c r="E70" i="136"/>
  <c r="E69" i="136"/>
  <c r="E68" i="136"/>
  <c r="E67" i="136"/>
  <c r="E66" i="136"/>
  <c r="E65" i="136"/>
  <c r="E64" i="136"/>
  <c r="E78" i="53"/>
  <c r="E77" i="53"/>
  <c r="E76" i="53"/>
  <c r="E75" i="53"/>
  <c r="E74" i="53"/>
  <c r="E73" i="53"/>
  <c r="E72" i="53"/>
  <c r="E71" i="53"/>
  <c r="E70" i="53"/>
  <c r="E69" i="53"/>
  <c r="E68" i="53"/>
  <c r="E67" i="53"/>
  <c r="E66" i="53"/>
  <c r="E65" i="53"/>
  <c r="E64" i="53"/>
  <c r="E78" i="98"/>
  <c r="E77" i="98"/>
  <c r="E76" i="98"/>
  <c r="E75" i="98"/>
  <c r="E74" i="98"/>
  <c r="E73" i="98"/>
  <c r="E72" i="98"/>
  <c r="E71" i="98"/>
  <c r="E70" i="98"/>
  <c r="E69" i="98"/>
  <c r="E68" i="98"/>
  <c r="E67" i="98"/>
  <c r="E66" i="98"/>
  <c r="E65" i="98"/>
  <c r="E64" i="98"/>
  <c r="E78" i="49"/>
  <c r="E77" i="49"/>
  <c r="E76" i="49"/>
  <c r="E75" i="49"/>
  <c r="E74" i="49"/>
  <c r="E73" i="49"/>
  <c r="E72" i="49"/>
  <c r="E71" i="49"/>
  <c r="E70" i="49"/>
  <c r="E69" i="49"/>
  <c r="E68" i="49"/>
  <c r="E67" i="49"/>
  <c r="E66" i="49"/>
  <c r="E65" i="49"/>
  <c r="E64" i="49"/>
  <c r="E78" i="83"/>
  <c r="E77" i="83"/>
  <c r="E76" i="83"/>
  <c r="E75" i="83"/>
  <c r="E74" i="83"/>
  <c r="E73" i="83"/>
  <c r="E72" i="83"/>
  <c r="E71" i="83"/>
  <c r="E70" i="83"/>
  <c r="E69" i="83"/>
  <c r="E68" i="83"/>
  <c r="E67" i="83"/>
  <c r="E66" i="83"/>
  <c r="E65" i="83"/>
  <c r="E64" i="83"/>
  <c r="E78" i="47"/>
  <c r="E77" i="47"/>
  <c r="E76" i="47"/>
  <c r="E75" i="47"/>
  <c r="E74" i="47"/>
  <c r="E73" i="47"/>
  <c r="E72" i="47"/>
  <c r="E71" i="47"/>
  <c r="E70" i="47"/>
  <c r="E69" i="47"/>
  <c r="E68" i="47"/>
  <c r="E67" i="47"/>
  <c r="E66" i="47"/>
  <c r="E65" i="47"/>
  <c r="E64" i="47"/>
  <c r="E78" i="46"/>
  <c r="E77" i="46"/>
  <c r="E76" i="46"/>
  <c r="E75" i="46"/>
  <c r="E74" i="46"/>
  <c r="E73" i="46"/>
  <c r="E72" i="46"/>
  <c r="E71" i="46"/>
  <c r="E70" i="46"/>
  <c r="E69" i="46"/>
  <c r="E68" i="46"/>
  <c r="E67" i="46"/>
  <c r="E66" i="46"/>
  <c r="E65" i="46"/>
  <c r="E64" i="46"/>
  <c r="E78" i="102"/>
  <c r="E77" i="102"/>
  <c r="E76" i="102"/>
  <c r="E75" i="102"/>
  <c r="E74" i="102"/>
  <c r="E73" i="102"/>
  <c r="E72" i="102"/>
  <c r="E71" i="102"/>
  <c r="E70" i="102"/>
  <c r="E69" i="102"/>
  <c r="E68" i="102"/>
  <c r="E67" i="102"/>
  <c r="E66" i="102"/>
  <c r="E65" i="102"/>
  <c r="E64" i="102"/>
  <c r="E78" i="45"/>
  <c r="E77" i="45"/>
  <c r="E76" i="45"/>
  <c r="E75" i="45"/>
  <c r="E74" i="45"/>
  <c r="E73" i="45"/>
  <c r="E72" i="45"/>
  <c r="E71" i="45"/>
  <c r="E70" i="45"/>
  <c r="E69" i="45"/>
  <c r="E68" i="45"/>
  <c r="E67" i="45"/>
  <c r="E66" i="45"/>
  <c r="E65" i="45"/>
  <c r="E64" i="45"/>
  <c r="E78" i="104"/>
  <c r="E77" i="104"/>
  <c r="E76" i="104"/>
  <c r="E75" i="104"/>
  <c r="E74" i="104"/>
  <c r="E73" i="104"/>
  <c r="E72" i="104"/>
  <c r="E71" i="104"/>
  <c r="E70" i="104"/>
  <c r="E69" i="104"/>
  <c r="E68" i="104"/>
  <c r="E67" i="104"/>
  <c r="E66" i="104"/>
  <c r="E65" i="104"/>
  <c r="E64" i="104"/>
  <c r="E78" i="106"/>
  <c r="E77" i="106"/>
  <c r="E76" i="106"/>
  <c r="E75" i="106"/>
  <c r="E74" i="106"/>
  <c r="E73" i="106"/>
  <c r="E72" i="106"/>
  <c r="E71" i="106"/>
  <c r="E70" i="106"/>
  <c r="E69" i="106"/>
  <c r="E68" i="106"/>
  <c r="E67" i="106"/>
  <c r="E66" i="106"/>
  <c r="E65" i="106"/>
  <c r="E64" i="106"/>
  <c r="E78" i="57"/>
  <c r="E77" i="57"/>
  <c r="E76" i="57"/>
  <c r="E75" i="57"/>
  <c r="E74" i="57"/>
  <c r="E73" i="57"/>
  <c r="E72" i="57"/>
  <c r="E71" i="57"/>
  <c r="E70" i="57"/>
  <c r="E69" i="57"/>
  <c r="E68" i="57"/>
  <c r="E67" i="57"/>
  <c r="E66" i="57"/>
  <c r="E65" i="57"/>
  <c r="E64" i="57"/>
  <c r="E78" i="42"/>
  <c r="E77" i="42"/>
  <c r="E76" i="42"/>
  <c r="E75" i="42"/>
  <c r="E74" i="42"/>
  <c r="E73" i="42"/>
  <c r="E72" i="42"/>
  <c r="E71" i="42"/>
  <c r="E70" i="42"/>
  <c r="E69" i="42"/>
  <c r="E68" i="42"/>
  <c r="E67" i="42"/>
  <c r="E66" i="42"/>
  <c r="E65" i="42"/>
  <c r="E64" i="42"/>
  <c r="E78" i="71"/>
  <c r="E77" i="71"/>
  <c r="E76" i="71"/>
  <c r="E75" i="71"/>
  <c r="E74" i="71"/>
  <c r="E73" i="71"/>
  <c r="E72" i="71"/>
  <c r="E71" i="71"/>
  <c r="E70" i="71"/>
  <c r="E69" i="71"/>
  <c r="E68" i="71"/>
  <c r="E67" i="71"/>
  <c r="E66" i="71"/>
  <c r="E65" i="71"/>
  <c r="E64" i="71"/>
  <c r="E78" i="167"/>
  <c r="E77" i="167"/>
  <c r="E76" i="167"/>
  <c r="E75" i="167"/>
  <c r="E74" i="167"/>
  <c r="E73" i="167"/>
  <c r="E72" i="167"/>
  <c r="E71" i="167"/>
  <c r="E70" i="167"/>
  <c r="E69" i="167"/>
  <c r="E68" i="167"/>
  <c r="E67" i="167"/>
  <c r="E66" i="167"/>
  <c r="E65" i="167"/>
  <c r="E64" i="167"/>
  <c r="E78" i="39"/>
  <c r="E77" i="39"/>
  <c r="E76" i="39"/>
  <c r="E75" i="39"/>
  <c r="E74" i="39"/>
  <c r="E73" i="39"/>
  <c r="E72" i="39"/>
  <c r="E71" i="39"/>
  <c r="E70" i="39"/>
  <c r="E69" i="39"/>
  <c r="E68" i="39"/>
  <c r="E67" i="39"/>
  <c r="E66" i="39"/>
  <c r="E65" i="39"/>
  <c r="E64" i="39"/>
  <c r="E78" i="135"/>
  <c r="E77" i="135"/>
  <c r="E76" i="135"/>
  <c r="E75" i="135"/>
  <c r="E74" i="135"/>
  <c r="E73" i="135"/>
  <c r="E72" i="135"/>
  <c r="E71" i="135"/>
  <c r="E70" i="135"/>
  <c r="E69" i="135"/>
  <c r="E68" i="135"/>
  <c r="E67" i="135"/>
  <c r="E66" i="135"/>
  <c r="E65" i="135"/>
  <c r="E64" i="135"/>
  <c r="E78" i="38"/>
  <c r="E77" i="38"/>
  <c r="E76" i="38"/>
  <c r="E75" i="38"/>
  <c r="E74" i="38"/>
  <c r="E73" i="38"/>
  <c r="E72" i="38"/>
  <c r="E71" i="38"/>
  <c r="E70" i="38"/>
  <c r="E69" i="38"/>
  <c r="E68" i="38"/>
  <c r="E67" i="38"/>
  <c r="E66" i="38"/>
  <c r="E65" i="38"/>
  <c r="E64" i="38"/>
  <c r="E78" i="152"/>
  <c r="E77" i="152"/>
  <c r="E76" i="152"/>
  <c r="E75" i="152"/>
  <c r="E74" i="152"/>
  <c r="E73" i="152"/>
  <c r="E72" i="152"/>
  <c r="E71" i="152"/>
  <c r="E70" i="152"/>
  <c r="E69" i="152"/>
  <c r="E68" i="152"/>
  <c r="E67" i="152"/>
  <c r="E66" i="152"/>
  <c r="E65" i="152"/>
  <c r="E64" i="152"/>
  <c r="E78" i="120"/>
  <c r="E77" i="120"/>
  <c r="E76" i="120"/>
  <c r="E75" i="120"/>
  <c r="E74" i="120"/>
  <c r="E73" i="120"/>
  <c r="E72" i="120"/>
  <c r="E71" i="120"/>
  <c r="E70" i="120"/>
  <c r="E69" i="120"/>
  <c r="E68" i="120"/>
  <c r="E67" i="120"/>
  <c r="E66" i="120"/>
  <c r="E65" i="120"/>
  <c r="E64" i="120"/>
  <c r="E78" i="37"/>
  <c r="E77" i="37"/>
  <c r="E76" i="37"/>
  <c r="E75" i="37"/>
  <c r="E74" i="37"/>
  <c r="E73" i="37"/>
  <c r="E72" i="37"/>
  <c r="E71" i="37"/>
  <c r="E70" i="37"/>
  <c r="E69" i="37"/>
  <c r="E68" i="37"/>
  <c r="E67" i="37"/>
  <c r="E66" i="37"/>
  <c r="E65" i="37"/>
  <c r="E64" i="37"/>
  <c r="E78" i="90"/>
  <c r="E77" i="90"/>
  <c r="E76" i="90"/>
  <c r="E75" i="90"/>
  <c r="E74" i="90"/>
  <c r="E73" i="90"/>
  <c r="E72" i="90"/>
  <c r="E71" i="90"/>
  <c r="E70" i="90"/>
  <c r="E69" i="90"/>
  <c r="E68" i="90"/>
  <c r="E67" i="90"/>
  <c r="E66" i="90"/>
  <c r="E65" i="90"/>
  <c r="E64" i="90"/>
  <c r="E78" i="24"/>
  <c r="E77" i="24"/>
  <c r="E76" i="24"/>
  <c r="E75" i="24"/>
  <c r="E74" i="24"/>
  <c r="E73" i="24"/>
  <c r="E72" i="24"/>
  <c r="E71" i="24"/>
  <c r="E70" i="24"/>
  <c r="E69" i="24"/>
  <c r="E68" i="24"/>
  <c r="E67" i="24"/>
  <c r="E66" i="24"/>
  <c r="E65" i="24"/>
  <c r="E64" i="24"/>
  <c r="E78" i="141"/>
  <c r="E77" i="141"/>
  <c r="E76" i="141"/>
  <c r="E75" i="141"/>
  <c r="E74" i="141"/>
  <c r="E73" i="141"/>
  <c r="E72" i="141"/>
  <c r="E71" i="141"/>
  <c r="E70" i="141"/>
  <c r="E69" i="141"/>
  <c r="E68" i="141"/>
  <c r="E67" i="141"/>
  <c r="E66" i="141"/>
  <c r="E65" i="141"/>
  <c r="E64" i="141"/>
  <c r="E78" i="33"/>
  <c r="E77" i="33"/>
  <c r="E76" i="33"/>
  <c r="E75" i="33"/>
  <c r="E74" i="33"/>
  <c r="E73" i="33"/>
  <c r="E72" i="33"/>
  <c r="E71" i="33"/>
  <c r="E70" i="33"/>
  <c r="E69" i="33"/>
  <c r="E68" i="33"/>
  <c r="E67" i="33"/>
  <c r="E66" i="33"/>
  <c r="E65" i="33"/>
  <c r="E64" i="33"/>
  <c r="E78" i="32"/>
  <c r="E77" i="32"/>
  <c r="E76" i="32"/>
  <c r="E75" i="32"/>
  <c r="E74" i="32"/>
  <c r="E73" i="32"/>
  <c r="E72" i="32"/>
  <c r="E71" i="32"/>
  <c r="E70" i="32"/>
  <c r="E69" i="32"/>
  <c r="E68" i="32"/>
  <c r="E67" i="32"/>
  <c r="E66" i="32"/>
  <c r="E65" i="32"/>
  <c r="E64" i="32"/>
  <c r="E78" i="79"/>
  <c r="E77" i="79"/>
  <c r="E76" i="79"/>
  <c r="E75" i="79"/>
  <c r="E74" i="79"/>
  <c r="E73" i="79"/>
  <c r="E72" i="79"/>
  <c r="E71" i="79"/>
  <c r="E70" i="79"/>
  <c r="E69" i="79"/>
  <c r="E68" i="79"/>
  <c r="E67" i="79"/>
  <c r="E66" i="79"/>
  <c r="E65" i="79"/>
  <c r="E64" i="79"/>
  <c r="E78" i="31"/>
  <c r="E77" i="31"/>
  <c r="E76" i="31"/>
  <c r="E75" i="31"/>
  <c r="E74" i="31"/>
  <c r="E73" i="31"/>
  <c r="E72" i="31"/>
  <c r="E71" i="31"/>
  <c r="E70" i="31"/>
  <c r="E69" i="31"/>
  <c r="E68" i="31"/>
  <c r="E67" i="31"/>
  <c r="E66" i="31"/>
  <c r="E65" i="31"/>
  <c r="E64" i="31"/>
  <c r="E78" i="64"/>
  <c r="E77" i="64"/>
  <c r="E76" i="64"/>
  <c r="E75" i="64"/>
  <c r="E74" i="64"/>
  <c r="E73" i="64"/>
  <c r="E72" i="64"/>
  <c r="E71" i="64"/>
  <c r="E70" i="64"/>
  <c r="E69" i="64"/>
  <c r="E68" i="64"/>
  <c r="E67" i="64"/>
  <c r="E66" i="64"/>
  <c r="E65" i="64"/>
  <c r="E64" i="64"/>
  <c r="E78" i="72"/>
  <c r="E77" i="72"/>
  <c r="E76" i="72"/>
  <c r="E75" i="72"/>
  <c r="E74" i="72"/>
  <c r="E73" i="72"/>
  <c r="E72" i="72"/>
  <c r="E71" i="72"/>
  <c r="E70" i="72"/>
  <c r="E69" i="72"/>
  <c r="E68" i="72"/>
  <c r="E67" i="72"/>
  <c r="E66" i="72"/>
  <c r="E65" i="72"/>
  <c r="E64" i="72"/>
  <c r="E78" i="28"/>
  <c r="E77" i="28"/>
  <c r="E76" i="28"/>
  <c r="E75" i="28"/>
  <c r="E74" i="28"/>
  <c r="E73" i="28"/>
  <c r="E72" i="28"/>
  <c r="E71" i="28"/>
  <c r="E70" i="28"/>
  <c r="E69" i="28"/>
  <c r="E68" i="28"/>
  <c r="E67" i="28"/>
  <c r="E66" i="28"/>
  <c r="E65" i="28"/>
  <c r="E64" i="28"/>
  <c r="E78" i="65"/>
  <c r="E77" i="65"/>
  <c r="E76" i="65"/>
  <c r="E75" i="65"/>
  <c r="E74" i="65"/>
  <c r="E73" i="65"/>
  <c r="E72" i="65"/>
  <c r="E71" i="65"/>
  <c r="E70" i="65"/>
  <c r="E69" i="65"/>
  <c r="E68" i="65"/>
  <c r="E67" i="65"/>
  <c r="E66" i="65"/>
  <c r="E65" i="65"/>
  <c r="E64" i="65"/>
  <c r="E78" i="119"/>
  <c r="E77" i="119"/>
  <c r="E76" i="119"/>
  <c r="E75" i="119"/>
  <c r="E74" i="119"/>
  <c r="E73" i="119"/>
  <c r="E72" i="119"/>
  <c r="E71" i="119"/>
  <c r="E70" i="119"/>
  <c r="E69" i="119"/>
  <c r="E68" i="119"/>
  <c r="E67" i="119"/>
  <c r="E66" i="119"/>
  <c r="E65" i="119"/>
  <c r="E64" i="119"/>
  <c r="E78" i="25"/>
  <c r="E77" i="25"/>
  <c r="E76" i="25"/>
  <c r="E75" i="25"/>
  <c r="E74" i="25"/>
  <c r="E73" i="25"/>
  <c r="E72" i="25"/>
  <c r="E71" i="25"/>
  <c r="E70" i="25"/>
  <c r="E69" i="25"/>
  <c r="E68" i="25"/>
  <c r="E67" i="25"/>
  <c r="E66" i="25"/>
  <c r="E65" i="25"/>
  <c r="E64" i="25"/>
  <c r="E78" i="20"/>
  <c r="E77" i="20"/>
  <c r="E76" i="20"/>
  <c r="E75" i="20"/>
  <c r="E74" i="20"/>
  <c r="E73" i="20"/>
  <c r="E72" i="20"/>
  <c r="E71" i="20"/>
  <c r="E70" i="20"/>
  <c r="E69" i="20"/>
  <c r="E68" i="20"/>
  <c r="E67" i="20"/>
  <c r="E66" i="20"/>
  <c r="E65" i="20"/>
  <c r="E64" i="20"/>
  <c r="E78" i="159"/>
  <c r="E77" i="159"/>
  <c r="E76" i="159"/>
  <c r="E75" i="159"/>
  <c r="E74" i="159"/>
  <c r="E73" i="159"/>
  <c r="E72" i="159"/>
  <c r="E71" i="159"/>
  <c r="E70" i="159"/>
  <c r="E69" i="159"/>
  <c r="E68" i="159"/>
  <c r="E67" i="159"/>
  <c r="E66" i="159"/>
  <c r="E65" i="159"/>
  <c r="E64" i="159"/>
  <c r="E78" i="16"/>
  <c r="E77" i="16"/>
  <c r="E76" i="16"/>
  <c r="E75" i="16"/>
  <c r="E74" i="16"/>
  <c r="E73" i="16"/>
  <c r="E72" i="16"/>
  <c r="E71" i="16"/>
  <c r="E70" i="16"/>
  <c r="E69" i="16"/>
  <c r="E68" i="16"/>
  <c r="E67" i="16"/>
  <c r="E66" i="16"/>
  <c r="E65" i="16"/>
  <c r="E64" i="16"/>
  <c r="E78" i="27"/>
  <c r="E77" i="27"/>
  <c r="E76" i="27"/>
  <c r="E75" i="27"/>
  <c r="E74" i="27"/>
  <c r="E73" i="27"/>
  <c r="E72" i="27"/>
  <c r="E71" i="27"/>
  <c r="E70" i="27"/>
  <c r="E69" i="27"/>
  <c r="E68" i="27"/>
  <c r="E67" i="27"/>
  <c r="E66" i="27"/>
  <c r="E65" i="27"/>
  <c r="E64" i="27"/>
  <c r="E78" i="111"/>
  <c r="E77" i="111"/>
  <c r="E76" i="111"/>
  <c r="E75" i="111"/>
  <c r="E74" i="111"/>
  <c r="E73" i="111"/>
  <c r="E72" i="111"/>
  <c r="E71" i="111"/>
  <c r="E70" i="111"/>
  <c r="E69" i="111"/>
  <c r="E68" i="111"/>
  <c r="E67" i="111"/>
  <c r="E66" i="111"/>
  <c r="E65" i="111"/>
  <c r="E64" i="111"/>
  <c r="E78" i="165"/>
  <c r="E77" i="165"/>
  <c r="E76" i="165"/>
  <c r="E75" i="165"/>
  <c r="E74" i="165"/>
  <c r="E73" i="165"/>
  <c r="E72" i="165"/>
  <c r="E71" i="165"/>
  <c r="E70" i="165"/>
  <c r="E69" i="165"/>
  <c r="E68" i="165"/>
  <c r="E67" i="165"/>
  <c r="E66" i="165"/>
  <c r="E65" i="165"/>
  <c r="E64" i="165"/>
  <c r="E78" i="55"/>
  <c r="E77" i="55"/>
  <c r="E76" i="55"/>
  <c r="E75" i="55"/>
  <c r="E74" i="55"/>
  <c r="E73" i="55"/>
  <c r="E72" i="55"/>
  <c r="E71" i="55"/>
  <c r="E70" i="55"/>
  <c r="E69" i="55"/>
  <c r="E68" i="55"/>
  <c r="E67" i="55"/>
  <c r="E66" i="55"/>
  <c r="E65" i="55"/>
  <c r="E64" i="55"/>
  <c r="E78" i="21"/>
  <c r="E77" i="21"/>
  <c r="E76" i="21"/>
  <c r="E75" i="21"/>
  <c r="E74" i="21"/>
  <c r="E73" i="21"/>
  <c r="E72" i="21"/>
  <c r="E71" i="21"/>
  <c r="E70" i="21"/>
  <c r="E69" i="21"/>
  <c r="E68" i="21"/>
  <c r="E67" i="21"/>
  <c r="E66" i="21"/>
  <c r="E65" i="21"/>
  <c r="E64" i="21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78" i="85"/>
  <c r="E77" i="85"/>
  <c r="E76" i="85"/>
  <c r="E75" i="85"/>
  <c r="E74" i="85"/>
  <c r="E73" i="85"/>
  <c r="E72" i="85"/>
  <c r="E71" i="85"/>
  <c r="E70" i="85"/>
  <c r="E69" i="85"/>
  <c r="E68" i="85"/>
  <c r="E67" i="85"/>
  <c r="E66" i="85"/>
  <c r="E65" i="85"/>
  <c r="E64" i="85"/>
  <c r="E78" i="149"/>
  <c r="E77" i="149"/>
  <c r="E76" i="149"/>
  <c r="E75" i="149"/>
  <c r="E74" i="149"/>
  <c r="E73" i="149"/>
  <c r="E72" i="149"/>
  <c r="E71" i="149"/>
  <c r="E70" i="149"/>
  <c r="E69" i="149"/>
  <c r="E68" i="149"/>
  <c r="E67" i="149"/>
  <c r="E66" i="149"/>
  <c r="E65" i="149"/>
  <c r="E64" i="149"/>
  <c r="E78" i="143"/>
  <c r="E77" i="143"/>
  <c r="E76" i="143"/>
  <c r="E75" i="143"/>
  <c r="E74" i="143"/>
  <c r="E73" i="143"/>
  <c r="E72" i="143"/>
  <c r="E71" i="143"/>
  <c r="E70" i="143"/>
  <c r="E69" i="143"/>
  <c r="E68" i="143"/>
  <c r="E67" i="143"/>
  <c r="E66" i="143"/>
  <c r="E65" i="143"/>
  <c r="E64" i="143"/>
  <c r="E78" i="87"/>
  <c r="E77" i="87"/>
  <c r="E76" i="87"/>
  <c r="E75" i="87"/>
  <c r="E74" i="87"/>
  <c r="E73" i="87"/>
  <c r="E72" i="87"/>
  <c r="E71" i="87"/>
  <c r="E70" i="87"/>
  <c r="E69" i="87"/>
  <c r="E68" i="87"/>
  <c r="E67" i="87"/>
  <c r="E66" i="87"/>
  <c r="E65" i="87"/>
  <c r="E64" i="87"/>
  <c r="E78" i="69"/>
  <c r="E77" i="69"/>
  <c r="E76" i="69"/>
  <c r="E75" i="69"/>
  <c r="E74" i="69"/>
  <c r="E73" i="69"/>
  <c r="E72" i="69"/>
  <c r="E71" i="69"/>
  <c r="E70" i="69"/>
  <c r="E69" i="69"/>
  <c r="E68" i="69"/>
  <c r="E67" i="69"/>
  <c r="E66" i="69"/>
  <c r="E65" i="69"/>
  <c r="E64" i="69"/>
  <c r="E78" i="86"/>
  <c r="E77" i="86"/>
  <c r="E76" i="86"/>
  <c r="E75" i="86"/>
  <c r="E74" i="86"/>
  <c r="E73" i="86"/>
  <c r="E72" i="86"/>
  <c r="E71" i="86"/>
  <c r="E70" i="86"/>
  <c r="E69" i="86"/>
  <c r="E68" i="86"/>
  <c r="E67" i="86"/>
  <c r="E66" i="86"/>
  <c r="E65" i="86"/>
  <c r="E64" i="86"/>
  <c r="E78" i="89"/>
  <c r="E77" i="89"/>
  <c r="E76" i="89"/>
  <c r="E75" i="89"/>
  <c r="E74" i="89"/>
  <c r="E73" i="89"/>
  <c r="E72" i="89"/>
  <c r="E71" i="89"/>
  <c r="E70" i="89"/>
  <c r="E69" i="89"/>
  <c r="E68" i="89"/>
  <c r="E67" i="89"/>
  <c r="E66" i="89"/>
  <c r="E65" i="89"/>
  <c r="E64" i="89"/>
  <c r="E78" i="142"/>
  <c r="E77" i="142"/>
  <c r="E76" i="142"/>
  <c r="E75" i="142"/>
  <c r="E74" i="142"/>
  <c r="E73" i="142"/>
  <c r="E72" i="142"/>
  <c r="E71" i="142"/>
  <c r="E70" i="142"/>
  <c r="E69" i="142"/>
  <c r="E68" i="142"/>
  <c r="E67" i="142"/>
  <c r="E66" i="142"/>
  <c r="E65" i="142"/>
  <c r="E64" i="142"/>
  <c r="E78" i="91"/>
  <c r="E77" i="91"/>
  <c r="E76" i="91"/>
  <c r="E75" i="91"/>
  <c r="E74" i="91"/>
  <c r="E73" i="91"/>
  <c r="E72" i="91"/>
  <c r="E71" i="91"/>
  <c r="E70" i="91"/>
  <c r="E69" i="91"/>
  <c r="E68" i="91"/>
  <c r="E67" i="91"/>
  <c r="E66" i="91"/>
  <c r="E65" i="91"/>
  <c r="E64" i="91"/>
  <c r="E78" i="92"/>
  <c r="E77" i="92"/>
  <c r="E76" i="92"/>
  <c r="E75" i="92"/>
  <c r="E74" i="92"/>
  <c r="E73" i="92"/>
  <c r="E72" i="92"/>
  <c r="E71" i="92"/>
  <c r="E70" i="92"/>
  <c r="E69" i="92"/>
  <c r="E68" i="92"/>
  <c r="E67" i="92"/>
  <c r="E66" i="92"/>
  <c r="E65" i="92"/>
  <c r="E64" i="92"/>
  <c r="E78" i="113"/>
  <c r="E77" i="113"/>
  <c r="E76" i="113"/>
  <c r="E75" i="113"/>
  <c r="E74" i="113"/>
  <c r="E73" i="113"/>
  <c r="E72" i="113"/>
  <c r="E71" i="113"/>
  <c r="E70" i="113"/>
  <c r="E69" i="113"/>
  <c r="E68" i="113"/>
  <c r="E67" i="113"/>
  <c r="E66" i="113"/>
  <c r="E65" i="113"/>
  <c r="E64" i="113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78" i="50"/>
  <c r="E77" i="50"/>
  <c r="E76" i="50"/>
  <c r="E75" i="50"/>
  <c r="E74" i="50"/>
  <c r="E73" i="50"/>
  <c r="E72" i="50"/>
  <c r="E71" i="50"/>
  <c r="E70" i="50"/>
  <c r="E69" i="50"/>
  <c r="E68" i="50"/>
  <c r="E67" i="50"/>
  <c r="E66" i="50"/>
  <c r="E65" i="50"/>
  <c r="E64" i="50"/>
  <c r="E78" i="95"/>
  <c r="E77" i="95"/>
  <c r="E76" i="95"/>
  <c r="E75" i="95"/>
  <c r="E74" i="95"/>
  <c r="E73" i="95"/>
  <c r="E72" i="95"/>
  <c r="E71" i="95"/>
  <c r="E70" i="95"/>
  <c r="E69" i="95"/>
  <c r="E68" i="95"/>
  <c r="E67" i="95"/>
  <c r="E66" i="95"/>
  <c r="E65" i="95"/>
  <c r="E64" i="95"/>
  <c r="E78" i="43"/>
  <c r="E77" i="43"/>
  <c r="E76" i="43"/>
  <c r="E75" i="43"/>
  <c r="E74" i="43"/>
  <c r="E73" i="43"/>
  <c r="E72" i="43"/>
  <c r="E71" i="43"/>
  <c r="E70" i="43"/>
  <c r="E69" i="43"/>
  <c r="E68" i="43"/>
  <c r="E67" i="43"/>
  <c r="E66" i="43"/>
  <c r="E65" i="43"/>
  <c r="E64" i="43"/>
  <c r="F61" i="19"/>
  <c r="F61" i="118"/>
  <c r="F61" i="60"/>
  <c r="F61" i="54"/>
  <c r="F61" i="155"/>
  <c r="F61" i="156"/>
  <c r="F61" i="157"/>
  <c r="F61" i="158"/>
  <c r="F61" i="94"/>
  <c r="F61" i="100"/>
  <c r="F61" i="59"/>
  <c r="F61" i="58"/>
  <c r="F61" i="53"/>
  <c r="F61" i="98"/>
  <c r="F61" i="49"/>
  <c r="F61" i="47"/>
  <c r="F61" i="46"/>
  <c r="F61" i="104"/>
  <c r="F61" i="106"/>
  <c r="F61" i="57"/>
  <c r="F61" i="42"/>
  <c r="F61" i="71"/>
  <c r="F61" i="39"/>
  <c r="F61" i="37"/>
  <c r="F61" i="90"/>
  <c r="F61" i="24"/>
  <c r="F61" i="141"/>
  <c r="F61" i="79"/>
  <c r="F61" i="31"/>
  <c r="F61" i="64"/>
  <c r="F61" i="72"/>
  <c r="F61" i="28"/>
  <c r="F61" i="65"/>
  <c r="F61" i="119"/>
  <c r="F61" i="25"/>
  <c r="F61" i="20"/>
  <c r="F61" i="16"/>
  <c r="F61" i="165"/>
  <c r="F61" i="55"/>
  <c r="F61" i="21"/>
  <c r="F61" i="14"/>
  <c r="F61" i="85"/>
  <c r="F61" i="87"/>
  <c r="F61" i="69"/>
  <c r="F61" i="86"/>
  <c r="F61" i="142"/>
  <c r="F61" i="91"/>
  <c r="F61" i="92"/>
  <c r="F61" i="113"/>
  <c r="F61" i="1"/>
  <c r="F61" i="50"/>
  <c r="F61" i="95"/>
  <c r="F61" i="43"/>
  <c r="E60" i="103"/>
  <c r="E59" i="103"/>
  <c r="E58" i="103"/>
  <c r="E57" i="103"/>
  <c r="E56" i="103"/>
  <c r="E55" i="103"/>
  <c r="E54" i="103"/>
  <c r="E53" i="103"/>
  <c r="E52" i="103"/>
  <c r="E51" i="103"/>
  <c r="E50" i="103"/>
  <c r="E49" i="103"/>
  <c r="E48" i="103"/>
  <c r="E47" i="103"/>
  <c r="E46" i="103"/>
  <c r="E45" i="103"/>
  <c r="E44" i="103"/>
  <c r="E43" i="103"/>
  <c r="E42" i="103"/>
  <c r="E41" i="103"/>
  <c r="E40" i="103"/>
  <c r="E39" i="103"/>
  <c r="E38" i="103"/>
  <c r="E37" i="103"/>
  <c r="E36" i="103"/>
  <c r="E35" i="103"/>
  <c r="E34" i="103"/>
  <c r="E33" i="103"/>
  <c r="E32" i="103"/>
  <c r="E31" i="103"/>
  <c r="E30" i="103"/>
  <c r="E29" i="103"/>
  <c r="E28" i="103"/>
  <c r="E27" i="103"/>
  <c r="E26" i="103"/>
  <c r="E25" i="103"/>
  <c r="E60" i="19"/>
  <c r="E59" i="19"/>
  <c r="E58" i="19"/>
  <c r="E57" i="19"/>
  <c r="E56" i="19"/>
  <c r="E55" i="19"/>
  <c r="E54" i="19"/>
  <c r="E53" i="19"/>
  <c r="E52" i="19"/>
  <c r="E51" i="19"/>
  <c r="E50" i="19"/>
  <c r="E49" i="19"/>
  <c r="E48" i="19"/>
  <c r="E47" i="19"/>
  <c r="E46" i="19"/>
  <c r="E45" i="19"/>
  <c r="E44" i="19"/>
  <c r="E43" i="19"/>
  <c r="E42" i="19"/>
  <c r="E41" i="19"/>
  <c r="E40" i="19"/>
  <c r="E39" i="19"/>
  <c r="E38" i="19"/>
  <c r="E37" i="19"/>
  <c r="E36" i="19"/>
  <c r="E35" i="19"/>
  <c r="E34" i="19"/>
  <c r="E33" i="19"/>
  <c r="E32" i="19"/>
  <c r="E31" i="19"/>
  <c r="E30" i="19"/>
  <c r="E29" i="19"/>
  <c r="E28" i="19"/>
  <c r="E27" i="19"/>
  <c r="E26" i="19"/>
  <c r="E25" i="19"/>
  <c r="E60" i="10"/>
  <c r="E59" i="10"/>
  <c r="E58" i="10"/>
  <c r="E57" i="10"/>
  <c r="E56" i="10"/>
  <c r="E55" i="10"/>
  <c r="E54" i="10"/>
  <c r="E53" i="10"/>
  <c r="E52" i="10"/>
  <c r="E51" i="10"/>
  <c r="E50" i="10"/>
  <c r="E49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6" i="10"/>
  <c r="E35" i="10"/>
  <c r="E34" i="10"/>
  <c r="E33" i="10"/>
  <c r="E32" i="10"/>
  <c r="E31" i="10"/>
  <c r="E30" i="10"/>
  <c r="E29" i="10"/>
  <c r="E28" i="10"/>
  <c r="E27" i="10"/>
  <c r="E26" i="10"/>
  <c r="E25" i="10"/>
  <c r="E60" i="118"/>
  <c r="E59" i="118"/>
  <c r="E58" i="118"/>
  <c r="E57" i="118"/>
  <c r="E56" i="118"/>
  <c r="E55" i="118"/>
  <c r="E54" i="118"/>
  <c r="E53" i="118"/>
  <c r="E52" i="118"/>
  <c r="E51" i="118"/>
  <c r="E50" i="118"/>
  <c r="E49" i="118"/>
  <c r="E48" i="118"/>
  <c r="E47" i="118"/>
  <c r="E46" i="118"/>
  <c r="E45" i="118"/>
  <c r="E44" i="118"/>
  <c r="E43" i="118"/>
  <c r="E42" i="118"/>
  <c r="E41" i="118"/>
  <c r="E40" i="118"/>
  <c r="E39" i="118"/>
  <c r="E38" i="118"/>
  <c r="E37" i="118"/>
  <c r="E36" i="118"/>
  <c r="E35" i="118"/>
  <c r="E34" i="118"/>
  <c r="E33" i="118"/>
  <c r="E32" i="118"/>
  <c r="E31" i="118"/>
  <c r="E30" i="118"/>
  <c r="E29" i="118"/>
  <c r="E28" i="118"/>
  <c r="E27" i="118"/>
  <c r="E26" i="118"/>
  <c r="E25" i="118"/>
  <c r="E60" i="60"/>
  <c r="E59" i="60"/>
  <c r="E58" i="60"/>
  <c r="E57" i="60"/>
  <c r="E56" i="60"/>
  <c r="E55" i="60"/>
  <c r="E54" i="60"/>
  <c r="E53" i="60"/>
  <c r="E52" i="60"/>
  <c r="E51" i="60"/>
  <c r="E50" i="60"/>
  <c r="E49" i="60"/>
  <c r="E48" i="60"/>
  <c r="E47" i="60"/>
  <c r="E46" i="60"/>
  <c r="E45" i="60"/>
  <c r="E44" i="60"/>
  <c r="E43" i="60"/>
  <c r="E42" i="60"/>
  <c r="E41" i="60"/>
  <c r="E40" i="60"/>
  <c r="E39" i="60"/>
  <c r="E38" i="60"/>
  <c r="E37" i="60"/>
  <c r="E36" i="60"/>
  <c r="E35" i="60"/>
  <c r="E34" i="60"/>
  <c r="E33" i="60"/>
  <c r="E32" i="60"/>
  <c r="E31" i="60"/>
  <c r="E30" i="60"/>
  <c r="E29" i="60"/>
  <c r="E28" i="60"/>
  <c r="E27" i="60"/>
  <c r="E26" i="60"/>
  <c r="E25" i="60"/>
  <c r="E60" i="133"/>
  <c r="E59" i="133"/>
  <c r="E58" i="133"/>
  <c r="E57" i="133"/>
  <c r="E56" i="133"/>
  <c r="E55" i="133"/>
  <c r="E54" i="133"/>
  <c r="E53" i="133"/>
  <c r="E52" i="133"/>
  <c r="E51" i="133"/>
  <c r="E50" i="133"/>
  <c r="E49" i="133"/>
  <c r="E48" i="133"/>
  <c r="E47" i="133"/>
  <c r="E46" i="133"/>
  <c r="E45" i="133"/>
  <c r="E44" i="133"/>
  <c r="E43" i="133"/>
  <c r="E42" i="133"/>
  <c r="E41" i="133"/>
  <c r="E40" i="133"/>
  <c r="E39" i="133"/>
  <c r="E38" i="133"/>
  <c r="E37" i="133"/>
  <c r="E36" i="133"/>
  <c r="E35" i="133"/>
  <c r="E34" i="133"/>
  <c r="E33" i="133"/>
  <c r="E32" i="133"/>
  <c r="E31" i="133"/>
  <c r="E30" i="133"/>
  <c r="E29" i="133"/>
  <c r="E28" i="133"/>
  <c r="E27" i="133"/>
  <c r="E26" i="133"/>
  <c r="E25" i="133"/>
  <c r="E60" i="54"/>
  <c r="E59" i="54"/>
  <c r="E58" i="54"/>
  <c r="E57" i="54"/>
  <c r="E56" i="54"/>
  <c r="E55" i="54"/>
  <c r="E54" i="54"/>
  <c r="E53" i="54"/>
  <c r="E52" i="54"/>
  <c r="E51" i="54"/>
  <c r="E50" i="54"/>
  <c r="E49" i="54"/>
  <c r="E48" i="54"/>
  <c r="E47" i="54"/>
  <c r="E46" i="54"/>
  <c r="E45" i="54"/>
  <c r="E44" i="54"/>
  <c r="E43" i="54"/>
  <c r="E42" i="54"/>
  <c r="E41" i="54"/>
  <c r="E40" i="54"/>
  <c r="E39" i="54"/>
  <c r="E38" i="54"/>
  <c r="E37" i="54"/>
  <c r="E36" i="54"/>
  <c r="E35" i="54"/>
  <c r="E34" i="54"/>
  <c r="E33" i="54"/>
  <c r="E32" i="54"/>
  <c r="E31" i="54"/>
  <c r="E30" i="54"/>
  <c r="E29" i="54"/>
  <c r="E28" i="54"/>
  <c r="E27" i="54"/>
  <c r="E26" i="54"/>
  <c r="E25" i="54"/>
  <c r="E60" i="155"/>
  <c r="E59" i="155"/>
  <c r="E58" i="155"/>
  <c r="E57" i="155"/>
  <c r="E56" i="155"/>
  <c r="E55" i="155"/>
  <c r="E54" i="155"/>
  <c r="E53" i="155"/>
  <c r="E52" i="155"/>
  <c r="E51" i="155"/>
  <c r="E50" i="155"/>
  <c r="E49" i="155"/>
  <c r="E48" i="155"/>
  <c r="E47" i="155"/>
  <c r="E46" i="155"/>
  <c r="E45" i="155"/>
  <c r="E44" i="155"/>
  <c r="E43" i="155"/>
  <c r="E42" i="155"/>
  <c r="E41" i="155"/>
  <c r="E40" i="155"/>
  <c r="E39" i="155"/>
  <c r="E38" i="155"/>
  <c r="E37" i="155"/>
  <c r="E36" i="155"/>
  <c r="E35" i="155"/>
  <c r="E34" i="155"/>
  <c r="E33" i="155"/>
  <c r="E32" i="155"/>
  <c r="E31" i="155"/>
  <c r="E30" i="155"/>
  <c r="E29" i="155"/>
  <c r="E28" i="155"/>
  <c r="E27" i="155"/>
  <c r="E26" i="155"/>
  <c r="E25" i="155"/>
  <c r="E60" i="156"/>
  <c r="E59" i="156"/>
  <c r="E58" i="156"/>
  <c r="E57" i="156"/>
  <c r="E56" i="156"/>
  <c r="E55" i="156"/>
  <c r="E54" i="156"/>
  <c r="E53" i="156"/>
  <c r="E52" i="156"/>
  <c r="E51" i="156"/>
  <c r="E50" i="156"/>
  <c r="E49" i="156"/>
  <c r="E48" i="156"/>
  <c r="E47" i="156"/>
  <c r="E46" i="156"/>
  <c r="E45" i="156"/>
  <c r="E44" i="156"/>
  <c r="E43" i="156"/>
  <c r="E42" i="156"/>
  <c r="E41" i="156"/>
  <c r="E40" i="156"/>
  <c r="E39" i="156"/>
  <c r="E38" i="156"/>
  <c r="E37" i="156"/>
  <c r="E36" i="156"/>
  <c r="E35" i="156"/>
  <c r="E34" i="156"/>
  <c r="E33" i="156"/>
  <c r="E32" i="156"/>
  <c r="E31" i="156"/>
  <c r="E30" i="156"/>
  <c r="E29" i="156"/>
  <c r="E28" i="156"/>
  <c r="E27" i="156"/>
  <c r="E26" i="156"/>
  <c r="E25" i="156"/>
  <c r="E60" i="157"/>
  <c r="E59" i="157"/>
  <c r="E58" i="157"/>
  <c r="E57" i="157"/>
  <c r="E56" i="157"/>
  <c r="E55" i="157"/>
  <c r="E54" i="157"/>
  <c r="E53" i="157"/>
  <c r="E52" i="157"/>
  <c r="E51" i="157"/>
  <c r="E50" i="157"/>
  <c r="E49" i="157"/>
  <c r="E48" i="157"/>
  <c r="E47" i="157"/>
  <c r="E46" i="157"/>
  <c r="E45" i="157"/>
  <c r="E44" i="157"/>
  <c r="E43" i="157"/>
  <c r="E42" i="157"/>
  <c r="E41" i="157"/>
  <c r="E40" i="157"/>
  <c r="E39" i="157"/>
  <c r="E38" i="157"/>
  <c r="E37" i="157"/>
  <c r="E36" i="157"/>
  <c r="E35" i="157"/>
  <c r="E34" i="157"/>
  <c r="E33" i="157"/>
  <c r="E32" i="157"/>
  <c r="E31" i="157"/>
  <c r="E30" i="157"/>
  <c r="E29" i="157"/>
  <c r="E28" i="157"/>
  <c r="E27" i="157"/>
  <c r="E26" i="157"/>
  <c r="E25" i="157"/>
  <c r="E60" i="158"/>
  <c r="E59" i="158"/>
  <c r="E58" i="158"/>
  <c r="E57" i="158"/>
  <c r="E56" i="158"/>
  <c r="E55" i="158"/>
  <c r="E54" i="158"/>
  <c r="E53" i="158"/>
  <c r="E52" i="158"/>
  <c r="E51" i="158"/>
  <c r="E50" i="158"/>
  <c r="E49" i="158"/>
  <c r="E48" i="158"/>
  <c r="E47" i="158"/>
  <c r="E46" i="158"/>
  <c r="E45" i="158"/>
  <c r="E44" i="158"/>
  <c r="E43" i="158"/>
  <c r="E42" i="158"/>
  <c r="E41" i="158"/>
  <c r="E40" i="158"/>
  <c r="E39" i="158"/>
  <c r="E38" i="158"/>
  <c r="E37" i="158"/>
  <c r="E36" i="158"/>
  <c r="E35" i="158"/>
  <c r="E34" i="158"/>
  <c r="E33" i="158"/>
  <c r="E32" i="158"/>
  <c r="E31" i="158"/>
  <c r="E30" i="158"/>
  <c r="E29" i="158"/>
  <c r="E28" i="158"/>
  <c r="E27" i="158"/>
  <c r="E26" i="158"/>
  <c r="E25" i="158"/>
  <c r="E60" i="94"/>
  <c r="E59" i="94"/>
  <c r="E58" i="94"/>
  <c r="E57" i="94"/>
  <c r="E56" i="94"/>
  <c r="E55" i="94"/>
  <c r="E54" i="94"/>
  <c r="E53" i="94"/>
  <c r="E52" i="94"/>
  <c r="E51" i="94"/>
  <c r="E50" i="94"/>
  <c r="E49" i="94"/>
  <c r="E48" i="94"/>
  <c r="E47" i="94"/>
  <c r="E46" i="94"/>
  <c r="E45" i="94"/>
  <c r="E44" i="94"/>
  <c r="E43" i="94"/>
  <c r="E42" i="94"/>
  <c r="E41" i="94"/>
  <c r="E40" i="94"/>
  <c r="E39" i="94"/>
  <c r="E38" i="94"/>
  <c r="E37" i="94"/>
  <c r="E36" i="94"/>
  <c r="E35" i="94"/>
  <c r="E34" i="94"/>
  <c r="E33" i="94"/>
  <c r="E32" i="94"/>
  <c r="E31" i="94"/>
  <c r="E30" i="94"/>
  <c r="E29" i="94"/>
  <c r="E28" i="94"/>
  <c r="E27" i="94"/>
  <c r="E26" i="94"/>
  <c r="E25" i="94"/>
  <c r="E60" i="145"/>
  <c r="E59" i="145"/>
  <c r="E58" i="145"/>
  <c r="E57" i="145"/>
  <c r="E56" i="145"/>
  <c r="E55" i="145"/>
  <c r="E54" i="145"/>
  <c r="E53" i="145"/>
  <c r="E52" i="145"/>
  <c r="E51" i="145"/>
  <c r="E50" i="145"/>
  <c r="E49" i="145"/>
  <c r="E48" i="145"/>
  <c r="E47" i="145"/>
  <c r="E46" i="145"/>
  <c r="E45" i="145"/>
  <c r="E44" i="145"/>
  <c r="E43" i="145"/>
  <c r="E42" i="145"/>
  <c r="E41" i="145"/>
  <c r="E40" i="145"/>
  <c r="E39" i="145"/>
  <c r="E38" i="145"/>
  <c r="E37" i="145"/>
  <c r="E36" i="145"/>
  <c r="E35" i="145"/>
  <c r="E34" i="145"/>
  <c r="E33" i="145"/>
  <c r="E32" i="145"/>
  <c r="E31" i="145"/>
  <c r="E30" i="145"/>
  <c r="E29" i="145"/>
  <c r="E28" i="145"/>
  <c r="E27" i="145"/>
  <c r="E26" i="145"/>
  <c r="E25" i="145"/>
  <c r="E60" i="164"/>
  <c r="E59" i="164"/>
  <c r="E58" i="164"/>
  <c r="E57" i="164"/>
  <c r="E56" i="164"/>
  <c r="E55" i="164"/>
  <c r="E54" i="164"/>
  <c r="E53" i="164"/>
  <c r="E52" i="164"/>
  <c r="E51" i="164"/>
  <c r="E50" i="164"/>
  <c r="E49" i="164"/>
  <c r="E48" i="164"/>
  <c r="E47" i="164"/>
  <c r="E46" i="164"/>
  <c r="E45" i="164"/>
  <c r="E44" i="164"/>
  <c r="E43" i="164"/>
  <c r="E42" i="164"/>
  <c r="E41" i="164"/>
  <c r="E40" i="164"/>
  <c r="E39" i="164"/>
  <c r="E38" i="164"/>
  <c r="E37" i="164"/>
  <c r="E36" i="164"/>
  <c r="E35" i="164"/>
  <c r="E34" i="164"/>
  <c r="E33" i="164"/>
  <c r="E32" i="164"/>
  <c r="E31" i="164"/>
  <c r="E30" i="164"/>
  <c r="E29" i="164"/>
  <c r="E28" i="164"/>
  <c r="E27" i="164"/>
  <c r="E26" i="164"/>
  <c r="E25" i="164"/>
  <c r="E60" i="15"/>
  <c r="E59" i="15"/>
  <c r="E58" i="15"/>
  <c r="E57" i="15"/>
  <c r="E56" i="15"/>
  <c r="E55" i="15"/>
  <c r="E54" i="15"/>
  <c r="E53" i="15"/>
  <c r="E52" i="15"/>
  <c r="E51" i="15"/>
  <c r="E50" i="15"/>
  <c r="E49" i="15"/>
  <c r="E48" i="15"/>
  <c r="E47" i="15"/>
  <c r="E46" i="15"/>
  <c r="E45" i="15"/>
  <c r="E44" i="15"/>
  <c r="E43" i="15"/>
  <c r="E42" i="15"/>
  <c r="E41" i="15"/>
  <c r="E40" i="15"/>
  <c r="E39" i="15"/>
  <c r="E38" i="15"/>
  <c r="E37" i="15"/>
  <c r="E36" i="15"/>
  <c r="E35" i="15"/>
  <c r="E34" i="15"/>
  <c r="E33" i="15"/>
  <c r="E32" i="15"/>
  <c r="E31" i="15"/>
  <c r="E30" i="15"/>
  <c r="E29" i="15"/>
  <c r="E28" i="15"/>
  <c r="E27" i="15"/>
  <c r="E26" i="15"/>
  <c r="E25" i="15"/>
  <c r="E60" i="150"/>
  <c r="E59" i="150"/>
  <c r="E58" i="150"/>
  <c r="E57" i="150"/>
  <c r="E56" i="150"/>
  <c r="E55" i="150"/>
  <c r="E54" i="150"/>
  <c r="E53" i="150"/>
  <c r="E52" i="150"/>
  <c r="E51" i="150"/>
  <c r="E50" i="150"/>
  <c r="E49" i="150"/>
  <c r="E48" i="150"/>
  <c r="E47" i="150"/>
  <c r="E46" i="150"/>
  <c r="E45" i="150"/>
  <c r="E44" i="150"/>
  <c r="E43" i="150"/>
  <c r="E42" i="150"/>
  <c r="E41" i="150"/>
  <c r="E40" i="150"/>
  <c r="E39" i="150"/>
  <c r="E38" i="150"/>
  <c r="E37" i="150"/>
  <c r="E36" i="150"/>
  <c r="E35" i="150"/>
  <c r="E34" i="150"/>
  <c r="E33" i="150"/>
  <c r="E32" i="150"/>
  <c r="E31" i="150"/>
  <c r="E30" i="150"/>
  <c r="E29" i="150"/>
  <c r="E28" i="150"/>
  <c r="E27" i="150"/>
  <c r="E26" i="150"/>
  <c r="E25" i="150"/>
  <c r="E60" i="68"/>
  <c r="E59" i="68"/>
  <c r="E58" i="68"/>
  <c r="E57" i="68"/>
  <c r="E56" i="68"/>
  <c r="E55" i="68"/>
  <c r="E54" i="68"/>
  <c r="E53" i="68"/>
  <c r="E52" i="68"/>
  <c r="E51" i="68"/>
  <c r="E50" i="68"/>
  <c r="E49" i="68"/>
  <c r="E48" i="68"/>
  <c r="E47" i="68"/>
  <c r="E46" i="68"/>
  <c r="E45" i="68"/>
  <c r="E44" i="68"/>
  <c r="E43" i="68"/>
  <c r="E42" i="68"/>
  <c r="E41" i="68"/>
  <c r="E40" i="68"/>
  <c r="E39" i="68"/>
  <c r="E38" i="68"/>
  <c r="E37" i="68"/>
  <c r="E36" i="68"/>
  <c r="E35" i="68"/>
  <c r="E34" i="68"/>
  <c r="E33" i="68"/>
  <c r="E32" i="68"/>
  <c r="E31" i="68"/>
  <c r="E30" i="68"/>
  <c r="E29" i="68"/>
  <c r="E28" i="68"/>
  <c r="E27" i="68"/>
  <c r="E26" i="68"/>
  <c r="E25" i="68"/>
  <c r="E60" i="100"/>
  <c r="E59" i="100"/>
  <c r="E58" i="100"/>
  <c r="E57" i="100"/>
  <c r="E56" i="100"/>
  <c r="E55" i="100"/>
  <c r="E54" i="100"/>
  <c r="E53" i="100"/>
  <c r="E52" i="100"/>
  <c r="E51" i="100"/>
  <c r="E50" i="100"/>
  <c r="E49" i="100"/>
  <c r="E48" i="100"/>
  <c r="E47" i="100"/>
  <c r="E46" i="100"/>
  <c r="E45" i="100"/>
  <c r="E44" i="100"/>
  <c r="E43" i="100"/>
  <c r="E42" i="100"/>
  <c r="E41" i="100"/>
  <c r="E40" i="100"/>
  <c r="E39" i="100"/>
  <c r="E38" i="100"/>
  <c r="E37" i="100"/>
  <c r="E36" i="100"/>
  <c r="E35" i="100"/>
  <c r="E34" i="100"/>
  <c r="E33" i="100"/>
  <c r="E32" i="100"/>
  <c r="E31" i="100"/>
  <c r="E30" i="100"/>
  <c r="E29" i="100"/>
  <c r="E28" i="100"/>
  <c r="E27" i="100"/>
  <c r="E26" i="100"/>
  <c r="E25" i="100"/>
  <c r="E60" i="67"/>
  <c r="E59" i="67"/>
  <c r="E58" i="67"/>
  <c r="E57" i="67"/>
  <c r="E56" i="67"/>
  <c r="E55" i="67"/>
  <c r="E54" i="67"/>
  <c r="E53" i="67"/>
  <c r="E52" i="67"/>
  <c r="E51" i="67"/>
  <c r="E50" i="67"/>
  <c r="E49" i="67"/>
  <c r="E48" i="67"/>
  <c r="E47" i="67"/>
  <c r="E46" i="67"/>
  <c r="E45" i="67"/>
  <c r="E44" i="67"/>
  <c r="E43" i="67"/>
  <c r="E42" i="67"/>
  <c r="E41" i="67"/>
  <c r="E40" i="67"/>
  <c r="E39" i="67"/>
  <c r="E38" i="67"/>
  <c r="E37" i="67"/>
  <c r="E36" i="67"/>
  <c r="E35" i="67"/>
  <c r="E34" i="67"/>
  <c r="E33" i="67"/>
  <c r="E32" i="67"/>
  <c r="E31" i="67"/>
  <c r="E30" i="67"/>
  <c r="E29" i="67"/>
  <c r="E28" i="67"/>
  <c r="E27" i="67"/>
  <c r="E26" i="67"/>
  <c r="E25" i="67"/>
  <c r="E60" i="59"/>
  <c r="E59" i="59"/>
  <c r="E58" i="59"/>
  <c r="E57" i="59"/>
  <c r="E56" i="59"/>
  <c r="E55" i="59"/>
  <c r="E54" i="59"/>
  <c r="E53" i="59"/>
  <c r="E52" i="59"/>
  <c r="E51" i="59"/>
  <c r="E50" i="59"/>
  <c r="E49" i="59"/>
  <c r="E48" i="59"/>
  <c r="E47" i="59"/>
  <c r="E46" i="59"/>
  <c r="E45" i="59"/>
  <c r="E44" i="59"/>
  <c r="E43" i="59"/>
  <c r="E42" i="59"/>
  <c r="E41" i="59"/>
  <c r="E40" i="59"/>
  <c r="E39" i="59"/>
  <c r="E38" i="59"/>
  <c r="E37" i="59"/>
  <c r="E36" i="59"/>
  <c r="E35" i="59"/>
  <c r="E34" i="59"/>
  <c r="E33" i="59"/>
  <c r="E32" i="59"/>
  <c r="E31" i="59"/>
  <c r="E30" i="59"/>
  <c r="E29" i="59"/>
  <c r="E28" i="59"/>
  <c r="E27" i="59"/>
  <c r="E26" i="59"/>
  <c r="E25" i="59"/>
  <c r="E60" i="84"/>
  <c r="E59" i="84"/>
  <c r="E58" i="84"/>
  <c r="E57" i="84"/>
  <c r="E56" i="84"/>
  <c r="E55" i="84"/>
  <c r="E54" i="84"/>
  <c r="E53" i="84"/>
  <c r="E52" i="84"/>
  <c r="E51" i="84"/>
  <c r="E50" i="84"/>
  <c r="E49" i="84"/>
  <c r="E48" i="84"/>
  <c r="E47" i="84"/>
  <c r="E46" i="84"/>
  <c r="E45" i="84"/>
  <c r="E44" i="84"/>
  <c r="E43" i="84"/>
  <c r="E42" i="84"/>
  <c r="E41" i="84"/>
  <c r="E40" i="84"/>
  <c r="E39" i="84"/>
  <c r="E38" i="84"/>
  <c r="E37" i="84"/>
  <c r="E36" i="84"/>
  <c r="E35" i="84"/>
  <c r="E34" i="84"/>
  <c r="E33" i="84"/>
  <c r="E32" i="84"/>
  <c r="E31" i="84"/>
  <c r="E30" i="84"/>
  <c r="E29" i="84"/>
  <c r="E28" i="84"/>
  <c r="E27" i="84"/>
  <c r="E26" i="84"/>
  <c r="E25" i="84"/>
  <c r="E60" i="66"/>
  <c r="E59" i="66"/>
  <c r="E58" i="66"/>
  <c r="E57" i="66"/>
  <c r="E56" i="66"/>
  <c r="E55" i="66"/>
  <c r="E54" i="66"/>
  <c r="E53" i="66"/>
  <c r="E52" i="66"/>
  <c r="E51" i="66"/>
  <c r="E50" i="66"/>
  <c r="E49" i="66"/>
  <c r="E48" i="66"/>
  <c r="E47" i="66"/>
  <c r="E46" i="66"/>
  <c r="E45" i="66"/>
  <c r="E44" i="66"/>
  <c r="E43" i="66"/>
  <c r="E42" i="66"/>
  <c r="E41" i="66"/>
  <c r="E40" i="66"/>
  <c r="E39" i="66"/>
  <c r="E38" i="66"/>
  <c r="E37" i="66"/>
  <c r="E36" i="66"/>
  <c r="E35" i="66"/>
  <c r="E34" i="66"/>
  <c r="E33" i="66"/>
  <c r="E32" i="66"/>
  <c r="E31" i="66"/>
  <c r="E30" i="66"/>
  <c r="E29" i="66"/>
  <c r="E28" i="66"/>
  <c r="E27" i="66"/>
  <c r="E26" i="66"/>
  <c r="E25" i="66"/>
  <c r="E60" i="63"/>
  <c r="E59" i="63"/>
  <c r="E58" i="63"/>
  <c r="E57" i="63"/>
  <c r="E56" i="63"/>
  <c r="E55" i="63"/>
  <c r="E54" i="63"/>
  <c r="E53" i="63"/>
  <c r="E52" i="63"/>
  <c r="E51" i="63"/>
  <c r="E50" i="63"/>
  <c r="E49" i="63"/>
  <c r="E48" i="63"/>
  <c r="E47" i="63"/>
  <c r="E46" i="63"/>
  <c r="E45" i="63"/>
  <c r="E44" i="63"/>
  <c r="E43" i="63"/>
  <c r="E42" i="63"/>
  <c r="E41" i="63"/>
  <c r="E40" i="63"/>
  <c r="E39" i="63"/>
  <c r="E38" i="63"/>
  <c r="E37" i="63"/>
  <c r="E36" i="63"/>
  <c r="E35" i="63"/>
  <c r="E34" i="63"/>
  <c r="E33" i="63"/>
  <c r="E32" i="63"/>
  <c r="E31" i="63"/>
  <c r="E30" i="63"/>
  <c r="E29" i="63"/>
  <c r="E28" i="63"/>
  <c r="E27" i="63"/>
  <c r="E26" i="63"/>
  <c r="E25" i="63"/>
  <c r="E60" i="62"/>
  <c r="E59" i="62"/>
  <c r="E58" i="62"/>
  <c r="E57" i="62"/>
  <c r="E56" i="62"/>
  <c r="E55" i="62"/>
  <c r="E54" i="62"/>
  <c r="E53" i="62"/>
  <c r="E52" i="62"/>
  <c r="E51" i="62"/>
  <c r="E50" i="62"/>
  <c r="E49" i="62"/>
  <c r="E48" i="62"/>
  <c r="E47" i="62"/>
  <c r="E46" i="62"/>
  <c r="E45" i="62"/>
  <c r="E44" i="62"/>
  <c r="E43" i="62"/>
  <c r="E42" i="62"/>
  <c r="E41" i="62"/>
  <c r="E40" i="62"/>
  <c r="E39" i="62"/>
  <c r="E38" i="62"/>
  <c r="E37" i="62"/>
  <c r="E36" i="62"/>
  <c r="E35" i="62"/>
  <c r="E34" i="62"/>
  <c r="E33" i="62"/>
  <c r="E32" i="62"/>
  <c r="E31" i="62"/>
  <c r="E30" i="62"/>
  <c r="E29" i="62"/>
  <c r="E28" i="62"/>
  <c r="E27" i="62"/>
  <c r="E26" i="62"/>
  <c r="E25" i="62"/>
  <c r="E60" i="58"/>
  <c r="E59" i="58"/>
  <c r="E58" i="58"/>
  <c r="E57" i="58"/>
  <c r="E56" i="58"/>
  <c r="E55" i="58"/>
  <c r="E54" i="58"/>
  <c r="E53" i="58"/>
  <c r="E52" i="58"/>
  <c r="E51" i="58"/>
  <c r="E50" i="58"/>
  <c r="E49" i="58"/>
  <c r="E48" i="58"/>
  <c r="E47" i="58"/>
  <c r="E46" i="58"/>
  <c r="E45" i="58"/>
  <c r="E44" i="58"/>
  <c r="E43" i="58"/>
  <c r="E42" i="58"/>
  <c r="E41" i="58"/>
  <c r="E40" i="58"/>
  <c r="E39" i="58"/>
  <c r="E38" i="58"/>
  <c r="E37" i="58"/>
  <c r="E36" i="58"/>
  <c r="E35" i="58"/>
  <c r="E34" i="58"/>
  <c r="E33" i="58"/>
  <c r="E32" i="58"/>
  <c r="E31" i="58"/>
  <c r="E30" i="58"/>
  <c r="E29" i="58"/>
  <c r="E28" i="58"/>
  <c r="E27" i="58"/>
  <c r="E26" i="58"/>
  <c r="E25" i="58"/>
  <c r="E60" i="136"/>
  <c r="E59" i="136"/>
  <c r="E58" i="136"/>
  <c r="E57" i="136"/>
  <c r="E56" i="136"/>
  <c r="E55" i="136"/>
  <c r="E54" i="136"/>
  <c r="E53" i="136"/>
  <c r="E52" i="136"/>
  <c r="E51" i="136"/>
  <c r="E50" i="136"/>
  <c r="E49" i="136"/>
  <c r="E48" i="136"/>
  <c r="E47" i="136"/>
  <c r="E46" i="136"/>
  <c r="E45" i="136"/>
  <c r="E44" i="136"/>
  <c r="E43" i="136"/>
  <c r="E42" i="136"/>
  <c r="E41" i="136"/>
  <c r="E40" i="136"/>
  <c r="E39" i="136"/>
  <c r="E38" i="136"/>
  <c r="E37" i="136"/>
  <c r="E36" i="136"/>
  <c r="E35" i="136"/>
  <c r="E34" i="136"/>
  <c r="E33" i="136"/>
  <c r="E32" i="136"/>
  <c r="E31" i="136"/>
  <c r="E30" i="136"/>
  <c r="E29" i="136"/>
  <c r="E28" i="136"/>
  <c r="E27" i="136"/>
  <c r="E26" i="136"/>
  <c r="E25" i="136"/>
  <c r="E60" i="53"/>
  <c r="E59" i="53"/>
  <c r="E58" i="53"/>
  <c r="E57" i="53"/>
  <c r="E56" i="53"/>
  <c r="E55" i="53"/>
  <c r="E54" i="53"/>
  <c r="E53" i="53"/>
  <c r="E52" i="53"/>
  <c r="E51" i="53"/>
  <c r="E50" i="53"/>
  <c r="E49" i="53"/>
  <c r="E48" i="53"/>
  <c r="E47" i="53"/>
  <c r="E46" i="53"/>
  <c r="E45" i="53"/>
  <c r="E44" i="53"/>
  <c r="E43" i="53"/>
  <c r="E42" i="53"/>
  <c r="E41" i="53"/>
  <c r="E40" i="53"/>
  <c r="E39" i="53"/>
  <c r="E38" i="53"/>
  <c r="E37" i="53"/>
  <c r="E36" i="53"/>
  <c r="E35" i="53"/>
  <c r="E34" i="53"/>
  <c r="E33" i="53"/>
  <c r="E32" i="53"/>
  <c r="E31" i="53"/>
  <c r="E30" i="53"/>
  <c r="E29" i="53"/>
  <c r="E28" i="53"/>
  <c r="E27" i="53"/>
  <c r="E26" i="53"/>
  <c r="E25" i="53"/>
  <c r="E60" i="98"/>
  <c r="E59" i="98"/>
  <c r="E58" i="98"/>
  <c r="E57" i="98"/>
  <c r="E56" i="98"/>
  <c r="E55" i="98"/>
  <c r="E54" i="98"/>
  <c r="E53" i="98"/>
  <c r="E52" i="98"/>
  <c r="E51" i="98"/>
  <c r="E50" i="98"/>
  <c r="E49" i="98"/>
  <c r="E48" i="98"/>
  <c r="E47" i="98"/>
  <c r="E46" i="98"/>
  <c r="E45" i="98"/>
  <c r="E44" i="98"/>
  <c r="E43" i="98"/>
  <c r="E42" i="98"/>
  <c r="E41" i="98"/>
  <c r="E40" i="98"/>
  <c r="E39" i="98"/>
  <c r="E38" i="98"/>
  <c r="E37" i="98"/>
  <c r="E36" i="98"/>
  <c r="E35" i="98"/>
  <c r="E34" i="98"/>
  <c r="E33" i="98"/>
  <c r="E32" i="98"/>
  <c r="E31" i="98"/>
  <c r="E30" i="98"/>
  <c r="E29" i="98"/>
  <c r="E28" i="98"/>
  <c r="E27" i="98"/>
  <c r="E26" i="98"/>
  <c r="E25" i="98"/>
  <c r="E60" i="49"/>
  <c r="E59" i="49"/>
  <c r="E58" i="49"/>
  <c r="E57" i="49"/>
  <c r="E56" i="49"/>
  <c r="E55" i="49"/>
  <c r="E54" i="49"/>
  <c r="E53" i="49"/>
  <c r="E52" i="49"/>
  <c r="E51" i="49"/>
  <c r="E50" i="49"/>
  <c r="E49" i="49"/>
  <c r="E48" i="49"/>
  <c r="E47" i="49"/>
  <c r="E46" i="49"/>
  <c r="E45" i="49"/>
  <c r="E44" i="49"/>
  <c r="E43" i="49"/>
  <c r="E42" i="49"/>
  <c r="E41" i="49"/>
  <c r="E40" i="49"/>
  <c r="E39" i="49"/>
  <c r="E38" i="49"/>
  <c r="E37" i="49"/>
  <c r="E36" i="49"/>
  <c r="E35" i="49"/>
  <c r="E34" i="49"/>
  <c r="E33" i="49"/>
  <c r="E32" i="49"/>
  <c r="E31" i="49"/>
  <c r="E30" i="49"/>
  <c r="E29" i="49"/>
  <c r="E28" i="49"/>
  <c r="E27" i="49"/>
  <c r="E26" i="49"/>
  <c r="E25" i="49"/>
  <c r="E60" i="83"/>
  <c r="E59" i="83"/>
  <c r="E58" i="83"/>
  <c r="E57" i="83"/>
  <c r="E56" i="83"/>
  <c r="E55" i="83"/>
  <c r="E54" i="83"/>
  <c r="E53" i="83"/>
  <c r="E52" i="83"/>
  <c r="E51" i="83"/>
  <c r="E50" i="83"/>
  <c r="E49" i="83"/>
  <c r="E48" i="83"/>
  <c r="E47" i="83"/>
  <c r="E46" i="83"/>
  <c r="E45" i="83"/>
  <c r="E44" i="83"/>
  <c r="E43" i="83"/>
  <c r="E42" i="83"/>
  <c r="E41" i="83"/>
  <c r="E40" i="83"/>
  <c r="E39" i="83"/>
  <c r="E38" i="83"/>
  <c r="E37" i="83"/>
  <c r="E36" i="83"/>
  <c r="E35" i="83"/>
  <c r="E34" i="83"/>
  <c r="E33" i="83"/>
  <c r="E32" i="83"/>
  <c r="E31" i="83"/>
  <c r="E30" i="83"/>
  <c r="E29" i="83"/>
  <c r="E28" i="83"/>
  <c r="E27" i="83"/>
  <c r="E26" i="83"/>
  <c r="E25" i="83"/>
  <c r="E60" i="47"/>
  <c r="E59" i="47"/>
  <c r="E58" i="47"/>
  <c r="E57" i="47"/>
  <c r="E56" i="47"/>
  <c r="E55" i="47"/>
  <c r="E54" i="47"/>
  <c r="E53" i="47"/>
  <c r="E52" i="47"/>
  <c r="E51" i="47"/>
  <c r="E50" i="47"/>
  <c r="E49" i="47"/>
  <c r="E48" i="47"/>
  <c r="E47" i="47"/>
  <c r="E46" i="47"/>
  <c r="E45" i="47"/>
  <c r="E44" i="47"/>
  <c r="E43" i="47"/>
  <c r="E42" i="47"/>
  <c r="E41" i="47"/>
  <c r="E40" i="47"/>
  <c r="E39" i="47"/>
  <c r="E38" i="47"/>
  <c r="E37" i="47"/>
  <c r="E36" i="47"/>
  <c r="E35" i="47"/>
  <c r="E34" i="47"/>
  <c r="E33" i="47"/>
  <c r="E32" i="47"/>
  <c r="E31" i="47"/>
  <c r="E30" i="47"/>
  <c r="E29" i="47"/>
  <c r="E28" i="47"/>
  <c r="E27" i="47"/>
  <c r="E26" i="47"/>
  <c r="E25" i="47"/>
  <c r="E60" i="46"/>
  <c r="E59" i="46"/>
  <c r="E58" i="46"/>
  <c r="E57" i="46"/>
  <c r="E56" i="46"/>
  <c r="E55" i="46"/>
  <c r="E54" i="46"/>
  <c r="E53" i="46"/>
  <c r="E52" i="46"/>
  <c r="E51" i="46"/>
  <c r="E50" i="46"/>
  <c r="E49" i="46"/>
  <c r="E48" i="46"/>
  <c r="E47" i="46"/>
  <c r="E46" i="46"/>
  <c r="E45" i="46"/>
  <c r="E44" i="46"/>
  <c r="E43" i="46"/>
  <c r="E42" i="46"/>
  <c r="E41" i="46"/>
  <c r="E40" i="46"/>
  <c r="E39" i="46"/>
  <c r="E38" i="46"/>
  <c r="E37" i="46"/>
  <c r="E36" i="46"/>
  <c r="E35" i="46"/>
  <c r="E34" i="46"/>
  <c r="E33" i="46"/>
  <c r="E32" i="46"/>
  <c r="E31" i="46"/>
  <c r="E30" i="46"/>
  <c r="E29" i="46"/>
  <c r="E28" i="46"/>
  <c r="E27" i="46"/>
  <c r="E26" i="46"/>
  <c r="E25" i="46"/>
  <c r="E60" i="102"/>
  <c r="E59" i="102"/>
  <c r="E58" i="102"/>
  <c r="E57" i="102"/>
  <c r="E56" i="102"/>
  <c r="E55" i="102"/>
  <c r="E54" i="102"/>
  <c r="E53" i="102"/>
  <c r="E52" i="102"/>
  <c r="E51" i="102"/>
  <c r="E50" i="102"/>
  <c r="E49" i="102"/>
  <c r="E48" i="102"/>
  <c r="E47" i="102"/>
  <c r="E46" i="102"/>
  <c r="E45" i="102"/>
  <c r="E44" i="102"/>
  <c r="E43" i="102"/>
  <c r="E42" i="102"/>
  <c r="E41" i="102"/>
  <c r="E40" i="102"/>
  <c r="E39" i="102"/>
  <c r="E38" i="102"/>
  <c r="E37" i="102"/>
  <c r="E36" i="102"/>
  <c r="E35" i="102"/>
  <c r="E34" i="102"/>
  <c r="E33" i="102"/>
  <c r="E32" i="102"/>
  <c r="E31" i="102"/>
  <c r="E30" i="102"/>
  <c r="E29" i="102"/>
  <c r="E28" i="102"/>
  <c r="E27" i="102"/>
  <c r="E26" i="102"/>
  <c r="E25" i="102"/>
  <c r="E60" i="45"/>
  <c r="E59" i="45"/>
  <c r="E58" i="45"/>
  <c r="E57" i="45"/>
  <c r="E56" i="45"/>
  <c r="E55" i="45"/>
  <c r="E54" i="45"/>
  <c r="E53" i="45"/>
  <c r="E52" i="45"/>
  <c r="E51" i="45"/>
  <c r="E50" i="45"/>
  <c r="E49" i="45"/>
  <c r="E48" i="45"/>
  <c r="E47" i="45"/>
  <c r="E46" i="45"/>
  <c r="E45" i="45"/>
  <c r="E44" i="45"/>
  <c r="E43" i="45"/>
  <c r="E42" i="45"/>
  <c r="E41" i="45"/>
  <c r="E40" i="45"/>
  <c r="E39" i="45"/>
  <c r="E38" i="45"/>
  <c r="E37" i="45"/>
  <c r="E36" i="45"/>
  <c r="E35" i="45"/>
  <c r="E34" i="45"/>
  <c r="E33" i="45"/>
  <c r="E32" i="45"/>
  <c r="E31" i="45"/>
  <c r="E30" i="45"/>
  <c r="E29" i="45"/>
  <c r="E28" i="45"/>
  <c r="E27" i="45"/>
  <c r="E26" i="45"/>
  <c r="E25" i="45"/>
  <c r="E60" i="104"/>
  <c r="E59" i="104"/>
  <c r="E58" i="104"/>
  <c r="E57" i="104"/>
  <c r="E56" i="104"/>
  <c r="E55" i="104"/>
  <c r="E54" i="104"/>
  <c r="E53" i="104"/>
  <c r="E52" i="104"/>
  <c r="E51" i="104"/>
  <c r="E50" i="104"/>
  <c r="E49" i="104"/>
  <c r="E48" i="104"/>
  <c r="E47" i="104"/>
  <c r="E46" i="104"/>
  <c r="E45" i="104"/>
  <c r="E44" i="104"/>
  <c r="E43" i="104"/>
  <c r="E42" i="104"/>
  <c r="E41" i="104"/>
  <c r="E40" i="104"/>
  <c r="E39" i="104"/>
  <c r="E38" i="104"/>
  <c r="E37" i="104"/>
  <c r="E36" i="104"/>
  <c r="E35" i="104"/>
  <c r="E34" i="104"/>
  <c r="E33" i="104"/>
  <c r="E32" i="104"/>
  <c r="E31" i="104"/>
  <c r="E30" i="104"/>
  <c r="E29" i="104"/>
  <c r="E28" i="104"/>
  <c r="E27" i="104"/>
  <c r="E26" i="104"/>
  <c r="E25" i="104"/>
  <c r="E60" i="106"/>
  <c r="E59" i="106"/>
  <c r="E58" i="106"/>
  <c r="E57" i="106"/>
  <c r="E56" i="106"/>
  <c r="E55" i="106"/>
  <c r="E54" i="106"/>
  <c r="E53" i="106"/>
  <c r="E52" i="106"/>
  <c r="E51" i="106"/>
  <c r="E50" i="106"/>
  <c r="E49" i="106"/>
  <c r="E48" i="106"/>
  <c r="E47" i="106"/>
  <c r="E46" i="106"/>
  <c r="E45" i="106"/>
  <c r="E44" i="106"/>
  <c r="E43" i="106"/>
  <c r="E42" i="106"/>
  <c r="E41" i="106"/>
  <c r="E40" i="106"/>
  <c r="E39" i="106"/>
  <c r="E38" i="106"/>
  <c r="E37" i="106"/>
  <c r="E36" i="106"/>
  <c r="E35" i="106"/>
  <c r="E34" i="106"/>
  <c r="E33" i="106"/>
  <c r="E32" i="106"/>
  <c r="E31" i="106"/>
  <c r="E30" i="106"/>
  <c r="E29" i="106"/>
  <c r="E28" i="106"/>
  <c r="E27" i="106"/>
  <c r="E26" i="106"/>
  <c r="E25" i="106"/>
  <c r="E60" i="57"/>
  <c r="E59" i="57"/>
  <c r="E58" i="57"/>
  <c r="E57" i="57"/>
  <c r="E56" i="57"/>
  <c r="E55" i="57"/>
  <c r="E54" i="57"/>
  <c r="E53" i="57"/>
  <c r="E52" i="57"/>
  <c r="E51" i="57"/>
  <c r="E50" i="57"/>
  <c r="E49" i="57"/>
  <c r="E48" i="57"/>
  <c r="E47" i="57"/>
  <c r="E46" i="57"/>
  <c r="E45" i="57"/>
  <c r="E44" i="57"/>
  <c r="E43" i="57"/>
  <c r="E42" i="57"/>
  <c r="E41" i="57"/>
  <c r="E40" i="57"/>
  <c r="E39" i="57"/>
  <c r="E38" i="57"/>
  <c r="E37" i="57"/>
  <c r="E36" i="57"/>
  <c r="E35" i="57"/>
  <c r="E34" i="57"/>
  <c r="E33" i="57"/>
  <c r="E32" i="57"/>
  <c r="E31" i="57"/>
  <c r="E30" i="57"/>
  <c r="E29" i="57"/>
  <c r="E28" i="57"/>
  <c r="E27" i="57"/>
  <c r="E26" i="57"/>
  <c r="E25" i="57"/>
  <c r="E60" i="42"/>
  <c r="E59" i="42"/>
  <c r="E58" i="42"/>
  <c r="E57" i="42"/>
  <c r="E56" i="42"/>
  <c r="E55" i="42"/>
  <c r="E54" i="42"/>
  <c r="E53" i="42"/>
  <c r="E52" i="42"/>
  <c r="E51" i="42"/>
  <c r="E50" i="42"/>
  <c r="E49" i="42"/>
  <c r="E48" i="42"/>
  <c r="E47" i="42"/>
  <c r="E46" i="42"/>
  <c r="E45" i="42"/>
  <c r="E44" i="42"/>
  <c r="E43" i="42"/>
  <c r="E42" i="42"/>
  <c r="E41" i="42"/>
  <c r="E40" i="42"/>
  <c r="E39" i="42"/>
  <c r="E38" i="42"/>
  <c r="E37" i="42"/>
  <c r="E36" i="42"/>
  <c r="E35" i="42"/>
  <c r="E34" i="42"/>
  <c r="E33" i="42"/>
  <c r="E32" i="42"/>
  <c r="E31" i="42"/>
  <c r="E30" i="42"/>
  <c r="E29" i="42"/>
  <c r="E28" i="42"/>
  <c r="E27" i="42"/>
  <c r="E26" i="42"/>
  <c r="E25" i="42"/>
  <c r="E60" i="71"/>
  <c r="E59" i="71"/>
  <c r="E58" i="71"/>
  <c r="E57" i="71"/>
  <c r="E56" i="71"/>
  <c r="E55" i="71"/>
  <c r="E54" i="71"/>
  <c r="E53" i="71"/>
  <c r="E52" i="71"/>
  <c r="E51" i="71"/>
  <c r="E50" i="71"/>
  <c r="E49" i="71"/>
  <c r="E48" i="71"/>
  <c r="E47" i="71"/>
  <c r="E46" i="71"/>
  <c r="E45" i="71"/>
  <c r="E44" i="71"/>
  <c r="E43" i="71"/>
  <c r="E42" i="71"/>
  <c r="E41" i="71"/>
  <c r="E40" i="71"/>
  <c r="E39" i="71"/>
  <c r="E38" i="71"/>
  <c r="E37" i="71"/>
  <c r="E36" i="71"/>
  <c r="E35" i="71"/>
  <c r="E34" i="71"/>
  <c r="E33" i="71"/>
  <c r="E32" i="71"/>
  <c r="E31" i="71"/>
  <c r="E30" i="71"/>
  <c r="E29" i="71"/>
  <c r="E28" i="71"/>
  <c r="E27" i="71"/>
  <c r="E26" i="71"/>
  <c r="E25" i="71"/>
  <c r="E60" i="167"/>
  <c r="E59" i="167"/>
  <c r="E58" i="167"/>
  <c r="E57" i="167"/>
  <c r="E56" i="167"/>
  <c r="E55" i="167"/>
  <c r="E54" i="167"/>
  <c r="E53" i="167"/>
  <c r="E52" i="167"/>
  <c r="E51" i="167"/>
  <c r="E50" i="167"/>
  <c r="E49" i="167"/>
  <c r="E48" i="167"/>
  <c r="E47" i="167"/>
  <c r="E46" i="167"/>
  <c r="E45" i="167"/>
  <c r="E44" i="167"/>
  <c r="E43" i="167"/>
  <c r="E42" i="167"/>
  <c r="E41" i="167"/>
  <c r="E40" i="167"/>
  <c r="E39" i="167"/>
  <c r="E38" i="167"/>
  <c r="E37" i="167"/>
  <c r="E36" i="167"/>
  <c r="E35" i="167"/>
  <c r="E34" i="167"/>
  <c r="E33" i="167"/>
  <c r="E32" i="167"/>
  <c r="E31" i="167"/>
  <c r="E30" i="167"/>
  <c r="E29" i="167"/>
  <c r="E28" i="167"/>
  <c r="E27" i="167"/>
  <c r="E26" i="167"/>
  <c r="E25" i="167"/>
  <c r="E60" i="39"/>
  <c r="E59" i="39"/>
  <c r="E58" i="39"/>
  <c r="E57" i="39"/>
  <c r="E56" i="39"/>
  <c r="E55" i="39"/>
  <c r="E54" i="39"/>
  <c r="E53" i="39"/>
  <c r="E52" i="39"/>
  <c r="E51" i="39"/>
  <c r="E50" i="39"/>
  <c r="E49" i="39"/>
  <c r="E48" i="39"/>
  <c r="E47" i="39"/>
  <c r="E46" i="39"/>
  <c r="E45" i="39"/>
  <c r="E44" i="39"/>
  <c r="E43" i="39"/>
  <c r="E42" i="39"/>
  <c r="E41" i="39"/>
  <c r="E40" i="39"/>
  <c r="E39" i="39"/>
  <c r="E38" i="39"/>
  <c r="E37" i="39"/>
  <c r="E36" i="39"/>
  <c r="E35" i="39"/>
  <c r="E34" i="39"/>
  <c r="E33" i="39"/>
  <c r="E32" i="39"/>
  <c r="E31" i="39"/>
  <c r="E30" i="39"/>
  <c r="E29" i="39"/>
  <c r="E28" i="39"/>
  <c r="E27" i="39"/>
  <c r="E26" i="39"/>
  <c r="E25" i="39"/>
  <c r="E60" i="135"/>
  <c r="E59" i="135"/>
  <c r="E58" i="135"/>
  <c r="E57" i="135"/>
  <c r="E56" i="135"/>
  <c r="E55" i="135"/>
  <c r="E54" i="135"/>
  <c r="E53" i="135"/>
  <c r="E52" i="135"/>
  <c r="E51" i="135"/>
  <c r="E50" i="135"/>
  <c r="E49" i="135"/>
  <c r="E48" i="135"/>
  <c r="E47" i="135"/>
  <c r="E46" i="135"/>
  <c r="E45" i="135"/>
  <c r="E44" i="135"/>
  <c r="E43" i="135"/>
  <c r="E42" i="135"/>
  <c r="E41" i="135"/>
  <c r="E40" i="135"/>
  <c r="E39" i="135"/>
  <c r="E38" i="135"/>
  <c r="E37" i="135"/>
  <c r="E36" i="135"/>
  <c r="E35" i="135"/>
  <c r="E34" i="135"/>
  <c r="E33" i="135"/>
  <c r="E32" i="135"/>
  <c r="E31" i="135"/>
  <c r="E30" i="135"/>
  <c r="E29" i="135"/>
  <c r="E28" i="135"/>
  <c r="E27" i="135"/>
  <c r="E26" i="135"/>
  <c r="E25" i="135"/>
  <c r="E60" i="38"/>
  <c r="E59" i="38"/>
  <c r="E58" i="38"/>
  <c r="E57" i="38"/>
  <c r="E56" i="38"/>
  <c r="E55" i="38"/>
  <c r="E54" i="38"/>
  <c r="E53" i="38"/>
  <c r="E52" i="38"/>
  <c r="E51" i="38"/>
  <c r="E50" i="38"/>
  <c r="E49" i="38"/>
  <c r="E48" i="38"/>
  <c r="E47" i="38"/>
  <c r="E46" i="38"/>
  <c r="E45" i="38"/>
  <c r="E44" i="38"/>
  <c r="E43" i="38"/>
  <c r="E42" i="38"/>
  <c r="E41" i="38"/>
  <c r="E40" i="38"/>
  <c r="E39" i="38"/>
  <c r="E38" i="38"/>
  <c r="E37" i="38"/>
  <c r="E36" i="38"/>
  <c r="E35" i="38"/>
  <c r="E34" i="38"/>
  <c r="E33" i="38"/>
  <c r="E32" i="38"/>
  <c r="E31" i="38"/>
  <c r="E30" i="38"/>
  <c r="E29" i="38"/>
  <c r="E28" i="38"/>
  <c r="E27" i="38"/>
  <c r="E26" i="38"/>
  <c r="E25" i="38"/>
  <c r="E60" i="152"/>
  <c r="E59" i="152"/>
  <c r="E58" i="152"/>
  <c r="E57" i="152"/>
  <c r="E56" i="152"/>
  <c r="E55" i="152"/>
  <c r="E54" i="152"/>
  <c r="E53" i="152"/>
  <c r="E52" i="152"/>
  <c r="E51" i="152"/>
  <c r="E50" i="152"/>
  <c r="E49" i="152"/>
  <c r="E48" i="152"/>
  <c r="E47" i="152"/>
  <c r="E46" i="152"/>
  <c r="E45" i="152"/>
  <c r="E44" i="152"/>
  <c r="E43" i="152"/>
  <c r="E42" i="152"/>
  <c r="E41" i="152"/>
  <c r="E40" i="152"/>
  <c r="E39" i="152"/>
  <c r="E38" i="152"/>
  <c r="E37" i="152"/>
  <c r="E36" i="152"/>
  <c r="E35" i="152"/>
  <c r="E34" i="152"/>
  <c r="E33" i="152"/>
  <c r="E32" i="152"/>
  <c r="E31" i="152"/>
  <c r="E30" i="152"/>
  <c r="E29" i="152"/>
  <c r="E28" i="152"/>
  <c r="E27" i="152"/>
  <c r="E26" i="152"/>
  <c r="E25" i="152"/>
  <c r="E60" i="120"/>
  <c r="E59" i="120"/>
  <c r="E58" i="120"/>
  <c r="E57" i="120"/>
  <c r="E56" i="120"/>
  <c r="E55" i="120"/>
  <c r="E54" i="120"/>
  <c r="E53" i="120"/>
  <c r="E52" i="120"/>
  <c r="E51" i="120"/>
  <c r="E50" i="120"/>
  <c r="E49" i="120"/>
  <c r="E48" i="120"/>
  <c r="E47" i="120"/>
  <c r="E46" i="120"/>
  <c r="E45" i="120"/>
  <c r="E44" i="120"/>
  <c r="E43" i="120"/>
  <c r="E42" i="120"/>
  <c r="E41" i="120"/>
  <c r="E40" i="120"/>
  <c r="E39" i="120"/>
  <c r="E38" i="120"/>
  <c r="E37" i="120"/>
  <c r="E36" i="120"/>
  <c r="E35" i="120"/>
  <c r="E34" i="120"/>
  <c r="E33" i="120"/>
  <c r="E32" i="120"/>
  <c r="E31" i="120"/>
  <c r="E30" i="120"/>
  <c r="E29" i="120"/>
  <c r="E28" i="120"/>
  <c r="E27" i="120"/>
  <c r="E26" i="120"/>
  <c r="E25" i="120"/>
  <c r="E60" i="37"/>
  <c r="E59" i="37"/>
  <c r="E58" i="37"/>
  <c r="E57" i="37"/>
  <c r="E56" i="37"/>
  <c r="E55" i="37"/>
  <c r="E54" i="37"/>
  <c r="E53" i="37"/>
  <c r="E52" i="37"/>
  <c r="E51" i="37"/>
  <c r="E50" i="37"/>
  <c r="E49" i="37"/>
  <c r="E48" i="37"/>
  <c r="E47" i="37"/>
  <c r="E46" i="37"/>
  <c r="E45" i="37"/>
  <c r="E44" i="37"/>
  <c r="E43" i="37"/>
  <c r="E42" i="37"/>
  <c r="E41" i="37"/>
  <c r="E40" i="37"/>
  <c r="E39" i="37"/>
  <c r="E38" i="37"/>
  <c r="E37" i="37"/>
  <c r="E36" i="37"/>
  <c r="E35" i="37"/>
  <c r="E34" i="37"/>
  <c r="E33" i="37"/>
  <c r="E32" i="37"/>
  <c r="E31" i="37"/>
  <c r="E30" i="37"/>
  <c r="E29" i="37"/>
  <c r="E28" i="37"/>
  <c r="E27" i="37"/>
  <c r="E26" i="37"/>
  <c r="E25" i="37"/>
  <c r="E60" i="90"/>
  <c r="E59" i="90"/>
  <c r="E58" i="90"/>
  <c r="E57" i="90"/>
  <c r="E56" i="90"/>
  <c r="E55" i="90"/>
  <c r="E54" i="90"/>
  <c r="E53" i="90"/>
  <c r="E52" i="90"/>
  <c r="E51" i="90"/>
  <c r="E50" i="90"/>
  <c r="E49" i="90"/>
  <c r="E48" i="90"/>
  <c r="E47" i="90"/>
  <c r="E46" i="90"/>
  <c r="E45" i="90"/>
  <c r="E44" i="90"/>
  <c r="E43" i="90"/>
  <c r="E42" i="90"/>
  <c r="E41" i="90"/>
  <c r="E40" i="90"/>
  <c r="E39" i="90"/>
  <c r="E38" i="90"/>
  <c r="E37" i="90"/>
  <c r="E36" i="90"/>
  <c r="E35" i="90"/>
  <c r="E34" i="90"/>
  <c r="E33" i="90"/>
  <c r="E32" i="90"/>
  <c r="E31" i="90"/>
  <c r="E30" i="90"/>
  <c r="E29" i="90"/>
  <c r="E28" i="90"/>
  <c r="E27" i="90"/>
  <c r="E26" i="90"/>
  <c r="E25" i="90"/>
  <c r="E60" i="24"/>
  <c r="E59" i="24"/>
  <c r="E58" i="24"/>
  <c r="E57" i="24"/>
  <c r="E56" i="24"/>
  <c r="E55" i="24"/>
  <c r="E54" i="24"/>
  <c r="E53" i="24"/>
  <c r="E52" i="24"/>
  <c r="E51" i="24"/>
  <c r="E50" i="24"/>
  <c r="E49" i="24"/>
  <c r="E48" i="24"/>
  <c r="E47" i="24"/>
  <c r="E46" i="24"/>
  <c r="E45" i="24"/>
  <c r="E44" i="24"/>
  <c r="E43" i="24"/>
  <c r="E42" i="24"/>
  <c r="E41" i="24"/>
  <c r="E40" i="24"/>
  <c r="E39" i="24"/>
  <c r="E38" i="24"/>
  <c r="E37" i="24"/>
  <c r="E36" i="24"/>
  <c r="E35" i="24"/>
  <c r="E34" i="24"/>
  <c r="E33" i="24"/>
  <c r="E32" i="24"/>
  <c r="E31" i="24"/>
  <c r="E30" i="24"/>
  <c r="E29" i="24"/>
  <c r="E28" i="24"/>
  <c r="E27" i="24"/>
  <c r="E26" i="24"/>
  <c r="E25" i="24"/>
  <c r="E60" i="141"/>
  <c r="E59" i="141"/>
  <c r="E58" i="141"/>
  <c r="E57" i="141"/>
  <c r="E56" i="141"/>
  <c r="E55" i="141"/>
  <c r="E54" i="141"/>
  <c r="E53" i="141"/>
  <c r="E52" i="141"/>
  <c r="E51" i="141"/>
  <c r="E50" i="141"/>
  <c r="E49" i="141"/>
  <c r="E48" i="141"/>
  <c r="E47" i="141"/>
  <c r="E46" i="141"/>
  <c r="E45" i="141"/>
  <c r="E44" i="141"/>
  <c r="E43" i="141"/>
  <c r="E42" i="141"/>
  <c r="E41" i="141"/>
  <c r="E40" i="141"/>
  <c r="E39" i="141"/>
  <c r="E38" i="141"/>
  <c r="E37" i="141"/>
  <c r="E36" i="141"/>
  <c r="E35" i="141"/>
  <c r="E34" i="141"/>
  <c r="E33" i="141"/>
  <c r="E32" i="141"/>
  <c r="E31" i="141"/>
  <c r="E30" i="141"/>
  <c r="E29" i="141"/>
  <c r="E28" i="141"/>
  <c r="E27" i="141"/>
  <c r="E26" i="141"/>
  <c r="E25" i="141"/>
  <c r="E60" i="33"/>
  <c r="E59" i="33"/>
  <c r="E58" i="33"/>
  <c r="E57" i="33"/>
  <c r="E56" i="33"/>
  <c r="E55" i="33"/>
  <c r="E54" i="33"/>
  <c r="E53" i="33"/>
  <c r="E52" i="33"/>
  <c r="E51" i="33"/>
  <c r="E50" i="33"/>
  <c r="E49" i="33"/>
  <c r="E48" i="33"/>
  <c r="E47" i="33"/>
  <c r="E46" i="33"/>
  <c r="E45" i="33"/>
  <c r="E44" i="33"/>
  <c r="E43" i="33"/>
  <c r="E42" i="33"/>
  <c r="E41" i="33"/>
  <c r="E40" i="33"/>
  <c r="E39" i="33"/>
  <c r="E38" i="33"/>
  <c r="E37" i="33"/>
  <c r="E36" i="33"/>
  <c r="E35" i="33"/>
  <c r="E34" i="33"/>
  <c r="E33" i="33"/>
  <c r="E32" i="33"/>
  <c r="E31" i="33"/>
  <c r="E30" i="33"/>
  <c r="E29" i="33"/>
  <c r="E28" i="33"/>
  <c r="E27" i="33"/>
  <c r="E26" i="33"/>
  <c r="E25" i="33"/>
  <c r="E60" i="32"/>
  <c r="E59" i="32"/>
  <c r="E58" i="32"/>
  <c r="E57" i="32"/>
  <c r="E56" i="32"/>
  <c r="E55" i="32"/>
  <c r="E54" i="32"/>
  <c r="E53" i="32"/>
  <c r="E52" i="32"/>
  <c r="E51" i="32"/>
  <c r="E50" i="32"/>
  <c r="E49" i="32"/>
  <c r="E48" i="32"/>
  <c r="E47" i="32"/>
  <c r="E46" i="32"/>
  <c r="E45" i="32"/>
  <c r="E44" i="32"/>
  <c r="E43" i="32"/>
  <c r="E42" i="32"/>
  <c r="E41" i="32"/>
  <c r="E40" i="32"/>
  <c r="E39" i="32"/>
  <c r="E38" i="32"/>
  <c r="E37" i="32"/>
  <c r="E36" i="32"/>
  <c r="E35" i="32"/>
  <c r="E34" i="32"/>
  <c r="E33" i="32"/>
  <c r="E32" i="32"/>
  <c r="E31" i="32"/>
  <c r="E30" i="32"/>
  <c r="E29" i="32"/>
  <c r="E28" i="32"/>
  <c r="E27" i="32"/>
  <c r="E26" i="32"/>
  <c r="E25" i="32"/>
  <c r="E60" i="79"/>
  <c r="E59" i="79"/>
  <c r="E58" i="79"/>
  <c r="E57" i="79"/>
  <c r="E56" i="79"/>
  <c r="E55" i="79"/>
  <c r="E54" i="79"/>
  <c r="E53" i="79"/>
  <c r="E52" i="79"/>
  <c r="E51" i="79"/>
  <c r="E50" i="79"/>
  <c r="E49" i="79"/>
  <c r="E48" i="79"/>
  <c r="E47" i="79"/>
  <c r="E46" i="79"/>
  <c r="E45" i="79"/>
  <c r="E44" i="79"/>
  <c r="E43" i="79"/>
  <c r="E42" i="79"/>
  <c r="E41" i="79"/>
  <c r="E40" i="79"/>
  <c r="E39" i="79"/>
  <c r="E38" i="79"/>
  <c r="E37" i="79"/>
  <c r="E36" i="79"/>
  <c r="E35" i="79"/>
  <c r="E34" i="79"/>
  <c r="E33" i="79"/>
  <c r="E32" i="79"/>
  <c r="E31" i="79"/>
  <c r="E30" i="79"/>
  <c r="E29" i="79"/>
  <c r="E28" i="79"/>
  <c r="E27" i="79"/>
  <c r="E26" i="79"/>
  <c r="E25" i="79"/>
  <c r="E60" i="31"/>
  <c r="E59" i="31"/>
  <c r="E58" i="31"/>
  <c r="E57" i="31"/>
  <c r="E56" i="31"/>
  <c r="E55" i="31"/>
  <c r="E54" i="31"/>
  <c r="E53" i="31"/>
  <c r="E52" i="31"/>
  <c r="E51" i="31"/>
  <c r="E50" i="31"/>
  <c r="E49" i="31"/>
  <c r="E48" i="31"/>
  <c r="E47" i="31"/>
  <c r="E46" i="31"/>
  <c r="E45" i="31"/>
  <c r="E44" i="31"/>
  <c r="E43" i="31"/>
  <c r="E42" i="31"/>
  <c r="E41" i="31"/>
  <c r="E40" i="31"/>
  <c r="E39" i="31"/>
  <c r="E38" i="31"/>
  <c r="E37" i="31"/>
  <c r="E36" i="31"/>
  <c r="E35" i="31"/>
  <c r="E34" i="31"/>
  <c r="E33" i="31"/>
  <c r="E32" i="31"/>
  <c r="E31" i="31"/>
  <c r="E30" i="31"/>
  <c r="E29" i="31"/>
  <c r="E28" i="31"/>
  <c r="E27" i="31"/>
  <c r="E26" i="31"/>
  <c r="E25" i="31"/>
  <c r="E60" i="64"/>
  <c r="E59" i="64"/>
  <c r="E58" i="64"/>
  <c r="E57" i="64"/>
  <c r="E56" i="64"/>
  <c r="E55" i="64"/>
  <c r="E54" i="64"/>
  <c r="E53" i="64"/>
  <c r="E52" i="64"/>
  <c r="E51" i="64"/>
  <c r="E50" i="64"/>
  <c r="E49" i="64"/>
  <c r="E48" i="64"/>
  <c r="E47" i="64"/>
  <c r="E46" i="64"/>
  <c r="E45" i="64"/>
  <c r="E44" i="64"/>
  <c r="E43" i="64"/>
  <c r="E42" i="64"/>
  <c r="E41" i="64"/>
  <c r="E40" i="64"/>
  <c r="E39" i="64"/>
  <c r="E38" i="64"/>
  <c r="E37" i="64"/>
  <c r="E36" i="64"/>
  <c r="E35" i="64"/>
  <c r="E34" i="64"/>
  <c r="E33" i="64"/>
  <c r="E32" i="64"/>
  <c r="E31" i="64"/>
  <c r="E30" i="64"/>
  <c r="E29" i="64"/>
  <c r="E28" i="64"/>
  <c r="E27" i="64"/>
  <c r="E26" i="64"/>
  <c r="E25" i="64"/>
  <c r="E60" i="72"/>
  <c r="E59" i="72"/>
  <c r="E58" i="72"/>
  <c r="E57" i="72"/>
  <c r="E56" i="72"/>
  <c r="E55" i="72"/>
  <c r="E54" i="72"/>
  <c r="E53" i="72"/>
  <c r="E52" i="72"/>
  <c r="E51" i="72"/>
  <c r="E50" i="72"/>
  <c r="E49" i="72"/>
  <c r="E48" i="72"/>
  <c r="E47" i="72"/>
  <c r="E46" i="72"/>
  <c r="E45" i="72"/>
  <c r="E44" i="72"/>
  <c r="E43" i="72"/>
  <c r="E42" i="72"/>
  <c r="E41" i="72"/>
  <c r="E40" i="72"/>
  <c r="E39" i="72"/>
  <c r="E38" i="72"/>
  <c r="E37" i="72"/>
  <c r="E36" i="72"/>
  <c r="E35" i="72"/>
  <c r="E34" i="72"/>
  <c r="E33" i="72"/>
  <c r="E32" i="72"/>
  <c r="E31" i="72"/>
  <c r="E30" i="72"/>
  <c r="E29" i="72"/>
  <c r="E28" i="72"/>
  <c r="E27" i="72"/>
  <c r="E26" i="72"/>
  <c r="E25" i="72"/>
  <c r="E60" i="28"/>
  <c r="E59" i="28"/>
  <c r="E58" i="28"/>
  <c r="E57" i="28"/>
  <c r="E56" i="28"/>
  <c r="E55" i="28"/>
  <c r="E54" i="28"/>
  <c r="E53" i="28"/>
  <c r="E52" i="28"/>
  <c r="E51" i="28"/>
  <c r="E50" i="28"/>
  <c r="E49" i="28"/>
  <c r="E48" i="28"/>
  <c r="E47" i="28"/>
  <c r="E46" i="28"/>
  <c r="E45" i="28"/>
  <c r="E44" i="28"/>
  <c r="E43" i="28"/>
  <c r="E42" i="28"/>
  <c r="E41" i="28"/>
  <c r="E40" i="28"/>
  <c r="E39" i="28"/>
  <c r="E38" i="28"/>
  <c r="E37" i="28"/>
  <c r="E36" i="28"/>
  <c r="E35" i="28"/>
  <c r="E34" i="28"/>
  <c r="E33" i="28"/>
  <c r="E32" i="28"/>
  <c r="E31" i="28"/>
  <c r="E30" i="28"/>
  <c r="E29" i="28"/>
  <c r="E28" i="28"/>
  <c r="E27" i="28"/>
  <c r="E26" i="28"/>
  <c r="E25" i="28"/>
  <c r="E60" i="65"/>
  <c r="E59" i="65"/>
  <c r="E58" i="65"/>
  <c r="E57" i="65"/>
  <c r="E56" i="65"/>
  <c r="E55" i="65"/>
  <c r="E54" i="65"/>
  <c r="E53" i="65"/>
  <c r="E52" i="65"/>
  <c r="E51" i="65"/>
  <c r="E50" i="65"/>
  <c r="E49" i="65"/>
  <c r="E48" i="65"/>
  <c r="E47" i="65"/>
  <c r="E46" i="65"/>
  <c r="E45" i="65"/>
  <c r="E44" i="65"/>
  <c r="E43" i="65"/>
  <c r="E42" i="65"/>
  <c r="E41" i="65"/>
  <c r="E40" i="65"/>
  <c r="E39" i="65"/>
  <c r="E38" i="65"/>
  <c r="E37" i="65"/>
  <c r="E36" i="65"/>
  <c r="E35" i="65"/>
  <c r="E34" i="65"/>
  <c r="E33" i="65"/>
  <c r="E32" i="65"/>
  <c r="E31" i="65"/>
  <c r="E30" i="65"/>
  <c r="E29" i="65"/>
  <c r="E28" i="65"/>
  <c r="E27" i="65"/>
  <c r="E26" i="65"/>
  <c r="E25" i="65"/>
  <c r="E60" i="119"/>
  <c r="E59" i="119"/>
  <c r="E58" i="119"/>
  <c r="E57" i="119"/>
  <c r="E56" i="119"/>
  <c r="E55" i="119"/>
  <c r="E54" i="119"/>
  <c r="E53" i="119"/>
  <c r="E52" i="119"/>
  <c r="E51" i="119"/>
  <c r="E50" i="119"/>
  <c r="E49" i="119"/>
  <c r="E48" i="119"/>
  <c r="E47" i="119"/>
  <c r="E46" i="119"/>
  <c r="E45" i="119"/>
  <c r="E44" i="119"/>
  <c r="E43" i="119"/>
  <c r="E42" i="119"/>
  <c r="E41" i="119"/>
  <c r="E40" i="119"/>
  <c r="E39" i="119"/>
  <c r="E38" i="119"/>
  <c r="E37" i="119"/>
  <c r="E36" i="119"/>
  <c r="E35" i="119"/>
  <c r="E34" i="119"/>
  <c r="E33" i="119"/>
  <c r="E32" i="119"/>
  <c r="E31" i="119"/>
  <c r="E30" i="119"/>
  <c r="E29" i="119"/>
  <c r="E28" i="119"/>
  <c r="E27" i="119"/>
  <c r="E26" i="119"/>
  <c r="E25" i="119"/>
  <c r="E60" i="25"/>
  <c r="E59" i="25"/>
  <c r="E58" i="25"/>
  <c r="E57" i="25"/>
  <c r="E56" i="25"/>
  <c r="E55" i="25"/>
  <c r="E54" i="25"/>
  <c r="E53" i="25"/>
  <c r="E52" i="25"/>
  <c r="E51" i="25"/>
  <c r="E50" i="25"/>
  <c r="E49" i="25"/>
  <c r="E48" i="25"/>
  <c r="E47" i="25"/>
  <c r="E46" i="25"/>
  <c r="E45" i="25"/>
  <c r="E44" i="25"/>
  <c r="E43" i="25"/>
  <c r="E42" i="25"/>
  <c r="E41" i="25"/>
  <c r="E40" i="25"/>
  <c r="E39" i="25"/>
  <c r="E38" i="25"/>
  <c r="E37" i="25"/>
  <c r="E36" i="25"/>
  <c r="E35" i="25"/>
  <c r="E34" i="25"/>
  <c r="E33" i="25"/>
  <c r="E32" i="25"/>
  <c r="E31" i="25"/>
  <c r="E30" i="25"/>
  <c r="E29" i="25"/>
  <c r="E28" i="25"/>
  <c r="E27" i="25"/>
  <c r="E26" i="25"/>
  <c r="E25" i="25"/>
  <c r="E60" i="20"/>
  <c r="E59" i="20"/>
  <c r="E58" i="20"/>
  <c r="E57" i="20"/>
  <c r="E56" i="20"/>
  <c r="E55" i="20"/>
  <c r="E54" i="20"/>
  <c r="E53" i="20"/>
  <c r="E52" i="20"/>
  <c r="E51" i="20"/>
  <c r="E50" i="20"/>
  <c r="E49" i="20"/>
  <c r="E48" i="20"/>
  <c r="E47" i="20"/>
  <c r="E46" i="20"/>
  <c r="E45" i="20"/>
  <c r="E44" i="20"/>
  <c r="E43" i="20"/>
  <c r="E42" i="20"/>
  <c r="E41" i="20"/>
  <c r="E40" i="20"/>
  <c r="E39" i="20"/>
  <c r="E38" i="20"/>
  <c r="E37" i="20"/>
  <c r="E36" i="20"/>
  <c r="E35" i="20"/>
  <c r="E34" i="20"/>
  <c r="E33" i="20"/>
  <c r="E32" i="20"/>
  <c r="E31" i="20"/>
  <c r="E30" i="20"/>
  <c r="E29" i="20"/>
  <c r="E28" i="20"/>
  <c r="E27" i="20"/>
  <c r="E26" i="20"/>
  <c r="E25" i="20"/>
  <c r="E60" i="159"/>
  <c r="E59" i="159"/>
  <c r="E58" i="159"/>
  <c r="E57" i="159"/>
  <c r="E56" i="159"/>
  <c r="E55" i="159"/>
  <c r="E54" i="159"/>
  <c r="E53" i="159"/>
  <c r="E52" i="159"/>
  <c r="E51" i="159"/>
  <c r="E50" i="159"/>
  <c r="E49" i="159"/>
  <c r="E48" i="159"/>
  <c r="E47" i="159"/>
  <c r="E46" i="159"/>
  <c r="E45" i="159"/>
  <c r="E44" i="159"/>
  <c r="E43" i="159"/>
  <c r="E42" i="159"/>
  <c r="E41" i="159"/>
  <c r="E40" i="159"/>
  <c r="E39" i="159"/>
  <c r="E38" i="159"/>
  <c r="E37" i="159"/>
  <c r="E36" i="159"/>
  <c r="E35" i="159"/>
  <c r="E34" i="159"/>
  <c r="E33" i="159"/>
  <c r="E32" i="159"/>
  <c r="E31" i="159"/>
  <c r="E30" i="159"/>
  <c r="E29" i="159"/>
  <c r="E28" i="159"/>
  <c r="E27" i="159"/>
  <c r="E26" i="159"/>
  <c r="E25" i="159"/>
  <c r="E60" i="16"/>
  <c r="E59" i="16"/>
  <c r="E58" i="16"/>
  <c r="E57" i="16"/>
  <c r="E56" i="16"/>
  <c r="E55" i="16"/>
  <c r="E54" i="16"/>
  <c r="E53" i="16"/>
  <c r="E52" i="16"/>
  <c r="E51" i="16"/>
  <c r="E50" i="16"/>
  <c r="E49" i="16"/>
  <c r="E48" i="16"/>
  <c r="E47" i="16"/>
  <c r="E46" i="16"/>
  <c r="E45" i="16"/>
  <c r="E44" i="16"/>
  <c r="E43" i="16"/>
  <c r="E42" i="16"/>
  <c r="E41" i="16"/>
  <c r="E40" i="16"/>
  <c r="E39" i="16"/>
  <c r="E38" i="16"/>
  <c r="E37" i="16"/>
  <c r="E36" i="16"/>
  <c r="E35" i="16"/>
  <c r="E34" i="16"/>
  <c r="E33" i="16"/>
  <c r="E32" i="16"/>
  <c r="E31" i="16"/>
  <c r="E30" i="16"/>
  <c r="E29" i="16"/>
  <c r="E28" i="16"/>
  <c r="E27" i="16"/>
  <c r="E26" i="16"/>
  <c r="E25" i="16"/>
  <c r="E60" i="27"/>
  <c r="E59" i="27"/>
  <c r="E58" i="27"/>
  <c r="E57" i="27"/>
  <c r="E56" i="27"/>
  <c r="E55" i="27"/>
  <c r="E54" i="27"/>
  <c r="E53" i="27"/>
  <c r="E52" i="27"/>
  <c r="E51" i="27"/>
  <c r="E50" i="27"/>
  <c r="E49" i="27"/>
  <c r="E48" i="27"/>
  <c r="E47" i="27"/>
  <c r="E46" i="27"/>
  <c r="E45" i="27"/>
  <c r="E44" i="27"/>
  <c r="E43" i="27"/>
  <c r="E42" i="27"/>
  <c r="E41" i="27"/>
  <c r="E40" i="27"/>
  <c r="E39" i="27"/>
  <c r="E38" i="27"/>
  <c r="E37" i="27"/>
  <c r="E36" i="27"/>
  <c r="E35" i="27"/>
  <c r="E34" i="27"/>
  <c r="E33" i="27"/>
  <c r="E32" i="27"/>
  <c r="E31" i="27"/>
  <c r="E30" i="27"/>
  <c r="E29" i="27"/>
  <c r="E28" i="27"/>
  <c r="E27" i="27"/>
  <c r="E26" i="27"/>
  <c r="E25" i="27"/>
  <c r="E60" i="111"/>
  <c r="E59" i="111"/>
  <c r="E58" i="111"/>
  <c r="E57" i="111"/>
  <c r="E56" i="111"/>
  <c r="E55" i="111"/>
  <c r="E54" i="111"/>
  <c r="E53" i="111"/>
  <c r="E52" i="111"/>
  <c r="E51" i="111"/>
  <c r="E50" i="111"/>
  <c r="E49" i="111"/>
  <c r="E48" i="111"/>
  <c r="E47" i="111"/>
  <c r="E46" i="111"/>
  <c r="E45" i="111"/>
  <c r="E44" i="111"/>
  <c r="E43" i="111"/>
  <c r="E42" i="111"/>
  <c r="E41" i="111"/>
  <c r="E40" i="111"/>
  <c r="E39" i="111"/>
  <c r="E38" i="111"/>
  <c r="E37" i="111"/>
  <c r="E36" i="111"/>
  <c r="E35" i="111"/>
  <c r="E34" i="111"/>
  <c r="E33" i="111"/>
  <c r="E32" i="111"/>
  <c r="E31" i="111"/>
  <c r="E30" i="111"/>
  <c r="E29" i="111"/>
  <c r="E28" i="111"/>
  <c r="E27" i="111"/>
  <c r="E26" i="111"/>
  <c r="E25" i="111"/>
  <c r="E60" i="165"/>
  <c r="E59" i="165"/>
  <c r="E58" i="165"/>
  <c r="E57" i="165"/>
  <c r="E56" i="165"/>
  <c r="E55" i="165"/>
  <c r="E54" i="165"/>
  <c r="E53" i="165"/>
  <c r="E52" i="165"/>
  <c r="E51" i="165"/>
  <c r="E50" i="165"/>
  <c r="E49" i="165"/>
  <c r="E48" i="165"/>
  <c r="E47" i="165"/>
  <c r="E46" i="165"/>
  <c r="E45" i="165"/>
  <c r="E44" i="165"/>
  <c r="E43" i="165"/>
  <c r="E42" i="165"/>
  <c r="E41" i="165"/>
  <c r="E40" i="165"/>
  <c r="E39" i="165"/>
  <c r="E38" i="165"/>
  <c r="E37" i="165"/>
  <c r="E36" i="165"/>
  <c r="E35" i="165"/>
  <c r="E34" i="165"/>
  <c r="E33" i="165"/>
  <c r="E32" i="165"/>
  <c r="E31" i="165"/>
  <c r="E30" i="165"/>
  <c r="E29" i="165"/>
  <c r="E28" i="165"/>
  <c r="E27" i="165"/>
  <c r="E26" i="165"/>
  <c r="E25" i="165"/>
  <c r="E60" i="55"/>
  <c r="E59" i="55"/>
  <c r="E58" i="55"/>
  <c r="E57" i="55"/>
  <c r="E56" i="55"/>
  <c r="E55" i="55"/>
  <c r="E54" i="55"/>
  <c r="E53" i="55"/>
  <c r="E52" i="55"/>
  <c r="E51" i="55"/>
  <c r="E50" i="55"/>
  <c r="E49" i="55"/>
  <c r="E48" i="55"/>
  <c r="E47" i="55"/>
  <c r="E46" i="55"/>
  <c r="E45" i="55"/>
  <c r="E44" i="55"/>
  <c r="E43" i="55"/>
  <c r="E42" i="55"/>
  <c r="E41" i="55"/>
  <c r="E40" i="55"/>
  <c r="E39" i="55"/>
  <c r="E38" i="55"/>
  <c r="E37" i="55"/>
  <c r="E36" i="55"/>
  <c r="E35" i="55"/>
  <c r="E34" i="55"/>
  <c r="E33" i="55"/>
  <c r="E32" i="55"/>
  <c r="E31" i="55"/>
  <c r="E30" i="55"/>
  <c r="E29" i="55"/>
  <c r="E28" i="55"/>
  <c r="E27" i="55"/>
  <c r="E26" i="55"/>
  <c r="E25" i="55"/>
  <c r="E60" i="21"/>
  <c r="E59" i="21"/>
  <c r="E58" i="21"/>
  <c r="E57" i="21"/>
  <c r="E56" i="21"/>
  <c r="E55" i="21"/>
  <c r="E54" i="21"/>
  <c r="E53" i="21"/>
  <c r="E52" i="21"/>
  <c r="E51" i="21"/>
  <c r="E50" i="21"/>
  <c r="E49" i="21"/>
  <c r="E48" i="21"/>
  <c r="E47" i="21"/>
  <c r="E46" i="21"/>
  <c r="E45" i="21"/>
  <c r="E44" i="21"/>
  <c r="E43" i="21"/>
  <c r="E42" i="21"/>
  <c r="E41" i="21"/>
  <c r="E40" i="21"/>
  <c r="E39" i="21"/>
  <c r="E38" i="21"/>
  <c r="E37" i="21"/>
  <c r="E36" i="21"/>
  <c r="E35" i="21"/>
  <c r="E34" i="21"/>
  <c r="E33" i="21"/>
  <c r="E32" i="21"/>
  <c r="E31" i="21"/>
  <c r="E30" i="21"/>
  <c r="E29" i="21"/>
  <c r="E28" i="21"/>
  <c r="E27" i="21"/>
  <c r="E26" i="21"/>
  <c r="E25" i="21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60" i="85"/>
  <c r="E59" i="85"/>
  <c r="E58" i="85"/>
  <c r="E57" i="85"/>
  <c r="E56" i="85"/>
  <c r="E55" i="85"/>
  <c r="E54" i="85"/>
  <c r="E53" i="85"/>
  <c r="E52" i="85"/>
  <c r="E51" i="85"/>
  <c r="E50" i="85"/>
  <c r="E49" i="85"/>
  <c r="E48" i="85"/>
  <c r="E47" i="85"/>
  <c r="E46" i="85"/>
  <c r="E45" i="85"/>
  <c r="E44" i="85"/>
  <c r="E43" i="85"/>
  <c r="E42" i="85"/>
  <c r="E41" i="85"/>
  <c r="E40" i="85"/>
  <c r="E39" i="85"/>
  <c r="E38" i="85"/>
  <c r="E37" i="85"/>
  <c r="E36" i="85"/>
  <c r="E35" i="85"/>
  <c r="E34" i="85"/>
  <c r="E33" i="85"/>
  <c r="E32" i="85"/>
  <c r="E31" i="85"/>
  <c r="E30" i="85"/>
  <c r="E29" i="85"/>
  <c r="E28" i="85"/>
  <c r="E27" i="85"/>
  <c r="E26" i="85"/>
  <c r="E25" i="85"/>
  <c r="E60" i="149"/>
  <c r="E59" i="149"/>
  <c r="E58" i="149"/>
  <c r="E57" i="149"/>
  <c r="E56" i="149"/>
  <c r="E55" i="149"/>
  <c r="E54" i="149"/>
  <c r="E53" i="149"/>
  <c r="E52" i="149"/>
  <c r="E51" i="149"/>
  <c r="E50" i="149"/>
  <c r="E49" i="149"/>
  <c r="E48" i="149"/>
  <c r="E47" i="149"/>
  <c r="E46" i="149"/>
  <c r="E45" i="149"/>
  <c r="E44" i="149"/>
  <c r="E43" i="149"/>
  <c r="E42" i="149"/>
  <c r="E41" i="149"/>
  <c r="E40" i="149"/>
  <c r="E39" i="149"/>
  <c r="E38" i="149"/>
  <c r="E37" i="149"/>
  <c r="E36" i="149"/>
  <c r="E35" i="149"/>
  <c r="E34" i="149"/>
  <c r="E33" i="149"/>
  <c r="E32" i="149"/>
  <c r="E31" i="149"/>
  <c r="E30" i="149"/>
  <c r="E29" i="149"/>
  <c r="E28" i="149"/>
  <c r="E27" i="149"/>
  <c r="E26" i="149"/>
  <c r="E25" i="149"/>
  <c r="E60" i="143"/>
  <c r="E59" i="143"/>
  <c r="E58" i="143"/>
  <c r="E57" i="143"/>
  <c r="E56" i="143"/>
  <c r="E55" i="143"/>
  <c r="E54" i="143"/>
  <c r="E53" i="143"/>
  <c r="E52" i="143"/>
  <c r="E51" i="143"/>
  <c r="E50" i="143"/>
  <c r="E49" i="143"/>
  <c r="E48" i="143"/>
  <c r="E47" i="143"/>
  <c r="E46" i="143"/>
  <c r="E45" i="143"/>
  <c r="E44" i="143"/>
  <c r="E43" i="143"/>
  <c r="E42" i="143"/>
  <c r="E41" i="143"/>
  <c r="E40" i="143"/>
  <c r="E39" i="143"/>
  <c r="E38" i="143"/>
  <c r="E37" i="143"/>
  <c r="E36" i="143"/>
  <c r="E35" i="143"/>
  <c r="E34" i="143"/>
  <c r="E33" i="143"/>
  <c r="E32" i="143"/>
  <c r="E31" i="143"/>
  <c r="E30" i="143"/>
  <c r="E29" i="143"/>
  <c r="E28" i="143"/>
  <c r="E27" i="143"/>
  <c r="E26" i="143"/>
  <c r="E25" i="143"/>
  <c r="E60" i="87"/>
  <c r="E59" i="87"/>
  <c r="E58" i="87"/>
  <c r="E57" i="87"/>
  <c r="E56" i="87"/>
  <c r="E55" i="87"/>
  <c r="E54" i="87"/>
  <c r="E53" i="87"/>
  <c r="E52" i="87"/>
  <c r="E51" i="87"/>
  <c r="E50" i="87"/>
  <c r="E49" i="87"/>
  <c r="E48" i="87"/>
  <c r="E47" i="87"/>
  <c r="E46" i="87"/>
  <c r="E45" i="87"/>
  <c r="E44" i="87"/>
  <c r="E43" i="87"/>
  <c r="E42" i="87"/>
  <c r="E41" i="87"/>
  <c r="E40" i="87"/>
  <c r="E39" i="87"/>
  <c r="E38" i="87"/>
  <c r="E37" i="87"/>
  <c r="E36" i="87"/>
  <c r="E35" i="87"/>
  <c r="E34" i="87"/>
  <c r="E33" i="87"/>
  <c r="E32" i="87"/>
  <c r="E31" i="87"/>
  <c r="E30" i="87"/>
  <c r="E29" i="87"/>
  <c r="E28" i="87"/>
  <c r="E27" i="87"/>
  <c r="E26" i="87"/>
  <c r="E25" i="87"/>
  <c r="E60" i="69"/>
  <c r="E59" i="69"/>
  <c r="E58" i="69"/>
  <c r="E57" i="69"/>
  <c r="E56" i="69"/>
  <c r="E55" i="69"/>
  <c r="E54" i="69"/>
  <c r="E53" i="69"/>
  <c r="E52" i="69"/>
  <c r="E51" i="69"/>
  <c r="E50" i="69"/>
  <c r="E49" i="69"/>
  <c r="E48" i="69"/>
  <c r="E47" i="69"/>
  <c r="E46" i="69"/>
  <c r="E45" i="69"/>
  <c r="E44" i="69"/>
  <c r="E43" i="69"/>
  <c r="E42" i="69"/>
  <c r="E41" i="69"/>
  <c r="E40" i="69"/>
  <c r="E39" i="69"/>
  <c r="E38" i="69"/>
  <c r="E37" i="69"/>
  <c r="E36" i="69"/>
  <c r="E35" i="69"/>
  <c r="E34" i="69"/>
  <c r="E33" i="69"/>
  <c r="E32" i="69"/>
  <c r="E31" i="69"/>
  <c r="E30" i="69"/>
  <c r="E29" i="69"/>
  <c r="E28" i="69"/>
  <c r="E27" i="69"/>
  <c r="E26" i="69"/>
  <c r="E25" i="69"/>
  <c r="E60" i="86"/>
  <c r="E59" i="86"/>
  <c r="E58" i="86"/>
  <c r="E57" i="86"/>
  <c r="E56" i="86"/>
  <c r="E55" i="86"/>
  <c r="E54" i="86"/>
  <c r="E53" i="86"/>
  <c r="E52" i="86"/>
  <c r="E51" i="86"/>
  <c r="E50" i="86"/>
  <c r="E49" i="86"/>
  <c r="E48" i="86"/>
  <c r="E47" i="86"/>
  <c r="E46" i="86"/>
  <c r="E45" i="86"/>
  <c r="E44" i="86"/>
  <c r="E43" i="86"/>
  <c r="E42" i="86"/>
  <c r="E41" i="86"/>
  <c r="E40" i="86"/>
  <c r="E39" i="86"/>
  <c r="E38" i="86"/>
  <c r="E37" i="86"/>
  <c r="E36" i="86"/>
  <c r="E35" i="86"/>
  <c r="E34" i="86"/>
  <c r="E33" i="86"/>
  <c r="E32" i="86"/>
  <c r="E31" i="86"/>
  <c r="E30" i="86"/>
  <c r="E29" i="86"/>
  <c r="E28" i="86"/>
  <c r="E27" i="86"/>
  <c r="E26" i="86"/>
  <c r="E25" i="86"/>
  <c r="E60" i="89"/>
  <c r="E59" i="89"/>
  <c r="E58" i="89"/>
  <c r="E57" i="89"/>
  <c r="E56" i="89"/>
  <c r="E55" i="89"/>
  <c r="E54" i="89"/>
  <c r="E53" i="89"/>
  <c r="E52" i="89"/>
  <c r="E51" i="89"/>
  <c r="E50" i="89"/>
  <c r="E49" i="89"/>
  <c r="E48" i="89"/>
  <c r="E47" i="89"/>
  <c r="E46" i="89"/>
  <c r="E45" i="89"/>
  <c r="E44" i="89"/>
  <c r="E43" i="89"/>
  <c r="E42" i="89"/>
  <c r="E41" i="89"/>
  <c r="E40" i="89"/>
  <c r="E39" i="89"/>
  <c r="E38" i="89"/>
  <c r="E37" i="89"/>
  <c r="E36" i="89"/>
  <c r="E35" i="89"/>
  <c r="E34" i="89"/>
  <c r="E33" i="89"/>
  <c r="E32" i="89"/>
  <c r="E31" i="89"/>
  <c r="E30" i="89"/>
  <c r="E29" i="89"/>
  <c r="E28" i="89"/>
  <c r="E27" i="89"/>
  <c r="E26" i="89"/>
  <c r="E25" i="89"/>
  <c r="E60" i="142"/>
  <c r="E59" i="142"/>
  <c r="E58" i="142"/>
  <c r="E57" i="142"/>
  <c r="E56" i="142"/>
  <c r="E55" i="142"/>
  <c r="E54" i="142"/>
  <c r="E53" i="142"/>
  <c r="E52" i="142"/>
  <c r="E51" i="142"/>
  <c r="E50" i="142"/>
  <c r="E49" i="142"/>
  <c r="E48" i="142"/>
  <c r="E47" i="142"/>
  <c r="E46" i="142"/>
  <c r="E45" i="142"/>
  <c r="E44" i="142"/>
  <c r="E43" i="142"/>
  <c r="E42" i="142"/>
  <c r="E41" i="142"/>
  <c r="E40" i="142"/>
  <c r="E39" i="142"/>
  <c r="E38" i="142"/>
  <c r="E37" i="142"/>
  <c r="E36" i="142"/>
  <c r="E35" i="142"/>
  <c r="E34" i="142"/>
  <c r="E33" i="142"/>
  <c r="E32" i="142"/>
  <c r="E31" i="142"/>
  <c r="E30" i="142"/>
  <c r="E29" i="142"/>
  <c r="E28" i="142"/>
  <c r="E27" i="142"/>
  <c r="E26" i="142"/>
  <c r="E25" i="142"/>
  <c r="E60" i="91"/>
  <c r="E59" i="91"/>
  <c r="E58" i="91"/>
  <c r="E57" i="91"/>
  <c r="E56" i="91"/>
  <c r="E55" i="91"/>
  <c r="E54" i="91"/>
  <c r="E53" i="91"/>
  <c r="E52" i="91"/>
  <c r="E51" i="91"/>
  <c r="E50" i="91"/>
  <c r="E49" i="91"/>
  <c r="E48" i="91"/>
  <c r="E47" i="91"/>
  <c r="E46" i="91"/>
  <c r="E45" i="91"/>
  <c r="E44" i="91"/>
  <c r="E43" i="91"/>
  <c r="E42" i="91"/>
  <c r="E41" i="91"/>
  <c r="E40" i="91"/>
  <c r="E39" i="91"/>
  <c r="E38" i="91"/>
  <c r="E37" i="91"/>
  <c r="E36" i="91"/>
  <c r="E35" i="91"/>
  <c r="E34" i="91"/>
  <c r="E33" i="91"/>
  <c r="E32" i="91"/>
  <c r="E31" i="91"/>
  <c r="E30" i="91"/>
  <c r="E29" i="91"/>
  <c r="E28" i="91"/>
  <c r="E27" i="91"/>
  <c r="E26" i="91"/>
  <c r="E25" i="91"/>
  <c r="E60" i="92"/>
  <c r="E59" i="92"/>
  <c r="E58" i="92"/>
  <c r="E57" i="92"/>
  <c r="E56" i="92"/>
  <c r="E55" i="92"/>
  <c r="E54" i="92"/>
  <c r="E53" i="92"/>
  <c r="E52" i="92"/>
  <c r="E51" i="92"/>
  <c r="E50" i="92"/>
  <c r="E49" i="92"/>
  <c r="E48" i="92"/>
  <c r="E47" i="92"/>
  <c r="E46" i="92"/>
  <c r="E45" i="92"/>
  <c r="E44" i="92"/>
  <c r="E43" i="92"/>
  <c r="E42" i="92"/>
  <c r="E41" i="92"/>
  <c r="E40" i="92"/>
  <c r="E39" i="92"/>
  <c r="E38" i="92"/>
  <c r="E37" i="92"/>
  <c r="E36" i="92"/>
  <c r="E35" i="92"/>
  <c r="E34" i="92"/>
  <c r="E33" i="92"/>
  <c r="E32" i="92"/>
  <c r="E31" i="92"/>
  <c r="E30" i="92"/>
  <c r="E29" i="92"/>
  <c r="E28" i="92"/>
  <c r="E27" i="92"/>
  <c r="E26" i="92"/>
  <c r="E25" i="92"/>
  <c r="E60" i="113"/>
  <c r="E59" i="113"/>
  <c r="E58" i="113"/>
  <c r="E57" i="113"/>
  <c r="E56" i="113"/>
  <c r="E55" i="113"/>
  <c r="E54" i="113"/>
  <c r="E53" i="113"/>
  <c r="E52" i="113"/>
  <c r="E51" i="113"/>
  <c r="E50" i="113"/>
  <c r="E49" i="113"/>
  <c r="E48" i="113"/>
  <c r="E47" i="113"/>
  <c r="E46" i="113"/>
  <c r="E45" i="113"/>
  <c r="E44" i="113"/>
  <c r="E43" i="113"/>
  <c r="E42" i="113"/>
  <c r="E41" i="113"/>
  <c r="E40" i="113"/>
  <c r="E39" i="113"/>
  <c r="E38" i="113"/>
  <c r="E37" i="113"/>
  <c r="E36" i="113"/>
  <c r="E35" i="113"/>
  <c r="E34" i="113"/>
  <c r="E33" i="113"/>
  <c r="E32" i="113"/>
  <c r="E31" i="113"/>
  <c r="E30" i="113"/>
  <c r="E29" i="113"/>
  <c r="E28" i="113"/>
  <c r="E27" i="113"/>
  <c r="E26" i="113"/>
  <c r="E25" i="113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60" i="50"/>
  <c r="E59" i="50"/>
  <c r="E58" i="50"/>
  <c r="E57" i="50"/>
  <c r="E56" i="50"/>
  <c r="E55" i="50"/>
  <c r="E54" i="50"/>
  <c r="E53" i="50"/>
  <c r="E52" i="50"/>
  <c r="E51" i="50"/>
  <c r="E50" i="50"/>
  <c r="E49" i="50"/>
  <c r="E48" i="50"/>
  <c r="E47" i="50"/>
  <c r="E46" i="50"/>
  <c r="E45" i="50"/>
  <c r="E44" i="50"/>
  <c r="E43" i="50"/>
  <c r="E42" i="50"/>
  <c r="E41" i="50"/>
  <c r="E40" i="50"/>
  <c r="E39" i="50"/>
  <c r="E38" i="50"/>
  <c r="E37" i="50"/>
  <c r="E36" i="50"/>
  <c r="E35" i="50"/>
  <c r="E34" i="50"/>
  <c r="E33" i="50"/>
  <c r="E32" i="50"/>
  <c r="E31" i="50"/>
  <c r="E30" i="50"/>
  <c r="E29" i="50"/>
  <c r="E28" i="50"/>
  <c r="E27" i="50"/>
  <c r="E26" i="50"/>
  <c r="E25" i="50"/>
  <c r="E60" i="95"/>
  <c r="E59" i="95"/>
  <c r="E58" i="95"/>
  <c r="E57" i="95"/>
  <c r="E56" i="95"/>
  <c r="E55" i="95"/>
  <c r="E54" i="95"/>
  <c r="E53" i="95"/>
  <c r="E52" i="95"/>
  <c r="E51" i="95"/>
  <c r="E50" i="95"/>
  <c r="E49" i="95"/>
  <c r="E48" i="95"/>
  <c r="E47" i="95"/>
  <c r="E46" i="95"/>
  <c r="E45" i="95"/>
  <c r="E44" i="95"/>
  <c r="E43" i="95"/>
  <c r="E42" i="95"/>
  <c r="E41" i="95"/>
  <c r="E40" i="95"/>
  <c r="E39" i="95"/>
  <c r="E38" i="95"/>
  <c r="E37" i="95"/>
  <c r="E36" i="95"/>
  <c r="E35" i="95"/>
  <c r="E34" i="95"/>
  <c r="E33" i="95"/>
  <c r="E32" i="95"/>
  <c r="E31" i="95"/>
  <c r="E30" i="95"/>
  <c r="E29" i="95"/>
  <c r="E28" i="95"/>
  <c r="E27" i="95"/>
  <c r="E26" i="95"/>
  <c r="E25" i="95"/>
  <c r="E60" i="43"/>
  <c r="E59" i="43"/>
  <c r="E58" i="43"/>
  <c r="E57" i="43"/>
  <c r="E56" i="43"/>
  <c r="E55" i="43"/>
  <c r="E54" i="43"/>
  <c r="E53" i="43"/>
  <c r="E52" i="43"/>
  <c r="E51" i="43"/>
  <c r="E50" i="43"/>
  <c r="E49" i="43"/>
  <c r="E48" i="43"/>
  <c r="E47" i="43"/>
  <c r="E46" i="43"/>
  <c r="E45" i="43"/>
  <c r="E44" i="43"/>
  <c r="E43" i="43"/>
  <c r="E42" i="43"/>
  <c r="E41" i="43"/>
  <c r="E40" i="43"/>
  <c r="E39" i="43"/>
  <c r="E38" i="43"/>
  <c r="E37" i="43"/>
  <c r="E36" i="43"/>
  <c r="E35" i="43"/>
  <c r="E34" i="43"/>
  <c r="E33" i="43"/>
  <c r="E32" i="43"/>
  <c r="E31" i="43"/>
  <c r="E30" i="43"/>
  <c r="E29" i="43"/>
  <c r="E28" i="43"/>
  <c r="E27" i="43"/>
  <c r="E26" i="43"/>
  <c r="E25" i="43"/>
  <c r="F208" i="69" l="1"/>
  <c r="F208" i="53"/>
  <c r="F208" i="87"/>
  <c r="F208" i="150"/>
  <c r="F208" i="31"/>
  <c r="F208" i="85"/>
  <c r="F208" i="65"/>
  <c r="F208" i="16"/>
  <c r="F208" i="43"/>
  <c r="F208" i="89"/>
  <c r="F208" i="47"/>
  <c r="F208" i="145"/>
  <c r="F208" i="60"/>
  <c r="F208" i="15"/>
  <c r="F208" i="91"/>
  <c r="F208" i="33"/>
  <c r="F208" i="135"/>
  <c r="F208" i="104"/>
  <c r="F208" i="118"/>
  <c r="F208" i="100"/>
  <c r="F208" i="94"/>
  <c r="F208" i="55"/>
  <c r="F208" i="37"/>
  <c r="F208" i="68"/>
  <c r="F208" i="58"/>
  <c r="F208" i="119"/>
  <c r="F208" i="141"/>
  <c r="F208" i="142"/>
  <c r="F208" i="49"/>
  <c r="F208" i="28"/>
  <c r="F208" i="21"/>
  <c r="F208" i="62"/>
  <c r="F208" i="46"/>
  <c r="F208" i="92"/>
  <c r="F208" i="72"/>
  <c r="F208" i="90"/>
  <c r="F208" i="71"/>
  <c r="F208" i="27"/>
  <c r="F208" i="54"/>
  <c r="F208" i="98"/>
  <c r="F208" i="133"/>
  <c r="F208" i="50"/>
  <c r="F208" i="19"/>
  <c r="F208" i="63"/>
  <c r="F208" i="79"/>
  <c r="F208" i="39"/>
  <c r="F208" i="143"/>
  <c r="F208" i="149"/>
  <c r="F208" i="24"/>
  <c r="F208" i="1"/>
  <c r="F208" i="95"/>
  <c r="F208" i="86"/>
  <c r="F208" i="14"/>
  <c r="F208" i="32"/>
  <c r="F208" i="106"/>
  <c r="F208" i="120"/>
  <c r="F208" i="113"/>
  <c r="F208" i="111"/>
  <c r="F208" i="165"/>
  <c r="F208" i="159"/>
  <c r="F208" i="20"/>
  <c r="F208" i="156"/>
  <c r="F208" i="25"/>
  <c r="F208" i="38"/>
  <c r="F208" i="167"/>
  <c r="F208" i="42"/>
  <c r="F208" i="136"/>
  <c r="F208" i="164"/>
  <c r="F208" i="103"/>
  <c r="E111" i="49"/>
  <c r="E93" i="38"/>
  <c r="E206" i="119"/>
  <c r="E119" i="119"/>
  <c r="E119" i="1"/>
  <c r="E119" i="165"/>
  <c r="E119" i="83"/>
  <c r="E119" i="15"/>
  <c r="E79" i="72"/>
  <c r="E79" i="32"/>
  <c r="E79" i="102"/>
  <c r="E79" i="46"/>
  <c r="E93" i="1"/>
  <c r="E93" i="24"/>
  <c r="E93" i="102"/>
  <c r="E93" i="83"/>
  <c r="E93" i="66"/>
  <c r="E93" i="15"/>
  <c r="E93" i="155"/>
  <c r="E102" i="85"/>
  <c r="E102" i="79"/>
  <c r="E102" i="66"/>
  <c r="E102" i="69"/>
  <c r="E111" i="167"/>
  <c r="E119" i="69"/>
  <c r="E206" i="66"/>
  <c r="E206" i="14"/>
  <c r="E161" i="20"/>
  <c r="E161" i="136"/>
  <c r="E197" i="85"/>
  <c r="E161" i="85"/>
  <c r="E197" i="65"/>
  <c r="E197" i="136"/>
  <c r="E161" i="37"/>
  <c r="E206" i="87"/>
  <c r="E79" i="87"/>
  <c r="E79" i="83"/>
  <c r="E79" i="15"/>
  <c r="E93" i="32"/>
  <c r="E102" i="158"/>
  <c r="E119" i="72"/>
  <c r="E119" i="46"/>
  <c r="E161" i="32"/>
  <c r="E161" i="38"/>
  <c r="E161" i="46"/>
  <c r="E161" i="66"/>
  <c r="E161" i="158"/>
  <c r="E197" i="32"/>
  <c r="E197" i="38"/>
  <c r="E197" i="83"/>
  <c r="E206" i="25"/>
  <c r="E206" i="53"/>
  <c r="E61" i="43"/>
  <c r="E61" i="69"/>
  <c r="E61" i="87"/>
  <c r="E61" i="14"/>
  <c r="E61" i="119"/>
  <c r="E61" i="79"/>
  <c r="E61" i="152"/>
  <c r="E61" i="102"/>
  <c r="E61" i="158"/>
  <c r="E61" i="19"/>
  <c r="E79" i="69"/>
  <c r="E79" i="20"/>
  <c r="E79" i="19"/>
  <c r="E93" i="14"/>
  <c r="E102" i="1"/>
  <c r="E102" i="142"/>
  <c r="E102" i="14"/>
  <c r="E102" i="165"/>
  <c r="E102" i="65"/>
  <c r="E102" i="24"/>
  <c r="E102" i="83"/>
  <c r="E102" i="136"/>
  <c r="E102" i="15"/>
  <c r="E119" i="67"/>
  <c r="E119" i="60"/>
  <c r="E161" i="50"/>
  <c r="E161" i="55"/>
  <c r="E161" i="15"/>
  <c r="E161" i="19"/>
  <c r="E197" i="119"/>
  <c r="E197" i="33"/>
  <c r="E206" i="79"/>
  <c r="E206" i="24"/>
  <c r="E206" i="167"/>
  <c r="E206" i="102"/>
  <c r="E206" i="49"/>
  <c r="E206" i="158"/>
  <c r="E206" i="54"/>
  <c r="E79" i="37"/>
  <c r="E102" i="119"/>
  <c r="E111" i="119"/>
  <c r="E111" i="46"/>
  <c r="E206" i="136"/>
  <c r="E61" i="50"/>
  <c r="E61" i="20"/>
  <c r="E79" i="85"/>
  <c r="E79" i="79"/>
  <c r="E79" i="38"/>
  <c r="E79" i="136"/>
  <c r="E93" i="72"/>
  <c r="E93" i="158"/>
  <c r="E111" i="14"/>
  <c r="E111" i="102"/>
  <c r="E111" i="158"/>
  <c r="E161" i="72"/>
  <c r="E197" i="14"/>
  <c r="E197" i="46"/>
  <c r="E79" i="120"/>
  <c r="E79" i="164"/>
  <c r="E102" i="20"/>
  <c r="E102" i="37"/>
  <c r="E111" i="87"/>
  <c r="E161" i="79"/>
  <c r="E197" i="158"/>
  <c r="E206" i="65"/>
  <c r="E206" i="152"/>
  <c r="E206" i="83"/>
  <c r="E206" i="15"/>
  <c r="E61" i="85"/>
  <c r="E61" i="72"/>
  <c r="E61" i="32"/>
  <c r="E61" i="83"/>
  <c r="E61" i="136"/>
  <c r="E61" i="66"/>
  <c r="E61" i="15"/>
  <c r="E79" i="65"/>
  <c r="E93" i="119"/>
  <c r="E93" i="152"/>
  <c r="E93" i="49"/>
  <c r="E102" i="72"/>
  <c r="E102" i="32"/>
  <c r="E102" i="38"/>
  <c r="E102" i="46"/>
  <c r="E111" i="85"/>
  <c r="E111" i="136"/>
  <c r="E111" i="66"/>
  <c r="E119" i="20"/>
  <c r="E119" i="37"/>
  <c r="E119" i="66"/>
  <c r="E119" i="19"/>
  <c r="E161" i="119"/>
  <c r="E197" i="69"/>
  <c r="E197" i="20"/>
  <c r="E197" i="37"/>
  <c r="E197" i="19"/>
  <c r="E206" i="69"/>
  <c r="E206" i="20"/>
  <c r="E206" i="37"/>
  <c r="E206" i="145"/>
  <c r="E206" i="19"/>
  <c r="E79" i="14"/>
  <c r="E79" i="24"/>
  <c r="E93" i="46"/>
  <c r="E102" i="19"/>
  <c r="E161" i="87"/>
  <c r="E206" i="100"/>
  <c r="E61" i="38"/>
  <c r="E79" i="119"/>
  <c r="E93" i="85"/>
  <c r="E93" i="136"/>
  <c r="E111" i="79"/>
  <c r="E161" i="83"/>
  <c r="E161" i="155"/>
  <c r="E197" i="66"/>
  <c r="E197" i="15"/>
  <c r="E206" i="85"/>
  <c r="E61" i="37"/>
  <c r="E79" i="89"/>
  <c r="E79" i="28"/>
  <c r="E79" i="167"/>
  <c r="E79" i="158"/>
  <c r="E93" i="65"/>
  <c r="E111" i="69"/>
  <c r="E161" i="69"/>
  <c r="E161" i="65"/>
  <c r="E197" i="102"/>
  <c r="E61" i="46"/>
  <c r="E61" i="49"/>
  <c r="E79" i="152"/>
  <c r="E79" i="49"/>
  <c r="E79" i="66"/>
  <c r="E93" i="69"/>
  <c r="E93" i="87"/>
  <c r="E93" i="20"/>
  <c r="E93" i="79"/>
  <c r="E93" i="37"/>
  <c r="E93" i="19"/>
  <c r="E102" i="87"/>
  <c r="E102" i="152"/>
  <c r="E102" i="102"/>
  <c r="E102" i="49"/>
  <c r="E111" i="152"/>
  <c r="E119" i="152"/>
  <c r="E161" i="14"/>
  <c r="E161" i="152"/>
  <c r="E161" i="102"/>
  <c r="E161" i="49"/>
  <c r="E197" i="87"/>
  <c r="E197" i="72"/>
  <c r="E197" i="79"/>
  <c r="E197" i="152"/>
  <c r="E197" i="49"/>
  <c r="E206" i="72"/>
  <c r="E206" i="32"/>
  <c r="E206" i="38"/>
  <c r="E206" i="46"/>
  <c r="E119" i="14"/>
  <c r="E206" i="28"/>
  <c r="E111" i="83"/>
  <c r="F208" i="152"/>
  <c r="E61" i="145"/>
  <c r="E79" i="145"/>
  <c r="E111" i="145"/>
  <c r="E119" i="145"/>
  <c r="E93" i="145"/>
  <c r="E197" i="145"/>
  <c r="E102" i="145"/>
  <c r="E161" i="145"/>
  <c r="E111" i="32"/>
  <c r="E119" i="32"/>
  <c r="E119" i="85"/>
  <c r="E111" i="72"/>
  <c r="E111" i="15"/>
  <c r="E61" i="65"/>
  <c r="E111" i="65"/>
  <c r="E119" i="65"/>
  <c r="E119" i="102"/>
  <c r="E119" i="79"/>
  <c r="E111" i="19"/>
  <c r="E111" i="37"/>
  <c r="E119" i="87"/>
  <c r="E119" i="136"/>
  <c r="E93" i="120"/>
  <c r="E206" i="120"/>
  <c r="E102" i="120"/>
  <c r="E119" i="120"/>
  <c r="E61" i="120"/>
  <c r="E161" i="120"/>
  <c r="E197" i="120"/>
  <c r="E111" i="120"/>
  <c r="F208" i="158"/>
  <c r="E119" i="158"/>
  <c r="E79" i="155"/>
  <c r="E102" i="155"/>
  <c r="E61" i="155"/>
  <c r="E206" i="155"/>
  <c r="E119" i="155"/>
  <c r="E197" i="155"/>
  <c r="F208" i="155"/>
  <c r="E79" i="157"/>
  <c r="E102" i="157"/>
  <c r="E206" i="157"/>
  <c r="F208" i="157"/>
  <c r="E93" i="157"/>
  <c r="E119" i="157"/>
  <c r="E61" i="157"/>
  <c r="E161" i="157"/>
  <c r="E197" i="157"/>
  <c r="E111" i="20"/>
  <c r="E111" i="155"/>
  <c r="E111" i="157"/>
  <c r="E119" i="49"/>
  <c r="E61" i="28"/>
  <c r="E61" i="53"/>
  <c r="E61" i="100"/>
  <c r="E61" i="54"/>
  <c r="E79" i="1"/>
  <c r="E79" i="55"/>
  <c r="E93" i="25"/>
  <c r="E93" i="164"/>
  <c r="E102" i="95"/>
  <c r="E102" i="28"/>
  <c r="E102" i="57"/>
  <c r="E102" i="84"/>
  <c r="E119" i="100"/>
  <c r="E119" i="54"/>
  <c r="E161" i="1"/>
  <c r="E161" i="28"/>
  <c r="E161" i="24"/>
  <c r="E161" i="167"/>
  <c r="E161" i="67"/>
  <c r="E197" i="54"/>
  <c r="E61" i="55"/>
  <c r="E61" i="24"/>
  <c r="E79" i="50"/>
  <c r="E79" i="33"/>
  <c r="E93" i="28"/>
  <c r="E93" i="167"/>
  <c r="E102" i="167"/>
  <c r="E102" i="54"/>
  <c r="E161" i="25"/>
  <c r="E161" i="98"/>
  <c r="E161" i="164"/>
  <c r="E197" i="25"/>
  <c r="E197" i="98"/>
  <c r="E197" i="164"/>
  <c r="E206" i="98"/>
  <c r="E206" i="164"/>
  <c r="E61" i="25"/>
  <c r="E79" i="54"/>
  <c r="E93" i="60"/>
  <c r="E102" i="94"/>
  <c r="E161" i="142"/>
  <c r="E161" i="141"/>
  <c r="E161" i="53"/>
  <c r="E197" i="84"/>
  <c r="E206" i="50"/>
  <c r="E61" i="60"/>
  <c r="E79" i="67"/>
  <c r="E102" i="141"/>
  <c r="E102" i="67"/>
  <c r="E102" i="118"/>
  <c r="E111" i="84"/>
  <c r="E119" i="149"/>
  <c r="E197" i="118"/>
  <c r="E61" i="118"/>
  <c r="E79" i="142"/>
  <c r="E79" i="25"/>
  <c r="E79" i="98"/>
  <c r="E79" i="59"/>
  <c r="E79" i="118"/>
  <c r="E93" i="95"/>
  <c r="E93" i="67"/>
  <c r="E102" i="55"/>
  <c r="E102" i="100"/>
  <c r="E111" i="28"/>
  <c r="E119" i="33"/>
  <c r="E161" i="95"/>
  <c r="E197" i="95"/>
  <c r="E197" i="142"/>
  <c r="E197" i="100"/>
  <c r="E206" i="142"/>
  <c r="E206" i="165"/>
  <c r="E206" i="141"/>
  <c r="E206" i="39"/>
  <c r="E206" i="94"/>
  <c r="E206" i="118"/>
  <c r="E61" i="84"/>
  <c r="E61" i="164"/>
  <c r="E79" i="94"/>
  <c r="E93" i="33"/>
  <c r="E93" i="98"/>
  <c r="E93" i="84"/>
  <c r="E119" i="53"/>
  <c r="E161" i="100"/>
  <c r="E161" i="118"/>
  <c r="E197" i="141"/>
  <c r="E197" i="67"/>
  <c r="E79" i="60"/>
  <c r="E102" i="33"/>
  <c r="E102" i="53"/>
  <c r="E111" i="98"/>
  <c r="E111" i="68"/>
  <c r="E111" i="54"/>
  <c r="E161" i="84"/>
  <c r="E197" i="28"/>
  <c r="E197" i="24"/>
  <c r="E197" i="167"/>
  <c r="E61" i="141"/>
  <c r="E79" i="84"/>
  <c r="E93" i="142"/>
  <c r="E93" i="165"/>
  <c r="E93" i="141"/>
  <c r="E93" i="53"/>
  <c r="E93" i="100"/>
  <c r="E93" i="54"/>
  <c r="E93" i="118"/>
  <c r="E102" i="98"/>
  <c r="E102" i="164"/>
  <c r="E111" i="165"/>
  <c r="E161" i="33"/>
  <c r="E161" i="60"/>
  <c r="E197" i="55"/>
  <c r="E197" i="60"/>
  <c r="E79" i="141"/>
  <c r="E93" i="94"/>
  <c r="E161" i="94"/>
  <c r="E197" i="53"/>
  <c r="E197" i="94"/>
  <c r="E206" i="95"/>
  <c r="E61" i="1"/>
  <c r="E79" i="95"/>
  <c r="E102" i="50"/>
  <c r="E111" i="55"/>
  <c r="E161" i="54"/>
  <c r="E61" i="33"/>
  <c r="E61" i="167"/>
  <c r="E61" i="67"/>
  <c r="E79" i="165"/>
  <c r="E79" i="53"/>
  <c r="E79" i="100"/>
  <c r="E93" i="50"/>
  <c r="E93" i="55"/>
  <c r="E102" i="25"/>
  <c r="E111" i="24"/>
  <c r="E119" i="50"/>
  <c r="E119" i="55"/>
  <c r="E161" i="165"/>
  <c r="E197" i="50"/>
  <c r="E197" i="1"/>
  <c r="E197" i="165"/>
  <c r="E206" i="1"/>
  <c r="E206" i="55"/>
  <c r="E206" i="33"/>
  <c r="E206" i="84"/>
  <c r="E206" i="67"/>
  <c r="E206" i="60"/>
  <c r="E111" i="53"/>
  <c r="E61" i="95"/>
  <c r="E119" i="95"/>
  <c r="E111" i="95"/>
  <c r="E102" i="60"/>
  <c r="E111" i="60"/>
  <c r="E111" i="50"/>
  <c r="E111" i="141"/>
  <c r="E119" i="141"/>
  <c r="E61" i="165"/>
  <c r="E119" i="164"/>
  <c r="E111" i="164"/>
  <c r="E111" i="1"/>
  <c r="E61" i="142"/>
  <c r="E119" i="142"/>
  <c r="E111" i="142"/>
  <c r="E111" i="118"/>
  <c r="E119" i="118"/>
  <c r="E119" i="25"/>
  <c r="E111" i="25"/>
  <c r="E119" i="24"/>
  <c r="E61" i="98"/>
  <c r="E119" i="98"/>
  <c r="E119" i="28"/>
  <c r="E61" i="94"/>
  <c r="E111" i="94"/>
  <c r="E119" i="94"/>
  <c r="E111" i="100"/>
  <c r="E197" i="59"/>
  <c r="E161" i="59"/>
  <c r="E102" i="59"/>
  <c r="E93" i="59"/>
  <c r="E206" i="59"/>
  <c r="E61" i="59"/>
  <c r="E119" i="59"/>
  <c r="E111" i="59"/>
  <c r="F208" i="59"/>
  <c r="E111" i="67"/>
  <c r="E61" i="57"/>
  <c r="E119" i="84"/>
  <c r="E161" i="57"/>
  <c r="E79" i="57"/>
  <c r="E111" i="57"/>
  <c r="E93" i="57"/>
  <c r="E197" i="57"/>
  <c r="E206" i="57"/>
  <c r="F208" i="57"/>
  <c r="E111" i="33"/>
  <c r="E119" i="167"/>
  <c r="E119" i="57"/>
  <c r="E102" i="39"/>
  <c r="E61" i="39"/>
  <c r="E93" i="39"/>
  <c r="E161" i="39"/>
  <c r="E197" i="39"/>
  <c r="E79" i="39"/>
  <c r="E111" i="39"/>
  <c r="E119" i="39"/>
  <c r="E61" i="159"/>
  <c r="E161" i="159"/>
  <c r="E79" i="159"/>
  <c r="E197" i="159"/>
  <c r="E111" i="159"/>
  <c r="E206" i="159"/>
  <c r="E93" i="159"/>
  <c r="E102" i="159"/>
  <c r="E119" i="156"/>
  <c r="E119" i="159"/>
  <c r="E79" i="156"/>
  <c r="E206" i="156"/>
  <c r="E61" i="156"/>
  <c r="E161" i="156"/>
  <c r="E111" i="156"/>
  <c r="E93" i="156"/>
  <c r="E197" i="156"/>
  <c r="E102" i="156"/>
  <c r="E102" i="42"/>
  <c r="E119" i="42"/>
  <c r="E197" i="89"/>
  <c r="E93" i="42"/>
  <c r="E161" i="42"/>
  <c r="E197" i="42"/>
  <c r="E61" i="89"/>
  <c r="E93" i="89"/>
  <c r="E111" i="89"/>
  <c r="E102" i="89"/>
  <c r="E161" i="89"/>
  <c r="E206" i="42"/>
  <c r="E206" i="89"/>
  <c r="E79" i="42"/>
  <c r="E61" i="42"/>
  <c r="E111" i="42"/>
  <c r="E119" i="89"/>
  <c r="E79" i="86"/>
  <c r="E79" i="149"/>
  <c r="E197" i="149"/>
  <c r="E61" i="149"/>
  <c r="E102" i="86"/>
  <c r="E93" i="86"/>
  <c r="E197" i="86"/>
  <c r="E206" i="150"/>
  <c r="E102" i="149"/>
  <c r="E161" i="149"/>
  <c r="E206" i="149"/>
  <c r="E161" i="86"/>
  <c r="E206" i="91"/>
  <c r="E93" i="149"/>
  <c r="E206" i="86"/>
  <c r="E111" i="86"/>
  <c r="E61" i="86"/>
  <c r="E119" i="86"/>
  <c r="E111" i="149"/>
  <c r="E197" i="31"/>
  <c r="E119" i="111"/>
  <c r="E79" i="91"/>
  <c r="E102" i="16"/>
  <c r="E102" i="31"/>
  <c r="E102" i="104"/>
  <c r="E102" i="150"/>
  <c r="E102" i="91"/>
  <c r="E197" i="91"/>
  <c r="E93" i="104"/>
  <c r="E102" i="21"/>
  <c r="E102" i="106"/>
  <c r="E102" i="62"/>
  <c r="E206" i="31"/>
  <c r="E206" i="103"/>
  <c r="E61" i="68"/>
  <c r="E119" i="21"/>
  <c r="E161" i="91"/>
  <c r="E197" i="21"/>
  <c r="E93" i="91"/>
  <c r="E119" i="91"/>
  <c r="E119" i="38"/>
  <c r="E111" i="38"/>
  <c r="E111" i="91"/>
  <c r="E61" i="91"/>
  <c r="E61" i="150"/>
  <c r="E79" i="150"/>
  <c r="E79" i="58"/>
  <c r="E79" i="68"/>
  <c r="E93" i="106"/>
  <c r="E161" i="106"/>
  <c r="E197" i="106"/>
  <c r="E206" i="58"/>
  <c r="E79" i="62"/>
  <c r="E93" i="58"/>
  <c r="E93" i="68"/>
  <c r="E119" i="150"/>
  <c r="E161" i="31"/>
  <c r="E161" i="150"/>
  <c r="E197" i="104"/>
  <c r="E61" i="133"/>
  <c r="E79" i="21"/>
  <c r="E93" i="150"/>
  <c r="E119" i="31"/>
  <c r="E61" i="16"/>
  <c r="E61" i="104"/>
  <c r="E61" i="58"/>
  <c r="E79" i="106"/>
  <c r="E93" i="31"/>
  <c r="E111" i="104"/>
  <c r="E119" i="104"/>
  <c r="E119" i="103"/>
  <c r="E197" i="58"/>
  <c r="E197" i="68"/>
  <c r="E61" i="31"/>
  <c r="E161" i="68"/>
  <c r="E206" i="21"/>
  <c r="E206" i="62"/>
  <c r="E79" i="31"/>
  <c r="E79" i="104"/>
  <c r="E93" i="21"/>
  <c r="E93" i="62"/>
  <c r="E161" i="21"/>
  <c r="E161" i="62"/>
  <c r="E197" i="62"/>
  <c r="E206" i="68"/>
  <c r="E61" i="62"/>
  <c r="E102" i="68"/>
  <c r="E161" i="58"/>
  <c r="E79" i="103"/>
  <c r="E93" i="90"/>
  <c r="E102" i="58"/>
  <c r="E111" i="58"/>
  <c r="E161" i="104"/>
  <c r="E197" i="150"/>
  <c r="E206" i="106"/>
  <c r="E206" i="104"/>
  <c r="E111" i="150"/>
  <c r="E102" i="64"/>
  <c r="F208" i="64"/>
  <c r="E93" i="64"/>
  <c r="E206" i="64"/>
  <c r="E119" i="64"/>
  <c r="E61" i="64"/>
  <c r="E79" i="64"/>
  <c r="E161" i="64"/>
  <c r="E197" i="64"/>
  <c r="E61" i="63"/>
  <c r="E119" i="63"/>
  <c r="E93" i="63"/>
  <c r="E102" i="63"/>
  <c r="E197" i="63"/>
  <c r="E161" i="63"/>
  <c r="E206" i="63"/>
  <c r="E79" i="63"/>
  <c r="F208" i="10"/>
  <c r="E102" i="10"/>
  <c r="E79" i="10"/>
  <c r="E161" i="10"/>
  <c r="E197" i="10"/>
  <c r="E206" i="10"/>
  <c r="E93" i="10"/>
  <c r="F208" i="45"/>
  <c r="E79" i="45"/>
  <c r="E102" i="45"/>
  <c r="E161" i="45"/>
  <c r="E197" i="45"/>
  <c r="E93" i="45"/>
  <c r="E206" i="45"/>
  <c r="E102" i="135"/>
  <c r="E161" i="135"/>
  <c r="E79" i="135"/>
  <c r="E93" i="135"/>
  <c r="E197" i="135"/>
  <c r="E61" i="135"/>
  <c r="E111" i="135"/>
  <c r="E119" i="135"/>
  <c r="E206" i="135"/>
  <c r="E79" i="27"/>
  <c r="E93" i="27"/>
  <c r="E161" i="27"/>
  <c r="E197" i="27"/>
  <c r="E102" i="27"/>
  <c r="E206" i="27"/>
  <c r="E102" i="143"/>
  <c r="E79" i="143"/>
  <c r="E197" i="143"/>
  <c r="E161" i="143"/>
  <c r="E111" i="143"/>
  <c r="E206" i="143"/>
  <c r="E61" i="143"/>
  <c r="E93" i="143"/>
  <c r="E119" i="143"/>
  <c r="E111" i="64"/>
  <c r="E111" i="63"/>
  <c r="E93" i="43"/>
  <c r="E119" i="10"/>
  <c r="E111" i="10"/>
  <c r="E61" i="10"/>
  <c r="E61" i="45"/>
  <c r="E119" i="45"/>
  <c r="E111" i="45"/>
  <c r="E119" i="27"/>
  <c r="E61" i="27"/>
  <c r="E111" i="27"/>
  <c r="E119" i="62"/>
  <c r="E111" i="62"/>
  <c r="E119" i="68"/>
  <c r="E111" i="106"/>
  <c r="E119" i="106"/>
  <c r="E61" i="106"/>
  <c r="E61" i="103"/>
  <c r="E93" i="103"/>
  <c r="E161" i="103"/>
  <c r="E197" i="103"/>
  <c r="E102" i="103"/>
  <c r="E111" i="103"/>
  <c r="E119" i="133"/>
  <c r="E161" i="133"/>
  <c r="E197" i="133"/>
  <c r="E102" i="133"/>
  <c r="E206" i="133"/>
  <c r="E79" i="133"/>
  <c r="E93" i="133"/>
  <c r="E111" i="133"/>
  <c r="E111" i="31"/>
  <c r="E119" i="58"/>
  <c r="E111" i="16"/>
  <c r="E79" i="16"/>
  <c r="E119" i="16"/>
  <c r="E161" i="16"/>
  <c r="E197" i="16"/>
  <c r="E93" i="16"/>
  <c r="E206" i="16"/>
  <c r="E61" i="21"/>
  <c r="E111" i="21"/>
  <c r="E197" i="90"/>
  <c r="E206" i="90"/>
  <c r="E79" i="90"/>
  <c r="E161" i="90"/>
  <c r="E102" i="90"/>
  <c r="E119" i="90"/>
  <c r="E61" i="90"/>
  <c r="E111" i="90"/>
  <c r="E79" i="43"/>
  <c r="E161" i="43"/>
  <c r="E197" i="113"/>
  <c r="E102" i="43"/>
  <c r="E102" i="113"/>
  <c r="E111" i="43"/>
  <c r="E197" i="43"/>
  <c r="E206" i="43"/>
  <c r="E228" i="43"/>
  <c r="E93" i="71"/>
  <c r="E102" i="71"/>
  <c r="E197" i="71"/>
  <c r="E79" i="71"/>
  <c r="E161" i="71"/>
  <c r="E206" i="71"/>
  <c r="E61" i="71"/>
  <c r="E119" i="71"/>
  <c r="E111" i="71"/>
  <c r="E119" i="43"/>
  <c r="E79" i="113"/>
  <c r="E111" i="113"/>
  <c r="E61" i="113"/>
  <c r="E93" i="113"/>
  <c r="E79" i="92"/>
  <c r="E161" i="113"/>
  <c r="E206" i="113"/>
  <c r="E206" i="111"/>
  <c r="E61" i="47"/>
  <c r="E161" i="47"/>
  <c r="E79" i="47"/>
  <c r="E93" i="47"/>
  <c r="E102" i="47"/>
  <c r="E119" i="47"/>
  <c r="E206" i="47"/>
  <c r="E197" i="47"/>
  <c r="E111" i="47"/>
  <c r="E119" i="113"/>
  <c r="E206" i="92"/>
  <c r="E93" i="92"/>
  <c r="E161" i="92"/>
  <c r="E197" i="92"/>
  <c r="E102" i="92"/>
  <c r="E111" i="111"/>
  <c r="E197" i="111"/>
  <c r="E61" i="111"/>
  <c r="E161" i="111"/>
  <c r="E93" i="111"/>
  <c r="E79" i="111"/>
  <c r="E102" i="111"/>
  <c r="E119" i="92"/>
  <c r="E61" i="92"/>
  <c r="E111" i="92"/>
  <c r="E208" i="119" l="1"/>
  <c r="E208" i="100"/>
  <c r="E208" i="120"/>
  <c r="E208" i="141"/>
  <c r="E208" i="46"/>
  <c r="E208" i="55"/>
  <c r="E208" i="102"/>
  <c r="E208" i="14"/>
  <c r="E208" i="66"/>
  <c r="E208" i="69"/>
  <c r="E208" i="83"/>
  <c r="E208" i="65"/>
  <c r="E208" i="32"/>
  <c r="E208" i="79"/>
  <c r="E208" i="15"/>
  <c r="E208" i="152"/>
  <c r="E208" i="60"/>
  <c r="E208" i="49"/>
  <c r="E208" i="87"/>
  <c r="E208" i="136"/>
  <c r="E208" i="85"/>
  <c r="E208" i="20"/>
  <c r="E208" i="19"/>
  <c r="E208" i="158"/>
  <c r="E208" i="1"/>
  <c r="E208" i="67"/>
  <c r="E208" i="25"/>
  <c r="E208" i="33"/>
  <c r="E208" i="54"/>
  <c r="E208" i="84"/>
  <c r="E208" i="155"/>
  <c r="E208" i="72"/>
  <c r="E208" i="24"/>
  <c r="E208" i="50"/>
  <c r="E208" i="145"/>
  <c r="E208" i="38"/>
  <c r="E208" i="37"/>
  <c r="E208" i="28"/>
  <c r="E208" i="157"/>
  <c r="E208" i="39"/>
  <c r="E208" i="165"/>
  <c r="E208" i="167"/>
  <c r="E208" i="98"/>
  <c r="E208" i="142"/>
  <c r="E208" i="159"/>
  <c r="E208" i="53"/>
  <c r="E208" i="94"/>
  <c r="E208" i="149"/>
  <c r="E208" i="164"/>
  <c r="E208" i="95"/>
  <c r="E208" i="118"/>
  <c r="E208" i="59"/>
  <c r="E208" i="57"/>
  <c r="E208" i="156"/>
  <c r="E208" i="42"/>
  <c r="E208" i="104"/>
  <c r="E208" i="89"/>
  <c r="E208" i="31"/>
  <c r="E208" i="86"/>
  <c r="E208" i="135"/>
  <c r="E208" i="16"/>
  <c r="E208" i="68"/>
  <c r="E208" i="150"/>
  <c r="E208" i="91"/>
  <c r="E208" i="58"/>
  <c r="E208" i="106"/>
  <c r="E208" i="103"/>
  <c r="E208" i="90"/>
  <c r="E208" i="113"/>
  <c r="E208" i="21"/>
  <c r="E208" i="133"/>
  <c r="E208" i="62"/>
  <c r="E208" i="143"/>
  <c r="E208" i="10"/>
  <c r="E208" i="64"/>
  <c r="E208" i="63"/>
  <c r="E208" i="45"/>
  <c r="E208" i="27"/>
  <c r="E208" i="43"/>
  <c r="E208" i="71"/>
  <c r="E208" i="111"/>
  <c r="E208" i="47"/>
  <c r="E208" i="92"/>
  <c r="E233" i="167"/>
  <c r="E232" i="167"/>
  <c r="E231" i="167"/>
  <c r="F228" i="167"/>
  <c r="E227" i="167"/>
  <c r="E226" i="167"/>
  <c r="E225" i="167"/>
  <c r="E224" i="167"/>
  <c r="E223" i="167"/>
  <c r="E222" i="167"/>
  <c r="E221" i="167"/>
  <c r="E220" i="167"/>
  <c r="K208" i="167"/>
  <c r="J208" i="167"/>
  <c r="G201" i="167"/>
  <c r="G192" i="167"/>
  <c r="G174" i="167"/>
  <c r="G143" i="167"/>
  <c r="G109" i="167"/>
  <c r="G107" i="167"/>
  <c r="G99" i="167"/>
  <c r="G86" i="167"/>
  <c r="G64" i="167"/>
  <c r="G44" i="167"/>
  <c r="F21" i="167"/>
  <c r="E20" i="167"/>
  <c r="E19" i="167"/>
  <c r="E18" i="167"/>
  <c r="E17" i="167"/>
  <c r="E16" i="167"/>
  <c r="E14" i="167"/>
  <c r="E13" i="167"/>
  <c r="E12" i="167"/>
  <c r="A1" i="167"/>
  <c r="K17" i="167" l="1"/>
  <c r="F215" i="167"/>
  <c r="G12" i="167"/>
  <c r="G224" i="167"/>
  <c r="G220" i="167"/>
  <c r="G232" i="167"/>
  <c r="G233" i="167"/>
  <c r="K18" i="167"/>
  <c r="G221" i="167"/>
  <c r="G227" i="167"/>
  <c r="G223" i="167"/>
  <c r="G222" i="167"/>
  <c r="G225" i="167"/>
  <c r="G226" i="167"/>
  <c r="G202" i="167"/>
  <c r="G203" i="167"/>
  <c r="G204" i="167"/>
  <c r="G205" i="167"/>
  <c r="G173" i="167"/>
  <c r="G180" i="167"/>
  <c r="G190" i="167"/>
  <c r="G181" i="167"/>
  <c r="G165" i="167"/>
  <c r="G175" i="167"/>
  <c r="G184" i="167"/>
  <c r="G193" i="167"/>
  <c r="G167" i="167"/>
  <c r="G176" i="167"/>
  <c r="G185" i="167"/>
  <c r="G194" i="167"/>
  <c r="G169" i="167"/>
  <c r="G177" i="167"/>
  <c r="G186" i="167"/>
  <c r="G196" i="167"/>
  <c r="G171" i="167"/>
  <c r="G178" i="167"/>
  <c r="G188" i="167"/>
  <c r="G172" i="167"/>
  <c r="G179" i="167"/>
  <c r="G189" i="167"/>
  <c r="G145" i="167"/>
  <c r="G127" i="167"/>
  <c r="G138" i="167"/>
  <c r="G146" i="167"/>
  <c r="G155" i="167"/>
  <c r="G129" i="167"/>
  <c r="G147" i="167"/>
  <c r="G156" i="167"/>
  <c r="G130" i="167"/>
  <c r="G140" i="167"/>
  <c r="G131" i="167"/>
  <c r="G148" i="167"/>
  <c r="G157" i="167"/>
  <c r="G125" i="167"/>
  <c r="G135" i="167"/>
  <c r="G151" i="167"/>
  <c r="G160" i="167"/>
  <c r="G126" i="167"/>
  <c r="G137" i="167"/>
  <c r="G153" i="167"/>
  <c r="G132" i="167"/>
  <c r="G141" i="167"/>
  <c r="G149" i="167"/>
  <c r="G158" i="167"/>
  <c r="G124" i="167"/>
  <c r="G133" i="167"/>
  <c r="G142" i="167"/>
  <c r="G150" i="167"/>
  <c r="G159" i="167"/>
  <c r="G116" i="167"/>
  <c r="G115" i="167"/>
  <c r="G117" i="167"/>
  <c r="G110" i="167"/>
  <c r="G106" i="167"/>
  <c r="G100" i="167"/>
  <c r="G101" i="167"/>
  <c r="G96" i="167"/>
  <c r="G98" i="167"/>
  <c r="G87" i="167"/>
  <c r="G88" i="167"/>
  <c r="G83" i="167"/>
  <c r="G89" i="167"/>
  <c r="G90" i="167"/>
  <c r="G85" i="167"/>
  <c r="G91" i="167"/>
  <c r="G84" i="167"/>
  <c r="G92" i="167"/>
  <c r="G71" i="167"/>
  <c r="G73" i="167"/>
  <c r="G74" i="167"/>
  <c r="G66" i="167"/>
  <c r="G75" i="167"/>
  <c r="G76" i="167"/>
  <c r="G69" i="167"/>
  <c r="G77" i="167"/>
  <c r="G67" i="167"/>
  <c r="G70" i="167"/>
  <c r="G78" i="167"/>
  <c r="G55" i="167"/>
  <c r="G41" i="167"/>
  <c r="G30" i="167"/>
  <c r="G51" i="167"/>
  <c r="G31" i="167"/>
  <c r="G38" i="167"/>
  <c r="G45" i="167"/>
  <c r="G53" i="167"/>
  <c r="G47" i="167"/>
  <c r="G26" i="167"/>
  <c r="G32" i="167"/>
  <c r="G39" i="167"/>
  <c r="G46" i="167"/>
  <c r="G54" i="167"/>
  <c r="G40" i="167"/>
  <c r="G27" i="167"/>
  <c r="G57" i="167"/>
  <c r="G34" i="167"/>
  <c r="G48" i="167"/>
  <c r="G28" i="167"/>
  <c r="G35" i="167"/>
  <c r="G43" i="167"/>
  <c r="G49" i="167"/>
  <c r="G59" i="167"/>
  <c r="G33" i="167"/>
  <c r="G42" i="167"/>
  <c r="G58" i="167"/>
  <c r="G29" i="167"/>
  <c r="G37" i="167"/>
  <c r="G50" i="167"/>
  <c r="G60" i="167"/>
  <c r="G14" i="167"/>
  <c r="G13" i="167"/>
  <c r="G19" i="167"/>
  <c r="G16" i="167"/>
  <c r="G20" i="167"/>
  <c r="G17" i="167"/>
  <c r="G18" i="167"/>
  <c r="G97" i="167"/>
  <c r="G200" i="167"/>
  <c r="E11" i="167"/>
  <c r="G114" i="167"/>
  <c r="E235" i="167"/>
  <c r="G231" i="167"/>
  <c r="E15" i="167"/>
  <c r="G123" i="167"/>
  <c r="E228" i="167"/>
  <c r="G219" i="167"/>
  <c r="E233" i="165"/>
  <c r="E232" i="165"/>
  <c r="E231" i="165"/>
  <c r="F228" i="165"/>
  <c r="E227" i="165"/>
  <c r="E226" i="165"/>
  <c r="E225" i="165"/>
  <c r="E224" i="165"/>
  <c r="E223" i="165"/>
  <c r="E222" i="165"/>
  <c r="E221" i="165"/>
  <c r="E220" i="165"/>
  <c r="K208" i="165"/>
  <c r="J208" i="165"/>
  <c r="G181" i="165"/>
  <c r="G178" i="165"/>
  <c r="G160" i="165"/>
  <c r="G151" i="165"/>
  <c r="G127" i="165"/>
  <c r="G90" i="165"/>
  <c r="G46" i="165"/>
  <c r="G31" i="165"/>
  <c r="F21" i="165"/>
  <c r="E20" i="165"/>
  <c r="E19" i="165"/>
  <c r="E18" i="165"/>
  <c r="E17" i="165"/>
  <c r="E15" i="165"/>
  <c r="E14" i="165"/>
  <c r="E12" i="165"/>
  <c r="E11" i="165"/>
  <c r="A1" i="165"/>
  <c r="M12" i="167" l="1"/>
  <c r="F215" i="165"/>
  <c r="M17" i="167"/>
  <c r="G11" i="165"/>
  <c r="G231" i="165"/>
  <c r="G232" i="165"/>
  <c r="E237" i="167"/>
  <c r="G233" i="165"/>
  <c r="K18" i="165"/>
  <c r="K17" i="165"/>
  <c r="M16" i="167"/>
  <c r="G226" i="165"/>
  <c r="G221" i="165"/>
  <c r="E228" i="165"/>
  <c r="G222" i="165"/>
  <c r="G223" i="165"/>
  <c r="G225" i="165"/>
  <c r="E236" i="167"/>
  <c r="G227" i="165"/>
  <c r="G224" i="165"/>
  <c r="G220" i="165"/>
  <c r="G201" i="165"/>
  <c r="G202" i="165"/>
  <c r="G203" i="165"/>
  <c r="G204" i="165"/>
  <c r="G186" i="165"/>
  <c r="G168" i="167"/>
  <c r="G167" i="165"/>
  <c r="G174" i="165"/>
  <c r="G187" i="165"/>
  <c r="G195" i="165"/>
  <c r="G195" i="167"/>
  <c r="G168" i="165"/>
  <c r="G175" i="165"/>
  <c r="G196" i="165"/>
  <c r="G170" i="167"/>
  <c r="G176" i="165"/>
  <c r="G182" i="165"/>
  <c r="G189" i="165"/>
  <c r="G182" i="167"/>
  <c r="G183" i="167"/>
  <c r="G169" i="165"/>
  <c r="G183" i="165"/>
  <c r="G190" i="165"/>
  <c r="G172" i="165"/>
  <c r="G188" i="165"/>
  <c r="G184" i="165"/>
  <c r="G166" i="165"/>
  <c r="G180" i="165"/>
  <c r="G193" i="165"/>
  <c r="G187" i="167"/>
  <c r="G170" i="165"/>
  <c r="G191" i="165"/>
  <c r="G164" i="165"/>
  <c r="G191" i="167"/>
  <c r="G166" i="167"/>
  <c r="G165" i="165"/>
  <c r="G171" i="165"/>
  <c r="G179" i="165"/>
  <c r="G185" i="165"/>
  <c r="G192" i="165"/>
  <c r="G137" i="165"/>
  <c r="G153" i="165"/>
  <c r="G155" i="165"/>
  <c r="G130" i="165"/>
  <c r="G156" i="165"/>
  <c r="G131" i="165"/>
  <c r="G157" i="165"/>
  <c r="G126" i="165"/>
  <c r="G135" i="165"/>
  <c r="G145" i="165"/>
  <c r="G152" i="167"/>
  <c r="G129" i="165"/>
  <c r="G124" i="165"/>
  <c r="G136" i="165"/>
  <c r="G146" i="165"/>
  <c r="G152" i="165"/>
  <c r="G138" i="165"/>
  <c r="G141" i="165"/>
  <c r="G132" i="165"/>
  <c r="G142" i="165"/>
  <c r="G150" i="165"/>
  <c r="G158" i="165"/>
  <c r="G148" i="165"/>
  <c r="G140" i="165"/>
  <c r="G136" i="167"/>
  <c r="G149" i="165"/>
  <c r="G125" i="165"/>
  <c r="G133" i="165"/>
  <c r="G143" i="165"/>
  <c r="G159" i="165"/>
  <c r="G115" i="165"/>
  <c r="G118" i="165"/>
  <c r="G118" i="167"/>
  <c r="G116" i="165"/>
  <c r="G117" i="165"/>
  <c r="G109" i="165"/>
  <c r="G110" i="165"/>
  <c r="G108" i="167"/>
  <c r="G107" i="165"/>
  <c r="G108" i="165"/>
  <c r="G97" i="165"/>
  <c r="G98" i="165"/>
  <c r="G100" i="165"/>
  <c r="G101" i="165"/>
  <c r="G102" i="167"/>
  <c r="G83" i="165"/>
  <c r="G86" i="165"/>
  <c r="G92" i="165"/>
  <c r="G91" i="165"/>
  <c r="G84" i="165"/>
  <c r="G87" i="165"/>
  <c r="G88" i="165"/>
  <c r="G78" i="165"/>
  <c r="G70" i="165"/>
  <c r="G69" i="165"/>
  <c r="G65" i="165"/>
  <c r="G72" i="165"/>
  <c r="G73" i="165"/>
  <c r="G75" i="165"/>
  <c r="G76" i="165"/>
  <c r="G68" i="167"/>
  <c r="G72" i="167"/>
  <c r="G65" i="167"/>
  <c r="G67" i="165"/>
  <c r="G77" i="165"/>
  <c r="G34" i="165"/>
  <c r="G28" i="165"/>
  <c r="G51" i="165"/>
  <c r="G59" i="165"/>
  <c r="G36" i="167"/>
  <c r="G38" i="165"/>
  <c r="G54" i="165"/>
  <c r="G32" i="165"/>
  <c r="G40" i="165"/>
  <c r="G48" i="165"/>
  <c r="G57" i="165"/>
  <c r="G27" i="165"/>
  <c r="G52" i="167"/>
  <c r="G26" i="165"/>
  <c r="G33" i="165"/>
  <c r="G41" i="165"/>
  <c r="G49" i="165"/>
  <c r="G58" i="165"/>
  <c r="G56" i="167"/>
  <c r="G50" i="165"/>
  <c r="G43" i="165"/>
  <c r="G35" i="165"/>
  <c r="G44" i="165"/>
  <c r="G60" i="165"/>
  <c r="G30" i="165"/>
  <c r="G36" i="165"/>
  <c r="G45" i="165"/>
  <c r="G52" i="165"/>
  <c r="G42" i="165"/>
  <c r="G29" i="165"/>
  <c r="G37" i="165"/>
  <c r="G53" i="165"/>
  <c r="G14" i="165"/>
  <c r="G15" i="165"/>
  <c r="M18" i="167"/>
  <c r="M13" i="167"/>
  <c r="G12" i="165"/>
  <c r="G18" i="165"/>
  <c r="G19" i="165"/>
  <c r="G20" i="165"/>
  <c r="G15" i="167"/>
  <c r="M19" i="167"/>
  <c r="G17" i="165"/>
  <c r="M14" i="167"/>
  <c r="G105" i="167"/>
  <c r="G235" i="167"/>
  <c r="K14" i="167"/>
  <c r="G228" i="167"/>
  <c r="E21" i="167"/>
  <c r="G11" i="167"/>
  <c r="G25" i="167"/>
  <c r="G164" i="167"/>
  <c r="G82" i="167"/>
  <c r="G206" i="167"/>
  <c r="G64" i="165"/>
  <c r="G25" i="165"/>
  <c r="E13" i="165"/>
  <c r="G66" i="165"/>
  <c r="E16" i="165"/>
  <c r="G96" i="165"/>
  <c r="G219" i="165"/>
  <c r="E235" i="165"/>
  <c r="M123" i="167" l="1"/>
  <c r="M191" i="167"/>
  <c r="M170" i="167"/>
  <c r="M114" i="167"/>
  <c r="M65" i="167"/>
  <c r="E215" i="167"/>
  <c r="M195" i="167"/>
  <c r="M36" i="167"/>
  <c r="M183" i="167"/>
  <c r="M108" i="167"/>
  <c r="M72" i="167"/>
  <c r="K14" i="165"/>
  <c r="G235" i="165"/>
  <c r="E237" i="165"/>
  <c r="K15" i="167"/>
  <c r="M136" i="167"/>
  <c r="M152" i="167"/>
  <c r="M56" i="167"/>
  <c r="E238" i="167"/>
  <c r="M200" i="167"/>
  <c r="M206" i="167"/>
  <c r="M97" i="167"/>
  <c r="M68" i="167"/>
  <c r="M102" i="167"/>
  <c r="G205" i="165"/>
  <c r="M182" i="167"/>
  <c r="G177" i="165"/>
  <c r="G194" i="165"/>
  <c r="M187" i="167"/>
  <c r="M168" i="167"/>
  <c r="G173" i="165"/>
  <c r="M166" i="167"/>
  <c r="G161" i="167"/>
  <c r="M161" i="167" s="1"/>
  <c r="G147" i="165"/>
  <c r="G119" i="167"/>
  <c r="M119" i="167" s="1"/>
  <c r="M118" i="167"/>
  <c r="G106" i="165"/>
  <c r="G99" i="165"/>
  <c r="G85" i="165"/>
  <c r="G89" i="165"/>
  <c r="G74" i="165"/>
  <c r="G79" i="167"/>
  <c r="M79" i="167" s="1"/>
  <c r="G71" i="165"/>
  <c r="G68" i="165"/>
  <c r="G56" i="165"/>
  <c r="G47" i="165"/>
  <c r="M52" i="167"/>
  <c r="G55" i="165"/>
  <c r="G39" i="165"/>
  <c r="G16" i="165"/>
  <c r="M19" i="165"/>
  <c r="G13" i="165"/>
  <c r="M15" i="167"/>
  <c r="M18" i="165"/>
  <c r="M15" i="165"/>
  <c r="M12" i="165"/>
  <c r="M14" i="165"/>
  <c r="M17" i="165"/>
  <c r="G237" i="167"/>
  <c r="M82" i="167"/>
  <c r="G93" i="167"/>
  <c r="M93" i="167" s="1"/>
  <c r="H227" i="167"/>
  <c r="H225" i="167"/>
  <c r="H223" i="167"/>
  <c r="H221" i="167"/>
  <c r="H219" i="167"/>
  <c r="G236" i="167"/>
  <c r="H224" i="167"/>
  <c r="M190" i="167"/>
  <c r="H226" i="167"/>
  <c r="M116" i="167"/>
  <c r="H222" i="167"/>
  <c r="M205" i="167"/>
  <c r="M178" i="167"/>
  <c r="M100" i="167"/>
  <c r="M87" i="167"/>
  <c r="K13" i="167"/>
  <c r="M173" i="167"/>
  <c r="M150" i="167"/>
  <c r="M145" i="167"/>
  <c r="M142" i="167"/>
  <c r="M45" i="167"/>
  <c r="H228" i="167"/>
  <c r="M180" i="167"/>
  <c r="M175" i="167"/>
  <c r="M124" i="167"/>
  <c r="M99" i="167"/>
  <c r="M86" i="167"/>
  <c r="M40" i="167"/>
  <c r="M66" i="167"/>
  <c r="M30" i="167"/>
  <c r="M73" i="167"/>
  <c r="M34" i="167"/>
  <c r="M202" i="167"/>
  <c r="M174" i="167"/>
  <c r="M143" i="167"/>
  <c r="M77" i="167"/>
  <c r="M75" i="167"/>
  <c r="H220" i="167"/>
  <c r="M125" i="167"/>
  <c r="M148" i="167"/>
  <c r="M130" i="167"/>
  <c r="M44" i="167"/>
  <c r="M201" i="167"/>
  <c r="M153" i="167"/>
  <c r="M54" i="167"/>
  <c r="M35" i="167"/>
  <c r="M47" i="167"/>
  <c r="M151" i="167"/>
  <c r="M117" i="167"/>
  <c r="M60" i="167"/>
  <c r="M165" i="167"/>
  <c r="M184" i="167"/>
  <c r="M98" i="167"/>
  <c r="M67" i="167"/>
  <c r="M129" i="167"/>
  <c r="M32" i="167"/>
  <c r="M193" i="167"/>
  <c r="M37" i="167"/>
  <c r="M147" i="167"/>
  <c r="M194" i="167"/>
  <c r="M181" i="167"/>
  <c r="M110" i="167"/>
  <c r="M76" i="167"/>
  <c r="M50" i="167"/>
  <c r="M159" i="167"/>
  <c r="M146" i="167"/>
  <c r="M88" i="167"/>
  <c r="M192" i="167"/>
  <c r="M132" i="167"/>
  <c r="M127" i="167"/>
  <c r="M204" i="167"/>
  <c r="M59" i="167"/>
  <c r="M196" i="167"/>
  <c r="M141" i="167"/>
  <c r="M29" i="167"/>
  <c r="M92" i="167"/>
  <c r="M126" i="167"/>
  <c r="M188" i="167"/>
  <c r="M115" i="167"/>
  <c r="M69" i="167"/>
  <c r="M137" i="167"/>
  <c r="M39" i="167"/>
  <c r="M53" i="167"/>
  <c r="M167" i="167"/>
  <c r="M171" i="167"/>
  <c r="M46" i="167"/>
  <c r="M203" i="167"/>
  <c r="M140" i="167"/>
  <c r="M74" i="167"/>
  <c r="M83" i="167"/>
  <c r="M149" i="167"/>
  <c r="M179" i="167"/>
  <c r="M55" i="167"/>
  <c r="M84" i="167"/>
  <c r="M27" i="167"/>
  <c r="M177" i="167"/>
  <c r="M101" i="167"/>
  <c r="M71" i="167"/>
  <c r="M90" i="167"/>
  <c r="M26" i="167"/>
  <c r="M131" i="167"/>
  <c r="M133" i="167"/>
  <c r="M156" i="167"/>
  <c r="M185" i="167"/>
  <c r="M157" i="167"/>
  <c r="M106" i="167"/>
  <c r="M51" i="167"/>
  <c r="M42" i="167"/>
  <c r="M91" i="167"/>
  <c r="M43" i="167"/>
  <c r="M135" i="167"/>
  <c r="M58" i="167"/>
  <c r="M96" i="167"/>
  <c r="M49" i="167"/>
  <c r="M28" i="167"/>
  <c r="M70" i="167"/>
  <c r="M160" i="167"/>
  <c r="M155" i="167"/>
  <c r="M169" i="167"/>
  <c r="M85" i="167"/>
  <c r="M38" i="167"/>
  <c r="M109" i="167"/>
  <c r="M64" i="167"/>
  <c r="M186" i="167"/>
  <c r="M41" i="167"/>
  <c r="M107" i="167"/>
  <c r="M57" i="167"/>
  <c r="M189" i="167"/>
  <c r="M158" i="167"/>
  <c r="M172" i="167"/>
  <c r="M89" i="167"/>
  <c r="M48" i="167"/>
  <c r="M78" i="167"/>
  <c r="M176" i="167"/>
  <c r="M31" i="167"/>
  <c r="M33" i="167"/>
  <c r="M138" i="167"/>
  <c r="G61" i="167"/>
  <c r="M61" i="167" s="1"/>
  <c r="M25" i="167"/>
  <c r="G21" i="167"/>
  <c r="M11" i="167"/>
  <c r="M105" i="167"/>
  <c r="G111" i="167"/>
  <c r="M111" i="167" s="1"/>
  <c r="G197" i="167"/>
  <c r="M197" i="167" s="1"/>
  <c r="M164" i="167"/>
  <c r="G114" i="165"/>
  <c r="E236" i="165"/>
  <c r="G228" i="165"/>
  <c r="G82" i="165"/>
  <c r="M11" i="165"/>
  <c r="G105" i="165"/>
  <c r="G200" i="165"/>
  <c r="G123" i="165"/>
  <c r="E21" i="165"/>
  <c r="G102" i="165" l="1"/>
  <c r="M102" i="165" s="1"/>
  <c r="E215" i="165"/>
  <c r="G237" i="165"/>
  <c r="K15" i="165"/>
  <c r="G79" i="165"/>
  <c r="M79" i="165" s="1"/>
  <c r="M71" i="165"/>
  <c r="G61" i="165"/>
  <c r="M61" i="165" s="1"/>
  <c r="G238" i="167"/>
  <c r="M56" i="165"/>
  <c r="E238" i="165"/>
  <c r="M177" i="165"/>
  <c r="G197" i="165"/>
  <c r="M197" i="165" s="1"/>
  <c r="M89" i="165"/>
  <c r="M68" i="165"/>
  <c r="M74" i="165"/>
  <c r="M13" i="165"/>
  <c r="G21" i="165"/>
  <c r="M16" i="165"/>
  <c r="G208" i="167"/>
  <c r="H20" i="167"/>
  <c r="H17" i="167"/>
  <c r="K11" i="167"/>
  <c r="H18" i="167"/>
  <c r="H11" i="167"/>
  <c r="H19" i="167"/>
  <c r="H12" i="167"/>
  <c r="H14" i="167"/>
  <c r="M21" i="167"/>
  <c r="H21" i="167"/>
  <c r="H15" i="167"/>
  <c r="H13" i="167"/>
  <c r="H16" i="167"/>
  <c r="M82" i="165"/>
  <c r="G93" i="165"/>
  <c r="M93" i="165" s="1"/>
  <c r="M123" i="165"/>
  <c r="G161" i="165"/>
  <c r="M161" i="165" s="1"/>
  <c r="M96" i="165"/>
  <c r="M39" i="165"/>
  <c r="M64" i="165"/>
  <c r="M25" i="165"/>
  <c r="M66" i="165"/>
  <c r="M55" i="165"/>
  <c r="M85" i="165"/>
  <c r="G206" i="165"/>
  <c r="M206" i="165" s="1"/>
  <c r="M200" i="165"/>
  <c r="M147" i="165"/>
  <c r="M99" i="165"/>
  <c r="H228" i="165"/>
  <c r="G236" i="165"/>
  <c r="H226" i="165"/>
  <c r="H224" i="165"/>
  <c r="H222" i="165"/>
  <c r="H220" i="165"/>
  <c r="H223" i="165"/>
  <c r="H227" i="165"/>
  <c r="H219" i="165"/>
  <c r="M202" i="165"/>
  <c r="M156" i="165"/>
  <c r="M138" i="165"/>
  <c r="M175" i="165"/>
  <c r="M150" i="165"/>
  <c r="H221" i="165"/>
  <c r="M185" i="165"/>
  <c r="M108" i="165"/>
  <c r="M91" i="165"/>
  <c r="M32" i="165"/>
  <c r="M167" i="165"/>
  <c r="K13" i="165"/>
  <c r="M59" i="165"/>
  <c r="H225" i="165"/>
  <c r="M135" i="165"/>
  <c r="M182" i="165"/>
  <c r="M129" i="165"/>
  <c r="M117" i="165"/>
  <c r="M72" i="165"/>
  <c r="M152" i="165"/>
  <c r="M92" i="165"/>
  <c r="M189" i="165"/>
  <c r="M170" i="165"/>
  <c r="M169" i="165"/>
  <c r="M146" i="165"/>
  <c r="M130" i="165"/>
  <c r="M43" i="165"/>
  <c r="M136" i="165"/>
  <c r="M70" i="165"/>
  <c r="M97" i="165"/>
  <c r="M100" i="165"/>
  <c r="M158" i="165"/>
  <c r="M181" i="165"/>
  <c r="M164" i="165"/>
  <c r="M33" i="165"/>
  <c r="M131" i="165"/>
  <c r="M41" i="165"/>
  <c r="M133" i="165"/>
  <c r="M86" i="165"/>
  <c r="M125" i="165"/>
  <c r="M180" i="165"/>
  <c r="M151" i="165"/>
  <c r="M195" i="165"/>
  <c r="M196" i="165"/>
  <c r="M166" i="165"/>
  <c r="M127" i="165"/>
  <c r="M191" i="165"/>
  <c r="M35" i="165"/>
  <c r="M36" i="165"/>
  <c r="M40" i="165"/>
  <c r="M44" i="165"/>
  <c r="M137" i="165"/>
  <c r="M109" i="165"/>
  <c r="M132" i="165"/>
  <c r="M190" i="165"/>
  <c r="M98" i="165"/>
  <c r="M155" i="165"/>
  <c r="M204" i="165"/>
  <c r="M26" i="165"/>
  <c r="M51" i="165"/>
  <c r="M168" i="165"/>
  <c r="M142" i="165"/>
  <c r="M58" i="165"/>
  <c r="M87" i="165"/>
  <c r="M46" i="165"/>
  <c r="M54" i="165"/>
  <c r="M29" i="165"/>
  <c r="M176" i="165"/>
  <c r="M107" i="165"/>
  <c r="M148" i="165"/>
  <c r="M178" i="165"/>
  <c r="M186" i="165"/>
  <c r="M116" i="165"/>
  <c r="M50" i="165"/>
  <c r="M28" i="165"/>
  <c r="M145" i="165"/>
  <c r="M52" i="165"/>
  <c r="M201" i="165"/>
  <c r="M179" i="165"/>
  <c r="M187" i="165"/>
  <c r="M157" i="165"/>
  <c r="M67" i="165"/>
  <c r="M84" i="165"/>
  <c r="M126" i="165"/>
  <c r="M183" i="165"/>
  <c r="M101" i="165"/>
  <c r="M188" i="165"/>
  <c r="M149" i="165"/>
  <c r="M30" i="165"/>
  <c r="M57" i="165"/>
  <c r="M31" i="165"/>
  <c r="M65" i="165"/>
  <c r="M75" i="165"/>
  <c r="M171" i="165"/>
  <c r="M69" i="165"/>
  <c r="M115" i="165"/>
  <c r="M160" i="165"/>
  <c r="M118" i="165"/>
  <c r="M141" i="165"/>
  <c r="M193" i="165"/>
  <c r="M153" i="165"/>
  <c r="M48" i="165"/>
  <c r="M45" i="165"/>
  <c r="M49" i="165"/>
  <c r="M60" i="165"/>
  <c r="M34" i="165"/>
  <c r="M73" i="165"/>
  <c r="M140" i="165"/>
  <c r="M76" i="165"/>
  <c r="M192" i="165"/>
  <c r="M110" i="165"/>
  <c r="M165" i="165"/>
  <c r="M124" i="165"/>
  <c r="M172" i="165"/>
  <c r="M143" i="165"/>
  <c r="M27" i="165"/>
  <c r="M88" i="165"/>
  <c r="M37" i="165"/>
  <c r="M78" i="165"/>
  <c r="M83" i="165"/>
  <c r="M174" i="165"/>
  <c r="M184" i="165"/>
  <c r="M90" i="165"/>
  <c r="M203" i="165"/>
  <c r="M42" i="165"/>
  <c r="M53" i="165"/>
  <c r="M38" i="165"/>
  <c r="M159" i="165"/>
  <c r="M77" i="165"/>
  <c r="M205" i="165"/>
  <c r="M47" i="165"/>
  <c r="M106" i="165"/>
  <c r="G111" i="165"/>
  <c r="M111" i="165" s="1"/>
  <c r="M105" i="165"/>
  <c r="M173" i="165"/>
  <c r="G119" i="165"/>
  <c r="M119" i="165" s="1"/>
  <c r="M114" i="165"/>
  <c r="M194" i="165"/>
  <c r="H19" i="165" l="1"/>
  <c r="G238" i="165"/>
  <c r="G208" i="165"/>
  <c r="G215" i="167"/>
  <c r="H21" i="165"/>
  <c r="H18" i="165"/>
  <c r="H16" i="165"/>
  <c r="H11" i="165"/>
  <c r="H15" i="165"/>
  <c r="H12" i="165"/>
  <c r="M21" i="165"/>
  <c r="H17" i="165"/>
  <c r="H14" i="165"/>
  <c r="K11" i="165"/>
  <c r="H13" i="165"/>
  <c r="H20" i="165"/>
  <c r="H208" i="167"/>
  <c r="H203" i="167"/>
  <c r="H192" i="167"/>
  <c r="H184" i="167"/>
  <c r="H176" i="167"/>
  <c r="H168" i="167"/>
  <c r="H155" i="167"/>
  <c r="H146" i="167"/>
  <c r="H136" i="167"/>
  <c r="H126" i="167"/>
  <c r="H107" i="167"/>
  <c r="H89" i="167"/>
  <c r="H79" i="167"/>
  <c r="H78" i="167"/>
  <c r="H202" i="167"/>
  <c r="H190" i="167"/>
  <c r="H185" i="167"/>
  <c r="H180" i="167"/>
  <c r="H175" i="167"/>
  <c r="H170" i="167"/>
  <c r="H156" i="167"/>
  <c r="H150" i="167"/>
  <c r="H145" i="167"/>
  <c r="H138" i="167"/>
  <c r="H116" i="167"/>
  <c r="H108" i="167"/>
  <c r="H100" i="167"/>
  <c r="H87" i="167"/>
  <c r="H82" i="167"/>
  <c r="H75" i="167"/>
  <c r="H69" i="167"/>
  <c r="H195" i="167"/>
  <c r="H181" i="167"/>
  <c r="H166" i="167"/>
  <c r="H151" i="167"/>
  <c r="H133" i="167"/>
  <c r="H127" i="167"/>
  <c r="H117" i="167"/>
  <c r="H92" i="167"/>
  <c r="H70" i="167"/>
  <c r="H57" i="167"/>
  <c r="H196" i="167"/>
  <c r="H191" i="167"/>
  <c r="H186" i="167"/>
  <c r="H171" i="167"/>
  <c r="H157" i="167"/>
  <c r="H140" i="167"/>
  <c r="H123" i="167"/>
  <c r="H109" i="167"/>
  <c r="H101" i="167"/>
  <c r="H96" i="167"/>
  <c r="H93" i="167"/>
  <c r="H88" i="167"/>
  <c r="H83" i="167"/>
  <c r="H76" i="167"/>
  <c r="H71" i="167"/>
  <c r="H58" i="167"/>
  <c r="H206" i="167"/>
  <c r="H201" i="167"/>
  <c r="H189" i="167"/>
  <c r="H174" i="167"/>
  <c r="H169" i="167"/>
  <c r="H164" i="167"/>
  <c r="H160" i="167"/>
  <c r="H143" i="167"/>
  <c r="H137" i="167"/>
  <c r="H131" i="167"/>
  <c r="H125" i="167"/>
  <c r="H99" i="167"/>
  <c r="H86" i="167"/>
  <c r="H73" i="167"/>
  <c r="H67" i="167"/>
  <c r="H54" i="167"/>
  <c r="H46" i="167"/>
  <c r="H38" i="167"/>
  <c r="H30" i="167"/>
  <c r="M208" i="167"/>
  <c r="H200" i="167"/>
  <c r="H194" i="167"/>
  <c r="H183" i="167"/>
  <c r="H173" i="167"/>
  <c r="H141" i="167"/>
  <c r="H64" i="167"/>
  <c r="H50" i="167"/>
  <c r="H45" i="167"/>
  <c r="H40" i="167"/>
  <c r="H25" i="167"/>
  <c r="H167" i="167"/>
  <c r="H165" i="167"/>
  <c r="H118" i="167"/>
  <c r="H114" i="167"/>
  <c r="H55" i="167"/>
  <c r="H51" i="167"/>
  <c r="H36" i="167"/>
  <c r="H31" i="167"/>
  <c r="H26" i="167"/>
  <c r="K12" i="167"/>
  <c r="H188" i="167"/>
  <c r="H110" i="167"/>
  <c r="H97" i="167"/>
  <c r="H91" i="167"/>
  <c r="H84" i="167"/>
  <c r="H74" i="167"/>
  <c r="H41" i="167"/>
  <c r="H27" i="167"/>
  <c r="H197" i="167"/>
  <c r="H193" i="167"/>
  <c r="H172" i="167"/>
  <c r="H161" i="167"/>
  <c r="H153" i="167"/>
  <c r="H142" i="167"/>
  <c r="H124" i="167"/>
  <c r="H65" i="167"/>
  <c r="H43" i="167"/>
  <c r="H28" i="167"/>
  <c r="H178" i="167"/>
  <c r="H132" i="167"/>
  <c r="H119" i="167"/>
  <c r="H72" i="167"/>
  <c r="H61" i="167"/>
  <c r="H42" i="167"/>
  <c r="H34" i="167"/>
  <c r="H66" i="167"/>
  <c r="H39" i="167"/>
  <c r="H148" i="167"/>
  <c r="H102" i="167"/>
  <c r="H98" i="167"/>
  <c r="H85" i="167"/>
  <c r="H115" i="167"/>
  <c r="H111" i="167"/>
  <c r="H60" i="167"/>
  <c r="H49" i="167"/>
  <c r="H47" i="167"/>
  <c r="H187" i="167"/>
  <c r="H182" i="167"/>
  <c r="H158" i="167"/>
  <c r="H152" i="167"/>
  <c r="H135" i="167"/>
  <c r="H106" i="167"/>
  <c r="H53" i="167"/>
  <c r="H32" i="167"/>
  <c r="H205" i="167"/>
  <c r="H149" i="167"/>
  <c r="H147" i="167"/>
  <c r="H129" i="167"/>
  <c r="H177" i="167"/>
  <c r="H68" i="167"/>
  <c r="H37" i="167"/>
  <c r="H35" i="167"/>
  <c r="H179" i="167"/>
  <c r="H105" i="167"/>
  <c r="H77" i="167"/>
  <c r="H33" i="167"/>
  <c r="H159" i="167"/>
  <c r="H90" i="167"/>
  <c r="H59" i="167"/>
  <c r="H56" i="167"/>
  <c r="H52" i="167"/>
  <c r="H48" i="167"/>
  <c r="H29" i="167"/>
  <c r="H204" i="167"/>
  <c r="H130" i="167"/>
  <c r="H44" i="167"/>
  <c r="H184" i="165" l="1"/>
  <c r="H84" i="165"/>
  <c r="H166" i="165"/>
  <c r="H49" i="165"/>
  <c r="H185" i="165"/>
  <c r="H180" i="165"/>
  <c r="H88" i="165"/>
  <c r="H157" i="165"/>
  <c r="H27" i="165"/>
  <c r="H35" i="165"/>
  <c r="H87" i="165"/>
  <c r="H123" i="165"/>
  <c r="H109" i="165"/>
  <c r="H136" i="165"/>
  <c r="H132" i="165"/>
  <c r="H118" i="165"/>
  <c r="H200" i="165"/>
  <c r="H45" i="165"/>
  <c r="H117" i="165"/>
  <c r="H201" i="165"/>
  <c r="H145" i="165"/>
  <c r="H29" i="165"/>
  <c r="H119" i="165"/>
  <c r="M208" i="165"/>
  <c r="H153" i="165"/>
  <c r="H40" i="165"/>
  <c r="H96" i="165"/>
  <c r="H130" i="165"/>
  <c r="H44" i="165"/>
  <c r="H137" i="165"/>
  <c r="H116" i="165"/>
  <c r="H197" i="165"/>
  <c r="H31" i="165"/>
  <c r="H43" i="165"/>
  <c r="H176" i="165"/>
  <c r="H152" i="165"/>
  <c r="H55" i="165"/>
  <c r="H36" i="165"/>
  <c r="H126" i="165"/>
  <c r="H143" i="165"/>
  <c r="H41" i="165"/>
  <c r="H124" i="165"/>
  <c r="H76" i="165"/>
  <c r="H149" i="165"/>
  <c r="H28" i="165"/>
  <c r="H171" i="165"/>
  <c r="H89" i="165"/>
  <c r="H54" i="165"/>
  <c r="H179" i="165"/>
  <c r="H131" i="165"/>
  <c r="H195" i="165"/>
  <c r="H46" i="165"/>
  <c r="H61" i="165"/>
  <c r="H50" i="165"/>
  <c r="H105" i="165"/>
  <c r="H33" i="165"/>
  <c r="H148" i="165"/>
  <c r="H158" i="165"/>
  <c r="H177" i="165"/>
  <c r="H167" i="165"/>
  <c r="H58" i="165"/>
  <c r="H74" i="165"/>
  <c r="H34" i="165"/>
  <c r="H97" i="165"/>
  <c r="H71" i="165"/>
  <c r="H56" i="165"/>
  <c r="H37" i="165"/>
  <c r="H186" i="165"/>
  <c r="H52" i="165"/>
  <c r="H38" i="165"/>
  <c r="H65" i="165"/>
  <c r="H100" i="165"/>
  <c r="H91" i="165"/>
  <c r="H59" i="165"/>
  <c r="H42" i="165"/>
  <c r="H60" i="165"/>
  <c r="H75" i="165"/>
  <c r="H193" i="165"/>
  <c r="H138" i="165"/>
  <c r="H192" i="165"/>
  <c r="H161" i="165"/>
  <c r="H72" i="165"/>
  <c r="H79" i="165"/>
  <c r="H169" i="165"/>
  <c r="H108" i="165"/>
  <c r="H26" i="165"/>
  <c r="H64" i="165"/>
  <c r="H47" i="165"/>
  <c r="H70" i="165"/>
  <c r="H82" i="165"/>
  <c r="H146" i="165"/>
  <c r="H204" i="165"/>
  <c r="H156" i="165"/>
  <c r="H99" i="165"/>
  <c r="H203" i="165"/>
  <c r="H173" i="165"/>
  <c r="H129" i="165"/>
  <c r="H67" i="165"/>
  <c r="H125" i="165"/>
  <c r="H202" i="165"/>
  <c r="H189" i="165"/>
  <c r="H83" i="165"/>
  <c r="H150" i="165"/>
  <c r="H66" i="165"/>
  <c r="H110" i="165"/>
  <c r="H30" i="165"/>
  <c r="H86" i="165"/>
  <c r="H78" i="165"/>
  <c r="H160" i="165"/>
  <c r="H93" i="165"/>
  <c r="H151" i="165"/>
  <c r="H25" i="165"/>
  <c r="H170" i="165"/>
  <c r="H107" i="165"/>
  <c r="H115" i="165"/>
  <c r="H188" i="165"/>
  <c r="H147" i="165"/>
  <c r="H68" i="165"/>
  <c r="H135" i="165"/>
  <c r="H196" i="165"/>
  <c r="H194" i="165"/>
  <c r="H165" i="165"/>
  <c r="H69" i="165"/>
  <c r="K12" i="165"/>
  <c r="H53" i="165"/>
  <c r="H32" i="165"/>
  <c r="H155" i="165"/>
  <c r="H141" i="165"/>
  <c r="H127" i="165"/>
  <c r="H181" i="165"/>
  <c r="H57" i="165"/>
  <c r="H73" i="165"/>
  <c r="H164" i="165"/>
  <c r="H142" i="165"/>
  <c r="H98" i="165"/>
  <c r="H182" i="165"/>
  <c r="H101" i="165"/>
  <c r="H175" i="165"/>
  <c r="H205" i="165"/>
  <c r="H172" i="165"/>
  <c r="H39" i="165"/>
  <c r="H174" i="165"/>
  <c r="H133" i="165"/>
  <c r="H190" i="165"/>
  <c r="H92" i="165"/>
  <c r="H85" i="165"/>
  <c r="H178" i="165"/>
  <c r="H159" i="165"/>
  <c r="H111" i="165"/>
  <c r="H187" i="165"/>
  <c r="H102" i="165"/>
  <c r="H183" i="165"/>
  <c r="H206" i="165"/>
  <c r="H48" i="165"/>
  <c r="H51" i="165"/>
  <c r="H77" i="165"/>
  <c r="H140" i="165"/>
  <c r="H90" i="165"/>
  <c r="H168" i="165"/>
  <c r="H114" i="165"/>
  <c r="H208" i="165"/>
  <c r="H106" i="165"/>
  <c r="H191" i="165"/>
  <c r="G215" i="165"/>
  <c r="E233" i="164"/>
  <c r="G233" i="164" s="1"/>
  <c r="E232" i="164"/>
  <c r="G232" i="164" s="1"/>
  <c r="E231" i="164"/>
  <c r="G231" i="164" s="1"/>
  <c r="F228" i="164"/>
  <c r="E227" i="164"/>
  <c r="G227" i="164" s="1"/>
  <c r="E226" i="164"/>
  <c r="G226" i="164" s="1"/>
  <c r="E225" i="164"/>
  <c r="G225" i="164" s="1"/>
  <c r="E224" i="164"/>
  <c r="G224" i="164" s="1"/>
  <c r="E223" i="164"/>
  <c r="G223" i="164" s="1"/>
  <c r="E221" i="164"/>
  <c r="G221" i="164" s="1"/>
  <c r="E220" i="164"/>
  <c r="K208" i="164"/>
  <c r="K18" i="164" s="1"/>
  <c r="J208" i="164"/>
  <c r="G205" i="164"/>
  <c r="G204" i="164"/>
  <c r="G203" i="164"/>
  <c r="G201" i="164"/>
  <c r="G200" i="164"/>
  <c r="G196" i="164"/>
  <c r="G195" i="164"/>
  <c r="G193" i="164"/>
  <c r="G192" i="164"/>
  <c r="G191" i="164"/>
  <c r="G190" i="164"/>
  <c r="G189" i="164"/>
  <c r="G188" i="164"/>
  <c r="G187" i="164"/>
  <c r="G184" i="164"/>
  <c r="G183" i="164"/>
  <c r="G181" i="164"/>
  <c r="G180" i="164"/>
  <c r="G179" i="164"/>
  <c r="G178" i="164"/>
  <c r="G177" i="164"/>
  <c r="G176" i="164"/>
  <c r="G173" i="164"/>
  <c r="G172" i="164"/>
  <c r="G171" i="164"/>
  <c r="G170" i="164"/>
  <c r="G169" i="164"/>
  <c r="G168" i="164"/>
  <c r="G167" i="164"/>
  <c r="G166" i="164"/>
  <c r="G165" i="164"/>
  <c r="G160" i="164"/>
  <c r="G159" i="164"/>
  <c r="G158" i="164"/>
  <c r="G157" i="164"/>
  <c r="G156" i="164"/>
  <c r="G155" i="164"/>
  <c r="G151" i="164"/>
  <c r="G150" i="164"/>
  <c r="G149" i="164"/>
  <c r="G148" i="164"/>
  <c r="G146" i="164"/>
  <c r="G141" i="164"/>
  <c r="G140" i="164"/>
  <c r="G138" i="164"/>
  <c r="G137" i="164"/>
  <c r="G136" i="164"/>
  <c r="G135" i="164"/>
  <c r="G133" i="164"/>
  <c r="G132" i="164"/>
  <c r="G130" i="164"/>
  <c r="G129" i="164"/>
  <c r="G127" i="164"/>
  <c r="G125" i="164"/>
  <c r="G124" i="164"/>
  <c r="G117" i="164"/>
  <c r="G116" i="164"/>
  <c r="G115" i="164"/>
  <c r="G110" i="164"/>
  <c r="G109" i="164"/>
  <c r="G108" i="164"/>
  <c r="G107" i="164"/>
  <c r="G106" i="164"/>
  <c r="G101" i="164"/>
  <c r="G100" i="164"/>
  <c r="G99" i="164"/>
  <c r="G98" i="164"/>
  <c r="G97" i="164"/>
  <c r="G92" i="164"/>
  <c r="G90" i="164"/>
  <c r="G88" i="164"/>
  <c r="G86" i="164"/>
  <c r="G85" i="164"/>
  <c r="G84" i="164"/>
  <c r="G83" i="164"/>
  <c r="G78" i="164"/>
  <c r="G77" i="164"/>
  <c r="G76" i="164"/>
  <c r="G75" i="164"/>
  <c r="G74" i="164"/>
  <c r="G73" i="164"/>
  <c r="G72" i="164"/>
  <c r="G71" i="164"/>
  <c r="G70" i="164"/>
  <c r="G69" i="164"/>
  <c r="G68" i="164"/>
  <c r="G67" i="164"/>
  <c r="G66" i="164"/>
  <c r="G65" i="164"/>
  <c r="G64" i="164"/>
  <c r="G60" i="164"/>
  <c r="G59" i="164"/>
  <c r="G58" i="164"/>
  <c r="G56" i="164"/>
  <c r="G55" i="164"/>
  <c r="G54" i="164"/>
  <c r="G52" i="164"/>
  <c r="G51" i="164"/>
  <c r="G50" i="164"/>
  <c r="G49" i="164"/>
  <c r="G48" i="164"/>
  <c r="G46" i="164"/>
  <c r="G45" i="164"/>
  <c r="G44" i="164"/>
  <c r="G43" i="164"/>
  <c r="G42" i="164"/>
  <c r="G41" i="164"/>
  <c r="G40" i="164"/>
  <c r="G39" i="164"/>
  <c r="G38" i="164"/>
  <c r="G37" i="164"/>
  <c r="G36" i="164"/>
  <c r="G35" i="164"/>
  <c r="G34" i="164"/>
  <c r="G33" i="164"/>
  <c r="G32" i="164"/>
  <c r="G31" i="164"/>
  <c r="G30" i="164"/>
  <c r="G29" i="164"/>
  <c r="G28" i="164"/>
  <c r="G27" i="164"/>
  <c r="G26" i="164"/>
  <c r="F21" i="164"/>
  <c r="F215" i="164" s="1"/>
  <c r="E20" i="164"/>
  <c r="G20" i="164" s="1"/>
  <c r="E19" i="164"/>
  <c r="G19" i="164" s="1"/>
  <c r="E18" i="164"/>
  <c r="G18" i="164" s="1"/>
  <c r="E17" i="164"/>
  <c r="G17" i="164" s="1"/>
  <c r="E16" i="164"/>
  <c r="G16" i="164" s="1"/>
  <c r="E15" i="164"/>
  <c r="G15" i="164" s="1"/>
  <c r="E14" i="164"/>
  <c r="G14" i="164" s="1"/>
  <c r="E13" i="164"/>
  <c r="G13" i="164" s="1"/>
  <c r="E12" i="164"/>
  <c r="G12" i="164" s="1"/>
  <c r="E11" i="164"/>
  <c r="G11" i="164" s="1"/>
  <c r="A1" i="164"/>
  <c r="K17" i="164" l="1"/>
  <c r="M13" i="164"/>
  <c r="M15" i="164"/>
  <c r="M16" i="164"/>
  <c r="M17" i="164"/>
  <c r="G220" i="164"/>
  <c r="M18" i="164"/>
  <c r="E235" i="164"/>
  <c r="M19" i="164"/>
  <c r="G185" i="164"/>
  <c r="G131" i="164"/>
  <c r="G147" i="164"/>
  <c r="G142" i="164"/>
  <c r="G53" i="164"/>
  <c r="G47" i="164"/>
  <c r="G164" i="164"/>
  <c r="G21" i="164"/>
  <c r="G235" i="164"/>
  <c r="K14" i="164"/>
  <c r="G79" i="164"/>
  <c r="E21" i="164"/>
  <c r="G25" i="164"/>
  <c r="E222" i="164"/>
  <c r="E228" i="164" s="1"/>
  <c r="G123" i="164"/>
  <c r="G114" i="164"/>
  <c r="G219" i="164"/>
  <c r="E237" i="164" l="1"/>
  <c r="M12" i="164"/>
  <c r="M11" i="164"/>
  <c r="E215" i="164"/>
  <c r="K15" i="164"/>
  <c r="G222" i="164"/>
  <c r="G228" i="164" s="1"/>
  <c r="E236" i="164"/>
  <c r="G202" i="164"/>
  <c r="G194" i="164"/>
  <c r="G182" i="164"/>
  <c r="G174" i="164"/>
  <c r="G175" i="164"/>
  <c r="G186" i="164"/>
  <c r="G152" i="164"/>
  <c r="G145" i="164"/>
  <c r="G153" i="164"/>
  <c r="G126" i="164"/>
  <c r="G143" i="164"/>
  <c r="G118" i="164"/>
  <c r="G89" i="164"/>
  <c r="G87" i="164"/>
  <c r="G91" i="164"/>
  <c r="G57" i="164"/>
  <c r="G105" i="164"/>
  <c r="G96" i="164"/>
  <c r="G82" i="164"/>
  <c r="G237" i="164"/>
  <c r="H16" i="164"/>
  <c r="H15" i="164"/>
  <c r="H14" i="164"/>
  <c r="H13" i="164"/>
  <c r="H12" i="164"/>
  <c r="H11" i="164"/>
  <c r="H20" i="164"/>
  <c r="K11" i="164"/>
  <c r="H18" i="164"/>
  <c r="H17" i="164"/>
  <c r="H21" i="164"/>
  <c r="H19" i="164"/>
  <c r="G206" i="164" l="1"/>
  <c r="M206" i="164" s="1"/>
  <c r="G61" i="164"/>
  <c r="M61" i="164" s="1"/>
  <c r="E238" i="164"/>
  <c r="M118" i="164"/>
  <c r="G119" i="164"/>
  <c r="M119" i="164" s="1"/>
  <c r="M21" i="164"/>
  <c r="M79" i="164"/>
  <c r="M123" i="164"/>
  <c r="M143" i="164"/>
  <c r="M175" i="164"/>
  <c r="M114" i="164"/>
  <c r="M186" i="164"/>
  <c r="M182" i="164"/>
  <c r="M91" i="164"/>
  <c r="M14" i="164"/>
  <c r="M174" i="164"/>
  <c r="G197" i="164"/>
  <c r="M197" i="164" s="1"/>
  <c r="G161" i="164"/>
  <c r="M161" i="164" s="1"/>
  <c r="M87" i="164"/>
  <c r="G102" i="164"/>
  <c r="M102" i="164" s="1"/>
  <c r="M96" i="164"/>
  <c r="M82" i="164"/>
  <c r="G93" i="164"/>
  <c r="G111" i="164"/>
  <c r="M111" i="164" s="1"/>
  <c r="M105" i="164"/>
  <c r="H226" i="164"/>
  <c r="H224" i="164"/>
  <c r="H222" i="164"/>
  <c r="H220" i="164"/>
  <c r="H227" i="164"/>
  <c r="H225" i="164"/>
  <c r="H223" i="164"/>
  <c r="H221" i="164"/>
  <c r="H219" i="164"/>
  <c r="G236" i="164"/>
  <c r="M203" i="164"/>
  <c r="H228" i="164"/>
  <c r="M179" i="164"/>
  <c r="M188" i="164"/>
  <c r="M183" i="164"/>
  <c r="M171" i="164"/>
  <c r="M130" i="164"/>
  <c r="M98" i="164"/>
  <c r="M78" i="164"/>
  <c r="M74" i="164"/>
  <c r="K13" i="164"/>
  <c r="M131" i="164"/>
  <c r="M65" i="164"/>
  <c r="M48" i="164"/>
  <c r="M191" i="164"/>
  <c r="M26" i="164"/>
  <c r="M77" i="164"/>
  <c r="M125" i="164"/>
  <c r="M107" i="164"/>
  <c r="M66" i="164"/>
  <c r="M148" i="164"/>
  <c r="M97" i="164"/>
  <c r="M38" i="164"/>
  <c r="M138" i="164"/>
  <c r="M168" i="164"/>
  <c r="M43" i="164"/>
  <c r="M85" i="164"/>
  <c r="M135" i="164"/>
  <c r="M72" i="164"/>
  <c r="M37" i="164"/>
  <c r="M187" i="164"/>
  <c r="M132" i="164"/>
  <c r="M73" i="164"/>
  <c r="M83" i="164"/>
  <c r="M55" i="164"/>
  <c r="M115" i="164"/>
  <c r="M60" i="164"/>
  <c r="M44" i="164"/>
  <c r="M71" i="164"/>
  <c r="M142" i="164"/>
  <c r="M150" i="164"/>
  <c r="M64" i="164"/>
  <c r="M86" i="164"/>
  <c r="M178" i="164"/>
  <c r="M88" i="164"/>
  <c r="M158" i="164"/>
  <c r="M39" i="164"/>
  <c r="M69" i="164"/>
  <c r="M151" i="164"/>
  <c r="M46" i="164"/>
  <c r="M160" i="164"/>
  <c r="M70" i="164"/>
  <c r="M54" i="164"/>
  <c r="M32" i="164"/>
  <c r="M58" i="164"/>
  <c r="M177" i="164"/>
  <c r="M180" i="164"/>
  <c r="M146" i="164"/>
  <c r="M181" i="164"/>
  <c r="M31" i="164"/>
  <c r="M90" i="164"/>
  <c r="M149" i="164"/>
  <c r="M67" i="164"/>
  <c r="M185" i="164"/>
  <c r="M196" i="164"/>
  <c r="M45" i="164"/>
  <c r="M52" i="164"/>
  <c r="M129" i="164"/>
  <c r="M201" i="164"/>
  <c r="M157" i="164"/>
  <c r="M127" i="164"/>
  <c r="M75" i="164"/>
  <c r="M173" i="164"/>
  <c r="M190" i="164"/>
  <c r="M195" i="164"/>
  <c r="M108" i="164"/>
  <c r="M56" i="164"/>
  <c r="M124" i="164"/>
  <c r="M34" i="164"/>
  <c r="M41" i="164"/>
  <c r="M33" i="164"/>
  <c r="M36" i="164"/>
  <c r="M189" i="164"/>
  <c r="M167" i="164"/>
  <c r="M172" i="164"/>
  <c r="M92" i="164"/>
  <c r="M84" i="164"/>
  <c r="M68" i="164"/>
  <c r="M204" i="164"/>
  <c r="M140" i="164"/>
  <c r="M133" i="164"/>
  <c r="M27" i="164"/>
  <c r="M28" i="164"/>
  <c r="M35" i="164"/>
  <c r="M47" i="164"/>
  <c r="M42" i="164"/>
  <c r="M184" i="164"/>
  <c r="M170" i="164"/>
  <c r="M137" i="164"/>
  <c r="M117" i="164"/>
  <c r="M100" i="164"/>
  <c r="M101" i="164"/>
  <c r="M76" i="164"/>
  <c r="M192" i="164"/>
  <c r="M155" i="164"/>
  <c r="M30" i="164"/>
  <c r="M116" i="164"/>
  <c r="M159" i="164"/>
  <c r="M51" i="164"/>
  <c r="M49" i="164"/>
  <c r="M141" i="164"/>
  <c r="M110" i="164"/>
  <c r="M200" i="164"/>
  <c r="M156" i="164"/>
  <c r="M136" i="164"/>
  <c r="M109" i="164"/>
  <c r="M165" i="164"/>
  <c r="M169" i="164"/>
  <c r="M50" i="164"/>
  <c r="M53" i="164"/>
  <c r="M106" i="164"/>
  <c r="M176" i="164"/>
  <c r="M99" i="164"/>
  <c r="M166" i="164"/>
  <c r="M147" i="164"/>
  <c r="M205" i="164"/>
  <c r="M40" i="164"/>
  <c r="M59" i="164"/>
  <c r="M29" i="164"/>
  <c r="M193" i="164"/>
  <c r="M153" i="164"/>
  <c r="M164" i="164"/>
  <c r="M89" i="164"/>
  <c r="M152" i="164"/>
  <c r="M202" i="164"/>
  <c r="M126" i="164"/>
  <c r="M145" i="164"/>
  <c r="M25" i="164"/>
  <c r="M194" i="164"/>
  <c r="M57" i="164"/>
  <c r="G238" i="164" l="1"/>
  <c r="M93" i="164"/>
  <c r="G208" i="164"/>
  <c r="H204" i="164" l="1"/>
  <c r="H197" i="164"/>
  <c r="H196" i="164"/>
  <c r="H188" i="164"/>
  <c r="H180" i="164"/>
  <c r="H172" i="164"/>
  <c r="H164" i="164"/>
  <c r="H159" i="164"/>
  <c r="H208" i="164"/>
  <c r="H203" i="164"/>
  <c r="H192" i="164"/>
  <c r="H184" i="164"/>
  <c r="H176" i="164"/>
  <c r="H168" i="164"/>
  <c r="H155" i="164"/>
  <c r="H146" i="164"/>
  <c r="H136" i="164"/>
  <c r="H126" i="164"/>
  <c r="H107" i="164"/>
  <c r="H89" i="164"/>
  <c r="H79" i="164"/>
  <c r="H78" i="164"/>
  <c r="H201" i="164"/>
  <c r="H195" i="164"/>
  <c r="H185" i="164"/>
  <c r="H174" i="164"/>
  <c r="H151" i="164"/>
  <c r="H133" i="164"/>
  <c r="H127" i="164"/>
  <c r="H117" i="164"/>
  <c r="H92" i="164"/>
  <c r="H70" i="164"/>
  <c r="H57" i="164"/>
  <c r="H49" i="164"/>
  <c r="H181" i="164"/>
  <c r="H178" i="164"/>
  <c r="H166" i="164"/>
  <c r="H149" i="164"/>
  <c r="H141" i="164"/>
  <c r="H132" i="164"/>
  <c r="H115" i="164"/>
  <c r="H109" i="164"/>
  <c r="H85" i="164"/>
  <c r="H59" i="164"/>
  <c r="H44" i="164"/>
  <c r="H38" i="164"/>
  <c r="M208" i="164"/>
  <c r="H206" i="164"/>
  <c r="H193" i="164"/>
  <c r="H190" i="164"/>
  <c r="H187" i="164"/>
  <c r="H175" i="164"/>
  <c r="H161" i="164"/>
  <c r="H153" i="164"/>
  <c r="H137" i="164"/>
  <c r="H93" i="164"/>
  <c r="H86" i="164"/>
  <c r="H76" i="164"/>
  <c r="H72" i="164"/>
  <c r="H68" i="164"/>
  <c r="H55" i="164"/>
  <c r="H50" i="164"/>
  <c r="H45" i="164"/>
  <c r="H39" i="164"/>
  <c r="H31" i="164"/>
  <c r="H173" i="164"/>
  <c r="H150" i="164"/>
  <c r="H142" i="164"/>
  <c r="H124" i="164"/>
  <c r="H116" i="164"/>
  <c r="H106" i="164"/>
  <c r="H100" i="164"/>
  <c r="H96" i="164"/>
  <c r="H90" i="164"/>
  <c r="H82" i="164"/>
  <c r="H60" i="164"/>
  <c r="H46" i="164"/>
  <c r="H40" i="164"/>
  <c r="H32" i="164"/>
  <c r="H202" i="164"/>
  <c r="H200" i="164"/>
  <c r="H186" i="164"/>
  <c r="H183" i="164"/>
  <c r="H171" i="164"/>
  <c r="H152" i="164"/>
  <c r="H140" i="164"/>
  <c r="H131" i="164"/>
  <c r="H118" i="164"/>
  <c r="H108" i="164"/>
  <c r="H102" i="164"/>
  <c r="H98" i="164"/>
  <c r="H88" i="164"/>
  <c r="H71" i="164"/>
  <c r="H66" i="164"/>
  <c r="H58" i="164"/>
  <c r="H53" i="164"/>
  <c r="H48" i="164"/>
  <c r="H43" i="164"/>
  <c r="H36" i="164"/>
  <c r="H28" i="164"/>
  <c r="H205" i="164"/>
  <c r="H169" i="164"/>
  <c r="H160" i="164"/>
  <c r="H157" i="164"/>
  <c r="H145" i="164"/>
  <c r="H123" i="164"/>
  <c r="H119" i="164"/>
  <c r="H105" i="164"/>
  <c r="H99" i="164"/>
  <c r="H84" i="164"/>
  <c r="H75" i="164"/>
  <c r="H67" i="164"/>
  <c r="H191" i="164"/>
  <c r="H177" i="164"/>
  <c r="H179" i="164"/>
  <c r="H165" i="164"/>
  <c r="H167" i="164"/>
  <c r="H148" i="164"/>
  <c r="H125" i="164"/>
  <c r="H194" i="164"/>
  <c r="H156" i="164"/>
  <c r="H135" i="164"/>
  <c r="H130" i="164"/>
  <c r="H74" i="164"/>
  <c r="H51" i="164"/>
  <c r="H33" i="164"/>
  <c r="H30" i="164"/>
  <c r="H158" i="164"/>
  <c r="H111" i="164"/>
  <c r="H64" i="164"/>
  <c r="H56" i="164"/>
  <c r="H54" i="164"/>
  <c r="H47" i="164"/>
  <c r="H138" i="164"/>
  <c r="H129" i="164"/>
  <c r="H69" i="164"/>
  <c r="H34" i="164"/>
  <c r="H27" i="164"/>
  <c r="H52" i="164"/>
  <c r="H35" i="164"/>
  <c r="H83" i="164"/>
  <c r="H65" i="164"/>
  <c r="H61" i="164"/>
  <c r="H25" i="164"/>
  <c r="H182" i="164"/>
  <c r="K12" i="164"/>
  <c r="H170" i="164"/>
  <c r="H143" i="164"/>
  <c r="H114" i="164"/>
  <c r="H41" i="164"/>
  <c r="H37" i="164"/>
  <c r="H73" i="164"/>
  <c r="H29" i="164"/>
  <c r="H189" i="164"/>
  <c r="H87" i="164"/>
  <c r="H77" i="164"/>
  <c r="H42" i="164"/>
  <c r="H147" i="164"/>
  <c r="H110" i="164"/>
  <c r="H101" i="164"/>
  <c r="H97" i="164"/>
  <c r="H91" i="164"/>
  <c r="H26" i="164"/>
  <c r="G215" i="164"/>
  <c r="E233" i="159" l="1"/>
  <c r="G233" i="159" s="1"/>
  <c r="F228" i="159"/>
  <c r="E227" i="159"/>
  <c r="E225" i="159"/>
  <c r="E224" i="159"/>
  <c r="K208" i="159"/>
  <c r="J208" i="159"/>
  <c r="G136" i="159"/>
  <c r="G107" i="159"/>
  <c r="G101" i="159"/>
  <c r="G50" i="159"/>
  <c r="G37" i="159"/>
  <c r="G31" i="159"/>
  <c r="F21" i="159"/>
  <c r="E18" i="159"/>
  <c r="E16" i="159"/>
  <c r="E12" i="159"/>
  <c r="A1" i="159"/>
  <c r="E233" i="158"/>
  <c r="G233" i="158" s="1"/>
  <c r="F228" i="158"/>
  <c r="E226" i="158"/>
  <c r="E223" i="158"/>
  <c r="G223" i="158" s="1"/>
  <c r="K208" i="158"/>
  <c r="K18" i="158" s="1"/>
  <c r="J208" i="158"/>
  <c r="K17" i="158" s="1"/>
  <c r="G201" i="158"/>
  <c r="G188" i="158"/>
  <c r="G185" i="158"/>
  <c r="G183" i="158"/>
  <c r="G176" i="158"/>
  <c r="G174" i="158"/>
  <c r="G167" i="158"/>
  <c r="G166" i="158"/>
  <c r="G160" i="158"/>
  <c r="G158" i="158"/>
  <c r="G153" i="158"/>
  <c r="G150" i="158"/>
  <c r="G148" i="158"/>
  <c r="G147" i="158"/>
  <c r="G143" i="158"/>
  <c r="G140" i="158"/>
  <c r="G136" i="158"/>
  <c r="G133" i="158"/>
  <c r="G132" i="158"/>
  <c r="G129" i="158"/>
  <c r="G126" i="158"/>
  <c r="G125" i="158"/>
  <c r="G123" i="158"/>
  <c r="G115" i="158"/>
  <c r="G109" i="158"/>
  <c r="G107" i="158"/>
  <c r="G88" i="158"/>
  <c r="G85" i="158"/>
  <c r="G83" i="158"/>
  <c r="G72" i="158"/>
  <c r="G60" i="158"/>
  <c r="G59" i="158"/>
  <c r="G58" i="158"/>
  <c r="G54" i="158"/>
  <c r="G52" i="158"/>
  <c r="G51" i="158"/>
  <c r="G48" i="158"/>
  <c r="G44" i="158"/>
  <c r="G43" i="158"/>
  <c r="G40" i="158"/>
  <c r="G39" i="158"/>
  <c r="G36" i="158"/>
  <c r="G29" i="158"/>
  <c r="G28" i="158"/>
  <c r="G27" i="158"/>
  <c r="G25" i="158"/>
  <c r="F21" i="158"/>
  <c r="E19" i="158"/>
  <c r="G19" i="158" s="1"/>
  <c r="E17" i="158"/>
  <c r="E14" i="158"/>
  <c r="A1" i="158"/>
  <c r="E233" i="157"/>
  <c r="E232" i="157"/>
  <c r="G232" i="157" s="1"/>
  <c r="E231" i="157"/>
  <c r="F228" i="157"/>
  <c r="E226" i="157"/>
  <c r="E221" i="157"/>
  <c r="G221" i="157" s="1"/>
  <c r="K208" i="157"/>
  <c r="J208" i="157"/>
  <c r="K17" i="157" s="1"/>
  <c r="G167" i="157"/>
  <c r="G164" i="157"/>
  <c r="G158" i="157"/>
  <c r="G153" i="157"/>
  <c r="G123" i="157"/>
  <c r="G117" i="157"/>
  <c r="G115" i="157"/>
  <c r="G109" i="157"/>
  <c r="G106" i="157"/>
  <c r="G98" i="157"/>
  <c r="G97" i="157"/>
  <c r="G96" i="157"/>
  <c r="G92" i="157"/>
  <c r="G87" i="157"/>
  <c r="G76" i="157"/>
  <c r="G70" i="157"/>
  <c r="G51" i="157"/>
  <c r="G50" i="157"/>
  <c r="G46" i="157"/>
  <c r="G45" i="157"/>
  <c r="G40" i="157"/>
  <c r="G37" i="157"/>
  <c r="G29" i="157"/>
  <c r="G27" i="157"/>
  <c r="G26" i="157"/>
  <c r="F21" i="157"/>
  <c r="E20" i="157"/>
  <c r="E19" i="157"/>
  <c r="E15" i="157"/>
  <c r="E12" i="157"/>
  <c r="E11" i="157"/>
  <c r="A1" i="157"/>
  <c r="E233" i="156"/>
  <c r="G233" i="156" s="1"/>
  <c r="E231" i="156"/>
  <c r="G231" i="156" s="1"/>
  <c r="F228" i="156"/>
  <c r="E225" i="156"/>
  <c r="E223" i="156"/>
  <c r="G223" i="156" s="1"/>
  <c r="E221" i="156"/>
  <c r="E220" i="156"/>
  <c r="K208" i="156"/>
  <c r="J208" i="156"/>
  <c r="K17" i="156" s="1"/>
  <c r="G189" i="156"/>
  <c r="G188" i="156"/>
  <c r="G185" i="156"/>
  <c r="G177" i="156"/>
  <c r="G175" i="156"/>
  <c r="G171" i="156"/>
  <c r="G169" i="156"/>
  <c r="G159" i="156"/>
  <c r="G155" i="156"/>
  <c r="G151" i="156"/>
  <c r="G146" i="156"/>
  <c r="G143" i="156"/>
  <c r="G142" i="156"/>
  <c r="G138" i="156"/>
  <c r="G133" i="156"/>
  <c r="G132" i="156"/>
  <c r="G127" i="156"/>
  <c r="G126" i="156"/>
  <c r="G118" i="156"/>
  <c r="G109" i="156"/>
  <c r="G108" i="156"/>
  <c r="G107" i="156"/>
  <c r="G106" i="156"/>
  <c r="G87" i="156"/>
  <c r="G85" i="156"/>
  <c r="G83" i="156"/>
  <c r="G76" i="156"/>
  <c r="G66" i="156"/>
  <c r="G55" i="156"/>
  <c r="G51" i="156"/>
  <c r="G49" i="156"/>
  <c r="G46" i="156"/>
  <c r="G44" i="156"/>
  <c r="G42" i="156"/>
  <c r="G41" i="156"/>
  <c r="G37" i="156"/>
  <c r="G31" i="156"/>
  <c r="G30" i="156"/>
  <c r="G28" i="156"/>
  <c r="F21" i="156"/>
  <c r="E19" i="156"/>
  <c r="E18" i="156"/>
  <c r="E16" i="156"/>
  <c r="G16" i="156" s="1"/>
  <c r="E14" i="156"/>
  <c r="A1" i="156"/>
  <c r="E233" i="155"/>
  <c r="G233" i="155" s="1"/>
  <c r="E231" i="155"/>
  <c r="F228" i="155"/>
  <c r="E226" i="155"/>
  <c r="G226" i="155" s="1"/>
  <c r="E225" i="155"/>
  <c r="E224" i="155"/>
  <c r="E221" i="155"/>
  <c r="E220" i="155"/>
  <c r="K208" i="155"/>
  <c r="K18" i="155" s="1"/>
  <c r="J208" i="155"/>
  <c r="G202" i="155"/>
  <c r="G201" i="155"/>
  <c r="G200" i="155"/>
  <c r="G195" i="155"/>
  <c r="G191" i="155"/>
  <c r="G186" i="155"/>
  <c r="G184" i="155"/>
  <c r="G182" i="155"/>
  <c r="G181" i="155"/>
  <c r="G179" i="155"/>
  <c r="G178" i="155"/>
  <c r="G177" i="155"/>
  <c r="G176" i="155"/>
  <c r="G175" i="155"/>
  <c r="G174" i="155"/>
  <c r="G167" i="155"/>
  <c r="G166" i="155"/>
  <c r="G158" i="155"/>
  <c r="G153" i="155"/>
  <c r="G150" i="155"/>
  <c r="G147" i="155"/>
  <c r="G143" i="155"/>
  <c r="G141" i="155"/>
  <c r="G136" i="155"/>
  <c r="G135" i="155"/>
  <c r="G130" i="155"/>
  <c r="G129" i="155"/>
  <c r="G127" i="155"/>
  <c r="G125" i="155"/>
  <c r="G124" i="155"/>
  <c r="G118" i="155"/>
  <c r="G116" i="155"/>
  <c r="G109" i="155"/>
  <c r="G107" i="155"/>
  <c r="G106" i="155"/>
  <c r="G101" i="155"/>
  <c r="G100" i="155"/>
  <c r="G98" i="155"/>
  <c r="G97" i="155"/>
  <c r="G92" i="155"/>
  <c r="G91" i="155"/>
  <c r="G90" i="155"/>
  <c r="G87" i="155"/>
  <c r="G85" i="155"/>
  <c r="G77" i="155"/>
  <c r="G75" i="155"/>
  <c r="G73" i="155"/>
  <c r="G71" i="155"/>
  <c r="G67" i="155"/>
  <c r="G57" i="155"/>
  <c r="G55" i="155"/>
  <c r="G52" i="155"/>
  <c r="G51" i="155"/>
  <c r="G50" i="155"/>
  <c r="G47" i="155"/>
  <c r="G46" i="155"/>
  <c r="G45" i="155"/>
  <c r="G42" i="155"/>
  <c r="G41" i="155"/>
  <c r="G38" i="155"/>
  <c r="G36" i="155"/>
  <c r="G35" i="155"/>
  <c r="G34" i="155"/>
  <c r="G31" i="155"/>
  <c r="G30" i="155"/>
  <c r="G29" i="155"/>
  <c r="G26" i="155"/>
  <c r="F21" i="155"/>
  <c r="F215" i="155" s="1"/>
  <c r="E18" i="155"/>
  <c r="E17" i="155"/>
  <c r="E15" i="155"/>
  <c r="G15" i="155" s="1"/>
  <c r="E14" i="155"/>
  <c r="E12" i="155"/>
  <c r="E11" i="155"/>
  <c r="A1" i="155"/>
  <c r="K17" i="159" l="1"/>
  <c r="F236" i="158"/>
  <c r="F236" i="157"/>
  <c r="F215" i="159"/>
  <c r="F215" i="158"/>
  <c r="G231" i="155"/>
  <c r="F235" i="155"/>
  <c r="G231" i="157"/>
  <c r="F215" i="157"/>
  <c r="K18" i="157"/>
  <c r="F215" i="156"/>
  <c r="K18" i="156"/>
  <c r="K18" i="159"/>
  <c r="G221" i="156"/>
  <c r="G233" i="157"/>
  <c r="K17" i="155"/>
  <c r="G224" i="155"/>
  <c r="G225" i="156"/>
  <c r="G226" i="158"/>
  <c r="G224" i="159"/>
  <c r="G203" i="155"/>
  <c r="G194" i="157"/>
  <c r="G172" i="158"/>
  <c r="G181" i="158"/>
  <c r="G193" i="156"/>
  <c r="G166" i="159"/>
  <c r="G137" i="157"/>
  <c r="G133" i="157"/>
  <c r="G157" i="157"/>
  <c r="G146" i="155"/>
  <c r="G143" i="157"/>
  <c r="G137" i="155"/>
  <c r="G146" i="157"/>
  <c r="G108" i="157"/>
  <c r="G98" i="158"/>
  <c r="G96" i="156"/>
  <c r="G89" i="155"/>
  <c r="G89" i="157"/>
  <c r="G66" i="157"/>
  <c r="G56" i="158"/>
  <c r="G31" i="158"/>
  <c r="G59" i="156"/>
  <c r="G54" i="157"/>
  <c r="G14" i="158"/>
  <c r="G19" i="156"/>
  <c r="G17" i="155"/>
  <c r="G72" i="155"/>
  <c r="G74" i="156"/>
  <c r="G110" i="155"/>
  <c r="G160" i="155"/>
  <c r="G12" i="155"/>
  <c r="G221" i="155"/>
  <c r="G27" i="155"/>
  <c r="E222" i="155"/>
  <c r="G173" i="156"/>
  <c r="G14" i="155"/>
  <c r="G33" i="155"/>
  <c r="G142" i="155"/>
  <c r="G149" i="155"/>
  <c r="G164" i="155"/>
  <c r="G185" i="155"/>
  <c r="G40" i="156"/>
  <c r="G92" i="156"/>
  <c r="G168" i="156"/>
  <c r="E222" i="156"/>
  <c r="G57" i="157"/>
  <c r="G66" i="155"/>
  <c r="G88" i="155"/>
  <c r="G190" i="155"/>
  <c r="G18" i="155"/>
  <c r="G59" i="155"/>
  <c r="G148" i="155"/>
  <c r="G168" i="155"/>
  <c r="G74" i="155"/>
  <c r="G96" i="155"/>
  <c r="G65" i="156"/>
  <c r="G70" i="155"/>
  <c r="G157" i="155"/>
  <c r="G165" i="155"/>
  <c r="G194" i="155"/>
  <c r="G182" i="156"/>
  <c r="G201" i="156"/>
  <c r="G152" i="155"/>
  <c r="G26" i="156"/>
  <c r="E15" i="156"/>
  <c r="E19" i="155"/>
  <c r="G40" i="155"/>
  <c r="G69" i="155"/>
  <c r="G28" i="155"/>
  <c r="G76" i="155"/>
  <c r="E16" i="155"/>
  <c r="G172" i="155"/>
  <c r="G176" i="156"/>
  <c r="G78" i="155"/>
  <c r="G86" i="155"/>
  <c r="G108" i="155"/>
  <c r="G151" i="155"/>
  <c r="G173" i="155"/>
  <c r="G196" i="155"/>
  <c r="G135" i="156"/>
  <c r="G141" i="156"/>
  <c r="G183" i="156"/>
  <c r="G43" i="157"/>
  <c r="G136" i="157"/>
  <c r="G142" i="157"/>
  <c r="E223" i="155"/>
  <c r="E11" i="156"/>
  <c r="G27" i="156"/>
  <c r="G70" i="156"/>
  <c r="G84" i="156"/>
  <c r="G88" i="156"/>
  <c r="G100" i="156"/>
  <c r="G136" i="156"/>
  <c r="G149" i="156"/>
  <c r="G184" i="156"/>
  <c r="G131" i="157"/>
  <c r="E13" i="155"/>
  <c r="E20" i="155"/>
  <c r="G132" i="155"/>
  <c r="G155" i="155"/>
  <c r="G204" i="155"/>
  <c r="E235" i="155"/>
  <c r="E12" i="156"/>
  <c r="E20" i="156"/>
  <c r="G38" i="156"/>
  <c r="G54" i="156"/>
  <c r="G137" i="156"/>
  <c r="E224" i="156"/>
  <c r="G33" i="157"/>
  <c r="G71" i="157"/>
  <c r="G60" i="156"/>
  <c r="G150" i="156"/>
  <c r="G39" i="157"/>
  <c r="G226" i="157"/>
  <c r="G50" i="156"/>
  <c r="G170" i="156"/>
  <c r="G181" i="156"/>
  <c r="G25" i="157"/>
  <c r="G46" i="158"/>
  <c r="G171" i="155"/>
  <c r="G220" i="155"/>
  <c r="E232" i="155"/>
  <c r="G18" i="156"/>
  <c r="G34" i="156"/>
  <c r="G68" i="156"/>
  <c r="G82" i="156"/>
  <c r="G90" i="156"/>
  <c r="G125" i="156"/>
  <c r="G145" i="156"/>
  <c r="G152" i="156"/>
  <c r="G166" i="156"/>
  <c r="G180" i="156"/>
  <c r="E18" i="157"/>
  <c r="E13" i="156"/>
  <c r="G60" i="157"/>
  <c r="E15" i="158"/>
  <c r="G145" i="158"/>
  <c r="G14" i="156"/>
  <c r="G57" i="156"/>
  <c r="G64" i="156"/>
  <c r="G73" i="156"/>
  <c r="G86" i="156"/>
  <c r="G110" i="156"/>
  <c r="G140" i="156"/>
  <c r="E227" i="156"/>
  <c r="E13" i="157"/>
  <c r="G114" i="157"/>
  <c r="E222" i="157"/>
  <c r="G152" i="158"/>
  <c r="G173" i="158"/>
  <c r="G225" i="159"/>
  <c r="E17" i="156"/>
  <c r="G32" i="156"/>
  <c r="G72" i="156"/>
  <c r="G165" i="156"/>
  <c r="G190" i="156"/>
  <c r="G225" i="155"/>
  <c r="G157" i="156"/>
  <c r="G186" i="156"/>
  <c r="G203" i="156"/>
  <c r="E220" i="157"/>
  <c r="E227" i="155"/>
  <c r="G36" i="156"/>
  <c r="G47" i="156"/>
  <c r="G52" i="156"/>
  <c r="G69" i="156"/>
  <c r="G78" i="156"/>
  <c r="G181" i="157"/>
  <c r="G19" i="157"/>
  <c r="G36" i="157"/>
  <c r="G55" i="157"/>
  <c r="G110" i="157"/>
  <c r="G188" i="157"/>
  <c r="E14" i="157"/>
  <c r="G125" i="157"/>
  <c r="G170" i="159"/>
  <c r="E222" i="159"/>
  <c r="G227" i="159"/>
  <c r="G98" i="156"/>
  <c r="G147" i="156"/>
  <c r="G172" i="156"/>
  <c r="G220" i="156"/>
  <c r="E226" i="156"/>
  <c r="G75" i="157"/>
  <c r="G83" i="157"/>
  <c r="E224" i="157"/>
  <c r="G172" i="157"/>
  <c r="G184" i="157"/>
  <c r="G157" i="158"/>
  <c r="E227" i="158"/>
  <c r="G34" i="157"/>
  <c r="G52" i="157"/>
  <c r="G68" i="157"/>
  <c r="G73" i="157"/>
  <c r="G85" i="157"/>
  <c r="G118" i="157"/>
  <c r="G160" i="157"/>
  <c r="E225" i="157"/>
  <c r="G92" i="158"/>
  <c r="G190" i="158"/>
  <c r="E221" i="158"/>
  <c r="G117" i="159"/>
  <c r="G20" i="157"/>
  <c r="G31" i="157"/>
  <c r="G91" i="157"/>
  <c r="G49" i="158"/>
  <c r="G101" i="158"/>
  <c r="E232" i="158"/>
  <c r="E16" i="157"/>
  <c r="G177" i="157"/>
  <c r="G183" i="157"/>
  <c r="E227" i="157"/>
  <c r="E18" i="158"/>
  <c r="G37" i="158"/>
  <c r="G96" i="158"/>
  <c r="E225" i="158"/>
  <c r="G75" i="159"/>
  <c r="E232" i="156"/>
  <c r="G12" i="157"/>
  <c r="E17" i="157"/>
  <c r="G32" i="157"/>
  <c r="G165" i="157"/>
  <c r="G178" i="157"/>
  <c r="G192" i="157"/>
  <c r="G70" i="158"/>
  <c r="G152" i="157"/>
  <c r="G173" i="157"/>
  <c r="G202" i="157"/>
  <c r="G35" i="158"/>
  <c r="G57" i="158"/>
  <c r="G90" i="158"/>
  <c r="E13" i="159"/>
  <c r="G186" i="159"/>
  <c r="G189" i="159"/>
  <c r="G192" i="159"/>
  <c r="G15" i="157"/>
  <c r="E223" i="157"/>
  <c r="G66" i="158"/>
  <c r="G77" i="158"/>
  <c r="G84" i="158"/>
  <c r="G91" i="158"/>
  <c r="G127" i="158"/>
  <c r="E13" i="158"/>
  <c r="G67" i="158"/>
  <c r="G170" i="158"/>
  <c r="G175" i="158"/>
  <c r="E224" i="158"/>
  <c r="G196" i="158"/>
  <c r="G204" i="158"/>
  <c r="E16" i="158"/>
  <c r="E20" i="158"/>
  <c r="G50" i="158"/>
  <c r="G55" i="158"/>
  <c r="G78" i="158"/>
  <c r="E223" i="159"/>
  <c r="G34" i="158"/>
  <c r="G110" i="158"/>
  <c r="G117" i="158"/>
  <c r="E222" i="158"/>
  <c r="G12" i="159"/>
  <c r="E19" i="159"/>
  <c r="G187" i="159"/>
  <c r="G190" i="159"/>
  <c r="G203" i="159"/>
  <c r="E12" i="158"/>
  <c r="G17" i="158"/>
  <c r="G74" i="158"/>
  <c r="G86" i="158"/>
  <c r="G118" i="158"/>
  <c r="G141" i="158"/>
  <c r="G186" i="158"/>
  <c r="E231" i="158"/>
  <c r="G16" i="159"/>
  <c r="G42" i="159"/>
  <c r="G88" i="159"/>
  <c r="G118" i="159"/>
  <c r="G181" i="159"/>
  <c r="G185" i="159"/>
  <c r="G192" i="158"/>
  <c r="E220" i="158"/>
  <c r="G171" i="159"/>
  <c r="E221" i="159"/>
  <c r="G43" i="159"/>
  <c r="E14" i="159"/>
  <c r="E17" i="159"/>
  <c r="E20" i="159"/>
  <c r="E232" i="159"/>
  <c r="G18" i="159"/>
  <c r="G34" i="159"/>
  <c r="G78" i="159"/>
  <c r="G124" i="159"/>
  <c r="G145" i="159"/>
  <c r="G173" i="159"/>
  <c r="G200" i="159"/>
  <c r="G204" i="159"/>
  <c r="E15" i="159"/>
  <c r="E220" i="159"/>
  <c r="E231" i="159"/>
  <c r="G64" i="159"/>
  <c r="E11" i="159"/>
  <c r="E226" i="159"/>
  <c r="G124" i="158"/>
  <c r="G99" i="158"/>
  <c r="G64" i="158"/>
  <c r="G200" i="158"/>
  <c r="E11" i="158"/>
  <c r="G164" i="158"/>
  <c r="E235" i="157"/>
  <c r="G11" i="157"/>
  <c r="G25" i="156"/>
  <c r="G235" i="156"/>
  <c r="K14" i="156"/>
  <c r="E235" i="156"/>
  <c r="G123" i="156"/>
  <c r="G219" i="155"/>
  <c r="G123" i="155"/>
  <c r="G11" i="155"/>
  <c r="G235" i="155" l="1"/>
  <c r="F238" i="158"/>
  <c r="F238" i="157"/>
  <c r="K14" i="155"/>
  <c r="F236" i="155"/>
  <c r="F237" i="155"/>
  <c r="E237" i="155"/>
  <c r="G11" i="156"/>
  <c r="E228" i="155"/>
  <c r="G200" i="157"/>
  <c r="E21" i="155"/>
  <c r="G126" i="159"/>
  <c r="G100" i="159"/>
  <c r="G183" i="159"/>
  <c r="G177" i="158"/>
  <c r="G180" i="157"/>
  <c r="G204" i="157"/>
  <c r="G225" i="158"/>
  <c r="G116" i="157"/>
  <c r="G29" i="159"/>
  <c r="G58" i="156"/>
  <c r="G117" i="156"/>
  <c r="G99" i="156"/>
  <c r="G40" i="159"/>
  <c r="G45" i="158"/>
  <c r="G42" i="158"/>
  <c r="G17" i="157"/>
  <c r="G169" i="158"/>
  <c r="G205" i="158"/>
  <c r="G101" i="157"/>
  <c r="G71" i="156"/>
  <c r="G182" i="157"/>
  <c r="G148" i="156"/>
  <c r="G170" i="155"/>
  <c r="G140" i="155"/>
  <c r="E237" i="156"/>
  <c r="E21" i="157"/>
  <c r="G26" i="159"/>
  <c r="G201" i="159"/>
  <c r="G76" i="159"/>
  <c r="G97" i="159"/>
  <c r="G177" i="159"/>
  <c r="G33" i="158"/>
  <c r="G87" i="158"/>
  <c r="G187" i="158"/>
  <c r="G141" i="157"/>
  <c r="G202" i="158"/>
  <c r="G196" i="156"/>
  <c r="G70" i="159"/>
  <c r="G71" i="158"/>
  <c r="G191" i="156"/>
  <c r="G179" i="156"/>
  <c r="G12" i="156"/>
  <c r="G131" i="155"/>
  <c r="G68" i="155"/>
  <c r="G156" i="159"/>
  <c r="G90" i="159"/>
  <c r="G48" i="159"/>
  <c r="G179" i="159"/>
  <c r="G205" i="159"/>
  <c r="G106" i="159"/>
  <c r="G171" i="158"/>
  <c r="G59" i="157"/>
  <c r="G189" i="157"/>
  <c r="G186" i="157"/>
  <c r="G227" i="156"/>
  <c r="G77" i="156"/>
  <c r="G72" i="157"/>
  <c r="G174" i="156"/>
  <c r="G176" i="157"/>
  <c r="G180" i="155"/>
  <c r="G99" i="155"/>
  <c r="G68" i="158"/>
  <c r="G147" i="159"/>
  <c r="G220" i="159"/>
  <c r="G196" i="159"/>
  <c r="G39" i="159"/>
  <c r="G91" i="159"/>
  <c r="G28" i="159"/>
  <c r="G195" i="158"/>
  <c r="G53" i="159"/>
  <c r="G89" i="159"/>
  <c r="G19" i="159"/>
  <c r="G143" i="159"/>
  <c r="G30" i="159"/>
  <c r="G153" i="159"/>
  <c r="G73" i="158"/>
  <c r="G155" i="159"/>
  <c r="G132" i="159"/>
  <c r="G142" i="158"/>
  <c r="G35" i="159"/>
  <c r="G146" i="158"/>
  <c r="G32" i="158"/>
  <c r="G72" i="159"/>
  <c r="G194" i="158"/>
  <c r="G26" i="158"/>
  <c r="G140" i="157"/>
  <c r="G41" i="157"/>
  <c r="G91" i="156"/>
  <c r="G48" i="157"/>
  <c r="G182" i="158"/>
  <c r="G166" i="157"/>
  <c r="G226" i="156"/>
  <c r="G178" i="159"/>
  <c r="G74" i="157"/>
  <c r="G193" i="157"/>
  <c r="G53" i="158"/>
  <c r="G45" i="156"/>
  <c r="G129" i="157"/>
  <c r="G187" i="156"/>
  <c r="G97" i="156"/>
  <c r="G35" i="156"/>
  <c r="G15" i="158"/>
  <c r="G56" i="156"/>
  <c r="G232" i="155"/>
  <c r="G86" i="157"/>
  <c r="G138" i="155"/>
  <c r="G75" i="156"/>
  <c r="G43" i="155"/>
  <c r="G64" i="155"/>
  <c r="G37" i="155"/>
  <c r="G180" i="159"/>
  <c r="G47" i="159"/>
  <c r="G221" i="159"/>
  <c r="G174" i="159"/>
  <c r="G108" i="159"/>
  <c r="G175" i="159"/>
  <c r="G184" i="159"/>
  <c r="G156" i="158"/>
  <c r="G131" i="158"/>
  <c r="G203" i="158"/>
  <c r="G89" i="158"/>
  <c r="G149" i="157"/>
  <c r="G127" i="157"/>
  <c r="G99" i="157"/>
  <c r="G56" i="155"/>
  <c r="G16" i="155"/>
  <c r="G127" i="159"/>
  <c r="G232" i="159"/>
  <c r="G129" i="159"/>
  <c r="G13" i="158"/>
  <c r="G170" i="157"/>
  <c r="G69" i="157"/>
  <c r="G42" i="157"/>
  <c r="G179" i="158"/>
  <c r="G137" i="158"/>
  <c r="G188" i="155"/>
  <c r="G49" i="157"/>
  <c r="G15" i="156"/>
  <c r="G44" i="159"/>
  <c r="G149" i="158"/>
  <c r="G145" i="157"/>
  <c r="G84" i="157"/>
  <c r="G88" i="157"/>
  <c r="G13" i="157"/>
  <c r="G219" i="156"/>
  <c r="G237" i="156" s="1"/>
  <c r="G169" i="155"/>
  <c r="G205" i="155"/>
  <c r="G53" i="156"/>
  <c r="G222" i="156"/>
  <c r="G141" i="159"/>
  <c r="G182" i="159"/>
  <c r="G125" i="159"/>
  <c r="G188" i="159"/>
  <c r="G231" i="158"/>
  <c r="E235" i="158"/>
  <c r="G65" i="159"/>
  <c r="G189" i="158"/>
  <c r="G180" i="158"/>
  <c r="G158" i="156"/>
  <c r="G160" i="156"/>
  <c r="G132" i="157"/>
  <c r="G175" i="157"/>
  <c r="G67" i="156"/>
  <c r="G39" i="156"/>
  <c r="G65" i="155"/>
  <c r="G187" i="155"/>
  <c r="G133" i="155"/>
  <c r="G74" i="159"/>
  <c r="G226" i="159"/>
  <c r="E235" i="159"/>
  <c r="G193" i="159"/>
  <c r="G87" i="159"/>
  <c r="G27" i="159"/>
  <c r="G176" i="159"/>
  <c r="G32" i="159"/>
  <c r="G149" i="159"/>
  <c r="G20" i="159"/>
  <c r="G135" i="159"/>
  <c r="M16" i="159"/>
  <c r="G12" i="158"/>
  <c r="G92" i="159"/>
  <c r="G222" i="158"/>
  <c r="G223" i="159"/>
  <c r="G138" i="159"/>
  <c r="G20" i="158"/>
  <c r="G59" i="159"/>
  <c r="G130" i="158"/>
  <c r="G83" i="159"/>
  <c r="G224" i="158"/>
  <c r="G150" i="159"/>
  <c r="G36" i="159"/>
  <c r="G155" i="158"/>
  <c r="G47" i="158"/>
  <c r="G191" i="157"/>
  <c r="G124" i="157"/>
  <c r="G169" i="157"/>
  <c r="G220" i="157"/>
  <c r="G116" i="156"/>
  <c r="G167" i="156"/>
  <c r="G13" i="156"/>
  <c r="G185" i="157"/>
  <c r="G205" i="157"/>
  <c r="G224" i="156"/>
  <c r="G101" i="156"/>
  <c r="G78" i="157"/>
  <c r="G156" i="157"/>
  <c r="G90" i="157"/>
  <c r="G39" i="155"/>
  <c r="G53" i="157"/>
  <c r="G48" i="156"/>
  <c r="G183" i="155"/>
  <c r="M18" i="155"/>
  <c r="G156" i="155"/>
  <c r="G84" i="155"/>
  <c r="G77" i="157"/>
  <c r="M12" i="155"/>
  <c r="G160" i="159"/>
  <c r="G130" i="159"/>
  <c r="G194" i="159"/>
  <c r="G96" i="159"/>
  <c r="G65" i="158"/>
  <c r="G227" i="157"/>
  <c r="G168" i="157"/>
  <c r="G190" i="157"/>
  <c r="G47" i="157"/>
  <c r="G222" i="157"/>
  <c r="G29" i="156"/>
  <c r="G195" i="156"/>
  <c r="G193" i="155"/>
  <c r="G38" i="157"/>
  <c r="G45" i="159"/>
  <c r="G140" i="159"/>
  <c r="G46" i="159"/>
  <c r="G98" i="159"/>
  <c r="G33" i="159"/>
  <c r="G191" i="158"/>
  <c r="G151" i="157"/>
  <c r="G203" i="157"/>
  <c r="G138" i="157"/>
  <c r="G157" i="159"/>
  <c r="G18" i="157"/>
  <c r="G126" i="155"/>
  <c r="G222" i="155"/>
  <c r="G109" i="159"/>
  <c r="G84" i="159"/>
  <c r="G168" i="159"/>
  <c r="G159" i="159"/>
  <c r="G196" i="157"/>
  <c r="G225" i="157"/>
  <c r="G227" i="158"/>
  <c r="G56" i="159"/>
  <c r="G38" i="159"/>
  <c r="G106" i="158"/>
  <c r="G30" i="158"/>
  <c r="G66" i="159"/>
  <c r="G147" i="157"/>
  <c r="G107" i="157"/>
  <c r="G222" i="159"/>
  <c r="G41" i="159"/>
  <c r="G115" i="156"/>
  <c r="G117" i="155"/>
  <c r="G115" i="155"/>
  <c r="G105" i="155"/>
  <c r="G58" i="155"/>
  <c r="E228" i="156"/>
  <c r="E21" i="156"/>
  <c r="G165" i="159"/>
  <c r="G133" i="159"/>
  <c r="G231" i="159"/>
  <c r="G71" i="159"/>
  <c r="G167" i="159"/>
  <c r="G15" i="159"/>
  <c r="G195" i="159"/>
  <c r="G54" i="159"/>
  <c r="G17" i="159"/>
  <c r="G158" i="159"/>
  <c r="G86" i="159"/>
  <c r="G85" i="159"/>
  <c r="G57" i="159"/>
  <c r="G97" i="158"/>
  <c r="G100" i="158"/>
  <c r="G135" i="158"/>
  <c r="G138" i="158"/>
  <c r="G75" i="158"/>
  <c r="G195" i="157"/>
  <c r="G135" i="157"/>
  <c r="G76" i="158"/>
  <c r="G232" i="156"/>
  <c r="G68" i="159"/>
  <c r="G18" i="158"/>
  <c r="G130" i="157"/>
  <c r="G44" i="157"/>
  <c r="G60" i="159"/>
  <c r="G178" i="158"/>
  <c r="G174" i="157"/>
  <c r="G126" i="157"/>
  <c r="G165" i="158"/>
  <c r="G159" i="157"/>
  <c r="G224" i="157"/>
  <c r="G56" i="157"/>
  <c r="G187" i="157"/>
  <c r="G33" i="156"/>
  <c r="G30" i="157"/>
  <c r="G108" i="158"/>
  <c r="G67" i="157"/>
  <c r="G53" i="155"/>
  <c r="G43" i="156"/>
  <c r="G156" i="156"/>
  <c r="G145" i="155"/>
  <c r="G32" i="155"/>
  <c r="G192" i="155"/>
  <c r="G178" i="156"/>
  <c r="G169" i="159"/>
  <c r="G99" i="159"/>
  <c r="G49" i="159"/>
  <c r="G202" i="159"/>
  <c r="G142" i="159"/>
  <c r="G116" i="159"/>
  <c r="G171" i="157"/>
  <c r="G77" i="159"/>
  <c r="G179" i="157"/>
  <c r="G201" i="157"/>
  <c r="G227" i="155"/>
  <c r="G20" i="155"/>
  <c r="K15" i="156"/>
  <c r="G219" i="159"/>
  <c r="G58" i="159"/>
  <c r="G191" i="159"/>
  <c r="G41" i="158"/>
  <c r="G159" i="158"/>
  <c r="G69" i="159"/>
  <c r="G105" i="157"/>
  <c r="G202" i="156"/>
  <c r="G82" i="157"/>
  <c r="G124" i="156"/>
  <c r="G13" i="155"/>
  <c r="G51" i="159"/>
  <c r="G220" i="158"/>
  <c r="G137" i="159"/>
  <c r="G151" i="158"/>
  <c r="G38" i="158"/>
  <c r="G150" i="157"/>
  <c r="G221" i="158"/>
  <c r="G100" i="157"/>
  <c r="G14" i="157"/>
  <c r="G17" i="156"/>
  <c r="G129" i="156"/>
  <c r="G194" i="156"/>
  <c r="G115" i="159"/>
  <c r="G151" i="159"/>
  <c r="G172" i="159"/>
  <c r="G67" i="159"/>
  <c r="G152" i="159"/>
  <c r="G148" i="159"/>
  <c r="G131" i="159"/>
  <c r="G14" i="159"/>
  <c r="G110" i="159"/>
  <c r="G52" i="159"/>
  <c r="G168" i="158"/>
  <c r="G193" i="158"/>
  <c r="G69" i="158"/>
  <c r="G16" i="158"/>
  <c r="G146" i="159"/>
  <c r="G55" i="159"/>
  <c r="G73" i="159"/>
  <c r="G223" i="157"/>
  <c r="G13" i="159"/>
  <c r="G28" i="157"/>
  <c r="G16" i="157"/>
  <c r="G232" i="158"/>
  <c r="G116" i="158"/>
  <c r="G204" i="156"/>
  <c r="G205" i="156"/>
  <c r="G155" i="157"/>
  <c r="G184" i="158"/>
  <c r="G153" i="156"/>
  <c r="G83" i="155"/>
  <c r="G35" i="157"/>
  <c r="G192" i="156"/>
  <c r="G60" i="155"/>
  <c r="G131" i="156"/>
  <c r="G130" i="156"/>
  <c r="G89" i="156"/>
  <c r="G20" i="156"/>
  <c r="G48" i="155"/>
  <c r="G58" i="157"/>
  <c r="G223" i="155"/>
  <c r="G148" i="157"/>
  <c r="G159" i="155"/>
  <c r="G44" i="155"/>
  <c r="G49" i="155"/>
  <c r="G19" i="155"/>
  <c r="G189" i="155"/>
  <c r="G65" i="157"/>
  <c r="G54" i="155"/>
  <c r="M17" i="155"/>
  <c r="E21" i="159"/>
  <c r="G11" i="159"/>
  <c r="E228" i="159"/>
  <c r="G82" i="159"/>
  <c r="G164" i="159"/>
  <c r="G123" i="159"/>
  <c r="G114" i="159"/>
  <c r="G25" i="159"/>
  <c r="G105" i="159"/>
  <c r="G11" i="158"/>
  <c r="E21" i="158"/>
  <c r="G82" i="158"/>
  <c r="E228" i="158"/>
  <c r="G219" i="158"/>
  <c r="G114" i="158"/>
  <c r="G105" i="158"/>
  <c r="G235" i="157"/>
  <c r="K14" i="157"/>
  <c r="G64" i="157"/>
  <c r="E237" i="157"/>
  <c r="E228" i="157"/>
  <c r="G219" i="157"/>
  <c r="G105" i="156"/>
  <c r="G200" i="156"/>
  <c r="G114" i="156"/>
  <c r="G164" i="156"/>
  <c r="M11" i="155"/>
  <c r="G114" i="155"/>
  <c r="G25" i="155"/>
  <c r="G82" i="155"/>
  <c r="G237" i="155" l="1"/>
  <c r="K15" i="155"/>
  <c r="M18" i="156"/>
  <c r="E236" i="155"/>
  <c r="F238" i="155"/>
  <c r="E215" i="158"/>
  <c r="G237" i="157"/>
  <c r="E215" i="155"/>
  <c r="G21" i="157"/>
  <c r="E215" i="157"/>
  <c r="K14" i="159"/>
  <c r="E215" i="159"/>
  <c r="E215" i="156"/>
  <c r="M11" i="156"/>
  <c r="M12" i="159"/>
  <c r="G228" i="159"/>
  <c r="M169" i="159" s="1"/>
  <c r="M17" i="158"/>
  <c r="E237" i="158"/>
  <c r="G206" i="157"/>
  <c r="G161" i="155"/>
  <c r="M13" i="156"/>
  <c r="M15" i="156"/>
  <c r="M13" i="158"/>
  <c r="G102" i="156"/>
  <c r="M19" i="159"/>
  <c r="M12" i="156"/>
  <c r="E236" i="157"/>
  <c r="E236" i="156"/>
  <c r="M14" i="156"/>
  <c r="M13" i="157"/>
  <c r="M16" i="155"/>
  <c r="M19" i="158"/>
  <c r="G161" i="156"/>
  <c r="E236" i="158"/>
  <c r="E236" i="159"/>
  <c r="M15" i="155"/>
  <c r="M13" i="159"/>
  <c r="M13" i="155"/>
  <c r="G111" i="157"/>
  <c r="G111" i="155"/>
  <c r="G79" i="156"/>
  <c r="M16" i="156"/>
  <c r="M12" i="158"/>
  <c r="M12" i="157"/>
  <c r="M15" i="159"/>
  <c r="G197" i="157"/>
  <c r="K14" i="158"/>
  <c r="G235" i="158"/>
  <c r="G237" i="158" s="1"/>
  <c r="M19" i="156"/>
  <c r="G102" i="158"/>
  <c r="G228" i="155"/>
  <c r="G21" i="156"/>
  <c r="G61" i="156"/>
  <c r="M16" i="158"/>
  <c r="M17" i="156"/>
  <c r="M18" i="158"/>
  <c r="M18" i="157"/>
  <c r="G161" i="157"/>
  <c r="G93" i="156"/>
  <c r="G79" i="159"/>
  <c r="G102" i="159"/>
  <c r="M15" i="157"/>
  <c r="G206" i="155"/>
  <c r="G79" i="155"/>
  <c r="M15" i="158"/>
  <c r="G161" i="158"/>
  <c r="G79" i="158"/>
  <c r="G235" i="159"/>
  <c r="M17" i="159"/>
  <c r="G206" i="159"/>
  <c r="G61" i="157"/>
  <c r="E237" i="159"/>
  <c r="M19" i="157"/>
  <c r="M19" i="155"/>
  <c r="M14" i="159"/>
  <c r="G21" i="155"/>
  <c r="K15" i="157"/>
  <c r="G197" i="158"/>
  <c r="G206" i="158"/>
  <c r="M16" i="157"/>
  <c r="M14" i="157"/>
  <c r="G93" i="157"/>
  <c r="M14" i="158"/>
  <c r="M14" i="155"/>
  <c r="G197" i="155"/>
  <c r="G61" i="158"/>
  <c r="M18" i="159"/>
  <c r="G228" i="156"/>
  <c r="M101" i="156" s="1"/>
  <c r="G102" i="157"/>
  <c r="G102" i="155"/>
  <c r="M17" i="157"/>
  <c r="G119" i="157"/>
  <c r="G161" i="159"/>
  <c r="G119" i="159"/>
  <c r="M11" i="159"/>
  <c r="G21" i="159"/>
  <c r="G197" i="159"/>
  <c r="G111" i="159"/>
  <c r="G61" i="159"/>
  <c r="G93" i="159"/>
  <c r="G111" i="158"/>
  <c r="G93" i="158"/>
  <c r="G119" i="158"/>
  <c r="G228" i="158"/>
  <c r="G21" i="158"/>
  <c r="M11" i="158"/>
  <c r="G228" i="157"/>
  <c r="G79" i="157"/>
  <c r="M11" i="157"/>
  <c r="G197" i="156"/>
  <c r="G111" i="156"/>
  <c r="G119" i="156"/>
  <c r="G206" i="156"/>
  <c r="G119" i="155"/>
  <c r="G93" i="155"/>
  <c r="G61" i="155"/>
  <c r="E238" i="155" l="1"/>
  <c r="K11" i="157"/>
  <c r="M74" i="159"/>
  <c r="M85" i="159"/>
  <c r="M66" i="159"/>
  <c r="M87" i="159"/>
  <c r="H14" i="157"/>
  <c r="M34" i="159"/>
  <c r="H11" i="157"/>
  <c r="M148" i="159"/>
  <c r="H15" i="157"/>
  <c r="H13" i="157"/>
  <c r="M42" i="159"/>
  <c r="H18" i="157"/>
  <c r="H11" i="155"/>
  <c r="H16" i="157"/>
  <c r="H18" i="155"/>
  <c r="H17" i="157"/>
  <c r="H19" i="157"/>
  <c r="H21" i="157"/>
  <c r="H20" i="157"/>
  <c r="H12" i="157"/>
  <c r="M127" i="159"/>
  <c r="M175" i="159"/>
  <c r="M31" i="159"/>
  <c r="M131" i="159"/>
  <c r="M140" i="159"/>
  <c r="M50" i="159"/>
  <c r="H221" i="159"/>
  <c r="M99" i="159"/>
  <c r="M183" i="159"/>
  <c r="M158" i="159"/>
  <c r="M149" i="159"/>
  <c r="M76" i="159"/>
  <c r="M202" i="159"/>
  <c r="H225" i="159"/>
  <c r="H228" i="159"/>
  <c r="M133" i="159"/>
  <c r="M147" i="159"/>
  <c r="M92" i="159"/>
  <c r="M143" i="159"/>
  <c r="M192" i="159"/>
  <c r="M184" i="159"/>
  <c r="M117" i="159"/>
  <c r="H227" i="159"/>
  <c r="M77" i="159"/>
  <c r="M173" i="159"/>
  <c r="H220" i="159"/>
  <c r="M203" i="159"/>
  <c r="M171" i="159"/>
  <c r="M155" i="159"/>
  <c r="M115" i="159"/>
  <c r="H222" i="155"/>
  <c r="G236" i="155"/>
  <c r="M86" i="159"/>
  <c r="M160" i="159"/>
  <c r="M106" i="159"/>
  <c r="M194" i="159"/>
  <c r="M96" i="159"/>
  <c r="M46" i="159"/>
  <c r="M58" i="159"/>
  <c r="M48" i="159"/>
  <c r="M201" i="159"/>
  <c r="M195" i="159"/>
  <c r="M125" i="159"/>
  <c r="M89" i="159"/>
  <c r="M181" i="159"/>
  <c r="M197" i="159"/>
  <c r="M26" i="159"/>
  <c r="M72" i="159"/>
  <c r="M82" i="159"/>
  <c r="M29" i="159"/>
  <c r="M30" i="159"/>
  <c r="M32" i="159"/>
  <c r="M189" i="159"/>
  <c r="M56" i="159"/>
  <c r="H223" i="159"/>
  <c r="H226" i="159"/>
  <c r="M164" i="159"/>
  <c r="M133" i="155"/>
  <c r="M44" i="155"/>
  <c r="H13" i="155"/>
  <c r="H12" i="155"/>
  <c r="H20" i="155"/>
  <c r="H21" i="155"/>
  <c r="H17" i="155"/>
  <c r="K11" i="155"/>
  <c r="H14" i="155"/>
  <c r="H16" i="155"/>
  <c r="H19" i="155"/>
  <c r="H15" i="155"/>
  <c r="G236" i="157"/>
  <c r="G238" i="157" s="1"/>
  <c r="M206" i="159"/>
  <c r="G236" i="159"/>
  <c r="K15" i="159"/>
  <c r="K11" i="159"/>
  <c r="K13" i="159"/>
  <c r="H16" i="156"/>
  <c r="G237" i="159"/>
  <c r="M38" i="159"/>
  <c r="M100" i="159"/>
  <c r="M118" i="159"/>
  <c r="M73" i="159"/>
  <c r="M110" i="159"/>
  <c r="M59" i="159"/>
  <c r="M28" i="159"/>
  <c r="M101" i="159"/>
  <c r="M65" i="159"/>
  <c r="M132" i="159"/>
  <c r="M39" i="159"/>
  <c r="M153" i="159"/>
  <c r="M98" i="159"/>
  <c r="M129" i="159"/>
  <c r="M67" i="159"/>
  <c r="M193" i="159"/>
  <c r="M190" i="159"/>
  <c r="M93" i="159"/>
  <c r="M45" i="159"/>
  <c r="M156" i="159"/>
  <c r="M159" i="159"/>
  <c r="M150" i="159"/>
  <c r="M108" i="159"/>
  <c r="M70" i="159"/>
  <c r="M55" i="159"/>
  <c r="M178" i="159"/>
  <c r="H219" i="159"/>
  <c r="M151" i="159"/>
  <c r="M116" i="159"/>
  <c r="M186" i="159"/>
  <c r="M83" i="159"/>
  <c r="M36" i="159"/>
  <c r="M191" i="159"/>
  <c r="M126" i="159"/>
  <c r="M177" i="159"/>
  <c r="M60" i="159"/>
  <c r="M176" i="159"/>
  <c r="M157" i="159"/>
  <c r="M53" i="159"/>
  <c r="M166" i="159"/>
  <c r="M35" i="159"/>
  <c r="M124" i="159"/>
  <c r="M107" i="159"/>
  <c r="M137" i="159"/>
  <c r="H224" i="159"/>
  <c r="M61" i="159"/>
  <c r="M114" i="159"/>
  <c r="M102" i="159"/>
  <c r="M64" i="159"/>
  <c r="M91" i="159"/>
  <c r="M168" i="159"/>
  <c r="M146" i="159"/>
  <c r="M49" i="159"/>
  <c r="M57" i="159"/>
  <c r="M54" i="159"/>
  <c r="M25" i="159"/>
  <c r="M182" i="159"/>
  <c r="M179" i="159"/>
  <c r="M188" i="159"/>
  <c r="M84" i="159"/>
  <c r="M68" i="159"/>
  <c r="M69" i="159"/>
  <c r="M187" i="159"/>
  <c r="M78" i="159"/>
  <c r="M52" i="159"/>
  <c r="M172" i="159"/>
  <c r="M204" i="159"/>
  <c r="M109" i="159"/>
  <c r="M47" i="159"/>
  <c r="M135" i="159"/>
  <c r="M37" i="159"/>
  <c r="M200" i="159"/>
  <c r="M138" i="159"/>
  <c r="M170" i="159"/>
  <c r="M111" i="159"/>
  <c r="M123" i="159"/>
  <c r="M165" i="159"/>
  <c r="M79" i="159"/>
  <c r="M51" i="159"/>
  <c r="M174" i="159"/>
  <c r="M44" i="159"/>
  <c r="M141" i="159"/>
  <c r="M41" i="159"/>
  <c r="M119" i="159"/>
  <c r="M40" i="159"/>
  <c r="M97" i="159"/>
  <c r="M88" i="159"/>
  <c r="M75" i="159"/>
  <c r="M71" i="159"/>
  <c r="M167" i="159"/>
  <c r="M152" i="159"/>
  <c r="M136" i="159"/>
  <c r="M33" i="159"/>
  <c r="M145" i="159"/>
  <c r="M185" i="159"/>
  <c r="M27" i="159"/>
  <c r="M196" i="159"/>
  <c r="M205" i="159"/>
  <c r="M43" i="159"/>
  <c r="M130" i="159"/>
  <c r="M142" i="159"/>
  <c r="H222" i="159"/>
  <c r="M105" i="159"/>
  <c r="M161" i="159"/>
  <c r="M180" i="159"/>
  <c r="M90" i="159"/>
  <c r="M206" i="156"/>
  <c r="M197" i="156"/>
  <c r="M200" i="156"/>
  <c r="M117" i="155"/>
  <c r="M203" i="155"/>
  <c r="M191" i="155"/>
  <c r="M146" i="155"/>
  <c r="H219" i="155"/>
  <c r="M179" i="156"/>
  <c r="M56" i="155"/>
  <c r="M51" i="155"/>
  <c r="M75" i="155"/>
  <c r="M197" i="155"/>
  <c r="M140" i="155"/>
  <c r="M35" i="155"/>
  <c r="M186" i="155"/>
  <c r="M25" i="155"/>
  <c r="M171" i="155"/>
  <c r="M53" i="155"/>
  <c r="M183" i="155"/>
  <c r="M79" i="155"/>
  <c r="M193" i="155"/>
  <c r="M202" i="155"/>
  <c r="M155" i="155"/>
  <c r="M161" i="155"/>
  <c r="H20" i="156"/>
  <c r="M205" i="155"/>
  <c r="M60" i="155"/>
  <c r="M91" i="155"/>
  <c r="M70" i="155"/>
  <c r="M129" i="156"/>
  <c r="M130" i="155"/>
  <c r="M159" i="155"/>
  <c r="M185" i="155"/>
  <c r="M181" i="155"/>
  <c r="M165" i="155"/>
  <c r="M172" i="155"/>
  <c r="M64" i="155"/>
  <c r="M105" i="155"/>
  <c r="M89" i="155"/>
  <c r="H220" i="155"/>
  <c r="M206" i="157"/>
  <c r="M102" i="155"/>
  <c r="M39" i="155"/>
  <c r="M71" i="155"/>
  <c r="M101" i="155"/>
  <c r="M153" i="155"/>
  <c r="M149" i="155"/>
  <c r="M33" i="155"/>
  <c r="M90" i="155"/>
  <c r="M79" i="156"/>
  <c r="M65" i="155"/>
  <c r="M142" i="155"/>
  <c r="M187" i="155"/>
  <c r="M178" i="155"/>
  <c r="M77" i="155"/>
  <c r="M168" i="155"/>
  <c r="M160" i="155"/>
  <c r="M147" i="155"/>
  <c r="M166" i="155"/>
  <c r="H221" i="155"/>
  <c r="M79" i="157"/>
  <c r="M131" i="156"/>
  <c r="M202" i="156"/>
  <c r="M184" i="155"/>
  <c r="M116" i="155"/>
  <c r="M92" i="155"/>
  <c r="M37" i="155"/>
  <c r="M170" i="155"/>
  <c r="M194" i="156"/>
  <c r="M50" i="155"/>
  <c r="M86" i="155"/>
  <c r="M141" i="155"/>
  <c r="M74" i="155"/>
  <c r="M58" i="155"/>
  <c r="M85" i="155"/>
  <c r="M106" i="155"/>
  <c r="M100" i="155"/>
  <c r="M164" i="155"/>
  <c r="M173" i="155"/>
  <c r="M114" i="156"/>
  <c r="M53" i="156"/>
  <c r="M67" i="155"/>
  <c r="M72" i="155"/>
  <c r="M38" i="155"/>
  <c r="M54" i="155"/>
  <c r="M119" i="156"/>
  <c r="M156" i="155"/>
  <c r="M84" i="155"/>
  <c r="M196" i="155"/>
  <c r="M188" i="155"/>
  <c r="M179" i="155"/>
  <c r="M194" i="155"/>
  <c r="M55" i="155"/>
  <c r="M109" i="155"/>
  <c r="M69" i="155"/>
  <c r="M167" i="156"/>
  <c r="M89" i="156"/>
  <c r="M161" i="156"/>
  <c r="H14" i="156"/>
  <c r="H21" i="156"/>
  <c r="M123" i="155"/>
  <c r="M111" i="155"/>
  <c r="M192" i="156"/>
  <c r="M178" i="156"/>
  <c r="M174" i="155"/>
  <c r="M28" i="155"/>
  <c r="M138" i="155"/>
  <c r="M190" i="155"/>
  <c r="M34" i="155"/>
  <c r="M137" i="155"/>
  <c r="M127" i="155"/>
  <c r="M132" i="155"/>
  <c r="M107" i="155"/>
  <c r="M135" i="155"/>
  <c r="M129" i="155"/>
  <c r="M125" i="155"/>
  <c r="M30" i="155"/>
  <c r="M157" i="155"/>
  <c r="M26" i="155"/>
  <c r="M66" i="155"/>
  <c r="K13" i="155"/>
  <c r="M158" i="155"/>
  <c r="M167" i="155"/>
  <c r="H227" i="155"/>
  <c r="H12" i="156"/>
  <c r="M105" i="156"/>
  <c r="M82" i="158"/>
  <c r="M45" i="156"/>
  <c r="E238" i="156"/>
  <c r="M117" i="156"/>
  <c r="M61" i="155"/>
  <c r="M42" i="155"/>
  <c r="M45" i="155"/>
  <c r="H223" i="155"/>
  <c r="M156" i="156"/>
  <c r="M48" i="156"/>
  <c r="M130" i="156"/>
  <c r="M58" i="156"/>
  <c r="K15" i="158"/>
  <c r="M195" i="156"/>
  <c r="M153" i="156"/>
  <c r="M102" i="156"/>
  <c r="M21" i="156"/>
  <c r="H15" i="156"/>
  <c r="M61" i="156"/>
  <c r="M43" i="156"/>
  <c r="M114" i="155"/>
  <c r="M27" i="155"/>
  <c r="M118" i="155"/>
  <c r="M180" i="155"/>
  <c r="M136" i="155"/>
  <c r="M41" i="155"/>
  <c r="M73" i="155"/>
  <c r="H17" i="156"/>
  <c r="M164" i="156"/>
  <c r="M93" i="155"/>
  <c r="M21" i="155"/>
  <c r="M119" i="155"/>
  <c r="M57" i="155"/>
  <c r="M195" i="155"/>
  <c r="M182" i="155"/>
  <c r="M145" i="155"/>
  <c r="M32" i="155"/>
  <c r="M97" i="155"/>
  <c r="M110" i="155"/>
  <c r="M59" i="155"/>
  <c r="M88" i="155"/>
  <c r="M143" i="155"/>
  <c r="M49" i="155"/>
  <c r="M189" i="155"/>
  <c r="M78" i="155"/>
  <c r="M108" i="155"/>
  <c r="M177" i="155"/>
  <c r="M36" i="155"/>
  <c r="M31" i="155"/>
  <c r="M83" i="155"/>
  <c r="H228" i="155"/>
  <c r="H19" i="156"/>
  <c r="H11" i="156"/>
  <c r="M197" i="158"/>
  <c r="M93" i="156"/>
  <c r="M75" i="156"/>
  <c r="M29" i="156"/>
  <c r="E238" i="158"/>
  <c r="M97" i="156"/>
  <c r="E238" i="159"/>
  <c r="M67" i="156"/>
  <c r="M126" i="156"/>
  <c r="M30" i="156"/>
  <c r="M31" i="156"/>
  <c r="M86" i="156"/>
  <c r="M125" i="156"/>
  <c r="M85" i="156"/>
  <c r="M203" i="156"/>
  <c r="M168" i="156"/>
  <c r="M54" i="156"/>
  <c r="M132" i="156"/>
  <c r="M42" i="156"/>
  <c r="M74" i="156"/>
  <c r="M145" i="156"/>
  <c r="M147" i="156"/>
  <c r="M66" i="156"/>
  <c r="M55" i="156"/>
  <c r="M46" i="156"/>
  <c r="M151" i="156"/>
  <c r="M100" i="156"/>
  <c r="M127" i="156"/>
  <c r="M149" i="156"/>
  <c r="M150" i="156"/>
  <c r="M73" i="156"/>
  <c r="M173" i="156"/>
  <c r="M142" i="156"/>
  <c r="M155" i="156"/>
  <c r="M106" i="156"/>
  <c r="M51" i="156"/>
  <c r="M83" i="156"/>
  <c r="M36" i="156"/>
  <c r="M47" i="156"/>
  <c r="M70" i="156"/>
  <c r="M37" i="156"/>
  <c r="M185" i="156"/>
  <c r="M193" i="156"/>
  <c r="M177" i="156"/>
  <c r="M181" i="156"/>
  <c r="M184" i="156"/>
  <c r="M82" i="156"/>
  <c r="M189" i="156"/>
  <c r="M40" i="156"/>
  <c r="M118" i="156"/>
  <c r="M59" i="156"/>
  <c r="M108" i="156"/>
  <c r="M165" i="156"/>
  <c r="M136" i="156"/>
  <c r="M44" i="156"/>
  <c r="M50" i="156"/>
  <c r="M98" i="156"/>
  <c r="M166" i="156"/>
  <c r="H228" i="156"/>
  <c r="M174" i="156"/>
  <c r="H219" i="156"/>
  <c r="M39" i="156"/>
  <c r="M175" i="156"/>
  <c r="M146" i="156"/>
  <c r="M76" i="156"/>
  <c r="M96" i="156"/>
  <c r="M115" i="156"/>
  <c r="M64" i="156"/>
  <c r="M91" i="156"/>
  <c r="M158" i="156"/>
  <c r="M196" i="156"/>
  <c r="M190" i="156"/>
  <c r="H226" i="156"/>
  <c r="M41" i="156"/>
  <c r="M186" i="156"/>
  <c r="M188" i="156"/>
  <c r="M35" i="156"/>
  <c r="M116" i="156"/>
  <c r="M25" i="156"/>
  <c r="G236" i="156"/>
  <c r="M171" i="156"/>
  <c r="M68" i="156"/>
  <c r="M205" i="156"/>
  <c r="M152" i="156"/>
  <c r="M99" i="156"/>
  <c r="M32" i="156"/>
  <c r="M90" i="156"/>
  <c r="H221" i="156"/>
  <c r="K13" i="156"/>
  <c r="M170" i="156"/>
  <c r="H220" i="156"/>
  <c r="M176" i="156"/>
  <c r="M191" i="156"/>
  <c r="M34" i="156"/>
  <c r="M172" i="156"/>
  <c r="H223" i="156"/>
  <c r="H225" i="156"/>
  <c r="M143" i="156"/>
  <c r="M157" i="156"/>
  <c r="M107" i="156"/>
  <c r="M140" i="156"/>
  <c r="M123" i="156"/>
  <c r="M26" i="156"/>
  <c r="M72" i="156"/>
  <c r="H227" i="156"/>
  <c r="H222" i="156"/>
  <c r="M78" i="156"/>
  <c r="M133" i="156"/>
  <c r="M159" i="156"/>
  <c r="M110" i="156"/>
  <c r="M57" i="156"/>
  <c r="M141" i="156"/>
  <c r="M49" i="156"/>
  <c r="M71" i="156"/>
  <c r="M169" i="156"/>
  <c r="H224" i="156"/>
  <c r="M65" i="156"/>
  <c r="M28" i="156"/>
  <c r="M38" i="156"/>
  <c r="M135" i="156"/>
  <c r="M52" i="156"/>
  <c r="M84" i="156"/>
  <c r="M60" i="156"/>
  <c r="M182" i="156"/>
  <c r="M88" i="156"/>
  <c r="M137" i="156"/>
  <c r="M187" i="156"/>
  <c r="M138" i="156"/>
  <c r="M124" i="156"/>
  <c r="M109" i="156"/>
  <c r="M56" i="156"/>
  <c r="M69" i="156"/>
  <c r="M201" i="156"/>
  <c r="M92" i="156"/>
  <c r="M183" i="156"/>
  <c r="M180" i="156"/>
  <c r="M87" i="156"/>
  <c r="M204" i="156"/>
  <c r="M27" i="156"/>
  <c r="M77" i="156"/>
  <c r="M29" i="155"/>
  <c r="M150" i="155"/>
  <c r="M200" i="155"/>
  <c r="M192" i="155"/>
  <c r="M148" i="155"/>
  <c r="M43" i="155"/>
  <c r="M126" i="155"/>
  <c r="M151" i="155"/>
  <c r="M96" i="155"/>
  <c r="M76" i="155"/>
  <c r="H226" i="155"/>
  <c r="K11" i="156"/>
  <c r="E238" i="157"/>
  <c r="M82" i="155"/>
  <c r="M206" i="155"/>
  <c r="M175" i="155"/>
  <c r="M204" i="155"/>
  <c r="M46" i="155"/>
  <c r="M176" i="155"/>
  <c r="M98" i="155"/>
  <c r="M124" i="155"/>
  <c r="M87" i="155"/>
  <c r="M115" i="155"/>
  <c r="M68" i="155"/>
  <c r="M201" i="155"/>
  <c r="M48" i="155"/>
  <c r="M52" i="155"/>
  <c r="M40" i="155"/>
  <c r="M131" i="155"/>
  <c r="M99" i="155"/>
  <c r="M152" i="155"/>
  <c r="M47" i="155"/>
  <c r="M169" i="155"/>
  <c r="H225" i="155"/>
  <c r="H224" i="155"/>
  <c r="H13" i="156"/>
  <c r="H18" i="156"/>
  <c r="G208" i="159"/>
  <c r="H91" i="159" s="1"/>
  <c r="M160" i="156"/>
  <c r="M33" i="156"/>
  <c r="M148" i="156"/>
  <c r="H16" i="159"/>
  <c r="H15" i="159"/>
  <c r="H14" i="159"/>
  <c r="H13" i="159"/>
  <c r="H12" i="159"/>
  <c r="H11" i="159"/>
  <c r="H19" i="159"/>
  <c r="H18" i="159"/>
  <c r="H17" i="159"/>
  <c r="M21" i="159"/>
  <c r="H21" i="159"/>
  <c r="H20" i="159"/>
  <c r="M119" i="158"/>
  <c r="M114" i="158"/>
  <c r="H13" i="158"/>
  <c r="H20" i="158"/>
  <c r="H16" i="158"/>
  <c r="H12" i="158"/>
  <c r="M21" i="158"/>
  <c r="H17" i="158"/>
  <c r="H11" i="158"/>
  <c r="H15" i="158"/>
  <c r="H21" i="158"/>
  <c r="H19" i="158"/>
  <c r="K11" i="158"/>
  <c r="H18" i="158"/>
  <c r="H14" i="158"/>
  <c r="M79" i="158"/>
  <c r="H228" i="158"/>
  <c r="H227" i="158"/>
  <c r="H225" i="158"/>
  <c r="H223" i="158"/>
  <c r="H221" i="158"/>
  <c r="H219" i="158"/>
  <c r="G236" i="158"/>
  <c r="H222" i="158"/>
  <c r="H220" i="158"/>
  <c r="H224" i="158"/>
  <c r="K13" i="158"/>
  <c r="M126" i="158"/>
  <c r="M91" i="158"/>
  <c r="M151" i="158"/>
  <c r="M106" i="158"/>
  <c r="H226" i="158"/>
  <c r="M78" i="158"/>
  <c r="M54" i="158"/>
  <c r="M176" i="158"/>
  <c r="M202" i="158"/>
  <c r="M150" i="158"/>
  <c r="M38" i="158"/>
  <c r="M184" i="158"/>
  <c r="M92" i="158"/>
  <c r="M25" i="158"/>
  <c r="M70" i="158"/>
  <c r="M172" i="158"/>
  <c r="M53" i="158"/>
  <c r="M46" i="158"/>
  <c r="M77" i="158"/>
  <c r="M178" i="158"/>
  <c r="M29" i="158"/>
  <c r="M196" i="158"/>
  <c r="M181" i="158"/>
  <c r="M153" i="158"/>
  <c r="M148" i="158"/>
  <c r="M187" i="158"/>
  <c r="M192" i="158"/>
  <c r="M85" i="158"/>
  <c r="M65" i="158"/>
  <c r="M71" i="158"/>
  <c r="M47" i="158"/>
  <c r="M195" i="158"/>
  <c r="M159" i="158"/>
  <c r="M131" i="158"/>
  <c r="M83" i="158"/>
  <c r="M50" i="158"/>
  <c r="M183" i="158"/>
  <c r="M48" i="158"/>
  <c r="M188" i="158"/>
  <c r="M110" i="158"/>
  <c r="M116" i="158"/>
  <c r="M171" i="158"/>
  <c r="M32" i="158"/>
  <c r="M166" i="158"/>
  <c r="M44" i="158"/>
  <c r="M130" i="158"/>
  <c r="M108" i="158"/>
  <c r="M165" i="158"/>
  <c r="M185" i="158"/>
  <c r="M56" i="158"/>
  <c r="M136" i="158"/>
  <c r="M175" i="158"/>
  <c r="M127" i="158"/>
  <c r="M69" i="158"/>
  <c r="M118" i="158"/>
  <c r="M84" i="158"/>
  <c r="M30" i="158"/>
  <c r="M35" i="158"/>
  <c r="M204" i="158"/>
  <c r="M156" i="158"/>
  <c r="M67" i="158"/>
  <c r="M190" i="158"/>
  <c r="M55" i="158"/>
  <c r="M203" i="158"/>
  <c r="M135" i="158"/>
  <c r="M132" i="158"/>
  <c r="M89" i="158"/>
  <c r="M60" i="158"/>
  <c r="M147" i="158"/>
  <c r="M137" i="158"/>
  <c r="M39" i="158"/>
  <c r="M58" i="158"/>
  <c r="M129" i="158"/>
  <c r="M49" i="158"/>
  <c r="M149" i="158"/>
  <c r="M155" i="158"/>
  <c r="M141" i="158"/>
  <c r="M45" i="158"/>
  <c r="M169" i="158"/>
  <c r="M66" i="158"/>
  <c r="M173" i="158"/>
  <c r="M179" i="158"/>
  <c r="M59" i="158"/>
  <c r="M177" i="158"/>
  <c r="M182" i="158"/>
  <c r="M33" i="158"/>
  <c r="M34" i="158"/>
  <c r="M28" i="158"/>
  <c r="M37" i="158"/>
  <c r="M133" i="158"/>
  <c r="M98" i="158"/>
  <c r="M109" i="158"/>
  <c r="M125" i="158"/>
  <c r="M107" i="158"/>
  <c r="M143" i="158"/>
  <c r="M51" i="158"/>
  <c r="M73" i="158"/>
  <c r="M174" i="158"/>
  <c r="M74" i="158"/>
  <c r="M194" i="158"/>
  <c r="M72" i="158"/>
  <c r="M168" i="158"/>
  <c r="M152" i="158"/>
  <c r="M87" i="158"/>
  <c r="M145" i="158"/>
  <c r="M97" i="158"/>
  <c r="M90" i="158"/>
  <c r="M88" i="158"/>
  <c r="M86" i="158"/>
  <c r="M201" i="158"/>
  <c r="M170" i="158"/>
  <c r="M41" i="158"/>
  <c r="M167" i="158"/>
  <c r="M158" i="158"/>
  <c r="M115" i="158"/>
  <c r="M40" i="158"/>
  <c r="M186" i="158"/>
  <c r="M101" i="158"/>
  <c r="M42" i="158"/>
  <c r="M36" i="158"/>
  <c r="M191" i="158"/>
  <c r="M76" i="158"/>
  <c r="M52" i="158"/>
  <c r="M205" i="158"/>
  <c r="M189" i="158"/>
  <c r="M146" i="158"/>
  <c r="M193" i="158"/>
  <c r="M123" i="158"/>
  <c r="M43" i="158"/>
  <c r="M180" i="158"/>
  <c r="M31" i="158"/>
  <c r="M142" i="158"/>
  <c r="M26" i="158"/>
  <c r="M96" i="158"/>
  <c r="M157" i="158"/>
  <c r="M75" i="158"/>
  <c r="M160" i="158"/>
  <c r="M138" i="158"/>
  <c r="M27" i="158"/>
  <c r="M117" i="158"/>
  <c r="M140" i="158"/>
  <c r="M57" i="158"/>
  <c r="M100" i="158"/>
  <c r="M124" i="158"/>
  <c r="M68" i="158"/>
  <c r="M61" i="158"/>
  <c r="M102" i="158"/>
  <c r="M99" i="158"/>
  <c r="M200" i="158"/>
  <c r="M64" i="158"/>
  <c r="M164" i="158"/>
  <c r="M93" i="158"/>
  <c r="M161" i="158"/>
  <c r="M105" i="158"/>
  <c r="M206" i="158"/>
  <c r="M111" i="158"/>
  <c r="G208" i="158"/>
  <c r="H226" i="157"/>
  <c r="H224" i="157"/>
  <c r="H222" i="157"/>
  <c r="H220" i="157"/>
  <c r="M194" i="157"/>
  <c r="H219" i="157"/>
  <c r="H221" i="157"/>
  <c r="H223" i="157"/>
  <c r="H227" i="157"/>
  <c r="M185" i="157"/>
  <c r="H228" i="157"/>
  <c r="M86" i="157"/>
  <c r="M82" i="157"/>
  <c r="H225" i="157"/>
  <c r="M193" i="157"/>
  <c r="M92" i="157"/>
  <c r="M188" i="157"/>
  <c r="M142" i="157"/>
  <c r="M75" i="157"/>
  <c r="K13" i="157"/>
  <c r="M182" i="157"/>
  <c r="M138" i="157"/>
  <c r="M135" i="157"/>
  <c r="M196" i="157"/>
  <c r="M190" i="157"/>
  <c r="M137" i="157"/>
  <c r="M36" i="157"/>
  <c r="M32" i="157"/>
  <c r="M59" i="157"/>
  <c r="M40" i="157"/>
  <c r="M176" i="157"/>
  <c r="M117" i="157"/>
  <c r="M99" i="157"/>
  <c r="M67" i="157"/>
  <c r="M108" i="157"/>
  <c r="M96" i="157"/>
  <c r="M101" i="157"/>
  <c r="M35" i="157"/>
  <c r="M173" i="157"/>
  <c r="M127" i="157"/>
  <c r="M105" i="157"/>
  <c r="M44" i="157"/>
  <c r="M107" i="157"/>
  <c r="M71" i="157"/>
  <c r="M39" i="157"/>
  <c r="M28" i="157"/>
  <c r="M47" i="157"/>
  <c r="M201" i="157"/>
  <c r="M58" i="157"/>
  <c r="M50" i="157"/>
  <c r="M189" i="157"/>
  <c r="M179" i="157"/>
  <c r="M106" i="157"/>
  <c r="M203" i="157"/>
  <c r="M41" i="157"/>
  <c r="M155" i="157"/>
  <c r="M55" i="157"/>
  <c r="M170" i="157"/>
  <c r="M167" i="157"/>
  <c r="M204" i="157"/>
  <c r="M149" i="157"/>
  <c r="M195" i="157"/>
  <c r="M202" i="157"/>
  <c r="M151" i="157"/>
  <c r="M90" i="157"/>
  <c r="M27" i="157"/>
  <c r="M133" i="157"/>
  <c r="M37" i="157"/>
  <c r="M66" i="157"/>
  <c r="M42" i="157"/>
  <c r="M88" i="157"/>
  <c r="M30" i="157"/>
  <c r="M174" i="157"/>
  <c r="M141" i="157"/>
  <c r="M91" i="157"/>
  <c r="M34" i="157"/>
  <c r="M53" i="157"/>
  <c r="M29" i="157"/>
  <c r="M205" i="157"/>
  <c r="M132" i="157"/>
  <c r="M166" i="157"/>
  <c r="M54" i="157"/>
  <c r="M52" i="157"/>
  <c r="M160" i="157"/>
  <c r="M177" i="157"/>
  <c r="M109" i="157"/>
  <c r="M183" i="157"/>
  <c r="M56" i="157"/>
  <c r="M87" i="157"/>
  <c r="M76" i="157"/>
  <c r="M147" i="157"/>
  <c r="M175" i="157"/>
  <c r="M152" i="157"/>
  <c r="M25" i="157"/>
  <c r="M178" i="157"/>
  <c r="M180" i="157"/>
  <c r="M125" i="157"/>
  <c r="M186" i="157"/>
  <c r="M145" i="157"/>
  <c r="M168" i="157"/>
  <c r="M31" i="157"/>
  <c r="M184" i="157"/>
  <c r="M46" i="157"/>
  <c r="M69" i="157"/>
  <c r="M72" i="157"/>
  <c r="M143" i="157"/>
  <c r="M129" i="157"/>
  <c r="M60" i="157"/>
  <c r="M70" i="157"/>
  <c r="M84" i="157"/>
  <c r="M192" i="157"/>
  <c r="M118" i="157"/>
  <c r="M126" i="157"/>
  <c r="M83" i="157"/>
  <c r="M124" i="157"/>
  <c r="M146" i="157"/>
  <c r="M49" i="157"/>
  <c r="M77" i="157"/>
  <c r="M74" i="157"/>
  <c r="M123" i="157"/>
  <c r="M51" i="157"/>
  <c r="M172" i="157"/>
  <c r="M136" i="157"/>
  <c r="M191" i="157"/>
  <c r="M33" i="157"/>
  <c r="M169" i="157"/>
  <c r="M38" i="157"/>
  <c r="M171" i="157"/>
  <c r="M26" i="157"/>
  <c r="M158" i="157"/>
  <c r="M68" i="157"/>
  <c r="M116" i="157"/>
  <c r="M148" i="157"/>
  <c r="M85" i="157"/>
  <c r="M45" i="157"/>
  <c r="M65" i="157"/>
  <c r="M187" i="157"/>
  <c r="M97" i="157"/>
  <c r="M131" i="157"/>
  <c r="M114" i="157"/>
  <c r="M100" i="157"/>
  <c r="M43" i="157"/>
  <c r="M140" i="157"/>
  <c r="M159" i="157"/>
  <c r="M165" i="157"/>
  <c r="M150" i="157"/>
  <c r="M181" i="157"/>
  <c r="M115" i="157"/>
  <c r="M98" i="157"/>
  <c r="M73" i="157"/>
  <c r="M164" i="157"/>
  <c r="M48" i="157"/>
  <c r="M89" i="157"/>
  <c r="M57" i="157"/>
  <c r="M156" i="157"/>
  <c r="M130" i="157"/>
  <c r="M157" i="157"/>
  <c r="M153" i="157"/>
  <c r="M110" i="157"/>
  <c r="M78" i="157"/>
  <c r="M197" i="157"/>
  <c r="M119" i="157"/>
  <c r="M111" i="157"/>
  <c r="M161" i="157"/>
  <c r="M200" i="157"/>
  <c r="M102" i="157"/>
  <c r="M93" i="157"/>
  <c r="M61" i="157"/>
  <c r="G208" i="157"/>
  <c r="M64" i="157"/>
  <c r="M21" i="157"/>
  <c r="M111" i="156"/>
  <c r="G208" i="156"/>
  <c r="G208" i="155"/>
  <c r="G238" i="159" l="1"/>
  <c r="K12" i="159"/>
  <c r="H179" i="159"/>
  <c r="H171" i="159"/>
  <c r="H101" i="159"/>
  <c r="H40" i="159"/>
  <c r="H206" i="159"/>
  <c r="H97" i="159"/>
  <c r="H142" i="159"/>
  <c r="H152" i="159"/>
  <c r="H42" i="159"/>
  <c r="H177" i="159"/>
  <c r="H153" i="159"/>
  <c r="M208" i="159"/>
  <c r="H118" i="159"/>
  <c r="H151" i="159"/>
  <c r="H69" i="159"/>
  <c r="H136" i="159"/>
  <c r="H47" i="159"/>
  <c r="H170" i="159"/>
  <c r="H172" i="159"/>
  <c r="H28" i="159"/>
  <c r="H82" i="159"/>
  <c r="H75" i="159"/>
  <c r="H36" i="159"/>
  <c r="H72" i="159"/>
  <c r="H34" i="159"/>
  <c r="H161" i="159"/>
  <c r="H117" i="159"/>
  <c r="H58" i="159"/>
  <c r="H119" i="159"/>
  <c r="H27" i="159"/>
  <c r="H51" i="159"/>
  <c r="H145" i="159"/>
  <c r="H86" i="159"/>
  <c r="H186" i="159"/>
  <c r="H74" i="159"/>
  <c r="H85" i="159"/>
  <c r="H174" i="159"/>
  <c r="H137" i="159"/>
  <c r="H178" i="159"/>
  <c r="H71" i="159"/>
  <c r="H165" i="159"/>
  <c r="H109" i="159"/>
  <c r="H31" i="159"/>
  <c r="H79" i="159"/>
  <c r="H45" i="159"/>
  <c r="H44" i="159"/>
  <c r="H106" i="159"/>
  <c r="H56" i="159"/>
  <c r="H188" i="159"/>
  <c r="H201" i="159"/>
  <c r="H76" i="159"/>
  <c r="H108" i="159"/>
  <c r="H49" i="159"/>
  <c r="H55" i="159"/>
  <c r="H33" i="159"/>
  <c r="H68" i="159"/>
  <c r="H191" i="159"/>
  <c r="H84" i="159"/>
  <c r="H50" i="159"/>
  <c r="H57" i="159"/>
  <c r="H129" i="159"/>
  <c r="H78" i="159"/>
  <c r="H155" i="159"/>
  <c r="H175" i="159"/>
  <c r="H167" i="159"/>
  <c r="H150" i="159"/>
  <c r="H195" i="159"/>
  <c r="H93" i="159"/>
  <c r="H48" i="159"/>
  <c r="H131" i="159"/>
  <c r="H99" i="159"/>
  <c r="H126" i="159"/>
  <c r="H65" i="159"/>
  <c r="H73" i="159"/>
  <c r="H90" i="159"/>
  <c r="H107" i="159"/>
  <c r="H203" i="159"/>
  <c r="H98" i="159"/>
  <c r="H66" i="159"/>
  <c r="H189" i="159"/>
  <c r="H105" i="159"/>
  <c r="H38" i="159"/>
  <c r="H192" i="159"/>
  <c r="H160" i="159"/>
  <c r="H202" i="159"/>
  <c r="H169" i="159"/>
  <c r="H140" i="159"/>
  <c r="H32" i="159"/>
  <c r="H116" i="159"/>
  <c r="H41" i="159"/>
  <c r="H30" i="159"/>
  <c r="H89" i="159"/>
  <c r="H114" i="159"/>
  <c r="H43" i="159"/>
  <c r="H208" i="159"/>
  <c r="H168" i="159"/>
  <c r="H52" i="159"/>
  <c r="H194" i="159"/>
  <c r="H158" i="159"/>
  <c r="G215" i="159"/>
  <c r="H25" i="159"/>
  <c r="H196" i="159"/>
  <c r="H70" i="159"/>
  <c r="H147" i="159"/>
  <c r="H83" i="159"/>
  <c r="H183" i="159"/>
  <c r="H77" i="159"/>
  <c r="H204" i="159"/>
  <c r="H133" i="159"/>
  <c r="H64" i="159"/>
  <c r="H148" i="159"/>
  <c r="H61" i="159"/>
  <c r="H180" i="159"/>
  <c r="H110" i="159"/>
  <c r="H67" i="159"/>
  <c r="H159" i="159"/>
  <c r="H141" i="159"/>
  <c r="H35" i="159"/>
  <c r="H125" i="159"/>
  <c r="H193" i="159"/>
  <c r="H88" i="159"/>
  <c r="H181" i="159"/>
  <c r="H96" i="159"/>
  <c r="H39" i="159"/>
  <c r="H157" i="159"/>
  <c r="H176" i="159"/>
  <c r="H100" i="159"/>
  <c r="H166" i="159"/>
  <c r="H115" i="159"/>
  <c r="H102" i="159"/>
  <c r="H185" i="159"/>
  <c r="H164" i="159"/>
  <c r="H138" i="159"/>
  <c r="H182" i="159"/>
  <c r="H130" i="159"/>
  <c r="G215" i="158"/>
  <c r="G238" i="156"/>
  <c r="G238" i="155"/>
  <c r="G238" i="158"/>
  <c r="H184" i="159"/>
  <c r="H54" i="159"/>
  <c r="H37" i="159"/>
  <c r="H53" i="159"/>
  <c r="H143" i="159"/>
  <c r="H29" i="159"/>
  <c r="H146" i="159"/>
  <c r="H124" i="159"/>
  <c r="H59" i="159"/>
  <c r="H127" i="159"/>
  <c r="H26" i="159"/>
  <c r="H123" i="159"/>
  <c r="H46" i="159"/>
  <c r="H135" i="159"/>
  <c r="H205" i="159"/>
  <c r="H197" i="159"/>
  <c r="H87" i="159"/>
  <c r="H156" i="159"/>
  <c r="H190" i="159"/>
  <c r="H111" i="159"/>
  <c r="H187" i="159"/>
  <c r="H173" i="159"/>
  <c r="H60" i="159"/>
  <c r="H132" i="159"/>
  <c r="H200" i="159"/>
  <c r="H92" i="159"/>
  <c r="H149" i="159"/>
  <c r="H208" i="158"/>
  <c r="H204" i="158"/>
  <c r="H200" i="158"/>
  <c r="H193" i="158"/>
  <c r="H189" i="158"/>
  <c r="H185" i="158"/>
  <c r="H181" i="158"/>
  <c r="H177" i="158"/>
  <c r="H173" i="158"/>
  <c r="H169" i="158"/>
  <c r="H165" i="158"/>
  <c r="H157" i="158"/>
  <c r="H152" i="158"/>
  <c r="H148" i="158"/>
  <c r="H143" i="158"/>
  <c r="H138" i="158"/>
  <c r="H133" i="158"/>
  <c r="H129" i="158"/>
  <c r="H124" i="158"/>
  <c r="H115" i="158"/>
  <c r="H107" i="158"/>
  <c r="H99" i="158"/>
  <c r="H91" i="158"/>
  <c r="H87" i="158"/>
  <c r="H194" i="158"/>
  <c r="H191" i="158"/>
  <c r="H188" i="158"/>
  <c r="H135" i="158"/>
  <c r="H131" i="158"/>
  <c r="H127" i="158"/>
  <c r="H203" i="158"/>
  <c r="H174" i="158"/>
  <c r="H171" i="158"/>
  <c r="H168" i="158"/>
  <c r="H149" i="158"/>
  <c r="H146" i="158"/>
  <c r="H142" i="158"/>
  <c r="H117" i="158"/>
  <c r="H114" i="158"/>
  <c r="H102" i="158"/>
  <c r="H101" i="158"/>
  <c r="H98" i="158"/>
  <c r="H92" i="158"/>
  <c r="H89" i="158"/>
  <c r="H86" i="158"/>
  <c r="H186" i="158"/>
  <c r="H183" i="158"/>
  <c r="H180" i="158"/>
  <c r="H159" i="158"/>
  <c r="H156" i="158"/>
  <c r="H125" i="158"/>
  <c r="H206" i="158"/>
  <c r="H182" i="158"/>
  <c r="H179" i="158"/>
  <c r="H176" i="158"/>
  <c r="H158" i="158"/>
  <c r="H155" i="158"/>
  <c r="H151" i="158"/>
  <c r="H190" i="158"/>
  <c r="H166" i="158"/>
  <c r="H145" i="158"/>
  <c r="H97" i="158"/>
  <c r="H90" i="158"/>
  <c r="H88" i="158"/>
  <c r="H73" i="158"/>
  <c r="H65" i="158"/>
  <c r="H57" i="158"/>
  <c r="H49" i="158"/>
  <c r="H41" i="158"/>
  <c r="H26" i="158"/>
  <c r="K12" i="158"/>
  <c r="H197" i="158"/>
  <c r="H195" i="158"/>
  <c r="H160" i="158"/>
  <c r="H123" i="158"/>
  <c r="H111" i="158"/>
  <c r="H93" i="158"/>
  <c r="H79" i="158"/>
  <c r="H76" i="158"/>
  <c r="H68" i="158"/>
  <c r="H60" i="158"/>
  <c r="H52" i="158"/>
  <c r="H44" i="158"/>
  <c r="H36" i="158"/>
  <c r="H33" i="158"/>
  <c r="M208" i="158"/>
  <c r="H201" i="158"/>
  <c r="H192" i="158"/>
  <c r="H187" i="158"/>
  <c r="H175" i="158"/>
  <c r="H147" i="158"/>
  <c r="H141" i="158"/>
  <c r="H84" i="158"/>
  <c r="H71" i="158"/>
  <c r="H55" i="158"/>
  <c r="H47" i="158"/>
  <c r="H39" i="158"/>
  <c r="H30" i="158"/>
  <c r="H27" i="158"/>
  <c r="H202" i="158"/>
  <c r="H196" i="158"/>
  <c r="H178" i="158"/>
  <c r="H164" i="158"/>
  <c r="H150" i="158"/>
  <c r="H132" i="158"/>
  <c r="H126" i="158"/>
  <c r="H110" i="158"/>
  <c r="H106" i="158"/>
  <c r="H83" i="158"/>
  <c r="H78" i="158"/>
  <c r="H70" i="158"/>
  <c r="H54" i="158"/>
  <c r="H46" i="158"/>
  <c r="H38" i="158"/>
  <c r="H32" i="158"/>
  <c r="H29" i="158"/>
  <c r="H74" i="158"/>
  <c r="H67" i="158"/>
  <c r="H50" i="158"/>
  <c r="H43" i="158"/>
  <c r="H109" i="158"/>
  <c r="H37" i="158"/>
  <c r="H205" i="158"/>
  <c r="H82" i="158"/>
  <c r="H59" i="158"/>
  <c r="H130" i="158"/>
  <c r="H69" i="158"/>
  <c r="H64" i="158"/>
  <c r="H45" i="158"/>
  <c r="H40" i="158"/>
  <c r="H85" i="158"/>
  <c r="H170" i="158"/>
  <c r="H61" i="158"/>
  <c r="H119" i="158"/>
  <c r="H100" i="158"/>
  <c r="H66" i="158"/>
  <c r="H42" i="158"/>
  <c r="H35" i="158"/>
  <c r="H172" i="158"/>
  <c r="H105" i="158"/>
  <c r="H77" i="158"/>
  <c r="H72" i="158"/>
  <c r="H53" i="158"/>
  <c r="H48" i="158"/>
  <c r="H31" i="158"/>
  <c r="H137" i="158"/>
  <c r="H116" i="158"/>
  <c r="H153" i="158"/>
  <c r="H51" i="158"/>
  <c r="H96" i="158"/>
  <c r="H184" i="158"/>
  <c r="H118" i="158"/>
  <c r="H75" i="158"/>
  <c r="H28" i="158"/>
  <c r="H25" i="158"/>
  <c r="H136" i="158"/>
  <c r="H161" i="158"/>
  <c r="H34" i="158"/>
  <c r="H56" i="158"/>
  <c r="H108" i="158"/>
  <c r="H58" i="158"/>
  <c r="H140" i="158"/>
  <c r="H167" i="158"/>
  <c r="H202" i="157"/>
  <c r="H195" i="157"/>
  <c r="H191" i="157"/>
  <c r="H187" i="157"/>
  <c r="H183" i="157"/>
  <c r="H179" i="157"/>
  <c r="H175" i="157"/>
  <c r="H171" i="157"/>
  <c r="H167" i="157"/>
  <c r="H159" i="157"/>
  <c r="H155" i="157"/>
  <c r="H150" i="157"/>
  <c r="H146" i="157"/>
  <c r="H141" i="157"/>
  <c r="H136" i="157"/>
  <c r="H131" i="157"/>
  <c r="H126" i="157"/>
  <c r="H117" i="157"/>
  <c r="H109" i="157"/>
  <c r="H105" i="157"/>
  <c r="H102" i="157"/>
  <c r="H101" i="157"/>
  <c r="H97" i="157"/>
  <c r="H89" i="157"/>
  <c r="H206" i="157"/>
  <c r="H205" i="157"/>
  <c r="H188" i="157"/>
  <c r="H185" i="157"/>
  <c r="H182" i="157"/>
  <c r="H142" i="157"/>
  <c r="H138" i="157"/>
  <c r="H135" i="157"/>
  <c r="H108" i="157"/>
  <c r="H99" i="157"/>
  <c r="H96" i="157"/>
  <c r="H86" i="157"/>
  <c r="H82" i="157"/>
  <c r="H75" i="157"/>
  <c r="H71" i="157"/>
  <c r="H67" i="157"/>
  <c r="H59" i="157"/>
  <c r="H55" i="157"/>
  <c r="H51" i="157"/>
  <c r="H47" i="157"/>
  <c r="H194" i="157"/>
  <c r="H168" i="157"/>
  <c r="H165" i="157"/>
  <c r="H156" i="157"/>
  <c r="H152" i="157"/>
  <c r="H149" i="157"/>
  <c r="H90" i="157"/>
  <c r="H203" i="157"/>
  <c r="H200" i="157"/>
  <c r="H180" i="157"/>
  <c r="H177" i="157"/>
  <c r="H174" i="157"/>
  <c r="H132" i="157"/>
  <c r="H129" i="157"/>
  <c r="H125" i="157"/>
  <c r="H118" i="157"/>
  <c r="H115" i="157"/>
  <c r="H106" i="157"/>
  <c r="H87" i="157"/>
  <c r="H83" i="157"/>
  <c r="H76" i="157"/>
  <c r="H72" i="157"/>
  <c r="H68" i="157"/>
  <c r="H64" i="157"/>
  <c r="H61" i="157"/>
  <c r="H60" i="157"/>
  <c r="H56" i="157"/>
  <c r="H52" i="157"/>
  <c r="H192" i="157"/>
  <c r="H189" i="157"/>
  <c r="H186" i="157"/>
  <c r="H147" i="157"/>
  <c r="H143" i="157"/>
  <c r="H140" i="157"/>
  <c r="H119" i="157"/>
  <c r="H100" i="157"/>
  <c r="H196" i="157"/>
  <c r="H190" i="157"/>
  <c r="H173" i="157"/>
  <c r="H137" i="157"/>
  <c r="H116" i="157"/>
  <c r="H110" i="157"/>
  <c r="H98" i="157"/>
  <c r="H178" i="157"/>
  <c r="H170" i="157"/>
  <c r="H158" i="157"/>
  <c r="H145" i="157"/>
  <c r="H172" i="157"/>
  <c r="H164" i="157"/>
  <c r="H160" i="157"/>
  <c r="H151" i="157"/>
  <c r="H201" i="157"/>
  <c r="H184" i="157"/>
  <c r="H148" i="157"/>
  <c r="H93" i="157"/>
  <c r="H91" i="157"/>
  <c r="H57" i="157"/>
  <c r="H36" i="157"/>
  <c r="H33" i="157"/>
  <c r="H204" i="157"/>
  <c r="H176" i="157"/>
  <c r="H153" i="157"/>
  <c r="H133" i="157"/>
  <c r="H107" i="157"/>
  <c r="H66" i="157"/>
  <c r="H43" i="157"/>
  <c r="H35" i="157"/>
  <c r="H32" i="157"/>
  <c r="H27" i="157"/>
  <c r="H208" i="157"/>
  <c r="H193" i="157"/>
  <c r="H161" i="157"/>
  <c r="H130" i="157"/>
  <c r="H111" i="157"/>
  <c r="H92" i="157"/>
  <c r="H84" i="157"/>
  <c r="H78" i="157"/>
  <c r="H73" i="157"/>
  <c r="H38" i="157"/>
  <c r="H123" i="157"/>
  <c r="H48" i="157"/>
  <c r="H46" i="157"/>
  <c r="H41" i="157"/>
  <c r="H30" i="157"/>
  <c r="H25" i="157"/>
  <c r="H181" i="157"/>
  <c r="H49" i="157"/>
  <c r="H31" i="157"/>
  <c r="M208" i="157"/>
  <c r="H197" i="157"/>
  <c r="H114" i="157"/>
  <c r="H79" i="157"/>
  <c r="H39" i="157"/>
  <c r="H28" i="157"/>
  <c r="H77" i="157"/>
  <c r="H65" i="157"/>
  <c r="H58" i="157"/>
  <c r="H88" i="157"/>
  <c r="H166" i="157"/>
  <c r="H74" i="157"/>
  <c r="H34" i="157"/>
  <c r="H70" i="157"/>
  <c r="H54" i="157"/>
  <c r="H45" i="157"/>
  <c r="H169" i="157"/>
  <c r="H157" i="157"/>
  <c r="H85" i="157"/>
  <c r="H40" i="157"/>
  <c r="H29" i="157"/>
  <c r="K12" i="157"/>
  <c r="H124" i="157"/>
  <c r="H69" i="157"/>
  <c r="H53" i="157"/>
  <c r="H50" i="157"/>
  <c r="H42" i="157"/>
  <c r="H37" i="157"/>
  <c r="H127" i="157"/>
  <c r="H44" i="157"/>
  <c r="H26" i="157"/>
  <c r="G215" i="157"/>
  <c r="H206" i="156"/>
  <c r="H205" i="156"/>
  <c r="H201" i="156"/>
  <c r="H194" i="156"/>
  <c r="M208" i="156"/>
  <c r="H203" i="156"/>
  <c r="H187" i="156"/>
  <c r="H184" i="156"/>
  <c r="H171" i="156"/>
  <c r="H168" i="156"/>
  <c r="H155" i="156"/>
  <c r="H151" i="156"/>
  <c r="H136" i="156"/>
  <c r="H132" i="156"/>
  <c r="H117" i="156"/>
  <c r="H114" i="156"/>
  <c r="H101" i="156"/>
  <c r="H98" i="156"/>
  <c r="H91" i="156"/>
  <c r="H88" i="156"/>
  <c r="H66" i="156"/>
  <c r="H50" i="156"/>
  <c r="H47" i="156"/>
  <c r="H43" i="156"/>
  <c r="H39" i="156"/>
  <c r="H35" i="156"/>
  <c r="H197" i="156"/>
  <c r="H160" i="156"/>
  <c r="H148" i="156"/>
  <c r="H142" i="156"/>
  <c r="H129" i="156"/>
  <c r="H123" i="156"/>
  <c r="H106" i="156"/>
  <c r="H92" i="156"/>
  <c r="H89" i="156"/>
  <c r="H84" i="156"/>
  <c r="H79" i="156"/>
  <c r="H68" i="156"/>
  <c r="H190" i="156"/>
  <c r="H179" i="156"/>
  <c r="H174" i="156"/>
  <c r="H76" i="156"/>
  <c r="H71" i="156"/>
  <c r="H60" i="156"/>
  <c r="H55" i="156"/>
  <c r="H44" i="156"/>
  <c r="H41" i="156"/>
  <c r="H38" i="156"/>
  <c r="H208" i="156"/>
  <c r="H182" i="156"/>
  <c r="H166" i="156"/>
  <c r="H161" i="156"/>
  <c r="H158" i="156"/>
  <c r="H146" i="156"/>
  <c r="H140" i="156"/>
  <c r="H126" i="156"/>
  <c r="H109" i="156"/>
  <c r="H93" i="156"/>
  <c r="H90" i="156"/>
  <c r="H87" i="156"/>
  <c r="H82" i="156"/>
  <c r="H32" i="156"/>
  <c r="H28" i="156"/>
  <c r="H200" i="156"/>
  <c r="H186" i="156"/>
  <c r="H183" i="156"/>
  <c r="H178" i="156"/>
  <c r="H170" i="156"/>
  <c r="H167" i="156"/>
  <c r="H159" i="156"/>
  <c r="H147" i="156"/>
  <c r="H141" i="156"/>
  <c r="H127" i="156"/>
  <c r="H110" i="156"/>
  <c r="H105" i="156"/>
  <c r="H72" i="156"/>
  <c r="H67" i="156"/>
  <c r="H64" i="156"/>
  <c r="H56" i="156"/>
  <c r="H51" i="156"/>
  <c r="H48" i="156"/>
  <c r="K12" i="156"/>
  <c r="H196" i="156"/>
  <c r="H185" i="156"/>
  <c r="H176" i="156"/>
  <c r="H135" i="156"/>
  <c r="H125" i="156"/>
  <c r="H108" i="156"/>
  <c r="H83" i="156"/>
  <c r="H57" i="156"/>
  <c r="H189" i="156"/>
  <c r="H165" i="156"/>
  <c r="H150" i="156"/>
  <c r="H115" i="156"/>
  <c r="H77" i="156"/>
  <c r="H74" i="156"/>
  <c r="H65" i="156"/>
  <c r="H59" i="156"/>
  <c r="H42" i="156"/>
  <c r="H26" i="156"/>
  <c r="H193" i="156"/>
  <c r="H169" i="156"/>
  <c r="H156" i="156"/>
  <c r="H131" i="156"/>
  <c r="H119" i="156"/>
  <c r="H100" i="156"/>
  <c r="H69" i="156"/>
  <c r="H61" i="156"/>
  <c r="H46" i="156"/>
  <c r="H37" i="156"/>
  <c r="H33" i="156"/>
  <c r="H188" i="156"/>
  <c r="H175" i="156"/>
  <c r="H157" i="156"/>
  <c r="H133" i="156"/>
  <c r="H130" i="156"/>
  <c r="H124" i="156"/>
  <c r="H107" i="156"/>
  <c r="H78" i="156"/>
  <c r="H73" i="156"/>
  <c r="H34" i="156"/>
  <c r="H27" i="156"/>
  <c r="H192" i="156"/>
  <c r="H164" i="156"/>
  <c r="H138" i="156"/>
  <c r="H75" i="156"/>
  <c r="H53" i="156"/>
  <c r="H49" i="156"/>
  <c r="H195" i="156"/>
  <c r="H180" i="156"/>
  <c r="H143" i="156"/>
  <c r="H31" i="156"/>
  <c r="H173" i="156"/>
  <c r="H102" i="156"/>
  <c r="H58" i="156"/>
  <c r="H30" i="156"/>
  <c r="H191" i="156"/>
  <c r="H153" i="156"/>
  <c r="H118" i="156"/>
  <c r="H96" i="156"/>
  <c r="H86" i="156"/>
  <c r="H70" i="156"/>
  <c r="H52" i="156"/>
  <c r="H137" i="156"/>
  <c r="H99" i="156"/>
  <c r="H202" i="156"/>
  <c r="H181" i="156"/>
  <c r="H149" i="156"/>
  <c r="H145" i="156"/>
  <c r="H111" i="156"/>
  <c r="H45" i="156"/>
  <c r="H36" i="156"/>
  <c r="H54" i="156"/>
  <c r="H25" i="156"/>
  <c r="H116" i="156"/>
  <c r="H85" i="156"/>
  <c r="H204" i="156"/>
  <c r="H177" i="156"/>
  <c r="H172" i="156"/>
  <c r="H152" i="156"/>
  <c r="H97" i="156"/>
  <c r="H40" i="156"/>
  <c r="H29" i="156"/>
  <c r="G215" i="156"/>
  <c r="H203" i="155"/>
  <c r="H197" i="155"/>
  <c r="H196" i="155"/>
  <c r="H192" i="155"/>
  <c r="H188" i="155"/>
  <c r="H184" i="155"/>
  <c r="H180" i="155"/>
  <c r="H176" i="155"/>
  <c r="H172" i="155"/>
  <c r="H168" i="155"/>
  <c r="H164" i="155"/>
  <c r="H161" i="155"/>
  <c r="H160" i="155"/>
  <c r="H156" i="155"/>
  <c r="H151" i="155"/>
  <c r="H147" i="155"/>
  <c r="H142" i="155"/>
  <c r="H137" i="155"/>
  <c r="H132" i="155"/>
  <c r="H127" i="155"/>
  <c r="H123" i="155"/>
  <c r="H119" i="155"/>
  <c r="H118" i="155"/>
  <c r="H114" i="155"/>
  <c r="H111" i="155"/>
  <c r="H110" i="155"/>
  <c r="H106" i="155"/>
  <c r="H98" i="155"/>
  <c r="H90" i="155"/>
  <c r="H86" i="155"/>
  <c r="H208" i="155"/>
  <c r="H173" i="155"/>
  <c r="H170" i="155"/>
  <c r="H167" i="155"/>
  <c r="H158" i="155"/>
  <c r="H155" i="155"/>
  <c r="H206" i="155"/>
  <c r="H205" i="155"/>
  <c r="H202" i="155"/>
  <c r="H185" i="155"/>
  <c r="H182" i="155"/>
  <c r="H179" i="155"/>
  <c r="H194" i="155"/>
  <c r="H191" i="155"/>
  <c r="H165" i="155"/>
  <c r="H152" i="155"/>
  <c r="H149" i="155"/>
  <c r="H146" i="155"/>
  <c r="M208" i="155"/>
  <c r="H195" i="155"/>
  <c r="H169" i="155"/>
  <c r="H166" i="155"/>
  <c r="H157" i="155"/>
  <c r="H153" i="155"/>
  <c r="H150" i="155"/>
  <c r="H100" i="155"/>
  <c r="H97" i="155"/>
  <c r="K12" i="155"/>
  <c r="H204" i="155"/>
  <c r="H201" i="155"/>
  <c r="H181" i="155"/>
  <c r="H178" i="155"/>
  <c r="H175" i="155"/>
  <c r="H133" i="155"/>
  <c r="H130" i="155"/>
  <c r="H126" i="155"/>
  <c r="H116" i="155"/>
  <c r="H107" i="155"/>
  <c r="H91" i="155"/>
  <c r="H88" i="155"/>
  <c r="H85" i="155"/>
  <c r="H79" i="155"/>
  <c r="H78" i="155"/>
  <c r="H131" i="155"/>
  <c r="H117" i="155"/>
  <c r="H115" i="155"/>
  <c r="H108" i="155"/>
  <c r="H101" i="155"/>
  <c r="H200" i="155"/>
  <c r="H193" i="155"/>
  <c r="H190" i="155"/>
  <c r="H187" i="155"/>
  <c r="H183" i="155"/>
  <c r="H159" i="155"/>
  <c r="H124" i="155"/>
  <c r="H93" i="155"/>
  <c r="H67" i="155"/>
  <c r="H64" i="155"/>
  <c r="H61" i="155"/>
  <c r="H57" i="155"/>
  <c r="H54" i="155"/>
  <c r="H41" i="155"/>
  <c r="H38" i="155"/>
  <c r="H25" i="155"/>
  <c r="H186" i="155"/>
  <c r="H140" i="155"/>
  <c r="H136" i="155"/>
  <c r="H109" i="155"/>
  <c r="H89" i="155"/>
  <c r="H69" i="155"/>
  <c r="H58" i="155"/>
  <c r="H55" i="155"/>
  <c r="H47" i="155"/>
  <c r="H42" i="155"/>
  <c r="H39" i="155"/>
  <c r="H31" i="155"/>
  <c r="H26" i="155"/>
  <c r="H50" i="155"/>
  <c r="H45" i="155"/>
  <c r="H34" i="155"/>
  <c r="H29" i="155"/>
  <c r="H141" i="155"/>
  <c r="H84" i="155"/>
  <c r="H70" i="155"/>
  <c r="H171" i="155"/>
  <c r="H96" i="155"/>
  <c r="H72" i="155"/>
  <c r="H77" i="155"/>
  <c r="H59" i="155"/>
  <c r="H43" i="155"/>
  <c r="H27" i="155"/>
  <c r="H174" i="155"/>
  <c r="H102" i="155"/>
  <c r="H56" i="155"/>
  <c r="H53" i="155"/>
  <c r="H48" i="155"/>
  <c r="H40" i="155"/>
  <c r="H37" i="155"/>
  <c r="H32" i="155"/>
  <c r="H177" i="155"/>
  <c r="H75" i="155"/>
  <c r="H148" i="155"/>
  <c r="H135" i="155"/>
  <c r="H99" i="155"/>
  <c r="H92" i="155"/>
  <c r="H73" i="155"/>
  <c r="H189" i="155"/>
  <c r="H138" i="155"/>
  <c r="H105" i="155"/>
  <c r="H71" i="155"/>
  <c r="H66" i="155"/>
  <c r="H60" i="155"/>
  <c r="H49" i="155"/>
  <c r="H44" i="155"/>
  <c r="H33" i="155"/>
  <c r="H28" i="155"/>
  <c r="H143" i="155"/>
  <c r="H129" i="155"/>
  <c r="H125" i="155"/>
  <c r="H87" i="155"/>
  <c r="H83" i="155"/>
  <c r="H76" i="155"/>
  <c r="H74" i="155"/>
  <c r="H52" i="155"/>
  <c r="H36" i="155"/>
  <c r="H82" i="155"/>
  <c r="H51" i="155"/>
  <c r="H30" i="155"/>
  <c r="H68" i="155"/>
  <c r="H35" i="155"/>
  <c r="H46" i="155"/>
  <c r="H145" i="155"/>
  <c r="H65" i="155"/>
  <c r="G215" i="155"/>
  <c r="J208" i="152" l="1"/>
  <c r="K208" i="152"/>
  <c r="E233" i="152"/>
  <c r="G233" i="152" s="1"/>
  <c r="E232" i="152"/>
  <c r="E231" i="152"/>
  <c r="F228" i="152"/>
  <c r="E227" i="152"/>
  <c r="G227" i="152" s="1"/>
  <c r="E226" i="152"/>
  <c r="G226" i="152" s="1"/>
  <c r="E225" i="152"/>
  <c r="E224" i="152"/>
  <c r="G224" i="152" s="1"/>
  <c r="E223" i="152"/>
  <c r="E222" i="152"/>
  <c r="E221" i="152"/>
  <c r="G221" i="152" s="1"/>
  <c r="E220" i="152"/>
  <c r="G203" i="152"/>
  <c r="G195" i="152"/>
  <c r="G194" i="152"/>
  <c r="G191" i="152"/>
  <c r="G187" i="152"/>
  <c r="G186" i="152"/>
  <c r="G179" i="152"/>
  <c r="G178" i="152"/>
  <c r="G173" i="152"/>
  <c r="G172" i="152"/>
  <c r="G166" i="152"/>
  <c r="G158" i="152"/>
  <c r="G152" i="152"/>
  <c r="G143" i="152"/>
  <c r="G142" i="152"/>
  <c r="G133" i="152"/>
  <c r="G132" i="152"/>
  <c r="G129" i="152"/>
  <c r="G127" i="152"/>
  <c r="G126" i="152"/>
  <c r="G125" i="152"/>
  <c r="G124" i="152"/>
  <c r="G110" i="152"/>
  <c r="G99" i="152"/>
  <c r="G98" i="152"/>
  <c r="G91" i="152"/>
  <c r="G87" i="152"/>
  <c r="G84" i="152"/>
  <c r="G83" i="152"/>
  <c r="G78" i="152"/>
  <c r="G74" i="152"/>
  <c r="G71" i="152"/>
  <c r="G70" i="152"/>
  <c r="G60" i="152"/>
  <c r="G59" i="152"/>
  <c r="G56" i="152"/>
  <c r="G55" i="152"/>
  <c r="G52" i="152"/>
  <c r="G51" i="152"/>
  <c r="G50" i="152"/>
  <c r="G43" i="152"/>
  <c r="G42" i="152"/>
  <c r="G35" i="152"/>
  <c r="G30" i="152"/>
  <c r="E20" i="152"/>
  <c r="E18" i="152"/>
  <c r="E16" i="152"/>
  <c r="G16" i="152" s="1"/>
  <c r="E15" i="152"/>
  <c r="E14" i="152"/>
  <c r="E13" i="152"/>
  <c r="E12" i="152"/>
  <c r="G12" i="152" s="1"/>
  <c r="E11" i="152"/>
  <c r="A1" i="152"/>
  <c r="K17" i="152" l="1"/>
  <c r="F215" i="152"/>
  <c r="K18" i="152"/>
  <c r="G164" i="152"/>
  <c r="G180" i="152"/>
  <c r="G188" i="152"/>
  <c r="G90" i="152"/>
  <c r="G92" i="152"/>
  <c r="G156" i="152"/>
  <c r="G225" i="152"/>
  <c r="G137" i="152"/>
  <c r="G147" i="152"/>
  <c r="G174" i="152"/>
  <c r="G181" i="152"/>
  <c r="G31" i="152"/>
  <c r="G39" i="152"/>
  <c r="G54" i="152"/>
  <c r="G65" i="152"/>
  <c r="G75" i="152"/>
  <c r="G86" i="152"/>
  <c r="G20" i="152"/>
  <c r="G40" i="152"/>
  <c r="G47" i="152"/>
  <c r="G66" i="152"/>
  <c r="G13" i="152"/>
  <c r="G32" i="152"/>
  <c r="G189" i="152"/>
  <c r="G115" i="152"/>
  <c r="G138" i="152"/>
  <c r="G148" i="152"/>
  <c r="G167" i="152"/>
  <c r="G175" i="152"/>
  <c r="G182" i="152"/>
  <c r="G190" i="152"/>
  <c r="G165" i="152"/>
  <c r="G157" i="152"/>
  <c r="G196" i="152"/>
  <c r="G73" i="152"/>
  <c r="G106" i="152"/>
  <c r="G116" i="152"/>
  <c r="G140" i="152"/>
  <c r="G149" i="152"/>
  <c r="G14" i="152"/>
  <c r="G38" i="152"/>
  <c r="G46" i="152"/>
  <c r="G85" i="152"/>
  <c r="G107" i="152"/>
  <c r="G117" i="152"/>
  <c r="G130" i="152"/>
  <c r="G26" i="152"/>
  <c r="G41" i="152"/>
  <c r="G76" i="152"/>
  <c r="G108" i="152"/>
  <c r="G141" i="152"/>
  <c r="G159" i="152"/>
  <c r="G168" i="152"/>
  <c r="G176" i="152"/>
  <c r="G184" i="152"/>
  <c r="G201" i="152"/>
  <c r="G33" i="152"/>
  <c r="G48" i="152"/>
  <c r="G15" i="152"/>
  <c r="G27" i="152"/>
  <c r="G49" i="152"/>
  <c r="G57" i="152"/>
  <c r="G69" i="152"/>
  <c r="G89" i="152"/>
  <c r="G97" i="152"/>
  <c r="G109" i="152"/>
  <c r="G131" i="152"/>
  <c r="G150" i="152"/>
  <c r="G160" i="152"/>
  <c r="G169" i="152"/>
  <c r="G177" i="152"/>
  <c r="G185" i="152"/>
  <c r="G192" i="152"/>
  <c r="G220" i="152"/>
  <c r="M16" i="152"/>
  <c r="G28" i="152"/>
  <c r="G36" i="152"/>
  <c r="G58" i="152"/>
  <c r="G151" i="152"/>
  <c r="G170" i="152"/>
  <c r="G193" i="152"/>
  <c r="G204" i="152"/>
  <c r="G29" i="152"/>
  <c r="G44" i="152"/>
  <c r="G145" i="152"/>
  <c r="G171" i="152"/>
  <c r="G205" i="152"/>
  <c r="G222" i="152"/>
  <c r="G18" i="152"/>
  <c r="G37" i="152"/>
  <c r="G45" i="152"/>
  <c r="G72" i="152"/>
  <c r="G100" i="152"/>
  <c r="G136" i="152"/>
  <c r="G146" i="152"/>
  <c r="G155" i="152"/>
  <c r="G223" i="152"/>
  <c r="G232" i="152"/>
  <c r="G114" i="152"/>
  <c r="G123" i="152"/>
  <c r="G11" i="152"/>
  <c r="E17" i="152"/>
  <c r="E19" i="152"/>
  <c r="E228" i="152"/>
  <c r="G219" i="152"/>
  <c r="E235" i="152"/>
  <c r="G231" i="152"/>
  <c r="E21" i="152" l="1"/>
  <c r="G153" i="152"/>
  <c r="M18" i="152"/>
  <c r="E237" i="152"/>
  <c r="G67" i="152"/>
  <c r="G53" i="152"/>
  <c r="M12" i="152"/>
  <c r="M14" i="152"/>
  <c r="G19" i="152"/>
  <c r="G118" i="152"/>
  <c r="G202" i="152"/>
  <c r="M15" i="152"/>
  <c r="G183" i="152"/>
  <c r="G77" i="152"/>
  <c r="G101" i="152"/>
  <c r="G88" i="152"/>
  <c r="G135" i="152"/>
  <c r="G68" i="152"/>
  <c r="G34" i="152"/>
  <c r="M13" i="152"/>
  <c r="G17" i="152"/>
  <c r="G82" i="152"/>
  <c r="G228" i="152"/>
  <c r="M11" i="152"/>
  <c r="G105" i="152"/>
  <c r="G64" i="152"/>
  <c r="E236" i="152"/>
  <c r="G96" i="152"/>
  <c r="G25" i="152"/>
  <c r="G200" i="152"/>
  <c r="G235" i="152"/>
  <c r="G237" i="152" s="1"/>
  <c r="K14" i="152"/>
  <c r="G21" i="152" l="1"/>
  <c r="E215" i="152"/>
  <c r="M77" i="152"/>
  <c r="M183" i="152"/>
  <c r="G197" i="152"/>
  <c r="M197" i="152" s="1"/>
  <c r="G161" i="152"/>
  <c r="M161" i="152" s="1"/>
  <c r="G119" i="152"/>
  <c r="M119" i="152" s="1"/>
  <c r="M67" i="152"/>
  <c r="M17" i="152"/>
  <c r="M53" i="152"/>
  <c r="E238" i="152"/>
  <c r="M19" i="152"/>
  <c r="K15" i="152"/>
  <c r="H227" i="152"/>
  <c r="H225" i="152"/>
  <c r="H223" i="152"/>
  <c r="H221" i="152"/>
  <c r="H219" i="152"/>
  <c r="H222" i="152"/>
  <c r="H228" i="152"/>
  <c r="H224" i="152"/>
  <c r="H226" i="152"/>
  <c r="M132" i="152"/>
  <c r="M117" i="152"/>
  <c r="M100" i="152"/>
  <c r="K13" i="152"/>
  <c r="H220" i="152"/>
  <c r="M201" i="152"/>
  <c r="M151" i="152"/>
  <c r="M86" i="152"/>
  <c r="M124" i="152"/>
  <c r="M84" i="152"/>
  <c r="M166" i="152"/>
  <c r="M159" i="152"/>
  <c r="M142" i="152"/>
  <c r="M37" i="152"/>
  <c r="M28" i="152"/>
  <c r="M164" i="152"/>
  <c r="M43" i="152"/>
  <c r="M73" i="152"/>
  <c r="M140" i="152"/>
  <c r="M116" i="152"/>
  <c r="G236" i="152"/>
  <c r="M196" i="152"/>
  <c r="M172" i="152"/>
  <c r="M42" i="152"/>
  <c r="M66" i="152"/>
  <c r="M55" i="152"/>
  <c r="M65" i="152"/>
  <c r="M97" i="152"/>
  <c r="M179" i="152"/>
  <c r="M155" i="152"/>
  <c r="M83" i="152"/>
  <c r="M29" i="152"/>
  <c r="M203" i="152"/>
  <c r="M45" i="152"/>
  <c r="M204" i="152"/>
  <c r="M70" i="152"/>
  <c r="M48" i="152"/>
  <c r="M90" i="152"/>
  <c r="M194" i="152"/>
  <c r="M52" i="152"/>
  <c r="M57" i="152"/>
  <c r="M71" i="152"/>
  <c r="M72" i="152"/>
  <c r="M156" i="152"/>
  <c r="M188" i="152"/>
  <c r="M170" i="152"/>
  <c r="M89" i="152"/>
  <c r="M49" i="152"/>
  <c r="M58" i="152"/>
  <c r="M136" i="152"/>
  <c r="M35" i="152"/>
  <c r="M108" i="152"/>
  <c r="M98" i="152"/>
  <c r="M133" i="152"/>
  <c r="M181" i="152"/>
  <c r="M174" i="152"/>
  <c r="M33" i="152"/>
  <c r="M109" i="152"/>
  <c r="M107" i="152"/>
  <c r="M40" i="152"/>
  <c r="M59" i="152"/>
  <c r="M173" i="152"/>
  <c r="M126" i="152"/>
  <c r="M76" i="152"/>
  <c r="M146" i="152"/>
  <c r="M150" i="152"/>
  <c r="M115" i="152"/>
  <c r="M143" i="152"/>
  <c r="M56" i="152"/>
  <c r="M27" i="152"/>
  <c r="M60" i="152"/>
  <c r="M171" i="152"/>
  <c r="M127" i="152"/>
  <c r="M158" i="152"/>
  <c r="M92" i="152"/>
  <c r="M178" i="152"/>
  <c r="M30" i="152"/>
  <c r="M137" i="152"/>
  <c r="M145" i="152"/>
  <c r="M190" i="152"/>
  <c r="M41" i="152"/>
  <c r="M186" i="152"/>
  <c r="M47" i="152"/>
  <c r="M91" i="152"/>
  <c r="M99" i="152"/>
  <c r="M75" i="152"/>
  <c r="M152" i="152"/>
  <c r="M54" i="152"/>
  <c r="M69" i="152"/>
  <c r="M26" i="152"/>
  <c r="M149" i="152"/>
  <c r="M138" i="152"/>
  <c r="M131" i="152"/>
  <c r="M85" i="152"/>
  <c r="M44" i="152"/>
  <c r="M129" i="152"/>
  <c r="M168" i="152"/>
  <c r="M184" i="152"/>
  <c r="M32" i="152"/>
  <c r="M185" i="152"/>
  <c r="M74" i="152"/>
  <c r="M182" i="152"/>
  <c r="M106" i="152"/>
  <c r="M36" i="152"/>
  <c r="M31" i="152"/>
  <c r="M195" i="152"/>
  <c r="M169" i="152"/>
  <c r="M157" i="152"/>
  <c r="M125" i="152"/>
  <c r="M148" i="152"/>
  <c r="M177" i="152"/>
  <c r="M160" i="152"/>
  <c r="M187" i="152"/>
  <c r="M39" i="152"/>
  <c r="M165" i="152"/>
  <c r="M205" i="152"/>
  <c r="M50" i="152"/>
  <c r="M51" i="152"/>
  <c r="M38" i="152"/>
  <c r="M46" i="152"/>
  <c r="M176" i="152"/>
  <c r="M141" i="152"/>
  <c r="M78" i="152"/>
  <c r="M189" i="152"/>
  <c r="M180" i="152"/>
  <c r="M193" i="152"/>
  <c r="M191" i="152"/>
  <c r="M192" i="152"/>
  <c r="M167" i="152"/>
  <c r="M87" i="152"/>
  <c r="M130" i="152"/>
  <c r="M147" i="152"/>
  <c r="M175" i="152"/>
  <c r="M110" i="152"/>
  <c r="M82" i="152"/>
  <c r="G93" i="152"/>
  <c r="M93" i="152" s="1"/>
  <c r="M202" i="152"/>
  <c r="M114" i="152"/>
  <c r="G79" i="152"/>
  <c r="M79" i="152" s="1"/>
  <c r="M64" i="152"/>
  <c r="M101" i="152"/>
  <c r="M200" i="152"/>
  <c r="G206" i="152"/>
  <c r="M206" i="152" s="1"/>
  <c r="M153" i="152"/>
  <c r="G111" i="152"/>
  <c r="M111" i="152" s="1"/>
  <c r="M105" i="152"/>
  <c r="M118" i="152"/>
  <c r="M68" i="152"/>
  <c r="M25" i="152"/>
  <c r="G61" i="152"/>
  <c r="M61" i="152" s="1"/>
  <c r="M34" i="152"/>
  <c r="G102" i="152"/>
  <c r="M102" i="152" s="1"/>
  <c r="M96" i="152"/>
  <c r="M88" i="152"/>
  <c r="M123" i="152"/>
  <c r="M21" i="152"/>
  <c r="K11" i="152"/>
  <c r="H21" i="152"/>
  <c r="H16" i="152"/>
  <c r="H15" i="152"/>
  <c r="H13" i="152"/>
  <c r="H11" i="152"/>
  <c r="H14" i="152"/>
  <c r="H12" i="152"/>
  <c r="H17" i="152"/>
  <c r="H18" i="152"/>
  <c r="H19" i="152"/>
  <c r="H20" i="152"/>
  <c r="M135" i="152"/>
  <c r="G238" i="152" l="1"/>
  <c r="G208" i="152"/>
  <c r="H201" i="152" l="1"/>
  <c r="H190" i="152"/>
  <c r="H182" i="152"/>
  <c r="H174" i="152"/>
  <c r="H166" i="152"/>
  <c r="H152" i="152"/>
  <c r="H143" i="152"/>
  <c r="H133" i="152"/>
  <c r="H124" i="152"/>
  <c r="H119" i="152"/>
  <c r="H118" i="152"/>
  <c r="H105" i="152"/>
  <c r="H100" i="152"/>
  <c r="H87" i="152"/>
  <c r="H76" i="152"/>
  <c r="H68" i="152"/>
  <c r="H202" i="152"/>
  <c r="H191" i="152"/>
  <c r="H183" i="152"/>
  <c r="H175" i="152"/>
  <c r="H167" i="152"/>
  <c r="H153" i="152"/>
  <c r="H145" i="152"/>
  <c r="H135" i="152"/>
  <c r="H125" i="152"/>
  <c r="H106" i="152"/>
  <c r="H102" i="152"/>
  <c r="H101" i="152"/>
  <c r="H88" i="152"/>
  <c r="H77" i="152"/>
  <c r="H69" i="152"/>
  <c r="H208" i="152"/>
  <c r="H203" i="152"/>
  <c r="H192" i="152"/>
  <c r="H184" i="152"/>
  <c r="H176" i="152"/>
  <c r="H168" i="152"/>
  <c r="H155" i="152"/>
  <c r="H146" i="152"/>
  <c r="H136" i="152"/>
  <c r="H126" i="152"/>
  <c r="H107" i="152"/>
  <c r="H89" i="152"/>
  <c r="H204" i="152"/>
  <c r="H193" i="152"/>
  <c r="H185" i="152"/>
  <c r="H177" i="152"/>
  <c r="H169" i="152"/>
  <c r="H156" i="152"/>
  <c r="H147" i="152"/>
  <c r="H137" i="152"/>
  <c r="H127" i="152"/>
  <c r="H108" i="152"/>
  <c r="H90" i="152"/>
  <c r="H82" i="152"/>
  <c r="H194" i="152"/>
  <c r="H178" i="152"/>
  <c r="H149" i="152"/>
  <c r="H130" i="152"/>
  <c r="H109" i="152"/>
  <c r="H98" i="152"/>
  <c r="H93" i="152"/>
  <c r="H84" i="152"/>
  <c r="H67" i="152"/>
  <c r="H55" i="152"/>
  <c r="H47" i="152"/>
  <c r="H39" i="152"/>
  <c r="H31" i="152"/>
  <c r="H197" i="152"/>
  <c r="H205" i="152"/>
  <c r="H200" i="152"/>
  <c r="H196" i="152"/>
  <c r="H170" i="152"/>
  <c r="H164" i="152"/>
  <c r="H159" i="152"/>
  <c r="H140" i="152"/>
  <c r="H110" i="152"/>
  <c r="H78" i="152"/>
  <c r="H53" i="152"/>
  <c r="H48" i="152"/>
  <c r="H43" i="152"/>
  <c r="H38" i="152"/>
  <c r="H33" i="152"/>
  <c r="K12" i="152"/>
  <c r="M208" i="152"/>
  <c r="H181" i="152"/>
  <c r="H157" i="152"/>
  <c r="H132" i="152"/>
  <c r="H117" i="152"/>
  <c r="H91" i="152"/>
  <c r="H70" i="152"/>
  <c r="H58" i="152"/>
  <c r="H44" i="152"/>
  <c r="H29" i="152"/>
  <c r="H150" i="152"/>
  <c r="H115" i="152"/>
  <c r="H85" i="152"/>
  <c r="H74" i="152"/>
  <c r="H59" i="152"/>
  <c r="H54" i="152"/>
  <c r="H49" i="152"/>
  <c r="H34" i="152"/>
  <c r="H189" i="152"/>
  <c r="H187" i="152"/>
  <c r="H179" i="152"/>
  <c r="H173" i="152"/>
  <c r="H165" i="152"/>
  <c r="H160" i="152"/>
  <c r="H148" i="152"/>
  <c r="H123" i="152"/>
  <c r="H96" i="152"/>
  <c r="H83" i="152"/>
  <c r="H64" i="152"/>
  <c r="H60" i="152"/>
  <c r="H45" i="152"/>
  <c r="H40" i="152"/>
  <c r="H35" i="152"/>
  <c r="H30" i="152"/>
  <c r="H25" i="152"/>
  <c r="H171" i="152"/>
  <c r="H158" i="152"/>
  <c r="H141" i="152"/>
  <c r="H92" i="152"/>
  <c r="H79" i="152"/>
  <c r="H71" i="152"/>
  <c r="H65" i="152"/>
  <c r="H61" i="152"/>
  <c r="H50" i="152"/>
  <c r="H36" i="152"/>
  <c r="H206" i="152"/>
  <c r="H195" i="152"/>
  <c r="H172" i="152"/>
  <c r="H72" i="152"/>
  <c r="H41" i="152"/>
  <c r="H32" i="152"/>
  <c r="H26" i="152"/>
  <c r="H28" i="152"/>
  <c r="H97" i="152"/>
  <c r="H52" i="152"/>
  <c r="H142" i="152"/>
  <c r="H51" i="152"/>
  <c r="H111" i="152"/>
  <c r="H37" i="152"/>
  <c r="H180" i="152"/>
  <c r="H151" i="152"/>
  <c r="H138" i="152"/>
  <c r="H99" i="152"/>
  <c r="H86" i="152"/>
  <c r="H73" i="152"/>
  <c r="H161" i="152"/>
  <c r="H129" i="152"/>
  <c r="H114" i="152"/>
  <c r="H75" i="152"/>
  <c r="H57" i="152"/>
  <c r="H27" i="152"/>
  <c r="H186" i="152"/>
  <c r="H131" i="152"/>
  <c r="H66" i="152"/>
  <c r="H46" i="152"/>
  <c r="H42" i="152"/>
  <c r="H188" i="152"/>
  <c r="H116" i="152"/>
  <c r="H56" i="152"/>
  <c r="G215" i="152"/>
  <c r="E233" i="150" l="1"/>
  <c r="E227" i="150"/>
  <c r="G227" i="150" s="1"/>
  <c r="E225" i="150"/>
  <c r="E224" i="150"/>
  <c r="E232" i="150"/>
  <c r="G232" i="150" s="1"/>
  <c r="F228" i="150"/>
  <c r="E222" i="150"/>
  <c r="G222" i="150" s="1"/>
  <c r="K208" i="150"/>
  <c r="J208" i="150"/>
  <c r="G87" i="150"/>
  <c r="F21" i="150"/>
  <c r="A1" i="150"/>
  <c r="K17" i="150" l="1"/>
  <c r="K18" i="150"/>
  <c r="F215" i="150"/>
  <c r="G49" i="150"/>
  <c r="E13" i="150"/>
  <c r="E17" i="150"/>
  <c r="G17" i="150" s="1"/>
  <c r="E18" i="150"/>
  <c r="G99" i="150"/>
  <c r="G135" i="150"/>
  <c r="G149" i="150"/>
  <c r="E11" i="150"/>
  <c r="E15" i="150"/>
  <c r="G15" i="150" s="1"/>
  <c r="E19" i="150"/>
  <c r="G19" i="150" s="1"/>
  <c r="G31" i="150"/>
  <c r="G47" i="150"/>
  <c r="G55" i="150"/>
  <c r="G70" i="150"/>
  <c r="G74" i="150"/>
  <c r="G114" i="150"/>
  <c r="G118" i="150"/>
  <c r="G96" i="150"/>
  <c r="G33" i="150"/>
  <c r="G37" i="150"/>
  <c r="G172" i="150"/>
  <c r="E221" i="150"/>
  <c r="G221" i="150" s="1"/>
  <c r="G142" i="150"/>
  <c r="G56" i="150"/>
  <c r="G123" i="150"/>
  <c r="G137" i="150"/>
  <c r="G32" i="150"/>
  <c r="G97" i="150"/>
  <c r="G202" i="150"/>
  <c r="G156" i="150"/>
  <c r="G187" i="150"/>
  <c r="G188" i="150"/>
  <c r="E220" i="150"/>
  <c r="G220" i="150" s="1"/>
  <c r="G184" i="150"/>
  <c r="G67" i="150"/>
  <c r="G138" i="150"/>
  <c r="G203" i="150"/>
  <c r="G66" i="150"/>
  <c r="E12" i="150"/>
  <c r="G12" i="150" s="1"/>
  <c r="E20" i="150"/>
  <c r="G20" i="150" s="1"/>
  <c r="G28" i="150"/>
  <c r="G108" i="150"/>
  <c r="G151" i="150"/>
  <c r="G160" i="150"/>
  <c r="G183" i="150"/>
  <c r="G185" i="150"/>
  <c r="G71" i="150"/>
  <c r="G127" i="150"/>
  <c r="G153" i="150"/>
  <c r="G52" i="150"/>
  <c r="G39" i="150"/>
  <c r="G225" i="150"/>
  <c r="G117" i="150"/>
  <c r="G125" i="150"/>
  <c r="G59" i="150"/>
  <c r="G73" i="150"/>
  <c r="G159" i="150"/>
  <c r="G181" i="150"/>
  <c r="G170" i="150"/>
  <c r="G89" i="150"/>
  <c r="G130" i="150"/>
  <c r="G191" i="150"/>
  <c r="G205" i="150"/>
  <c r="G34" i="150"/>
  <c r="G84" i="150"/>
  <c r="G75" i="150"/>
  <c r="G173" i="150"/>
  <c r="G51" i="150"/>
  <c r="G166" i="150"/>
  <c r="G26" i="150"/>
  <c r="G42" i="150"/>
  <c r="G224" i="150"/>
  <c r="E231" i="150"/>
  <c r="E223" i="150"/>
  <c r="G140" i="150"/>
  <c r="G157" i="150"/>
  <c r="G115" i="150"/>
  <c r="G64" i="150"/>
  <c r="G53" i="150"/>
  <c r="G45" i="150"/>
  <c r="G83" i="150"/>
  <c r="G148" i="150"/>
  <c r="E14" i="150"/>
  <c r="G192" i="150"/>
  <c r="G29" i="150"/>
  <c r="G98" i="150"/>
  <c r="G167" i="150"/>
  <c r="G176" i="150"/>
  <c r="G133" i="150"/>
  <c r="E16" i="150"/>
  <c r="G91" i="150"/>
  <c r="G233" i="150"/>
  <c r="E226" i="150"/>
  <c r="G13" i="150" l="1"/>
  <c r="M13" i="150" s="1"/>
  <c r="G50" i="150"/>
  <c r="M17" i="150"/>
  <c r="G18" i="150"/>
  <c r="G78" i="150"/>
  <c r="G11" i="150"/>
  <c r="G129" i="150"/>
  <c r="G146" i="150"/>
  <c r="G92" i="150"/>
  <c r="M19" i="150"/>
  <c r="G116" i="150"/>
  <c r="G189" i="150"/>
  <c r="G65" i="150"/>
  <c r="G171" i="150"/>
  <c r="G43" i="150"/>
  <c r="G38" i="150"/>
  <c r="G168" i="150"/>
  <c r="G44" i="150"/>
  <c r="G219" i="150"/>
  <c r="G186" i="150"/>
  <c r="G40" i="150"/>
  <c r="G175" i="150"/>
  <c r="G179" i="150"/>
  <c r="G204" i="150"/>
  <c r="G58" i="150"/>
  <c r="G110" i="150"/>
  <c r="G158" i="150"/>
  <c r="G145" i="150"/>
  <c r="G174" i="150"/>
  <c r="E228" i="150"/>
  <c r="G77" i="150"/>
  <c r="E21" i="150"/>
  <c r="G105" i="150"/>
  <c r="G60" i="150"/>
  <c r="G200" i="150"/>
  <c r="E235" i="150"/>
  <c r="E237" i="150" s="1"/>
  <c r="G201" i="150"/>
  <c r="G101" i="150"/>
  <c r="G27" i="150"/>
  <c r="G155" i="150"/>
  <c r="G35" i="150"/>
  <c r="G195" i="150"/>
  <c r="G48" i="150"/>
  <c r="G231" i="150"/>
  <c r="G88" i="150"/>
  <c r="G36" i="150"/>
  <c r="G226" i="150"/>
  <c r="G223" i="150"/>
  <c r="G109" i="150"/>
  <c r="G196" i="150"/>
  <c r="G190" i="150"/>
  <c r="G68" i="150"/>
  <c r="G165" i="150"/>
  <c r="G124" i="150"/>
  <c r="G57" i="150"/>
  <c r="G86" i="150"/>
  <c r="M12" i="150"/>
  <c r="G136" i="150"/>
  <c r="G143" i="150"/>
  <c r="G126" i="150"/>
  <c r="G16" i="150"/>
  <c r="G177" i="150"/>
  <c r="G41" i="150"/>
  <c r="G106" i="150"/>
  <c r="G82" i="150"/>
  <c r="G14" i="150"/>
  <c r="G76" i="150"/>
  <c r="G85" i="150"/>
  <c r="G194" i="150"/>
  <c r="G72" i="150"/>
  <c r="G54" i="150"/>
  <c r="G182" i="150"/>
  <c r="G180" i="150"/>
  <c r="G90" i="150"/>
  <c r="G193" i="150"/>
  <c r="G150" i="150"/>
  <c r="G46" i="150"/>
  <c r="G147" i="150"/>
  <c r="G30" i="150"/>
  <c r="G141" i="150"/>
  <c r="G69" i="150"/>
  <c r="G107" i="150"/>
  <c r="G100" i="150"/>
  <c r="G169" i="150"/>
  <c r="G131" i="150"/>
  <c r="G132" i="150"/>
  <c r="G178" i="150"/>
  <c r="G152" i="150"/>
  <c r="G164" i="150"/>
  <c r="G25" i="150"/>
  <c r="E215" i="150" l="1"/>
  <c r="G119" i="150"/>
  <c r="M11" i="150"/>
  <c r="K14" i="150"/>
  <c r="G206" i="150"/>
  <c r="G228" i="150"/>
  <c r="E236" i="150"/>
  <c r="E238" i="150" s="1"/>
  <c r="G235" i="150"/>
  <c r="M15" i="150"/>
  <c r="M18" i="150"/>
  <c r="G79" i="150"/>
  <c r="M14" i="150"/>
  <c r="G161" i="150"/>
  <c r="M16" i="150"/>
  <c r="G111" i="150"/>
  <c r="G93" i="150"/>
  <c r="G21" i="150"/>
  <c r="G102" i="150"/>
  <c r="G61" i="150"/>
  <c r="G197" i="150"/>
  <c r="M169" i="150" l="1"/>
  <c r="M202" i="150"/>
  <c r="M30" i="150"/>
  <c r="M197" i="150"/>
  <c r="M179" i="150"/>
  <c r="M66" i="150"/>
  <c r="M178" i="150"/>
  <c r="M44" i="150"/>
  <c r="M158" i="150"/>
  <c r="M155" i="150"/>
  <c r="M172" i="150"/>
  <c r="M99" i="150"/>
  <c r="M68" i="150"/>
  <c r="M159" i="150"/>
  <c r="M124" i="150"/>
  <c r="M164" i="150"/>
  <c r="M111" i="150"/>
  <c r="M75" i="150"/>
  <c r="M37" i="150"/>
  <c r="M38" i="150"/>
  <c r="M100" i="150"/>
  <c r="M91" i="150"/>
  <c r="M151" i="150"/>
  <c r="M32" i="150"/>
  <c r="M102" i="150"/>
  <c r="M67" i="150"/>
  <c r="M40" i="150"/>
  <c r="M45" i="150"/>
  <c r="M92" i="150"/>
  <c r="M87" i="150"/>
  <c r="M39" i="150"/>
  <c r="M175" i="150"/>
  <c r="M27" i="150"/>
  <c r="M186" i="150"/>
  <c r="M194" i="150"/>
  <c r="M26" i="150"/>
  <c r="H219" i="150"/>
  <c r="M82" i="150"/>
  <c r="M130" i="150"/>
  <c r="H224" i="150"/>
  <c r="M129" i="150"/>
  <c r="M78" i="150"/>
  <c r="M187" i="150"/>
  <c r="M107" i="150"/>
  <c r="M97" i="150"/>
  <c r="M201" i="150"/>
  <c r="H228" i="150"/>
  <c r="M141" i="150"/>
  <c r="M53" i="150"/>
  <c r="M183" i="150"/>
  <c r="M125" i="150"/>
  <c r="M138" i="150"/>
  <c r="M69" i="150"/>
  <c r="M152" i="150"/>
  <c r="M145" i="150"/>
  <c r="M89" i="150"/>
  <c r="M96" i="150"/>
  <c r="M190" i="150"/>
  <c r="M21" i="150"/>
  <c r="M157" i="150"/>
  <c r="M77" i="150"/>
  <c r="M143" i="150"/>
  <c r="M83" i="150"/>
  <c r="M146" i="150"/>
  <c r="M101" i="150"/>
  <c r="M73" i="150"/>
  <c r="M127" i="150"/>
  <c r="M35" i="150"/>
  <c r="M205" i="150"/>
  <c r="M74" i="150"/>
  <c r="M156" i="150"/>
  <c r="M135" i="150"/>
  <c r="M33" i="150"/>
  <c r="M47" i="150"/>
  <c r="M106" i="150"/>
  <c r="M185" i="150"/>
  <c r="M118" i="150"/>
  <c r="K13" i="150"/>
  <c r="M132" i="150"/>
  <c r="M161" i="150"/>
  <c r="H223" i="150"/>
  <c r="M147" i="150"/>
  <c r="M117" i="150"/>
  <c r="M168" i="150"/>
  <c r="M110" i="150"/>
  <c r="M149" i="150"/>
  <c r="M171" i="150"/>
  <c r="M181" i="150"/>
  <c r="H222" i="150"/>
  <c r="M90" i="150"/>
  <c r="M180" i="150"/>
  <c r="M64" i="150"/>
  <c r="M184" i="150"/>
  <c r="M195" i="150"/>
  <c r="M204" i="150"/>
  <c r="M60" i="150"/>
  <c r="M148" i="150"/>
  <c r="H225" i="150"/>
  <c r="H221" i="150"/>
  <c r="M150" i="150"/>
  <c r="M93" i="150"/>
  <c r="M206" i="150"/>
  <c r="M137" i="150"/>
  <c r="M136" i="150"/>
  <c r="M119" i="150"/>
  <c r="K15" i="150"/>
  <c r="M105" i="150"/>
  <c r="G236" i="150"/>
  <c r="G237" i="150"/>
  <c r="M193" i="150"/>
  <c r="M109" i="150"/>
  <c r="M176" i="150"/>
  <c r="M42" i="150"/>
  <c r="M115" i="150"/>
  <c r="M70" i="150"/>
  <c r="M31" i="150"/>
  <c r="M182" i="150"/>
  <c r="M28" i="150"/>
  <c r="M133" i="150"/>
  <c r="M126" i="150"/>
  <c r="M55" i="150"/>
  <c r="M34" i="150"/>
  <c r="M56" i="150"/>
  <c r="M51" i="150"/>
  <c r="M108" i="150"/>
  <c r="M170" i="150"/>
  <c r="H227" i="150"/>
  <c r="M85" i="150"/>
  <c r="M54" i="150"/>
  <c r="M165" i="150"/>
  <c r="M79" i="150"/>
  <c r="M200" i="150"/>
  <c r="M192" i="150"/>
  <c r="M52" i="150"/>
  <c r="M48" i="150"/>
  <c r="M140" i="150"/>
  <c r="M114" i="150"/>
  <c r="M116" i="150"/>
  <c r="M173" i="150"/>
  <c r="M203" i="150"/>
  <c r="M58" i="150"/>
  <c r="M36" i="150"/>
  <c r="M160" i="150"/>
  <c r="M72" i="150"/>
  <c r="M189" i="150"/>
  <c r="M50" i="150"/>
  <c r="M43" i="150"/>
  <c r="M76" i="150"/>
  <c r="H226" i="150"/>
  <c r="M57" i="150"/>
  <c r="M61" i="150"/>
  <c r="M196" i="150"/>
  <c r="M86" i="150"/>
  <c r="M46" i="150"/>
  <c r="M131" i="150"/>
  <c r="M167" i="150"/>
  <c r="M49" i="150"/>
  <c r="M188" i="150"/>
  <c r="M123" i="150"/>
  <c r="M191" i="150"/>
  <c r="M29" i="150"/>
  <c r="M153" i="150"/>
  <c r="M88" i="150"/>
  <c r="M71" i="150"/>
  <c r="M166" i="150"/>
  <c r="M174" i="150"/>
  <c r="M65" i="150"/>
  <c r="M142" i="150"/>
  <c r="M59" i="150"/>
  <c r="M84" i="150"/>
  <c r="M98" i="150"/>
  <c r="H220" i="150"/>
  <c r="M41" i="150"/>
  <c r="M25" i="150"/>
  <c r="M177" i="150"/>
  <c r="H16" i="150"/>
  <c r="H18" i="150"/>
  <c r="H15" i="150"/>
  <c r="H11" i="150"/>
  <c r="H19" i="150"/>
  <c r="H21" i="150"/>
  <c r="H14" i="150"/>
  <c r="K11" i="150"/>
  <c r="H13" i="150"/>
  <c r="H20" i="150"/>
  <c r="H17" i="150"/>
  <c r="H12" i="150"/>
  <c r="G208" i="150"/>
  <c r="G238" i="150" l="1"/>
  <c r="H206" i="150"/>
  <c r="H205" i="150"/>
  <c r="H194" i="150"/>
  <c r="H186" i="150"/>
  <c r="H178" i="150"/>
  <c r="H170" i="150"/>
  <c r="H157" i="150"/>
  <c r="H148" i="150"/>
  <c r="H138" i="150"/>
  <c r="H129" i="150"/>
  <c r="H114" i="150"/>
  <c r="H109" i="150"/>
  <c r="H195" i="150"/>
  <c r="H187" i="150"/>
  <c r="H179" i="150"/>
  <c r="H171" i="150"/>
  <c r="H158" i="150"/>
  <c r="H149" i="150"/>
  <c r="H140" i="150"/>
  <c r="H130" i="150"/>
  <c r="H115" i="150"/>
  <c r="H111" i="150"/>
  <c r="H110" i="150"/>
  <c r="M208" i="150"/>
  <c r="H200" i="150"/>
  <c r="H189" i="150"/>
  <c r="H181" i="150"/>
  <c r="H173" i="150"/>
  <c r="H165" i="150"/>
  <c r="H161" i="150"/>
  <c r="H160" i="150"/>
  <c r="H151" i="150"/>
  <c r="H142" i="150"/>
  <c r="H201" i="150"/>
  <c r="H190" i="150"/>
  <c r="H182" i="150"/>
  <c r="H174" i="150"/>
  <c r="H166" i="150"/>
  <c r="H152" i="150"/>
  <c r="H143" i="150"/>
  <c r="H133" i="150"/>
  <c r="H124" i="150"/>
  <c r="H119" i="150"/>
  <c r="H118" i="150"/>
  <c r="H105" i="150"/>
  <c r="H100" i="150"/>
  <c r="H87" i="150"/>
  <c r="H76" i="150"/>
  <c r="H68" i="150"/>
  <c r="H196" i="150"/>
  <c r="H180" i="150"/>
  <c r="H164" i="150"/>
  <c r="H150" i="150"/>
  <c r="H136" i="150"/>
  <c r="H106" i="150"/>
  <c r="H98" i="150"/>
  <c r="H84" i="150"/>
  <c r="H71" i="150"/>
  <c r="H54" i="150"/>
  <c r="H46" i="150"/>
  <c r="H38" i="150"/>
  <c r="H30" i="150"/>
  <c r="H203" i="150"/>
  <c r="H132" i="150"/>
  <c r="H126" i="150"/>
  <c r="H89" i="150"/>
  <c r="H77" i="150"/>
  <c r="H72" i="150"/>
  <c r="H67" i="150"/>
  <c r="H55" i="150"/>
  <c r="H47" i="150"/>
  <c r="H39" i="150"/>
  <c r="H31" i="150"/>
  <c r="H192" i="150"/>
  <c r="H185" i="150"/>
  <c r="H183" i="150"/>
  <c r="H176" i="150"/>
  <c r="H169" i="150"/>
  <c r="H167" i="150"/>
  <c r="H156" i="150"/>
  <c r="H153" i="150"/>
  <c r="H146" i="150"/>
  <c r="H123" i="150"/>
  <c r="H117" i="150"/>
  <c r="H99" i="150"/>
  <c r="H85" i="150"/>
  <c r="H73" i="150"/>
  <c r="H56" i="150"/>
  <c r="H48" i="150"/>
  <c r="H40" i="150"/>
  <c r="H32" i="150"/>
  <c r="H204" i="150"/>
  <c r="H202" i="150"/>
  <c r="H135" i="150"/>
  <c r="H131" i="150"/>
  <c r="H127" i="150"/>
  <c r="H101" i="150"/>
  <c r="H96" i="150"/>
  <c r="H92" i="150"/>
  <c r="H64" i="150"/>
  <c r="H59" i="150"/>
  <c r="H51" i="150"/>
  <c r="H43" i="150"/>
  <c r="H35" i="150"/>
  <c r="H27" i="150"/>
  <c r="K12" i="150"/>
  <c r="H208" i="150"/>
  <c r="H193" i="150"/>
  <c r="H191" i="150"/>
  <c r="H184" i="150"/>
  <c r="H175" i="150"/>
  <c r="H155" i="150"/>
  <c r="H145" i="150"/>
  <c r="H107" i="150"/>
  <c r="H86" i="150"/>
  <c r="H82" i="150"/>
  <c r="H78" i="150"/>
  <c r="H70" i="150"/>
  <c r="H168" i="150"/>
  <c r="H93" i="150"/>
  <c r="H74" i="150"/>
  <c r="H66" i="150"/>
  <c r="H61" i="150"/>
  <c r="H58" i="150"/>
  <c r="H49" i="150"/>
  <c r="H42" i="150"/>
  <c r="H33" i="150"/>
  <c r="H26" i="150"/>
  <c r="H188" i="150"/>
  <c r="H177" i="150"/>
  <c r="H159" i="150"/>
  <c r="H147" i="150"/>
  <c r="H52" i="150"/>
  <c r="H45" i="150"/>
  <c r="H36" i="150"/>
  <c r="H29" i="150"/>
  <c r="H172" i="150"/>
  <c r="H197" i="150"/>
  <c r="H137" i="150"/>
  <c r="H108" i="150"/>
  <c r="H79" i="150"/>
  <c r="H69" i="150"/>
  <c r="H65" i="150"/>
  <c r="H57" i="150"/>
  <c r="H50" i="150"/>
  <c r="H41" i="150"/>
  <c r="H34" i="150"/>
  <c r="H25" i="150"/>
  <c r="H125" i="150"/>
  <c r="H116" i="150"/>
  <c r="H60" i="150"/>
  <c r="H53" i="150"/>
  <c r="H44" i="150"/>
  <c r="H37" i="150"/>
  <c r="H28" i="150"/>
  <c r="H91" i="150"/>
  <c r="H83" i="150"/>
  <c r="H102" i="150"/>
  <c r="H97" i="150"/>
  <c r="H88" i="150"/>
  <c r="H90" i="150"/>
  <c r="H141" i="150"/>
  <c r="H75" i="150"/>
  <c r="G215" i="150"/>
  <c r="E232" i="149" l="1"/>
  <c r="E227" i="149"/>
  <c r="E225" i="149"/>
  <c r="E224" i="149"/>
  <c r="E223" i="149"/>
  <c r="E220" i="149"/>
  <c r="E231" i="149"/>
  <c r="F228" i="149"/>
  <c r="K208" i="149"/>
  <c r="J208" i="149"/>
  <c r="F21" i="149"/>
  <c r="E20" i="149"/>
  <c r="A1" i="149"/>
  <c r="K17" i="149" l="1"/>
  <c r="K18" i="149"/>
  <c r="F215" i="149"/>
  <c r="G98" i="149"/>
  <c r="E12" i="149"/>
  <c r="G71" i="149"/>
  <c r="G108" i="149"/>
  <c r="G142" i="149"/>
  <c r="G160" i="149"/>
  <c r="G167" i="149"/>
  <c r="G175" i="149"/>
  <c r="G191" i="149"/>
  <c r="G52" i="149"/>
  <c r="G41" i="149"/>
  <c r="G192" i="149"/>
  <c r="G129" i="149"/>
  <c r="E221" i="149"/>
  <c r="G72" i="149"/>
  <c r="G148" i="149"/>
  <c r="G203" i="149"/>
  <c r="G168" i="149"/>
  <c r="E13" i="149"/>
  <c r="G45" i="149"/>
  <c r="G109" i="149"/>
  <c r="G152" i="149"/>
  <c r="G110" i="149"/>
  <c r="G48" i="149"/>
  <c r="G39" i="149"/>
  <c r="G55" i="149"/>
  <c r="G84" i="149"/>
  <c r="E226" i="149"/>
  <c r="G226" i="149" s="1"/>
  <c r="G67" i="149"/>
  <c r="G132" i="149"/>
  <c r="G202" i="149"/>
  <c r="G147" i="149"/>
  <c r="G47" i="149"/>
  <c r="E11" i="149"/>
  <c r="G11" i="149" s="1"/>
  <c r="E19" i="149"/>
  <c r="G19" i="149" s="1"/>
  <c r="G51" i="149"/>
  <c r="G78" i="149"/>
  <c r="G136" i="149"/>
  <c r="G182" i="149"/>
  <c r="G201" i="149"/>
  <c r="E14" i="149"/>
  <c r="G14" i="149" s="1"/>
  <c r="G189" i="149"/>
  <c r="E15" i="149"/>
  <c r="G15" i="149" s="1"/>
  <c r="G36" i="149"/>
  <c r="G177" i="149"/>
  <c r="G190" i="149"/>
  <c r="E16" i="149"/>
  <c r="G16" i="149" s="1"/>
  <c r="G30" i="149"/>
  <c r="G58" i="149"/>
  <c r="G165" i="149"/>
  <c r="G173" i="149"/>
  <c r="G185" i="149"/>
  <c r="G26" i="149"/>
  <c r="G77" i="149"/>
  <c r="G166" i="149"/>
  <c r="G31" i="149"/>
  <c r="G73" i="149"/>
  <c r="G96" i="149"/>
  <c r="G138" i="149"/>
  <c r="G99" i="149"/>
  <c r="E18" i="149"/>
  <c r="G89" i="149"/>
  <c r="G181" i="149"/>
  <c r="G90" i="149"/>
  <c r="G33" i="149"/>
  <c r="G219" i="149"/>
  <c r="G88" i="149"/>
  <c r="G220" i="149"/>
  <c r="G224" i="149"/>
  <c r="G232" i="149"/>
  <c r="G223" i="149"/>
  <c r="G227" i="149"/>
  <c r="E233" i="149"/>
  <c r="G225" i="149"/>
  <c r="E222" i="149"/>
  <c r="G171" i="149"/>
  <c r="E17" i="149"/>
  <c r="G57" i="149"/>
  <c r="G75" i="149"/>
  <c r="G183" i="149"/>
  <c r="G20" i="149"/>
  <c r="G231" i="149"/>
  <c r="G64" i="149" l="1"/>
  <c r="G12" i="149"/>
  <c r="G118" i="149"/>
  <c r="G188" i="149"/>
  <c r="G133" i="149"/>
  <c r="G25" i="149"/>
  <c r="G106" i="149"/>
  <c r="G156" i="149"/>
  <c r="G127" i="149"/>
  <c r="G13" i="149"/>
  <c r="G196" i="149"/>
  <c r="G151" i="149"/>
  <c r="G82" i="149"/>
  <c r="G179" i="149"/>
  <c r="G37" i="149"/>
  <c r="G114" i="149"/>
  <c r="G85" i="149"/>
  <c r="G40" i="149"/>
  <c r="G180" i="149"/>
  <c r="G115" i="149"/>
  <c r="G49" i="149"/>
  <c r="G53" i="149"/>
  <c r="G68" i="149"/>
  <c r="G105" i="149"/>
  <c r="G76" i="149"/>
  <c r="G221" i="149"/>
  <c r="G143" i="149"/>
  <c r="G116" i="149"/>
  <c r="G187" i="149"/>
  <c r="G140" i="149"/>
  <c r="G158" i="149"/>
  <c r="G18" i="149"/>
  <c r="G178" i="149"/>
  <c r="G150" i="149"/>
  <c r="G126" i="149"/>
  <c r="G170" i="149"/>
  <c r="G54" i="149"/>
  <c r="G123" i="149"/>
  <c r="G59" i="149"/>
  <c r="G146" i="149"/>
  <c r="G159" i="149"/>
  <c r="G50" i="149"/>
  <c r="G172" i="149"/>
  <c r="G131" i="149"/>
  <c r="M16" i="149"/>
  <c r="E228" i="149"/>
  <c r="G74" i="149"/>
  <c r="M11" i="149"/>
  <c r="G141" i="149"/>
  <c r="G66" i="149"/>
  <c r="G204" i="149"/>
  <c r="G186" i="149"/>
  <c r="G29" i="149"/>
  <c r="G83" i="149"/>
  <c r="G194" i="149"/>
  <c r="E21" i="149"/>
  <c r="G43" i="149"/>
  <c r="M15" i="149"/>
  <c r="G124" i="149"/>
  <c r="G157" i="149"/>
  <c r="G69" i="149"/>
  <c r="G100" i="149"/>
  <c r="G137" i="149"/>
  <c r="G195" i="149"/>
  <c r="G34" i="149"/>
  <c r="G117" i="149"/>
  <c r="G193" i="149"/>
  <c r="G27" i="149"/>
  <c r="G35" i="149"/>
  <c r="G155" i="149"/>
  <c r="G184" i="149"/>
  <c r="G169" i="149"/>
  <c r="G145" i="149"/>
  <c r="G42" i="149"/>
  <c r="G46" i="149"/>
  <c r="G92" i="149"/>
  <c r="G176" i="149"/>
  <c r="G38" i="149"/>
  <c r="G233" i="149"/>
  <c r="G222" i="149"/>
  <c r="E235" i="149"/>
  <c r="M19" i="149"/>
  <c r="G149" i="149"/>
  <c r="G28" i="149"/>
  <c r="G205" i="149"/>
  <c r="G174" i="149"/>
  <c r="G65" i="149"/>
  <c r="G164" i="149"/>
  <c r="G17" i="149"/>
  <c r="G153" i="149"/>
  <c r="G125" i="149"/>
  <c r="G32" i="149"/>
  <c r="G107" i="149"/>
  <c r="G60" i="149"/>
  <c r="G56" i="149"/>
  <c r="G91" i="149"/>
  <c r="G86" i="149"/>
  <c r="G87" i="149"/>
  <c r="G200" i="149"/>
  <c r="G130" i="149"/>
  <c r="G101" i="149"/>
  <c r="G135" i="149"/>
  <c r="G70" i="149"/>
  <c r="G44" i="149"/>
  <c r="G97" i="149"/>
  <c r="K14" i="149"/>
  <c r="M12" i="149" l="1"/>
  <c r="M18" i="149"/>
  <c r="E215" i="149"/>
  <c r="M13" i="149"/>
  <c r="G235" i="149"/>
  <c r="G119" i="149"/>
  <c r="E236" i="149"/>
  <c r="G111" i="149"/>
  <c r="M14" i="149"/>
  <c r="G228" i="149"/>
  <c r="E237" i="149"/>
  <c r="G61" i="149"/>
  <c r="G93" i="149"/>
  <c r="G102" i="149"/>
  <c r="G79" i="149"/>
  <c r="G161" i="149"/>
  <c r="G206" i="149"/>
  <c r="M17" i="149"/>
  <c r="G21" i="149"/>
  <c r="G197" i="149"/>
  <c r="M119" i="149" l="1"/>
  <c r="K15" i="149"/>
  <c r="G237" i="149"/>
  <c r="M206" i="149"/>
  <c r="M102" i="149"/>
  <c r="M70" i="149"/>
  <c r="G208" i="149"/>
  <c r="M149" i="149"/>
  <c r="M61" i="149"/>
  <c r="M111" i="149"/>
  <c r="G236" i="149"/>
  <c r="M79" i="149"/>
  <c r="M130" i="149"/>
  <c r="M197" i="149"/>
  <c r="M44" i="149"/>
  <c r="M153" i="149"/>
  <c r="M161" i="149"/>
  <c r="M93" i="149"/>
  <c r="M164" i="149"/>
  <c r="M97" i="149"/>
  <c r="M28" i="149"/>
  <c r="M56" i="149"/>
  <c r="E238" i="149"/>
  <c r="M172" i="149"/>
  <c r="M181" i="149"/>
  <c r="M49" i="149"/>
  <c r="M173" i="149"/>
  <c r="M136" i="149"/>
  <c r="M192" i="149"/>
  <c r="M42" i="149"/>
  <c r="M76" i="149"/>
  <c r="M165" i="149"/>
  <c r="M38" i="149"/>
  <c r="M193" i="149"/>
  <c r="M180" i="149"/>
  <c r="M45" i="149"/>
  <c r="M169" i="149"/>
  <c r="M189" i="149"/>
  <c r="M188" i="149"/>
  <c r="M137" i="149"/>
  <c r="M157" i="149"/>
  <c r="M55" i="149"/>
  <c r="M123" i="149"/>
  <c r="M145" i="149"/>
  <c r="H220" i="149"/>
  <c r="M191" i="149"/>
  <c r="M118" i="149"/>
  <c r="M148" i="149"/>
  <c r="M40" i="149"/>
  <c r="M29" i="149"/>
  <c r="M185" i="149"/>
  <c r="M140" i="149"/>
  <c r="M27" i="149"/>
  <c r="M59" i="149"/>
  <c r="M146" i="149"/>
  <c r="M147" i="149"/>
  <c r="M91" i="149"/>
  <c r="M34" i="149"/>
  <c r="M68" i="149"/>
  <c r="M52" i="149"/>
  <c r="M67" i="149"/>
  <c r="M200" i="149"/>
  <c r="M33" i="149"/>
  <c r="H227" i="149"/>
  <c r="M135" i="149"/>
  <c r="M202" i="149"/>
  <c r="M203" i="149"/>
  <c r="M96" i="149"/>
  <c r="M178" i="149"/>
  <c r="M72" i="149"/>
  <c r="M106" i="149"/>
  <c r="M50" i="149"/>
  <c r="M176" i="149"/>
  <c r="M155" i="149"/>
  <c r="M43" i="149"/>
  <c r="M177" i="149"/>
  <c r="M117" i="149"/>
  <c r="M90" i="149"/>
  <c r="M107" i="149"/>
  <c r="M131" i="149"/>
  <c r="M115" i="149"/>
  <c r="M73" i="149"/>
  <c r="M48" i="149"/>
  <c r="M132" i="149"/>
  <c r="M64" i="149"/>
  <c r="M53" i="149"/>
  <c r="M126" i="149"/>
  <c r="M116" i="149"/>
  <c r="M100" i="149"/>
  <c r="H226" i="149"/>
  <c r="M26" i="149"/>
  <c r="M205" i="149"/>
  <c r="M25" i="149"/>
  <c r="M109" i="149"/>
  <c r="H219" i="149"/>
  <c r="M125" i="149"/>
  <c r="M183" i="149"/>
  <c r="M39" i="149"/>
  <c r="M87" i="149"/>
  <c r="M166" i="149"/>
  <c r="M57" i="149"/>
  <c r="M78" i="149"/>
  <c r="M92" i="149"/>
  <c r="M31" i="149"/>
  <c r="M151" i="149"/>
  <c r="M60" i="149"/>
  <c r="M101" i="149"/>
  <c r="M99" i="149"/>
  <c r="M36" i="149"/>
  <c r="M83" i="149"/>
  <c r="H221" i="149"/>
  <c r="H224" i="149"/>
  <c r="M133" i="149"/>
  <c r="M85" i="149"/>
  <c r="M37" i="149"/>
  <c r="M159" i="149"/>
  <c r="M127" i="149"/>
  <c r="M152" i="149"/>
  <c r="M174" i="149"/>
  <c r="M51" i="149"/>
  <c r="M74" i="149"/>
  <c r="M204" i="149"/>
  <c r="M124" i="149"/>
  <c r="M170" i="149"/>
  <c r="M190" i="149"/>
  <c r="M75" i="149"/>
  <c r="M150" i="149"/>
  <c r="M138" i="149"/>
  <c r="M179" i="149"/>
  <c r="H228" i="149"/>
  <c r="H222" i="149"/>
  <c r="M41" i="149"/>
  <c r="M105" i="149"/>
  <c r="K13" i="149"/>
  <c r="M194" i="149"/>
  <c r="M58" i="149"/>
  <c r="M82" i="149"/>
  <c r="M66" i="149"/>
  <c r="M158" i="149"/>
  <c r="M129" i="149"/>
  <c r="M46" i="149"/>
  <c r="M142" i="149"/>
  <c r="M35" i="149"/>
  <c r="M89" i="149"/>
  <c r="M171" i="149"/>
  <c r="H223" i="149"/>
  <c r="H225" i="149"/>
  <c r="M184" i="149"/>
  <c r="M182" i="149"/>
  <c r="M114" i="149"/>
  <c r="M71" i="149"/>
  <c r="M196" i="149"/>
  <c r="M98" i="149"/>
  <c r="M110" i="149"/>
  <c r="M175" i="149"/>
  <c r="M88" i="149"/>
  <c r="M54" i="149"/>
  <c r="M168" i="149"/>
  <c r="M156" i="149"/>
  <c r="M195" i="149"/>
  <c r="M77" i="149"/>
  <c r="M167" i="149"/>
  <c r="M201" i="149"/>
  <c r="M108" i="149"/>
  <c r="M160" i="149"/>
  <c r="M30" i="149"/>
  <c r="M84" i="149"/>
  <c r="M187" i="149"/>
  <c r="M69" i="149"/>
  <c r="M47" i="149"/>
  <c r="M141" i="149"/>
  <c r="M32" i="149"/>
  <c r="M186" i="149"/>
  <c r="M143" i="149"/>
  <c r="M65" i="149"/>
  <c r="M86" i="149"/>
  <c r="H17" i="149"/>
  <c r="H15" i="149"/>
  <c r="M21" i="149"/>
  <c r="H21" i="149"/>
  <c r="H18" i="149"/>
  <c r="K11" i="149"/>
  <c r="H11" i="149"/>
  <c r="H20" i="149"/>
  <c r="H16" i="149"/>
  <c r="H13" i="149"/>
  <c r="H12" i="149"/>
  <c r="H19" i="149"/>
  <c r="H14" i="149"/>
  <c r="H98" i="149" l="1"/>
  <c r="H172" i="149"/>
  <c r="H185" i="149"/>
  <c r="H192" i="149"/>
  <c r="K12" i="149"/>
  <c r="H61" i="149"/>
  <c r="H96" i="149"/>
  <c r="H165" i="149"/>
  <c r="H32" i="149"/>
  <c r="H184" i="149"/>
  <c r="H173" i="149"/>
  <c r="H155" i="149"/>
  <c r="H48" i="149"/>
  <c r="H89" i="149"/>
  <c r="M208" i="149"/>
  <c r="H87" i="149"/>
  <c r="H153" i="149"/>
  <c r="H25" i="149"/>
  <c r="H90" i="149"/>
  <c r="H83" i="149"/>
  <c r="H82" i="149"/>
  <c r="H170" i="149"/>
  <c r="H31" i="149"/>
  <c r="H195" i="149"/>
  <c r="H91" i="149"/>
  <c r="H193" i="149"/>
  <c r="H71" i="149"/>
  <c r="H92" i="149"/>
  <c r="H137" i="149"/>
  <c r="H148" i="149"/>
  <c r="H57" i="149"/>
  <c r="H29" i="149"/>
  <c r="H97" i="149"/>
  <c r="H34" i="149"/>
  <c r="H157" i="149"/>
  <c r="H178" i="149"/>
  <c r="G215" i="149"/>
  <c r="H60" i="149"/>
  <c r="H135" i="149"/>
  <c r="H102" i="149"/>
  <c r="H123" i="149"/>
  <c r="H74" i="149"/>
  <c r="H52" i="149"/>
  <c r="H110" i="149"/>
  <c r="H156" i="149"/>
  <c r="H175" i="149"/>
  <c r="H132" i="149"/>
  <c r="H85" i="149"/>
  <c r="H107" i="149"/>
  <c r="H106" i="149"/>
  <c r="H42" i="149"/>
  <c r="H204" i="149"/>
  <c r="H100" i="149"/>
  <c r="H166" i="149"/>
  <c r="H131" i="149"/>
  <c r="H105" i="149"/>
  <c r="H186" i="149"/>
  <c r="H149" i="149"/>
  <c r="H167" i="149"/>
  <c r="H33" i="149"/>
  <c r="H188" i="149"/>
  <c r="H108" i="149"/>
  <c r="H40" i="149"/>
  <c r="H50" i="149"/>
  <c r="H109" i="149"/>
  <c r="H194" i="149"/>
  <c r="H30" i="149"/>
  <c r="H77" i="149"/>
  <c r="H208" i="149"/>
  <c r="H171" i="149"/>
  <c r="H38" i="149"/>
  <c r="H65" i="149"/>
  <c r="H26" i="149"/>
  <c r="H181" i="149"/>
  <c r="H126" i="149"/>
  <c r="H127" i="149"/>
  <c r="H49" i="149"/>
  <c r="H202" i="149"/>
  <c r="H58" i="149"/>
  <c r="H160" i="149"/>
  <c r="H47" i="149"/>
  <c r="H118" i="149"/>
  <c r="H182" i="149"/>
  <c r="H150" i="149"/>
  <c r="H51" i="149"/>
  <c r="H124" i="149"/>
  <c r="H205" i="149"/>
  <c r="H99" i="149"/>
  <c r="H27" i="149"/>
  <c r="H142" i="149"/>
  <c r="H203" i="149"/>
  <c r="H117" i="149"/>
  <c r="H116" i="149"/>
  <c r="H35" i="149"/>
  <c r="H187" i="149"/>
  <c r="H41" i="149"/>
  <c r="H88" i="149"/>
  <c r="H45" i="149"/>
  <c r="H196" i="149"/>
  <c r="H140" i="149"/>
  <c r="H146" i="149"/>
  <c r="H56" i="149"/>
  <c r="H180" i="149"/>
  <c r="H67" i="149"/>
  <c r="H161" i="149"/>
  <c r="H55" i="149"/>
  <c r="H119" i="149"/>
  <c r="H190" i="149"/>
  <c r="H159" i="149"/>
  <c r="H59" i="149"/>
  <c r="H133" i="149"/>
  <c r="H206" i="149"/>
  <c r="H53" i="149"/>
  <c r="H136" i="149"/>
  <c r="H36" i="149"/>
  <c r="H145" i="149"/>
  <c r="H111" i="149"/>
  <c r="H183" i="149"/>
  <c r="H151" i="149"/>
  <c r="H39" i="149"/>
  <c r="H174" i="149"/>
  <c r="H141" i="149"/>
  <c r="H43" i="149"/>
  <c r="H114" i="149"/>
  <c r="H125" i="149"/>
  <c r="H130" i="149"/>
  <c r="H46" i="149"/>
  <c r="H84" i="149"/>
  <c r="H44" i="149"/>
  <c r="H147" i="149"/>
  <c r="H73" i="149"/>
  <c r="H200" i="149"/>
  <c r="H179" i="149"/>
  <c r="H158" i="149"/>
  <c r="H69" i="149"/>
  <c r="H191" i="149"/>
  <c r="H75" i="149"/>
  <c r="H169" i="149"/>
  <c r="H64" i="149"/>
  <c r="H129" i="149"/>
  <c r="H201" i="149"/>
  <c r="H168" i="149"/>
  <c r="H68" i="149"/>
  <c r="H143" i="149"/>
  <c r="H37" i="149"/>
  <c r="H28" i="149"/>
  <c r="H54" i="149"/>
  <c r="H101" i="149"/>
  <c r="H70" i="149"/>
  <c r="H189" i="149"/>
  <c r="H79" i="149"/>
  <c r="H78" i="149"/>
  <c r="H93" i="149"/>
  <c r="H164" i="149"/>
  <c r="H115" i="149"/>
  <c r="H197" i="149"/>
  <c r="H86" i="149"/>
  <c r="H177" i="149"/>
  <c r="H72" i="149"/>
  <c r="H138" i="149"/>
  <c r="H66" i="149"/>
  <c r="H176" i="149"/>
  <c r="H76" i="149"/>
  <c r="H152" i="149"/>
  <c r="G238" i="149"/>
  <c r="F235" i="67" l="1"/>
  <c r="F21" i="84" l="1"/>
  <c r="F215" i="84" s="1"/>
  <c r="K208" i="19" l="1"/>
  <c r="K208" i="10"/>
  <c r="K208" i="118"/>
  <c r="K208" i="60"/>
  <c r="K208" i="133"/>
  <c r="K208" i="54"/>
  <c r="K208" i="145"/>
  <c r="K208" i="94"/>
  <c r="K208" i="15"/>
  <c r="K208" i="68"/>
  <c r="K208" i="67"/>
  <c r="K208" i="100"/>
  <c r="K208" i="66"/>
  <c r="K208" i="63"/>
  <c r="K208" i="62"/>
  <c r="K208" i="59"/>
  <c r="K208" i="58"/>
  <c r="K208" i="136"/>
  <c r="K208" i="53"/>
  <c r="K208" i="98"/>
  <c r="K208" i="49"/>
  <c r="K208" i="83"/>
  <c r="K208" i="47"/>
  <c r="K208" i="46"/>
  <c r="K208" i="102"/>
  <c r="K208" i="45"/>
  <c r="K208" i="104"/>
  <c r="K208" i="106"/>
  <c r="K208" i="43"/>
  <c r="K208" i="42"/>
  <c r="K208" i="84"/>
  <c r="K208" i="71"/>
  <c r="K208" i="39"/>
  <c r="K208" i="135"/>
  <c r="K208" i="38"/>
  <c r="K208" i="120"/>
  <c r="K208" i="37"/>
  <c r="K208" i="90"/>
  <c r="K208" i="24"/>
  <c r="K208" i="141"/>
  <c r="K208" i="33"/>
  <c r="K208" i="32"/>
  <c r="K208" i="79"/>
  <c r="K208" i="31"/>
  <c r="K208" i="64"/>
  <c r="K208" i="72"/>
  <c r="K208" i="28"/>
  <c r="K208" i="27"/>
  <c r="K208" i="65"/>
  <c r="K208" i="119"/>
  <c r="K208" i="25"/>
  <c r="K208" i="20"/>
  <c r="K208" i="16"/>
  <c r="K208" i="111"/>
  <c r="K208" i="55"/>
  <c r="K208" i="21"/>
  <c r="K208" i="14"/>
  <c r="K208" i="85"/>
  <c r="K208" i="143"/>
  <c r="K208" i="87"/>
  <c r="K208" i="57"/>
  <c r="K208" i="69"/>
  <c r="K208" i="86"/>
  <c r="K208" i="89"/>
  <c r="K208" i="142"/>
  <c r="K208" i="91"/>
  <c r="K208" i="92"/>
  <c r="K208" i="113"/>
  <c r="K208" i="1"/>
  <c r="K208" i="50"/>
  <c r="K208" i="95"/>
  <c r="K208" i="103"/>
  <c r="J208" i="19"/>
  <c r="J208" i="10"/>
  <c r="J208" i="118"/>
  <c r="J208" i="60"/>
  <c r="J208" i="133"/>
  <c r="J208" i="54"/>
  <c r="J208" i="145"/>
  <c r="J208" i="94"/>
  <c r="J208" i="15"/>
  <c r="J208" i="68"/>
  <c r="J208" i="67"/>
  <c r="J208" i="100"/>
  <c r="J208" i="66"/>
  <c r="J208" i="63"/>
  <c r="J208" i="62"/>
  <c r="J208" i="59"/>
  <c r="J208" i="58"/>
  <c r="J208" i="136"/>
  <c r="J208" i="53"/>
  <c r="J208" i="98"/>
  <c r="J208" i="49"/>
  <c r="J208" i="83"/>
  <c r="J208" i="47"/>
  <c r="J208" i="46"/>
  <c r="J208" i="102"/>
  <c r="J208" i="45"/>
  <c r="J208" i="104"/>
  <c r="J208" i="106"/>
  <c r="J208" i="43"/>
  <c r="J208" i="42"/>
  <c r="J208" i="84"/>
  <c r="J208" i="71"/>
  <c r="J208" i="39"/>
  <c r="J208" i="135"/>
  <c r="J208" i="38"/>
  <c r="J208" i="120"/>
  <c r="J208" i="37"/>
  <c r="J208" i="90"/>
  <c r="J208" i="24"/>
  <c r="J208" i="141"/>
  <c r="J208" i="33"/>
  <c r="J208" i="32"/>
  <c r="J208" i="79"/>
  <c r="J208" i="31"/>
  <c r="J208" i="64"/>
  <c r="J208" i="72"/>
  <c r="J208" i="28"/>
  <c r="J208" i="27"/>
  <c r="J208" i="65"/>
  <c r="J208" i="119"/>
  <c r="J208" i="25"/>
  <c r="J208" i="20"/>
  <c r="J208" i="16"/>
  <c r="J208" i="111"/>
  <c r="J208" i="55"/>
  <c r="J208" i="21"/>
  <c r="J208" i="14"/>
  <c r="J208" i="85"/>
  <c r="J208" i="143"/>
  <c r="J208" i="87"/>
  <c r="J208" i="57"/>
  <c r="J208" i="69"/>
  <c r="J208" i="86"/>
  <c r="J208" i="89"/>
  <c r="J208" i="142"/>
  <c r="J208" i="91"/>
  <c r="J208" i="92"/>
  <c r="J208" i="113"/>
  <c r="J208" i="1"/>
  <c r="J208" i="50"/>
  <c r="J208" i="95"/>
  <c r="J208" i="103"/>
  <c r="E20" i="118"/>
  <c r="E19" i="118"/>
  <c r="E18" i="118"/>
  <c r="E17" i="118"/>
  <c r="E16" i="118"/>
  <c r="E15" i="118"/>
  <c r="E14" i="118"/>
  <c r="E13" i="118"/>
  <c r="E12" i="118"/>
  <c r="E11" i="118"/>
  <c r="E20" i="19"/>
  <c r="E19" i="19"/>
  <c r="E18" i="19"/>
  <c r="E17" i="19"/>
  <c r="E16" i="19"/>
  <c r="E15" i="19"/>
  <c r="E14" i="19"/>
  <c r="E13" i="19"/>
  <c r="E12" i="19"/>
  <c r="E11" i="19"/>
  <c r="E20" i="103"/>
  <c r="E19" i="103"/>
  <c r="E18" i="103"/>
  <c r="E17" i="103"/>
  <c r="E16" i="103"/>
  <c r="E15" i="103"/>
  <c r="E14" i="103"/>
  <c r="E13" i="103"/>
  <c r="E12" i="103"/>
  <c r="E11" i="103"/>
  <c r="E14" i="111" l="1"/>
  <c r="E18" i="111"/>
  <c r="E15" i="111"/>
  <c r="E12" i="111"/>
  <c r="E16" i="111"/>
  <c r="E20" i="111"/>
  <c r="E13" i="111"/>
  <c r="E17" i="111"/>
  <c r="E19" i="111"/>
  <c r="E11" i="111"/>
  <c r="E12" i="83" l="1"/>
  <c r="E16" i="83"/>
  <c r="E20" i="83"/>
  <c r="E11" i="83"/>
  <c r="E15" i="83"/>
  <c r="E19" i="83"/>
  <c r="E17" i="83"/>
  <c r="E14" i="83"/>
  <c r="E18" i="83"/>
  <c r="E13" i="83"/>
  <c r="A1" i="10"/>
  <c r="A1" i="118"/>
  <c r="A1" i="60"/>
  <c r="A1" i="133"/>
  <c r="A1" i="54"/>
  <c r="A1" i="145"/>
  <c r="A1" i="94"/>
  <c r="A1" i="15"/>
  <c r="A1" i="68"/>
  <c r="A1" i="67"/>
  <c r="A1" i="100"/>
  <c r="A1" i="66"/>
  <c r="A1" i="63"/>
  <c r="A1" i="62"/>
  <c r="A1" i="59"/>
  <c r="A1" i="58"/>
  <c r="A1" i="136"/>
  <c r="A1" i="53"/>
  <c r="A1" i="98"/>
  <c r="A1" i="49"/>
  <c r="A1" i="83"/>
  <c r="A1" i="47"/>
  <c r="A1" i="46"/>
  <c r="A1" i="102"/>
  <c r="A1" i="45"/>
  <c r="A1" i="104"/>
  <c r="A1" i="106"/>
  <c r="A1" i="43"/>
  <c r="A1" i="42"/>
  <c r="A1" i="84"/>
  <c r="A1" i="71"/>
  <c r="A1" i="39"/>
  <c r="A1" i="135"/>
  <c r="A1" i="38"/>
  <c r="A1" i="120"/>
  <c r="A1" i="37"/>
  <c r="A1" i="90"/>
  <c r="A1" i="24"/>
  <c r="A1" i="141"/>
  <c r="A1" i="33"/>
  <c r="A1" i="32"/>
  <c r="A1" i="79"/>
  <c r="A1" i="31"/>
  <c r="A1" i="64"/>
  <c r="A1" i="72"/>
  <c r="A1" i="28"/>
  <c r="A1" i="27"/>
  <c r="A1" i="65"/>
  <c r="A1" i="119"/>
  <c r="A1" i="25"/>
  <c r="A1" i="20"/>
  <c r="A1" i="16"/>
  <c r="A1" i="111"/>
  <c r="A1" i="55"/>
  <c r="A1" i="21"/>
  <c r="A1" i="14"/>
  <c r="A1" i="85"/>
  <c r="A1" i="87"/>
  <c r="A1" i="57"/>
  <c r="A1" i="69"/>
  <c r="A1" i="86"/>
  <c r="A1" i="89"/>
  <c r="A1" i="142"/>
  <c r="A1" i="91"/>
  <c r="A1" i="92"/>
  <c r="A1" i="113"/>
  <c r="A1" i="1"/>
  <c r="A1" i="50"/>
  <c r="A1" i="95"/>
  <c r="A1" i="19"/>
  <c r="F21" i="62" l="1"/>
  <c r="F215" i="62" s="1"/>
  <c r="F21" i="100"/>
  <c r="F215" i="100" s="1"/>
  <c r="E12" i="68" l="1"/>
  <c r="E16" i="68"/>
  <c r="E20" i="68"/>
  <c r="E11" i="68"/>
  <c r="E15" i="68"/>
  <c r="E19" i="68"/>
  <c r="E13" i="68"/>
  <c r="E17" i="68"/>
  <c r="E14" i="68"/>
  <c r="E18" i="68"/>
  <c r="E232" i="118" l="1"/>
  <c r="G232" i="118" s="1"/>
  <c r="E231" i="118"/>
  <c r="F228" i="118"/>
  <c r="E227" i="118"/>
  <c r="G227" i="118" s="1"/>
  <c r="E226" i="118"/>
  <c r="G226" i="118" s="1"/>
  <c r="E225" i="118"/>
  <c r="G225" i="118" s="1"/>
  <c r="E224" i="118"/>
  <c r="G224" i="118" s="1"/>
  <c r="E223" i="118"/>
  <c r="G223" i="118" s="1"/>
  <c r="E222" i="118"/>
  <c r="G222" i="118" s="1"/>
  <c r="E221" i="118"/>
  <c r="G221" i="118" s="1"/>
  <c r="E220" i="118"/>
  <c r="G220" i="118" s="1"/>
  <c r="G205" i="118"/>
  <c r="G204" i="118"/>
  <c r="G203" i="118"/>
  <c r="G202" i="118"/>
  <c r="G201" i="118"/>
  <c r="G200" i="118"/>
  <c r="G196" i="118"/>
  <c r="G195" i="118"/>
  <c r="G194" i="118"/>
  <c r="G193" i="118"/>
  <c r="G192" i="118"/>
  <c r="G191" i="118"/>
  <c r="G190" i="118"/>
  <c r="G189" i="118"/>
  <c r="G188" i="118"/>
  <c r="G187" i="118"/>
  <c r="G186" i="118"/>
  <c r="G185" i="118"/>
  <c r="G184" i="118"/>
  <c r="G183" i="118"/>
  <c r="G182" i="118"/>
  <c r="G181" i="118"/>
  <c r="G180" i="118"/>
  <c r="G179" i="118"/>
  <c r="G178" i="118"/>
  <c r="G177" i="118"/>
  <c r="G176" i="118"/>
  <c r="G175" i="118"/>
  <c r="G174" i="118"/>
  <c r="G173" i="118"/>
  <c r="G172" i="118"/>
  <c r="G171" i="118"/>
  <c r="G170" i="118"/>
  <c r="G169" i="118"/>
  <c r="G168" i="118"/>
  <c r="G167" i="118"/>
  <c r="G166" i="118"/>
  <c r="G165" i="118"/>
  <c r="G160" i="118"/>
  <c r="G159" i="118"/>
  <c r="G158" i="118"/>
  <c r="G157" i="118"/>
  <c r="G156" i="118"/>
  <c r="G155" i="118"/>
  <c r="G153" i="118"/>
  <c r="G152" i="118"/>
  <c r="G151" i="118"/>
  <c r="G150" i="118"/>
  <c r="G149" i="118"/>
  <c r="G148" i="118"/>
  <c r="G147" i="118"/>
  <c r="G146" i="118"/>
  <c r="G145" i="118"/>
  <c r="G143" i="118"/>
  <c r="G142" i="118"/>
  <c r="G141" i="118"/>
  <c r="G140" i="118"/>
  <c r="G138" i="118"/>
  <c r="G137" i="118"/>
  <c r="G136" i="118"/>
  <c r="G135" i="118"/>
  <c r="G133" i="118"/>
  <c r="G132" i="118"/>
  <c r="G131" i="118"/>
  <c r="G130" i="118"/>
  <c r="G129" i="118"/>
  <c r="G127" i="118"/>
  <c r="G126" i="118"/>
  <c r="G125" i="118"/>
  <c r="G124" i="118"/>
  <c r="G118" i="118"/>
  <c r="G117" i="118"/>
  <c r="G116" i="118"/>
  <c r="G115" i="118"/>
  <c r="G110" i="118"/>
  <c r="G109" i="118"/>
  <c r="G108" i="118"/>
  <c r="G107" i="118"/>
  <c r="G106" i="118"/>
  <c r="G101" i="118"/>
  <c r="G100" i="118"/>
  <c r="G99" i="118"/>
  <c r="G98" i="118"/>
  <c r="G97" i="118"/>
  <c r="G96" i="118"/>
  <c r="G92" i="118"/>
  <c r="G91" i="118"/>
  <c r="G90" i="118"/>
  <c r="G89" i="118"/>
  <c r="G88" i="118"/>
  <c r="G87" i="118"/>
  <c r="G86" i="118"/>
  <c r="G85" i="118"/>
  <c r="G84" i="118"/>
  <c r="G83" i="118"/>
  <c r="G78" i="118"/>
  <c r="G77" i="118"/>
  <c r="G76" i="118"/>
  <c r="G75" i="118"/>
  <c r="G74" i="118"/>
  <c r="G73" i="118"/>
  <c r="G72" i="118"/>
  <c r="G71" i="118"/>
  <c r="G70" i="118"/>
  <c r="G69" i="118"/>
  <c r="G68" i="118"/>
  <c r="G67" i="118"/>
  <c r="G66" i="118"/>
  <c r="G65" i="118"/>
  <c r="G64" i="118"/>
  <c r="G60" i="118"/>
  <c r="G59" i="118"/>
  <c r="G58" i="118"/>
  <c r="G57" i="118"/>
  <c r="G56" i="118"/>
  <c r="G55" i="118"/>
  <c r="G54" i="118"/>
  <c r="G53" i="118"/>
  <c r="G52" i="118"/>
  <c r="G51" i="118"/>
  <c r="G50" i="118"/>
  <c r="G49" i="118"/>
  <c r="G48" i="118"/>
  <c r="G47" i="118"/>
  <c r="G46" i="118"/>
  <c r="G45" i="118"/>
  <c r="G44" i="118"/>
  <c r="G43" i="118"/>
  <c r="G42" i="118"/>
  <c r="G41" i="118"/>
  <c r="G40" i="118"/>
  <c r="G39" i="118"/>
  <c r="G38" i="118"/>
  <c r="G37" i="118"/>
  <c r="G36" i="118"/>
  <c r="G35" i="118"/>
  <c r="G34" i="118"/>
  <c r="G33" i="118"/>
  <c r="G32" i="118"/>
  <c r="G31" i="118"/>
  <c r="G30" i="118"/>
  <c r="G29" i="118"/>
  <c r="G28" i="118"/>
  <c r="G27" i="118"/>
  <c r="G26" i="118"/>
  <c r="G25" i="118"/>
  <c r="F21" i="118"/>
  <c r="F215" i="118" s="1"/>
  <c r="G20" i="118"/>
  <c r="G19" i="118"/>
  <c r="G18" i="118"/>
  <c r="G17" i="118"/>
  <c r="G16" i="118"/>
  <c r="G15" i="118"/>
  <c r="G14" i="118"/>
  <c r="G13" i="118"/>
  <c r="G12" i="118"/>
  <c r="G11" i="118"/>
  <c r="E233" i="118" l="1"/>
  <c r="G233" i="118" s="1"/>
  <c r="G105" i="118"/>
  <c r="G111" i="118" s="1"/>
  <c r="G61" i="118"/>
  <c r="G114" i="118"/>
  <c r="G119" i="118" s="1"/>
  <c r="G82" i="118"/>
  <c r="G93" i="118" s="1"/>
  <c r="G164" i="118"/>
  <c r="G197" i="118" s="1"/>
  <c r="G231" i="118"/>
  <c r="G219" i="118"/>
  <c r="G102" i="118"/>
  <c r="G79" i="118"/>
  <c r="G206" i="118"/>
  <c r="E228" i="118"/>
  <c r="G123" i="118"/>
  <c r="G161" i="118" s="1"/>
  <c r="G21" i="118"/>
  <c r="E21" i="118"/>
  <c r="E215" i="118" l="1"/>
  <c r="G235" i="118"/>
  <c r="G237" i="118" s="1"/>
  <c r="E235" i="118"/>
  <c r="E237" i="118" s="1"/>
  <c r="G208" i="118"/>
  <c r="H197" i="118" s="1"/>
  <c r="G228" i="118"/>
  <c r="H21" i="118"/>
  <c r="H18" i="118"/>
  <c r="H13" i="118"/>
  <c r="H19" i="118"/>
  <c r="H11" i="118"/>
  <c r="H16" i="118"/>
  <c r="H17" i="118"/>
  <c r="H20" i="118"/>
  <c r="H12" i="118"/>
  <c r="H15" i="118"/>
  <c r="H14" i="118"/>
  <c r="E236" i="118" l="1"/>
  <c r="E238" i="118" s="1"/>
  <c r="H54" i="118"/>
  <c r="H93" i="118"/>
  <c r="H101" i="118"/>
  <c r="H157" i="118"/>
  <c r="H160" i="118"/>
  <c r="H48" i="118"/>
  <c r="H158" i="118"/>
  <c r="H36" i="118"/>
  <c r="H124" i="118"/>
  <c r="H35" i="118"/>
  <c r="H208" i="118"/>
  <c r="H133" i="118"/>
  <c r="H43" i="118"/>
  <c r="H118" i="118"/>
  <c r="H132" i="118"/>
  <c r="H116" i="118"/>
  <c r="H82" i="118"/>
  <c r="H41" i="118"/>
  <c r="H58" i="118"/>
  <c r="H123" i="118"/>
  <c r="H105" i="118"/>
  <c r="H141" i="118"/>
  <c r="H64" i="118"/>
  <c r="H53" i="118"/>
  <c r="H66" i="118"/>
  <c r="H69" i="118"/>
  <c r="H168" i="118"/>
  <c r="H106" i="118"/>
  <c r="H51" i="118"/>
  <c r="H107" i="118"/>
  <c r="H111" i="118"/>
  <c r="H137" i="118"/>
  <c r="H77" i="118"/>
  <c r="H165" i="118"/>
  <c r="H184" i="118"/>
  <c r="H117" i="118"/>
  <c r="H57" i="118"/>
  <c r="H131" i="118"/>
  <c r="H201" i="118"/>
  <c r="H119" i="118"/>
  <c r="H88" i="118"/>
  <c r="H68" i="118"/>
  <c r="H61" i="118"/>
  <c r="H130" i="118"/>
  <c r="H152" i="118"/>
  <c r="H136" i="118"/>
  <c r="H114" i="118"/>
  <c r="H179" i="118"/>
  <c r="H125" i="118"/>
  <c r="H167" i="118"/>
  <c r="H174" i="118"/>
  <c r="H38" i="118"/>
  <c r="H47" i="118"/>
  <c r="H196" i="118"/>
  <c r="H60" i="118"/>
  <c r="H28" i="118"/>
  <c r="H85" i="118"/>
  <c r="H129" i="118"/>
  <c r="H135" i="118"/>
  <c r="H109" i="118"/>
  <c r="H71" i="118"/>
  <c r="H189" i="118"/>
  <c r="H205" i="118"/>
  <c r="H72" i="118"/>
  <c r="H180" i="118"/>
  <c r="H145" i="118"/>
  <c r="H49" i="118"/>
  <c r="H172" i="118"/>
  <c r="H46" i="118"/>
  <c r="H90" i="118"/>
  <c r="H138" i="118"/>
  <c r="H202" i="118"/>
  <c r="H171" i="118"/>
  <c r="H126" i="118"/>
  <c r="H188" i="118"/>
  <c r="H151" i="118"/>
  <c r="H55" i="118"/>
  <c r="H176" i="118"/>
  <c r="H52" i="118"/>
  <c r="H115" i="118"/>
  <c r="H148" i="118"/>
  <c r="H175" i="118"/>
  <c r="H32" i="118"/>
  <c r="H59" i="118"/>
  <c r="H108" i="118"/>
  <c r="H97" i="118"/>
  <c r="H161" i="118"/>
  <c r="H146" i="118"/>
  <c r="H34" i="118"/>
  <c r="H99" i="118"/>
  <c r="H177" i="118"/>
  <c r="H173" i="118"/>
  <c r="H76" i="118"/>
  <c r="H143" i="118"/>
  <c r="H192" i="118"/>
  <c r="H195" i="118"/>
  <c r="H65" i="118"/>
  <c r="H140" i="118"/>
  <c r="H153" i="118"/>
  <c r="H70" i="118"/>
  <c r="H178" i="118"/>
  <c r="H182" i="118"/>
  <c r="H75" i="118"/>
  <c r="H190" i="118"/>
  <c r="H31" i="118"/>
  <c r="H147" i="118"/>
  <c r="H83" i="118"/>
  <c r="H155" i="118"/>
  <c r="H42" i="118"/>
  <c r="H102" i="118"/>
  <c r="H185" i="118"/>
  <c r="H200" i="118"/>
  <c r="H79" i="118"/>
  <c r="H150" i="118"/>
  <c r="H203" i="118"/>
  <c r="G215" i="118"/>
  <c r="H73" i="118"/>
  <c r="H149" i="118"/>
  <c r="H169" i="118"/>
  <c r="H78" i="118"/>
  <c r="H186" i="118"/>
  <c r="H191" i="118"/>
  <c r="H86" i="118"/>
  <c r="H39" i="118"/>
  <c r="H37" i="118"/>
  <c r="H183" i="118"/>
  <c r="H91" i="118"/>
  <c r="H166" i="118"/>
  <c r="H50" i="118"/>
  <c r="H110" i="118"/>
  <c r="H193" i="118"/>
  <c r="H27" i="118"/>
  <c r="H87" i="118"/>
  <c r="H159" i="118"/>
  <c r="H206" i="118"/>
  <c r="H26" i="118"/>
  <c r="H84" i="118"/>
  <c r="H156" i="118"/>
  <c r="H187" i="118"/>
  <c r="H89" i="118"/>
  <c r="H194" i="118"/>
  <c r="H67" i="118"/>
  <c r="H40" i="118"/>
  <c r="H142" i="118"/>
  <c r="H45" i="118"/>
  <c r="H74" i="118"/>
  <c r="H29" i="118"/>
  <c r="H96" i="118"/>
  <c r="H170" i="118"/>
  <c r="H56" i="118"/>
  <c r="H127" i="118"/>
  <c r="H204" i="118"/>
  <c r="H33" i="118"/>
  <c r="H98" i="118"/>
  <c r="H164" i="118"/>
  <c r="H44" i="118"/>
  <c r="H30" i="118"/>
  <c r="H92" i="118"/>
  <c r="H181" i="118"/>
  <c r="H25" i="118"/>
  <c r="H100" i="118"/>
  <c r="H220" i="118"/>
  <c r="H228" i="118"/>
  <c r="H226" i="118"/>
  <c r="H224" i="118"/>
  <c r="G236" i="118"/>
  <c r="H222" i="118"/>
  <c r="H227" i="118"/>
  <c r="H223" i="118"/>
  <c r="H219" i="118"/>
  <c r="H225" i="118"/>
  <c r="H221" i="118"/>
  <c r="G38" i="103"/>
  <c r="G40" i="103"/>
  <c r="G108" i="103"/>
  <c r="G137" i="103"/>
  <c r="G202" i="103"/>
  <c r="G51" i="103"/>
  <c r="G195" i="103"/>
  <c r="E232" i="103"/>
  <c r="G232" i="103" s="1"/>
  <c r="E231" i="103"/>
  <c r="F228" i="103"/>
  <c r="E227" i="103"/>
  <c r="G227" i="103" s="1"/>
  <c r="E226" i="103"/>
  <c r="G226" i="103" s="1"/>
  <c r="E225" i="103"/>
  <c r="G225" i="103" s="1"/>
  <c r="E224" i="103"/>
  <c r="G224" i="103" s="1"/>
  <c r="E223" i="103"/>
  <c r="G223" i="103" s="1"/>
  <c r="E222" i="103"/>
  <c r="G222" i="103" s="1"/>
  <c r="E221" i="103"/>
  <c r="G221" i="103" s="1"/>
  <c r="E220" i="103"/>
  <c r="G220" i="103" s="1"/>
  <c r="G219" i="103"/>
  <c r="G204" i="103"/>
  <c r="G196" i="103"/>
  <c r="G194" i="103"/>
  <c r="G193" i="103"/>
  <c r="G192" i="103"/>
  <c r="G191" i="103"/>
  <c r="G190" i="103"/>
  <c r="G189" i="103"/>
  <c r="G188" i="103"/>
  <c r="G186" i="103"/>
  <c r="G185" i="103"/>
  <c r="G184" i="103"/>
  <c r="G183" i="103"/>
  <c r="G182" i="103"/>
  <c r="G181" i="103"/>
  <c r="G180" i="103"/>
  <c r="G179" i="103"/>
  <c r="G177" i="103"/>
  <c r="G176" i="103"/>
  <c r="G175" i="103"/>
  <c r="G174" i="103"/>
  <c r="G173" i="103"/>
  <c r="G172" i="103"/>
  <c r="G171" i="103"/>
  <c r="G169" i="103"/>
  <c r="G168" i="103"/>
  <c r="G167" i="103"/>
  <c r="G166" i="103"/>
  <c r="G165" i="103"/>
  <c r="G164" i="103"/>
  <c r="G160" i="103"/>
  <c r="G159" i="103"/>
  <c r="G157" i="103"/>
  <c r="G156" i="103"/>
  <c r="G155" i="103"/>
  <c r="G152" i="103"/>
  <c r="G148" i="103"/>
  <c r="G146" i="103"/>
  <c r="G145" i="103"/>
  <c r="G142" i="103"/>
  <c r="G141" i="103"/>
  <c r="G140" i="103"/>
  <c r="G138" i="103"/>
  <c r="G136" i="103"/>
  <c r="G135" i="103"/>
  <c r="G133" i="103"/>
  <c r="G132" i="103"/>
  <c r="G130" i="103"/>
  <c r="G129" i="103"/>
  <c r="G126" i="103"/>
  <c r="G125" i="103"/>
  <c r="G118" i="103"/>
  <c r="G117" i="103"/>
  <c r="G116" i="103"/>
  <c r="G115" i="103"/>
  <c r="G110" i="103"/>
  <c r="G109" i="103"/>
  <c r="G106" i="103"/>
  <c r="G100" i="103"/>
  <c r="G98" i="103"/>
  <c r="G92" i="103"/>
  <c r="G91" i="103"/>
  <c r="G90" i="103"/>
  <c r="G89" i="103"/>
  <c r="G87" i="103"/>
  <c r="G86" i="103"/>
  <c r="G85" i="103"/>
  <c r="G84" i="103"/>
  <c r="G83" i="103"/>
  <c r="G78" i="103"/>
  <c r="G77" i="103"/>
  <c r="G76" i="103"/>
  <c r="G75" i="103"/>
  <c r="G74" i="103"/>
  <c r="G73" i="103"/>
  <c r="G71" i="103"/>
  <c r="G70" i="103"/>
  <c r="G69" i="103"/>
  <c r="G68" i="103"/>
  <c r="G67" i="103"/>
  <c r="G66" i="103"/>
  <c r="G65" i="103"/>
  <c r="G60" i="103"/>
  <c r="G59" i="103"/>
  <c r="G58" i="103"/>
  <c r="G57" i="103"/>
  <c r="G56" i="103"/>
  <c r="G55" i="103"/>
  <c r="G53" i="103"/>
  <c r="G52" i="103"/>
  <c r="G49" i="103"/>
  <c r="G48" i="103"/>
  <c r="G47" i="103"/>
  <c r="G46" i="103"/>
  <c r="G42" i="103"/>
  <c r="G41" i="103"/>
  <c r="G37" i="103"/>
  <c r="G36" i="103"/>
  <c r="G35" i="103"/>
  <c r="G32" i="103"/>
  <c r="G30" i="103"/>
  <c r="G29" i="103"/>
  <c r="G27" i="103"/>
  <c r="G26" i="103"/>
  <c r="F21" i="103"/>
  <c r="F215" i="103" s="1"/>
  <c r="G19" i="103"/>
  <c r="G17" i="103"/>
  <c r="G238" i="118" l="1"/>
  <c r="E21" i="19"/>
  <c r="G149" i="103"/>
  <c r="G107" i="103"/>
  <c r="E233" i="103"/>
  <c r="G233" i="103" s="1"/>
  <c r="G33" i="103"/>
  <c r="G127" i="103"/>
  <c r="G143" i="103"/>
  <c r="G203" i="103"/>
  <c r="G31" i="103"/>
  <c r="G39" i="103"/>
  <c r="G44" i="103"/>
  <c r="G50" i="103"/>
  <c r="G150" i="103"/>
  <c r="G200" i="103"/>
  <c r="G147" i="103"/>
  <c r="G131" i="103"/>
  <c r="G124" i="103"/>
  <c r="G97" i="103"/>
  <c r="G153" i="103"/>
  <c r="G158" i="103"/>
  <c r="G13" i="103"/>
  <c r="G16" i="103"/>
  <c r="G201" i="103"/>
  <c r="G178" i="103"/>
  <c r="G170" i="103"/>
  <c r="G12" i="103"/>
  <c r="G72" i="103"/>
  <c r="G88" i="103"/>
  <c r="G228" i="103"/>
  <c r="G231" i="103"/>
  <c r="G64" i="103"/>
  <c r="G123" i="103"/>
  <c r="E228" i="103"/>
  <c r="G25" i="103"/>
  <c r="G114" i="103"/>
  <c r="G119" i="103" s="1"/>
  <c r="E215" i="19" l="1"/>
  <c r="E235" i="103"/>
  <c r="E237" i="103" s="1"/>
  <c r="G235" i="103"/>
  <c r="G237" i="103" s="1"/>
  <c r="G96" i="103"/>
  <c r="G18" i="103"/>
  <c r="G101" i="103"/>
  <c r="G28" i="103"/>
  <c r="G151" i="103"/>
  <c r="G161" i="103" s="1"/>
  <c r="G45" i="103"/>
  <c r="G15" i="103"/>
  <c r="G14" i="103"/>
  <c r="G79" i="103"/>
  <c r="G54" i="103"/>
  <c r="G43" i="103"/>
  <c r="G205" i="103"/>
  <c r="G206" i="103" s="1"/>
  <c r="G105" i="103"/>
  <c r="G111" i="103" s="1"/>
  <c r="G20" i="103"/>
  <c r="H228" i="103"/>
  <c r="H226" i="103"/>
  <c r="H224" i="103"/>
  <c r="H222" i="103"/>
  <c r="H220" i="103"/>
  <c r="H219" i="103"/>
  <c r="H227" i="103"/>
  <c r="H225" i="103"/>
  <c r="H221" i="103"/>
  <c r="H223" i="103"/>
  <c r="E236" i="103" l="1"/>
  <c r="E238" i="103" s="1"/>
  <c r="G236" i="103"/>
  <c r="G99" i="103"/>
  <c r="G102" i="103" s="1"/>
  <c r="G34" i="103"/>
  <c r="G82" i="103"/>
  <c r="G93" i="103" s="1"/>
  <c r="G187" i="103"/>
  <c r="G197" i="103" s="1"/>
  <c r="G238" i="103" l="1"/>
  <c r="G11" i="103"/>
  <c r="G21" i="103" s="1"/>
  <c r="E21" i="103"/>
  <c r="E215" i="103" s="1"/>
  <c r="G61" i="103"/>
  <c r="G208" i="103" s="1"/>
  <c r="H169" i="103" l="1"/>
  <c r="H90" i="103"/>
  <c r="H208" i="103"/>
  <c r="H150" i="103"/>
  <c r="H64" i="103"/>
  <c r="H183" i="103"/>
  <c r="H101" i="103"/>
  <c r="H202" i="103"/>
  <c r="H132" i="103"/>
  <c r="H60" i="103"/>
  <c r="H176" i="103"/>
  <c r="H152" i="103"/>
  <c r="H178" i="103"/>
  <c r="H57" i="103"/>
  <c r="H197" i="103"/>
  <c r="H161" i="103"/>
  <c r="H50" i="103"/>
  <c r="H26" i="103"/>
  <c r="H70" i="103"/>
  <c r="H171" i="103"/>
  <c r="H146" i="103"/>
  <c r="H179" i="103"/>
  <c r="H156" i="103"/>
  <c r="H82" i="103"/>
  <c r="H201" i="103"/>
  <c r="H141" i="103"/>
  <c r="H59" i="103"/>
  <c r="H175" i="103"/>
  <c r="H88" i="103"/>
  <c r="H189" i="103"/>
  <c r="H123" i="103"/>
  <c r="H52" i="103"/>
  <c r="H168" i="103"/>
  <c r="H140" i="103"/>
  <c r="H129" i="103"/>
  <c r="H53" i="103"/>
  <c r="H118" i="103"/>
  <c r="H149" i="103"/>
  <c r="H186" i="103"/>
  <c r="H200" i="103"/>
  <c r="H66" i="103"/>
  <c r="H158" i="103"/>
  <c r="H43" i="103"/>
  <c r="H36" i="103"/>
  <c r="H89" i="103"/>
  <c r="H115" i="103"/>
  <c r="H147" i="103"/>
  <c r="H77" i="103"/>
  <c r="H196" i="103"/>
  <c r="H131" i="103"/>
  <c r="H51" i="103"/>
  <c r="H167" i="103"/>
  <c r="H75" i="103"/>
  <c r="H181" i="103"/>
  <c r="H117" i="103"/>
  <c r="H44" i="103"/>
  <c r="H155" i="103"/>
  <c r="H110" i="103"/>
  <c r="H133" i="103"/>
  <c r="H49" i="103"/>
  <c r="H97" i="103"/>
  <c r="H124" i="103"/>
  <c r="H138" i="103"/>
  <c r="H190" i="103"/>
  <c r="H194" i="103"/>
  <c r="H107" i="103"/>
  <c r="H67" i="103"/>
  <c r="H206" i="103"/>
  <c r="H148" i="103"/>
  <c r="H127" i="103"/>
  <c r="H56" i="103"/>
  <c r="H180" i="103"/>
  <c r="H116" i="103"/>
  <c r="H35" i="103"/>
  <c r="H145" i="103"/>
  <c r="H54" i="103"/>
  <c r="H165" i="103"/>
  <c r="H99" i="103"/>
  <c r="H28" i="103"/>
  <c r="H136" i="103"/>
  <c r="H96" i="103"/>
  <c r="H170" i="103"/>
  <c r="H41" i="103"/>
  <c r="H79" i="103"/>
  <c r="H29" i="103"/>
  <c r="H109" i="103"/>
  <c r="H143" i="103"/>
  <c r="H92" i="103"/>
  <c r="H87" i="103"/>
  <c r="H193" i="103"/>
  <c r="H111" i="103"/>
  <c r="H48" i="103"/>
  <c r="H172" i="103"/>
  <c r="H98" i="103"/>
  <c r="H27" i="103"/>
  <c r="H135" i="103"/>
  <c r="H46" i="103"/>
  <c r="H160" i="103"/>
  <c r="H86" i="103"/>
  <c r="H205" i="103"/>
  <c r="H126" i="103"/>
  <c r="H55" i="103"/>
  <c r="H157" i="103"/>
  <c r="H37" i="103"/>
  <c r="H34" i="103"/>
  <c r="H25" i="103"/>
  <c r="H105" i="103"/>
  <c r="H130" i="103"/>
  <c r="H84" i="103"/>
  <c r="H42" i="103"/>
  <c r="H185" i="103"/>
  <c r="H108" i="103"/>
  <c r="H40" i="103"/>
  <c r="H164" i="103"/>
  <c r="H85" i="103"/>
  <c r="H204" i="103"/>
  <c r="H125" i="103"/>
  <c r="H38" i="103"/>
  <c r="H151" i="103"/>
  <c r="H73" i="103"/>
  <c r="H192" i="103"/>
  <c r="H187" i="103"/>
  <c r="H47" i="103"/>
  <c r="H71" i="103"/>
  <c r="H33" i="103"/>
  <c r="H195" i="103"/>
  <c r="H83" i="103"/>
  <c r="H76" i="103"/>
  <c r="H78" i="103"/>
  <c r="H203" i="103"/>
  <c r="H177" i="103"/>
  <c r="H93" i="103"/>
  <c r="H32" i="103"/>
  <c r="H159" i="103"/>
  <c r="H72" i="103"/>
  <c r="H191" i="103"/>
  <c r="H106" i="103"/>
  <c r="H30" i="103"/>
  <c r="H142" i="103"/>
  <c r="H65" i="103"/>
  <c r="H184" i="103"/>
  <c r="H166" i="103"/>
  <c r="H39" i="103"/>
  <c r="H61" i="103"/>
  <c r="H31" i="103"/>
  <c r="H174" i="103"/>
  <c r="H58" i="103"/>
  <c r="H68" i="103"/>
  <c r="H74" i="103"/>
  <c r="H182" i="103"/>
  <c r="H137" i="103"/>
  <c r="H69" i="103"/>
  <c r="H188" i="103"/>
  <c r="H119" i="103"/>
  <c r="H153" i="103"/>
  <c r="H173" i="103"/>
  <c r="H102" i="103"/>
  <c r="H100" i="103"/>
  <c r="H45" i="103"/>
  <c r="H114" i="103"/>
  <c r="H91" i="103"/>
  <c r="H21" i="103"/>
  <c r="H17" i="103"/>
  <c r="H18" i="103"/>
  <c r="H15" i="103"/>
  <c r="H14" i="103"/>
  <c r="H13" i="103"/>
  <c r="H11" i="103"/>
  <c r="H16" i="103"/>
  <c r="H19" i="103"/>
  <c r="H20" i="103"/>
  <c r="H12" i="103"/>
  <c r="G215" i="103"/>
  <c r="E232" i="83" l="1"/>
  <c r="G232" i="83" s="1"/>
  <c r="E231" i="83"/>
  <c r="F228" i="83"/>
  <c r="E227" i="83"/>
  <c r="G227" i="83" s="1"/>
  <c r="E226" i="83"/>
  <c r="G226" i="83" s="1"/>
  <c r="E225" i="83"/>
  <c r="G225" i="83" s="1"/>
  <c r="E224" i="83"/>
  <c r="G224" i="83" s="1"/>
  <c r="E223" i="83"/>
  <c r="G223" i="83" s="1"/>
  <c r="E222" i="83"/>
  <c r="G222" i="83" s="1"/>
  <c r="E221" i="83"/>
  <c r="G221" i="83" s="1"/>
  <c r="E220" i="83"/>
  <c r="G220" i="83" s="1"/>
  <c r="G205" i="83"/>
  <c r="G204" i="83"/>
  <c r="G203" i="83"/>
  <c r="G202" i="83"/>
  <c r="G201" i="83"/>
  <c r="G196" i="83"/>
  <c r="G195" i="83"/>
  <c r="G194" i="83"/>
  <c r="G193" i="83"/>
  <c r="G192" i="83"/>
  <c r="G191" i="83"/>
  <c r="G190" i="83"/>
  <c r="G189" i="83"/>
  <c r="G188" i="83"/>
  <c r="G187" i="83"/>
  <c r="G186" i="83"/>
  <c r="G185" i="83"/>
  <c r="G184" i="83"/>
  <c r="G183" i="83"/>
  <c r="G182" i="83"/>
  <c r="G181" i="83"/>
  <c r="G180" i="83"/>
  <c r="G179" i="83"/>
  <c r="G178" i="83"/>
  <c r="G177" i="83"/>
  <c r="G176" i="83"/>
  <c r="G175" i="83"/>
  <c r="G174" i="83"/>
  <c r="G173" i="83"/>
  <c r="G172" i="83"/>
  <c r="G171" i="83"/>
  <c r="G170" i="83"/>
  <c r="G169" i="83"/>
  <c r="G168" i="83"/>
  <c r="G167" i="83"/>
  <c r="G166" i="83"/>
  <c r="G165" i="83"/>
  <c r="G160" i="83"/>
  <c r="G159" i="83"/>
  <c r="G158" i="83"/>
  <c r="G157" i="83"/>
  <c r="G156" i="83"/>
  <c r="G155" i="83"/>
  <c r="G153" i="83"/>
  <c r="G152" i="83"/>
  <c r="G151" i="83"/>
  <c r="G150" i="83"/>
  <c r="G149" i="83"/>
  <c r="G148" i="83"/>
  <c r="G147" i="83"/>
  <c r="G146" i="83"/>
  <c r="G145" i="83"/>
  <c r="G143" i="83"/>
  <c r="G142" i="83"/>
  <c r="G141" i="83"/>
  <c r="G140" i="83"/>
  <c r="G138" i="83"/>
  <c r="G137" i="83"/>
  <c r="G136" i="83"/>
  <c r="G135" i="83"/>
  <c r="G133" i="83"/>
  <c r="G132" i="83"/>
  <c r="G131" i="83"/>
  <c r="G130" i="83"/>
  <c r="G129" i="83"/>
  <c r="G127" i="83"/>
  <c r="G126" i="83"/>
  <c r="G125" i="83"/>
  <c r="G124" i="83"/>
  <c r="G118" i="83"/>
  <c r="G117" i="83"/>
  <c r="G116" i="83"/>
  <c r="G115" i="83"/>
  <c r="G110" i="83"/>
  <c r="G109" i="83"/>
  <c r="G108" i="83"/>
  <c r="G107" i="83"/>
  <c r="G106" i="83"/>
  <c r="G101" i="83"/>
  <c r="G100" i="83"/>
  <c r="G99" i="83"/>
  <c r="G98" i="83"/>
  <c r="G97" i="83"/>
  <c r="G92" i="83"/>
  <c r="G91" i="83"/>
  <c r="G90" i="83"/>
  <c r="G89" i="83"/>
  <c r="G88" i="83"/>
  <c r="G87" i="83"/>
  <c r="G86" i="83"/>
  <c r="G85" i="83"/>
  <c r="G84" i="83"/>
  <c r="G83" i="83"/>
  <c r="G78" i="83"/>
  <c r="G77" i="83"/>
  <c r="G76" i="83"/>
  <c r="G75" i="83"/>
  <c r="G74" i="83"/>
  <c r="G73" i="83"/>
  <c r="G72" i="83"/>
  <c r="G71" i="83"/>
  <c r="G70" i="83"/>
  <c r="G69" i="83"/>
  <c r="G68" i="83"/>
  <c r="G67" i="83"/>
  <c r="G66" i="83"/>
  <c r="G65" i="83"/>
  <c r="G60" i="83"/>
  <c r="G59" i="83"/>
  <c r="G58" i="83"/>
  <c r="G57" i="83"/>
  <c r="G56" i="83"/>
  <c r="G55" i="83"/>
  <c r="G54" i="83"/>
  <c r="G53" i="83"/>
  <c r="G52" i="83"/>
  <c r="G51" i="83"/>
  <c r="G50" i="83"/>
  <c r="G49" i="83"/>
  <c r="G48" i="83"/>
  <c r="G47" i="83"/>
  <c r="G46" i="83"/>
  <c r="G45" i="83"/>
  <c r="G44" i="83"/>
  <c r="G43" i="83"/>
  <c r="G42" i="83"/>
  <c r="G41" i="83"/>
  <c r="G40" i="83"/>
  <c r="G39" i="83"/>
  <c r="G38" i="83"/>
  <c r="G37" i="83"/>
  <c r="G36" i="83"/>
  <c r="G35" i="83"/>
  <c r="G34" i="83"/>
  <c r="G33" i="83"/>
  <c r="G32" i="83"/>
  <c r="G31" i="83"/>
  <c r="G30" i="83"/>
  <c r="G29" i="83"/>
  <c r="G28" i="83"/>
  <c r="G27" i="83"/>
  <c r="G26" i="83"/>
  <c r="G20" i="83"/>
  <c r="G19" i="83"/>
  <c r="G18" i="83"/>
  <c r="G17" i="83"/>
  <c r="G16" i="83"/>
  <c r="G15" i="83"/>
  <c r="G14" i="83"/>
  <c r="G13" i="83"/>
  <c r="G12" i="83"/>
  <c r="E21" i="83" l="1"/>
  <c r="G231" i="83"/>
  <c r="G11" i="83"/>
  <c r="G21" i="83" s="1"/>
  <c r="G25" i="83"/>
  <c r="G64" i="83"/>
  <c r="G79" i="83" s="1"/>
  <c r="G82" i="83"/>
  <c r="G93" i="83" s="1"/>
  <c r="G96" i="83"/>
  <c r="G102" i="83" s="1"/>
  <c r="G105" i="83"/>
  <c r="G111" i="83" s="1"/>
  <c r="G114" i="83"/>
  <c r="G119" i="83" s="1"/>
  <c r="G123" i="83"/>
  <c r="G161" i="83" s="1"/>
  <c r="G164" i="83"/>
  <c r="G197" i="83" s="1"/>
  <c r="G200" i="83"/>
  <c r="G206" i="83" s="1"/>
  <c r="E232" i="68"/>
  <c r="G232" i="68" s="1"/>
  <c r="E231" i="68"/>
  <c r="F228" i="68"/>
  <c r="E227" i="68"/>
  <c r="G227" i="68" s="1"/>
  <c r="E226" i="68"/>
  <c r="G226" i="68" s="1"/>
  <c r="E225" i="68"/>
  <c r="G225" i="68" s="1"/>
  <c r="E224" i="68"/>
  <c r="G224" i="68" s="1"/>
  <c r="E223" i="68"/>
  <c r="G223" i="68" s="1"/>
  <c r="E222" i="68"/>
  <c r="G222" i="68" s="1"/>
  <c r="E221" i="68"/>
  <c r="G221" i="68" s="1"/>
  <c r="E220" i="68"/>
  <c r="G220" i="68" s="1"/>
  <c r="G205" i="68"/>
  <c r="G204" i="68"/>
  <c r="G203" i="68"/>
  <c r="G202" i="68"/>
  <c r="G201" i="68"/>
  <c r="G196" i="68"/>
  <c r="G195" i="68"/>
  <c r="G194" i="68"/>
  <c r="G193" i="68"/>
  <c r="G192" i="68"/>
  <c r="G191" i="68"/>
  <c r="G190" i="68"/>
  <c r="G189" i="68"/>
  <c r="G188" i="68"/>
  <c r="G187" i="68"/>
  <c r="G186" i="68"/>
  <c r="G185" i="68"/>
  <c r="G184" i="68"/>
  <c r="G183" i="68"/>
  <c r="G182" i="68"/>
  <c r="G181" i="68"/>
  <c r="G180" i="68"/>
  <c r="G179" i="68"/>
  <c r="G178" i="68"/>
  <c r="G177" i="68"/>
  <c r="G176" i="68"/>
  <c r="G175" i="68"/>
  <c r="G174" i="68"/>
  <c r="G173" i="68"/>
  <c r="G172" i="68"/>
  <c r="G171" i="68"/>
  <c r="G170" i="68"/>
  <c r="G169" i="68"/>
  <c r="G168" i="68"/>
  <c r="G167" i="68"/>
  <c r="G166" i="68"/>
  <c r="G165" i="68"/>
  <c r="G160" i="68"/>
  <c r="G159" i="68"/>
  <c r="G158" i="68"/>
  <c r="G157" i="68"/>
  <c r="G156" i="68"/>
  <c r="G155" i="68"/>
  <c r="G153" i="68"/>
  <c r="G152" i="68"/>
  <c r="G151" i="68"/>
  <c r="G150" i="68"/>
  <c r="G149" i="68"/>
  <c r="G148" i="68"/>
  <c r="G147" i="68"/>
  <c r="G146" i="68"/>
  <c r="G145" i="68"/>
  <c r="G143" i="68"/>
  <c r="G142" i="68"/>
  <c r="G141" i="68"/>
  <c r="G140" i="68"/>
  <c r="G138" i="68"/>
  <c r="G137" i="68"/>
  <c r="G136" i="68"/>
  <c r="G135" i="68"/>
  <c r="G133" i="68"/>
  <c r="G132" i="68"/>
  <c r="G131" i="68"/>
  <c r="G130" i="68"/>
  <c r="G129" i="68"/>
  <c r="G127" i="68"/>
  <c r="G126" i="68"/>
  <c r="G125" i="68"/>
  <c r="G124" i="68"/>
  <c r="G118" i="68"/>
  <c r="G117" i="68"/>
  <c r="G116" i="68"/>
  <c r="G115" i="68"/>
  <c r="G110" i="68"/>
  <c r="G109" i="68"/>
  <c r="G108" i="68"/>
  <c r="G107" i="68"/>
  <c r="G106" i="68"/>
  <c r="G101" i="68"/>
  <c r="G100" i="68"/>
  <c r="G99" i="68"/>
  <c r="G98" i="68"/>
  <c r="G97" i="68"/>
  <c r="G92" i="68"/>
  <c r="G91" i="68"/>
  <c r="G90" i="68"/>
  <c r="G89" i="68"/>
  <c r="G88" i="68"/>
  <c r="G87" i="68"/>
  <c r="G86" i="68"/>
  <c r="G85" i="68"/>
  <c r="G84" i="68"/>
  <c r="G83" i="68"/>
  <c r="G78" i="68"/>
  <c r="G77" i="68"/>
  <c r="G76" i="68"/>
  <c r="G75" i="68"/>
  <c r="G74" i="68"/>
  <c r="G73" i="68"/>
  <c r="G72" i="68"/>
  <c r="G71" i="68"/>
  <c r="G70" i="68"/>
  <c r="G69" i="68"/>
  <c r="G68" i="68"/>
  <c r="G67" i="68"/>
  <c r="G66" i="68"/>
  <c r="G65" i="68"/>
  <c r="G60" i="68"/>
  <c r="G59" i="68"/>
  <c r="G58" i="68"/>
  <c r="G57" i="68"/>
  <c r="G56" i="68"/>
  <c r="G55" i="68"/>
  <c r="G54" i="68"/>
  <c r="G53" i="68"/>
  <c r="G52" i="68"/>
  <c r="G51" i="68"/>
  <c r="G50" i="68"/>
  <c r="G49" i="68"/>
  <c r="G48" i="68"/>
  <c r="G47" i="68"/>
  <c r="G46" i="68"/>
  <c r="G45" i="68"/>
  <c r="G44" i="68"/>
  <c r="G43" i="68"/>
  <c r="G42" i="68"/>
  <c r="G41" i="68"/>
  <c r="G40" i="68"/>
  <c r="G39" i="68"/>
  <c r="G38" i="68"/>
  <c r="G37" i="68"/>
  <c r="G36" i="68"/>
  <c r="G35" i="68"/>
  <c r="G34" i="68"/>
  <c r="G33" i="68"/>
  <c r="G32" i="68"/>
  <c r="G31" i="68"/>
  <c r="G30" i="68"/>
  <c r="G29" i="68"/>
  <c r="G28" i="68"/>
  <c r="G27" i="68"/>
  <c r="G26" i="68"/>
  <c r="F215" i="68"/>
  <c r="G20" i="68"/>
  <c r="G19" i="68"/>
  <c r="G18" i="68"/>
  <c r="G17" i="68"/>
  <c r="G16" i="68"/>
  <c r="G15" i="68"/>
  <c r="G14" i="68"/>
  <c r="G13" i="68"/>
  <c r="G12" i="68"/>
  <c r="G205" i="111"/>
  <c r="G204" i="111"/>
  <c r="G203" i="111"/>
  <c r="G202" i="111"/>
  <c r="G201" i="111"/>
  <c r="G196" i="111"/>
  <c r="G195" i="111"/>
  <c r="G194" i="111"/>
  <c r="G193" i="111"/>
  <c r="G192" i="111"/>
  <c r="G191" i="111"/>
  <c r="G190" i="111"/>
  <c r="G189" i="111"/>
  <c r="G188" i="111"/>
  <c r="G187" i="111"/>
  <c r="G186" i="111"/>
  <c r="G185" i="111"/>
  <c r="G184" i="111"/>
  <c r="G183" i="111"/>
  <c r="G182" i="111"/>
  <c r="G181" i="111"/>
  <c r="G180" i="111"/>
  <c r="G179" i="111"/>
  <c r="G178" i="111"/>
  <c r="G177" i="111"/>
  <c r="G176" i="111"/>
  <c r="G175" i="111"/>
  <c r="G174" i="111"/>
  <c r="G173" i="111"/>
  <c r="G172" i="111"/>
  <c r="G171" i="111"/>
  <c r="G170" i="111"/>
  <c r="G169" i="111"/>
  <c r="G168" i="111"/>
  <c r="G167" i="111"/>
  <c r="G166" i="111"/>
  <c r="G165" i="111"/>
  <c r="G160" i="111"/>
  <c r="G159" i="111"/>
  <c r="G158" i="111"/>
  <c r="G157" i="111"/>
  <c r="G156" i="111"/>
  <c r="G155" i="111"/>
  <c r="G153" i="111"/>
  <c r="G152" i="111"/>
  <c r="G151" i="111"/>
  <c r="G150" i="111"/>
  <c r="G149" i="111"/>
  <c r="G148" i="111"/>
  <c r="G147" i="111"/>
  <c r="G146" i="111"/>
  <c r="G145" i="111"/>
  <c r="G143" i="111"/>
  <c r="G142" i="111"/>
  <c r="G141" i="111"/>
  <c r="G140" i="111"/>
  <c r="G138" i="111"/>
  <c r="G137" i="111"/>
  <c r="G136" i="111"/>
  <c r="G135" i="111"/>
  <c r="G133" i="111"/>
  <c r="G132" i="111"/>
  <c r="G131" i="111"/>
  <c r="G130" i="111"/>
  <c r="G129" i="111"/>
  <c r="G127" i="111"/>
  <c r="G126" i="111"/>
  <c r="G125" i="111"/>
  <c r="G124" i="111"/>
  <c r="G118" i="111"/>
  <c r="G117" i="111"/>
  <c r="G116" i="111"/>
  <c r="G115" i="111"/>
  <c r="G110" i="111"/>
  <c r="G109" i="111"/>
  <c r="G108" i="111"/>
  <c r="G107" i="111"/>
  <c r="G106" i="111"/>
  <c r="G101" i="111"/>
  <c r="G100" i="111"/>
  <c r="G99" i="111"/>
  <c r="G98" i="111"/>
  <c r="G97" i="111"/>
  <c r="G92" i="111"/>
  <c r="G91" i="111"/>
  <c r="G90" i="111"/>
  <c r="G89" i="111"/>
  <c r="G88" i="111"/>
  <c r="G87" i="111"/>
  <c r="G86" i="111"/>
  <c r="G85" i="111"/>
  <c r="G84" i="111"/>
  <c r="G83" i="111"/>
  <c r="G78" i="111"/>
  <c r="G77" i="111"/>
  <c r="G76" i="111"/>
  <c r="G75" i="111"/>
  <c r="G74" i="111"/>
  <c r="G73" i="111"/>
  <c r="G72" i="111"/>
  <c r="G71" i="111"/>
  <c r="G70" i="111"/>
  <c r="G69" i="111"/>
  <c r="G68" i="111"/>
  <c r="G67" i="111"/>
  <c r="G66" i="111"/>
  <c r="G65" i="111"/>
  <c r="G60" i="111"/>
  <c r="G59" i="111"/>
  <c r="G58" i="111"/>
  <c r="G57" i="111"/>
  <c r="G56" i="111"/>
  <c r="G55" i="111"/>
  <c r="G54" i="111"/>
  <c r="G53" i="111"/>
  <c r="G52" i="111"/>
  <c r="G51" i="111"/>
  <c r="G50" i="111"/>
  <c r="G49" i="111"/>
  <c r="G48" i="111"/>
  <c r="G47" i="111"/>
  <c r="G46" i="111"/>
  <c r="G45" i="111"/>
  <c r="G44" i="111"/>
  <c r="G43" i="111"/>
  <c r="G42" i="111"/>
  <c r="G41" i="111"/>
  <c r="G40" i="111"/>
  <c r="G39" i="111"/>
  <c r="G38" i="111"/>
  <c r="G37" i="111"/>
  <c r="G36" i="111"/>
  <c r="G35" i="111"/>
  <c r="G34" i="111"/>
  <c r="G33" i="111"/>
  <c r="G32" i="111"/>
  <c r="G31" i="111"/>
  <c r="G30" i="111"/>
  <c r="G29" i="111"/>
  <c r="G28" i="111"/>
  <c r="G27" i="111"/>
  <c r="G26" i="111"/>
  <c r="F21" i="111"/>
  <c r="F215" i="111" s="1"/>
  <c r="G20" i="111"/>
  <c r="G19" i="111"/>
  <c r="G18" i="111"/>
  <c r="G17" i="111"/>
  <c r="G16" i="111"/>
  <c r="G15" i="111"/>
  <c r="G14" i="111"/>
  <c r="G13" i="111"/>
  <c r="G12" i="111"/>
  <c r="E215" i="83" l="1"/>
  <c r="E21" i="68"/>
  <c r="E215" i="68" s="1"/>
  <c r="E21" i="111"/>
  <c r="E228" i="83"/>
  <c r="G219" i="83"/>
  <c r="G61" i="83"/>
  <c r="G208" i="83" s="1"/>
  <c r="H21" i="83"/>
  <c r="H20" i="83"/>
  <c r="H19" i="83"/>
  <c r="H18" i="83"/>
  <c r="H17" i="83"/>
  <c r="H16" i="83"/>
  <c r="H15" i="83"/>
  <c r="H14" i="83"/>
  <c r="H13" i="83"/>
  <c r="H12" i="83"/>
  <c r="H11" i="83"/>
  <c r="G231" i="68"/>
  <c r="G11" i="68"/>
  <c r="G21" i="68" s="1"/>
  <c r="G25" i="68"/>
  <c r="G64" i="68"/>
  <c r="G79" i="68" s="1"/>
  <c r="G82" i="68"/>
  <c r="G93" i="68" s="1"/>
  <c r="G96" i="68"/>
  <c r="G102" i="68" s="1"/>
  <c r="G105" i="68"/>
  <c r="G111" i="68" s="1"/>
  <c r="G114" i="68"/>
  <c r="G119" i="68" s="1"/>
  <c r="G123" i="68"/>
  <c r="G161" i="68" s="1"/>
  <c r="G164" i="68"/>
  <c r="G197" i="68" s="1"/>
  <c r="G200" i="68"/>
  <c r="G206" i="68" s="1"/>
  <c r="G11" i="111"/>
  <c r="G21" i="111" s="1"/>
  <c r="G25" i="111"/>
  <c r="G61" i="111" s="1"/>
  <c r="G64" i="111"/>
  <c r="G79" i="111" s="1"/>
  <c r="G82" i="111"/>
  <c r="G93" i="111" s="1"/>
  <c r="G96" i="111"/>
  <c r="G102" i="111" s="1"/>
  <c r="G105" i="111"/>
  <c r="G111" i="111" s="1"/>
  <c r="G114" i="111"/>
  <c r="G119" i="111" s="1"/>
  <c r="G123" i="111"/>
  <c r="G161" i="111" s="1"/>
  <c r="G164" i="111"/>
  <c r="G197" i="111" s="1"/>
  <c r="G200" i="111"/>
  <c r="G206" i="111" s="1"/>
  <c r="K11" i="111" l="1"/>
  <c r="E215" i="111"/>
  <c r="H208" i="83"/>
  <c r="H206" i="83"/>
  <c r="H205" i="83"/>
  <c r="H204" i="83"/>
  <c r="H203" i="83"/>
  <c r="H202" i="83"/>
  <c r="H201" i="83"/>
  <c r="H200" i="83"/>
  <c r="H197" i="83"/>
  <c r="H196" i="83"/>
  <c r="H195" i="83"/>
  <c r="H194" i="83"/>
  <c r="H193" i="83"/>
  <c r="H192" i="83"/>
  <c r="H191" i="83"/>
  <c r="H190" i="83"/>
  <c r="H189" i="83"/>
  <c r="H188" i="83"/>
  <c r="H187" i="83"/>
  <c r="H186" i="83"/>
  <c r="H185" i="83"/>
  <c r="H184" i="83"/>
  <c r="H183" i="83"/>
  <c r="H182" i="83"/>
  <c r="H181" i="83"/>
  <c r="H180" i="83"/>
  <c r="H179" i="83"/>
  <c r="H178" i="83"/>
  <c r="H177" i="83"/>
  <c r="H176" i="83"/>
  <c r="H175" i="83"/>
  <c r="H174" i="83"/>
  <c r="H173" i="83"/>
  <c r="H172" i="83"/>
  <c r="H171" i="83"/>
  <c r="H170" i="83"/>
  <c r="H169" i="83"/>
  <c r="H168" i="83"/>
  <c r="H167" i="83"/>
  <c r="H166" i="83"/>
  <c r="H165" i="83"/>
  <c r="H164" i="83"/>
  <c r="H161" i="83"/>
  <c r="H160" i="83"/>
  <c r="H159" i="83"/>
  <c r="H158" i="83"/>
  <c r="H157" i="83"/>
  <c r="H156" i="83"/>
  <c r="H155" i="83"/>
  <c r="H153" i="83"/>
  <c r="H152" i="83"/>
  <c r="H151" i="83"/>
  <c r="H150" i="83"/>
  <c r="H149" i="83"/>
  <c r="H148" i="83"/>
  <c r="H147" i="83"/>
  <c r="H146" i="83"/>
  <c r="H145" i="83"/>
  <c r="H143" i="83"/>
  <c r="H142" i="83"/>
  <c r="H141" i="83"/>
  <c r="H140" i="83"/>
  <c r="H138" i="83"/>
  <c r="H137" i="83"/>
  <c r="H136" i="83"/>
  <c r="H135" i="83"/>
  <c r="H133" i="83"/>
  <c r="H132" i="83"/>
  <c r="H131" i="83"/>
  <c r="H130" i="83"/>
  <c r="H129" i="83"/>
  <c r="H127" i="83"/>
  <c r="H126" i="83"/>
  <c r="H125" i="83"/>
  <c r="H124" i="83"/>
  <c r="H123" i="83"/>
  <c r="H119" i="83"/>
  <c r="H118" i="83"/>
  <c r="H117" i="83"/>
  <c r="H116" i="83"/>
  <c r="H115" i="83"/>
  <c r="H114" i="83"/>
  <c r="H111" i="83"/>
  <c r="H110" i="83"/>
  <c r="H109" i="83"/>
  <c r="H108" i="83"/>
  <c r="H107" i="83"/>
  <c r="H106" i="83"/>
  <c r="H105" i="83"/>
  <c r="H102" i="83"/>
  <c r="H101" i="83"/>
  <c r="H100" i="83"/>
  <c r="H99" i="83"/>
  <c r="H98" i="83"/>
  <c r="H97" i="83"/>
  <c r="H96" i="83"/>
  <c r="H93" i="83"/>
  <c r="H92" i="83"/>
  <c r="H91" i="83"/>
  <c r="H90" i="83"/>
  <c r="H89" i="83"/>
  <c r="H88" i="83"/>
  <c r="H87" i="83"/>
  <c r="H86" i="83"/>
  <c r="H85" i="83"/>
  <c r="H84" i="83"/>
  <c r="H83" i="83"/>
  <c r="H82" i="83"/>
  <c r="H79" i="83"/>
  <c r="H78" i="83"/>
  <c r="H77" i="83"/>
  <c r="H76" i="83"/>
  <c r="H75" i="83"/>
  <c r="H74" i="83"/>
  <c r="H73" i="83"/>
  <c r="H72" i="83"/>
  <c r="H71" i="83"/>
  <c r="H70" i="83"/>
  <c r="H69" i="83"/>
  <c r="H68" i="83"/>
  <c r="H67" i="83"/>
  <c r="H66" i="83"/>
  <c r="H65" i="83"/>
  <c r="H64" i="83"/>
  <c r="H61" i="83"/>
  <c r="H60" i="83"/>
  <c r="H59" i="83"/>
  <c r="H58" i="83"/>
  <c r="H57" i="83"/>
  <c r="H56" i="83"/>
  <c r="H55" i="83"/>
  <c r="H54" i="83"/>
  <c r="H53" i="83"/>
  <c r="H52" i="83"/>
  <c r="H51" i="83"/>
  <c r="H50" i="83"/>
  <c r="H49" i="83"/>
  <c r="H48" i="83"/>
  <c r="H47" i="83"/>
  <c r="H46" i="83"/>
  <c r="H45" i="83"/>
  <c r="H44" i="83"/>
  <c r="H43" i="83"/>
  <c r="H42" i="83"/>
  <c r="H41" i="83"/>
  <c r="H40" i="83"/>
  <c r="H39" i="83"/>
  <c r="H38" i="83"/>
  <c r="H37" i="83"/>
  <c r="H36" i="83"/>
  <c r="H35" i="83"/>
  <c r="H34" i="83"/>
  <c r="H33" i="83"/>
  <c r="H32" i="83"/>
  <c r="H31" i="83"/>
  <c r="H30" i="83"/>
  <c r="H29" i="83"/>
  <c r="H28" i="83"/>
  <c r="H27" i="83"/>
  <c r="H26" i="83"/>
  <c r="H25" i="83"/>
  <c r="G215" i="83"/>
  <c r="G228" i="83"/>
  <c r="E228" i="68"/>
  <c r="G219" i="68"/>
  <c r="G61" i="68"/>
  <c r="G208" i="68" s="1"/>
  <c r="H21" i="68"/>
  <c r="H20" i="68"/>
  <c r="H19" i="68"/>
  <c r="H18" i="68"/>
  <c r="H17" i="68"/>
  <c r="H16" i="68"/>
  <c r="H15" i="68"/>
  <c r="H14" i="68"/>
  <c r="H13" i="68"/>
  <c r="H12" i="68"/>
  <c r="H11" i="68"/>
  <c r="H21" i="111"/>
  <c r="H20" i="111"/>
  <c r="H19" i="111"/>
  <c r="H18" i="111"/>
  <c r="H17" i="111"/>
  <c r="H16" i="111"/>
  <c r="H15" i="111"/>
  <c r="H14" i="111"/>
  <c r="H13" i="111"/>
  <c r="H12" i="111"/>
  <c r="H11" i="111"/>
  <c r="E232" i="145"/>
  <c r="E231" i="145"/>
  <c r="E227" i="145"/>
  <c r="E226" i="145"/>
  <c r="E225" i="145"/>
  <c r="E222" i="145"/>
  <c r="E221" i="145"/>
  <c r="E220" i="145"/>
  <c r="K18" i="145"/>
  <c r="K17" i="145"/>
  <c r="E19" i="145"/>
  <c r="E15" i="145"/>
  <c r="F228" i="145"/>
  <c r="E224" i="145"/>
  <c r="E223" i="145"/>
  <c r="F21" i="145"/>
  <c r="F215" i="145" l="1"/>
  <c r="G44" i="145"/>
  <c r="G172" i="145"/>
  <c r="G48" i="145"/>
  <c r="G224" i="145"/>
  <c r="G36" i="145"/>
  <c r="G74" i="145"/>
  <c r="G130" i="145"/>
  <c r="G157" i="145"/>
  <c r="G204" i="145"/>
  <c r="G227" i="145"/>
  <c r="G40" i="145"/>
  <c r="G78" i="145"/>
  <c r="G135" i="145"/>
  <c r="G169" i="145"/>
  <c r="G84" i="145"/>
  <c r="G88" i="145"/>
  <c r="G220" i="145"/>
  <c r="G19" i="145"/>
  <c r="G145" i="145"/>
  <c r="G26" i="145"/>
  <c r="G59" i="145"/>
  <c r="G98" i="145"/>
  <c r="G147" i="145"/>
  <c r="G186" i="145"/>
  <c r="G222" i="145"/>
  <c r="G137" i="145"/>
  <c r="G232" i="145"/>
  <c r="G140" i="145"/>
  <c r="G92" i="145"/>
  <c r="G182" i="145"/>
  <c r="G28" i="145"/>
  <c r="G66" i="145"/>
  <c r="G108" i="145"/>
  <c r="G149" i="145"/>
  <c r="G190" i="145"/>
  <c r="G225" i="145"/>
  <c r="G15" i="145"/>
  <c r="G178" i="145"/>
  <c r="G55" i="145"/>
  <c r="G221" i="145"/>
  <c r="G223" i="145"/>
  <c r="G32" i="145"/>
  <c r="G70" i="145"/>
  <c r="G118" i="145"/>
  <c r="G152" i="145"/>
  <c r="G194" i="145"/>
  <c r="G226" i="145"/>
  <c r="E20" i="145"/>
  <c r="E12" i="145"/>
  <c r="E16" i="145"/>
  <c r="E14" i="145"/>
  <c r="E18" i="145"/>
  <c r="E13" i="145"/>
  <c r="E17" i="145"/>
  <c r="H228" i="83"/>
  <c r="H227" i="83"/>
  <c r="H226" i="83"/>
  <c r="H225" i="83"/>
  <c r="H224" i="83"/>
  <c r="H223" i="83"/>
  <c r="H222" i="83"/>
  <c r="H221" i="83"/>
  <c r="H220" i="83"/>
  <c r="H219" i="83"/>
  <c r="H208" i="68"/>
  <c r="H206" i="68"/>
  <c r="H205" i="68"/>
  <c r="H204" i="68"/>
  <c r="H203" i="68"/>
  <c r="H202" i="68"/>
  <c r="H201" i="68"/>
  <c r="H200" i="68"/>
  <c r="H197" i="68"/>
  <c r="H196" i="68"/>
  <c r="H195" i="68"/>
  <c r="H194" i="68"/>
  <c r="H193" i="68"/>
  <c r="H192" i="68"/>
  <c r="H191" i="68"/>
  <c r="H190" i="68"/>
  <c r="H189" i="68"/>
  <c r="H188" i="68"/>
  <c r="H187" i="68"/>
  <c r="H186" i="68"/>
  <c r="H185" i="68"/>
  <c r="H184" i="68"/>
  <c r="H183" i="68"/>
  <c r="H182" i="68"/>
  <c r="H181" i="68"/>
  <c r="H180" i="68"/>
  <c r="H179" i="68"/>
  <c r="H178" i="68"/>
  <c r="H177" i="68"/>
  <c r="H176" i="68"/>
  <c r="H175" i="68"/>
  <c r="H174" i="68"/>
  <c r="H173" i="68"/>
  <c r="H172" i="68"/>
  <c r="H171" i="68"/>
  <c r="H170" i="68"/>
  <c r="H169" i="68"/>
  <c r="H168" i="68"/>
  <c r="H167" i="68"/>
  <c r="H166" i="68"/>
  <c r="H165" i="68"/>
  <c r="H164" i="68"/>
  <c r="H161" i="68"/>
  <c r="H160" i="68"/>
  <c r="H159" i="68"/>
  <c r="H158" i="68"/>
  <c r="H157" i="68"/>
  <c r="H156" i="68"/>
  <c r="H155" i="68"/>
  <c r="H153" i="68"/>
  <c r="H152" i="68"/>
  <c r="H151" i="68"/>
  <c r="H150" i="68"/>
  <c r="H149" i="68"/>
  <c r="H148" i="68"/>
  <c r="H147" i="68"/>
  <c r="H146" i="68"/>
  <c r="H145" i="68"/>
  <c r="H143" i="68"/>
  <c r="H142" i="68"/>
  <c r="H141" i="68"/>
  <c r="H140" i="68"/>
  <c r="H138" i="68"/>
  <c r="H137" i="68"/>
  <c r="H136" i="68"/>
  <c r="H135" i="68"/>
  <c r="H133" i="68"/>
  <c r="H132" i="68"/>
  <c r="H131" i="68"/>
  <c r="H130" i="68"/>
  <c r="H129" i="68"/>
  <c r="H127" i="68"/>
  <c r="H126" i="68"/>
  <c r="H125" i="68"/>
  <c r="H124" i="68"/>
  <c r="H123" i="68"/>
  <c r="H119" i="68"/>
  <c r="H118" i="68"/>
  <c r="H117" i="68"/>
  <c r="H116" i="68"/>
  <c r="H115" i="68"/>
  <c r="H114" i="68"/>
  <c r="H111" i="68"/>
  <c r="H110" i="68"/>
  <c r="H109" i="68"/>
  <c r="H108" i="68"/>
  <c r="H107" i="68"/>
  <c r="H106" i="68"/>
  <c r="H105" i="68"/>
  <c r="H102" i="68"/>
  <c r="H101" i="68"/>
  <c r="H100" i="68"/>
  <c r="H99" i="68"/>
  <c r="H98" i="68"/>
  <c r="H97" i="68"/>
  <c r="H96" i="68"/>
  <c r="H93" i="68"/>
  <c r="H92" i="68"/>
  <c r="H91" i="68"/>
  <c r="H90" i="68"/>
  <c r="H89" i="68"/>
  <c r="H88" i="68"/>
  <c r="H87" i="68"/>
  <c r="H86" i="68"/>
  <c r="H85" i="68"/>
  <c r="H84" i="68"/>
  <c r="H83" i="68"/>
  <c r="H82" i="68"/>
  <c r="H79" i="68"/>
  <c r="H78" i="68"/>
  <c r="H77" i="68"/>
  <c r="H76" i="68"/>
  <c r="H75" i="68"/>
  <c r="H74" i="68"/>
  <c r="H73" i="68"/>
  <c r="H72" i="68"/>
  <c r="H71" i="68"/>
  <c r="H70" i="68"/>
  <c r="H69" i="68"/>
  <c r="H68" i="68"/>
  <c r="H67" i="68"/>
  <c r="H66" i="68"/>
  <c r="H65" i="68"/>
  <c r="H64" i="68"/>
  <c r="H61" i="68"/>
  <c r="H60" i="68"/>
  <c r="H59" i="68"/>
  <c r="H58" i="68"/>
  <c r="H57" i="68"/>
  <c r="H56" i="68"/>
  <c r="H55" i="68"/>
  <c r="H54" i="68"/>
  <c r="H53" i="68"/>
  <c r="H52" i="68"/>
  <c r="H51" i="68"/>
  <c r="H50" i="68"/>
  <c r="H49" i="68"/>
  <c r="H48" i="68"/>
  <c r="H47" i="68"/>
  <c r="H46" i="68"/>
  <c r="H45" i="68"/>
  <c r="H44" i="68"/>
  <c r="H43" i="68"/>
  <c r="H42" i="68"/>
  <c r="H41" i="68"/>
  <c r="H40" i="68"/>
  <c r="H39" i="68"/>
  <c r="H38" i="68"/>
  <c r="H37" i="68"/>
  <c r="H36" i="68"/>
  <c r="H35" i="68"/>
  <c r="H34" i="68"/>
  <c r="H33" i="68"/>
  <c r="H32" i="68"/>
  <c r="H31" i="68"/>
  <c r="H30" i="68"/>
  <c r="H29" i="68"/>
  <c r="H28" i="68"/>
  <c r="H27" i="68"/>
  <c r="H26" i="68"/>
  <c r="H25" i="68"/>
  <c r="G215" i="68"/>
  <c r="G228" i="68"/>
  <c r="E233" i="145"/>
  <c r="E11" i="145"/>
  <c r="G231" i="145"/>
  <c r="M15" i="145" l="1"/>
  <c r="M19" i="145"/>
  <c r="G136" i="145"/>
  <c r="G189" i="145"/>
  <c r="G65" i="145"/>
  <c r="G75" i="145"/>
  <c r="G165" i="145"/>
  <c r="G184" i="145"/>
  <c r="G176" i="145"/>
  <c r="G168" i="145"/>
  <c r="G203" i="145"/>
  <c r="G166" i="145"/>
  <c r="G124" i="145"/>
  <c r="G73" i="145"/>
  <c r="G39" i="145"/>
  <c r="G191" i="145"/>
  <c r="G153" i="145"/>
  <c r="G89" i="145"/>
  <c r="G49" i="145"/>
  <c r="G196" i="145"/>
  <c r="G180" i="145"/>
  <c r="G148" i="145"/>
  <c r="G159" i="145"/>
  <c r="G142" i="145"/>
  <c r="G155" i="145"/>
  <c r="G193" i="145"/>
  <c r="G160" i="145"/>
  <c r="G117" i="145"/>
  <c r="G69" i="145"/>
  <c r="G35" i="145"/>
  <c r="G187" i="145"/>
  <c r="G141" i="145"/>
  <c r="G85" i="145"/>
  <c r="G45" i="145"/>
  <c r="G20" i="145"/>
  <c r="G132" i="145"/>
  <c r="G106" i="145"/>
  <c r="G156" i="145"/>
  <c r="G183" i="145"/>
  <c r="G41" i="145"/>
  <c r="G107" i="145"/>
  <c r="G116" i="145"/>
  <c r="G72" i="145"/>
  <c r="G185" i="145"/>
  <c r="G97" i="145"/>
  <c r="G18" i="145"/>
  <c r="G127" i="145"/>
  <c r="G37" i="145"/>
  <c r="G68" i="145"/>
  <c r="G86" i="145"/>
  <c r="G53" i="145"/>
  <c r="G181" i="145"/>
  <c r="G91" i="145"/>
  <c r="G14" i="145"/>
  <c r="G125" i="145"/>
  <c r="G33" i="145"/>
  <c r="G34" i="145"/>
  <c r="G57" i="145"/>
  <c r="G46" i="145"/>
  <c r="G42" i="145"/>
  <c r="G50" i="145"/>
  <c r="G177" i="145"/>
  <c r="G133" i="145"/>
  <c r="G87" i="145"/>
  <c r="G51" i="145"/>
  <c r="G205" i="145"/>
  <c r="G170" i="145"/>
  <c r="G115" i="145"/>
  <c r="G60" i="145"/>
  <c r="G29" i="145"/>
  <c r="G150" i="145"/>
  <c r="G101" i="145"/>
  <c r="G131" i="145"/>
  <c r="G76" i="145"/>
  <c r="G110" i="145"/>
  <c r="G138" i="145"/>
  <c r="G151" i="145"/>
  <c r="G58" i="145"/>
  <c r="G179" i="145"/>
  <c r="G71" i="145"/>
  <c r="G90" i="145"/>
  <c r="G100" i="145"/>
  <c r="G143" i="145"/>
  <c r="G54" i="145"/>
  <c r="G175" i="145"/>
  <c r="G67" i="145"/>
  <c r="G233" i="145"/>
  <c r="G17" i="145"/>
  <c r="G38" i="145"/>
  <c r="G30" i="145"/>
  <c r="G13" i="145"/>
  <c r="G27" i="145"/>
  <c r="G174" i="145"/>
  <c r="G129" i="145"/>
  <c r="G83" i="145"/>
  <c r="G47" i="145"/>
  <c r="G201" i="145"/>
  <c r="G167" i="145"/>
  <c r="G109" i="145"/>
  <c r="G56" i="145"/>
  <c r="G16" i="145"/>
  <c r="G146" i="145"/>
  <c r="G31" i="145"/>
  <c r="G188" i="145"/>
  <c r="G202" i="145"/>
  <c r="G192" i="145"/>
  <c r="G173" i="145"/>
  <c r="G171" i="145"/>
  <c r="G126" i="145"/>
  <c r="G77" i="145"/>
  <c r="G43" i="145"/>
  <c r="G195" i="145"/>
  <c r="G158" i="145"/>
  <c r="G99" i="145"/>
  <c r="G52" i="145"/>
  <c r="G12" i="145"/>
  <c r="H228" i="68"/>
  <c r="H227" i="68"/>
  <c r="H226" i="68"/>
  <c r="H225" i="68"/>
  <c r="H224" i="68"/>
  <c r="H223" i="68"/>
  <c r="H222" i="68"/>
  <c r="H221" i="68"/>
  <c r="H220" i="68"/>
  <c r="H219" i="68"/>
  <c r="E235" i="145"/>
  <c r="E228" i="145"/>
  <c r="G219" i="145"/>
  <c r="G200" i="145"/>
  <c r="G164" i="145"/>
  <c r="G123" i="145"/>
  <c r="G114" i="145"/>
  <c r="G105" i="145"/>
  <c r="G96" i="145"/>
  <c r="G82" i="145"/>
  <c r="G64" i="145"/>
  <c r="K14" i="145"/>
  <c r="G25" i="145"/>
  <c r="E21" i="145"/>
  <c r="G11" i="145"/>
  <c r="E215" i="145" l="1"/>
  <c r="M13" i="145"/>
  <c r="E237" i="145"/>
  <c r="M14" i="145"/>
  <c r="M18" i="145"/>
  <c r="M17" i="145"/>
  <c r="M16" i="145"/>
  <c r="M12" i="145"/>
  <c r="G235" i="145"/>
  <c r="G237" i="145" s="1"/>
  <c r="E236" i="145"/>
  <c r="G21" i="145"/>
  <c r="M11" i="145"/>
  <c r="G61" i="145"/>
  <c r="G79" i="145"/>
  <c r="G93" i="145"/>
  <c r="G102" i="145"/>
  <c r="G111" i="145"/>
  <c r="G119" i="145"/>
  <c r="G161" i="145"/>
  <c r="G197" i="145"/>
  <c r="G206" i="145"/>
  <c r="G228" i="145"/>
  <c r="K17" i="111"/>
  <c r="E238" i="145" l="1"/>
  <c r="K15" i="145"/>
  <c r="G236" i="145"/>
  <c r="H228" i="145"/>
  <c r="H227" i="145"/>
  <c r="H226" i="145"/>
  <c r="H225" i="145"/>
  <c r="H224" i="145"/>
  <c r="H223" i="145"/>
  <c r="H222" i="145"/>
  <c r="H221" i="145"/>
  <c r="H220" i="145"/>
  <c r="H219" i="145"/>
  <c r="K13" i="145"/>
  <c r="M26" i="145"/>
  <c r="M27" i="145"/>
  <c r="M28" i="145"/>
  <c r="M29" i="145"/>
  <c r="M30" i="145"/>
  <c r="M31" i="145"/>
  <c r="M32" i="145"/>
  <c r="M33" i="145"/>
  <c r="M34" i="145"/>
  <c r="M35" i="145"/>
  <c r="M36" i="145"/>
  <c r="M37" i="145"/>
  <c r="M38" i="145"/>
  <c r="M39" i="145"/>
  <c r="M40" i="145"/>
  <c r="M41" i="145"/>
  <c r="M42" i="145"/>
  <c r="M43" i="145"/>
  <c r="M44" i="145"/>
  <c r="M45" i="145"/>
  <c r="M46" i="145"/>
  <c r="M47" i="145"/>
  <c r="M48" i="145"/>
  <c r="M49" i="145"/>
  <c r="M50" i="145"/>
  <c r="M51" i="145"/>
  <c r="M52" i="145"/>
  <c r="M53" i="145"/>
  <c r="M54" i="145"/>
  <c r="M55" i="145"/>
  <c r="M56" i="145"/>
  <c r="M57" i="145"/>
  <c r="M58" i="145"/>
  <c r="M59" i="145"/>
  <c r="M60" i="145"/>
  <c r="M65" i="145"/>
  <c r="M66" i="145"/>
  <c r="M67" i="145"/>
  <c r="M68" i="145"/>
  <c r="M69" i="145"/>
  <c r="M70" i="145"/>
  <c r="M71" i="145"/>
  <c r="M72" i="145"/>
  <c r="M73" i="145"/>
  <c r="M74" i="145"/>
  <c r="M75" i="145"/>
  <c r="M76" i="145"/>
  <c r="M77" i="145"/>
  <c r="M78" i="145"/>
  <c r="M83" i="145"/>
  <c r="M84" i="145"/>
  <c r="M85" i="145"/>
  <c r="M86" i="145"/>
  <c r="M87" i="145"/>
  <c r="M88" i="145"/>
  <c r="M89" i="145"/>
  <c r="M90" i="145"/>
  <c r="M91" i="145"/>
  <c r="M92" i="145"/>
  <c r="M97" i="145"/>
  <c r="M98" i="145"/>
  <c r="M99" i="145"/>
  <c r="M100" i="145"/>
  <c r="M101" i="145"/>
  <c r="M106" i="145"/>
  <c r="M107" i="145"/>
  <c r="M108" i="145"/>
  <c r="M109" i="145"/>
  <c r="M110" i="145"/>
  <c r="M115" i="145"/>
  <c r="M116" i="145"/>
  <c r="M117" i="145"/>
  <c r="M118" i="145"/>
  <c r="M124" i="145"/>
  <c r="M125" i="145"/>
  <c r="M126" i="145"/>
  <c r="M127" i="145"/>
  <c r="M129" i="145"/>
  <c r="M130" i="145"/>
  <c r="M131" i="145"/>
  <c r="M132" i="145"/>
  <c r="M133" i="145"/>
  <c r="M135" i="145"/>
  <c r="M136" i="145"/>
  <c r="M137" i="145"/>
  <c r="M138" i="145"/>
  <c r="M140" i="145"/>
  <c r="M141" i="145"/>
  <c r="M142" i="145"/>
  <c r="M143" i="145"/>
  <c r="M145" i="145"/>
  <c r="M146" i="145"/>
  <c r="M147" i="145"/>
  <c r="M148" i="145"/>
  <c r="M149" i="145"/>
  <c r="M150" i="145"/>
  <c r="M151" i="145"/>
  <c r="M152" i="145"/>
  <c r="M153" i="145"/>
  <c r="M155" i="145"/>
  <c r="M156" i="145"/>
  <c r="M157" i="145"/>
  <c r="M158" i="145"/>
  <c r="M159" i="145"/>
  <c r="M160" i="145"/>
  <c r="M165" i="145"/>
  <c r="M166" i="145"/>
  <c r="M167" i="145"/>
  <c r="M168" i="145"/>
  <c r="M169" i="145"/>
  <c r="M170" i="145"/>
  <c r="M171" i="145"/>
  <c r="M172" i="145"/>
  <c r="M173" i="145"/>
  <c r="M174" i="145"/>
  <c r="M175" i="145"/>
  <c r="M176" i="145"/>
  <c r="M177" i="145"/>
  <c r="M178" i="145"/>
  <c r="M179" i="145"/>
  <c r="M180" i="145"/>
  <c r="M181" i="145"/>
  <c r="M182" i="145"/>
  <c r="M183" i="145"/>
  <c r="M184" i="145"/>
  <c r="M185" i="145"/>
  <c r="M186" i="145"/>
  <c r="M187" i="145"/>
  <c r="M188" i="145"/>
  <c r="M189" i="145"/>
  <c r="M190" i="145"/>
  <c r="M191" i="145"/>
  <c r="M192" i="145"/>
  <c r="M193" i="145"/>
  <c r="M194" i="145"/>
  <c r="M195" i="145"/>
  <c r="M196" i="145"/>
  <c r="M201" i="145"/>
  <c r="M202" i="145"/>
  <c r="M203" i="145"/>
  <c r="M204" i="145"/>
  <c r="M205" i="145"/>
  <c r="M21" i="145"/>
  <c r="H21" i="145"/>
  <c r="H20" i="145"/>
  <c r="H19" i="145"/>
  <c r="H18" i="145"/>
  <c r="H17" i="145"/>
  <c r="H16" i="145"/>
  <c r="H15" i="145"/>
  <c r="H14" i="145"/>
  <c r="H13" i="145"/>
  <c r="H12" i="145"/>
  <c r="K11" i="145"/>
  <c r="H11" i="145"/>
  <c r="M200" i="145"/>
  <c r="M206" i="145"/>
  <c r="M164" i="145"/>
  <c r="M197" i="145"/>
  <c r="M123" i="145"/>
  <c r="M161" i="145"/>
  <c r="M114" i="145"/>
  <c r="M119" i="145"/>
  <c r="M105" i="145"/>
  <c r="M111" i="145"/>
  <c r="M96" i="145"/>
  <c r="M102" i="145"/>
  <c r="M82" i="145"/>
  <c r="M93" i="145"/>
  <c r="M64" i="145"/>
  <c r="M79" i="145"/>
  <c r="M25" i="145"/>
  <c r="M61" i="145"/>
  <c r="G208" i="145"/>
  <c r="G238" i="145" l="1"/>
  <c r="M208" i="145"/>
  <c r="H208" i="145"/>
  <c r="H206" i="145"/>
  <c r="H205" i="145"/>
  <c r="H204" i="145"/>
  <c r="H203" i="145"/>
  <c r="H202" i="145"/>
  <c r="H201" i="145"/>
  <c r="H200" i="145"/>
  <c r="H197" i="145"/>
  <c r="H196" i="145"/>
  <c r="H195" i="145"/>
  <c r="H194" i="145"/>
  <c r="H193" i="145"/>
  <c r="H192" i="145"/>
  <c r="H191" i="145"/>
  <c r="H190" i="145"/>
  <c r="H189" i="145"/>
  <c r="H188" i="145"/>
  <c r="H187" i="145"/>
  <c r="H186" i="145"/>
  <c r="H185" i="145"/>
  <c r="H184" i="145"/>
  <c r="H183" i="145"/>
  <c r="H182" i="145"/>
  <c r="H181" i="145"/>
  <c r="H180" i="145"/>
  <c r="H179" i="145"/>
  <c r="H178" i="145"/>
  <c r="H177" i="145"/>
  <c r="H176" i="145"/>
  <c r="H175" i="145"/>
  <c r="H174" i="145"/>
  <c r="H173" i="145"/>
  <c r="H172" i="145"/>
  <c r="H171" i="145"/>
  <c r="H170" i="145"/>
  <c r="H169" i="145"/>
  <c r="H168" i="145"/>
  <c r="H167" i="145"/>
  <c r="H166" i="145"/>
  <c r="H165" i="145"/>
  <c r="H164" i="145"/>
  <c r="H161" i="145"/>
  <c r="H160" i="145"/>
  <c r="H159" i="145"/>
  <c r="H158" i="145"/>
  <c r="H157" i="145"/>
  <c r="H156" i="145"/>
  <c r="H155" i="145"/>
  <c r="H153" i="145"/>
  <c r="H152" i="145"/>
  <c r="H151" i="145"/>
  <c r="H150" i="145"/>
  <c r="H149" i="145"/>
  <c r="H148" i="145"/>
  <c r="H147" i="145"/>
  <c r="H146" i="145"/>
  <c r="H145" i="145"/>
  <c r="H143" i="145"/>
  <c r="H142" i="145"/>
  <c r="H141" i="145"/>
  <c r="H140" i="145"/>
  <c r="H138" i="145"/>
  <c r="H137" i="145"/>
  <c r="H136" i="145"/>
  <c r="H135" i="145"/>
  <c r="H133" i="145"/>
  <c r="H132" i="145"/>
  <c r="H131" i="145"/>
  <c r="H130" i="145"/>
  <c r="H129" i="145"/>
  <c r="H127" i="145"/>
  <c r="H126" i="145"/>
  <c r="H125" i="145"/>
  <c r="H124" i="145"/>
  <c r="H123" i="145"/>
  <c r="H119" i="145"/>
  <c r="H118" i="145"/>
  <c r="H117" i="145"/>
  <c r="H116" i="145"/>
  <c r="H115" i="145"/>
  <c r="H114" i="145"/>
  <c r="H111" i="145"/>
  <c r="H110" i="145"/>
  <c r="H109" i="145"/>
  <c r="H108" i="145"/>
  <c r="H107" i="145"/>
  <c r="H106" i="145"/>
  <c r="H105" i="145"/>
  <c r="H102" i="145"/>
  <c r="H101" i="145"/>
  <c r="H100" i="145"/>
  <c r="H99" i="145"/>
  <c r="H98" i="145"/>
  <c r="H97" i="145"/>
  <c r="H96" i="145"/>
  <c r="H93" i="145"/>
  <c r="H92" i="145"/>
  <c r="H91" i="145"/>
  <c r="H90" i="145"/>
  <c r="H89" i="145"/>
  <c r="H88" i="145"/>
  <c r="H87" i="145"/>
  <c r="H86" i="145"/>
  <c r="H85" i="145"/>
  <c r="H84" i="145"/>
  <c r="H83" i="145"/>
  <c r="H82" i="145"/>
  <c r="H79" i="145"/>
  <c r="H78" i="145"/>
  <c r="H77" i="145"/>
  <c r="H76" i="145"/>
  <c r="H75" i="145"/>
  <c r="H74" i="145"/>
  <c r="H73" i="145"/>
  <c r="H72" i="145"/>
  <c r="H71" i="145"/>
  <c r="H70" i="145"/>
  <c r="H69" i="145"/>
  <c r="H68" i="145"/>
  <c r="H67" i="145"/>
  <c r="H66" i="145"/>
  <c r="H65" i="145"/>
  <c r="H64" i="145"/>
  <c r="H61" i="145"/>
  <c r="H60" i="145"/>
  <c r="H59" i="145"/>
  <c r="H58" i="145"/>
  <c r="H57" i="145"/>
  <c r="H56" i="145"/>
  <c r="H55" i="145"/>
  <c r="H54" i="145"/>
  <c r="H53" i="145"/>
  <c r="H52" i="145"/>
  <c r="H51" i="145"/>
  <c r="H50" i="145"/>
  <c r="H49" i="145"/>
  <c r="H48" i="145"/>
  <c r="H47" i="145"/>
  <c r="H46" i="145"/>
  <c r="H45" i="145"/>
  <c r="H44" i="145"/>
  <c r="H43" i="145"/>
  <c r="H42" i="145"/>
  <c r="H41" i="145"/>
  <c r="H40" i="145"/>
  <c r="H39" i="145"/>
  <c r="H38" i="145"/>
  <c r="H37" i="145"/>
  <c r="H36" i="145"/>
  <c r="H35" i="145"/>
  <c r="H34" i="145"/>
  <c r="H33" i="145"/>
  <c r="H32" i="145"/>
  <c r="H31" i="145"/>
  <c r="H30" i="145"/>
  <c r="H29" i="145"/>
  <c r="H28" i="145"/>
  <c r="H27" i="145"/>
  <c r="H26" i="145"/>
  <c r="H25" i="145"/>
  <c r="K12" i="145"/>
  <c r="G215" i="145"/>
  <c r="E233" i="68" l="1"/>
  <c r="E235" i="68" s="1"/>
  <c r="G233" i="68" l="1"/>
  <c r="G235" i="68" s="1"/>
  <c r="G236" i="68" s="1"/>
  <c r="E237" i="68"/>
  <c r="E236" i="68"/>
  <c r="G237" i="68" l="1"/>
  <c r="E238" i="68"/>
  <c r="G238" i="68" l="1"/>
  <c r="E233" i="83"/>
  <c r="G233" i="83" l="1"/>
  <c r="G235" i="83" s="1"/>
  <c r="E235" i="83"/>
  <c r="G237" i="83" l="1"/>
  <c r="G236" i="83"/>
  <c r="E237" i="83"/>
  <c r="E236" i="83"/>
  <c r="G238" i="83" l="1"/>
  <c r="E238" i="83"/>
  <c r="K18" i="111" l="1"/>
  <c r="F228" i="143" l="1"/>
  <c r="E225" i="143"/>
  <c r="F21" i="143"/>
  <c r="E20" i="143"/>
  <c r="E19" i="143"/>
  <c r="K18" i="143"/>
  <c r="E18" i="143"/>
  <c r="K17" i="143"/>
  <c r="E17" i="143"/>
  <c r="E16" i="143"/>
  <c r="E15" i="143"/>
  <c r="E14" i="143"/>
  <c r="E13" i="143"/>
  <c r="E12" i="143"/>
  <c r="F215" i="143" l="1"/>
  <c r="G43" i="143"/>
  <c r="G69" i="143"/>
  <c r="G110" i="143"/>
  <c r="G152" i="143"/>
  <c r="E220" i="143"/>
  <c r="G44" i="143"/>
  <c r="G78" i="143"/>
  <c r="G135" i="143"/>
  <c r="G186" i="143"/>
  <c r="G179" i="143"/>
  <c r="E221" i="143"/>
  <c r="G29" i="143"/>
  <c r="G166" i="143"/>
  <c r="G12" i="143"/>
  <c r="G46" i="143"/>
  <c r="G127" i="143"/>
  <c r="G147" i="143"/>
  <c r="G170" i="143"/>
  <c r="G169" i="143"/>
  <c r="E223" i="143"/>
  <c r="G13" i="143"/>
  <c r="G31" i="143"/>
  <c r="G55" i="143"/>
  <c r="G84" i="143"/>
  <c r="G116" i="143"/>
  <c r="G148" i="143"/>
  <c r="G196" i="143"/>
  <c r="G16" i="143"/>
  <c r="G26" i="143"/>
  <c r="G34" i="143"/>
  <c r="G42" i="143"/>
  <c r="G50" i="143"/>
  <c r="G58" i="143"/>
  <c r="G68" i="143"/>
  <c r="G76" i="143"/>
  <c r="G87" i="143"/>
  <c r="G98" i="143"/>
  <c r="G109" i="143"/>
  <c r="G132" i="143"/>
  <c r="G142" i="143"/>
  <c r="G151" i="143"/>
  <c r="G160" i="143"/>
  <c r="G181" i="143"/>
  <c r="G205" i="143"/>
  <c r="G176" i="143"/>
  <c r="G188" i="143"/>
  <c r="E227" i="143"/>
  <c r="G35" i="143"/>
  <c r="G77" i="143"/>
  <c r="G124" i="143"/>
  <c r="G52" i="143"/>
  <c r="G89" i="143"/>
  <c r="G153" i="143"/>
  <c r="G167" i="143"/>
  <c r="E232" i="143"/>
  <c r="G53" i="143"/>
  <c r="G101" i="143"/>
  <c r="G146" i="143"/>
  <c r="G189" i="143"/>
  <c r="G180" i="143"/>
  <c r="G30" i="143"/>
  <c r="G91" i="143"/>
  <c r="G137" i="143"/>
  <c r="G190" i="143"/>
  <c r="G183" i="143"/>
  <c r="G73" i="143"/>
  <c r="G157" i="143"/>
  <c r="G184" i="143"/>
  <c r="G17" i="143"/>
  <c r="G51" i="143"/>
  <c r="G88" i="143"/>
  <c r="G143" i="143"/>
  <c r="G225" i="143"/>
  <c r="G191" i="143"/>
  <c r="G28" i="143"/>
  <c r="G60" i="143"/>
  <c r="G100" i="143"/>
  <c r="G145" i="143"/>
  <c r="G18" i="143"/>
  <c r="G45" i="143"/>
  <c r="G90" i="143"/>
  <c r="G126" i="143"/>
  <c r="G155" i="143"/>
  <c r="G193" i="143"/>
  <c r="E222" i="143"/>
  <c r="G38" i="143"/>
  <c r="G54" i="143"/>
  <c r="G72" i="143"/>
  <c r="G115" i="143"/>
  <c r="G156" i="143"/>
  <c r="G19" i="143"/>
  <c r="G47" i="143"/>
  <c r="G92" i="143"/>
  <c r="G129" i="143"/>
  <c r="G194" i="143"/>
  <c r="G14" i="143"/>
  <c r="G20" i="143"/>
  <c r="G32" i="143"/>
  <c r="G40" i="143"/>
  <c r="G48" i="143"/>
  <c r="G56" i="143"/>
  <c r="G66" i="143"/>
  <c r="G74" i="143"/>
  <c r="G85" i="143"/>
  <c r="G107" i="143"/>
  <c r="G117" i="143"/>
  <c r="G130" i="143"/>
  <c r="G140" i="143"/>
  <c r="G149" i="143"/>
  <c r="G158" i="143"/>
  <c r="G174" i="143"/>
  <c r="G172" i="143"/>
  <c r="G185" i="143"/>
  <c r="G27" i="143"/>
  <c r="G59" i="143"/>
  <c r="G99" i="143"/>
  <c r="G133" i="143"/>
  <c r="G182" i="143"/>
  <c r="G177" i="143"/>
  <c r="E231" i="143"/>
  <c r="G36" i="143"/>
  <c r="G70" i="143"/>
  <c r="G125" i="143"/>
  <c r="G165" i="143"/>
  <c r="G192" i="143"/>
  <c r="G37" i="143"/>
  <c r="G71" i="143"/>
  <c r="G136" i="143"/>
  <c r="G168" i="143"/>
  <c r="G195" i="143"/>
  <c r="G39" i="143"/>
  <c r="G65" i="143"/>
  <c r="G106" i="143"/>
  <c r="G138" i="143"/>
  <c r="G173" i="143"/>
  <c r="G171" i="143"/>
  <c r="E224" i="143"/>
  <c r="G15" i="143"/>
  <c r="G33" i="143"/>
  <c r="G41" i="143"/>
  <c r="G49" i="143"/>
  <c r="G57" i="143"/>
  <c r="G67" i="143"/>
  <c r="G75" i="143"/>
  <c r="G86" i="143"/>
  <c r="G97" i="143"/>
  <c r="G108" i="143"/>
  <c r="G118" i="143"/>
  <c r="G131" i="143"/>
  <c r="G141" i="143"/>
  <c r="G150" i="143"/>
  <c r="G159" i="143"/>
  <c r="G178" i="143"/>
  <c r="G201" i="143"/>
  <c r="G175" i="143"/>
  <c r="G187" i="143"/>
  <c r="G203" i="143"/>
  <c r="E226" i="143"/>
  <c r="G64" i="143"/>
  <c r="E233" i="143"/>
  <c r="G82" i="143"/>
  <c r="E11" i="143"/>
  <c r="G114" i="143"/>
  <c r="G164" i="143"/>
  <c r="G219" i="143" l="1"/>
  <c r="M17" i="143"/>
  <c r="G232" i="143"/>
  <c r="G224" i="143"/>
  <c r="G202" i="143"/>
  <c r="G227" i="143"/>
  <c r="G226" i="143"/>
  <c r="E228" i="143"/>
  <c r="G204" i="143"/>
  <c r="G83" i="143"/>
  <c r="G223" i="143"/>
  <c r="G233" i="143"/>
  <c r="G221" i="143"/>
  <c r="G222" i="143"/>
  <c r="G231" i="143"/>
  <c r="G220" i="143"/>
  <c r="E235" i="143"/>
  <c r="G96" i="143"/>
  <c r="G197" i="143"/>
  <c r="G119" i="143"/>
  <c r="E21" i="143"/>
  <c r="G11" i="143"/>
  <c r="G200" i="143"/>
  <c r="G123" i="143"/>
  <c r="G105" i="143"/>
  <c r="G25" i="143"/>
  <c r="G79" i="143"/>
  <c r="E215" i="143" l="1"/>
  <c r="K14" i="143"/>
  <c r="G235" i="143"/>
  <c r="K15" i="143" s="1"/>
  <c r="M19" i="143"/>
  <c r="G93" i="143"/>
  <c r="G228" i="143"/>
  <c r="H228" i="143" s="1"/>
  <c r="M13" i="143"/>
  <c r="M12" i="143"/>
  <c r="M16" i="143"/>
  <c r="M15" i="143"/>
  <c r="M18" i="143"/>
  <c r="E237" i="143"/>
  <c r="M14" i="143"/>
  <c r="E236" i="143"/>
  <c r="G111" i="143"/>
  <c r="G161" i="143"/>
  <c r="G61" i="143"/>
  <c r="G206" i="143"/>
  <c r="G21" i="143"/>
  <c r="M11" i="143"/>
  <c r="G102" i="143"/>
  <c r="G237" i="143" l="1"/>
  <c r="H225" i="143"/>
  <c r="M58" i="143"/>
  <c r="M56" i="143"/>
  <c r="H224" i="143"/>
  <c r="M206" i="143"/>
  <c r="M196" i="143"/>
  <c r="M182" i="143"/>
  <c r="M59" i="143"/>
  <c r="M45" i="143"/>
  <c r="M43" i="143"/>
  <c r="M202" i="143"/>
  <c r="M155" i="143"/>
  <c r="M125" i="143"/>
  <c r="M138" i="143"/>
  <c r="M108" i="143"/>
  <c r="M136" i="143"/>
  <c r="M115" i="143"/>
  <c r="M66" i="143"/>
  <c r="M156" i="143"/>
  <c r="M27" i="143"/>
  <c r="M193" i="143"/>
  <c r="M105" i="143"/>
  <c r="M71" i="143"/>
  <c r="M26" i="143"/>
  <c r="M195" i="143"/>
  <c r="M42" i="143"/>
  <c r="M180" i="143"/>
  <c r="M40" i="143"/>
  <c r="M166" i="143"/>
  <c r="M140" i="143"/>
  <c r="M118" i="143"/>
  <c r="M69" i="143"/>
  <c r="M177" i="143"/>
  <c r="M100" i="143"/>
  <c r="M158" i="143"/>
  <c r="M29" i="143"/>
  <c r="M161" i="143"/>
  <c r="M102" i="143"/>
  <c r="M145" i="143"/>
  <c r="M179" i="143"/>
  <c r="M137" i="143"/>
  <c r="M84" i="143"/>
  <c r="M157" i="143"/>
  <c r="M117" i="143"/>
  <c r="M68" i="143"/>
  <c r="M186" i="143"/>
  <c r="M170" i="143"/>
  <c r="M88" i="143"/>
  <c r="M49" i="143"/>
  <c r="M33" i="143"/>
  <c r="M75" i="143"/>
  <c r="M201" i="143"/>
  <c r="M143" i="143"/>
  <c r="M124" i="143"/>
  <c r="M183" i="143"/>
  <c r="M167" i="143"/>
  <c r="M85" i="143"/>
  <c r="M46" i="143"/>
  <c r="M30" i="143"/>
  <c r="M72" i="143"/>
  <c r="H222" i="143"/>
  <c r="M79" i="143"/>
  <c r="M64" i="143"/>
  <c r="M160" i="143"/>
  <c r="M142" i="143"/>
  <c r="M110" i="143"/>
  <c r="M184" i="143"/>
  <c r="M168" i="143"/>
  <c r="M86" i="143"/>
  <c r="M47" i="143"/>
  <c r="M31" i="143"/>
  <c r="M73" i="143"/>
  <c r="M159" i="143"/>
  <c r="M141" i="143"/>
  <c r="M109" i="143"/>
  <c r="M181" i="143"/>
  <c r="M165" i="143"/>
  <c r="M60" i="143"/>
  <c r="M44" i="143"/>
  <c r="M28" i="143"/>
  <c r="M70" i="143"/>
  <c r="H223" i="143"/>
  <c r="M123" i="143"/>
  <c r="M164" i="143"/>
  <c r="M135" i="143"/>
  <c r="M116" i="143"/>
  <c r="M101" i="143"/>
  <c r="M133" i="143"/>
  <c r="M106" i="143"/>
  <c r="M98" i="143"/>
  <c r="M114" i="143"/>
  <c r="M176" i="143"/>
  <c r="M99" i="143"/>
  <c r="M131" i="143"/>
  <c r="M189" i="143"/>
  <c r="M91" i="143"/>
  <c r="M52" i="143"/>
  <c r="M36" i="143"/>
  <c r="M78" i="143"/>
  <c r="G236" i="143"/>
  <c r="H227" i="143"/>
  <c r="M200" i="143"/>
  <c r="M194" i="143"/>
  <c r="M57" i="143"/>
  <c r="M67" i="143"/>
  <c r="M191" i="143"/>
  <c r="M54" i="143"/>
  <c r="K13" i="143"/>
  <c r="M25" i="143"/>
  <c r="M132" i="143"/>
  <c r="M107" i="143"/>
  <c r="M39" i="143"/>
  <c r="M150" i="143"/>
  <c r="M173" i="143"/>
  <c r="M82" i="143"/>
  <c r="M149" i="143"/>
  <c r="M190" i="143"/>
  <c r="M174" i="143"/>
  <c r="M92" i="143"/>
  <c r="M53" i="143"/>
  <c r="M37" i="143"/>
  <c r="M97" i="143"/>
  <c r="M205" i="143"/>
  <c r="M148" i="143"/>
  <c r="M129" i="143"/>
  <c r="M187" i="143"/>
  <c r="M171" i="143"/>
  <c r="M89" i="143"/>
  <c r="M50" i="143"/>
  <c r="M34" i="143"/>
  <c r="M76" i="143"/>
  <c r="H219" i="143"/>
  <c r="M197" i="143"/>
  <c r="M153" i="143"/>
  <c r="M178" i="143"/>
  <c r="M41" i="143"/>
  <c r="M152" i="143"/>
  <c r="M175" i="143"/>
  <c r="M38" i="143"/>
  <c r="H226" i="143"/>
  <c r="M93" i="143"/>
  <c r="M151" i="143"/>
  <c r="M192" i="143"/>
  <c r="M55" i="143"/>
  <c r="M65" i="143"/>
  <c r="M61" i="143"/>
  <c r="M130" i="143"/>
  <c r="M96" i="143"/>
  <c r="M204" i="143"/>
  <c r="M147" i="143"/>
  <c r="M127" i="143"/>
  <c r="M188" i="143"/>
  <c r="M172" i="143"/>
  <c r="M90" i="143"/>
  <c r="M51" i="143"/>
  <c r="M35" i="143"/>
  <c r="M77" i="143"/>
  <c r="M203" i="143"/>
  <c r="M146" i="143"/>
  <c r="M126" i="143"/>
  <c r="M185" i="143"/>
  <c r="M169" i="143"/>
  <c r="M87" i="143"/>
  <c r="M48" i="143"/>
  <c r="M32" i="143"/>
  <c r="M74" i="143"/>
  <c r="H221" i="143"/>
  <c r="M119" i="143"/>
  <c r="H220" i="143"/>
  <c r="M111" i="143"/>
  <c r="E238" i="143"/>
  <c r="M83" i="143"/>
  <c r="M21" i="143"/>
  <c r="H19" i="143"/>
  <c r="H18" i="143"/>
  <c r="H17" i="143"/>
  <c r="H21" i="143"/>
  <c r="H20" i="143"/>
  <c r="H16" i="143"/>
  <c r="H15" i="143"/>
  <c r="H14" i="143"/>
  <c r="H13" i="143"/>
  <c r="H12" i="143"/>
  <c r="H11" i="143"/>
  <c r="K11" i="143"/>
  <c r="G208" i="143"/>
  <c r="G238" i="143" l="1"/>
  <c r="G215" i="143"/>
  <c r="H208" i="143"/>
  <c r="H206" i="143"/>
  <c r="H205" i="143"/>
  <c r="H203" i="143"/>
  <c r="H201" i="143"/>
  <c r="H197" i="143"/>
  <c r="H196" i="143"/>
  <c r="H194" i="143"/>
  <c r="H192" i="143"/>
  <c r="H190" i="143"/>
  <c r="H188" i="143"/>
  <c r="H186" i="143"/>
  <c r="H184" i="143"/>
  <c r="H182" i="143"/>
  <c r="H180" i="143"/>
  <c r="H178" i="143"/>
  <c r="H176" i="143"/>
  <c r="H174" i="143"/>
  <c r="H172" i="143"/>
  <c r="H170" i="143"/>
  <c r="H168" i="143"/>
  <c r="H166" i="143"/>
  <c r="H164" i="143"/>
  <c r="H159" i="143"/>
  <c r="H157" i="143"/>
  <c r="H155" i="143"/>
  <c r="H152" i="143"/>
  <c r="H150" i="143"/>
  <c r="H148" i="143"/>
  <c r="H146" i="143"/>
  <c r="H143" i="143"/>
  <c r="H141" i="143"/>
  <c r="H138" i="143"/>
  <c r="H136" i="143"/>
  <c r="H133" i="143"/>
  <c r="H131" i="143"/>
  <c r="H129" i="143"/>
  <c r="H126" i="143"/>
  <c r="H124" i="143"/>
  <c r="H119" i="143"/>
  <c r="H118" i="143"/>
  <c r="H116" i="143"/>
  <c r="H114" i="143"/>
  <c r="H109" i="143"/>
  <c r="M208" i="143"/>
  <c r="H204" i="143"/>
  <c r="H202" i="143"/>
  <c r="H200" i="143"/>
  <c r="H195" i="143"/>
  <c r="H193" i="143"/>
  <c r="H191" i="143"/>
  <c r="H189" i="143"/>
  <c r="H187" i="143"/>
  <c r="H185" i="143"/>
  <c r="H183" i="143"/>
  <c r="H181" i="143"/>
  <c r="H179" i="143"/>
  <c r="H177" i="143"/>
  <c r="H175" i="143"/>
  <c r="H173" i="143"/>
  <c r="H171" i="143"/>
  <c r="H169" i="143"/>
  <c r="H167" i="143"/>
  <c r="H165" i="143"/>
  <c r="H161" i="143"/>
  <c r="H160" i="143"/>
  <c r="H158" i="143"/>
  <c r="H156" i="143"/>
  <c r="H153" i="143"/>
  <c r="H151" i="143"/>
  <c r="H149" i="143"/>
  <c r="H147" i="143"/>
  <c r="H145" i="143"/>
  <c r="H142" i="143"/>
  <c r="H140" i="143"/>
  <c r="H137" i="143"/>
  <c r="H135" i="143"/>
  <c r="H132" i="143"/>
  <c r="H130" i="143"/>
  <c r="H127" i="143"/>
  <c r="H125" i="143"/>
  <c r="H123" i="143"/>
  <c r="H117" i="143"/>
  <c r="H115" i="143"/>
  <c r="H111" i="143"/>
  <c r="H110" i="143"/>
  <c r="H108" i="143"/>
  <c r="H107" i="143"/>
  <c r="H105" i="143"/>
  <c r="H100" i="143"/>
  <c r="H98" i="143"/>
  <c r="H96" i="143"/>
  <c r="H91" i="143"/>
  <c r="H89" i="143"/>
  <c r="H87" i="143"/>
  <c r="H85" i="143"/>
  <c r="H83" i="143"/>
  <c r="H79" i="143"/>
  <c r="H78" i="143"/>
  <c r="H76" i="143"/>
  <c r="H74" i="143"/>
  <c r="H72" i="143"/>
  <c r="H70" i="143"/>
  <c r="H68" i="143"/>
  <c r="H66" i="143"/>
  <c r="H64" i="143"/>
  <c r="H59" i="143"/>
  <c r="H57" i="143"/>
  <c r="H55" i="143"/>
  <c r="H53" i="143"/>
  <c r="H51" i="143"/>
  <c r="H49" i="143"/>
  <c r="H47" i="143"/>
  <c r="H45" i="143"/>
  <c r="H43" i="143"/>
  <c r="H41" i="143"/>
  <c r="H39" i="143"/>
  <c r="H37" i="143"/>
  <c r="H35" i="143"/>
  <c r="H33" i="143"/>
  <c r="H31" i="143"/>
  <c r="H29" i="143"/>
  <c r="H27" i="143"/>
  <c r="H25" i="143"/>
  <c r="H106" i="143"/>
  <c r="H102" i="143"/>
  <c r="H101" i="143"/>
  <c r="H99" i="143"/>
  <c r="H97" i="143"/>
  <c r="H93" i="143"/>
  <c r="H92" i="143"/>
  <c r="H90" i="143"/>
  <c r="H88" i="143"/>
  <c r="H86" i="143"/>
  <c r="H84" i="143"/>
  <c r="H82" i="143"/>
  <c r="H77" i="143"/>
  <c r="H75" i="143"/>
  <c r="H73" i="143"/>
  <c r="H71" i="143"/>
  <c r="H69" i="143"/>
  <c r="H67" i="143"/>
  <c r="H65" i="143"/>
  <c r="H61" i="143"/>
  <c r="H60" i="143"/>
  <c r="H58" i="143"/>
  <c r="H56" i="143"/>
  <c r="H54" i="143"/>
  <c r="H52" i="143"/>
  <c r="H50" i="143"/>
  <c r="H48" i="143"/>
  <c r="H46" i="143"/>
  <c r="H44" i="143"/>
  <c r="H42" i="143"/>
  <c r="H40" i="143"/>
  <c r="H38" i="143"/>
  <c r="H36" i="143"/>
  <c r="H34" i="143"/>
  <c r="H32" i="143"/>
  <c r="H30" i="143"/>
  <c r="H28" i="143"/>
  <c r="H26" i="143"/>
  <c r="K12" i="143"/>
  <c r="E20" i="10" l="1"/>
  <c r="E19" i="10"/>
  <c r="E18" i="10"/>
  <c r="E17" i="10"/>
  <c r="E16" i="10"/>
  <c r="E15" i="10"/>
  <c r="E14" i="10"/>
  <c r="E13" i="10"/>
  <c r="E12" i="10"/>
  <c r="E20" i="60"/>
  <c r="E19" i="60"/>
  <c r="E18" i="60"/>
  <c r="E17" i="60"/>
  <c r="E16" i="60"/>
  <c r="E15" i="60"/>
  <c r="E14" i="60"/>
  <c r="E13" i="60"/>
  <c r="E12" i="60"/>
  <c r="E20" i="133"/>
  <c r="E19" i="133"/>
  <c r="E18" i="133"/>
  <c r="E17" i="133"/>
  <c r="E16" i="133"/>
  <c r="E15" i="133"/>
  <c r="E14" i="133"/>
  <c r="E13" i="133"/>
  <c r="E12" i="133"/>
  <c r="E20" i="54"/>
  <c r="E19" i="54"/>
  <c r="E18" i="54"/>
  <c r="E17" i="54"/>
  <c r="E16" i="54"/>
  <c r="E15" i="54"/>
  <c r="E14" i="54"/>
  <c r="E13" i="54"/>
  <c r="E12" i="54"/>
  <c r="E20" i="94"/>
  <c r="E19" i="94"/>
  <c r="E18" i="94"/>
  <c r="E17" i="94"/>
  <c r="E16" i="94"/>
  <c r="E15" i="94"/>
  <c r="E14" i="94"/>
  <c r="E13" i="94"/>
  <c r="E12" i="94"/>
  <c r="E20" i="72"/>
  <c r="E19" i="72"/>
  <c r="E18" i="72"/>
  <c r="E17" i="72"/>
  <c r="E16" i="72"/>
  <c r="E15" i="72"/>
  <c r="E14" i="72"/>
  <c r="E13" i="72"/>
  <c r="E12" i="72"/>
  <c r="E20" i="85"/>
  <c r="E19" i="85"/>
  <c r="E18" i="85"/>
  <c r="E17" i="85"/>
  <c r="E16" i="85"/>
  <c r="E15" i="85"/>
  <c r="E14" i="85"/>
  <c r="E13" i="85"/>
  <c r="E12" i="85"/>
  <c r="E20" i="67"/>
  <c r="E19" i="67"/>
  <c r="E18" i="67"/>
  <c r="E17" i="67"/>
  <c r="E16" i="67"/>
  <c r="E15" i="67"/>
  <c r="E14" i="67"/>
  <c r="E13" i="67"/>
  <c r="E12" i="67"/>
  <c r="E20" i="66"/>
  <c r="E19" i="66"/>
  <c r="E18" i="66"/>
  <c r="E17" i="66"/>
  <c r="E16" i="66"/>
  <c r="E15" i="66"/>
  <c r="E14" i="66"/>
  <c r="E13" i="66"/>
  <c r="E12" i="66"/>
  <c r="E20" i="63"/>
  <c r="E19" i="63"/>
  <c r="E18" i="63"/>
  <c r="E17" i="63"/>
  <c r="E16" i="63"/>
  <c r="E15" i="63"/>
  <c r="E14" i="63"/>
  <c r="E13" i="63"/>
  <c r="E12" i="63"/>
  <c r="E20" i="21"/>
  <c r="E19" i="21"/>
  <c r="E18" i="21"/>
  <c r="E17" i="21"/>
  <c r="E16" i="21"/>
  <c r="E15" i="21"/>
  <c r="E14" i="21"/>
  <c r="E13" i="21"/>
  <c r="E12" i="21"/>
  <c r="E20" i="62"/>
  <c r="E19" i="62"/>
  <c r="E18" i="62"/>
  <c r="E17" i="62"/>
  <c r="E16" i="62"/>
  <c r="E15" i="62"/>
  <c r="E14" i="62"/>
  <c r="E13" i="62"/>
  <c r="E12" i="62"/>
  <c r="E20" i="59"/>
  <c r="E19" i="59"/>
  <c r="E18" i="59"/>
  <c r="E17" i="59"/>
  <c r="E16" i="59"/>
  <c r="E15" i="59"/>
  <c r="E14" i="59"/>
  <c r="E13" i="59"/>
  <c r="E12" i="59"/>
  <c r="E20" i="58"/>
  <c r="E19" i="58"/>
  <c r="E18" i="58"/>
  <c r="E17" i="58"/>
  <c r="E16" i="58"/>
  <c r="E15" i="58"/>
  <c r="E14" i="58"/>
  <c r="E13" i="58"/>
  <c r="E12" i="58"/>
  <c r="E20" i="57"/>
  <c r="E19" i="57"/>
  <c r="E18" i="57"/>
  <c r="E17" i="57"/>
  <c r="E16" i="57"/>
  <c r="E15" i="57"/>
  <c r="E14" i="57"/>
  <c r="E13" i="57"/>
  <c r="E12" i="57"/>
  <c r="E20" i="136"/>
  <c r="E19" i="136"/>
  <c r="E18" i="136"/>
  <c r="E17" i="136"/>
  <c r="E16" i="136"/>
  <c r="E15" i="136"/>
  <c r="E14" i="136"/>
  <c r="E13" i="136"/>
  <c r="E12" i="136"/>
  <c r="E20" i="53"/>
  <c r="E19" i="53"/>
  <c r="E18" i="53"/>
  <c r="E17" i="53"/>
  <c r="E16" i="53"/>
  <c r="E15" i="53"/>
  <c r="E14" i="53"/>
  <c r="E13" i="53"/>
  <c r="E12" i="53"/>
  <c r="E20" i="98"/>
  <c r="E19" i="98"/>
  <c r="E18" i="98"/>
  <c r="E17" i="98"/>
  <c r="E16" i="98"/>
  <c r="E15" i="98"/>
  <c r="E14" i="98"/>
  <c r="E13" i="98"/>
  <c r="E12" i="98"/>
  <c r="E20" i="49"/>
  <c r="E19" i="49"/>
  <c r="E18" i="49"/>
  <c r="E17" i="49"/>
  <c r="E16" i="49"/>
  <c r="E15" i="49"/>
  <c r="E14" i="49"/>
  <c r="E13" i="49"/>
  <c r="E12" i="49"/>
  <c r="E20" i="47"/>
  <c r="E19" i="47"/>
  <c r="E18" i="47"/>
  <c r="E17" i="47"/>
  <c r="E16" i="47"/>
  <c r="E15" i="47"/>
  <c r="E14" i="47"/>
  <c r="E13" i="47"/>
  <c r="E12" i="47"/>
  <c r="E20" i="46"/>
  <c r="E19" i="46"/>
  <c r="E18" i="46"/>
  <c r="E17" i="46"/>
  <c r="E16" i="46"/>
  <c r="E15" i="46"/>
  <c r="E14" i="46"/>
  <c r="E13" i="46"/>
  <c r="E12" i="46"/>
  <c r="E20" i="102"/>
  <c r="E19" i="102"/>
  <c r="E18" i="102"/>
  <c r="E17" i="102"/>
  <c r="E16" i="102"/>
  <c r="E15" i="102"/>
  <c r="E14" i="102"/>
  <c r="E13" i="102"/>
  <c r="E12" i="102"/>
  <c r="E20" i="45"/>
  <c r="E19" i="45"/>
  <c r="E18" i="45"/>
  <c r="E17" i="45"/>
  <c r="E16" i="45"/>
  <c r="E15" i="45"/>
  <c r="E14" i="45"/>
  <c r="E13" i="45"/>
  <c r="E12" i="45"/>
  <c r="E20" i="106"/>
  <c r="E19" i="106"/>
  <c r="E18" i="106"/>
  <c r="E17" i="106"/>
  <c r="E16" i="106"/>
  <c r="E15" i="106"/>
  <c r="E14" i="106"/>
  <c r="E13" i="106"/>
  <c r="E12" i="106"/>
  <c r="E20" i="104"/>
  <c r="E19" i="104"/>
  <c r="E18" i="104"/>
  <c r="E17" i="104"/>
  <c r="E16" i="104"/>
  <c r="E15" i="104"/>
  <c r="E14" i="104"/>
  <c r="E13" i="104"/>
  <c r="E12" i="104"/>
  <c r="E20" i="15"/>
  <c r="E19" i="15"/>
  <c r="E18" i="15"/>
  <c r="E17" i="15"/>
  <c r="E16" i="15"/>
  <c r="E15" i="15"/>
  <c r="E14" i="15"/>
  <c r="E13" i="15"/>
  <c r="E12" i="15"/>
  <c r="E20" i="43"/>
  <c r="E19" i="43"/>
  <c r="E18" i="43"/>
  <c r="E17" i="43"/>
  <c r="E16" i="43"/>
  <c r="E15" i="43"/>
  <c r="E14" i="43"/>
  <c r="E13" i="43"/>
  <c r="E12" i="43"/>
  <c r="E20" i="42"/>
  <c r="E19" i="42"/>
  <c r="E18" i="42"/>
  <c r="E17" i="42"/>
  <c r="E16" i="42"/>
  <c r="E15" i="42"/>
  <c r="E14" i="42"/>
  <c r="E13" i="42"/>
  <c r="E12" i="42"/>
  <c r="E20" i="84"/>
  <c r="E19" i="84"/>
  <c r="E18" i="84"/>
  <c r="E17" i="84"/>
  <c r="E16" i="84"/>
  <c r="E15" i="84"/>
  <c r="E14" i="84"/>
  <c r="E13" i="84"/>
  <c r="E12" i="84"/>
  <c r="E20" i="71"/>
  <c r="E19" i="71"/>
  <c r="E18" i="71"/>
  <c r="E17" i="71"/>
  <c r="E16" i="71"/>
  <c r="E15" i="71"/>
  <c r="E14" i="71"/>
  <c r="E13" i="71"/>
  <c r="E12" i="71"/>
  <c r="E20" i="39"/>
  <c r="E19" i="39"/>
  <c r="E18" i="39"/>
  <c r="E17" i="39"/>
  <c r="E16" i="39"/>
  <c r="E15" i="39"/>
  <c r="E14" i="39"/>
  <c r="E13" i="39"/>
  <c r="E12" i="39"/>
  <c r="E20" i="135"/>
  <c r="E19" i="135"/>
  <c r="E18" i="135"/>
  <c r="E17" i="135"/>
  <c r="E16" i="135"/>
  <c r="E15" i="135"/>
  <c r="E14" i="135"/>
  <c r="E13" i="135"/>
  <c r="E12" i="135"/>
  <c r="E20" i="38"/>
  <c r="E19" i="38"/>
  <c r="E18" i="38"/>
  <c r="E17" i="38"/>
  <c r="E16" i="38"/>
  <c r="E15" i="38"/>
  <c r="E14" i="38"/>
  <c r="E13" i="38"/>
  <c r="E12" i="38"/>
  <c r="E20" i="37"/>
  <c r="E19" i="37"/>
  <c r="E18" i="37"/>
  <c r="E17" i="37"/>
  <c r="E16" i="37"/>
  <c r="E15" i="37"/>
  <c r="E14" i="37"/>
  <c r="E13" i="37"/>
  <c r="E12" i="37"/>
  <c r="E20" i="120"/>
  <c r="E19" i="120"/>
  <c r="E18" i="120"/>
  <c r="E17" i="120"/>
  <c r="E16" i="120"/>
  <c r="E15" i="120"/>
  <c r="E14" i="120"/>
  <c r="E13" i="120"/>
  <c r="E12" i="120"/>
  <c r="E20" i="24"/>
  <c r="E19" i="24"/>
  <c r="E18" i="24"/>
  <c r="E17" i="24"/>
  <c r="E16" i="24"/>
  <c r="E15" i="24"/>
  <c r="E14" i="24"/>
  <c r="E13" i="24"/>
  <c r="E12" i="24"/>
  <c r="E20" i="141"/>
  <c r="E19" i="141"/>
  <c r="E18" i="141"/>
  <c r="E17" i="141"/>
  <c r="E16" i="141"/>
  <c r="E15" i="141"/>
  <c r="E14" i="141"/>
  <c r="E13" i="141"/>
  <c r="E12" i="141"/>
  <c r="E20" i="33"/>
  <c r="E19" i="33"/>
  <c r="E18" i="33"/>
  <c r="E17" i="33"/>
  <c r="E16" i="33"/>
  <c r="E15" i="33"/>
  <c r="E14" i="33"/>
  <c r="E13" i="33"/>
  <c r="E12" i="33"/>
  <c r="E20" i="32"/>
  <c r="E19" i="32"/>
  <c r="E18" i="32"/>
  <c r="E17" i="32"/>
  <c r="E16" i="32"/>
  <c r="E15" i="32"/>
  <c r="E14" i="32"/>
  <c r="E13" i="32"/>
  <c r="E12" i="32"/>
  <c r="E20" i="79"/>
  <c r="E19" i="79"/>
  <c r="E18" i="79"/>
  <c r="E17" i="79"/>
  <c r="E16" i="79"/>
  <c r="E15" i="79"/>
  <c r="E14" i="79"/>
  <c r="E13" i="79"/>
  <c r="E12" i="79"/>
  <c r="E20" i="31"/>
  <c r="E19" i="31"/>
  <c r="E18" i="31"/>
  <c r="E17" i="31"/>
  <c r="E16" i="31"/>
  <c r="E15" i="31"/>
  <c r="E14" i="31"/>
  <c r="E13" i="31"/>
  <c r="E12" i="31"/>
  <c r="E20" i="64"/>
  <c r="E19" i="64"/>
  <c r="E18" i="64"/>
  <c r="E17" i="64"/>
  <c r="E16" i="64"/>
  <c r="E15" i="64"/>
  <c r="E14" i="64"/>
  <c r="E13" i="64"/>
  <c r="E12" i="64"/>
  <c r="E20" i="28"/>
  <c r="E19" i="28"/>
  <c r="E18" i="28"/>
  <c r="E17" i="28"/>
  <c r="E16" i="28"/>
  <c r="E15" i="28"/>
  <c r="E14" i="28"/>
  <c r="E13" i="28"/>
  <c r="E12" i="28"/>
  <c r="E20" i="27"/>
  <c r="E19" i="27"/>
  <c r="E18" i="27"/>
  <c r="E17" i="27"/>
  <c r="E16" i="27"/>
  <c r="E15" i="27"/>
  <c r="E14" i="27"/>
  <c r="E13" i="27"/>
  <c r="E12" i="27"/>
  <c r="E20" i="119"/>
  <c r="E19" i="119"/>
  <c r="E18" i="119"/>
  <c r="E17" i="119"/>
  <c r="E16" i="119"/>
  <c r="E15" i="119"/>
  <c r="E14" i="119"/>
  <c r="E13" i="119"/>
  <c r="E12" i="119"/>
  <c r="E20" i="25"/>
  <c r="E19" i="25"/>
  <c r="E18" i="25"/>
  <c r="E17" i="25"/>
  <c r="E16" i="25"/>
  <c r="E15" i="25"/>
  <c r="E14" i="25"/>
  <c r="E13" i="25"/>
  <c r="E12" i="25"/>
  <c r="E20" i="65"/>
  <c r="E19" i="65"/>
  <c r="E18" i="65"/>
  <c r="E17" i="65"/>
  <c r="E16" i="65"/>
  <c r="E15" i="65"/>
  <c r="E14" i="65"/>
  <c r="E13" i="65"/>
  <c r="E12" i="65"/>
  <c r="E20" i="20"/>
  <c r="E19" i="20"/>
  <c r="E18" i="20"/>
  <c r="E17" i="20"/>
  <c r="E16" i="20"/>
  <c r="E15" i="20"/>
  <c r="E14" i="20"/>
  <c r="E13" i="20"/>
  <c r="E12" i="20"/>
  <c r="E20" i="16"/>
  <c r="E19" i="16"/>
  <c r="E18" i="16"/>
  <c r="E17" i="16"/>
  <c r="E16" i="16"/>
  <c r="E15" i="16"/>
  <c r="E14" i="16"/>
  <c r="E13" i="16"/>
  <c r="E12" i="16"/>
  <c r="E20" i="55"/>
  <c r="E19" i="55"/>
  <c r="E18" i="55"/>
  <c r="E17" i="55"/>
  <c r="E16" i="55"/>
  <c r="E15" i="55"/>
  <c r="E14" i="55"/>
  <c r="E13" i="55"/>
  <c r="E12" i="55"/>
  <c r="E20" i="14"/>
  <c r="E19" i="14"/>
  <c r="E18" i="14"/>
  <c r="E17" i="14"/>
  <c r="E16" i="14"/>
  <c r="E15" i="14"/>
  <c r="E14" i="14"/>
  <c r="E13" i="14"/>
  <c r="E12" i="14"/>
  <c r="E20" i="100"/>
  <c r="E19" i="100"/>
  <c r="E18" i="100"/>
  <c r="E17" i="100"/>
  <c r="E16" i="100"/>
  <c r="E15" i="100"/>
  <c r="E14" i="100"/>
  <c r="E13" i="100"/>
  <c r="E12" i="100"/>
  <c r="E20" i="87"/>
  <c r="E19" i="87"/>
  <c r="E18" i="87"/>
  <c r="E17" i="87"/>
  <c r="E16" i="87"/>
  <c r="E15" i="87"/>
  <c r="E14" i="87"/>
  <c r="E13" i="87"/>
  <c r="E12" i="87"/>
  <c r="E20" i="69"/>
  <c r="E19" i="69"/>
  <c r="E18" i="69"/>
  <c r="E17" i="69"/>
  <c r="E16" i="69"/>
  <c r="E15" i="69"/>
  <c r="E14" i="69"/>
  <c r="E13" i="69"/>
  <c r="E12" i="69"/>
  <c r="E20" i="89"/>
  <c r="E19" i="89"/>
  <c r="E18" i="89"/>
  <c r="E17" i="89"/>
  <c r="E16" i="89"/>
  <c r="E15" i="89"/>
  <c r="E14" i="89"/>
  <c r="E13" i="89"/>
  <c r="E12" i="89"/>
  <c r="E20" i="86"/>
  <c r="E19" i="86"/>
  <c r="E18" i="86"/>
  <c r="E17" i="86"/>
  <c r="E16" i="86"/>
  <c r="E15" i="86"/>
  <c r="E14" i="86"/>
  <c r="E13" i="86"/>
  <c r="E12" i="86"/>
  <c r="E20" i="142"/>
  <c r="E19" i="142"/>
  <c r="E18" i="142"/>
  <c r="E17" i="142"/>
  <c r="E16" i="142"/>
  <c r="E15" i="142"/>
  <c r="E14" i="142"/>
  <c r="E13" i="142"/>
  <c r="E12" i="142"/>
  <c r="E20" i="91"/>
  <c r="E19" i="91"/>
  <c r="E18" i="91"/>
  <c r="E17" i="91"/>
  <c r="E16" i="91"/>
  <c r="E15" i="91"/>
  <c r="E14" i="91"/>
  <c r="E13" i="91"/>
  <c r="E12" i="91"/>
  <c r="E20" i="90"/>
  <c r="E19" i="90"/>
  <c r="E18" i="90"/>
  <c r="E17" i="90"/>
  <c r="E16" i="90"/>
  <c r="E15" i="90"/>
  <c r="E14" i="90"/>
  <c r="E13" i="90"/>
  <c r="E12" i="90"/>
  <c r="E20" i="1"/>
  <c r="E19" i="1"/>
  <c r="E18" i="1"/>
  <c r="E17" i="1"/>
  <c r="E16" i="1"/>
  <c r="E15" i="1"/>
  <c r="E14" i="1"/>
  <c r="E13" i="1"/>
  <c r="E12" i="1"/>
  <c r="E20" i="50"/>
  <c r="E19" i="50"/>
  <c r="E18" i="50"/>
  <c r="E17" i="50"/>
  <c r="E16" i="50"/>
  <c r="E15" i="50"/>
  <c r="E14" i="50"/>
  <c r="E13" i="50"/>
  <c r="E12" i="50"/>
  <c r="E11" i="10"/>
  <c r="E11" i="60"/>
  <c r="E11" i="133"/>
  <c r="E11" i="54"/>
  <c r="E11" i="94"/>
  <c r="E11" i="72"/>
  <c r="E11" i="85"/>
  <c r="E11" i="67"/>
  <c r="E11" i="66"/>
  <c r="E11" i="63"/>
  <c r="E11" i="21"/>
  <c r="E11" i="62"/>
  <c r="E11" i="59"/>
  <c r="E11" i="58"/>
  <c r="E11" i="57"/>
  <c r="E11" i="136"/>
  <c r="E11" i="53"/>
  <c r="E11" i="98"/>
  <c r="E11" i="49"/>
  <c r="E11" i="47"/>
  <c r="E11" i="46"/>
  <c r="E11" i="102"/>
  <c r="E11" i="45"/>
  <c r="E11" i="106"/>
  <c r="E11" i="104"/>
  <c r="E11" i="15"/>
  <c r="E11" i="43"/>
  <c r="E11" i="42"/>
  <c r="E11" i="84"/>
  <c r="E11" i="71"/>
  <c r="E11" i="39"/>
  <c r="E11" i="135"/>
  <c r="E11" i="38"/>
  <c r="E11" i="37"/>
  <c r="E11" i="120"/>
  <c r="E11" i="24"/>
  <c r="E11" i="141"/>
  <c r="E11" i="33"/>
  <c r="E11" i="32"/>
  <c r="E11" i="79"/>
  <c r="E11" i="31"/>
  <c r="E11" i="64"/>
  <c r="E11" i="28"/>
  <c r="E11" i="27"/>
  <c r="E11" i="119"/>
  <c r="E11" i="25"/>
  <c r="E11" i="65"/>
  <c r="E11" i="20"/>
  <c r="E11" i="16"/>
  <c r="E11" i="55"/>
  <c r="E11" i="14"/>
  <c r="E11" i="100"/>
  <c r="E11" i="87"/>
  <c r="E11" i="69"/>
  <c r="E11" i="89"/>
  <c r="E11" i="86"/>
  <c r="E11" i="142"/>
  <c r="E11" i="91"/>
  <c r="E11" i="90"/>
  <c r="E11" i="1"/>
  <c r="E11" i="50"/>
  <c r="E11" i="92"/>
  <c r="E15" i="92" l="1"/>
  <c r="E19" i="92"/>
  <c r="E13" i="92"/>
  <c r="E17" i="92"/>
  <c r="E12" i="92"/>
  <c r="E16" i="92"/>
  <c r="E20" i="92"/>
  <c r="E14" i="92"/>
  <c r="E18" i="92"/>
  <c r="E20" i="95"/>
  <c r="E13" i="113" l="1"/>
  <c r="E17" i="113"/>
  <c r="E14" i="113"/>
  <c r="E18" i="113"/>
  <c r="E15" i="113"/>
  <c r="E19" i="113"/>
  <c r="E12" i="113"/>
  <c r="E16" i="113"/>
  <c r="E20" i="113"/>
  <c r="E11" i="95"/>
  <c r="E12" i="95"/>
  <c r="E13" i="95"/>
  <c r="E14" i="95"/>
  <c r="E15" i="95"/>
  <c r="E16" i="95"/>
  <c r="E17" i="95"/>
  <c r="E18" i="95"/>
  <c r="E19" i="95"/>
  <c r="E11" i="113"/>
  <c r="F43" i="97" l="1"/>
  <c r="G72" i="65"/>
  <c r="G57" i="133"/>
  <c r="E231" i="95"/>
  <c r="F228" i="95"/>
  <c r="E227" i="95"/>
  <c r="E226" i="95"/>
  <c r="E225" i="95"/>
  <c r="E224" i="95"/>
  <c r="E223" i="95"/>
  <c r="E222" i="95"/>
  <c r="E221" i="95"/>
  <c r="E220" i="95"/>
  <c r="G220" i="95" s="1"/>
  <c r="G205" i="95"/>
  <c r="G204" i="95"/>
  <c r="G203" i="95"/>
  <c r="G202" i="95"/>
  <c r="G201" i="95"/>
  <c r="G200" i="95"/>
  <c r="G196" i="95"/>
  <c r="G195" i="95"/>
  <c r="G194" i="95"/>
  <c r="G192" i="95"/>
  <c r="G191" i="95"/>
  <c r="G190" i="95"/>
  <c r="G189" i="95"/>
  <c r="G188" i="95"/>
  <c r="G187" i="95"/>
  <c r="G186" i="95"/>
  <c r="G185" i="95"/>
  <c r="G184" i="95"/>
  <c r="G183" i="95"/>
  <c r="G182" i="95"/>
  <c r="G181" i="95"/>
  <c r="G180" i="95"/>
  <c r="G179" i="95"/>
  <c r="G178" i="95"/>
  <c r="G177" i="95"/>
  <c r="G176" i="95"/>
  <c r="G175" i="95"/>
  <c r="G174" i="95"/>
  <c r="G173" i="95"/>
  <c r="G172" i="95"/>
  <c r="G171" i="95"/>
  <c r="G170" i="95"/>
  <c r="G169" i="95"/>
  <c r="G168" i="95"/>
  <c r="G167" i="95"/>
  <c r="G166" i="95"/>
  <c r="G165" i="95"/>
  <c r="G118" i="95"/>
  <c r="G117" i="95"/>
  <c r="G116" i="95"/>
  <c r="G115" i="95"/>
  <c r="G101" i="95"/>
  <c r="G100" i="95"/>
  <c r="G99" i="95"/>
  <c r="G98" i="95"/>
  <c r="G97" i="95"/>
  <c r="G96" i="95"/>
  <c r="G78" i="95"/>
  <c r="G77" i="95"/>
  <c r="G76" i="95"/>
  <c r="G75" i="95"/>
  <c r="G74" i="95"/>
  <c r="G73" i="95"/>
  <c r="G72" i="95"/>
  <c r="G71" i="95"/>
  <c r="G70" i="95"/>
  <c r="G69" i="95"/>
  <c r="G68" i="95"/>
  <c r="G67" i="95"/>
  <c r="G66" i="95"/>
  <c r="G65" i="95"/>
  <c r="G60" i="95"/>
  <c r="G59" i="95"/>
  <c r="G58" i="95"/>
  <c r="G57" i="95"/>
  <c r="G56" i="95"/>
  <c r="G55" i="95"/>
  <c r="G54" i="95"/>
  <c r="G53" i="95"/>
  <c r="G52" i="95"/>
  <c r="G51" i="95"/>
  <c r="G50" i="95"/>
  <c r="G49" i="95"/>
  <c r="G48" i="95"/>
  <c r="G47" i="95"/>
  <c r="G46" i="95"/>
  <c r="G45" i="95"/>
  <c r="G44" i="95"/>
  <c r="G43" i="95"/>
  <c r="G42" i="95"/>
  <c r="G41" i="95"/>
  <c r="G40" i="95"/>
  <c r="G39" i="95"/>
  <c r="G38" i="95"/>
  <c r="G37" i="95"/>
  <c r="G36" i="95"/>
  <c r="G35" i="95"/>
  <c r="G34" i="95"/>
  <c r="G33" i="95"/>
  <c r="G32" i="95"/>
  <c r="G31" i="95"/>
  <c r="G30" i="95"/>
  <c r="G29" i="95"/>
  <c r="G28" i="95"/>
  <c r="G27" i="95"/>
  <c r="G26" i="95"/>
  <c r="F21" i="95"/>
  <c r="E231" i="50"/>
  <c r="F228" i="50"/>
  <c r="E227" i="50"/>
  <c r="E226" i="50"/>
  <c r="E225" i="50"/>
  <c r="E224" i="50"/>
  <c r="E223" i="50"/>
  <c r="E222" i="50"/>
  <c r="E221" i="50"/>
  <c r="E220" i="50"/>
  <c r="G205" i="50"/>
  <c r="G204" i="50"/>
  <c r="G203" i="50"/>
  <c r="G202" i="50"/>
  <c r="G201" i="50"/>
  <c r="G200" i="50"/>
  <c r="G189" i="50"/>
  <c r="G160" i="50"/>
  <c r="G159" i="50"/>
  <c r="G158" i="50"/>
  <c r="G157" i="50"/>
  <c r="G156" i="50"/>
  <c r="G155" i="50"/>
  <c r="G153" i="50"/>
  <c r="G152" i="50"/>
  <c r="G151" i="50"/>
  <c r="G150" i="50"/>
  <c r="G149" i="50"/>
  <c r="G148" i="50"/>
  <c r="G147" i="50"/>
  <c r="G146" i="50"/>
  <c r="G145" i="50"/>
  <c r="G143" i="50"/>
  <c r="G142" i="50"/>
  <c r="G141" i="50"/>
  <c r="G140" i="50"/>
  <c r="G138" i="50"/>
  <c r="G137" i="50"/>
  <c r="G136" i="50"/>
  <c r="G135" i="50"/>
  <c r="G133" i="50"/>
  <c r="G132" i="50"/>
  <c r="G131" i="50"/>
  <c r="G130" i="50"/>
  <c r="G129" i="50"/>
  <c r="G127" i="50"/>
  <c r="G126" i="50"/>
  <c r="G125" i="50"/>
  <c r="G124" i="50"/>
  <c r="G110" i="50"/>
  <c r="G109" i="50"/>
  <c r="G108" i="50"/>
  <c r="G107" i="50"/>
  <c r="G106" i="50"/>
  <c r="G105" i="50"/>
  <c r="G101" i="50"/>
  <c r="G100" i="50"/>
  <c r="G99" i="50"/>
  <c r="G98" i="50"/>
  <c r="G97" i="50"/>
  <c r="G96" i="50"/>
  <c r="G78" i="50"/>
  <c r="G77" i="50"/>
  <c r="G76" i="50"/>
  <c r="G75" i="50"/>
  <c r="G74" i="50"/>
  <c r="G73" i="50"/>
  <c r="G72" i="50"/>
  <c r="G71" i="50"/>
  <c r="G70" i="50"/>
  <c r="G69" i="50"/>
  <c r="G68" i="50"/>
  <c r="G67" i="50"/>
  <c r="G66" i="50"/>
  <c r="G65" i="50"/>
  <c r="G64" i="50"/>
  <c r="G27" i="50"/>
  <c r="F21" i="50"/>
  <c r="G20" i="50"/>
  <c r="G19" i="50"/>
  <c r="G18" i="50"/>
  <c r="G17" i="50"/>
  <c r="G16" i="50"/>
  <c r="G15" i="50"/>
  <c r="G14" i="50"/>
  <c r="G13" i="50"/>
  <c r="G12" i="50"/>
  <c r="G11" i="50"/>
  <c r="E232" i="1"/>
  <c r="F228" i="1"/>
  <c r="K18" i="1"/>
  <c r="K17" i="1"/>
  <c r="G160" i="1"/>
  <c r="G159" i="1"/>
  <c r="G158" i="1"/>
  <c r="G157" i="1"/>
  <c r="G156" i="1"/>
  <c r="G155" i="1"/>
  <c r="G153" i="1"/>
  <c r="G152" i="1"/>
  <c r="G151" i="1"/>
  <c r="G150" i="1"/>
  <c r="G149" i="1"/>
  <c r="G148" i="1"/>
  <c r="G147" i="1"/>
  <c r="G146" i="1"/>
  <c r="G145" i="1"/>
  <c r="G143" i="1"/>
  <c r="G142" i="1"/>
  <c r="G141" i="1"/>
  <c r="G140" i="1"/>
  <c r="G138" i="1"/>
  <c r="G137" i="1"/>
  <c r="G136" i="1"/>
  <c r="G135" i="1"/>
  <c r="G133" i="1"/>
  <c r="G131" i="1"/>
  <c r="G130" i="1"/>
  <c r="G129" i="1"/>
  <c r="G127" i="1"/>
  <c r="G126" i="1"/>
  <c r="G125" i="1"/>
  <c r="G124" i="1"/>
  <c r="G118" i="1"/>
  <c r="G117" i="1"/>
  <c r="G116" i="1"/>
  <c r="G115" i="1"/>
  <c r="G110" i="1"/>
  <c r="G109" i="1"/>
  <c r="G108" i="1"/>
  <c r="G107" i="1"/>
  <c r="G106" i="1"/>
  <c r="G105" i="1"/>
  <c r="G92" i="1"/>
  <c r="G91" i="1"/>
  <c r="G90" i="1"/>
  <c r="G89" i="1"/>
  <c r="G88" i="1"/>
  <c r="G87" i="1"/>
  <c r="G86" i="1"/>
  <c r="G85" i="1"/>
  <c r="G84" i="1"/>
  <c r="G83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F21" i="1"/>
  <c r="G20" i="1"/>
  <c r="G19" i="1"/>
  <c r="G18" i="1"/>
  <c r="G17" i="1"/>
  <c r="G16" i="1"/>
  <c r="G15" i="1"/>
  <c r="G14" i="1"/>
  <c r="G13" i="1"/>
  <c r="G12" i="1"/>
  <c r="G11" i="1"/>
  <c r="F228" i="25"/>
  <c r="K18" i="25"/>
  <c r="K17" i="25"/>
  <c r="G160" i="25"/>
  <c r="G159" i="25"/>
  <c r="G158" i="25"/>
  <c r="G157" i="25"/>
  <c r="G156" i="25"/>
  <c r="G155" i="25"/>
  <c r="G153" i="25"/>
  <c r="G152" i="25"/>
  <c r="G151" i="25"/>
  <c r="G150" i="25"/>
  <c r="G149" i="25"/>
  <c r="G148" i="25"/>
  <c r="G147" i="25"/>
  <c r="G146" i="25"/>
  <c r="G145" i="25"/>
  <c r="G143" i="25"/>
  <c r="G142" i="25"/>
  <c r="G141" i="25"/>
  <c r="G140" i="25"/>
  <c r="G138" i="25"/>
  <c r="G137" i="25"/>
  <c r="G136" i="25"/>
  <c r="G135" i="25"/>
  <c r="G133" i="25"/>
  <c r="G132" i="25"/>
  <c r="G131" i="25"/>
  <c r="G130" i="25"/>
  <c r="G129" i="25"/>
  <c r="G127" i="25"/>
  <c r="G126" i="25"/>
  <c r="G125" i="25"/>
  <c r="G124" i="25"/>
  <c r="G110" i="25"/>
  <c r="G109" i="25"/>
  <c r="G108" i="25"/>
  <c r="G107" i="25"/>
  <c r="G106" i="25"/>
  <c r="G105" i="25"/>
  <c r="G92" i="25"/>
  <c r="G91" i="25"/>
  <c r="G90" i="25"/>
  <c r="G89" i="25"/>
  <c r="G88" i="25"/>
  <c r="G87" i="25"/>
  <c r="G86" i="25"/>
  <c r="G78" i="25"/>
  <c r="G77" i="25"/>
  <c r="G76" i="25"/>
  <c r="G75" i="25"/>
  <c r="G74" i="25"/>
  <c r="G73" i="25"/>
  <c r="G72" i="25"/>
  <c r="G71" i="25"/>
  <c r="G70" i="25"/>
  <c r="G69" i="25"/>
  <c r="G68" i="25"/>
  <c r="G67" i="25"/>
  <c r="G66" i="25"/>
  <c r="G65" i="25"/>
  <c r="G59" i="25"/>
  <c r="G58" i="25"/>
  <c r="G57" i="25"/>
  <c r="G56" i="25"/>
  <c r="G55" i="25"/>
  <c r="G54" i="25"/>
  <c r="G53" i="25"/>
  <c r="G52" i="25"/>
  <c r="G51" i="25"/>
  <c r="G50" i="25"/>
  <c r="G49" i="25"/>
  <c r="G48" i="25"/>
  <c r="G47" i="25"/>
  <c r="G46" i="25"/>
  <c r="G45" i="25"/>
  <c r="G44" i="25"/>
  <c r="G43" i="25"/>
  <c r="G42" i="25"/>
  <c r="G41" i="25"/>
  <c r="G40" i="25"/>
  <c r="G39" i="25"/>
  <c r="G38" i="25"/>
  <c r="G37" i="25"/>
  <c r="G36" i="25"/>
  <c r="G35" i="25"/>
  <c r="G34" i="25"/>
  <c r="G33" i="25"/>
  <c r="G32" i="25"/>
  <c r="G31" i="25"/>
  <c r="G30" i="25"/>
  <c r="G29" i="25"/>
  <c r="G28" i="25"/>
  <c r="G27" i="25"/>
  <c r="G26" i="25"/>
  <c r="G25" i="25"/>
  <c r="F21" i="25"/>
  <c r="G20" i="25"/>
  <c r="G19" i="25"/>
  <c r="G18" i="25"/>
  <c r="G17" i="25"/>
  <c r="G16" i="25"/>
  <c r="G15" i="25"/>
  <c r="G13" i="25"/>
  <c r="G12" i="25"/>
  <c r="G11" i="25"/>
  <c r="E231" i="28"/>
  <c r="F228" i="28"/>
  <c r="E227" i="28"/>
  <c r="E225" i="28"/>
  <c r="E223" i="28"/>
  <c r="E221" i="28"/>
  <c r="G205" i="28"/>
  <c r="G204" i="28"/>
  <c r="G203" i="28"/>
  <c r="G202" i="28"/>
  <c r="G201" i="28"/>
  <c r="G193" i="28"/>
  <c r="G177" i="28"/>
  <c r="G169" i="28"/>
  <c r="G160" i="28"/>
  <c r="G159" i="28"/>
  <c r="G158" i="28"/>
  <c r="G156" i="28"/>
  <c r="G155" i="28"/>
  <c r="G153" i="28"/>
  <c r="G152" i="28"/>
  <c r="G151" i="28"/>
  <c r="G150" i="28"/>
  <c r="G149" i="28"/>
  <c r="G147" i="28"/>
  <c r="G146" i="28"/>
  <c r="G145" i="28"/>
  <c r="G143" i="28"/>
  <c r="G142" i="28"/>
  <c r="G141" i="28"/>
  <c r="G140" i="28"/>
  <c r="G138" i="28"/>
  <c r="G137" i="28"/>
  <c r="G136" i="28"/>
  <c r="G135" i="28"/>
  <c r="G133" i="28"/>
  <c r="G132" i="28"/>
  <c r="G131" i="28"/>
  <c r="G130" i="28"/>
  <c r="G127" i="28"/>
  <c r="G126" i="28"/>
  <c r="G125" i="28"/>
  <c r="G124" i="28"/>
  <c r="G87" i="28"/>
  <c r="G78" i="28"/>
  <c r="G77" i="28"/>
  <c r="G76" i="28"/>
  <c r="G75" i="28"/>
  <c r="G74" i="28"/>
  <c r="G73" i="28"/>
  <c r="G72" i="28"/>
  <c r="G71" i="28"/>
  <c r="G69" i="28"/>
  <c r="G68" i="28"/>
  <c r="G67" i="28"/>
  <c r="G66" i="28"/>
  <c r="G65" i="28"/>
  <c r="G64" i="28"/>
  <c r="G60" i="28"/>
  <c r="G59" i="28"/>
  <c r="G58" i="28"/>
  <c r="G56" i="28"/>
  <c r="G55" i="28"/>
  <c r="G54" i="28"/>
  <c r="G53" i="28"/>
  <c r="G52" i="28"/>
  <c r="G51" i="28"/>
  <c r="G50" i="28"/>
  <c r="G48" i="28"/>
  <c r="G47" i="28"/>
  <c r="G46" i="28"/>
  <c r="G45" i="28"/>
  <c r="G44" i="28"/>
  <c r="G43" i="28"/>
  <c r="G42" i="28"/>
  <c r="G40" i="28"/>
  <c r="G39" i="28"/>
  <c r="G38" i="28"/>
  <c r="G37" i="28"/>
  <c r="G36" i="28"/>
  <c r="G35" i="28"/>
  <c r="G34" i="28"/>
  <c r="G32" i="28"/>
  <c r="G31" i="28"/>
  <c r="G30" i="28"/>
  <c r="G29" i="28"/>
  <c r="G28" i="28"/>
  <c r="G27" i="28"/>
  <c r="G26" i="28"/>
  <c r="F21" i="28"/>
  <c r="G15" i="28"/>
  <c r="E231" i="142"/>
  <c r="F228" i="142"/>
  <c r="E227" i="142"/>
  <c r="E225" i="142"/>
  <c r="E223" i="142"/>
  <c r="E221" i="142"/>
  <c r="G205" i="142"/>
  <c r="G204" i="142"/>
  <c r="G203" i="142"/>
  <c r="G202" i="142"/>
  <c r="G201" i="142"/>
  <c r="G200" i="142"/>
  <c r="G196" i="142"/>
  <c r="G195" i="142"/>
  <c r="G194" i="142"/>
  <c r="G193" i="142"/>
  <c r="G192" i="142"/>
  <c r="G191" i="142"/>
  <c r="G190" i="142"/>
  <c r="G189" i="142"/>
  <c r="G188" i="142"/>
  <c r="G187" i="142"/>
  <c r="G186" i="142"/>
  <c r="G185" i="142"/>
  <c r="G184" i="142"/>
  <c r="G183" i="142"/>
  <c r="G182" i="142"/>
  <c r="G181" i="142"/>
  <c r="G180" i="142"/>
  <c r="G179" i="142"/>
  <c r="G178" i="142"/>
  <c r="G177" i="142"/>
  <c r="G176" i="142"/>
  <c r="G175" i="142"/>
  <c r="G174" i="142"/>
  <c r="G173" i="142"/>
  <c r="G172" i="142"/>
  <c r="G171" i="142"/>
  <c r="G170" i="142"/>
  <c r="G169" i="142"/>
  <c r="G168" i="142"/>
  <c r="G167" i="142"/>
  <c r="G166" i="142"/>
  <c r="G165" i="142"/>
  <c r="G118" i="142"/>
  <c r="G117" i="142"/>
  <c r="G116" i="142"/>
  <c r="G115" i="142"/>
  <c r="G114" i="142"/>
  <c r="G100" i="142"/>
  <c r="G77" i="142"/>
  <c r="G76" i="142"/>
  <c r="G75" i="142"/>
  <c r="G74" i="142"/>
  <c r="G73" i="142"/>
  <c r="G72" i="142"/>
  <c r="G71" i="142"/>
  <c r="G69" i="142"/>
  <c r="G68" i="142"/>
  <c r="G67" i="142"/>
  <c r="G66" i="142"/>
  <c r="G65" i="142"/>
  <c r="G64" i="142"/>
  <c r="F21" i="142"/>
  <c r="G20" i="142"/>
  <c r="G19" i="142"/>
  <c r="G18" i="142"/>
  <c r="G17" i="142"/>
  <c r="G16" i="142"/>
  <c r="G15" i="142"/>
  <c r="G14" i="142"/>
  <c r="G13" i="142"/>
  <c r="G12" i="142"/>
  <c r="G11" i="142"/>
  <c r="E232" i="141"/>
  <c r="F228" i="141"/>
  <c r="E226" i="141"/>
  <c r="E224" i="141"/>
  <c r="E222" i="141"/>
  <c r="E220" i="141"/>
  <c r="K18" i="141"/>
  <c r="K17" i="141"/>
  <c r="G196" i="141"/>
  <c r="G195" i="141"/>
  <c r="G194" i="141"/>
  <c r="G193" i="141"/>
  <c r="G192" i="141"/>
  <c r="G191" i="141"/>
  <c r="G190" i="141"/>
  <c r="G189" i="141"/>
  <c r="G188" i="141"/>
  <c r="G187" i="141"/>
  <c r="G186" i="141"/>
  <c r="G185" i="141"/>
  <c r="G184" i="141"/>
  <c r="G183" i="141"/>
  <c r="G182" i="141"/>
  <c r="G181" i="141"/>
  <c r="G180" i="141"/>
  <c r="G179" i="141"/>
  <c r="G178" i="141"/>
  <c r="G177" i="141"/>
  <c r="G176" i="141"/>
  <c r="G175" i="141"/>
  <c r="G174" i="141"/>
  <c r="G173" i="141"/>
  <c r="G172" i="141"/>
  <c r="G171" i="141"/>
  <c r="G170" i="141"/>
  <c r="G169" i="141"/>
  <c r="G168" i="141"/>
  <c r="G167" i="141"/>
  <c r="G166" i="141"/>
  <c r="G165" i="141"/>
  <c r="G117" i="141"/>
  <c r="G116" i="141"/>
  <c r="G115" i="141"/>
  <c r="G110" i="141"/>
  <c r="G109" i="141"/>
  <c r="G108" i="141"/>
  <c r="G107" i="141"/>
  <c r="G106" i="141"/>
  <c r="G105" i="141"/>
  <c r="G101" i="141"/>
  <c r="G99" i="141"/>
  <c r="G98" i="141"/>
  <c r="G97" i="141"/>
  <c r="G78" i="141"/>
  <c r="G77" i="141"/>
  <c r="G76" i="141"/>
  <c r="G75" i="141"/>
  <c r="G74" i="141"/>
  <c r="G73" i="141"/>
  <c r="G72" i="141"/>
  <c r="G71" i="141"/>
  <c r="G70" i="141"/>
  <c r="G69" i="141"/>
  <c r="G68" i="141"/>
  <c r="G67" i="141"/>
  <c r="G66" i="141"/>
  <c r="G65" i="141"/>
  <c r="G60" i="141"/>
  <c r="G59" i="141"/>
  <c r="G58" i="141"/>
  <c r="G57" i="141"/>
  <c r="G56" i="141"/>
  <c r="G55" i="141"/>
  <c r="G54" i="141"/>
  <c r="G53" i="141"/>
  <c r="G52" i="141"/>
  <c r="G51" i="141"/>
  <c r="G50" i="141"/>
  <c r="G49" i="141"/>
  <c r="G48" i="141"/>
  <c r="G47" i="141"/>
  <c r="G46" i="141"/>
  <c r="G45" i="141"/>
  <c r="G44" i="141"/>
  <c r="G43" i="141"/>
  <c r="G42" i="141"/>
  <c r="G41" i="141"/>
  <c r="G40" i="141"/>
  <c r="G39" i="141"/>
  <c r="G38" i="141"/>
  <c r="G37" i="141"/>
  <c r="G36" i="141"/>
  <c r="G34" i="141"/>
  <c r="G33" i="141"/>
  <c r="G32" i="141"/>
  <c r="G31" i="141"/>
  <c r="G30" i="141"/>
  <c r="G29" i="141"/>
  <c r="G28" i="141"/>
  <c r="G27" i="141"/>
  <c r="G26" i="141"/>
  <c r="F21" i="141"/>
  <c r="F215" i="141" s="1"/>
  <c r="G20" i="141"/>
  <c r="G19" i="141"/>
  <c r="G18" i="141"/>
  <c r="G17" i="141"/>
  <c r="G16" i="141"/>
  <c r="G15" i="141"/>
  <c r="G14" i="141"/>
  <c r="G13" i="141"/>
  <c r="G12" i="141"/>
  <c r="G11" i="141"/>
  <c r="E232" i="24"/>
  <c r="E231" i="24"/>
  <c r="F228" i="24"/>
  <c r="E227" i="24"/>
  <c r="E225" i="24"/>
  <c r="E223" i="24"/>
  <c r="E221" i="24"/>
  <c r="K18" i="24"/>
  <c r="K17" i="24"/>
  <c r="G196" i="24"/>
  <c r="G195" i="24"/>
  <c r="G194" i="24"/>
  <c r="G193" i="24"/>
  <c r="G192" i="24"/>
  <c r="G191" i="24"/>
  <c r="G189" i="24"/>
  <c r="G188" i="24"/>
  <c r="G187" i="24"/>
  <c r="G186" i="24"/>
  <c r="G185" i="24"/>
  <c r="G184" i="24"/>
  <c r="G183" i="24"/>
  <c r="G181" i="24"/>
  <c r="G180" i="24"/>
  <c r="G179" i="24"/>
  <c r="G178" i="24"/>
  <c r="G177" i="24"/>
  <c r="G176" i="24"/>
  <c r="G175" i="24"/>
  <c r="G174" i="24"/>
  <c r="G173" i="24"/>
  <c r="G172" i="24"/>
  <c r="G171" i="24"/>
  <c r="G169" i="24"/>
  <c r="G168" i="24"/>
  <c r="G167" i="24"/>
  <c r="G166" i="24"/>
  <c r="G165" i="24"/>
  <c r="G164" i="24"/>
  <c r="G110" i="24"/>
  <c r="G109" i="24"/>
  <c r="G108" i="24"/>
  <c r="G107" i="24"/>
  <c r="G106" i="24"/>
  <c r="G105" i="24"/>
  <c r="G101" i="24"/>
  <c r="G100" i="24"/>
  <c r="G99" i="24"/>
  <c r="G98" i="24"/>
  <c r="G97" i="24"/>
  <c r="G96" i="24"/>
  <c r="G78" i="24"/>
  <c r="G77" i="24"/>
  <c r="G76" i="24"/>
  <c r="G75" i="24"/>
  <c r="G74" i="24"/>
  <c r="G73" i="24"/>
  <c r="G72" i="24"/>
  <c r="G71" i="24"/>
  <c r="G70" i="24"/>
  <c r="G69" i="24"/>
  <c r="G68" i="24"/>
  <c r="G67" i="24"/>
  <c r="G66" i="24"/>
  <c r="G65" i="24"/>
  <c r="F21" i="24"/>
  <c r="G20" i="24"/>
  <c r="G19" i="24"/>
  <c r="G18" i="24"/>
  <c r="G17" i="24"/>
  <c r="G16" i="24"/>
  <c r="G15" i="24"/>
  <c r="G14" i="24"/>
  <c r="G13" i="24"/>
  <c r="G12" i="24"/>
  <c r="G11" i="24"/>
  <c r="E232" i="62"/>
  <c r="E231" i="62"/>
  <c r="G231" i="62" s="1"/>
  <c r="F228" i="62"/>
  <c r="E227" i="62"/>
  <c r="E226" i="62"/>
  <c r="E225" i="62"/>
  <c r="E224" i="62"/>
  <c r="E223" i="62"/>
  <c r="E222" i="62"/>
  <c r="E221" i="62"/>
  <c r="E220" i="62"/>
  <c r="G205" i="62"/>
  <c r="G204" i="62"/>
  <c r="G203" i="62"/>
  <c r="G202" i="62"/>
  <c r="G201" i="62"/>
  <c r="G200" i="62"/>
  <c r="G196" i="62"/>
  <c r="G195" i="62"/>
  <c r="G194" i="62"/>
  <c r="G193" i="62"/>
  <c r="G192" i="62"/>
  <c r="G191" i="62"/>
  <c r="G190" i="62"/>
  <c r="G189" i="62"/>
  <c r="G188" i="62"/>
  <c r="G187" i="62"/>
  <c r="G186" i="62"/>
  <c r="G185" i="62"/>
  <c r="G184" i="62"/>
  <c r="G183" i="62"/>
  <c r="G182" i="62"/>
  <c r="G181" i="62"/>
  <c r="G180" i="62"/>
  <c r="G179" i="62"/>
  <c r="G178" i="62"/>
  <c r="G177" i="62"/>
  <c r="G176" i="62"/>
  <c r="G175" i="62"/>
  <c r="G174" i="62"/>
  <c r="G173" i="62"/>
  <c r="G172" i="62"/>
  <c r="G171" i="62"/>
  <c r="G170" i="62"/>
  <c r="G169" i="62"/>
  <c r="G168" i="62"/>
  <c r="G167" i="62"/>
  <c r="G166" i="62"/>
  <c r="G165" i="62"/>
  <c r="G157" i="62"/>
  <c r="G143" i="62"/>
  <c r="G133" i="62"/>
  <c r="G118" i="62"/>
  <c r="G117" i="62"/>
  <c r="G116" i="62"/>
  <c r="G115" i="62"/>
  <c r="G114" i="62"/>
  <c r="G110" i="62"/>
  <c r="G109" i="62"/>
  <c r="G108" i="62"/>
  <c r="G107" i="62"/>
  <c r="G106" i="62"/>
  <c r="G105" i="62"/>
  <c r="G101" i="62"/>
  <c r="G100" i="62"/>
  <c r="G99" i="62"/>
  <c r="G97" i="62"/>
  <c r="G96" i="62"/>
  <c r="G92" i="62"/>
  <c r="G91" i="62"/>
  <c r="G90" i="62"/>
  <c r="G89" i="62"/>
  <c r="G88" i="62"/>
  <c r="G87" i="62"/>
  <c r="G86" i="62"/>
  <c r="G85" i="62"/>
  <c r="G84" i="62"/>
  <c r="G83" i="62"/>
  <c r="G78" i="62"/>
  <c r="G77" i="62"/>
  <c r="G76" i="62"/>
  <c r="G75" i="62"/>
  <c r="G74" i="62"/>
  <c r="G73" i="62"/>
  <c r="G72" i="62"/>
  <c r="G71" i="62"/>
  <c r="G70" i="62"/>
  <c r="G69" i="62"/>
  <c r="G68" i="62"/>
  <c r="G67" i="62"/>
  <c r="G66" i="62"/>
  <c r="G65" i="62"/>
  <c r="G60" i="62"/>
  <c r="G59" i="62"/>
  <c r="G58" i="62"/>
  <c r="G56" i="62"/>
  <c r="G55" i="62"/>
  <c r="G54" i="62"/>
  <c r="G53" i="62"/>
  <c r="G52" i="62"/>
  <c r="G51" i="62"/>
  <c r="G50" i="62"/>
  <c r="G49" i="62"/>
  <c r="G48" i="62"/>
  <c r="G47" i="62"/>
  <c r="G46" i="62"/>
  <c r="G45" i="62"/>
  <c r="G44" i="62"/>
  <c r="G43" i="62"/>
  <c r="G42" i="62"/>
  <c r="G41" i="62"/>
  <c r="G40" i="62"/>
  <c r="G39" i="62"/>
  <c r="G38" i="62"/>
  <c r="G37" i="62"/>
  <c r="G36" i="62"/>
  <c r="G35" i="62"/>
  <c r="G34" i="62"/>
  <c r="G33" i="62"/>
  <c r="G32" i="62"/>
  <c r="G31" i="62"/>
  <c r="G30" i="62"/>
  <c r="G29" i="62"/>
  <c r="G28" i="62"/>
  <c r="G27" i="62"/>
  <c r="G26" i="62"/>
  <c r="G25" i="62"/>
  <c r="E232" i="98"/>
  <c r="E231" i="98"/>
  <c r="F228" i="98"/>
  <c r="E227" i="98"/>
  <c r="E226" i="98"/>
  <c r="E225" i="98"/>
  <c r="E224" i="98"/>
  <c r="E223" i="98"/>
  <c r="E222" i="98"/>
  <c r="E221" i="98"/>
  <c r="E220" i="98"/>
  <c r="G205" i="98"/>
  <c r="G204" i="98"/>
  <c r="G203" i="98"/>
  <c r="G202" i="98"/>
  <c r="G201" i="98"/>
  <c r="G200" i="98"/>
  <c r="G189" i="98"/>
  <c r="G160" i="98"/>
  <c r="G159" i="98"/>
  <c r="G158" i="98"/>
  <c r="G156" i="98"/>
  <c r="G155" i="98"/>
  <c r="G153" i="98"/>
  <c r="G152" i="98"/>
  <c r="G151" i="98"/>
  <c r="G150" i="98"/>
  <c r="G149" i="98"/>
  <c r="G147" i="98"/>
  <c r="G146" i="98"/>
  <c r="G145" i="98"/>
  <c r="G143" i="98"/>
  <c r="G142" i="98"/>
  <c r="G141" i="98"/>
  <c r="G140" i="98"/>
  <c r="G138" i="98"/>
  <c r="G137" i="98"/>
  <c r="G136" i="98"/>
  <c r="G135" i="98"/>
  <c r="G133" i="98"/>
  <c r="G132" i="98"/>
  <c r="G131" i="98"/>
  <c r="G130" i="98"/>
  <c r="G129" i="98"/>
  <c r="G127" i="98"/>
  <c r="G126" i="98"/>
  <c r="G125" i="98"/>
  <c r="G124" i="98"/>
  <c r="G101" i="98"/>
  <c r="G100" i="98"/>
  <c r="G99" i="98"/>
  <c r="G98" i="98"/>
  <c r="G97" i="98"/>
  <c r="G96" i="98"/>
  <c r="G92" i="98"/>
  <c r="G91" i="98"/>
  <c r="G90" i="98"/>
  <c r="G89" i="98"/>
  <c r="G88" i="98"/>
  <c r="G87" i="98"/>
  <c r="G86" i="98"/>
  <c r="G85" i="98"/>
  <c r="G84" i="98"/>
  <c r="G83" i="98"/>
  <c r="G60" i="98"/>
  <c r="G59" i="98"/>
  <c r="G58" i="98"/>
  <c r="G57" i="98"/>
  <c r="G56" i="98"/>
  <c r="G55" i="98"/>
  <c r="G54" i="98"/>
  <c r="G53" i="98"/>
  <c r="G52" i="98"/>
  <c r="G51" i="98"/>
  <c r="G50" i="98"/>
  <c r="G49" i="98"/>
  <c r="G48" i="98"/>
  <c r="G47" i="98"/>
  <c r="G46" i="98"/>
  <c r="G45" i="98"/>
  <c r="G44" i="98"/>
  <c r="G43" i="98"/>
  <c r="G42" i="98"/>
  <c r="G41" i="98"/>
  <c r="G40" i="98"/>
  <c r="G39" i="98"/>
  <c r="G38" i="98"/>
  <c r="G37" i="98"/>
  <c r="G36" i="98"/>
  <c r="G35" i="98"/>
  <c r="G34" i="98"/>
  <c r="G33" i="98"/>
  <c r="G32" i="98"/>
  <c r="G31" i="98"/>
  <c r="G30" i="98"/>
  <c r="G29" i="98"/>
  <c r="G28" i="98"/>
  <c r="G27" i="98"/>
  <c r="G26" i="98"/>
  <c r="F21" i="98"/>
  <c r="F215" i="98" s="1"/>
  <c r="G20" i="98"/>
  <c r="G19" i="98"/>
  <c r="G18" i="98"/>
  <c r="G17" i="98"/>
  <c r="G16" i="98"/>
  <c r="G15" i="98"/>
  <c r="G14" i="98"/>
  <c r="G13" i="98"/>
  <c r="G12" i="98"/>
  <c r="G11" i="98"/>
  <c r="E231" i="53"/>
  <c r="F228" i="53"/>
  <c r="E227" i="53"/>
  <c r="E226" i="53"/>
  <c r="E225" i="53"/>
  <c r="E224" i="53"/>
  <c r="E223" i="53"/>
  <c r="E222" i="53"/>
  <c r="E221" i="53"/>
  <c r="E220" i="53"/>
  <c r="G205" i="53"/>
  <c r="G204" i="53"/>
  <c r="G203" i="53"/>
  <c r="G202" i="53"/>
  <c r="G201" i="53"/>
  <c r="G160" i="53"/>
  <c r="G159" i="53"/>
  <c r="G158" i="53"/>
  <c r="G157" i="53"/>
  <c r="G156" i="53"/>
  <c r="G155" i="53"/>
  <c r="G153" i="53"/>
  <c r="G152" i="53"/>
  <c r="G151" i="53"/>
  <c r="G150" i="53"/>
  <c r="G149" i="53"/>
  <c r="G148" i="53"/>
  <c r="G147" i="53"/>
  <c r="G146" i="53"/>
  <c r="G145" i="53"/>
  <c r="G143" i="53"/>
  <c r="G142" i="53"/>
  <c r="G141" i="53"/>
  <c r="G140" i="53"/>
  <c r="G138" i="53"/>
  <c r="G137" i="53"/>
  <c r="G136" i="53"/>
  <c r="G135" i="53"/>
  <c r="G133" i="53"/>
  <c r="G132" i="53"/>
  <c r="G131" i="53"/>
  <c r="G130" i="53"/>
  <c r="G129" i="53"/>
  <c r="G127" i="53"/>
  <c r="G126" i="53"/>
  <c r="G125" i="53"/>
  <c r="G124" i="53"/>
  <c r="G118" i="53"/>
  <c r="G117" i="53"/>
  <c r="G116" i="53"/>
  <c r="G115" i="53"/>
  <c r="G92" i="53"/>
  <c r="G91" i="53"/>
  <c r="G90" i="53"/>
  <c r="G89" i="53"/>
  <c r="G88" i="53"/>
  <c r="G87" i="53"/>
  <c r="G86" i="53"/>
  <c r="G85" i="53"/>
  <c r="G84" i="53"/>
  <c r="G83" i="53"/>
  <c r="G82" i="53"/>
  <c r="G75" i="53"/>
  <c r="G60" i="53"/>
  <c r="G59" i="53"/>
  <c r="G58" i="53"/>
  <c r="G57" i="53"/>
  <c r="G56" i="53"/>
  <c r="G55" i="53"/>
  <c r="G54" i="53"/>
  <c r="G53" i="53"/>
  <c r="G52" i="53"/>
  <c r="G51" i="53"/>
  <c r="G50" i="53"/>
  <c r="G49" i="53"/>
  <c r="G48" i="53"/>
  <c r="G47" i="53"/>
  <c r="G46" i="53"/>
  <c r="G45" i="53"/>
  <c r="G44" i="53"/>
  <c r="G43" i="53"/>
  <c r="G42" i="53"/>
  <c r="G41" i="53"/>
  <c r="G40" i="53"/>
  <c r="G39" i="53"/>
  <c r="G38" i="53"/>
  <c r="G37" i="53"/>
  <c r="G36" i="53"/>
  <c r="G35" i="53"/>
  <c r="G34" i="53"/>
  <c r="G33" i="53"/>
  <c r="G32" i="53"/>
  <c r="G31" i="53"/>
  <c r="G30" i="53"/>
  <c r="G29" i="53"/>
  <c r="G28" i="53"/>
  <c r="G27" i="53"/>
  <c r="G26" i="53"/>
  <c r="F21" i="53"/>
  <c r="F215" i="53" s="1"/>
  <c r="G20" i="53"/>
  <c r="G19" i="53"/>
  <c r="G18" i="53"/>
  <c r="G17" i="53"/>
  <c r="G16" i="53"/>
  <c r="G15" i="53"/>
  <c r="G14" i="53"/>
  <c r="G13" i="53"/>
  <c r="G12" i="53"/>
  <c r="G11" i="53"/>
  <c r="E232" i="86"/>
  <c r="F228" i="86"/>
  <c r="E226" i="86"/>
  <c r="E224" i="86"/>
  <c r="E222" i="86"/>
  <c r="E220" i="86"/>
  <c r="K18" i="86"/>
  <c r="K17" i="86"/>
  <c r="G196" i="86"/>
  <c r="G195" i="86"/>
  <c r="G194" i="86"/>
  <c r="G193" i="86"/>
  <c r="G192" i="86"/>
  <c r="G191" i="86"/>
  <c r="G190" i="86"/>
  <c r="G189" i="86"/>
  <c r="G188" i="86"/>
  <c r="G187" i="86"/>
  <c r="G186" i="86"/>
  <c r="G185" i="86"/>
  <c r="G184" i="86"/>
  <c r="G183" i="86"/>
  <c r="G182" i="86"/>
  <c r="G181" i="86"/>
  <c r="G180" i="86"/>
  <c r="G179" i="86"/>
  <c r="G178" i="86"/>
  <c r="G177" i="86"/>
  <c r="G176" i="86"/>
  <c r="G175" i="86"/>
  <c r="G174" i="86"/>
  <c r="G173" i="86"/>
  <c r="G172" i="86"/>
  <c r="G171" i="86"/>
  <c r="G170" i="86"/>
  <c r="G169" i="86"/>
  <c r="G168" i="86"/>
  <c r="G167" i="86"/>
  <c r="G166" i="86"/>
  <c r="G165" i="86"/>
  <c r="G136" i="86"/>
  <c r="G135" i="86"/>
  <c r="G133" i="86"/>
  <c r="G132" i="86"/>
  <c r="G131" i="86"/>
  <c r="G130" i="86"/>
  <c r="G129" i="86"/>
  <c r="G127" i="86"/>
  <c r="G126" i="86"/>
  <c r="G125" i="86"/>
  <c r="G124" i="86"/>
  <c r="G118" i="86"/>
  <c r="G117" i="86"/>
  <c r="G116" i="86"/>
  <c r="G115" i="86"/>
  <c r="G110" i="86"/>
  <c r="G109" i="86"/>
  <c r="G108" i="86"/>
  <c r="G107" i="86"/>
  <c r="G106" i="86"/>
  <c r="G105" i="86"/>
  <c r="G101" i="86"/>
  <c r="G100" i="86"/>
  <c r="G99" i="86"/>
  <c r="G98" i="86"/>
  <c r="G97" i="86"/>
  <c r="G92" i="86"/>
  <c r="G91" i="86"/>
  <c r="G90" i="86"/>
  <c r="G89" i="86"/>
  <c r="G88" i="86"/>
  <c r="G87" i="86"/>
  <c r="G86" i="86"/>
  <c r="G85" i="86"/>
  <c r="G84" i="86"/>
  <c r="G83" i="86"/>
  <c r="G75" i="86"/>
  <c r="G60" i="86"/>
  <c r="G59" i="86"/>
  <c r="G58" i="86"/>
  <c r="G57" i="86"/>
  <c r="G56" i="86"/>
  <c r="G55" i="86"/>
  <c r="G54" i="86"/>
  <c r="G53" i="86"/>
  <c r="G52" i="86"/>
  <c r="G51" i="86"/>
  <c r="G50" i="86"/>
  <c r="G49" i="86"/>
  <c r="G48" i="86"/>
  <c r="G47" i="86"/>
  <c r="G46" i="86"/>
  <c r="G45" i="86"/>
  <c r="G44" i="86"/>
  <c r="G43" i="86"/>
  <c r="G42" i="86"/>
  <c r="G41" i="86"/>
  <c r="G40" i="86"/>
  <c r="G39" i="86"/>
  <c r="G38" i="86"/>
  <c r="G37" i="86"/>
  <c r="G36" i="86"/>
  <c r="G35" i="86"/>
  <c r="G34" i="86"/>
  <c r="G33" i="86"/>
  <c r="G32" i="86"/>
  <c r="G31" i="86"/>
  <c r="G30" i="86"/>
  <c r="G29" i="86"/>
  <c r="G28" i="86"/>
  <c r="G27" i="86"/>
  <c r="G26" i="86"/>
  <c r="F21" i="86"/>
  <c r="G20" i="86"/>
  <c r="K18" i="118"/>
  <c r="K17" i="118"/>
  <c r="E232" i="94"/>
  <c r="E231" i="94"/>
  <c r="F228" i="94"/>
  <c r="E227" i="94"/>
  <c r="E225" i="94"/>
  <c r="E223" i="94"/>
  <c r="E221" i="94"/>
  <c r="G205" i="94"/>
  <c r="G204" i="94"/>
  <c r="G203" i="94"/>
  <c r="G202" i="94"/>
  <c r="G201" i="94"/>
  <c r="G200" i="94"/>
  <c r="G196" i="94"/>
  <c r="G195" i="94"/>
  <c r="G194" i="94"/>
  <c r="G193" i="94"/>
  <c r="G192" i="94"/>
  <c r="G191" i="94"/>
  <c r="G190" i="94"/>
  <c r="G189" i="94"/>
  <c r="G188" i="94"/>
  <c r="G187" i="94"/>
  <c r="G186" i="94"/>
  <c r="G185" i="94"/>
  <c r="G184" i="94"/>
  <c r="G183" i="94"/>
  <c r="G182" i="94"/>
  <c r="G181" i="94"/>
  <c r="G180" i="94"/>
  <c r="G179" i="94"/>
  <c r="G178" i="94"/>
  <c r="G177" i="94"/>
  <c r="G176" i="94"/>
  <c r="G175" i="94"/>
  <c r="G174" i="94"/>
  <c r="G173" i="94"/>
  <c r="G172" i="94"/>
  <c r="G171" i="94"/>
  <c r="G170" i="94"/>
  <c r="G169" i="94"/>
  <c r="G168" i="94"/>
  <c r="G167" i="94"/>
  <c r="G166" i="94"/>
  <c r="G165" i="94"/>
  <c r="G147" i="94"/>
  <c r="G118" i="94"/>
  <c r="G117" i="94"/>
  <c r="G116" i="94"/>
  <c r="G115" i="94"/>
  <c r="G101" i="94"/>
  <c r="G100" i="94"/>
  <c r="G99" i="94"/>
  <c r="G98" i="94"/>
  <c r="G97" i="94"/>
  <c r="G96" i="94"/>
  <c r="G78" i="94"/>
  <c r="G77" i="94"/>
  <c r="G76" i="94"/>
  <c r="G75" i="94"/>
  <c r="G74" i="94"/>
  <c r="G73" i="94"/>
  <c r="G72" i="94"/>
  <c r="G71" i="94"/>
  <c r="G70" i="94"/>
  <c r="G69" i="94"/>
  <c r="G68" i="94"/>
  <c r="G67" i="94"/>
  <c r="G66" i="94"/>
  <c r="G65" i="94"/>
  <c r="G60" i="94"/>
  <c r="G59" i="94"/>
  <c r="G58" i="94"/>
  <c r="G57" i="94"/>
  <c r="G56" i="94"/>
  <c r="G55" i="94"/>
  <c r="G54" i="94"/>
  <c r="G53" i="94"/>
  <c r="G52" i="94"/>
  <c r="G51" i="94"/>
  <c r="G50" i="94"/>
  <c r="G49" i="94"/>
  <c r="G48" i="94"/>
  <c r="G47" i="94"/>
  <c r="G46" i="94"/>
  <c r="G45" i="94"/>
  <c r="G44" i="94"/>
  <c r="G43" i="94"/>
  <c r="G42" i="94"/>
  <c r="G41" i="94"/>
  <c r="G40" i="94"/>
  <c r="G39" i="94"/>
  <c r="G38" i="94"/>
  <c r="G37" i="94"/>
  <c r="G36" i="94"/>
  <c r="G35" i="94"/>
  <c r="G34" i="94"/>
  <c r="G33" i="94"/>
  <c r="G32" i="94"/>
  <c r="G31" i="94"/>
  <c r="G30" i="94"/>
  <c r="G29" i="94"/>
  <c r="G28" i="94"/>
  <c r="G27" i="94"/>
  <c r="G26" i="94"/>
  <c r="F21" i="94"/>
  <c r="E231" i="54"/>
  <c r="F228" i="54"/>
  <c r="E227" i="54"/>
  <c r="E225" i="54"/>
  <c r="K18" i="54"/>
  <c r="K17" i="54"/>
  <c r="G189" i="54"/>
  <c r="G160" i="54"/>
  <c r="G159" i="54"/>
  <c r="G158" i="54"/>
  <c r="G157" i="54"/>
  <c r="G156" i="54"/>
  <c r="G155" i="54"/>
  <c r="G153" i="54"/>
  <c r="G152" i="54"/>
  <c r="G151" i="54"/>
  <c r="G150" i="54"/>
  <c r="G149" i="54"/>
  <c r="G148" i="54"/>
  <c r="G147" i="54"/>
  <c r="G146" i="54"/>
  <c r="G145" i="54"/>
  <c r="G143" i="54"/>
  <c r="G142" i="54"/>
  <c r="G141" i="54"/>
  <c r="G140" i="54"/>
  <c r="G138" i="54"/>
  <c r="G137" i="54"/>
  <c r="G136" i="54"/>
  <c r="G135" i="54"/>
  <c r="G133" i="54"/>
  <c r="G132" i="54"/>
  <c r="G131" i="54"/>
  <c r="G130" i="54"/>
  <c r="G129" i="54"/>
  <c r="G127" i="54"/>
  <c r="G126" i="54"/>
  <c r="G125" i="54"/>
  <c r="G124" i="54"/>
  <c r="G123" i="54"/>
  <c r="G110" i="54"/>
  <c r="G109" i="54"/>
  <c r="G108" i="54"/>
  <c r="G107" i="54"/>
  <c r="G106" i="54"/>
  <c r="G105" i="54"/>
  <c r="G92" i="54"/>
  <c r="G91" i="54"/>
  <c r="G90" i="54"/>
  <c r="G89" i="54"/>
  <c r="G88" i="54"/>
  <c r="G87" i="54"/>
  <c r="G86" i="54"/>
  <c r="G85" i="54"/>
  <c r="G84" i="54"/>
  <c r="G83" i="54"/>
  <c r="G82" i="54"/>
  <c r="F21" i="54"/>
  <c r="E232" i="60"/>
  <c r="F228" i="60"/>
  <c r="E226" i="60"/>
  <c r="E222" i="60"/>
  <c r="E220" i="60"/>
  <c r="K18" i="60"/>
  <c r="K17" i="60"/>
  <c r="G196" i="60"/>
  <c r="G195" i="60"/>
  <c r="G194" i="60"/>
  <c r="G193" i="60"/>
  <c r="G192" i="60"/>
  <c r="G191" i="60"/>
  <c r="G190" i="60"/>
  <c r="G189" i="60"/>
  <c r="G188" i="60"/>
  <c r="G187" i="60"/>
  <c r="G186" i="60"/>
  <c r="G185" i="60"/>
  <c r="G184" i="60"/>
  <c r="G183" i="60"/>
  <c r="G182" i="60"/>
  <c r="G181" i="60"/>
  <c r="G180" i="60"/>
  <c r="G179" i="60"/>
  <c r="G178" i="60"/>
  <c r="G177" i="60"/>
  <c r="G176" i="60"/>
  <c r="G175" i="60"/>
  <c r="G174" i="60"/>
  <c r="G173" i="60"/>
  <c r="G172" i="60"/>
  <c r="G171" i="60"/>
  <c r="G170" i="60"/>
  <c r="G169" i="60"/>
  <c r="G168" i="60"/>
  <c r="G167" i="60"/>
  <c r="G166" i="60"/>
  <c r="G165" i="60"/>
  <c r="G164" i="60"/>
  <c r="G157" i="60"/>
  <c r="G118" i="60"/>
  <c r="G117" i="60"/>
  <c r="G116" i="60"/>
  <c r="G115" i="60"/>
  <c r="G114" i="60"/>
  <c r="G101" i="60"/>
  <c r="G100" i="60"/>
  <c r="G99" i="60"/>
  <c r="G98" i="60"/>
  <c r="G97" i="60"/>
  <c r="G96" i="60"/>
  <c r="G92" i="60"/>
  <c r="G91" i="60"/>
  <c r="G90" i="60"/>
  <c r="G89" i="60"/>
  <c r="G88" i="60"/>
  <c r="G87" i="60"/>
  <c r="G86" i="60"/>
  <c r="G85" i="60"/>
  <c r="G84" i="60"/>
  <c r="G83" i="60"/>
  <c r="F21" i="60"/>
  <c r="E231" i="38"/>
  <c r="F228" i="38"/>
  <c r="E227" i="38"/>
  <c r="E226" i="38"/>
  <c r="E225" i="38"/>
  <c r="E224" i="38"/>
  <c r="E223" i="38"/>
  <c r="E222" i="38"/>
  <c r="E221" i="38"/>
  <c r="E220" i="38"/>
  <c r="G219" i="38"/>
  <c r="G205" i="38"/>
  <c r="G204" i="38"/>
  <c r="G203" i="38"/>
  <c r="G202" i="38"/>
  <c r="G201" i="38"/>
  <c r="G200" i="38"/>
  <c r="G196" i="38"/>
  <c r="G195" i="38"/>
  <c r="G194" i="38"/>
  <c r="G193" i="38"/>
  <c r="G192" i="38"/>
  <c r="G191" i="38"/>
  <c r="G190" i="38"/>
  <c r="G189" i="38"/>
  <c r="G188" i="38"/>
  <c r="G187" i="38"/>
  <c r="G186" i="38"/>
  <c r="G185" i="38"/>
  <c r="G184" i="38"/>
  <c r="G183" i="38"/>
  <c r="G182" i="38"/>
  <c r="G181" i="38"/>
  <c r="G180" i="38"/>
  <c r="G179" i="38"/>
  <c r="G178" i="38"/>
  <c r="G177" i="38"/>
  <c r="G176" i="38"/>
  <c r="G175" i="38"/>
  <c r="G174" i="38"/>
  <c r="G173" i="38"/>
  <c r="G172" i="38"/>
  <c r="G171" i="38"/>
  <c r="G170" i="38"/>
  <c r="G169" i="38"/>
  <c r="G168" i="38"/>
  <c r="G167" i="38"/>
  <c r="G166" i="38"/>
  <c r="G165" i="38"/>
  <c r="G118" i="38"/>
  <c r="G117" i="38"/>
  <c r="G116" i="38"/>
  <c r="G115" i="38"/>
  <c r="G114" i="38"/>
  <c r="G91" i="38"/>
  <c r="G83" i="38"/>
  <c r="G65" i="38"/>
  <c r="G64" i="38"/>
  <c r="G60" i="38"/>
  <c r="G59" i="38"/>
  <c r="G58" i="38"/>
  <c r="G57" i="38"/>
  <c r="G56" i="38"/>
  <c r="G55" i="38"/>
  <c r="G54" i="38"/>
  <c r="G53" i="38"/>
  <c r="G52" i="38"/>
  <c r="G51" i="38"/>
  <c r="G50" i="38"/>
  <c r="G49" i="38"/>
  <c r="G48" i="38"/>
  <c r="G47" i="38"/>
  <c r="G46" i="38"/>
  <c r="G45" i="38"/>
  <c r="G44" i="38"/>
  <c r="G43" i="38"/>
  <c r="G42" i="38"/>
  <c r="G20" i="38"/>
  <c r="G19" i="38"/>
  <c r="G18" i="38"/>
  <c r="G17" i="38"/>
  <c r="G16" i="38"/>
  <c r="G15" i="38"/>
  <c r="G14" i="38"/>
  <c r="G13" i="38"/>
  <c r="G12" i="38"/>
  <c r="G11" i="38"/>
  <c r="E232" i="49"/>
  <c r="E231" i="49"/>
  <c r="F228" i="49"/>
  <c r="E223" i="49"/>
  <c r="E220" i="49"/>
  <c r="K18" i="49"/>
  <c r="K17" i="49"/>
  <c r="G194" i="49"/>
  <c r="G193" i="49"/>
  <c r="G192" i="49"/>
  <c r="G191" i="49"/>
  <c r="G190" i="49"/>
  <c r="G189" i="49"/>
  <c r="G188" i="49"/>
  <c r="G187" i="49"/>
  <c r="G186" i="49"/>
  <c r="G185" i="49"/>
  <c r="G184" i="49"/>
  <c r="G183" i="49"/>
  <c r="G182" i="49"/>
  <c r="G164" i="49"/>
  <c r="G159" i="49"/>
  <c r="G158" i="49"/>
  <c r="G157" i="49"/>
  <c r="G156" i="49"/>
  <c r="G155" i="49"/>
  <c r="G153" i="49"/>
  <c r="G152" i="49"/>
  <c r="G118" i="49"/>
  <c r="G117" i="49"/>
  <c r="G116" i="49"/>
  <c r="G115" i="49"/>
  <c r="G101" i="49"/>
  <c r="G92" i="49"/>
  <c r="G91" i="49"/>
  <c r="G87" i="49"/>
  <c r="G86" i="49"/>
  <c r="G85" i="49"/>
  <c r="G75" i="49"/>
  <c r="G67" i="49"/>
  <c r="G66" i="49"/>
  <c r="G59" i="49"/>
  <c r="G58" i="49"/>
  <c r="G57" i="49"/>
  <c r="G56" i="49"/>
  <c r="G55" i="49"/>
  <c r="G54" i="49"/>
  <c r="G53" i="49"/>
  <c r="G52" i="49"/>
  <c r="G51" i="49"/>
  <c r="G50" i="49"/>
  <c r="G49" i="49"/>
  <c r="G47" i="49"/>
  <c r="G36" i="49"/>
  <c r="G35" i="49"/>
  <c r="G34" i="49"/>
  <c r="G33" i="49"/>
  <c r="G32" i="49"/>
  <c r="G31" i="49"/>
  <c r="G27" i="49"/>
  <c r="F21" i="49"/>
  <c r="E232" i="69"/>
  <c r="E231" i="69"/>
  <c r="F228" i="69"/>
  <c r="E227" i="69"/>
  <c r="E226" i="69"/>
  <c r="E225" i="69"/>
  <c r="E223" i="69"/>
  <c r="E221" i="69"/>
  <c r="G205" i="69"/>
  <c r="G204" i="69"/>
  <c r="G203" i="69"/>
  <c r="G202" i="69"/>
  <c r="G201" i="69"/>
  <c r="G196" i="69"/>
  <c r="G195" i="69"/>
  <c r="G194" i="69"/>
  <c r="G193" i="69"/>
  <c r="G192" i="69"/>
  <c r="G191" i="69"/>
  <c r="G190" i="69"/>
  <c r="G189" i="69"/>
  <c r="G188" i="69"/>
  <c r="G187" i="69"/>
  <c r="G186" i="69"/>
  <c r="G185" i="69"/>
  <c r="G184" i="69"/>
  <c r="G183" i="69"/>
  <c r="G182" i="69"/>
  <c r="G181" i="69"/>
  <c r="G180" i="69"/>
  <c r="G179" i="69"/>
  <c r="G178" i="69"/>
  <c r="G177" i="69"/>
  <c r="G176" i="69"/>
  <c r="G175" i="69"/>
  <c r="G174" i="69"/>
  <c r="G173" i="69"/>
  <c r="G172" i="69"/>
  <c r="G171" i="69"/>
  <c r="G170" i="69"/>
  <c r="G169" i="69"/>
  <c r="G168" i="69"/>
  <c r="G167" i="69"/>
  <c r="G166" i="69"/>
  <c r="G160" i="69"/>
  <c r="G159" i="69"/>
  <c r="G158" i="69"/>
  <c r="G157" i="69"/>
  <c r="G156" i="69"/>
  <c r="G153" i="69"/>
  <c r="G152" i="69"/>
  <c r="G151" i="69"/>
  <c r="G150" i="69"/>
  <c r="G149" i="69"/>
  <c r="G118" i="69"/>
  <c r="G117" i="69"/>
  <c r="G116" i="69"/>
  <c r="G100" i="69"/>
  <c r="G64" i="69"/>
  <c r="G60" i="69"/>
  <c r="G59" i="69"/>
  <c r="G58" i="69"/>
  <c r="G57" i="69"/>
  <c r="G56" i="69"/>
  <c r="G55" i="69"/>
  <c r="G54" i="69"/>
  <c r="G53" i="69"/>
  <c r="G52" i="69"/>
  <c r="G51" i="69"/>
  <c r="G50" i="69"/>
  <c r="G49" i="69"/>
  <c r="G48" i="69"/>
  <c r="G47" i="69"/>
  <c r="G46" i="69"/>
  <c r="G45" i="69"/>
  <c r="G44" i="69"/>
  <c r="G43" i="69"/>
  <c r="G42" i="69"/>
  <c r="F21" i="69"/>
  <c r="F228" i="84"/>
  <c r="E226" i="84"/>
  <c r="E224" i="84"/>
  <c r="E222" i="84"/>
  <c r="E220" i="84"/>
  <c r="K18" i="84"/>
  <c r="K17" i="84"/>
  <c r="G196" i="84"/>
  <c r="G195" i="84"/>
  <c r="G194" i="84"/>
  <c r="G193" i="84"/>
  <c r="G192" i="84"/>
  <c r="G191" i="84"/>
  <c r="G190" i="84"/>
  <c r="G189" i="84"/>
  <c r="G188" i="84"/>
  <c r="G187" i="84"/>
  <c r="G186" i="84"/>
  <c r="G185" i="84"/>
  <c r="G184" i="84"/>
  <c r="G183" i="84"/>
  <c r="G182" i="84"/>
  <c r="G181" i="84"/>
  <c r="G180" i="84"/>
  <c r="G179" i="84"/>
  <c r="G178" i="84"/>
  <c r="G177" i="84"/>
  <c r="G176" i="84"/>
  <c r="G175" i="84"/>
  <c r="G174" i="84"/>
  <c r="G173" i="84"/>
  <c r="G172" i="84"/>
  <c r="G171" i="84"/>
  <c r="G170" i="84"/>
  <c r="G169" i="84"/>
  <c r="G168" i="84"/>
  <c r="G167" i="84"/>
  <c r="G166" i="84"/>
  <c r="G165" i="84"/>
  <c r="G157" i="84"/>
  <c r="G146" i="84"/>
  <c r="G118" i="84"/>
  <c r="G117" i="84"/>
  <c r="G116" i="84"/>
  <c r="G115" i="84"/>
  <c r="G107" i="84"/>
  <c r="G101" i="84"/>
  <c r="G100" i="84"/>
  <c r="G99" i="84"/>
  <c r="G98" i="84"/>
  <c r="G97" i="84"/>
  <c r="G96" i="84"/>
  <c r="G92" i="84"/>
  <c r="G91" i="84"/>
  <c r="G90" i="84"/>
  <c r="G89" i="84"/>
  <c r="G88" i="84"/>
  <c r="G87" i="84"/>
  <c r="G86" i="84"/>
  <c r="G85" i="84"/>
  <c r="G84" i="84"/>
  <c r="G83" i="84"/>
  <c r="G66" i="84"/>
  <c r="G40" i="84"/>
  <c r="E232" i="100"/>
  <c r="E231" i="100"/>
  <c r="F228" i="100"/>
  <c r="E227" i="100"/>
  <c r="E225" i="100"/>
  <c r="E223" i="100"/>
  <c r="E221" i="100"/>
  <c r="G219" i="100"/>
  <c r="K18" i="100"/>
  <c r="K17" i="100"/>
  <c r="G196" i="100"/>
  <c r="G195" i="100"/>
  <c r="G194" i="100"/>
  <c r="G193" i="100"/>
  <c r="G192" i="100"/>
  <c r="G190" i="100"/>
  <c r="G189" i="100"/>
  <c r="G188" i="100"/>
  <c r="G187" i="100"/>
  <c r="G186" i="100"/>
  <c r="G185" i="100"/>
  <c r="G184" i="100"/>
  <c r="G183" i="100"/>
  <c r="G182" i="100"/>
  <c r="G181" i="100"/>
  <c r="G180" i="100"/>
  <c r="G179" i="100"/>
  <c r="G178" i="100"/>
  <c r="G177" i="100"/>
  <c r="G176" i="100"/>
  <c r="G175" i="100"/>
  <c r="G174" i="100"/>
  <c r="G173" i="100"/>
  <c r="G172" i="100"/>
  <c r="G171" i="100"/>
  <c r="G170" i="100"/>
  <c r="G169" i="100"/>
  <c r="G168" i="100"/>
  <c r="G167" i="100"/>
  <c r="G166" i="100"/>
  <c r="G165" i="100"/>
  <c r="G164" i="100"/>
  <c r="G116" i="100"/>
  <c r="G110" i="100"/>
  <c r="G109" i="100"/>
  <c r="G108" i="100"/>
  <c r="G107" i="100"/>
  <c r="G106" i="100"/>
  <c r="G105" i="100"/>
  <c r="G101" i="100"/>
  <c r="G100" i="100"/>
  <c r="G99" i="100"/>
  <c r="G98" i="100"/>
  <c r="G97" i="100"/>
  <c r="G96" i="100"/>
  <c r="G92" i="100"/>
  <c r="G91" i="100"/>
  <c r="G90" i="100"/>
  <c r="G89" i="100"/>
  <c r="G88" i="100"/>
  <c r="G87" i="100"/>
  <c r="G86" i="100"/>
  <c r="G85" i="100"/>
  <c r="G84" i="100"/>
  <c r="G78" i="100"/>
  <c r="G77" i="100"/>
  <c r="G76" i="100"/>
  <c r="G75" i="100"/>
  <c r="G74" i="100"/>
  <c r="G73" i="100"/>
  <c r="G72" i="100"/>
  <c r="G71" i="100"/>
  <c r="G70" i="100"/>
  <c r="G69" i="100"/>
  <c r="G68" i="100"/>
  <c r="G67" i="100"/>
  <c r="G60" i="100"/>
  <c r="G59" i="100"/>
  <c r="G58" i="100"/>
  <c r="G57" i="100"/>
  <c r="G56" i="100"/>
  <c r="G55" i="100"/>
  <c r="G54" i="100"/>
  <c r="G53" i="100"/>
  <c r="G52" i="100"/>
  <c r="G51" i="100"/>
  <c r="G50" i="100"/>
  <c r="G49" i="100"/>
  <c r="G48" i="100"/>
  <c r="G47" i="100"/>
  <c r="G46" i="100"/>
  <c r="G45" i="100"/>
  <c r="G44" i="100"/>
  <c r="G43" i="100"/>
  <c r="G42" i="100"/>
  <c r="G41" i="100"/>
  <c r="G20" i="100"/>
  <c r="G19" i="100"/>
  <c r="G18" i="100"/>
  <c r="G17" i="100"/>
  <c r="G16" i="100"/>
  <c r="G15" i="100"/>
  <c r="G14" i="100"/>
  <c r="G13" i="100"/>
  <c r="G12" i="100"/>
  <c r="G11" i="100"/>
  <c r="E232" i="104"/>
  <c r="E231" i="104"/>
  <c r="F228" i="104"/>
  <c r="E227" i="104"/>
  <c r="E226" i="104"/>
  <c r="E224" i="104"/>
  <c r="E222" i="104"/>
  <c r="E220" i="104"/>
  <c r="K18" i="104"/>
  <c r="G205" i="104"/>
  <c r="G204" i="104"/>
  <c r="G203" i="104"/>
  <c r="G202" i="104"/>
  <c r="G201" i="104"/>
  <c r="G196" i="104"/>
  <c r="G195" i="104"/>
  <c r="G194" i="104"/>
  <c r="G193" i="104"/>
  <c r="G192" i="104"/>
  <c r="G191" i="104"/>
  <c r="G168" i="104"/>
  <c r="G160" i="104"/>
  <c r="G159" i="104"/>
  <c r="G158" i="104"/>
  <c r="G156" i="104"/>
  <c r="G155" i="104"/>
  <c r="G153" i="104"/>
  <c r="G152" i="104"/>
  <c r="G151" i="104"/>
  <c r="G150" i="104"/>
  <c r="G149" i="104"/>
  <c r="G148" i="104"/>
  <c r="G147" i="104"/>
  <c r="G146" i="104"/>
  <c r="G145" i="104"/>
  <c r="G143" i="104"/>
  <c r="G142" i="104"/>
  <c r="G141" i="104"/>
  <c r="G140" i="104"/>
  <c r="G138" i="104"/>
  <c r="G137" i="104"/>
  <c r="G136" i="104"/>
  <c r="G135" i="104"/>
  <c r="G110" i="104"/>
  <c r="G109" i="104"/>
  <c r="G108" i="104"/>
  <c r="G107" i="104"/>
  <c r="G106" i="104"/>
  <c r="G105" i="104"/>
  <c r="G101" i="104"/>
  <c r="G100" i="104"/>
  <c r="G92" i="104"/>
  <c r="G91" i="104"/>
  <c r="G90" i="104"/>
  <c r="G89" i="104"/>
  <c r="G88" i="104"/>
  <c r="G87" i="104"/>
  <c r="G78" i="104"/>
  <c r="G77" i="104"/>
  <c r="G76" i="104"/>
  <c r="G75" i="104"/>
  <c r="G74" i="104"/>
  <c r="G73" i="104"/>
  <c r="G72" i="104"/>
  <c r="G71" i="104"/>
  <c r="G70" i="104"/>
  <c r="G68" i="104"/>
  <c r="G67" i="104"/>
  <c r="G66" i="104"/>
  <c r="G65" i="104"/>
  <c r="G60" i="104"/>
  <c r="G59" i="104"/>
  <c r="G58" i="104"/>
  <c r="G57" i="104"/>
  <c r="G56" i="104"/>
  <c r="G55" i="104"/>
  <c r="G54" i="104"/>
  <c r="G53" i="104"/>
  <c r="G52" i="104"/>
  <c r="G51" i="104"/>
  <c r="G50" i="104"/>
  <c r="G49" i="104"/>
  <c r="F21" i="104"/>
  <c r="E232" i="106"/>
  <c r="E231" i="106"/>
  <c r="F228" i="106"/>
  <c r="E227" i="106"/>
  <c r="E225" i="106"/>
  <c r="E223" i="106"/>
  <c r="E221" i="106"/>
  <c r="G205" i="106"/>
  <c r="G204" i="106"/>
  <c r="G203" i="106"/>
  <c r="G202" i="106"/>
  <c r="G201" i="106"/>
  <c r="G196" i="106"/>
  <c r="G194" i="106"/>
  <c r="G193" i="106"/>
  <c r="G192" i="106"/>
  <c r="G191" i="106"/>
  <c r="G190" i="106"/>
  <c r="G189" i="106"/>
  <c r="G174" i="106"/>
  <c r="G166" i="106"/>
  <c r="G148" i="106"/>
  <c r="G118" i="106"/>
  <c r="G117" i="106"/>
  <c r="G116" i="106"/>
  <c r="G115" i="106"/>
  <c r="G110" i="106"/>
  <c r="G109" i="106"/>
  <c r="G108" i="106"/>
  <c r="G107" i="106"/>
  <c r="G101" i="106"/>
  <c r="G100" i="106"/>
  <c r="G99" i="106"/>
  <c r="G98" i="106"/>
  <c r="G92" i="106"/>
  <c r="G91" i="106"/>
  <c r="G90" i="106"/>
  <c r="G89" i="106"/>
  <c r="G88" i="106"/>
  <c r="G87" i="106"/>
  <c r="G86" i="106"/>
  <c r="G85" i="106"/>
  <c r="G83" i="106"/>
  <c r="G78" i="106"/>
  <c r="G76" i="106"/>
  <c r="G75" i="106"/>
  <c r="G74" i="106"/>
  <c r="G73" i="106"/>
  <c r="G72" i="106"/>
  <c r="G60" i="106"/>
  <c r="G59" i="106"/>
  <c r="G58" i="106"/>
  <c r="G57" i="106"/>
  <c r="G56" i="106"/>
  <c r="G55" i="106"/>
  <c r="G54" i="106"/>
  <c r="G53" i="106"/>
  <c r="G52" i="106"/>
  <c r="G51" i="106"/>
  <c r="G50" i="106"/>
  <c r="G48" i="106"/>
  <c r="G47" i="106"/>
  <c r="G46" i="106"/>
  <c r="G45" i="106"/>
  <c r="G44" i="106"/>
  <c r="G43" i="106"/>
  <c r="F21" i="106"/>
  <c r="F215" i="106" s="1"/>
  <c r="G20" i="106"/>
  <c r="G19" i="106"/>
  <c r="G18" i="106"/>
  <c r="G17" i="106"/>
  <c r="G16" i="106"/>
  <c r="G15" i="106"/>
  <c r="G14" i="106"/>
  <c r="G13" i="106"/>
  <c r="G12" i="106"/>
  <c r="G11" i="106"/>
  <c r="E232" i="42"/>
  <c r="F228" i="42"/>
  <c r="K18" i="42"/>
  <c r="K17" i="42"/>
  <c r="G196" i="42"/>
  <c r="G195" i="42"/>
  <c r="G194" i="42"/>
  <c r="G193" i="42"/>
  <c r="G192" i="42"/>
  <c r="G191" i="42"/>
  <c r="G190" i="42"/>
  <c r="G189" i="42"/>
  <c r="G188" i="42"/>
  <c r="G187" i="42"/>
  <c r="G186" i="42"/>
  <c r="G185" i="42"/>
  <c r="G184" i="42"/>
  <c r="G183" i="42"/>
  <c r="G182" i="42"/>
  <c r="G181" i="42"/>
  <c r="G180" i="42"/>
  <c r="G179" i="42"/>
  <c r="G178" i="42"/>
  <c r="G177" i="42"/>
  <c r="G176" i="42"/>
  <c r="G175" i="42"/>
  <c r="G173" i="42"/>
  <c r="G160" i="42"/>
  <c r="G159" i="42"/>
  <c r="G158" i="42"/>
  <c r="G157" i="42"/>
  <c r="G156" i="42"/>
  <c r="G155" i="42"/>
  <c r="G153" i="42"/>
  <c r="G152" i="42"/>
  <c r="G151" i="42"/>
  <c r="G150" i="42"/>
  <c r="G149" i="42"/>
  <c r="G148" i="42"/>
  <c r="G147" i="42"/>
  <c r="G146" i="42"/>
  <c r="G145" i="42"/>
  <c r="G143" i="42"/>
  <c r="G142" i="42"/>
  <c r="G141" i="42"/>
  <c r="G140" i="42"/>
  <c r="G138" i="42"/>
  <c r="G137" i="42"/>
  <c r="G136" i="42"/>
  <c r="G135" i="42"/>
  <c r="G131" i="42"/>
  <c r="G118" i="42"/>
  <c r="G117" i="42"/>
  <c r="G116" i="42"/>
  <c r="G115" i="42"/>
  <c r="G114" i="42"/>
  <c r="G110" i="42"/>
  <c r="G109" i="42"/>
  <c r="G108" i="42"/>
  <c r="G107" i="42"/>
  <c r="G106" i="42"/>
  <c r="G105" i="42"/>
  <c r="G101" i="42"/>
  <c r="G100" i="42"/>
  <c r="G99" i="42"/>
  <c r="G98" i="42"/>
  <c r="G97" i="42"/>
  <c r="G96" i="42"/>
  <c r="G92" i="42"/>
  <c r="G91" i="42"/>
  <c r="G90" i="42"/>
  <c r="G89" i="42"/>
  <c r="G88" i="42"/>
  <c r="G87" i="42"/>
  <c r="G86" i="42"/>
  <c r="G85" i="42"/>
  <c r="G84" i="42"/>
  <c r="G83" i="42"/>
  <c r="G68" i="42"/>
  <c r="G60" i="42"/>
  <c r="G59" i="42"/>
  <c r="G58" i="42"/>
  <c r="G57" i="42"/>
  <c r="G56" i="42"/>
  <c r="G55" i="42"/>
  <c r="G54" i="42"/>
  <c r="G53" i="42"/>
  <c r="G52" i="42"/>
  <c r="G51" i="42"/>
  <c r="G50" i="42"/>
  <c r="G49" i="42"/>
  <c r="G48" i="42"/>
  <c r="G47" i="42"/>
  <c r="G46" i="42"/>
  <c r="G45" i="42"/>
  <c r="G44" i="42"/>
  <c r="G43" i="42"/>
  <c r="G42" i="42"/>
  <c r="G41" i="42"/>
  <c r="G40" i="42"/>
  <c r="G39" i="42"/>
  <c r="G38" i="42"/>
  <c r="G37" i="42"/>
  <c r="G36" i="42"/>
  <c r="G35" i="42"/>
  <c r="G34" i="42"/>
  <c r="G33" i="42"/>
  <c r="G32" i="42"/>
  <c r="G31" i="42"/>
  <c r="G30" i="42"/>
  <c r="G29" i="42"/>
  <c r="G28" i="42"/>
  <c r="G27" i="42"/>
  <c r="G26" i="42"/>
  <c r="G25" i="42"/>
  <c r="F21" i="42"/>
  <c r="G20" i="42"/>
  <c r="G19" i="42"/>
  <c r="G18" i="42"/>
  <c r="G17" i="42"/>
  <c r="G16" i="42"/>
  <c r="G15" i="42"/>
  <c r="G14" i="42"/>
  <c r="G13" i="42"/>
  <c r="G12" i="42"/>
  <c r="G11" i="42"/>
  <c r="E232" i="87"/>
  <c r="F228" i="87"/>
  <c r="E224" i="87"/>
  <c r="E222" i="87"/>
  <c r="K18" i="87"/>
  <c r="K17" i="87"/>
  <c r="G205" i="87"/>
  <c r="G196" i="87"/>
  <c r="G195" i="87"/>
  <c r="G194" i="87"/>
  <c r="G193" i="87"/>
  <c r="G192" i="87"/>
  <c r="G191" i="87"/>
  <c r="G190" i="87"/>
  <c r="G189" i="87"/>
  <c r="G188" i="87"/>
  <c r="G187" i="87"/>
  <c r="G186" i="87"/>
  <c r="G185" i="87"/>
  <c r="G184" i="87"/>
  <c r="G183" i="87"/>
  <c r="G182" i="87"/>
  <c r="G181" i="87"/>
  <c r="G160" i="87"/>
  <c r="G159" i="87"/>
  <c r="G158" i="87"/>
  <c r="G157" i="87"/>
  <c r="G156" i="87"/>
  <c r="G155" i="87"/>
  <c r="G153" i="87"/>
  <c r="G152" i="87"/>
  <c r="G151" i="87"/>
  <c r="G150" i="87"/>
  <c r="G149" i="87"/>
  <c r="G148" i="87"/>
  <c r="G147" i="87"/>
  <c r="G146" i="87"/>
  <c r="G145" i="87"/>
  <c r="G143" i="87"/>
  <c r="G142" i="87"/>
  <c r="G141" i="87"/>
  <c r="G140" i="87"/>
  <c r="G137" i="87"/>
  <c r="G136" i="87"/>
  <c r="G110" i="87"/>
  <c r="G109" i="87"/>
  <c r="G108" i="87"/>
  <c r="G107" i="87"/>
  <c r="G106" i="87"/>
  <c r="G105" i="87"/>
  <c r="G101" i="87"/>
  <c r="G100" i="87"/>
  <c r="G99" i="87"/>
  <c r="G78" i="87"/>
  <c r="G77" i="87"/>
  <c r="G76" i="87"/>
  <c r="G75" i="87"/>
  <c r="G74" i="87"/>
  <c r="G73" i="87"/>
  <c r="G72" i="87"/>
  <c r="G71" i="87"/>
  <c r="G70" i="87"/>
  <c r="G69" i="87"/>
  <c r="G68" i="87"/>
  <c r="G67" i="87"/>
  <c r="G60" i="87"/>
  <c r="G59" i="87"/>
  <c r="G58" i="87"/>
  <c r="G57" i="87"/>
  <c r="G56" i="87"/>
  <c r="G55" i="87"/>
  <c r="G54" i="87"/>
  <c r="G53" i="87"/>
  <c r="G52" i="87"/>
  <c r="G51" i="87"/>
  <c r="G50" i="87"/>
  <c r="G49" i="87"/>
  <c r="G37" i="87"/>
  <c r="F21" i="87"/>
  <c r="G20" i="87"/>
  <c r="G19" i="87"/>
  <c r="G18" i="87"/>
  <c r="G17" i="87"/>
  <c r="G16" i="87"/>
  <c r="G14" i="87"/>
  <c r="G13" i="87"/>
  <c r="G12" i="87"/>
  <c r="G11" i="87"/>
  <c r="E232" i="20"/>
  <c r="F228" i="20"/>
  <c r="K18" i="20"/>
  <c r="K17" i="20"/>
  <c r="G196" i="20"/>
  <c r="G195" i="20"/>
  <c r="G160" i="20"/>
  <c r="G159" i="20"/>
  <c r="G158" i="20"/>
  <c r="G157" i="20"/>
  <c r="G156" i="20"/>
  <c r="G155" i="20"/>
  <c r="G153" i="20"/>
  <c r="G152" i="20"/>
  <c r="G151" i="20"/>
  <c r="G150" i="20"/>
  <c r="G149" i="20"/>
  <c r="G148" i="20"/>
  <c r="G147" i="20"/>
  <c r="G146" i="20"/>
  <c r="G145" i="20"/>
  <c r="G143" i="20"/>
  <c r="G118" i="20"/>
  <c r="G117" i="20"/>
  <c r="G116" i="20"/>
  <c r="G115" i="20"/>
  <c r="G110" i="20"/>
  <c r="G109" i="20"/>
  <c r="G108" i="20"/>
  <c r="G107" i="20"/>
  <c r="G106" i="20"/>
  <c r="G105" i="20"/>
  <c r="G101" i="20"/>
  <c r="G100" i="20"/>
  <c r="G99" i="20"/>
  <c r="G98" i="20"/>
  <c r="G97" i="20"/>
  <c r="G96" i="20"/>
  <c r="G92" i="20"/>
  <c r="G91" i="20"/>
  <c r="G90" i="20"/>
  <c r="G89" i="20"/>
  <c r="G78" i="20"/>
  <c r="G77" i="20"/>
  <c r="G76" i="20"/>
  <c r="G75" i="20"/>
  <c r="G74" i="20"/>
  <c r="G73" i="20"/>
  <c r="G72" i="20"/>
  <c r="G71" i="20"/>
  <c r="G69" i="20"/>
  <c r="G68" i="20"/>
  <c r="G67" i="20"/>
  <c r="G66" i="20"/>
  <c r="G65" i="20"/>
  <c r="G60" i="20"/>
  <c r="G59" i="20"/>
  <c r="G58" i="20"/>
  <c r="G57" i="20"/>
  <c r="G56" i="20"/>
  <c r="G55" i="20"/>
  <c r="G54" i="20"/>
  <c r="G53" i="20"/>
  <c r="G52" i="20"/>
  <c r="G51" i="20"/>
  <c r="G50" i="20"/>
  <c r="G49" i="20"/>
  <c r="G45" i="20"/>
  <c r="F21" i="20"/>
  <c r="E232" i="90"/>
  <c r="F228" i="90"/>
  <c r="E226" i="90"/>
  <c r="E225" i="90"/>
  <c r="E224" i="90"/>
  <c r="E223" i="90"/>
  <c r="E220" i="90"/>
  <c r="G205" i="90"/>
  <c r="G204" i="90"/>
  <c r="G203" i="90"/>
  <c r="G202" i="90"/>
  <c r="G201" i="90"/>
  <c r="G196" i="90"/>
  <c r="G195" i="90"/>
  <c r="G194" i="90"/>
  <c r="G193" i="90"/>
  <c r="G192" i="90"/>
  <c r="G191" i="90"/>
  <c r="G190" i="90"/>
  <c r="G189" i="90"/>
  <c r="G188" i="90"/>
  <c r="G187" i="90"/>
  <c r="G186" i="90"/>
  <c r="G185" i="90"/>
  <c r="G184" i="90"/>
  <c r="G183" i="90"/>
  <c r="G182" i="90"/>
  <c r="G181" i="90"/>
  <c r="G180" i="90"/>
  <c r="G179" i="90"/>
  <c r="G178" i="90"/>
  <c r="G177" i="90"/>
  <c r="G176" i="90"/>
  <c r="G175" i="90"/>
  <c r="G174" i="90"/>
  <c r="G173" i="90"/>
  <c r="G172" i="90"/>
  <c r="G171" i="90"/>
  <c r="G170" i="90"/>
  <c r="G169" i="90"/>
  <c r="G168" i="90"/>
  <c r="G167" i="90"/>
  <c r="G166" i="90"/>
  <c r="G165" i="90"/>
  <c r="G160" i="90"/>
  <c r="G159" i="90"/>
  <c r="G158" i="90"/>
  <c r="G157" i="90"/>
  <c r="G156" i="90"/>
  <c r="G155" i="90"/>
  <c r="G153" i="90"/>
  <c r="G152" i="90"/>
  <c r="G151" i="90"/>
  <c r="G149" i="90"/>
  <c r="G148" i="90"/>
  <c r="G147" i="90"/>
  <c r="G146" i="90"/>
  <c r="G145" i="90"/>
  <c r="G143" i="90"/>
  <c r="G142" i="90"/>
  <c r="G141" i="90"/>
  <c r="G140" i="90"/>
  <c r="G138" i="90"/>
  <c r="G137" i="90"/>
  <c r="G136" i="90"/>
  <c r="G135" i="90"/>
  <c r="G133" i="90"/>
  <c r="G132" i="90"/>
  <c r="G131" i="90"/>
  <c r="G130" i="90"/>
  <c r="G129" i="90"/>
  <c r="G127" i="90"/>
  <c r="G126" i="90"/>
  <c r="G125" i="90"/>
  <c r="G124" i="90"/>
  <c r="G110" i="90"/>
  <c r="G109" i="90"/>
  <c r="G108" i="90"/>
  <c r="G107" i="90"/>
  <c r="G106" i="90"/>
  <c r="G105" i="90"/>
  <c r="G101" i="90"/>
  <c r="G100" i="90"/>
  <c r="G99" i="90"/>
  <c r="G98" i="90"/>
  <c r="G97" i="90"/>
  <c r="G96" i="90"/>
  <c r="G92" i="90"/>
  <c r="G91" i="90"/>
  <c r="G90" i="90"/>
  <c r="G89" i="90"/>
  <c r="G88" i="90"/>
  <c r="G87" i="90"/>
  <c r="G85" i="90"/>
  <c r="G84" i="90"/>
  <c r="G83" i="90"/>
  <c r="G78" i="90"/>
  <c r="G73" i="90"/>
  <c r="G72" i="90"/>
  <c r="G71" i="90"/>
  <c r="G70" i="90"/>
  <c r="G69" i="90"/>
  <c r="G65" i="90"/>
  <c r="G59" i="90"/>
  <c r="G58" i="90"/>
  <c r="G57" i="90"/>
  <c r="G56" i="90"/>
  <c r="G55" i="90"/>
  <c r="G54" i="90"/>
  <c r="G53" i="90"/>
  <c r="G52" i="90"/>
  <c r="G41" i="90"/>
  <c r="G40" i="90"/>
  <c r="G39" i="90"/>
  <c r="G38" i="90"/>
  <c r="G37" i="90"/>
  <c r="G36" i="90"/>
  <c r="G35" i="90"/>
  <c r="G34" i="90"/>
  <c r="G33" i="90"/>
  <c r="G32" i="90"/>
  <c r="G31" i="90"/>
  <c r="G29" i="90"/>
  <c r="G28" i="90"/>
  <c r="G27" i="90"/>
  <c r="F21" i="90"/>
  <c r="G20" i="90"/>
  <c r="G19" i="90"/>
  <c r="G18" i="90"/>
  <c r="G17" i="90"/>
  <c r="G16" i="90"/>
  <c r="G15" i="90"/>
  <c r="G14" i="90"/>
  <c r="G13" i="90"/>
  <c r="G12" i="90"/>
  <c r="E232" i="113"/>
  <c r="E231" i="113"/>
  <c r="F228" i="113"/>
  <c r="E226" i="113"/>
  <c r="E225" i="113"/>
  <c r="E224" i="113"/>
  <c r="E223" i="113"/>
  <c r="E222" i="113"/>
  <c r="E221" i="113"/>
  <c r="E220" i="113"/>
  <c r="K18" i="113"/>
  <c r="K17" i="113"/>
  <c r="G205" i="113"/>
  <c r="G204" i="113"/>
  <c r="G203" i="113"/>
  <c r="G202" i="113"/>
  <c r="G201" i="113"/>
  <c r="G196" i="113"/>
  <c r="G195" i="113"/>
  <c r="G194" i="113"/>
  <c r="G193" i="113"/>
  <c r="G192" i="113"/>
  <c r="G191" i="113"/>
  <c r="G160" i="113"/>
  <c r="G159" i="113"/>
  <c r="G158" i="113"/>
  <c r="G157" i="113"/>
  <c r="G156" i="113"/>
  <c r="G155" i="113"/>
  <c r="G153" i="113"/>
  <c r="G152" i="113"/>
  <c r="G151" i="113"/>
  <c r="G150" i="113"/>
  <c r="G149" i="113"/>
  <c r="G148" i="113"/>
  <c r="G147" i="113"/>
  <c r="G146" i="113"/>
  <c r="G145" i="113"/>
  <c r="G143" i="113"/>
  <c r="G142" i="113"/>
  <c r="G141" i="113"/>
  <c r="G140" i="113"/>
  <c r="G138" i="113"/>
  <c r="G137" i="113"/>
  <c r="G136" i="113"/>
  <c r="G135" i="113"/>
  <c r="G133" i="113"/>
  <c r="G132" i="113"/>
  <c r="G131" i="113"/>
  <c r="G130" i="113"/>
  <c r="G118" i="113"/>
  <c r="G117" i="113"/>
  <c r="G116" i="113"/>
  <c r="G115" i="113"/>
  <c r="G110" i="113"/>
  <c r="G109" i="113"/>
  <c r="G108" i="113"/>
  <c r="G101" i="113"/>
  <c r="G100" i="113"/>
  <c r="G99" i="113"/>
  <c r="G98" i="113"/>
  <c r="G97" i="113"/>
  <c r="G96" i="113"/>
  <c r="G92" i="113"/>
  <c r="G91" i="113"/>
  <c r="G90" i="113"/>
  <c r="G89" i="113"/>
  <c r="G88" i="113"/>
  <c r="G86" i="113"/>
  <c r="G85" i="113"/>
  <c r="G84" i="113"/>
  <c r="G78" i="113"/>
  <c r="G77" i="113"/>
  <c r="G76" i="113"/>
  <c r="G75" i="113"/>
  <c r="G74" i="113"/>
  <c r="G73" i="113"/>
  <c r="G71" i="113"/>
  <c r="G70" i="113"/>
  <c r="G69" i="113"/>
  <c r="G64" i="113"/>
  <c r="G60" i="113"/>
  <c r="G59" i="113"/>
  <c r="G58" i="113"/>
  <c r="G57" i="113"/>
  <c r="G56" i="113"/>
  <c r="G55" i="113"/>
  <c r="G54" i="113"/>
  <c r="G53" i="113"/>
  <c r="G52" i="113"/>
  <c r="G51" i="113"/>
  <c r="G50" i="113"/>
  <c r="G49" i="113"/>
  <c r="G48" i="113"/>
  <c r="G47" i="113"/>
  <c r="G46" i="113"/>
  <c r="G44" i="113"/>
  <c r="G43" i="113"/>
  <c r="G42" i="113"/>
  <c r="G41" i="113"/>
  <c r="G40" i="113"/>
  <c r="G37" i="113"/>
  <c r="F21" i="113"/>
  <c r="G20" i="113"/>
  <c r="G19" i="113"/>
  <c r="G18" i="113"/>
  <c r="G17" i="113"/>
  <c r="G16" i="113"/>
  <c r="G15" i="113"/>
  <c r="G14" i="113"/>
  <c r="G13" i="113"/>
  <c r="G12" i="113"/>
  <c r="G11" i="113"/>
  <c r="E232" i="92"/>
  <c r="E231" i="92"/>
  <c r="G231" i="92" s="1"/>
  <c r="F228" i="92"/>
  <c r="E227" i="92"/>
  <c r="E226" i="92"/>
  <c r="E225" i="92"/>
  <c r="E224" i="92"/>
  <c r="E222" i="92"/>
  <c r="E220" i="92"/>
  <c r="K18" i="92"/>
  <c r="K17" i="92"/>
  <c r="G205" i="92"/>
  <c r="G204" i="92"/>
  <c r="G196" i="92"/>
  <c r="G195" i="92"/>
  <c r="G194" i="92"/>
  <c r="G193" i="92"/>
  <c r="G192" i="92"/>
  <c r="G190" i="92"/>
  <c r="G189" i="92"/>
  <c r="G188" i="92"/>
  <c r="G187" i="92"/>
  <c r="G186" i="92"/>
  <c r="G185" i="92"/>
  <c r="G184" i="92"/>
  <c r="G183" i="92"/>
  <c r="G174" i="92"/>
  <c r="G173" i="92"/>
  <c r="G172" i="92"/>
  <c r="G171" i="92"/>
  <c r="G170" i="92"/>
  <c r="G169" i="92"/>
  <c r="G168" i="92"/>
  <c r="G167" i="92"/>
  <c r="G166" i="92"/>
  <c r="G165" i="92"/>
  <c r="G157" i="92"/>
  <c r="G118" i="92"/>
  <c r="G117" i="92"/>
  <c r="G116" i="92"/>
  <c r="G115" i="92"/>
  <c r="G110" i="92"/>
  <c r="G109" i="92"/>
  <c r="G108" i="92"/>
  <c r="G107" i="92"/>
  <c r="G106" i="92"/>
  <c r="G105" i="92"/>
  <c r="G78" i="92"/>
  <c r="G77" i="92"/>
  <c r="G76" i="92"/>
  <c r="G75" i="92"/>
  <c r="G74" i="92"/>
  <c r="G73" i="92"/>
  <c r="G72" i="92"/>
  <c r="G71" i="92"/>
  <c r="G70" i="92"/>
  <c r="G69" i="92"/>
  <c r="G68" i="92"/>
  <c r="G67" i="92"/>
  <c r="G66" i="92"/>
  <c r="G65" i="92"/>
  <c r="G60" i="92"/>
  <c r="G59" i="92"/>
  <c r="G44" i="92"/>
  <c r="G34" i="92"/>
  <c r="F21" i="92"/>
  <c r="G20" i="92"/>
  <c r="G19" i="92"/>
  <c r="G18" i="92"/>
  <c r="G17" i="92"/>
  <c r="G16" i="92"/>
  <c r="G15" i="92"/>
  <c r="G14" i="92"/>
  <c r="G13" i="92"/>
  <c r="G12" i="92"/>
  <c r="G11" i="92"/>
  <c r="E232" i="91"/>
  <c r="E231" i="91"/>
  <c r="F228" i="91"/>
  <c r="K18" i="91"/>
  <c r="K17" i="91"/>
  <c r="G196" i="91"/>
  <c r="G195" i="91"/>
  <c r="G194" i="91"/>
  <c r="G193" i="91"/>
  <c r="G192" i="91"/>
  <c r="G191" i="91"/>
  <c r="G190" i="91"/>
  <c r="G189" i="91"/>
  <c r="G152" i="91"/>
  <c r="G118" i="91"/>
  <c r="G117" i="91"/>
  <c r="G116" i="91"/>
  <c r="G115" i="91"/>
  <c r="G110" i="91"/>
  <c r="G109" i="91"/>
  <c r="G92" i="91"/>
  <c r="G91" i="91"/>
  <c r="G90" i="91"/>
  <c r="G89" i="91"/>
  <c r="G88" i="91"/>
  <c r="G87" i="91"/>
  <c r="G86" i="91"/>
  <c r="G78" i="91"/>
  <c r="G77" i="91"/>
  <c r="G76" i="91"/>
  <c r="G75" i="91"/>
  <c r="G74" i="91"/>
  <c r="G60" i="91"/>
  <c r="G59" i="91"/>
  <c r="G58" i="91"/>
  <c r="G57" i="91"/>
  <c r="G56" i="91"/>
  <c r="G55" i="91"/>
  <c r="G54" i="91"/>
  <c r="G53" i="91"/>
  <c r="G52" i="91"/>
  <c r="G50" i="91"/>
  <c r="G49" i="91"/>
  <c r="G47" i="91"/>
  <c r="F21" i="91"/>
  <c r="G20" i="91"/>
  <c r="G19" i="91"/>
  <c r="G18" i="91"/>
  <c r="G17" i="91"/>
  <c r="G16" i="91"/>
  <c r="G15" i="91"/>
  <c r="G14" i="91"/>
  <c r="G13" i="91"/>
  <c r="G12" i="91"/>
  <c r="G11" i="91"/>
  <c r="E232" i="89"/>
  <c r="E231" i="89"/>
  <c r="F228" i="89"/>
  <c r="E227" i="89"/>
  <c r="E226" i="89"/>
  <c r="E225" i="89"/>
  <c r="E224" i="89"/>
  <c r="E223" i="89"/>
  <c r="E222" i="89"/>
  <c r="E221" i="89"/>
  <c r="E220" i="89"/>
  <c r="K18" i="89"/>
  <c r="K17" i="89"/>
  <c r="G205" i="89"/>
  <c r="G204" i="89"/>
  <c r="G203" i="89"/>
  <c r="G196" i="89"/>
  <c r="G195" i="89"/>
  <c r="G194" i="89"/>
  <c r="G193" i="89"/>
  <c r="G192" i="89"/>
  <c r="G191" i="89"/>
  <c r="G142" i="89"/>
  <c r="G118" i="89"/>
  <c r="G117" i="89"/>
  <c r="G116" i="89"/>
  <c r="G115" i="89"/>
  <c r="G110" i="89"/>
  <c r="G92" i="89"/>
  <c r="G91" i="89"/>
  <c r="G90" i="89"/>
  <c r="G89" i="89"/>
  <c r="G87" i="89"/>
  <c r="G86" i="89"/>
  <c r="G85" i="89"/>
  <c r="G84" i="89"/>
  <c r="G83" i="89"/>
  <c r="G78" i="89"/>
  <c r="G77" i="89"/>
  <c r="G76" i="89"/>
  <c r="G74" i="89"/>
  <c r="G73" i="89"/>
  <c r="G72" i="89"/>
  <c r="G71" i="89"/>
  <c r="G70" i="89"/>
  <c r="G69" i="89"/>
  <c r="G68" i="89"/>
  <c r="G66" i="89"/>
  <c r="G65" i="89"/>
  <c r="G60" i="89"/>
  <c r="G59" i="89"/>
  <c r="G57" i="89"/>
  <c r="G56" i="89"/>
  <c r="G55" i="89"/>
  <c r="G54" i="89"/>
  <c r="G53" i="89"/>
  <c r="G52" i="89"/>
  <c r="G51" i="89"/>
  <c r="G49" i="89"/>
  <c r="G48" i="89"/>
  <c r="G47" i="89"/>
  <c r="G46" i="89"/>
  <c r="G45" i="89"/>
  <c r="G32" i="89"/>
  <c r="F21" i="89"/>
  <c r="F215" i="89" s="1"/>
  <c r="G20" i="89"/>
  <c r="G19" i="89"/>
  <c r="G18" i="89"/>
  <c r="G17" i="89"/>
  <c r="G16" i="89"/>
  <c r="G15" i="89"/>
  <c r="G14" i="89"/>
  <c r="G13" i="89"/>
  <c r="G12" i="89"/>
  <c r="G11" i="89"/>
  <c r="E232" i="57"/>
  <c r="E231" i="57"/>
  <c r="F228" i="57"/>
  <c r="E227" i="57"/>
  <c r="E226" i="57"/>
  <c r="E225" i="57"/>
  <c r="E224" i="57"/>
  <c r="E223" i="57"/>
  <c r="E222" i="57"/>
  <c r="E221" i="57"/>
  <c r="E220" i="57"/>
  <c r="G205" i="57"/>
  <c r="G204" i="57"/>
  <c r="G203" i="57"/>
  <c r="G202" i="57"/>
  <c r="G201" i="57"/>
  <c r="G183" i="57"/>
  <c r="G167" i="57"/>
  <c r="G101" i="57"/>
  <c r="G100" i="57"/>
  <c r="G99" i="57"/>
  <c r="G98" i="57"/>
  <c r="G97" i="57"/>
  <c r="G41" i="57"/>
  <c r="G40" i="57"/>
  <c r="G39" i="57"/>
  <c r="G38" i="57"/>
  <c r="G37" i="57"/>
  <c r="G36" i="57"/>
  <c r="G35" i="57"/>
  <c r="G34" i="57"/>
  <c r="G33" i="57"/>
  <c r="G32" i="57"/>
  <c r="G31" i="57"/>
  <c r="G30" i="57"/>
  <c r="G29" i="57"/>
  <c r="G28" i="57"/>
  <c r="G27" i="57"/>
  <c r="G26" i="57"/>
  <c r="F21" i="57"/>
  <c r="G20" i="57"/>
  <c r="G19" i="57"/>
  <c r="G17" i="57"/>
  <c r="G16" i="57"/>
  <c r="G15" i="57"/>
  <c r="G14" i="57"/>
  <c r="G13" i="57"/>
  <c r="G12" i="57"/>
  <c r="E21" i="57"/>
  <c r="G11" i="14"/>
  <c r="G12" i="14"/>
  <c r="G13" i="14"/>
  <c r="G14" i="14"/>
  <c r="G15" i="14"/>
  <c r="G16" i="14"/>
  <c r="G17" i="14"/>
  <c r="G18" i="14"/>
  <c r="G19" i="14"/>
  <c r="G20" i="14"/>
  <c r="E21" i="14"/>
  <c r="F21" i="14"/>
  <c r="G45" i="14"/>
  <c r="G46" i="14"/>
  <c r="G47" i="14"/>
  <c r="G48" i="14"/>
  <c r="G49" i="14"/>
  <c r="G50" i="14"/>
  <c r="G51" i="14"/>
  <c r="G52" i="14"/>
  <c r="G53" i="14"/>
  <c r="G54" i="14"/>
  <c r="G55" i="14"/>
  <c r="G56" i="14"/>
  <c r="G57" i="14"/>
  <c r="G58" i="14"/>
  <c r="G59" i="14"/>
  <c r="G65" i="14"/>
  <c r="G66" i="14"/>
  <c r="G67" i="14"/>
  <c r="G68" i="14"/>
  <c r="G69" i="14"/>
  <c r="G70" i="14"/>
  <c r="G71" i="14"/>
  <c r="G72" i="14"/>
  <c r="G73" i="14"/>
  <c r="G74" i="14"/>
  <c r="G75" i="14"/>
  <c r="G76" i="14"/>
  <c r="G77" i="14"/>
  <c r="G78" i="14"/>
  <c r="G83" i="14"/>
  <c r="G84" i="14"/>
  <c r="G85" i="14"/>
  <c r="G86" i="14"/>
  <c r="G87" i="14"/>
  <c r="G88" i="14"/>
  <c r="G89" i="14"/>
  <c r="G90" i="14"/>
  <c r="G91" i="14"/>
  <c r="G92" i="14"/>
  <c r="G100" i="14"/>
  <c r="G101" i="14"/>
  <c r="G106" i="14"/>
  <c r="G107" i="14"/>
  <c r="G108" i="14"/>
  <c r="G109" i="14"/>
  <c r="G110" i="14"/>
  <c r="G114" i="14"/>
  <c r="G115" i="14"/>
  <c r="G116" i="14"/>
  <c r="G117" i="14"/>
  <c r="G118" i="14"/>
  <c r="G123" i="14"/>
  <c r="G124" i="14"/>
  <c r="G125" i="14"/>
  <c r="G126" i="14"/>
  <c r="G127" i="14"/>
  <c r="G129" i="14"/>
  <c r="G130" i="14"/>
  <c r="G131" i="14"/>
  <c r="G132" i="14"/>
  <c r="G133" i="14"/>
  <c r="G135" i="14"/>
  <c r="G136" i="14"/>
  <c r="G137" i="14"/>
  <c r="G138" i="14"/>
  <c r="G140" i="14"/>
  <c r="G141" i="14"/>
  <c r="G142" i="14"/>
  <c r="G143" i="14"/>
  <c r="G145" i="14"/>
  <c r="G146" i="14"/>
  <c r="G147" i="14"/>
  <c r="G148" i="14"/>
  <c r="G149" i="14"/>
  <c r="G150" i="14"/>
  <c r="G151" i="14"/>
  <c r="G152" i="14"/>
  <c r="G153" i="14"/>
  <c r="G155" i="14"/>
  <c r="G156" i="14"/>
  <c r="G157" i="14"/>
  <c r="G158" i="14"/>
  <c r="G159" i="14"/>
  <c r="G174" i="14"/>
  <c r="G175" i="14"/>
  <c r="G176" i="14"/>
  <c r="G177" i="14"/>
  <c r="G178" i="14"/>
  <c r="G179" i="14"/>
  <c r="G180" i="14"/>
  <c r="G181" i="14"/>
  <c r="G182" i="14"/>
  <c r="G183" i="14"/>
  <c r="G184" i="14"/>
  <c r="G185" i="14"/>
  <c r="G186" i="14"/>
  <c r="G187" i="14"/>
  <c r="G188" i="14"/>
  <c r="G189" i="14"/>
  <c r="G190" i="14"/>
  <c r="G191" i="14"/>
  <c r="G192" i="14"/>
  <c r="G193" i="14"/>
  <c r="G194" i="14"/>
  <c r="G195" i="14"/>
  <c r="G196" i="14"/>
  <c r="G201" i="14"/>
  <c r="G202" i="14"/>
  <c r="G203" i="14"/>
  <c r="G204" i="14"/>
  <c r="G205" i="14"/>
  <c r="K17" i="14"/>
  <c r="K18" i="14"/>
  <c r="E220" i="14"/>
  <c r="E222" i="14"/>
  <c r="E224" i="14"/>
  <c r="E226" i="14"/>
  <c r="F228" i="14"/>
  <c r="E231" i="14"/>
  <c r="E232" i="14"/>
  <c r="E232" i="55"/>
  <c r="F228" i="55"/>
  <c r="K18" i="55"/>
  <c r="K17" i="55"/>
  <c r="G118" i="55"/>
  <c r="G117" i="55"/>
  <c r="G116" i="55"/>
  <c r="G115" i="55"/>
  <c r="G114" i="55"/>
  <c r="G110" i="55"/>
  <c r="G109" i="55"/>
  <c r="G108" i="55"/>
  <c r="G107" i="55"/>
  <c r="G106" i="55"/>
  <c r="G105" i="55"/>
  <c r="G101" i="55"/>
  <c r="G100" i="55"/>
  <c r="G99" i="55"/>
  <c r="G98" i="55"/>
  <c r="G97" i="55"/>
  <c r="G96" i="55"/>
  <c r="G78" i="55"/>
  <c r="G77" i="55"/>
  <c r="G76" i="55"/>
  <c r="G75" i="55"/>
  <c r="G74" i="55"/>
  <c r="G73" i="55"/>
  <c r="G72" i="55"/>
  <c r="G71" i="55"/>
  <c r="G70" i="55"/>
  <c r="G69" i="55"/>
  <c r="G68" i="55"/>
  <c r="G67" i="55"/>
  <c r="G66" i="55"/>
  <c r="G65" i="55"/>
  <c r="G60" i="55"/>
  <c r="G59" i="55"/>
  <c r="G58" i="55"/>
  <c r="G57" i="55"/>
  <c r="G56" i="55"/>
  <c r="G55" i="55"/>
  <c r="G54" i="55"/>
  <c r="G53" i="55"/>
  <c r="G52" i="55"/>
  <c r="G51" i="55"/>
  <c r="G50" i="55"/>
  <c r="G49" i="55"/>
  <c r="G47" i="55"/>
  <c r="G46" i="55"/>
  <c r="G45" i="55"/>
  <c r="G43" i="55"/>
  <c r="G42" i="55"/>
  <c r="G41" i="55"/>
  <c r="G40" i="55"/>
  <c r="G39" i="55"/>
  <c r="G38" i="55"/>
  <c r="F21" i="55"/>
  <c r="G20" i="55"/>
  <c r="G19" i="55"/>
  <c r="G18" i="55"/>
  <c r="G17" i="55"/>
  <c r="G16" i="55"/>
  <c r="G15" i="55"/>
  <c r="G14" i="55"/>
  <c r="G13" i="55"/>
  <c r="G12" i="55"/>
  <c r="G11" i="55"/>
  <c r="E232" i="111"/>
  <c r="E231" i="111"/>
  <c r="G231" i="111" s="1"/>
  <c r="F228" i="111"/>
  <c r="E226" i="111"/>
  <c r="E224" i="111"/>
  <c r="E222" i="111"/>
  <c r="E220" i="111"/>
  <c r="E232" i="16"/>
  <c r="E231" i="16"/>
  <c r="F228" i="16"/>
  <c r="E227" i="16"/>
  <c r="E226" i="16"/>
  <c r="E225" i="16"/>
  <c r="E224" i="16"/>
  <c r="E223" i="16"/>
  <c r="E222" i="16"/>
  <c r="E221" i="16"/>
  <c r="E220" i="16"/>
  <c r="K18" i="16"/>
  <c r="K17" i="16"/>
  <c r="G205" i="16"/>
  <c r="G204" i="16"/>
  <c r="G203" i="16"/>
  <c r="G196" i="16"/>
  <c r="G195" i="16"/>
  <c r="G194" i="16"/>
  <c r="G193" i="16"/>
  <c r="G192" i="16"/>
  <c r="G191" i="16"/>
  <c r="G190" i="16"/>
  <c r="G189" i="16"/>
  <c r="G188" i="16"/>
  <c r="G187" i="16"/>
  <c r="G186" i="16"/>
  <c r="G185" i="16"/>
  <c r="G183" i="16"/>
  <c r="G182" i="16"/>
  <c r="G181" i="16"/>
  <c r="G180" i="16"/>
  <c r="G179" i="16"/>
  <c r="G178" i="16"/>
  <c r="G177" i="16"/>
  <c r="G176" i="16"/>
  <c r="G175" i="16"/>
  <c r="G174" i="16"/>
  <c r="G160" i="16"/>
  <c r="G159" i="16"/>
  <c r="G158" i="16"/>
  <c r="G157" i="16"/>
  <c r="G156" i="16"/>
  <c r="G155" i="16"/>
  <c r="G153" i="16"/>
  <c r="G152" i="16"/>
  <c r="G151" i="16"/>
  <c r="G148" i="16"/>
  <c r="G118" i="16"/>
  <c r="G117" i="16"/>
  <c r="G116" i="16"/>
  <c r="G115" i="16"/>
  <c r="G114" i="16"/>
  <c r="G110" i="16"/>
  <c r="G109" i="16"/>
  <c r="G108" i="16"/>
  <c r="G107" i="16"/>
  <c r="G106" i="16"/>
  <c r="G105" i="16"/>
  <c r="G101" i="16"/>
  <c r="G100" i="16"/>
  <c r="G99" i="16"/>
  <c r="G98" i="16"/>
  <c r="G92" i="16"/>
  <c r="G91" i="16"/>
  <c r="G90" i="16"/>
  <c r="G89" i="16"/>
  <c r="G88" i="16"/>
  <c r="G87" i="16"/>
  <c r="G86" i="16"/>
  <c r="G85" i="16"/>
  <c r="G84" i="16"/>
  <c r="G83" i="16"/>
  <c r="G78" i="16"/>
  <c r="G77" i="16"/>
  <c r="G76" i="16"/>
  <c r="G75" i="16"/>
  <c r="G74" i="16"/>
  <c r="G73" i="16"/>
  <c r="G72" i="16"/>
  <c r="G71" i="16"/>
  <c r="G60" i="16"/>
  <c r="G58" i="16"/>
  <c r="G57" i="16"/>
  <c r="G56" i="16"/>
  <c r="G55" i="16"/>
  <c r="G54" i="16"/>
  <c r="G51" i="16"/>
  <c r="G35" i="16"/>
  <c r="F21" i="16"/>
  <c r="G20" i="16"/>
  <c r="G19" i="16"/>
  <c r="G18" i="16"/>
  <c r="G17" i="16"/>
  <c r="G16" i="16"/>
  <c r="G15" i="16"/>
  <c r="G14" i="16"/>
  <c r="G13" i="16"/>
  <c r="G12" i="16"/>
  <c r="G11" i="16"/>
  <c r="E232" i="79"/>
  <c r="E231" i="79"/>
  <c r="F228" i="79"/>
  <c r="K18" i="79"/>
  <c r="K17" i="79"/>
  <c r="G196" i="79"/>
  <c r="G195" i="79"/>
  <c r="G194" i="79"/>
  <c r="G193" i="79"/>
  <c r="G192" i="79"/>
  <c r="G191" i="79"/>
  <c r="G190" i="79"/>
  <c r="G189" i="79"/>
  <c r="G188" i="79"/>
  <c r="G186" i="79"/>
  <c r="G185" i="79"/>
  <c r="G184" i="79"/>
  <c r="G183" i="79"/>
  <c r="G182" i="79"/>
  <c r="G181" i="79"/>
  <c r="G178" i="79"/>
  <c r="G177" i="79"/>
  <c r="G176" i="79"/>
  <c r="G175" i="79"/>
  <c r="G174" i="79"/>
  <c r="G173" i="79"/>
  <c r="G172" i="79"/>
  <c r="G160" i="79"/>
  <c r="G159" i="79"/>
  <c r="G158" i="79"/>
  <c r="G157" i="79"/>
  <c r="G156" i="79"/>
  <c r="G155" i="79"/>
  <c r="G153" i="79"/>
  <c r="G146" i="79"/>
  <c r="G118" i="79"/>
  <c r="G117" i="79"/>
  <c r="G116" i="79"/>
  <c r="G115" i="79"/>
  <c r="G110" i="79"/>
  <c r="G109" i="79"/>
  <c r="G108" i="79"/>
  <c r="G107" i="79"/>
  <c r="G101" i="79"/>
  <c r="G100" i="79"/>
  <c r="G99" i="79"/>
  <c r="G53" i="79"/>
  <c r="G47" i="79"/>
  <c r="G46" i="79"/>
  <c r="G45" i="79"/>
  <c r="G44" i="79"/>
  <c r="G43" i="79"/>
  <c r="G42" i="79"/>
  <c r="G41" i="79"/>
  <c r="G40" i="79"/>
  <c r="G39" i="79"/>
  <c r="G38" i="79"/>
  <c r="G37" i="79"/>
  <c r="G36" i="79"/>
  <c r="G35" i="79"/>
  <c r="G34" i="79"/>
  <c r="G33" i="79"/>
  <c r="G32" i="79"/>
  <c r="G31" i="79"/>
  <c r="G30" i="79"/>
  <c r="G29" i="79"/>
  <c r="F21" i="79"/>
  <c r="E232" i="32"/>
  <c r="E231" i="32"/>
  <c r="F228" i="32"/>
  <c r="K18" i="32"/>
  <c r="K17" i="32"/>
  <c r="G196" i="32"/>
  <c r="G195" i="32"/>
  <c r="G194" i="32"/>
  <c r="G160" i="32"/>
  <c r="G159" i="32"/>
  <c r="G158" i="32"/>
  <c r="G156" i="32"/>
  <c r="G155" i="32"/>
  <c r="G153" i="32"/>
  <c r="G152" i="32"/>
  <c r="G151" i="32"/>
  <c r="G150" i="32"/>
  <c r="G149" i="32"/>
  <c r="G148" i="32"/>
  <c r="G147" i="32"/>
  <c r="G146" i="32"/>
  <c r="G145" i="32"/>
  <c r="G143" i="32"/>
  <c r="G142" i="32"/>
  <c r="G141" i="32"/>
  <c r="G137" i="32"/>
  <c r="G118" i="32"/>
  <c r="G117" i="32"/>
  <c r="G116" i="32"/>
  <c r="G115" i="32"/>
  <c r="G110" i="32"/>
  <c r="G109" i="32"/>
  <c r="G101" i="32"/>
  <c r="G100" i="32"/>
  <c r="G99" i="32"/>
  <c r="G98" i="32"/>
  <c r="G97" i="32"/>
  <c r="G96" i="32"/>
  <c r="G92" i="32"/>
  <c r="G91" i="32"/>
  <c r="G90" i="32"/>
  <c r="G89" i="32"/>
  <c r="G78" i="32"/>
  <c r="G77" i="32"/>
  <c r="G76" i="32"/>
  <c r="G75" i="32"/>
  <c r="G74" i="32"/>
  <c r="G73" i="32"/>
  <c r="G72" i="32"/>
  <c r="G52" i="32"/>
  <c r="G43" i="32"/>
  <c r="F21" i="32"/>
  <c r="G20" i="32"/>
  <c r="G19" i="32"/>
  <c r="G18" i="32"/>
  <c r="G17" i="32"/>
  <c r="G16" i="32"/>
  <c r="G15" i="32"/>
  <c r="G14" i="32"/>
  <c r="G12" i="32"/>
  <c r="G11" i="32"/>
  <c r="E21" i="32"/>
  <c r="F228" i="33"/>
  <c r="E227" i="33"/>
  <c r="E226" i="33"/>
  <c r="E224" i="33"/>
  <c r="E222" i="33"/>
  <c r="E220" i="33"/>
  <c r="K18" i="33"/>
  <c r="G205" i="33"/>
  <c r="G204" i="33"/>
  <c r="G196" i="33"/>
  <c r="G195" i="33"/>
  <c r="G194" i="33"/>
  <c r="G193" i="33"/>
  <c r="G192" i="33"/>
  <c r="G191" i="33"/>
  <c r="G190" i="33"/>
  <c r="G189" i="33"/>
  <c r="G188" i="33"/>
  <c r="G187" i="33"/>
  <c r="G186" i="33"/>
  <c r="G185" i="33"/>
  <c r="G184" i="33"/>
  <c r="G160" i="33"/>
  <c r="G159" i="33"/>
  <c r="G158" i="33"/>
  <c r="G157" i="33"/>
  <c r="G156" i="33"/>
  <c r="G155" i="33"/>
  <c r="G153" i="33"/>
  <c r="G152" i="33"/>
  <c r="G151" i="33"/>
  <c r="G150" i="33"/>
  <c r="G149" i="33"/>
  <c r="G148" i="33"/>
  <c r="G147" i="33"/>
  <c r="G118" i="33"/>
  <c r="G117" i="33"/>
  <c r="G116" i="33"/>
  <c r="G115" i="33"/>
  <c r="G114" i="33"/>
  <c r="G110" i="33"/>
  <c r="G109" i="33"/>
  <c r="G108" i="33"/>
  <c r="G107" i="33"/>
  <c r="G106" i="33"/>
  <c r="G101" i="33"/>
  <c r="G100" i="33"/>
  <c r="G99" i="33"/>
  <c r="G98" i="33"/>
  <c r="G92" i="33"/>
  <c r="G91" i="33"/>
  <c r="G78" i="33"/>
  <c r="G77" i="33"/>
  <c r="G76" i="33"/>
  <c r="G75" i="33"/>
  <c r="G74" i="33"/>
  <c r="G73" i="33"/>
  <c r="G72" i="33"/>
  <c r="G71" i="33"/>
  <c r="G70" i="33"/>
  <c r="G69" i="33"/>
  <c r="G68" i="33"/>
  <c r="G67" i="33"/>
  <c r="G60" i="33"/>
  <c r="G59" i="33"/>
  <c r="G58" i="33"/>
  <c r="G57" i="33"/>
  <c r="G56" i="33"/>
  <c r="G55" i="33"/>
  <c r="G54" i="33"/>
  <c r="G53" i="33"/>
  <c r="G52" i="33"/>
  <c r="G51" i="33"/>
  <c r="G50" i="33"/>
  <c r="G49" i="33"/>
  <c r="F21" i="33"/>
  <c r="G20" i="33"/>
  <c r="G19" i="33"/>
  <c r="G18" i="33"/>
  <c r="G17" i="33"/>
  <c r="G16" i="33"/>
  <c r="G15" i="33"/>
  <c r="G14" i="33"/>
  <c r="G13" i="33"/>
  <c r="G12" i="33"/>
  <c r="G11" i="33"/>
  <c r="E232" i="119"/>
  <c r="G232" i="119" s="1"/>
  <c r="E231" i="119"/>
  <c r="G231" i="119" s="1"/>
  <c r="F228" i="119"/>
  <c r="E227" i="119"/>
  <c r="E226" i="119"/>
  <c r="E225" i="119"/>
  <c r="E224" i="119"/>
  <c r="E222" i="119"/>
  <c r="E220" i="119"/>
  <c r="K18" i="119"/>
  <c r="G205" i="119"/>
  <c r="G204" i="119"/>
  <c r="G203" i="119"/>
  <c r="G196" i="119"/>
  <c r="G195" i="119"/>
  <c r="G194" i="119"/>
  <c r="G193" i="119"/>
  <c r="G192" i="119"/>
  <c r="G191" i="119"/>
  <c r="G190" i="119"/>
  <c r="G189" i="119"/>
  <c r="G188" i="119"/>
  <c r="G187" i="119"/>
  <c r="G186" i="119"/>
  <c r="G185" i="119"/>
  <c r="G184" i="119"/>
  <c r="G160" i="119"/>
  <c r="G159" i="119"/>
  <c r="G158" i="119"/>
  <c r="G157" i="119"/>
  <c r="G156" i="119"/>
  <c r="G155" i="119"/>
  <c r="G153" i="119"/>
  <c r="G152" i="119"/>
  <c r="G151" i="119"/>
  <c r="G150" i="119"/>
  <c r="G149" i="119"/>
  <c r="G118" i="119"/>
  <c r="G117" i="119"/>
  <c r="G116" i="119"/>
  <c r="G115" i="119"/>
  <c r="G114" i="119"/>
  <c r="G101" i="119"/>
  <c r="G100" i="119"/>
  <c r="G92" i="119"/>
  <c r="G91" i="119"/>
  <c r="G90" i="119"/>
  <c r="G89" i="119"/>
  <c r="G88" i="119"/>
  <c r="G87" i="119"/>
  <c r="G86" i="119"/>
  <c r="G85" i="119"/>
  <c r="G84" i="119"/>
  <c r="G83" i="119"/>
  <c r="G78" i="119"/>
  <c r="G77" i="119"/>
  <c r="G76" i="119"/>
  <c r="G75" i="119"/>
  <c r="G74" i="119"/>
  <c r="F21" i="119"/>
  <c r="G19" i="119"/>
  <c r="E232" i="39"/>
  <c r="E231" i="39"/>
  <c r="F228" i="39"/>
  <c r="E226" i="39"/>
  <c r="E224" i="39"/>
  <c r="E222" i="39"/>
  <c r="E221" i="39"/>
  <c r="K18" i="39"/>
  <c r="K17" i="39"/>
  <c r="G205" i="39"/>
  <c r="G204" i="39"/>
  <c r="G203" i="39"/>
  <c r="G196" i="39"/>
  <c r="G195" i="39"/>
  <c r="G194" i="39"/>
  <c r="G193" i="39"/>
  <c r="G192" i="39"/>
  <c r="G191" i="39"/>
  <c r="G190" i="39"/>
  <c r="G189" i="39"/>
  <c r="G188" i="39"/>
  <c r="G187" i="39"/>
  <c r="G186" i="39"/>
  <c r="G160" i="39"/>
  <c r="G159" i="39"/>
  <c r="G158" i="39"/>
  <c r="G157" i="39"/>
  <c r="G156" i="39"/>
  <c r="G155" i="39"/>
  <c r="G153" i="39"/>
  <c r="G152" i="39"/>
  <c r="G151" i="39"/>
  <c r="G150" i="39"/>
  <c r="G149" i="39"/>
  <c r="G148" i="39"/>
  <c r="G147" i="39"/>
  <c r="G146" i="39"/>
  <c r="G145" i="39"/>
  <c r="G143" i="39"/>
  <c r="G142" i="39"/>
  <c r="G141" i="39"/>
  <c r="G140" i="39"/>
  <c r="G138" i="39"/>
  <c r="G137" i="39"/>
  <c r="G136" i="39"/>
  <c r="G118" i="39"/>
  <c r="G117" i="39"/>
  <c r="G116" i="39"/>
  <c r="G115" i="39"/>
  <c r="G109" i="39"/>
  <c r="G108" i="39"/>
  <c r="G107" i="39"/>
  <c r="G106" i="39"/>
  <c r="G105" i="39"/>
  <c r="G101" i="39"/>
  <c r="G100" i="39"/>
  <c r="G99" i="39"/>
  <c r="G98" i="39"/>
  <c r="G97" i="39"/>
  <c r="G96" i="39"/>
  <c r="G92" i="39"/>
  <c r="G91" i="39"/>
  <c r="G90" i="39"/>
  <c r="G89" i="39"/>
  <c r="G88" i="39"/>
  <c r="G87" i="39"/>
  <c r="G86" i="39"/>
  <c r="G85" i="39"/>
  <c r="G84" i="39"/>
  <c r="G83" i="39"/>
  <c r="G78" i="39"/>
  <c r="G77" i="39"/>
  <c r="G76" i="39"/>
  <c r="G75" i="39"/>
  <c r="G74" i="39"/>
  <c r="G73" i="39"/>
  <c r="G72" i="39"/>
  <c r="G60" i="39"/>
  <c r="G59" i="39"/>
  <c r="G58" i="39"/>
  <c r="G57" i="39"/>
  <c r="G56" i="39"/>
  <c r="G55" i="39"/>
  <c r="G54" i="39"/>
  <c r="G53" i="39"/>
  <c r="G52" i="39"/>
  <c r="G51" i="39"/>
  <c r="G50" i="39"/>
  <c r="G49" i="39"/>
  <c r="G48" i="39"/>
  <c r="G47" i="39"/>
  <c r="G46" i="39"/>
  <c r="G45" i="39"/>
  <c r="G44" i="39"/>
  <c r="G43" i="39"/>
  <c r="G42" i="39"/>
  <c r="G41" i="39"/>
  <c r="G40" i="39"/>
  <c r="G39" i="39"/>
  <c r="G38" i="39"/>
  <c r="G37" i="39"/>
  <c r="G36" i="39"/>
  <c r="G35" i="39"/>
  <c r="G34" i="39"/>
  <c r="G33" i="39"/>
  <c r="G32" i="39"/>
  <c r="G31" i="39"/>
  <c r="G30" i="39"/>
  <c r="G29" i="39"/>
  <c r="G28" i="39"/>
  <c r="G27" i="39"/>
  <c r="G26" i="39"/>
  <c r="F21" i="39"/>
  <c r="E232" i="43"/>
  <c r="K18" i="43"/>
  <c r="K17" i="43"/>
  <c r="G205" i="43"/>
  <c r="G204" i="43"/>
  <c r="G203" i="43"/>
  <c r="G202" i="43"/>
  <c r="G201" i="43"/>
  <c r="G196" i="43"/>
  <c r="G195" i="43"/>
  <c r="G194" i="43"/>
  <c r="G193" i="43"/>
  <c r="G192" i="43"/>
  <c r="G191" i="43"/>
  <c r="G190" i="43"/>
  <c r="G189" i="43"/>
  <c r="G188" i="43"/>
  <c r="G186" i="43"/>
  <c r="G185" i="43"/>
  <c r="G184" i="43"/>
  <c r="G183" i="43"/>
  <c r="G182" i="43"/>
  <c r="G181" i="43"/>
  <c r="G180" i="43"/>
  <c r="G179" i="43"/>
  <c r="G178" i="43"/>
  <c r="G177" i="43"/>
  <c r="G176" i="43"/>
  <c r="G175" i="43"/>
  <c r="G174" i="43"/>
  <c r="G173" i="43"/>
  <c r="G172" i="43"/>
  <c r="G171" i="43"/>
  <c r="G170" i="43"/>
  <c r="G169" i="43"/>
  <c r="G168" i="43"/>
  <c r="G167" i="43"/>
  <c r="G165" i="43"/>
  <c r="G118" i="43"/>
  <c r="G117" i="43"/>
  <c r="G116" i="43"/>
  <c r="G115" i="43"/>
  <c r="G110" i="43"/>
  <c r="G109" i="43"/>
  <c r="G108" i="43"/>
  <c r="G107" i="43"/>
  <c r="G106" i="43"/>
  <c r="G105" i="43"/>
  <c r="G101" i="43"/>
  <c r="G100" i="43"/>
  <c r="G99" i="43"/>
  <c r="G98" i="43"/>
  <c r="G92" i="43"/>
  <c r="G90" i="43"/>
  <c r="G89" i="43"/>
  <c r="G88" i="43"/>
  <c r="G87" i="43"/>
  <c r="G86" i="43"/>
  <c r="G85" i="43"/>
  <c r="G84" i="43"/>
  <c r="G83" i="43"/>
  <c r="G78" i="43"/>
  <c r="G77" i="43"/>
  <c r="G76" i="43"/>
  <c r="G75" i="43"/>
  <c r="G74" i="43"/>
  <c r="G73" i="43"/>
  <c r="G72" i="43"/>
  <c r="G71" i="43"/>
  <c r="G70" i="43"/>
  <c r="G69" i="43"/>
  <c r="G68" i="43"/>
  <c r="G67" i="43"/>
  <c r="G66" i="43"/>
  <c r="G65" i="43"/>
  <c r="G60" i="43"/>
  <c r="G59" i="43"/>
  <c r="G58" i="43"/>
  <c r="G57" i="43"/>
  <c r="G56" i="43"/>
  <c r="G55" i="43"/>
  <c r="G54" i="43"/>
  <c r="G53" i="43"/>
  <c r="G52" i="43"/>
  <c r="G51" i="43"/>
  <c r="G50" i="43"/>
  <c r="G49" i="43"/>
  <c r="G48" i="43"/>
  <c r="G47" i="43"/>
  <c r="G46" i="43"/>
  <c r="G45" i="43"/>
  <c r="G44" i="43"/>
  <c r="G43" i="43"/>
  <c r="G42" i="43"/>
  <c r="G41" i="43"/>
  <c r="G40" i="43"/>
  <c r="G39" i="43"/>
  <c r="G38" i="43"/>
  <c r="G37" i="43"/>
  <c r="G36" i="43"/>
  <c r="G35" i="43"/>
  <c r="G34" i="43"/>
  <c r="G33" i="43"/>
  <c r="G32" i="43"/>
  <c r="G31" i="43"/>
  <c r="G30" i="43"/>
  <c r="G29" i="43"/>
  <c r="G28" i="43"/>
  <c r="G27" i="43"/>
  <c r="G26" i="43"/>
  <c r="F21" i="43"/>
  <c r="E232" i="46"/>
  <c r="E231" i="46"/>
  <c r="F228" i="46"/>
  <c r="E226" i="46"/>
  <c r="E225" i="46"/>
  <c r="E224" i="46"/>
  <c r="E223" i="46"/>
  <c r="E222" i="46"/>
  <c r="E221" i="46"/>
  <c r="K18" i="46"/>
  <c r="K17" i="46"/>
  <c r="G205" i="46"/>
  <c r="G204" i="46"/>
  <c r="G203" i="46"/>
  <c r="G202" i="46"/>
  <c r="G201" i="46"/>
  <c r="G196" i="46"/>
  <c r="G195" i="46"/>
  <c r="G194" i="46"/>
  <c r="G193" i="46"/>
  <c r="G192" i="46"/>
  <c r="G191" i="46"/>
  <c r="G190" i="46"/>
  <c r="G160" i="46"/>
  <c r="G159" i="46"/>
  <c r="G158" i="46"/>
  <c r="G157" i="46"/>
  <c r="G156" i="46"/>
  <c r="G155" i="46"/>
  <c r="G153" i="46"/>
  <c r="G151" i="46"/>
  <c r="G150" i="46"/>
  <c r="G149" i="46"/>
  <c r="G148" i="46"/>
  <c r="G147" i="46"/>
  <c r="G146" i="46"/>
  <c r="G145" i="46"/>
  <c r="G142" i="46"/>
  <c r="G141" i="46"/>
  <c r="G140" i="46"/>
  <c r="G138" i="46"/>
  <c r="G137" i="46"/>
  <c r="G136" i="46"/>
  <c r="G135" i="46"/>
  <c r="G133" i="46"/>
  <c r="G132" i="46"/>
  <c r="G131" i="46"/>
  <c r="G130" i="46"/>
  <c r="G129" i="46"/>
  <c r="G127" i="46"/>
  <c r="G126" i="46"/>
  <c r="G125" i="46"/>
  <c r="G124" i="46"/>
  <c r="G110" i="46"/>
  <c r="G109" i="46"/>
  <c r="G108" i="46"/>
  <c r="G107" i="46"/>
  <c r="G106" i="46"/>
  <c r="G105" i="46"/>
  <c r="G101" i="46"/>
  <c r="G100" i="46"/>
  <c r="G99" i="46"/>
  <c r="G98" i="46"/>
  <c r="G97" i="46"/>
  <c r="G96" i="46"/>
  <c r="G92" i="46"/>
  <c r="G91" i="46"/>
  <c r="G90" i="46"/>
  <c r="G89" i="46"/>
  <c r="G78" i="46"/>
  <c r="G77" i="46"/>
  <c r="G76" i="46"/>
  <c r="G75" i="46"/>
  <c r="G74" i="46"/>
  <c r="G60" i="46"/>
  <c r="G59" i="46"/>
  <c r="G58" i="46"/>
  <c r="G57" i="46"/>
  <c r="G56" i="46"/>
  <c r="G55" i="46"/>
  <c r="G54" i="46"/>
  <c r="G53" i="46"/>
  <c r="G52" i="46"/>
  <c r="G51" i="46"/>
  <c r="G50" i="46"/>
  <c r="G49" i="46"/>
  <c r="G48" i="46"/>
  <c r="G47" i="46"/>
  <c r="G46" i="46"/>
  <c r="G45" i="46"/>
  <c r="G44" i="46"/>
  <c r="G25" i="46"/>
  <c r="F21" i="46"/>
  <c r="F215" i="46" s="1"/>
  <c r="G20" i="46"/>
  <c r="G19" i="46"/>
  <c r="G18" i="46"/>
  <c r="G17" i="46"/>
  <c r="G16" i="46"/>
  <c r="G15" i="46"/>
  <c r="G14" i="46"/>
  <c r="G13" i="46"/>
  <c r="G12" i="46"/>
  <c r="G11" i="46"/>
  <c r="E232" i="47"/>
  <c r="E231" i="47"/>
  <c r="F228" i="47"/>
  <c r="K18" i="47"/>
  <c r="K17" i="47"/>
  <c r="G205" i="47"/>
  <c r="G204" i="47"/>
  <c r="G203" i="47"/>
  <c r="G202" i="47"/>
  <c r="G201" i="47"/>
  <c r="G196" i="47"/>
  <c r="G195" i="47"/>
  <c r="G194" i="47"/>
  <c r="G193" i="47"/>
  <c r="G192" i="47"/>
  <c r="G191" i="47"/>
  <c r="G190" i="47"/>
  <c r="G189" i="47"/>
  <c r="G188" i="47"/>
  <c r="G110" i="47"/>
  <c r="G109" i="47"/>
  <c r="G108" i="47"/>
  <c r="G107" i="47"/>
  <c r="G106" i="47"/>
  <c r="G105" i="47"/>
  <c r="G101" i="47"/>
  <c r="G100" i="47"/>
  <c r="G99" i="47"/>
  <c r="G98" i="47"/>
  <c r="G97" i="47"/>
  <c r="G96" i="47"/>
  <c r="G92" i="47"/>
  <c r="G91" i="47"/>
  <c r="G90" i="47"/>
  <c r="G89" i="47"/>
  <c r="G78" i="47"/>
  <c r="G77" i="47"/>
  <c r="G76" i="47"/>
  <c r="G75" i="47"/>
  <c r="G74" i="47"/>
  <c r="G73" i="47"/>
  <c r="G72" i="47"/>
  <c r="G71" i="47"/>
  <c r="G70" i="47"/>
  <c r="G69" i="47"/>
  <c r="G68" i="47"/>
  <c r="G60" i="47"/>
  <c r="G59" i="47"/>
  <c r="G58" i="47"/>
  <c r="G57" i="47"/>
  <c r="G56" i="47"/>
  <c r="G55" i="47"/>
  <c r="G54" i="47"/>
  <c r="G53" i="47"/>
  <c r="G52" i="47"/>
  <c r="G51" i="47"/>
  <c r="G50" i="47"/>
  <c r="G49" i="47"/>
  <c r="F21" i="47"/>
  <c r="E232" i="136"/>
  <c r="E231" i="136"/>
  <c r="F228" i="136"/>
  <c r="E227" i="136"/>
  <c r="E226" i="136"/>
  <c r="E224" i="136"/>
  <c r="E222" i="136"/>
  <c r="E220" i="136"/>
  <c r="K18" i="136"/>
  <c r="G205" i="136"/>
  <c r="G196" i="136"/>
  <c r="G195" i="136"/>
  <c r="G194" i="136"/>
  <c r="G193" i="136"/>
  <c r="G192" i="136"/>
  <c r="G191" i="136"/>
  <c r="G190" i="136"/>
  <c r="G189" i="136"/>
  <c r="G188" i="136"/>
  <c r="G187" i="136"/>
  <c r="G186" i="136"/>
  <c r="G185" i="136"/>
  <c r="G184" i="136"/>
  <c r="G183" i="136"/>
  <c r="G160" i="136"/>
  <c r="G159" i="136"/>
  <c r="G158" i="136"/>
  <c r="G157" i="136"/>
  <c r="G156" i="136"/>
  <c r="G155" i="136"/>
  <c r="G153" i="136"/>
  <c r="G152" i="136"/>
  <c r="G151" i="136"/>
  <c r="G150" i="136"/>
  <c r="G146" i="136"/>
  <c r="G118" i="136"/>
  <c r="G117" i="136"/>
  <c r="G116" i="136"/>
  <c r="G115" i="136"/>
  <c r="G110" i="136"/>
  <c r="G109" i="136"/>
  <c r="G108" i="136"/>
  <c r="G107" i="136"/>
  <c r="G106" i="136"/>
  <c r="G105" i="136"/>
  <c r="G101" i="136"/>
  <c r="G100" i="136"/>
  <c r="G99" i="136"/>
  <c r="G92" i="136"/>
  <c r="G91" i="136"/>
  <c r="G90" i="136"/>
  <c r="G89" i="136"/>
  <c r="G88" i="136"/>
  <c r="G87" i="136"/>
  <c r="G86" i="136"/>
  <c r="G85" i="136"/>
  <c r="G84" i="136"/>
  <c r="G78" i="136"/>
  <c r="G77" i="136"/>
  <c r="G76" i="136"/>
  <c r="G75" i="136"/>
  <c r="G60" i="136"/>
  <c r="G59" i="136"/>
  <c r="G58" i="136"/>
  <c r="G57" i="136"/>
  <c r="G56" i="136"/>
  <c r="G55" i="136"/>
  <c r="G54" i="136"/>
  <c r="G53" i="136"/>
  <c r="G52" i="136"/>
  <c r="G51" i="136"/>
  <c r="G50" i="136"/>
  <c r="G49" i="136"/>
  <c r="G48" i="136"/>
  <c r="G47" i="136"/>
  <c r="G46" i="136"/>
  <c r="G45" i="136"/>
  <c r="G44" i="136"/>
  <c r="G43" i="136"/>
  <c r="G42" i="136"/>
  <c r="G41" i="136"/>
  <c r="G40" i="136"/>
  <c r="F21" i="136"/>
  <c r="G20" i="136"/>
  <c r="G19" i="136"/>
  <c r="G18" i="136"/>
  <c r="G17" i="136"/>
  <c r="G16" i="136"/>
  <c r="G15" i="136"/>
  <c r="G14" i="136"/>
  <c r="G13" i="136"/>
  <c r="E21" i="136"/>
  <c r="E232" i="67"/>
  <c r="E231" i="67"/>
  <c r="E227" i="67"/>
  <c r="E226" i="67"/>
  <c r="E225" i="67"/>
  <c r="E224" i="67"/>
  <c r="E223" i="67"/>
  <c r="E222" i="67"/>
  <c r="E221" i="67"/>
  <c r="E220" i="67"/>
  <c r="K18" i="67"/>
  <c r="G205" i="67"/>
  <c r="G204" i="67"/>
  <c r="G196" i="67"/>
  <c r="G195" i="67"/>
  <c r="G194" i="67"/>
  <c r="G193" i="67"/>
  <c r="G192" i="67"/>
  <c r="G191" i="67"/>
  <c r="G190" i="67"/>
  <c r="G189" i="67"/>
  <c r="G188" i="67"/>
  <c r="G187" i="67"/>
  <c r="G186" i="67"/>
  <c r="G185" i="67"/>
  <c r="G160" i="67"/>
  <c r="G159" i="67"/>
  <c r="G158" i="67"/>
  <c r="G157" i="67"/>
  <c r="G156" i="67"/>
  <c r="G153" i="67"/>
  <c r="G152" i="67"/>
  <c r="G151" i="67"/>
  <c r="G150" i="67"/>
  <c r="G149" i="67"/>
  <c r="G148" i="67"/>
  <c r="G147" i="67"/>
  <c r="G146" i="67"/>
  <c r="G145" i="67"/>
  <c r="G143" i="67"/>
  <c r="G142" i="67"/>
  <c r="G141" i="67"/>
  <c r="G140" i="67"/>
  <c r="G137" i="67"/>
  <c r="G136" i="67"/>
  <c r="G135" i="67"/>
  <c r="G133" i="67"/>
  <c r="G132" i="67"/>
  <c r="G131" i="67"/>
  <c r="G118" i="67"/>
  <c r="G117" i="67"/>
  <c r="G116" i="67"/>
  <c r="G110" i="67"/>
  <c r="G109" i="67"/>
  <c r="G108" i="67"/>
  <c r="G107" i="67"/>
  <c r="G106" i="67"/>
  <c r="G101" i="67"/>
  <c r="G100" i="67"/>
  <c r="G99" i="67"/>
  <c r="G92" i="67"/>
  <c r="G89" i="67"/>
  <c r="G78" i="67"/>
  <c r="G77" i="67"/>
  <c r="G76" i="67"/>
  <c r="G75" i="67"/>
  <c r="G74" i="67"/>
  <c r="G20" i="67"/>
  <c r="G19" i="67"/>
  <c r="G18" i="67"/>
  <c r="G17" i="67"/>
  <c r="G16" i="67"/>
  <c r="G15" i="67"/>
  <c r="G14" i="67"/>
  <c r="G12" i="67"/>
  <c r="G11" i="67"/>
  <c r="E232" i="27"/>
  <c r="E231" i="27"/>
  <c r="F228" i="27"/>
  <c r="E227" i="27"/>
  <c r="E226" i="27"/>
  <c r="E224" i="27"/>
  <c r="E223" i="27"/>
  <c r="E221" i="27"/>
  <c r="E220" i="27"/>
  <c r="K18" i="27"/>
  <c r="K17" i="27"/>
  <c r="G205" i="27"/>
  <c r="G204" i="27"/>
  <c r="G203" i="27"/>
  <c r="G202" i="27"/>
  <c r="G201" i="27"/>
  <c r="G200" i="27"/>
  <c r="G196" i="27"/>
  <c r="G195" i="27"/>
  <c r="G194" i="27"/>
  <c r="G193" i="27"/>
  <c r="G192" i="27"/>
  <c r="G191" i="27"/>
  <c r="G190" i="27"/>
  <c r="G189" i="27"/>
  <c r="G188" i="27"/>
  <c r="G187" i="27"/>
  <c r="G179" i="27"/>
  <c r="G171" i="27"/>
  <c r="G160" i="27"/>
  <c r="G159" i="27"/>
  <c r="G158" i="27"/>
  <c r="G156" i="27"/>
  <c r="G155" i="27"/>
  <c r="G153" i="27"/>
  <c r="G152" i="27"/>
  <c r="G151" i="27"/>
  <c r="G150" i="27"/>
  <c r="G149" i="27"/>
  <c r="G147" i="27"/>
  <c r="G146" i="27"/>
  <c r="G145" i="27"/>
  <c r="G143" i="27"/>
  <c r="G142" i="27"/>
  <c r="G141" i="27"/>
  <c r="G138" i="27"/>
  <c r="G137" i="27"/>
  <c r="G136" i="27"/>
  <c r="G88" i="27"/>
  <c r="G78" i="27"/>
  <c r="G77" i="27"/>
  <c r="G76" i="27"/>
  <c r="G75" i="27"/>
  <c r="G74" i="27"/>
  <c r="G73" i="27"/>
  <c r="G72" i="27"/>
  <c r="G71" i="27"/>
  <c r="G70" i="27"/>
  <c r="G69" i="27"/>
  <c r="G68" i="27"/>
  <c r="G60" i="27"/>
  <c r="G59" i="27"/>
  <c r="G58" i="27"/>
  <c r="G57" i="27"/>
  <c r="G56" i="27"/>
  <c r="G55" i="27"/>
  <c r="G54" i="27"/>
  <c r="G53" i="27"/>
  <c r="G52" i="27"/>
  <c r="G51" i="27"/>
  <c r="G50" i="27"/>
  <c r="G49" i="27"/>
  <c r="G48" i="27"/>
  <c r="G47" i="27"/>
  <c r="G43" i="27"/>
  <c r="G35" i="27"/>
  <c r="G25" i="27"/>
  <c r="F21" i="27"/>
  <c r="E232" i="64"/>
  <c r="E231" i="64"/>
  <c r="F228" i="64"/>
  <c r="E227" i="64"/>
  <c r="E226" i="64"/>
  <c r="E225" i="64"/>
  <c r="E224" i="64"/>
  <c r="E223" i="64"/>
  <c r="E222" i="64"/>
  <c r="E221" i="64"/>
  <c r="E220" i="64"/>
  <c r="K18" i="64"/>
  <c r="G205" i="64"/>
  <c r="G204" i="64"/>
  <c r="G203" i="64"/>
  <c r="G196" i="64"/>
  <c r="G194" i="64"/>
  <c r="G193" i="64"/>
  <c r="G192" i="64"/>
  <c r="G191" i="64"/>
  <c r="G190" i="64"/>
  <c r="G189" i="64"/>
  <c r="G188" i="64"/>
  <c r="G187" i="64"/>
  <c r="G186" i="64"/>
  <c r="G185" i="64"/>
  <c r="G184" i="64"/>
  <c r="G183" i="64"/>
  <c r="G182" i="64"/>
  <c r="G180" i="64"/>
  <c r="G179" i="64"/>
  <c r="G178" i="64"/>
  <c r="G177" i="64"/>
  <c r="G176" i="64"/>
  <c r="G175" i="64"/>
  <c r="G174" i="64"/>
  <c r="G173" i="64"/>
  <c r="G172" i="64"/>
  <c r="G171" i="64"/>
  <c r="G170" i="64"/>
  <c r="G169" i="64"/>
  <c r="G168" i="64"/>
  <c r="G167" i="64"/>
  <c r="G166" i="64"/>
  <c r="G165" i="64"/>
  <c r="G160" i="64"/>
  <c r="G159" i="64"/>
  <c r="G158" i="64"/>
  <c r="G157" i="64"/>
  <c r="G156" i="64"/>
  <c r="G155" i="64"/>
  <c r="G153" i="64"/>
  <c r="G152" i="64"/>
  <c r="G151" i="64"/>
  <c r="G150" i="64"/>
  <c r="G149" i="64"/>
  <c r="G148" i="64"/>
  <c r="G147" i="64"/>
  <c r="G146" i="64"/>
  <c r="G143" i="64"/>
  <c r="G142" i="64"/>
  <c r="G141" i="64"/>
  <c r="G140" i="64"/>
  <c r="G138" i="64"/>
  <c r="G137" i="64"/>
  <c r="G135" i="64"/>
  <c r="G118" i="64"/>
  <c r="G117" i="64"/>
  <c r="G116" i="64"/>
  <c r="G115" i="64"/>
  <c r="G109" i="64"/>
  <c r="G108" i="64"/>
  <c r="G107" i="64"/>
  <c r="G106" i="64"/>
  <c r="G105" i="64"/>
  <c r="G101" i="64"/>
  <c r="G100" i="64"/>
  <c r="G99" i="64"/>
  <c r="G98" i="64"/>
  <c r="G96" i="64"/>
  <c r="G92" i="64"/>
  <c r="G91" i="64"/>
  <c r="G90" i="64"/>
  <c r="G50" i="64"/>
  <c r="G26" i="64"/>
  <c r="F21" i="64"/>
  <c r="G20" i="64"/>
  <c r="E232" i="31"/>
  <c r="E231" i="31"/>
  <c r="E226" i="31"/>
  <c r="E224" i="31"/>
  <c r="E222" i="31"/>
  <c r="E220" i="31"/>
  <c r="K18" i="31"/>
  <c r="K17" i="31"/>
  <c r="G205" i="31"/>
  <c r="G204" i="31"/>
  <c r="G203" i="31"/>
  <c r="G202" i="31"/>
  <c r="G201" i="31"/>
  <c r="G196" i="31"/>
  <c r="G195" i="31"/>
  <c r="G194" i="31"/>
  <c r="G193" i="31"/>
  <c r="G192" i="31"/>
  <c r="G191" i="31"/>
  <c r="G190" i="31"/>
  <c r="G189" i="31"/>
  <c r="G160" i="31"/>
  <c r="G159" i="31"/>
  <c r="G158" i="31"/>
  <c r="G157" i="31"/>
  <c r="G156" i="31"/>
  <c r="G155" i="31"/>
  <c r="G153" i="31"/>
  <c r="G152" i="31"/>
  <c r="G151" i="31"/>
  <c r="G150" i="31"/>
  <c r="G149" i="31"/>
  <c r="G148" i="31"/>
  <c r="G147" i="31"/>
  <c r="G146" i="31"/>
  <c r="G145" i="31"/>
  <c r="G143" i="31"/>
  <c r="G142" i="31"/>
  <c r="G141" i="31"/>
  <c r="G140" i="31"/>
  <c r="G138" i="31"/>
  <c r="G137" i="31"/>
  <c r="G136" i="31"/>
  <c r="G135" i="31"/>
  <c r="G133" i="31"/>
  <c r="G132" i="31"/>
  <c r="G131" i="31"/>
  <c r="G130" i="31"/>
  <c r="G129" i="31"/>
  <c r="G78" i="31"/>
  <c r="G77" i="31"/>
  <c r="G76" i="31"/>
  <c r="G75" i="31"/>
  <c r="G74" i="31"/>
  <c r="G72" i="31"/>
  <c r="G71" i="31"/>
  <c r="G70" i="31"/>
  <c r="G69" i="31"/>
  <c r="G68" i="31"/>
  <c r="G60" i="31"/>
  <c r="G59" i="31"/>
  <c r="G58" i="31"/>
  <c r="G57" i="31"/>
  <c r="G56" i="31"/>
  <c r="G55" i="31"/>
  <c r="G54" i="31"/>
  <c r="G53" i="31"/>
  <c r="G52" i="31"/>
  <c r="G51" i="31"/>
  <c r="G50" i="31"/>
  <c r="G49" i="31"/>
  <c r="G48" i="31"/>
  <c r="G47" i="31"/>
  <c r="G46" i="31"/>
  <c r="F21" i="31"/>
  <c r="G20" i="31"/>
  <c r="G19" i="31"/>
  <c r="G18" i="31"/>
  <c r="G17" i="31"/>
  <c r="G16" i="31"/>
  <c r="G15" i="31"/>
  <c r="G14" i="31"/>
  <c r="G13" i="31"/>
  <c r="G12" i="31"/>
  <c r="G11" i="31"/>
  <c r="E232" i="135"/>
  <c r="F228" i="135"/>
  <c r="E226" i="135"/>
  <c r="E225" i="135"/>
  <c r="K18" i="135"/>
  <c r="G205" i="135"/>
  <c r="G204" i="135"/>
  <c r="G196" i="135"/>
  <c r="G195" i="135"/>
  <c r="G194" i="135"/>
  <c r="G193" i="135"/>
  <c r="G192" i="135"/>
  <c r="G191" i="135"/>
  <c r="G190" i="135"/>
  <c r="G189" i="135"/>
  <c r="G188" i="135"/>
  <c r="G187" i="135"/>
  <c r="G186" i="135"/>
  <c r="G185" i="135"/>
  <c r="G184" i="135"/>
  <c r="G183" i="135"/>
  <c r="G160" i="135"/>
  <c r="G159" i="135"/>
  <c r="G158" i="135"/>
  <c r="G157" i="135"/>
  <c r="G156" i="135"/>
  <c r="G155" i="135"/>
  <c r="G153" i="135"/>
  <c r="G152" i="135"/>
  <c r="G151" i="135"/>
  <c r="G150" i="135"/>
  <c r="G149" i="135"/>
  <c r="G148" i="135"/>
  <c r="G147" i="135"/>
  <c r="G146" i="135"/>
  <c r="G145" i="135"/>
  <c r="G143" i="135"/>
  <c r="G142" i="135"/>
  <c r="G141" i="135"/>
  <c r="G140" i="135"/>
  <c r="G138" i="135"/>
  <c r="G137" i="135"/>
  <c r="G136" i="135"/>
  <c r="G135" i="135"/>
  <c r="G133" i="135"/>
  <c r="G132" i="135"/>
  <c r="G131" i="135"/>
  <c r="G130" i="135"/>
  <c r="G129" i="135"/>
  <c r="G127" i="135"/>
  <c r="G126" i="135"/>
  <c r="G125" i="135"/>
  <c r="G124" i="135"/>
  <c r="G110" i="135"/>
  <c r="G109" i="135"/>
  <c r="G108" i="135"/>
  <c r="G107" i="135"/>
  <c r="G101" i="135"/>
  <c r="G100" i="135"/>
  <c r="G99" i="135"/>
  <c r="G97" i="135"/>
  <c r="G96" i="135"/>
  <c r="G92" i="135"/>
  <c r="G91" i="135"/>
  <c r="G90" i="135"/>
  <c r="G89" i="135"/>
  <c r="G88" i="135"/>
  <c r="G87" i="135"/>
  <c r="G86" i="135"/>
  <c r="G77" i="135"/>
  <c r="G76" i="135"/>
  <c r="G60" i="135"/>
  <c r="G59" i="135"/>
  <c r="G58" i="135"/>
  <c r="G57" i="135"/>
  <c r="G56" i="135"/>
  <c r="G55" i="135"/>
  <c r="G54" i="135"/>
  <c r="G53" i="135"/>
  <c r="G52" i="135"/>
  <c r="G51" i="135"/>
  <c r="G50" i="135"/>
  <c r="G49" i="135"/>
  <c r="G48" i="135"/>
  <c r="G47" i="135"/>
  <c r="G46" i="135"/>
  <c r="G45" i="135"/>
  <c r="G44" i="135"/>
  <c r="G43" i="135"/>
  <c r="G42" i="135"/>
  <c r="G41" i="135"/>
  <c r="G40" i="135"/>
  <c r="E232" i="63"/>
  <c r="F228" i="63"/>
  <c r="E227" i="63"/>
  <c r="E225" i="63"/>
  <c r="E224" i="63"/>
  <c r="E223" i="63"/>
  <c r="E222" i="63"/>
  <c r="E221" i="63"/>
  <c r="K18" i="63"/>
  <c r="K17" i="63"/>
  <c r="G205" i="63"/>
  <c r="G204" i="63"/>
  <c r="G203" i="63"/>
  <c r="G202" i="63"/>
  <c r="G201" i="63"/>
  <c r="G196" i="63"/>
  <c r="G195" i="63"/>
  <c r="G194" i="63"/>
  <c r="G193" i="63"/>
  <c r="G191" i="63"/>
  <c r="G190" i="63"/>
  <c r="G184" i="63"/>
  <c r="G160" i="63"/>
  <c r="G158" i="63"/>
  <c r="G157" i="63"/>
  <c r="G156" i="63"/>
  <c r="G155" i="63"/>
  <c r="G153" i="63"/>
  <c r="G152" i="63"/>
  <c r="G151" i="63"/>
  <c r="G150" i="63"/>
  <c r="G149" i="63"/>
  <c r="G148" i="63"/>
  <c r="G147" i="63"/>
  <c r="G146" i="63"/>
  <c r="G145" i="63"/>
  <c r="G143" i="63"/>
  <c r="G142" i="63"/>
  <c r="G141" i="63"/>
  <c r="G140" i="63"/>
  <c r="G138" i="63"/>
  <c r="G118" i="63"/>
  <c r="G117" i="63"/>
  <c r="G116" i="63"/>
  <c r="G115" i="63"/>
  <c r="G110" i="63"/>
  <c r="G109" i="63"/>
  <c r="G108" i="63"/>
  <c r="G105" i="63"/>
  <c r="G100" i="63"/>
  <c r="G99" i="63"/>
  <c r="G98" i="63"/>
  <c r="G97" i="63"/>
  <c r="G96" i="63"/>
  <c r="G92" i="63"/>
  <c r="G91" i="63"/>
  <c r="G90" i="63"/>
  <c r="G60" i="63"/>
  <c r="G59" i="63"/>
  <c r="G58" i="63"/>
  <c r="G57" i="63"/>
  <c r="G56" i="63"/>
  <c r="G55" i="63"/>
  <c r="G54" i="63"/>
  <c r="G53" i="63"/>
  <c r="G52" i="63"/>
  <c r="G30" i="63"/>
  <c r="G29" i="63"/>
  <c r="G28" i="63"/>
  <c r="G27" i="63"/>
  <c r="G26" i="63"/>
  <c r="G25" i="63"/>
  <c r="F21" i="63"/>
  <c r="G20" i="63"/>
  <c r="G19" i="63"/>
  <c r="G18" i="63"/>
  <c r="G17" i="63"/>
  <c r="G16" i="63"/>
  <c r="G15" i="63"/>
  <c r="G14" i="63"/>
  <c r="G13" i="63"/>
  <c r="G12" i="63"/>
  <c r="G11" i="63"/>
  <c r="G156" i="72"/>
  <c r="G157" i="72"/>
  <c r="G158" i="72"/>
  <c r="G159" i="72"/>
  <c r="G160" i="72"/>
  <c r="E232" i="72"/>
  <c r="F228" i="72"/>
  <c r="E223" i="72"/>
  <c r="E222" i="72"/>
  <c r="E221" i="72"/>
  <c r="E220" i="72"/>
  <c r="G205" i="72"/>
  <c r="G204" i="72"/>
  <c r="G203" i="72"/>
  <c r="G202" i="72"/>
  <c r="G201" i="72"/>
  <c r="G196" i="72"/>
  <c r="G195" i="72"/>
  <c r="G194" i="72"/>
  <c r="G193" i="72"/>
  <c r="G192" i="72"/>
  <c r="G155" i="72"/>
  <c r="G153" i="72"/>
  <c r="G152" i="72"/>
  <c r="G151" i="72"/>
  <c r="G150" i="72"/>
  <c r="G149" i="72"/>
  <c r="G148" i="72"/>
  <c r="G147" i="72"/>
  <c r="G146" i="72"/>
  <c r="G145" i="72"/>
  <c r="G143" i="72"/>
  <c r="G142" i="72"/>
  <c r="G141" i="72"/>
  <c r="G140" i="72"/>
  <c r="G138" i="72"/>
  <c r="G137" i="72"/>
  <c r="G136" i="72"/>
  <c r="G135" i="72"/>
  <c r="G133" i="72"/>
  <c r="G132" i="72"/>
  <c r="G131" i="72"/>
  <c r="G130" i="72"/>
  <c r="G129" i="72"/>
  <c r="G101" i="72"/>
  <c r="G100" i="72"/>
  <c r="G99" i="72"/>
  <c r="G98" i="72"/>
  <c r="G60" i="72"/>
  <c r="F21" i="72"/>
  <c r="G20" i="72"/>
  <c r="G19" i="72"/>
  <c r="G18" i="72"/>
  <c r="G17" i="72"/>
  <c r="G16" i="72"/>
  <c r="G15" i="72"/>
  <c r="G14" i="72"/>
  <c r="G13" i="72"/>
  <c r="G12" i="72"/>
  <c r="E232" i="120"/>
  <c r="E231" i="120"/>
  <c r="F228" i="120"/>
  <c r="E227" i="120"/>
  <c r="E226" i="120"/>
  <c r="K18" i="120"/>
  <c r="K17" i="120"/>
  <c r="G196" i="120"/>
  <c r="G195" i="120"/>
  <c r="G194" i="120"/>
  <c r="G193" i="120"/>
  <c r="G192" i="120"/>
  <c r="G191" i="120"/>
  <c r="G190" i="120"/>
  <c r="G189" i="120"/>
  <c r="G188" i="120"/>
  <c r="G186" i="120"/>
  <c r="G185" i="120"/>
  <c r="G184" i="120"/>
  <c r="G183" i="120"/>
  <c r="G160" i="120"/>
  <c r="G159" i="120"/>
  <c r="G158" i="120"/>
  <c r="G157" i="120"/>
  <c r="G156" i="120"/>
  <c r="G155" i="120"/>
  <c r="G153" i="120"/>
  <c r="G152" i="120"/>
  <c r="G151" i="120"/>
  <c r="G150" i="120"/>
  <c r="G149" i="120"/>
  <c r="G148" i="120"/>
  <c r="G147" i="120"/>
  <c r="G146" i="120"/>
  <c r="G145" i="120"/>
  <c r="G143" i="120"/>
  <c r="G141" i="120"/>
  <c r="G140" i="120"/>
  <c r="G138" i="120"/>
  <c r="G137" i="120"/>
  <c r="G136" i="120"/>
  <c r="G135" i="120"/>
  <c r="G133" i="120"/>
  <c r="G132" i="120"/>
  <c r="G131" i="120"/>
  <c r="G130" i="120"/>
  <c r="G129" i="120"/>
  <c r="G127" i="120"/>
  <c r="G126" i="120"/>
  <c r="G125" i="120"/>
  <c r="G124" i="120"/>
  <c r="G118" i="120"/>
  <c r="G117" i="120"/>
  <c r="G116" i="120"/>
  <c r="G115" i="120"/>
  <c r="G110" i="120"/>
  <c r="G109" i="120"/>
  <c r="G108" i="120"/>
  <c r="G107" i="120"/>
  <c r="G101" i="120"/>
  <c r="G100" i="120"/>
  <c r="G99" i="120"/>
  <c r="G91" i="120"/>
  <c r="G90" i="120"/>
  <c r="G89" i="120"/>
  <c r="G88" i="120"/>
  <c r="G87" i="120"/>
  <c r="G86" i="120"/>
  <c r="G85" i="120"/>
  <c r="G83" i="120"/>
  <c r="G82" i="120"/>
  <c r="G78" i="120"/>
  <c r="G77" i="120"/>
  <c r="G60" i="120"/>
  <c r="G59" i="120"/>
  <c r="G58" i="120"/>
  <c r="G57" i="120"/>
  <c r="G56" i="120"/>
  <c r="G55" i="120"/>
  <c r="G54" i="120"/>
  <c r="G53" i="120"/>
  <c r="G52" i="120"/>
  <c r="G51" i="120"/>
  <c r="G50" i="120"/>
  <c r="G49" i="120"/>
  <c r="G48" i="120"/>
  <c r="G47" i="120"/>
  <c r="G46" i="120"/>
  <c r="G45" i="120"/>
  <c r="G44" i="120"/>
  <c r="G43" i="120"/>
  <c r="G42" i="120"/>
  <c r="G41" i="120"/>
  <c r="G34" i="120"/>
  <c r="G26" i="120"/>
  <c r="F21" i="120"/>
  <c r="G20" i="120"/>
  <c r="E232" i="37"/>
  <c r="E231" i="37"/>
  <c r="F228" i="37"/>
  <c r="E226" i="37"/>
  <c r="E224" i="37"/>
  <c r="E222" i="37"/>
  <c r="E221" i="37"/>
  <c r="K18" i="37"/>
  <c r="G205" i="37"/>
  <c r="G204" i="37"/>
  <c r="G196" i="37"/>
  <c r="G194" i="37"/>
  <c r="G193" i="37"/>
  <c r="G192" i="37"/>
  <c r="G187" i="37"/>
  <c r="G160" i="37"/>
  <c r="G159" i="37"/>
  <c r="G158" i="37"/>
  <c r="G157" i="37"/>
  <c r="G156" i="37"/>
  <c r="G155" i="37"/>
  <c r="G153" i="37"/>
  <c r="G152" i="37"/>
  <c r="G151" i="37"/>
  <c r="G150" i="37"/>
  <c r="G149" i="37"/>
  <c r="G148" i="37"/>
  <c r="G147" i="37"/>
  <c r="G118" i="37"/>
  <c r="G117" i="37"/>
  <c r="G116" i="37"/>
  <c r="G115" i="37"/>
  <c r="G110" i="37"/>
  <c r="G109" i="37"/>
  <c r="G107" i="37"/>
  <c r="G106" i="37"/>
  <c r="G105" i="37"/>
  <c r="G101" i="37"/>
  <c r="G100" i="37"/>
  <c r="G99" i="37"/>
  <c r="G92" i="37"/>
  <c r="G91" i="37"/>
  <c r="G90" i="37"/>
  <c r="G43" i="37"/>
  <c r="F21" i="37"/>
  <c r="E232" i="59"/>
  <c r="E231" i="59"/>
  <c r="F228" i="59"/>
  <c r="E227" i="59"/>
  <c r="E226" i="59"/>
  <c r="E224" i="59"/>
  <c r="E222" i="59"/>
  <c r="E220" i="59"/>
  <c r="K18" i="59"/>
  <c r="G205" i="59"/>
  <c r="G204" i="59"/>
  <c r="G203" i="59"/>
  <c r="G202" i="59"/>
  <c r="G201" i="59"/>
  <c r="G196" i="59"/>
  <c r="G195" i="59"/>
  <c r="G194" i="59"/>
  <c r="G193" i="59"/>
  <c r="G192" i="59"/>
  <c r="G191" i="59"/>
  <c r="G190" i="59"/>
  <c r="G189" i="59"/>
  <c r="G188" i="59"/>
  <c r="G187" i="59"/>
  <c r="G186" i="59"/>
  <c r="G185" i="59"/>
  <c r="G184" i="59"/>
  <c r="G183" i="59"/>
  <c r="G170" i="59"/>
  <c r="G143" i="59"/>
  <c r="G117" i="59"/>
  <c r="G116" i="59"/>
  <c r="G110" i="59"/>
  <c r="G109" i="59"/>
  <c r="G108" i="59"/>
  <c r="G107" i="59"/>
  <c r="G101" i="59"/>
  <c r="G99" i="59"/>
  <c r="G98" i="59"/>
  <c r="G97" i="59"/>
  <c r="G92" i="59"/>
  <c r="G91" i="59"/>
  <c r="G78" i="59"/>
  <c r="G77" i="59"/>
  <c r="G75" i="59"/>
  <c r="G74" i="59"/>
  <c r="G73" i="59"/>
  <c r="G72" i="59"/>
  <c r="G71" i="59"/>
  <c r="G70" i="59"/>
  <c r="G69" i="59"/>
  <c r="G60" i="59"/>
  <c r="G59" i="59"/>
  <c r="G58" i="59"/>
  <c r="G57" i="59"/>
  <c r="G56" i="59"/>
  <c r="G55" i="59"/>
  <c r="G54" i="59"/>
  <c r="G53" i="59"/>
  <c r="G52" i="59"/>
  <c r="G51" i="59"/>
  <c r="F21" i="59"/>
  <c r="G20" i="59"/>
  <c r="G19" i="59"/>
  <c r="G18" i="59"/>
  <c r="G17" i="59"/>
  <c r="G16" i="59"/>
  <c r="G15" i="59"/>
  <c r="G14" i="59"/>
  <c r="G13" i="59"/>
  <c r="G12" i="59"/>
  <c r="G11" i="59"/>
  <c r="E232" i="21"/>
  <c r="E231" i="21"/>
  <c r="F228" i="21"/>
  <c r="E227" i="21"/>
  <c r="E225" i="21"/>
  <c r="E223" i="21"/>
  <c r="E222" i="21"/>
  <c r="E220" i="21"/>
  <c r="G205" i="21"/>
  <c r="G201" i="21"/>
  <c r="G196" i="21"/>
  <c r="G195" i="21"/>
  <c r="G194" i="21"/>
  <c r="G193" i="21"/>
  <c r="G192" i="21"/>
  <c r="G191" i="21"/>
  <c r="G190" i="21"/>
  <c r="G189" i="21"/>
  <c r="G188" i="21"/>
  <c r="G187" i="21"/>
  <c r="G186" i="21"/>
  <c r="G185" i="21"/>
  <c r="G184" i="21"/>
  <c r="G183" i="21"/>
  <c r="G182" i="21"/>
  <c r="G181" i="21"/>
  <c r="G180" i="21"/>
  <c r="G179" i="21"/>
  <c r="G178" i="21"/>
  <c r="G177" i="21"/>
  <c r="G176" i="21"/>
  <c r="G175" i="21"/>
  <c r="G174" i="21"/>
  <c r="G173" i="21"/>
  <c r="G172" i="21"/>
  <c r="G171" i="21"/>
  <c r="G170" i="21"/>
  <c r="G169" i="21"/>
  <c r="G168" i="21"/>
  <c r="G167" i="21"/>
  <c r="G166" i="21"/>
  <c r="G165" i="21"/>
  <c r="G160" i="21"/>
  <c r="G159" i="21"/>
  <c r="G158" i="21"/>
  <c r="G157" i="21"/>
  <c r="G156" i="21"/>
  <c r="G155" i="21"/>
  <c r="G153" i="21"/>
  <c r="G152" i="21"/>
  <c r="G151" i="21"/>
  <c r="G150" i="21"/>
  <c r="G118" i="21"/>
  <c r="G117" i="21"/>
  <c r="G116" i="21"/>
  <c r="G110" i="21"/>
  <c r="G109" i="21"/>
  <c r="G108" i="21"/>
  <c r="G107" i="21"/>
  <c r="G106" i="21"/>
  <c r="G105" i="21"/>
  <c r="G92" i="21"/>
  <c r="G91" i="21"/>
  <c r="G90" i="21"/>
  <c r="G89" i="21"/>
  <c r="G88" i="21"/>
  <c r="G87" i="21"/>
  <c r="G86" i="21"/>
  <c r="G77" i="21"/>
  <c r="G76" i="21"/>
  <c r="G75" i="21"/>
  <c r="G74" i="21"/>
  <c r="G65" i="21"/>
  <c r="G60" i="21"/>
  <c r="G59" i="21"/>
  <c r="G58" i="21"/>
  <c r="G57" i="21"/>
  <c r="G56" i="21"/>
  <c r="G41" i="21"/>
  <c r="G29" i="21"/>
  <c r="G28" i="21"/>
  <c r="G27" i="21"/>
  <c r="G26" i="21"/>
  <c r="F21" i="21"/>
  <c r="G20" i="21"/>
  <c r="G19" i="21"/>
  <c r="G18" i="21"/>
  <c r="G17" i="21"/>
  <c r="G16" i="21"/>
  <c r="G15" i="21"/>
  <c r="G14" i="21"/>
  <c r="G13" i="21"/>
  <c r="G12" i="21"/>
  <c r="G11" i="21"/>
  <c r="E233" i="21"/>
  <c r="E220" i="65"/>
  <c r="E221" i="65"/>
  <c r="E222" i="65"/>
  <c r="E223" i="65"/>
  <c r="E224" i="65"/>
  <c r="E225" i="65"/>
  <c r="E226" i="65"/>
  <c r="E227" i="65"/>
  <c r="E232" i="65"/>
  <c r="E231" i="65"/>
  <c r="F228" i="65"/>
  <c r="G205" i="65"/>
  <c r="G204" i="65"/>
  <c r="G203" i="65"/>
  <c r="G202" i="65"/>
  <c r="G201" i="65"/>
  <c r="G196" i="65"/>
  <c r="G195" i="65"/>
  <c r="G194" i="65"/>
  <c r="G193" i="65"/>
  <c r="G192" i="65"/>
  <c r="G191" i="65"/>
  <c r="G190" i="65"/>
  <c r="G189" i="65"/>
  <c r="G188" i="65"/>
  <c r="G187" i="65"/>
  <c r="G186" i="65"/>
  <c r="G185" i="65"/>
  <c r="G184" i="65"/>
  <c r="G183" i="65"/>
  <c r="G182" i="65"/>
  <c r="G181" i="65"/>
  <c r="G180" i="65"/>
  <c r="G179" i="65"/>
  <c r="G178" i="65"/>
  <c r="G177" i="65"/>
  <c r="G176" i="65"/>
  <c r="G175" i="65"/>
  <c r="G174" i="65"/>
  <c r="G173" i="65"/>
  <c r="G172" i="65"/>
  <c r="G171" i="65"/>
  <c r="G170" i="65"/>
  <c r="G169" i="65"/>
  <c r="G168" i="65"/>
  <c r="G167" i="65"/>
  <c r="G166" i="65"/>
  <c r="G165" i="65"/>
  <c r="G159" i="65"/>
  <c r="G158" i="65"/>
  <c r="G157" i="65"/>
  <c r="G156" i="65"/>
  <c r="G155" i="65"/>
  <c r="G153" i="65"/>
  <c r="G152" i="65"/>
  <c r="G151" i="65"/>
  <c r="G150" i="65"/>
  <c r="G149" i="65"/>
  <c r="G148" i="65"/>
  <c r="G147" i="65"/>
  <c r="G146" i="65"/>
  <c r="G145" i="65"/>
  <c r="G143" i="65"/>
  <c r="G142" i="65"/>
  <c r="G141" i="65"/>
  <c r="G140" i="65"/>
  <c r="G138" i="65"/>
  <c r="G137" i="65"/>
  <c r="G136" i="65"/>
  <c r="G135" i="65"/>
  <c r="G133" i="65"/>
  <c r="G132" i="65"/>
  <c r="G131" i="65"/>
  <c r="G130" i="65"/>
  <c r="G129" i="65"/>
  <c r="G127" i="65"/>
  <c r="G126" i="65"/>
  <c r="G125" i="65"/>
  <c r="G124" i="65"/>
  <c r="G123" i="65"/>
  <c r="G110" i="65"/>
  <c r="G109" i="65"/>
  <c r="G108" i="65"/>
  <c r="G107" i="65"/>
  <c r="G106" i="65"/>
  <c r="G105" i="65"/>
  <c r="G101" i="65"/>
  <c r="G100" i="65"/>
  <c r="G99" i="65"/>
  <c r="G98" i="65"/>
  <c r="G97" i="65"/>
  <c r="G96" i="65"/>
  <c r="G92" i="65"/>
  <c r="G91" i="65"/>
  <c r="G90" i="65"/>
  <c r="G89" i="65"/>
  <c r="G88" i="65"/>
  <c r="G87" i="65"/>
  <c r="G86" i="65"/>
  <c r="G85" i="65"/>
  <c r="G84" i="65"/>
  <c r="G83" i="65"/>
  <c r="G78" i="65"/>
  <c r="G77" i="65"/>
  <c r="G76" i="65"/>
  <c r="G75" i="65"/>
  <c r="G74" i="65"/>
  <c r="G73" i="65"/>
  <c r="G71" i="65"/>
  <c r="G70" i="65"/>
  <c r="G69" i="65"/>
  <c r="G68" i="65"/>
  <c r="G66" i="65"/>
  <c r="G65" i="65"/>
  <c r="G59" i="65"/>
  <c r="G58" i="65"/>
  <c r="G57" i="65"/>
  <c r="G56" i="65"/>
  <c r="G55" i="65"/>
  <c r="G54" i="65"/>
  <c r="G53" i="65"/>
  <c r="G52" i="65"/>
  <c r="G51" i="65"/>
  <c r="G50" i="65"/>
  <c r="G49" i="65"/>
  <c r="G48" i="65"/>
  <c r="G46" i="65"/>
  <c r="G45" i="65"/>
  <c r="G44" i="65"/>
  <c r="G43" i="65"/>
  <c r="G42" i="65"/>
  <c r="G41" i="65"/>
  <c r="G40" i="65"/>
  <c r="G39" i="65"/>
  <c r="G38" i="65"/>
  <c r="G37" i="65"/>
  <c r="G36" i="65"/>
  <c r="G35" i="65"/>
  <c r="G34" i="65"/>
  <c r="G33" i="65"/>
  <c r="G32" i="65"/>
  <c r="G31" i="65"/>
  <c r="G30" i="65"/>
  <c r="G29" i="65"/>
  <c r="G28" i="65"/>
  <c r="G27" i="65"/>
  <c r="G26" i="65"/>
  <c r="G25" i="65"/>
  <c r="F21" i="65"/>
  <c r="G20" i="65"/>
  <c r="G19" i="65"/>
  <c r="G18" i="65"/>
  <c r="G17" i="65"/>
  <c r="G16" i="65"/>
  <c r="G15" i="65"/>
  <c r="G14" i="65"/>
  <c r="G13" i="65"/>
  <c r="G12" i="65"/>
  <c r="E21" i="65"/>
  <c r="E227" i="15"/>
  <c r="E226" i="15"/>
  <c r="E225" i="15"/>
  <c r="E224" i="15"/>
  <c r="E223" i="15"/>
  <c r="E222" i="15"/>
  <c r="E221" i="15"/>
  <c r="E220" i="15"/>
  <c r="E232" i="15"/>
  <c r="E231" i="15"/>
  <c r="F228" i="15"/>
  <c r="G205" i="15"/>
  <c r="G204" i="15"/>
  <c r="G203" i="15"/>
  <c r="G202" i="15"/>
  <c r="G201" i="15"/>
  <c r="G196" i="15"/>
  <c r="G195" i="15"/>
  <c r="G194" i="15"/>
  <c r="G193" i="15"/>
  <c r="G192" i="15"/>
  <c r="G191" i="15"/>
  <c r="G190" i="15"/>
  <c r="G189" i="15"/>
  <c r="G188" i="15"/>
  <c r="G187" i="15"/>
  <c r="G186" i="15"/>
  <c r="G185" i="15"/>
  <c r="G184" i="15"/>
  <c r="G183" i="15"/>
  <c r="G182" i="15"/>
  <c r="G181" i="15"/>
  <c r="G180" i="15"/>
  <c r="G179" i="15"/>
  <c r="G178" i="15"/>
  <c r="G177" i="15"/>
  <c r="G176" i="15"/>
  <c r="G175" i="15"/>
  <c r="G174" i="15"/>
  <c r="G173" i="15"/>
  <c r="G172" i="15"/>
  <c r="G171" i="15"/>
  <c r="G170" i="15"/>
  <c r="G169" i="15"/>
  <c r="G168" i="15"/>
  <c r="G167" i="15"/>
  <c r="G166" i="15"/>
  <c r="G165" i="15"/>
  <c r="G164" i="15"/>
  <c r="G159" i="15"/>
  <c r="G158" i="15"/>
  <c r="G157" i="15"/>
  <c r="G156" i="15"/>
  <c r="G155" i="15"/>
  <c r="G153" i="15"/>
  <c r="G152" i="15"/>
  <c r="G151" i="15"/>
  <c r="G150" i="15"/>
  <c r="G149" i="15"/>
  <c r="G148" i="15"/>
  <c r="G147" i="15"/>
  <c r="G146" i="15"/>
  <c r="G145" i="15"/>
  <c r="G143" i="15"/>
  <c r="G142" i="15"/>
  <c r="G141" i="15"/>
  <c r="G140" i="15"/>
  <c r="G138" i="15"/>
  <c r="G137" i="15"/>
  <c r="G136" i="15"/>
  <c r="G135" i="15"/>
  <c r="G133" i="15"/>
  <c r="G132" i="15"/>
  <c r="G131" i="15"/>
  <c r="G130" i="15"/>
  <c r="G129" i="15"/>
  <c r="G127" i="15"/>
  <c r="G126" i="15"/>
  <c r="G125" i="15"/>
  <c r="G124" i="15"/>
  <c r="G110" i="15"/>
  <c r="G109" i="15"/>
  <c r="G108" i="15"/>
  <c r="G107" i="15"/>
  <c r="G106" i="15"/>
  <c r="G105" i="15"/>
  <c r="G101" i="15"/>
  <c r="G100" i="15"/>
  <c r="G99" i="15"/>
  <c r="G98" i="15"/>
  <c r="G97" i="15"/>
  <c r="G96" i="15"/>
  <c r="G92" i="15"/>
  <c r="G91" i="15"/>
  <c r="G90" i="15"/>
  <c r="G89" i="15"/>
  <c r="G88" i="15"/>
  <c r="G87" i="15"/>
  <c r="G86" i="15"/>
  <c r="G85" i="15"/>
  <c r="G84" i="15"/>
  <c r="G83" i="15"/>
  <c r="G78" i="15"/>
  <c r="G77" i="15"/>
  <c r="G76" i="15"/>
  <c r="G75" i="15"/>
  <c r="G74" i="15"/>
  <c r="G73" i="15"/>
  <c r="G72" i="15"/>
  <c r="G71" i="15"/>
  <c r="G70" i="15"/>
  <c r="G69" i="15"/>
  <c r="G68" i="15"/>
  <c r="G67" i="15"/>
  <c r="G66" i="15"/>
  <c r="G65" i="15"/>
  <c r="G60" i="15"/>
  <c r="G59" i="15"/>
  <c r="G58" i="15"/>
  <c r="G57" i="15"/>
  <c r="G56" i="15"/>
  <c r="G55" i="15"/>
  <c r="G54" i="15"/>
  <c r="G53" i="15"/>
  <c r="G52" i="15"/>
  <c r="G51" i="15"/>
  <c r="G50" i="15"/>
  <c r="G49" i="15"/>
  <c r="G48" i="15"/>
  <c r="G47" i="15"/>
  <c r="G46" i="15"/>
  <c r="G45" i="15"/>
  <c r="G44" i="15"/>
  <c r="G43" i="15"/>
  <c r="G42" i="15"/>
  <c r="G41" i="15"/>
  <c r="G40" i="15"/>
  <c r="G39" i="15"/>
  <c r="G38" i="15"/>
  <c r="G37" i="15"/>
  <c r="G36" i="15"/>
  <c r="G35" i="15"/>
  <c r="G34" i="15"/>
  <c r="G33" i="15"/>
  <c r="G32" i="15"/>
  <c r="G31" i="15"/>
  <c r="G30" i="15"/>
  <c r="G29" i="15"/>
  <c r="G28" i="15"/>
  <c r="G27" i="15"/>
  <c r="G26" i="15"/>
  <c r="F21" i="15"/>
  <c r="F215" i="15" s="1"/>
  <c r="G20" i="15"/>
  <c r="G19" i="15"/>
  <c r="G18" i="15"/>
  <c r="G17" i="15"/>
  <c r="G16" i="15"/>
  <c r="G15" i="15"/>
  <c r="G14" i="15"/>
  <c r="G13" i="15"/>
  <c r="G12" i="15"/>
  <c r="G11" i="15"/>
  <c r="F228" i="45"/>
  <c r="K18" i="45"/>
  <c r="K17" i="45"/>
  <c r="G196" i="45"/>
  <c r="G195" i="45"/>
  <c r="G194" i="45"/>
  <c r="G193" i="45"/>
  <c r="G192" i="45"/>
  <c r="G191" i="45"/>
  <c r="G190" i="45"/>
  <c r="G189" i="45"/>
  <c r="G188" i="45"/>
  <c r="G187" i="45"/>
  <c r="G186" i="45"/>
  <c r="G185" i="45"/>
  <c r="G184" i="45"/>
  <c r="G180" i="45"/>
  <c r="G172" i="45"/>
  <c r="G164" i="45"/>
  <c r="G160" i="45"/>
  <c r="G159" i="45"/>
  <c r="G158" i="45"/>
  <c r="G157" i="45"/>
  <c r="G156" i="45"/>
  <c r="G155" i="45"/>
  <c r="G118" i="45"/>
  <c r="G117" i="45"/>
  <c r="G116" i="45"/>
  <c r="G110" i="45"/>
  <c r="G109" i="45"/>
  <c r="G108" i="45"/>
  <c r="G107" i="45"/>
  <c r="G106" i="45"/>
  <c r="G105" i="45"/>
  <c r="G101" i="45"/>
  <c r="G100" i="45"/>
  <c r="G99" i="45"/>
  <c r="G92" i="45"/>
  <c r="G91" i="45"/>
  <c r="G90" i="45"/>
  <c r="G89" i="45"/>
  <c r="G88" i="45"/>
  <c r="G87" i="45"/>
  <c r="G78" i="45"/>
  <c r="G77" i="45"/>
  <c r="G76" i="45"/>
  <c r="G75" i="45"/>
  <c r="G74" i="45"/>
  <c r="G73" i="45"/>
  <c r="G72" i="45"/>
  <c r="F21" i="45"/>
  <c r="G20" i="45"/>
  <c r="G19" i="45"/>
  <c r="G18" i="45"/>
  <c r="G17" i="45"/>
  <c r="G16" i="45"/>
  <c r="G15" i="45"/>
  <c r="G14" i="45"/>
  <c r="G13" i="45"/>
  <c r="G12" i="45"/>
  <c r="G11" i="45"/>
  <c r="E232" i="133"/>
  <c r="F228" i="133"/>
  <c r="E227" i="133"/>
  <c r="E226" i="133"/>
  <c r="E224" i="133"/>
  <c r="E222" i="133"/>
  <c r="K18" i="133"/>
  <c r="G205" i="133"/>
  <c r="G204" i="133"/>
  <c r="G196" i="133"/>
  <c r="G195" i="133"/>
  <c r="G194" i="133"/>
  <c r="G193" i="133"/>
  <c r="G192" i="133"/>
  <c r="G191" i="133"/>
  <c r="G190" i="133"/>
  <c r="G189" i="133"/>
  <c r="G188" i="133"/>
  <c r="G187" i="133"/>
  <c r="G182" i="133"/>
  <c r="G181" i="133"/>
  <c r="G180" i="133"/>
  <c r="G179" i="133"/>
  <c r="G178" i="133"/>
  <c r="G177" i="133"/>
  <c r="G176" i="133"/>
  <c r="G160" i="133"/>
  <c r="G125" i="133"/>
  <c r="G118" i="133"/>
  <c r="G117" i="133"/>
  <c r="G116" i="133"/>
  <c r="G115" i="133"/>
  <c r="G110" i="133"/>
  <c r="G109" i="133"/>
  <c r="G108" i="133"/>
  <c r="G101" i="133"/>
  <c r="G100" i="133"/>
  <c r="G99" i="133"/>
  <c r="G98" i="133"/>
  <c r="G97" i="133"/>
  <c r="G96" i="133"/>
  <c r="G92" i="133"/>
  <c r="G91" i="133"/>
  <c r="G90" i="133"/>
  <c r="G83" i="133"/>
  <c r="G82" i="133"/>
  <c r="G78" i="133"/>
  <c r="G77" i="133"/>
  <c r="G76" i="133"/>
  <c r="G75" i="133"/>
  <c r="G72" i="133"/>
  <c r="G71" i="133"/>
  <c r="G68" i="133"/>
  <c r="G67" i="133"/>
  <c r="G60" i="133"/>
  <c r="G56" i="133"/>
  <c r="G53" i="133"/>
  <c r="G51" i="133"/>
  <c r="G50" i="133"/>
  <c r="G49" i="133"/>
  <c r="G48" i="133"/>
  <c r="G47" i="133"/>
  <c r="G46" i="133"/>
  <c r="G45" i="133"/>
  <c r="G43" i="133"/>
  <c r="G42" i="133"/>
  <c r="G41" i="133"/>
  <c r="G38" i="133"/>
  <c r="G37" i="133"/>
  <c r="G36" i="133"/>
  <c r="G34" i="133"/>
  <c r="G32" i="133"/>
  <c r="G30" i="133"/>
  <c r="G29" i="133"/>
  <c r="G28" i="133"/>
  <c r="F21" i="133"/>
  <c r="G20" i="133"/>
  <c r="E232" i="58"/>
  <c r="E231" i="58"/>
  <c r="F228" i="58"/>
  <c r="E227" i="58"/>
  <c r="G205" i="58"/>
  <c r="G204" i="58"/>
  <c r="G203" i="58"/>
  <c r="G196" i="58"/>
  <c r="G195" i="58"/>
  <c r="G194" i="58"/>
  <c r="G193" i="58"/>
  <c r="G192" i="58"/>
  <c r="G191" i="58"/>
  <c r="G190" i="58"/>
  <c r="G189" i="58"/>
  <c r="G188" i="58"/>
  <c r="G187" i="58"/>
  <c r="G160" i="58"/>
  <c r="G159" i="58"/>
  <c r="G158" i="58"/>
  <c r="G157" i="58"/>
  <c r="G156" i="58"/>
  <c r="G155" i="58"/>
  <c r="G153" i="58"/>
  <c r="G152" i="58"/>
  <c r="G151" i="58"/>
  <c r="G149" i="58"/>
  <c r="G148" i="58"/>
  <c r="G147" i="58"/>
  <c r="G146" i="58"/>
  <c r="G145" i="58"/>
  <c r="G118" i="58"/>
  <c r="G117" i="58"/>
  <c r="G116" i="58"/>
  <c r="G110" i="58"/>
  <c r="G109" i="58"/>
  <c r="G108" i="58"/>
  <c r="G107" i="58"/>
  <c r="G106" i="58"/>
  <c r="G105" i="58"/>
  <c r="G101" i="58"/>
  <c r="G100" i="58"/>
  <c r="G99" i="58"/>
  <c r="G98" i="58"/>
  <c r="G92" i="58"/>
  <c r="G91" i="58"/>
  <c r="G90" i="58"/>
  <c r="G89" i="58"/>
  <c r="G78" i="58"/>
  <c r="G77" i="58"/>
  <c r="G76" i="58"/>
  <c r="G75" i="58"/>
  <c r="G74" i="58"/>
  <c r="G73" i="58"/>
  <c r="G72" i="58"/>
  <c r="G71" i="58"/>
  <c r="G70" i="58"/>
  <c r="G69" i="58"/>
  <c r="G60" i="58"/>
  <c r="G59" i="58"/>
  <c r="G58" i="58"/>
  <c r="G57" i="58"/>
  <c r="G56" i="58"/>
  <c r="G55" i="58"/>
  <c r="G54" i="58"/>
  <c r="G53" i="58"/>
  <c r="G52" i="58"/>
  <c r="G51" i="58"/>
  <c r="G50" i="58"/>
  <c r="G49" i="58"/>
  <c r="G48" i="58"/>
  <c r="G47" i="58"/>
  <c r="G46" i="58"/>
  <c r="G37" i="58"/>
  <c r="F21" i="58"/>
  <c r="E232" i="10"/>
  <c r="F228" i="10"/>
  <c r="E227" i="10"/>
  <c r="E224" i="10"/>
  <c r="G224" i="10" s="1"/>
  <c r="E222" i="10"/>
  <c r="G222" i="10" s="1"/>
  <c r="E220" i="10"/>
  <c r="G220" i="10" s="1"/>
  <c r="K18" i="10"/>
  <c r="K17" i="10"/>
  <c r="G205" i="10"/>
  <c r="G204" i="10"/>
  <c r="G203" i="10"/>
  <c r="G202" i="10"/>
  <c r="G201" i="10"/>
  <c r="G196" i="10"/>
  <c r="G195" i="10"/>
  <c r="G194" i="10"/>
  <c r="G193" i="10"/>
  <c r="G192" i="10"/>
  <c r="G191" i="10"/>
  <c r="G190" i="10"/>
  <c r="G189" i="10"/>
  <c r="G188" i="10"/>
  <c r="G187" i="10"/>
  <c r="G186" i="10"/>
  <c r="G185" i="10"/>
  <c r="G184" i="10"/>
  <c r="G183" i="10"/>
  <c r="G182" i="10"/>
  <c r="G181" i="10"/>
  <c r="G180" i="10"/>
  <c r="G179" i="10"/>
  <c r="G178" i="10"/>
  <c r="G177" i="10"/>
  <c r="G176" i="10"/>
  <c r="G175" i="10"/>
  <c r="G174" i="10"/>
  <c r="G173" i="10"/>
  <c r="G172" i="10"/>
  <c r="G171" i="10"/>
  <c r="G170" i="10"/>
  <c r="G169" i="10"/>
  <c r="G168" i="10"/>
  <c r="G167" i="10"/>
  <c r="G166" i="10"/>
  <c r="G165" i="10"/>
  <c r="G164" i="10"/>
  <c r="G160" i="10"/>
  <c r="G159" i="10"/>
  <c r="G158" i="10"/>
  <c r="G157" i="10"/>
  <c r="G156" i="10"/>
  <c r="G155" i="10"/>
  <c r="G153" i="10"/>
  <c r="G152" i="10"/>
  <c r="G151" i="10"/>
  <c r="G150" i="10"/>
  <c r="G149" i="10"/>
  <c r="G148" i="10"/>
  <c r="G147" i="10"/>
  <c r="G146" i="10"/>
  <c r="G145" i="10"/>
  <c r="G143" i="10"/>
  <c r="G142" i="10"/>
  <c r="G141" i="10"/>
  <c r="G140" i="10"/>
  <c r="G138" i="10"/>
  <c r="G137" i="10"/>
  <c r="G136" i="10"/>
  <c r="G135" i="10"/>
  <c r="G133" i="10"/>
  <c r="G132" i="10"/>
  <c r="G131" i="10"/>
  <c r="G130" i="10"/>
  <c r="G129" i="10"/>
  <c r="G127" i="10"/>
  <c r="G126" i="10"/>
  <c r="G125" i="10"/>
  <c r="G124" i="10"/>
  <c r="G118" i="10"/>
  <c r="G117" i="10"/>
  <c r="G116" i="10"/>
  <c r="G115" i="10"/>
  <c r="G110" i="10"/>
  <c r="G109" i="10"/>
  <c r="G108" i="10"/>
  <c r="G107" i="10"/>
  <c r="G106" i="10"/>
  <c r="G105" i="10"/>
  <c r="G101" i="10"/>
  <c r="G100" i="10"/>
  <c r="G99" i="10"/>
  <c r="G98" i="10"/>
  <c r="G97" i="10"/>
  <c r="G96" i="10"/>
  <c r="G92" i="10"/>
  <c r="G91" i="10"/>
  <c r="G90" i="10"/>
  <c r="G89" i="10"/>
  <c r="G88" i="10"/>
  <c r="G87" i="10"/>
  <c r="G86" i="10"/>
  <c r="G85" i="10"/>
  <c r="G84" i="10"/>
  <c r="G83" i="10"/>
  <c r="G78" i="10"/>
  <c r="G77" i="10"/>
  <c r="G76" i="10"/>
  <c r="G75" i="10"/>
  <c r="G74" i="10"/>
  <c r="G73" i="10"/>
  <c r="G72" i="10"/>
  <c r="G71" i="10"/>
  <c r="G70" i="10"/>
  <c r="G69" i="10"/>
  <c r="G68" i="10"/>
  <c r="G67" i="10"/>
  <c r="G66" i="10"/>
  <c r="G65" i="10"/>
  <c r="G60" i="10"/>
  <c r="G59" i="10"/>
  <c r="G58" i="10"/>
  <c r="G57" i="10"/>
  <c r="G55" i="10"/>
  <c r="G54" i="10"/>
  <c r="G53" i="10"/>
  <c r="G52" i="10"/>
  <c r="G51" i="10"/>
  <c r="G50" i="10"/>
  <c r="G49" i="10"/>
  <c r="G48" i="10"/>
  <c r="G47" i="10"/>
  <c r="G46" i="10"/>
  <c r="G45" i="10"/>
  <c r="G44" i="10"/>
  <c r="G43" i="10"/>
  <c r="G42" i="10"/>
  <c r="G41" i="10"/>
  <c r="G40" i="10"/>
  <c r="G39" i="10"/>
  <c r="G38" i="10"/>
  <c r="G37" i="10"/>
  <c r="G36" i="10"/>
  <c r="G35" i="10"/>
  <c r="G34" i="10"/>
  <c r="G33" i="10"/>
  <c r="G32" i="10"/>
  <c r="G31" i="10"/>
  <c r="G30" i="10"/>
  <c r="G29" i="10"/>
  <c r="G28" i="10"/>
  <c r="G27" i="10"/>
  <c r="G26" i="10"/>
  <c r="F21" i="10"/>
  <c r="F215" i="10" s="1"/>
  <c r="G20" i="10"/>
  <c r="G19" i="10"/>
  <c r="G18" i="10"/>
  <c r="G17" i="10"/>
  <c r="G16" i="10"/>
  <c r="G15" i="10"/>
  <c r="G14" i="10"/>
  <c r="G13" i="10"/>
  <c r="G12" i="10"/>
  <c r="G11" i="10"/>
  <c r="K18" i="103"/>
  <c r="K17" i="103"/>
  <c r="E232" i="66"/>
  <c r="E231" i="66"/>
  <c r="F228" i="66"/>
  <c r="E227" i="66"/>
  <c r="E225" i="66"/>
  <c r="E223" i="66"/>
  <c r="E221" i="66"/>
  <c r="K18" i="66"/>
  <c r="K17" i="66"/>
  <c r="G205" i="66"/>
  <c r="G204" i="66"/>
  <c r="G203" i="66"/>
  <c r="G202" i="66"/>
  <c r="G201" i="66"/>
  <c r="G200" i="66"/>
  <c r="G196" i="66"/>
  <c r="G195" i="66"/>
  <c r="G194" i="66"/>
  <c r="G193" i="66"/>
  <c r="G192" i="66"/>
  <c r="G191" i="66"/>
  <c r="G190" i="66"/>
  <c r="G189" i="66"/>
  <c r="G188" i="66"/>
  <c r="G157" i="66"/>
  <c r="G156" i="66"/>
  <c r="G155" i="66"/>
  <c r="G153" i="66"/>
  <c r="G152" i="66"/>
  <c r="G151" i="66"/>
  <c r="G125" i="66"/>
  <c r="G124" i="66"/>
  <c r="G123" i="66"/>
  <c r="G118" i="66"/>
  <c r="G117" i="66"/>
  <c r="G116" i="66"/>
  <c r="G115" i="66"/>
  <c r="G108" i="66"/>
  <c r="G107" i="66"/>
  <c r="G106" i="66"/>
  <c r="G105" i="66"/>
  <c r="G92" i="66"/>
  <c r="G88" i="66"/>
  <c r="G83" i="66"/>
  <c r="G82" i="66"/>
  <c r="G78" i="66"/>
  <c r="G77" i="66"/>
  <c r="G76" i="66"/>
  <c r="G75" i="66"/>
  <c r="G74" i="66"/>
  <c r="G55" i="66"/>
  <c r="G54" i="66"/>
  <c r="G53" i="66"/>
  <c r="G52" i="66"/>
  <c r="G51" i="66"/>
  <c r="G50" i="66"/>
  <c r="G49" i="66"/>
  <c r="G48" i="66"/>
  <c r="G39" i="66"/>
  <c r="G38" i="66"/>
  <c r="G37" i="66"/>
  <c r="G36" i="66"/>
  <c r="G35" i="66"/>
  <c r="G34" i="66"/>
  <c r="G33" i="66"/>
  <c r="G32" i="66"/>
  <c r="G31" i="66"/>
  <c r="G30" i="66"/>
  <c r="G29" i="66"/>
  <c r="G28" i="66"/>
  <c r="G27" i="66"/>
  <c r="G26" i="66"/>
  <c r="G25" i="66"/>
  <c r="F21" i="66"/>
  <c r="E231" i="19"/>
  <c r="F228" i="19"/>
  <c r="E227" i="19"/>
  <c r="E226" i="19"/>
  <c r="E225" i="19"/>
  <c r="E224" i="19"/>
  <c r="E223" i="19"/>
  <c r="E222" i="19"/>
  <c r="E221" i="19"/>
  <c r="E220" i="19"/>
  <c r="G205" i="19"/>
  <c r="G204" i="19"/>
  <c r="G203" i="19"/>
  <c r="G202" i="19"/>
  <c r="G201" i="19"/>
  <c r="G200" i="19"/>
  <c r="G196" i="19"/>
  <c r="G195" i="19"/>
  <c r="G194" i="19"/>
  <c r="G193" i="19"/>
  <c r="G192" i="19"/>
  <c r="G191" i="19"/>
  <c r="G190" i="19"/>
  <c r="G189" i="19"/>
  <c r="G188" i="19"/>
  <c r="G187" i="19"/>
  <c r="G185" i="19"/>
  <c r="G179" i="19"/>
  <c r="G178" i="19"/>
  <c r="G177" i="19"/>
  <c r="G176" i="19"/>
  <c r="G174" i="19"/>
  <c r="G173" i="19"/>
  <c r="G172" i="19"/>
  <c r="G168" i="19"/>
  <c r="G167" i="19"/>
  <c r="G165" i="19"/>
  <c r="G160" i="19"/>
  <c r="G159" i="19"/>
  <c r="G158" i="19"/>
  <c r="G156" i="19"/>
  <c r="G155" i="19"/>
  <c r="G153" i="19"/>
  <c r="G152" i="19"/>
  <c r="G151" i="19"/>
  <c r="G150" i="19"/>
  <c r="G149" i="19"/>
  <c r="G148" i="19"/>
  <c r="G147" i="19"/>
  <c r="G146" i="19"/>
  <c r="G145" i="19"/>
  <c r="G143" i="19"/>
  <c r="G142" i="19"/>
  <c r="G141" i="19"/>
  <c r="G140" i="19"/>
  <c r="G138" i="19"/>
  <c r="G137" i="19"/>
  <c r="G136" i="19"/>
  <c r="G135" i="19"/>
  <c r="G133" i="19"/>
  <c r="G132" i="19"/>
  <c r="G131" i="19"/>
  <c r="G130" i="19"/>
  <c r="G129" i="19"/>
  <c r="G127" i="19"/>
  <c r="G126" i="19"/>
  <c r="G125" i="19"/>
  <c r="G124" i="19"/>
  <c r="G110" i="19"/>
  <c r="G109" i="19"/>
  <c r="G108" i="19"/>
  <c r="G107" i="19"/>
  <c r="G106" i="19"/>
  <c r="G105" i="19"/>
  <c r="G92" i="19"/>
  <c r="G91" i="19"/>
  <c r="G90" i="19"/>
  <c r="G89" i="19"/>
  <c r="G88" i="19"/>
  <c r="G87" i="19"/>
  <c r="G86" i="19"/>
  <c r="G85" i="19"/>
  <c r="G84" i="19"/>
  <c r="G83" i="19"/>
  <c r="G36" i="19"/>
  <c r="G35" i="19"/>
  <c r="G34" i="19"/>
  <c r="G33" i="19"/>
  <c r="G32" i="19"/>
  <c r="G31" i="19"/>
  <c r="G30" i="19"/>
  <c r="G29" i="19"/>
  <c r="G28" i="19"/>
  <c r="G27" i="19"/>
  <c r="G26" i="19"/>
  <c r="F21" i="19"/>
  <c r="E232" i="85"/>
  <c r="E231" i="85"/>
  <c r="F228" i="85"/>
  <c r="E226" i="85"/>
  <c r="E224" i="85"/>
  <c r="E222" i="85"/>
  <c r="E220" i="85"/>
  <c r="K18" i="85"/>
  <c r="K17" i="85"/>
  <c r="G205" i="85"/>
  <c r="G204" i="85"/>
  <c r="G203" i="85"/>
  <c r="G202" i="85"/>
  <c r="G201" i="85"/>
  <c r="G196" i="85"/>
  <c r="G195" i="85"/>
  <c r="G194" i="85"/>
  <c r="G193" i="85"/>
  <c r="G192" i="85"/>
  <c r="G191" i="85"/>
  <c r="G190" i="85"/>
  <c r="G189" i="85"/>
  <c r="G188" i="85"/>
  <c r="G182" i="85"/>
  <c r="G181" i="85"/>
  <c r="G180" i="85"/>
  <c r="G160" i="85"/>
  <c r="G159" i="85"/>
  <c r="G158" i="85"/>
  <c r="G157" i="85"/>
  <c r="G156" i="85"/>
  <c r="G155" i="85"/>
  <c r="G153" i="85"/>
  <c r="G152" i="85"/>
  <c r="G151" i="85"/>
  <c r="G150" i="85"/>
  <c r="G142" i="85"/>
  <c r="G140" i="85"/>
  <c r="G132" i="85"/>
  <c r="G131" i="85"/>
  <c r="G130" i="85"/>
  <c r="G129" i="85"/>
  <c r="G127" i="85"/>
  <c r="G126" i="85"/>
  <c r="G118" i="85"/>
  <c r="G117" i="85"/>
  <c r="G116" i="85"/>
  <c r="G115" i="85"/>
  <c r="G110" i="85"/>
  <c r="G109" i="85"/>
  <c r="G108" i="85"/>
  <c r="G105" i="85"/>
  <c r="G101" i="85"/>
  <c r="G100" i="85"/>
  <c r="G99" i="85"/>
  <c r="G98" i="85"/>
  <c r="G97" i="85"/>
  <c r="G92" i="85"/>
  <c r="G91" i="85"/>
  <c r="G67" i="85"/>
  <c r="G65" i="85"/>
  <c r="G64" i="85"/>
  <c r="G60" i="85"/>
  <c r="G57" i="85"/>
  <c r="G53" i="85"/>
  <c r="G52" i="85"/>
  <c r="G51" i="85"/>
  <c r="G48" i="85"/>
  <c r="G47" i="85"/>
  <c r="G41" i="85"/>
  <c r="G35" i="85"/>
  <c r="G32" i="85"/>
  <c r="G31" i="85"/>
  <c r="G29" i="85"/>
  <c r="G28" i="85"/>
  <c r="F21" i="85"/>
  <c r="F215" i="85" s="1"/>
  <c r="E233" i="85"/>
  <c r="E232" i="71"/>
  <c r="F228" i="71"/>
  <c r="E227" i="71"/>
  <c r="E226" i="71"/>
  <c r="E225" i="71"/>
  <c r="E224" i="71"/>
  <c r="E223" i="71"/>
  <c r="E222" i="71"/>
  <c r="E221" i="71"/>
  <c r="E220" i="71"/>
  <c r="K18" i="71"/>
  <c r="K17" i="71"/>
  <c r="G205" i="71"/>
  <c r="G204" i="71"/>
  <c r="G203" i="71"/>
  <c r="G202" i="71"/>
  <c r="G201" i="71"/>
  <c r="G196" i="71"/>
  <c r="G195" i="71"/>
  <c r="G194" i="71"/>
  <c r="G193" i="71"/>
  <c r="G192" i="71"/>
  <c r="G191" i="71"/>
  <c r="G190" i="71"/>
  <c r="G189" i="71"/>
  <c r="G188" i="71"/>
  <c r="G187" i="71"/>
  <c r="G186" i="71"/>
  <c r="G185" i="71"/>
  <c r="G184" i="71"/>
  <c r="G183" i="71"/>
  <c r="G182" i="71"/>
  <c r="G181" i="71"/>
  <c r="G180" i="71"/>
  <c r="G179" i="71"/>
  <c r="G178" i="71"/>
  <c r="G160" i="71"/>
  <c r="G159" i="71"/>
  <c r="G158" i="71"/>
  <c r="G157" i="71"/>
  <c r="G156" i="71"/>
  <c r="G155" i="71"/>
  <c r="G153" i="71"/>
  <c r="G152" i="71"/>
  <c r="G151" i="71"/>
  <c r="G150" i="71"/>
  <c r="G149" i="71"/>
  <c r="G147" i="71"/>
  <c r="G146" i="71"/>
  <c r="G145" i="71"/>
  <c r="G143" i="71"/>
  <c r="G142" i="71"/>
  <c r="G141" i="71"/>
  <c r="G140" i="71"/>
  <c r="G138" i="71"/>
  <c r="G118" i="71"/>
  <c r="G117" i="71"/>
  <c r="G116" i="71"/>
  <c r="G115" i="71"/>
  <c r="G92" i="71"/>
  <c r="G91" i="71"/>
  <c r="G90" i="71"/>
  <c r="G89" i="71"/>
  <c r="G88" i="71"/>
  <c r="G87" i="71"/>
  <c r="G78" i="71"/>
  <c r="G77" i="71"/>
  <c r="G76" i="71"/>
  <c r="G75" i="71"/>
  <c r="G74" i="71"/>
  <c r="G73" i="71"/>
  <c r="G72" i="71"/>
  <c r="G71" i="71"/>
  <c r="G70" i="71"/>
  <c r="G69" i="71"/>
  <c r="G68" i="71"/>
  <c r="G67" i="71"/>
  <c r="G66" i="71"/>
  <c r="G65" i="71"/>
  <c r="G60" i="71"/>
  <c r="G59" i="71"/>
  <c r="G58" i="71"/>
  <c r="G56" i="71"/>
  <c r="G55" i="71"/>
  <c r="G54" i="71"/>
  <c r="G53" i="71"/>
  <c r="G52" i="71"/>
  <c r="G51" i="71"/>
  <c r="G50" i="71"/>
  <c r="G49" i="71"/>
  <c r="G48" i="71"/>
  <c r="G47" i="71"/>
  <c r="G46" i="71"/>
  <c r="G45" i="71"/>
  <c r="G44" i="71"/>
  <c r="G43" i="71"/>
  <c r="G42" i="71"/>
  <c r="G41" i="71"/>
  <c r="G40" i="71"/>
  <c r="G39" i="71"/>
  <c r="G38" i="71"/>
  <c r="G37" i="71"/>
  <c r="G36" i="71"/>
  <c r="G35" i="71"/>
  <c r="G34" i="71"/>
  <c r="G33" i="71"/>
  <c r="G32" i="71"/>
  <c r="G31" i="71"/>
  <c r="G30" i="71"/>
  <c r="G29" i="71"/>
  <c r="G28" i="71"/>
  <c r="G27" i="71"/>
  <c r="G26" i="71"/>
  <c r="F21" i="71"/>
  <c r="G14" i="71"/>
  <c r="G12" i="71"/>
  <c r="G11" i="71"/>
  <c r="E232" i="102"/>
  <c r="E231" i="102"/>
  <c r="F228" i="102"/>
  <c r="E227" i="102"/>
  <c r="E226" i="102"/>
  <c r="E224" i="102"/>
  <c r="E222" i="102"/>
  <c r="E220" i="102"/>
  <c r="K18" i="102"/>
  <c r="G205" i="102"/>
  <c r="G204" i="102"/>
  <c r="G203" i="102"/>
  <c r="G202" i="102"/>
  <c r="G201" i="102"/>
  <c r="G196" i="102"/>
  <c r="G195" i="102"/>
  <c r="G194" i="102"/>
  <c r="G193" i="102"/>
  <c r="G192" i="102"/>
  <c r="G191" i="102"/>
  <c r="G190" i="102"/>
  <c r="G189" i="102"/>
  <c r="G188" i="102"/>
  <c r="G187" i="102"/>
  <c r="G186" i="102"/>
  <c r="G185" i="102"/>
  <c r="G184" i="102"/>
  <c r="G160" i="102"/>
  <c r="G159" i="102"/>
  <c r="G158" i="102"/>
  <c r="G157" i="102"/>
  <c r="G156" i="102"/>
  <c r="G155" i="102"/>
  <c r="G153" i="102"/>
  <c r="G143" i="102"/>
  <c r="G142" i="102"/>
  <c r="G141" i="102"/>
  <c r="G140" i="102"/>
  <c r="G138" i="102"/>
  <c r="G137" i="102"/>
  <c r="G136" i="102"/>
  <c r="G135" i="102"/>
  <c r="G133" i="102"/>
  <c r="G132" i="102"/>
  <c r="G131" i="102"/>
  <c r="G130" i="102"/>
  <c r="G129" i="102"/>
  <c r="G124" i="102"/>
  <c r="G110" i="102"/>
  <c r="G109" i="102"/>
  <c r="G108" i="102"/>
  <c r="G105" i="102"/>
  <c r="G98" i="102"/>
  <c r="G92" i="102"/>
  <c r="G91" i="102"/>
  <c r="G90" i="102"/>
  <c r="G76" i="102"/>
  <c r="G71" i="102"/>
  <c r="G70" i="102"/>
  <c r="G69" i="102"/>
  <c r="G67" i="102"/>
  <c r="G66" i="102"/>
  <c r="G60" i="102"/>
  <c r="G58" i="102"/>
  <c r="G57" i="102"/>
  <c r="G56" i="102"/>
  <c r="G55" i="102"/>
  <c r="G51" i="102"/>
  <c r="G46" i="102"/>
  <c r="G45" i="102"/>
  <c r="G44" i="102"/>
  <c r="G42" i="102"/>
  <c r="G41" i="102"/>
  <c r="G40" i="102"/>
  <c r="G39" i="102"/>
  <c r="G35" i="102"/>
  <c r="G27" i="102"/>
  <c r="G25" i="102"/>
  <c r="F21" i="102"/>
  <c r="G20" i="102"/>
  <c r="G11" i="102"/>
  <c r="F158" i="97"/>
  <c r="C158" i="97"/>
  <c r="C160" i="97"/>
  <c r="D160" i="97"/>
  <c r="F160" i="97"/>
  <c r="C161" i="97"/>
  <c r="D161" i="97"/>
  <c r="F161" i="97"/>
  <c r="D162" i="97"/>
  <c r="F162" i="97"/>
  <c r="F163" i="97"/>
  <c r="C234" i="97"/>
  <c r="D234" i="97"/>
  <c r="C222" i="97"/>
  <c r="D222" i="97"/>
  <c r="C223" i="97"/>
  <c r="D223" i="97"/>
  <c r="C224" i="97"/>
  <c r="D224" i="97"/>
  <c r="C225" i="97"/>
  <c r="D225" i="97"/>
  <c r="C226" i="97"/>
  <c r="D226" i="97"/>
  <c r="C227" i="97"/>
  <c r="D227" i="97"/>
  <c r="C228" i="97"/>
  <c r="D228" i="97"/>
  <c r="C229" i="97"/>
  <c r="D229" i="97"/>
  <c r="D230" i="97"/>
  <c r="C203" i="97"/>
  <c r="D203" i="97"/>
  <c r="C204" i="97"/>
  <c r="D204" i="97"/>
  <c r="C205" i="97"/>
  <c r="D205" i="97"/>
  <c r="C206" i="97"/>
  <c r="D206" i="97"/>
  <c r="C207" i="97"/>
  <c r="D207" i="97"/>
  <c r="C167" i="97"/>
  <c r="D167" i="97"/>
  <c r="C168" i="97"/>
  <c r="D168" i="97"/>
  <c r="C169" i="97"/>
  <c r="D169" i="97"/>
  <c r="C170" i="97"/>
  <c r="D170" i="97"/>
  <c r="C171" i="97"/>
  <c r="D171" i="97"/>
  <c r="C172" i="97"/>
  <c r="D172" i="97"/>
  <c r="C173" i="97"/>
  <c r="D173" i="97"/>
  <c r="C174" i="97"/>
  <c r="D174" i="97"/>
  <c r="C175" i="97"/>
  <c r="D175" i="97"/>
  <c r="C176" i="97"/>
  <c r="D176" i="97"/>
  <c r="C177" i="97"/>
  <c r="D177" i="97"/>
  <c r="C178" i="97"/>
  <c r="D178" i="97"/>
  <c r="C179" i="97"/>
  <c r="D179" i="97"/>
  <c r="C180" i="97"/>
  <c r="D180" i="97"/>
  <c r="C181" i="97"/>
  <c r="D181" i="97"/>
  <c r="C182" i="97"/>
  <c r="D182" i="97"/>
  <c r="C183" i="97"/>
  <c r="D183" i="97"/>
  <c r="C184" i="97"/>
  <c r="D184" i="97"/>
  <c r="C185" i="97"/>
  <c r="D185" i="97"/>
  <c r="C186" i="97"/>
  <c r="D186" i="97"/>
  <c r="C187" i="97"/>
  <c r="D187" i="97"/>
  <c r="C188" i="97"/>
  <c r="D188" i="97"/>
  <c r="C189" i="97"/>
  <c r="D189" i="97"/>
  <c r="C190" i="97"/>
  <c r="D190" i="97"/>
  <c r="C191" i="97"/>
  <c r="D191" i="97"/>
  <c r="C192" i="97"/>
  <c r="D192" i="97"/>
  <c r="C193" i="97"/>
  <c r="D193" i="97"/>
  <c r="C194" i="97"/>
  <c r="D194" i="97"/>
  <c r="C195" i="97"/>
  <c r="D195" i="97"/>
  <c r="C196" i="97"/>
  <c r="D196" i="97"/>
  <c r="C197" i="97"/>
  <c r="D197" i="97"/>
  <c r="C198" i="97"/>
  <c r="D198" i="97"/>
  <c r="D130" i="97"/>
  <c r="C130" i="97"/>
  <c r="D129" i="97"/>
  <c r="C129" i="97"/>
  <c r="D128" i="97"/>
  <c r="C128" i="97"/>
  <c r="D127" i="97"/>
  <c r="C127" i="97"/>
  <c r="D126" i="97"/>
  <c r="C126" i="97"/>
  <c r="D136" i="97"/>
  <c r="C136" i="97"/>
  <c r="D135" i="97"/>
  <c r="C135" i="97"/>
  <c r="D134" i="97"/>
  <c r="C134" i="97"/>
  <c r="D133" i="97"/>
  <c r="C133" i="97"/>
  <c r="D132" i="97"/>
  <c r="C132" i="97"/>
  <c r="D141" i="97"/>
  <c r="C141" i="97"/>
  <c r="D140" i="97"/>
  <c r="C140" i="97"/>
  <c r="D139" i="97"/>
  <c r="C139" i="97"/>
  <c r="D138" i="97"/>
  <c r="C138" i="97"/>
  <c r="D146" i="97"/>
  <c r="C146" i="97"/>
  <c r="D145" i="97"/>
  <c r="C145" i="97"/>
  <c r="D144" i="97"/>
  <c r="C144" i="97"/>
  <c r="D143" i="97"/>
  <c r="C143" i="97"/>
  <c r="D156" i="97"/>
  <c r="C156" i="97"/>
  <c r="D155" i="97"/>
  <c r="C155" i="97"/>
  <c r="D154" i="97"/>
  <c r="C154" i="97"/>
  <c r="D153" i="97"/>
  <c r="C153" i="97"/>
  <c r="D152" i="97"/>
  <c r="C152" i="97"/>
  <c r="D151" i="97"/>
  <c r="C151" i="97"/>
  <c r="D150" i="97"/>
  <c r="C150" i="97"/>
  <c r="D149" i="97"/>
  <c r="C149" i="97"/>
  <c r="D148" i="97"/>
  <c r="C148" i="97"/>
  <c r="C159" i="97"/>
  <c r="D159" i="97"/>
  <c r="C117" i="97"/>
  <c r="D117" i="97"/>
  <c r="C118" i="97"/>
  <c r="D118" i="97"/>
  <c r="C119" i="97"/>
  <c r="D119" i="97"/>
  <c r="C120" i="97"/>
  <c r="D120" i="97"/>
  <c r="C121" i="97"/>
  <c r="D121" i="97"/>
  <c r="C108" i="97"/>
  <c r="D108" i="97"/>
  <c r="C109" i="97"/>
  <c r="D109" i="97"/>
  <c r="C110" i="97"/>
  <c r="D110" i="97"/>
  <c r="C111" i="97"/>
  <c r="D111" i="97"/>
  <c r="C112" i="97"/>
  <c r="D112" i="97"/>
  <c r="C113" i="97"/>
  <c r="D113" i="97"/>
  <c r="C99" i="97"/>
  <c r="D99" i="97"/>
  <c r="C100" i="97"/>
  <c r="D100" i="97"/>
  <c r="C101" i="97"/>
  <c r="D101" i="97"/>
  <c r="C102" i="97"/>
  <c r="D102" i="97"/>
  <c r="C103" i="97"/>
  <c r="D103" i="97"/>
  <c r="C104" i="97"/>
  <c r="D104" i="97"/>
  <c r="C85" i="97"/>
  <c r="D85" i="97"/>
  <c r="C86" i="97"/>
  <c r="D86" i="97"/>
  <c r="C87" i="97"/>
  <c r="D87" i="97"/>
  <c r="C88" i="97"/>
  <c r="D88" i="97"/>
  <c r="C89" i="97"/>
  <c r="D89" i="97"/>
  <c r="C90" i="97"/>
  <c r="D90" i="97"/>
  <c r="C91" i="97"/>
  <c r="D91" i="97"/>
  <c r="C92" i="97"/>
  <c r="D92" i="97"/>
  <c r="C93" i="97"/>
  <c r="D93" i="97"/>
  <c r="C94" i="97"/>
  <c r="D94" i="97"/>
  <c r="C95" i="97"/>
  <c r="D95" i="97"/>
  <c r="C67" i="97"/>
  <c r="D67" i="97"/>
  <c r="C68" i="97"/>
  <c r="D68" i="97"/>
  <c r="C69" i="97"/>
  <c r="D69" i="97"/>
  <c r="C70" i="97"/>
  <c r="D70" i="97"/>
  <c r="C71" i="97"/>
  <c r="D71" i="97"/>
  <c r="C72" i="97"/>
  <c r="D72" i="97"/>
  <c r="C73" i="97"/>
  <c r="D73" i="97"/>
  <c r="C74" i="97"/>
  <c r="D74" i="97"/>
  <c r="C75" i="97"/>
  <c r="D75" i="97"/>
  <c r="C76" i="97"/>
  <c r="D76" i="97"/>
  <c r="C77" i="97"/>
  <c r="D77" i="97"/>
  <c r="C78" i="97"/>
  <c r="D78" i="97"/>
  <c r="C79" i="97"/>
  <c r="D79" i="97"/>
  <c r="C80" i="97"/>
  <c r="D80" i="97"/>
  <c r="C81" i="97"/>
  <c r="D81" i="97"/>
  <c r="C28" i="97"/>
  <c r="D28" i="97"/>
  <c r="C29" i="97"/>
  <c r="D29" i="97"/>
  <c r="C30" i="97"/>
  <c r="D30" i="97"/>
  <c r="C31" i="97"/>
  <c r="D31" i="97"/>
  <c r="C32" i="97"/>
  <c r="D32" i="97"/>
  <c r="C33" i="97"/>
  <c r="D33" i="97"/>
  <c r="C34" i="97"/>
  <c r="D34" i="97"/>
  <c r="C35" i="97"/>
  <c r="D35" i="97"/>
  <c r="C36" i="97"/>
  <c r="D36" i="97"/>
  <c r="C37" i="97"/>
  <c r="D37" i="97"/>
  <c r="C38" i="97"/>
  <c r="D38" i="97"/>
  <c r="C39" i="97"/>
  <c r="D39" i="97"/>
  <c r="C40" i="97"/>
  <c r="D40" i="97"/>
  <c r="C41" i="97"/>
  <c r="D41" i="97"/>
  <c r="C42" i="97"/>
  <c r="D42" i="97"/>
  <c r="C43" i="97"/>
  <c r="D43" i="97"/>
  <c r="C44" i="97"/>
  <c r="D44" i="97"/>
  <c r="C45" i="97"/>
  <c r="D45" i="97"/>
  <c r="C46" i="97"/>
  <c r="C47" i="97"/>
  <c r="C48" i="97"/>
  <c r="C49" i="97"/>
  <c r="D49" i="97"/>
  <c r="C50" i="97"/>
  <c r="D50" i="97"/>
  <c r="C51" i="97"/>
  <c r="C52" i="97"/>
  <c r="D52" i="97"/>
  <c r="C53" i="97"/>
  <c r="C54" i="97"/>
  <c r="D54" i="97"/>
  <c r="C55" i="97"/>
  <c r="D55" i="97"/>
  <c r="C56" i="97"/>
  <c r="D56" i="97"/>
  <c r="C57" i="97"/>
  <c r="D57" i="97"/>
  <c r="C58" i="97"/>
  <c r="D58" i="97"/>
  <c r="C59" i="97"/>
  <c r="D59" i="97"/>
  <c r="C60" i="97"/>
  <c r="D60" i="97"/>
  <c r="C61" i="97"/>
  <c r="D61" i="97"/>
  <c r="C62" i="97"/>
  <c r="D62" i="97"/>
  <c r="C63" i="97"/>
  <c r="D63" i="97"/>
  <c r="C14" i="97"/>
  <c r="D14" i="97"/>
  <c r="D15" i="97"/>
  <c r="C16" i="97"/>
  <c r="D16" i="97"/>
  <c r="C17" i="97"/>
  <c r="D17" i="97"/>
  <c r="D18" i="97"/>
  <c r="C19" i="97"/>
  <c r="D19" i="97"/>
  <c r="C20" i="97"/>
  <c r="D20" i="97"/>
  <c r="C21" i="97"/>
  <c r="D21" i="97"/>
  <c r="C22" i="97"/>
  <c r="D22" i="97"/>
  <c r="D23" i="97"/>
  <c r="G236" i="97"/>
  <c r="E236" i="97"/>
  <c r="M28" i="97"/>
  <c r="M29" i="97"/>
  <c r="M54" i="97"/>
  <c r="M85" i="97"/>
  <c r="M99" i="97"/>
  <c r="M108" i="97"/>
  <c r="M117" i="97"/>
  <c r="M126" i="97"/>
  <c r="M127" i="97"/>
  <c r="M128" i="97"/>
  <c r="M129" i="97"/>
  <c r="M130" i="97"/>
  <c r="M138" i="97"/>
  <c r="M139" i="97"/>
  <c r="M140" i="97"/>
  <c r="M141" i="97"/>
  <c r="M148" i="97"/>
  <c r="M149" i="97"/>
  <c r="M150" i="97"/>
  <c r="M151" i="97"/>
  <c r="M152" i="97"/>
  <c r="M167" i="97"/>
  <c r="M169" i="97"/>
  <c r="M171" i="97"/>
  <c r="M173" i="97"/>
  <c r="M175" i="97"/>
  <c r="M177" i="97"/>
  <c r="M203" i="97"/>
  <c r="F235" i="97"/>
  <c r="D235" i="97"/>
  <c r="F207" i="97"/>
  <c r="F205" i="97"/>
  <c r="F203" i="97"/>
  <c r="F199" i="97"/>
  <c r="F197" i="97"/>
  <c r="F195" i="97"/>
  <c r="F193" i="97"/>
  <c r="F191" i="97"/>
  <c r="F189" i="97"/>
  <c r="F187" i="97"/>
  <c r="F185" i="97"/>
  <c r="F183" i="97"/>
  <c r="F181" i="97"/>
  <c r="F179" i="97"/>
  <c r="F177" i="97"/>
  <c r="F175" i="97"/>
  <c r="F173" i="97"/>
  <c r="F171" i="97"/>
  <c r="F169" i="97"/>
  <c r="F167" i="97"/>
  <c r="F155" i="97"/>
  <c r="F153" i="97"/>
  <c r="F151" i="97"/>
  <c r="F234" i="97"/>
  <c r="F208" i="97"/>
  <c r="E207" i="97"/>
  <c r="F206" i="97"/>
  <c r="E205" i="97"/>
  <c r="F204" i="97"/>
  <c r="E203" i="97"/>
  <c r="F198" i="97"/>
  <c r="E197" i="97"/>
  <c r="F196" i="97"/>
  <c r="E195" i="97"/>
  <c r="F194" i="97"/>
  <c r="E193" i="97"/>
  <c r="F192" i="97"/>
  <c r="E191" i="97"/>
  <c r="F190" i="97"/>
  <c r="E189" i="97"/>
  <c r="F188" i="97"/>
  <c r="E187" i="97"/>
  <c r="F186" i="97"/>
  <c r="E185" i="97"/>
  <c r="F184" i="97"/>
  <c r="E183" i="97"/>
  <c r="F182" i="97"/>
  <c r="E181" i="97"/>
  <c r="F180" i="97"/>
  <c r="E179" i="97"/>
  <c r="F178" i="97"/>
  <c r="E177" i="97"/>
  <c r="F176" i="97"/>
  <c r="E175" i="97"/>
  <c r="F174" i="97"/>
  <c r="E173" i="97"/>
  <c r="F172" i="97"/>
  <c r="E171" i="97"/>
  <c r="F170" i="97"/>
  <c r="E169" i="97"/>
  <c r="F168" i="97"/>
  <c r="E167" i="97"/>
  <c r="F159" i="97"/>
  <c r="F156" i="97"/>
  <c r="F154" i="97"/>
  <c r="F152" i="97"/>
  <c r="F149" i="97"/>
  <c r="F146" i="97"/>
  <c r="F144" i="97"/>
  <c r="F141" i="97"/>
  <c r="F139" i="97"/>
  <c r="F136" i="97"/>
  <c r="F134" i="97"/>
  <c r="F132" i="97"/>
  <c r="F129" i="97"/>
  <c r="F127" i="97"/>
  <c r="F120" i="97"/>
  <c r="F118" i="97"/>
  <c r="E113" i="97"/>
  <c r="F112" i="97"/>
  <c r="E111" i="97"/>
  <c r="F110" i="97"/>
  <c r="E109" i="97"/>
  <c r="F108" i="97"/>
  <c r="F104" i="97"/>
  <c r="E103" i="97"/>
  <c r="F102" i="97"/>
  <c r="E101" i="97"/>
  <c r="F100" i="97"/>
  <c r="E99" i="97"/>
  <c r="E95" i="97"/>
  <c r="F94" i="97"/>
  <c r="E93" i="97"/>
  <c r="F92" i="97"/>
  <c r="E91" i="97"/>
  <c r="F90" i="97"/>
  <c r="E89" i="97"/>
  <c r="F88" i="97"/>
  <c r="E87" i="97"/>
  <c r="F86" i="97"/>
  <c r="E85" i="97"/>
  <c r="E81" i="97"/>
  <c r="F80" i="97"/>
  <c r="F78" i="97"/>
  <c r="E77" i="97"/>
  <c r="F76" i="97"/>
  <c r="E75" i="97"/>
  <c r="F74" i="97"/>
  <c r="E73" i="97"/>
  <c r="F72" i="97"/>
  <c r="F150" i="97"/>
  <c r="E149" i="97"/>
  <c r="F148" i="97"/>
  <c r="E146" i="97"/>
  <c r="F145" i="97"/>
  <c r="E144" i="97"/>
  <c r="F143" i="97"/>
  <c r="E141" i="97"/>
  <c r="F140" i="97"/>
  <c r="E139" i="97"/>
  <c r="F138" i="97"/>
  <c r="E136" i="97"/>
  <c r="F135" i="97"/>
  <c r="E134" i="97"/>
  <c r="F133" i="97"/>
  <c r="E132" i="97"/>
  <c r="F130" i="97"/>
  <c r="E129" i="97"/>
  <c r="F128" i="97"/>
  <c r="E127" i="97"/>
  <c r="F126" i="97"/>
  <c r="F121" i="97"/>
  <c r="F119" i="97"/>
  <c r="F117" i="97"/>
  <c r="F113" i="97"/>
  <c r="E112" i="97"/>
  <c r="F111" i="97"/>
  <c r="E110" i="97"/>
  <c r="F109" i="97"/>
  <c r="E108" i="97"/>
  <c r="E104" i="97"/>
  <c r="F103" i="97"/>
  <c r="E102" i="97"/>
  <c r="F101" i="97"/>
  <c r="E100" i="97"/>
  <c r="F99" i="97"/>
  <c r="F95" i="97"/>
  <c r="F93" i="97"/>
  <c r="F91" i="97"/>
  <c r="F89" i="97"/>
  <c r="F87" i="97"/>
  <c r="F85" i="97"/>
  <c r="F81" i="97"/>
  <c r="E80" i="97"/>
  <c r="F79" i="97"/>
  <c r="E78" i="97"/>
  <c r="F77" i="97"/>
  <c r="E76" i="97"/>
  <c r="E74" i="97"/>
  <c r="F73" i="97"/>
  <c r="E72" i="97"/>
  <c r="F71" i="97"/>
  <c r="E71" i="97"/>
  <c r="E69" i="97"/>
  <c r="F68" i="97"/>
  <c r="E67" i="97"/>
  <c r="E63" i="97"/>
  <c r="F62" i="97"/>
  <c r="E61" i="97"/>
  <c r="E59" i="97"/>
  <c r="F58" i="97"/>
  <c r="E57" i="97"/>
  <c r="F56" i="97"/>
  <c r="E55" i="97"/>
  <c r="F54" i="97"/>
  <c r="F52" i="97"/>
  <c r="E49" i="97"/>
  <c r="F48" i="97"/>
  <c r="F46" i="97"/>
  <c r="E45" i="97"/>
  <c r="F44" i="97"/>
  <c r="E43" i="97"/>
  <c r="F42" i="97"/>
  <c r="E41" i="97"/>
  <c r="F40" i="97"/>
  <c r="E39" i="97"/>
  <c r="E37" i="97"/>
  <c r="F36" i="97"/>
  <c r="E35" i="97"/>
  <c r="F34" i="97"/>
  <c r="E33" i="97"/>
  <c r="F32" i="97"/>
  <c r="E31" i="97"/>
  <c r="F30" i="97"/>
  <c r="E29" i="97"/>
  <c r="F28" i="97"/>
  <c r="F22" i="97"/>
  <c r="E21" i="97"/>
  <c r="F20" i="97"/>
  <c r="E19" i="97"/>
  <c r="F18" i="97"/>
  <c r="E17" i="97"/>
  <c r="F16" i="97"/>
  <c r="F14" i="97"/>
  <c r="E70" i="97"/>
  <c r="F69" i="97"/>
  <c r="E68" i="97"/>
  <c r="F67" i="97"/>
  <c r="F61" i="97"/>
  <c r="F59" i="97"/>
  <c r="F57" i="97"/>
  <c r="F55" i="97"/>
  <c r="F53" i="97"/>
  <c r="F51" i="97"/>
  <c r="F49" i="97"/>
  <c r="F47" i="97"/>
  <c r="F45" i="97"/>
  <c r="F41" i="97"/>
  <c r="F39" i="97"/>
  <c r="F37" i="97"/>
  <c r="F35" i="97"/>
  <c r="F33" i="97"/>
  <c r="F31" i="97"/>
  <c r="F29" i="97"/>
  <c r="F23" i="97"/>
  <c r="E22" i="97"/>
  <c r="F21" i="97"/>
  <c r="E20" i="97"/>
  <c r="F19" i="97"/>
  <c r="F17" i="97"/>
  <c r="E16" i="97"/>
  <c r="F15" i="97"/>
  <c r="E14" i="97"/>
  <c r="L175" i="97"/>
  <c r="L173" i="97"/>
  <c r="O173" i="97" s="1"/>
  <c r="L171" i="97"/>
  <c r="L29" i="97"/>
  <c r="L117" i="97"/>
  <c r="L30" i="97"/>
  <c r="L169" i="97"/>
  <c r="L203" i="97"/>
  <c r="L126" i="97"/>
  <c r="L138" i="97"/>
  <c r="L177" i="97"/>
  <c r="O177" i="97" s="1"/>
  <c r="L139" i="97"/>
  <c r="L128" i="97"/>
  <c r="L99" i="97"/>
  <c r="L148" i="97"/>
  <c r="L129" i="97"/>
  <c r="L149" i="97"/>
  <c r="L127" i="97"/>
  <c r="L130" i="97"/>
  <c r="L141" i="97"/>
  <c r="L167" i="97"/>
  <c r="L28" i="97"/>
  <c r="L151" i="97"/>
  <c r="L150" i="97"/>
  <c r="L152" i="97"/>
  <c r="L54" i="97"/>
  <c r="L140" i="97"/>
  <c r="L108" i="97"/>
  <c r="M30" i="97"/>
  <c r="E21" i="71"/>
  <c r="G123" i="71"/>
  <c r="G64" i="71"/>
  <c r="G114" i="71"/>
  <c r="G164" i="71"/>
  <c r="G65" i="102"/>
  <c r="G82" i="102"/>
  <c r="G115" i="102"/>
  <c r="G123" i="102"/>
  <c r="G200" i="102"/>
  <c r="E21" i="66"/>
  <c r="G64" i="66"/>
  <c r="G114" i="66"/>
  <c r="G82" i="19"/>
  <c r="G123" i="19"/>
  <c r="G25" i="19"/>
  <c r="G64" i="19"/>
  <c r="G114" i="19"/>
  <c r="G164" i="19"/>
  <c r="E21" i="85"/>
  <c r="G82" i="85"/>
  <c r="G123" i="85"/>
  <c r="G200" i="85"/>
  <c r="G25" i="85"/>
  <c r="G114" i="85"/>
  <c r="G164" i="85"/>
  <c r="L85" i="97"/>
  <c r="E21" i="10"/>
  <c r="G82" i="10"/>
  <c r="G123" i="10"/>
  <c r="G200" i="10"/>
  <c r="G25" i="10"/>
  <c r="G64" i="10"/>
  <c r="G114" i="10"/>
  <c r="E158" i="97"/>
  <c r="E28" i="97"/>
  <c r="E30" i="97"/>
  <c r="E32" i="97"/>
  <c r="E34" i="97"/>
  <c r="E36" i="97"/>
  <c r="E38" i="97"/>
  <c r="E40" i="97"/>
  <c r="E42" i="97"/>
  <c r="E44" i="97"/>
  <c r="E46" i="97"/>
  <c r="E50" i="97"/>
  <c r="E52" i="97"/>
  <c r="E54" i="97"/>
  <c r="E56" i="97"/>
  <c r="E58" i="97"/>
  <c r="E60" i="97"/>
  <c r="E62" i="97"/>
  <c r="E86" i="97"/>
  <c r="E88" i="97"/>
  <c r="E90" i="97"/>
  <c r="E92" i="97"/>
  <c r="E94" i="97"/>
  <c r="E79" i="97"/>
  <c r="E204" i="97"/>
  <c r="E206" i="97"/>
  <c r="E21" i="45"/>
  <c r="G82" i="45"/>
  <c r="G115" i="45"/>
  <c r="G123" i="45"/>
  <c r="G200" i="45"/>
  <c r="E21" i="133"/>
  <c r="G25" i="133"/>
  <c r="G64" i="133"/>
  <c r="G114" i="133"/>
  <c r="G164" i="133"/>
  <c r="E21" i="58"/>
  <c r="G82" i="58"/>
  <c r="G115" i="58"/>
  <c r="G123" i="58"/>
  <c r="G25" i="58"/>
  <c r="G164" i="58"/>
  <c r="G200" i="65"/>
  <c r="G11" i="65"/>
  <c r="G115" i="65"/>
  <c r="G116" i="65"/>
  <c r="G117" i="65"/>
  <c r="G118" i="65"/>
  <c r="G160" i="65"/>
  <c r="G82" i="65"/>
  <c r="G64" i="65"/>
  <c r="G164" i="65"/>
  <c r="E21" i="15"/>
  <c r="G82" i="15"/>
  <c r="G123" i="15"/>
  <c r="G200" i="15"/>
  <c r="G25" i="15"/>
  <c r="G64" i="15"/>
  <c r="G114" i="65"/>
  <c r="E21" i="120"/>
  <c r="G123" i="120"/>
  <c r="G25" i="120"/>
  <c r="G64" i="120"/>
  <c r="G114" i="120"/>
  <c r="G164" i="120"/>
  <c r="E21" i="37"/>
  <c r="G25" i="37"/>
  <c r="G114" i="37"/>
  <c r="G164" i="37"/>
  <c r="E21" i="59"/>
  <c r="G82" i="59"/>
  <c r="G115" i="59"/>
  <c r="G123" i="59"/>
  <c r="G200" i="59"/>
  <c r="G25" i="59"/>
  <c r="G64" i="59"/>
  <c r="G200" i="21"/>
  <c r="G82" i="21"/>
  <c r="G123" i="21"/>
  <c r="E21" i="21"/>
  <c r="G25" i="21"/>
  <c r="G64" i="21"/>
  <c r="G114" i="21"/>
  <c r="G164" i="21"/>
  <c r="G64" i="27"/>
  <c r="G114" i="27"/>
  <c r="G164" i="27"/>
  <c r="E21" i="64"/>
  <c r="G25" i="64"/>
  <c r="G64" i="64"/>
  <c r="G114" i="64"/>
  <c r="G164" i="64"/>
  <c r="E21" i="31"/>
  <c r="G82" i="31"/>
  <c r="G200" i="31"/>
  <c r="G114" i="31"/>
  <c r="E21" i="135"/>
  <c r="G82" i="135"/>
  <c r="G123" i="135"/>
  <c r="G25" i="135"/>
  <c r="G64" i="135"/>
  <c r="G114" i="135"/>
  <c r="G164" i="135"/>
  <c r="E21" i="63"/>
  <c r="G123" i="63"/>
  <c r="G200" i="63"/>
  <c r="G64" i="63"/>
  <c r="G114" i="63"/>
  <c r="E21" i="72"/>
  <c r="G82" i="72"/>
  <c r="G96" i="72"/>
  <c r="C235" i="97"/>
  <c r="G11" i="72"/>
  <c r="G105" i="72"/>
  <c r="G200" i="72"/>
  <c r="D199" i="97"/>
  <c r="G200" i="57"/>
  <c r="G105" i="57"/>
  <c r="G96" i="57"/>
  <c r="G114" i="57"/>
  <c r="G116" i="57"/>
  <c r="G117" i="57"/>
  <c r="G118" i="57"/>
  <c r="E233" i="57"/>
  <c r="G160" i="57"/>
  <c r="G11" i="57"/>
  <c r="G65" i="57"/>
  <c r="G82" i="57"/>
  <c r="G164" i="57"/>
  <c r="G82" i="55"/>
  <c r="G123" i="55"/>
  <c r="G25" i="55"/>
  <c r="G64" i="55"/>
  <c r="G164" i="55"/>
  <c r="E21" i="16"/>
  <c r="G82" i="16"/>
  <c r="G123" i="16"/>
  <c r="G200" i="16"/>
  <c r="E21" i="79"/>
  <c r="G123" i="79"/>
  <c r="G25" i="79"/>
  <c r="G64" i="79"/>
  <c r="G164" i="79"/>
  <c r="G82" i="32"/>
  <c r="G123" i="32"/>
  <c r="G64" i="32"/>
  <c r="G114" i="32"/>
  <c r="G164" i="32"/>
  <c r="G105" i="33"/>
  <c r="G64" i="33"/>
  <c r="G96" i="33"/>
  <c r="E21" i="33"/>
  <c r="G82" i="33"/>
  <c r="G123" i="33"/>
  <c r="G200" i="33"/>
  <c r="E21" i="119"/>
  <c r="G82" i="119"/>
  <c r="G123" i="119"/>
  <c r="G200" i="119"/>
  <c r="G64" i="119"/>
  <c r="E21" i="39"/>
  <c r="G82" i="39"/>
  <c r="G123" i="39"/>
  <c r="G200" i="39"/>
  <c r="G25" i="39"/>
  <c r="G64" i="39"/>
  <c r="G114" i="39"/>
  <c r="G164" i="39"/>
  <c r="E21" i="43"/>
  <c r="G82" i="43"/>
  <c r="G123" i="43"/>
  <c r="G200" i="43"/>
  <c r="G25" i="43"/>
  <c r="G64" i="43"/>
  <c r="G114" i="43"/>
  <c r="G164" i="43"/>
  <c r="E21" i="46"/>
  <c r="G82" i="46"/>
  <c r="G123" i="46"/>
  <c r="G64" i="46"/>
  <c r="G114" i="46"/>
  <c r="G164" i="46"/>
  <c r="E21" i="47"/>
  <c r="G82" i="47"/>
  <c r="G123" i="47"/>
  <c r="G200" i="47"/>
  <c r="G25" i="47"/>
  <c r="G64" i="47"/>
  <c r="G114" i="47"/>
  <c r="G164" i="47"/>
  <c r="C23" i="97"/>
  <c r="E18" i="97"/>
  <c r="C18" i="97"/>
  <c r="E15" i="97"/>
  <c r="C15" i="97"/>
  <c r="G82" i="136"/>
  <c r="G123" i="136"/>
  <c r="G114" i="136"/>
  <c r="G164" i="136"/>
  <c r="G82" i="67"/>
  <c r="G115" i="67"/>
  <c r="G123" i="67"/>
  <c r="G200" i="67"/>
  <c r="G115" i="57"/>
  <c r="E23" i="97"/>
  <c r="E21" i="92"/>
  <c r="G82" i="92"/>
  <c r="G123" i="92"/>
  <c r="G200" i="92"/>
  <c r="G25" i="92"/>
  <c r="G64" i="92"/>
  <c r="G114" i="92"/>
  <c r="G164" i="92"/>
  <c r="G123" i="91"/>
  <c r="G25" i="91"/>
  <c r="G114" i="91"/>
  <c r="G164" i="91"/>
  <c r="E21" i="89"/>
  <c r="G25" i="89"/>
  <c r="G64" i="89"/>
  <c r="G114" i="89"/>
  <c r="G164" i="89"/>
  <c r="G82" i="113"/>
  <c r="G123" i="113"/>
  <c r="G200" i="113"/>
  <c r="G114" i="113"/>
  <c r="G164" i="113"/>
  <c r="G164" i="90"/>
  <c r="G200" i="90"/>
  <c r="E21" i="90"/>
  <c r="G82" i="90"/>
  <c r="G123" i="90"/>
  <c r="G25" i="90"/>
  <c r="G64" i="90"/>
  <c r="G114" i="90"/>
  <c r="E198" i="97"/>
  <c r="E196" i="97"/>
  <c r="E194" i="97"/>
  <c r="E192" i="97"/>
  <c r="E190" i="97"/>
  <c r="E188" i="97"/>
  <c r="E186" i="97"/>
  <c r="E184" i="97"/>
  <c r="E182" i="97"/>
  <c r="E180" i="97"/>
  <c r="E178" i="97"/>
  <c r="E176" i="97"/>
  <c r="E174" i="97"/>
  <c r="E172" i="97"/>
  <c r="E170" i="97"/>
  <c r="E168" i="97"/>
  <c r="E156" i="97"/>
  <c r="E154" i="97"/>
  <c r="E152" i="97"/>
  <c r="E150" i="97"/>
  <c r="E148" i="97"/>
  <c r="E145" i="97"/>
  <c r="E143" i="97"/>
  <c r="E140" i="97"/>
  <c r="E138" i="97"/>
  <c r="E135" i="97"/>
  <c r="E133" i="97"/>
  <c r="E130" i="97"/>
  <c r="E128" i="97"/>
  <c r="E126" i="97"/>
  <c r="D53" i="97"/>
  <c r="E155" i="97"/>
  <c r="E153" i="97"/>
  <c r="E151" i="97"/>
  <c r="C208" i="97"/>
  <c r="E208" i="97"/>
  <c r="C163" i="97"/>
  <c r="D208" i="97"/>
  <c r="E161" i="97"/>
  <c r="E51" i="97"/>
  <c r="E47" i="97"/>
  <c r="E160" i="97"/>
  <c r="D51" i="97"/>
  <c r="D47" i="97"/>
  <c r="D48" i="97"/>
  <c r="D46" i="97"/>
  <c r="E162" i="97"/>
  <c r="E159" i="97"/>
  <c r="E48" i="97"/>
  <c r="C199" i="97"/>
  <c r="E199" i="97"/>
  <c r="D163" i="97"/>
  <c r="E163" i="97"/>
  <c r="C230" i="97"/>
  <c r="E53" i="97"/>
  <c r="C214" i="97"/>
  <c r="E21" i="20"/>
  <c r="G82" i="20"/>
  <c r="G123" i="20"/>
  <c r="G25" i="20"/>
  <c r="G64" i="20"/>
  <c r="G114" i="20"/>
  <c r="G164" i="20"/>
  <c r="E21" i="42"/>
  <c r="G82" i="42"/>
  <c r="G123" i="42"/>
  <c r="G164" i="42"/>
  <c r="G82" i="87"/>
  <c r="G123" i="87"/>
  <c r="G64" i="87"/>
  <c r="G164" i="87"/>
  <c r="E21" i="84"/>
  <c r="G82" i="84"/>
  <c r="G123" i="84"/>
  <c r="G200" i="84"/>
  <c r="G25" i="84"/>
  <c r="G64" i="84"/>
  <c r="G114" i="84"/>
  <c r="G164" i="84"/>
  <c r="G65" i="100"/>
  <c r="G82" i="100"/>
  <c r="G115" i="100"/>
  <c r="G123" i="100"/>
  <c r="G200" i="100"/>
  <c r="E21" i="104"/>
  <c r="G200" i="104"/>
  <c r="G25" i="104"/>
  <c r="G64" i="104"/>
  <c r="G114" i="104"/>
  <c r="E21" i="106"/>
  <c r="G123" i="106"/>
  <c r="G25" i="106"/>
  <c r="G114" i="106"/>
  <c r="E21" i="94"/>
  <c r="G25" i="94"/>
  <c r="G64" i="94"/>
  <c r="G114" i="94"/>
  <c r="G164" i="94"/>
  <c r="E21" i="54"/>
  <c r="G25" i="54"/>
  <c r="G64" i="54"/>
  <c r="G114" i="54"/>
  <c r="G164" i="54"/>
  <c r="E21" i="60"/>
  <c r="G82" i="60"/>
  <c r="G123" i="60"/>
  <c r="E21" i="38"/>
  <c r="G82" i="38"/>
  <c r="G123" i="38"/>
  <c r="G164" i="38"/>
  <c r="E21" i="49"/>
  <c r="G123" i="49"/>
  <c r="G25" i="49"/>
  <c r="G64" i="49"/>
  <c r="G114" i="49"/>
  <c r="G11" i="69"/>
  <c r="G25" i="69"/>
  <c r="G26" i="69"/>
  <c r="G65" i="69"/>
  <c r="G82" i="69"/>
  <c r="G115" i="69"/>
  <c r="G123" i="69"/>
  <c r="G165" i="69"/>
  <c r="G200" i="69"/>
  <c r="G25" i="57"/>
  <c r="E121" i="97"/>
  <c r="E21" i="95"/>
  <c r="G82" i="95"/>
  <c r="G123" i="95"/>
  <c r="G25" i="95"/>
  <c r="G114" i="95"/>
  <c r="G164" i="95"/>
  <c r="E21" i="50"/>
  <c r="G82" i="50"/>
  <c r="G123" i="50"/>
  <c r="G114" i="50"/>
  <c r="G164" i="50"/>
  <c r="E21" i="1"/>
  <c r="G82" i="1"/>
  <c r="G114" i="1"/>
  <c r="G164" i="1"/>
  <c r="E21" i="25"/>
  <c r="G123" i="25"/>
  <c r="G64" i="25"/>
  <c r="G114" i="25"/>
  <c r="G164" i="25"/>
  <c r="E21" i="28"/>
  <c r="G82" i="28"/>
  <c r="G123" i="28"/>
  <c r="G200" i="28"/>
  <c r="G164" i="28"/>
  <c r="E21" i="142"/>
  <c r="G82" i="142"/>
  <c r="G123" i="142"/>
  <c r="G164" i="142"/>
  <c r="E21" i="141"/>
  <c r="G82" i="141"/>
  <c r="G123" i="141"/>
  <c r="G25" i="141"/>
  <c r="G164" i="141"/>
  <c r="E21" i="24"/>
  <c r="G82" i="24"/>
  <c r="G123" i="24"/>
  <c r="G200" i="24"/>
  <c r="G25" i="24"/>
  <c r="G64" i="24"/>
  <c r="E21" i="62"/>
  <c r="G82" i="62"/>
  <c r="G123" i="62"/>
  <c r="G64" i="62"/>
  <c r="G164" i="62"/>
  <c r="E21" i="98"/>
  <c r="G82" i="98"/>
  <c r="G123" i="98"/>
  <c r="G25" i="98"/>
  <c r="G164" i="98"/>
  <c r="E21" i="53"/>
  <c r="G123" i="53"/>
  <c r="G25" i="53"/>
  <c r="G114" i="53"/>
  <c r="G164" i="53"/>
  <c r="G96" i="86"/>
  <c r="G200" i="86"/>
  <c r="E21" i="86"/>
  <c r="G82" i="86"/>
  <c r="G123" i="86"/>
  <c r="G25" i="86"/>
  <c r="G64" i="86"/>
  <c r="G114" i="86"/>
  <c r="G164" i="86"/>
  <c r="E21" i="102"/>
  <c r="E21" i="27"/>
  <c r="E21" i="113"/>
  <c r="E21" i="55"/>
  <c r="E21" i="69"/>
  <c r="G64" i="37"/>
  <c r="G82" i="37"/>
  <c r="G114" i="45"/>
  <c r="E21" i="67"/>
  <c r="G114" i="67"/>
  <c r="E21" i="91"/>
  <c r="E21" i="87"/>
  <c r="E21" i="100"/>
  <c r="G96" i="102"/>
  <c r="G96" i="71"/>
  <c r="G96" i="19"/>
  <c r="D158" i="97"/>
  <c r="G114" i="58"/>
  <c r="G123" i="133"/>
  <c r="G96" i="59"/>
  <c r="G105" i="59"/>
  <c r="G64" i="102"/>
  <c r="G114" i="102"/>
  <c r="C162" i="97"/>
  <c r="G114" i="59"/>
  <c r="G123" i="37"/>
  <c r="G164" i="63"/>
  <c r="G200" i="135"/>
  <c r="G164" i="31"/>
  <c r="G105" i="67"/>
  <c r="G200" i="46"/>
  <c r="G105" i="119"/>
  <c r="G82" i="79"/>
  <c r="G114" i="79"/>
  <c r="G200" i="79"/>
  <c r="G82" i="106"/>
  <c r="G200" i="106"/>
  <c r="G64" i="100"/>
  <c r="G114" i="100"/>
  <c r="G64" i="53"/>
  <c r="G200" i="53"/>
  <c r="G64" i="141"/>
  <c r="G96" i="141"/>
  <c r="G114" i="141"/>
  <c r="G200" i="25"/>
  <c r="G200" i="1"/>
  <c r="G64" i="95"/>
  <c r="G115" i="15"/>
  <c r="E118" i="97"/>
  <c r="G114" i="15"/>
  <c r="E117" i="97"/>
  <c r="G116" i="15"/>
  <c r="E119" i="97"/>
  <c r="G117" i="15"/>
  <c r="E120" i="97"/>
  <c r="F215" i="16" l="1"/>
  <c r="F215" i="102"/>
  <c r="G232" i="21"/>
  <c r="G231" i="31"/>
  <c r="K14" i="31" s="1"/>
  <c r="G231" i="21"/>
  <c r="G232" i="31"/>
  <c r="G231" i="16"/>
  <c r="G232" i="16"/>
  <c r="G232" i="90"/>
  <c r="G232" i="91"/>
  <c r="G231" i="91"/>
  <c r="G231" i="14"/>
  <c r="G232" i="14"/>
  <c r="F215" i="19"/>
  <c r="F215" i="133"/>
  <c r="F215" i="79"/>
  <c r="F215" i="54"/>
  <c r="F215" i="66"/>
  <c r="F215" i="37"/>
  <c r="F215" i="31"/>
  <c r="F215" i="64"/>
  <c r="F215" i="32"/>
  <c r="F215" i="113"/>
  <c r="F215" i="20"/>
  <c r="F215" i="49"/>
  <c r="F215" i="86"/>
  <c r="F215" i="24"/>
  <c r="F215" i="142"/>
  <c r="F215" i="95"/>
  <c r="F215" i="45"/>
  <c r="F215" i="65"/>
  <c r="F215" i="120"/>
  <c r="F215" i="63"/>
  <c r="F215" i="119"/>
  <c r="F215" i="55"/>
  <c r="F215" i="69"/>
  <c r="F215" i="27"/>
  <c r="F215" i="91"/>
  <c r="F215" i="71"/>
  <c r="F215" i="43"/>
  <c r="F215" i="33"/>
  <c r="F215" i="14"/>
  <c r="F215" i="21"/>
  <c r="F215" i="47"/>
  <c r="F215" i="59"/>
  <c r="F215" i="72"/>
  <c r="F215" i="135"/>
  <c r="F215" i="90"/>
  <c r="F215" i="104"/>
  <c r="F215" i="38"/>
  <c r="F215" i="58"/>
  <c r="F215" i="92"/>
  <c r="F215" i="87"/>
  <c r="F215" i="60"/>
  <c r="F215" i="94"/>
  <c r="F215" i="28"/>
  <c r="F215" i="25"/>
  <c r="F215" i="1"/>
  <c r="F215" i="50"/>
  <c r="F215" i="42"/>
  <c r="F215" i="136"/>
  <c r="E215" i="119"/>
  <c r="E215" i="14"/>
  <c r="E215" i="32"/>
  <c r="E215" i="85"/>
  <c r="E215" i="72"/>
  <c r="E215" i="15"/>
  <c r="E215" i="65"/>
  <c r="E215" i="102"/>
  <c r="E215" i="66"/>
  <c r="E215" i="79"/>
  <c r="E215" i="46"/>
  <c r="E215" i="37"/>
  <c r="E215" i="87"/>
  <c r="E215" i="136"/>
  <c r="E215" i="120"/>
  <c r="E215" i="20"/>
  <c r="E215" i="49"/>
  <c r="E215" i="69"/>
  <c r="E215" i="53"/>
  <c r="E215" i="95"/>
  <c r="E215" i="60"/>
  <c r="E215" i="50"/>
  <c r="E215" i="54"/>
  <c r="E215" i="141"/>
  <c r="E215" i="1"/>
  <c r="E215" i="142"/>
  <c r="E215" i="25"/>
  <c r="E215" i="24"/>
  <c r="E215" i="98"/>
  <c r="E215" i="28"/>
  <c r="E215" i="94"/>
  <c r="E215" i="100"/>
  <c r="E215" i="59"/>
  <c r="E215" i="67"/>
  <c r="E215" i="84"/>
  <c r="E215" i="55"/>
  <c r="F215" i="57"/>
  <c r="E215" i="33"/>
  <c r="E215" i="57"/>
  <c r="E215" i="39"/>
  <c r="F215" i="39"/>
  <c r="E215" i="42"/>
  <c r="E215" i="89"/>
  <c r="E215" i="86"/>
  <c r="E215" i="38"/>
  <c r="E215" i="91"/>
  <c r="E215" i="64"/>
  <c r="E215" i="63"/>
  <c r="E215" i="10"/>
  <c r="E215" i="45"/>
  <c r="E215" i="135"/>
  <c r="E215" i="27"/>
  <c r="E215" i="62"/>
  <c r="E215" i="106"/>
  <c r="E215" i="104"/>
  <c r="E215" i="133"/>
  <c r="E215" i="31"/>
  <c r="E215" i="58"/>
  <c r="E215" i="16"/>
  <c r="E215" i="21"/>
  <c r="E215" i="90"/>
  <c r="E215" i="71"/>
  <c r="E215" i="43"/>
  <c r="E215" i="47"/>
  <c r="E215" i="113"/>
  <c r="E215" i="92"/>
  <c r="F224" i="97"/>
  <c r="G232" i="59"/>
  <c r="G231" i="59"/>
  <c r="G232" i="62"/>
  <c r="G223" i="67"/>
  <c r="G222" i="67"/>
  <c r="G232" i="67"/>
  <c r="F222" i="97"/>
  <c r="G224" i="67"/>
  <c r="G225" i="67"/>
  <c r="G231" i="67"/>
  <c r="G226" i="89"/>
  <c r="G227" i="98"/>
  <c r="G219" i="90"/>
  <c r="G224" i="38"/>
  <c r="E233" i="104"/>
  <c r="G231" i="66"/>
  <c r="G221" i="15"/>
  <c r="G232" i="69"/>
  <c r="G225" i="65"/>
  <c r="G222" i="38"/>
  <c r="G226" i="69"/>
  <c r="K14" i="111"/>
  <c r="E233" i="53"/>
  <c r="G231" i="19"/>
  <c r="G219" i="64"/>
  <c r="G231" i="24"/>
  <c r="G223" i="95"/>
  <c r="G223" i="53"/>
  <c r="G225" i="98"/>
  <c r="G224" i="27"/>
  <c r="G222" i="39"/>
  <c r="G227" i="53"/>
  <c r="G219" i="24"/>
  <c r="G220" i="50"/>
  <c r="G220" i="72"/>
  <c r="G225" i="19"/>
  <c r="G221" i="19"/>
  <c r="G221" i="43"/>
  <c r="G223" i="15"/>
  <c r="G231" i="113"/>
  <c r="G219" i="95"/>
  <c r="E233" i="49"/>
  <c r="G219" i="94"/>
  <c r="G232" i="32"/>
  <c r="G227" i="16"/>
  <c r="G223" i="64"/>
  <c r="G225" i="64"/>
  <c r="E233" i="58"/>
  <c r="E233" i="38"/>
  <c r="G231" i="94"/>
  <c r="G225" i="43"/>
  <c r="G223" i="16"/>
  <c r="G221" i="64"/>
  <c r="G221" i="53"/>
  <c r="G220" i="38"/>
  <c r="G21" i="113"/>
  <c r="G231" i="53"/>
  <c r="G219" i="106"/>
  <c r="G226" i="46"/>
  <c r="G231" i="106"/>
  <c r="G227" i="95"/>
  <c r="G222" i="46"/>
  <c r="G119" i="63"/>
  <c r="G223" i="63"/>
  <c r="G231" i="64"/>
  <c r="G21" i="53"/>
  <c r="E233" i="45"/>
  <c r="G221" i="89"/>
  <c r="G111" i="10"/>
  <c r="G222" i="15"/>
  <c r="G111" i="90"/>
  <c r="E233" i="46"/>
  <c r="K17" i="83"/>
  <c r="G232" i="106"/>
  <c r="G225" i="46"/>
  <c r="F60" i="97"/>
  <c r="G219" i="28"/>
  <c r="G231" i="28"/>
  <c r="G226" i="64"/>
  <c r="E228" i="64"/>
  <c r="G206" i="27"/>
  <c r="G220" i="53"/>
  <c r="G222" i="64"/>
  <c r="G119" i="71"/>
  <c r="G231" i="46"/>
  <c r="G226" i="43"/>
  <c r="G219" i="19"/>
  <c r="G222" i="98"/>
  <c r="G224" i="90"/>
  <c r="G222" i="43"/>
  <c r="G93" i="10"/>
  <c r="G232" i="66"/>
  <c r="G232" i="102"/>
  <c r="G223" i="113"/>
  <c r="G226" i="53"/>
  <c r="G219" i="98"/>
  <c r="G225" i="50"/>
  <c r="G231" i="100"/>
  <c r="G102" i="20"/>
  <c r="E233" i="113"/>
  <c r="G222" i="89"/>
  <c r="G227" i="92"/>
  <c r="G219" i="21"/>
  <c r="G227" i="19"/>
  <c r="G226" i="15"/>
  <c r="G221" i="95"/>
  <c r="G21" i="16"/>
  <c r="F114" i="97"/>
  <c r="E233" i="64"/>
  <c r="G219" i="71"/>
  <c r="E228" i="19"/>
  <c r="G222" i="53"/>
  <c r="G222" i="62"/>
  <c r="G231" i="50"/>
  <c r="G102" i="95"/>
  <c r="G220" i="89"/>
  <c r="E235" i="57"/>
  <c r="G111" i="15"/>
  <c r="G222" i="65"/>
  <c r="G231" i="89"/>
  <c r="G223" i="98"/>
  <c r="E233" i="92"/>
  <c r="G93" i="53"/>
  <c r="G111" i="67"/>
  <c r="E233" i="62"/>
  <c r="G226" i="50"/>
  <c r="G231" i="95"/>
  <c r="G21" i="38"/>
  <c r="G222" i="72"/>
  <c r="E233" i="39"/>
  <c r="G102" i="10"/>
  <c r="G206" i="10"/>
  <c r="G206" i="53"/>
  <c r="G21" i="50"/>
  <c r="G102" i="42"/>
  <c r="G224" i="19"/>
  <c r="G231" i="136"/>
  <c r="G102" i="46"/>
  <c r="G231" i="32"/>
  <c r="G231" i="37"/>
  <c r="G219" i="58"/>
  <c r="G79" i="141"/>
  <c r="G206" i="106"/>
  <c r="G21" i="59"/>
  <c r="K11" i="59" s="1"/>
  <c r="G102" i="98"/>
  <c r="G119" i="42"/>
  <c r="G226" i="98"/>
  <c r="G226" i="62"/>
  <c r="G227" i="50"/>
  <c r="G226" i="95"/>
  <c r="G231" i="69"/>
  <c r="E233" i="84"/>
  <c r="E233" i="42"/>
  <c r="G219" i="113"/>
  <c r="G232" i="46"/>
  <c r="G111" i="55"/>
  <c r="G222" i="37"/>
  <c r="G119" i="10"/>
  <c r="G224" i="15"/>
  <c r="G111" i="42"/>
  <c r="G224" i="98"/>
  <c r="G226" i="16"/>
  <c r="K17" i="68"/>
  <c r="G223" i="50"/>
  <c r="G231" i="49"/>
  <c r="G102" i="100"/>
  <c r="E233" i="135"/>
  <c r="G119" i="45"/>
  <c r="G111" i="141"/>
  <c r="G119" i="66"/>
  <c r="G220" i="98"/>
  <c r="G220" i="62"/>
  <c r="G21" i="24"/>
  <c r="G219" i="142"/>
  <c r="G221" i="50"/>
  <c r="G21" i="100"/>
  <c r="G102" i="90"/>
  <c r="G226" i="113"/>
  <c r="G221" i="72"/>
  <c r="G224" i="63"/>
  <c r="G225" i="135"/>
  <c r="G224" i="64"/>
  <c r="G221" i="27"/>
  <c r="G219" i="15"/>
  <c r="G220" i="19"/>
  <c r="G220" i="65"/>
  <c r="G161" i="50"/>
  <c r="G21" i="63"/>
  <c r="G232" i="24"/>
  <c r="G226" i="90"/>
  <c r="G222" i="16"/>
  <c r="E235" i="21"/>
  <c r="E228" i="15"/>
  <c r="G197" i="15"/>
  <c r="F75" i="97"/>
  <c r="G224" i="62"/>
  <c r="G222" i="95"/>
  <c r="M16" i="10"/>
  <c r="G111" i="45"/>
  <c r="G111" i="16"/>
  <c r="G224" i="53"/>
  <c r="G231" i="142"/>
  <c r="G219" i="50"/>
  <c r="G226" i="38"/>
  <c r="G93" i="60"/>
  <c r="G222" i="113"/>
  <c r="G224" i="89"/>
  <c r="G222" i="63"/>
  <c r="G226" i="135"/>
  <c r="G232" i="27"/>
  <c r="G227" i="120"/>
  <c r="E233" i="27"/>
  <c r="G206" i="142"/>
  <c r="G222" i="19"/>
  <c r="E228" i="62"/>
  <c r="G79" i="50"/>
  <c r="G79" i="94"/>
  <c r="G21" i="106"/>
  <c r="G220" i="113"/>
  <c r="E233" i="136"/>
  <c r="G224" i="46"/>
  <c r="G227" i="64"/>
  <c r="G226" i="27"/>
  <c r="G232" i="133"/>
  <c r="E233" i="24"/>
  <c r="E233" i="15"/>
  <c r="G93" i="98"/>
  <c r="E233" i="59"/>
  <c r="G233" i="59" s="1"/>
  <c r="G79" i="15"/>
  <c r="E233" i="37"/>
  <c r="G79" i="71"/>
  <c r="G79" i="10"/>
  <c r="G93" i="1"/>
  <c r="G206" i="69"/>
  <c r="E233" i="33"/>
  <c r="F209" i="97"/>
  <c r="F200" i="97"/>
  <c r="G232" i="15"/>
  <c r="G221" i="65"/>
  <c r="E233" i="111"/>
  <c r="E233" i="50"/>
  <c r="E235" i="50" s="1"/>
  <c r="G197" i="21"/>
  <c r="G197" i="142"/>
  <c r="G119" i="136"/>
  <c r="M12" i="10"/>
  <c r="M14" i="10"/>
  <c r="G226" i="65"/>
  <c r="K18" i="83"/>
  <c r="G227" i="15"/>
  <c r="K18" i="72"/>
  <c r="G111" i="19"/>
  <c r="G197" i="10"/>
  <c r="G231" i="47"/>
  <c r="E228" i="57"/>
  <c r="G111" i="136"/>
  <c r="G111" i="87"/>
  <c r="G231" i="102"/>
  <c r="G60" i="65"/>
  <c r="F63" i="97"/>
  <c r="G224" i="16"/>
  <c r="G21" i="33"/>
  <c r="G225" i="38"/>
  <c r="G93" i="65"/>
  <c r="G102" i="65"/>
  <c r="G111" i="65"/>
  <c r="G227" i="65"/>
  <c r="G219" i="65"/>
  <c r="E228" i="65"/>
  <c r="G220" i="21"/>
  <c r="G231" i="120"/>
  <c r="G219" i="72"/>
  <c r="G223" i="72"/>
  <c r="G221" i="67"/>
  <c r="G119" i="85"/>
  <c r="E228" i="71"/>
  <c r="G119" i="38"/>
  <c r="G231" i="38"/>
  <c r="G61" i="94"/>
  <c r="G47" i="65"/>
  <c r="F50" i="97"/>
  <c r="K14" i="103"/>
  <c r="G102" i="32"/>
  <c r="G206" i="85"/>
  <c r="G221" i="38"/>
  <c r="D231" i="97"/>
  <c r="E228" i="98"/>
  <c r="G221" i="98"/>
  <c r="G231" i="98"/>
  <c r="G111" i="62"/>
  <c r="G221" i="62"/>
  <c r="G225" i="62"/>
  <c r="G102" i="24"/>
  <c r="G21" i="141"/>
  <c r="G219" i="69"/>
  <c r="G227" i="33"/>
  <c r="G231" i="79"/>
  <c r="G119" i="55"/>
  <c r="G21" i="89"/>
  <c r="G93" i="19"/>
  <c r="G231" i="39"/>
  <c r="G102" i="113"/>
  <c r="G206" i="98"/>
  <c r="G79" i="62"/>
  <c r="G119" i="62"/>
  <c r="G206" i="62"/>
  <c r="G111" i="24"/>
  <c r="G197" i="38"/>
  <c r="F105" i="97"/>
  <c r="G220" i="16"/>
  <c r="G102" i="55"/>
  <c r="E233" i="16"/>
  <c r="E235" i="16" s="1"/>
  <c r="G102" i="133"/>
  <c r="G102" i="15"/>
  <c r="F96" i="97"/>
  <c r="F24" i="97"/>
  <c r="F122" i="97"/>
  <c r="G220" i="15"/>
  <c r="G226" i="120"/>
  <c r="G220" i="64"/>
  <c r="G231" i="27"/>
  <c r="K14" i="27" s="1"/>
  <c r="G119" i="33"/>
  <c r="G221" i="16"/>
  <c r="E228" i="89"/>
  <c r="G219" i="89"/>
  <c r="G223" i="89"/>
  <c r="G111" i="104"/>
  <c r="G225" i="53"/>
  <c r="G232" i="98"/>
  <c r="G224" i="50"/>
  <c r="G67" i="65"/>
  <c r="G206" i="50"/>
  <c r="G21" i="45"/>
  <c r="G223" i="43"/>
  <c r="G225" i="16"/>
  <c r="G206" i="72"/>
  <c r="G119" i="133"/>
  <c r="F70" i="97"/>
  <c r="G161" i="10"/>
  <c r="G111" i="58"/>
  <c r="G231" i="15"/>
  <c r="L211" i="97"/>
  <c r="M20" i="97" s="1"/>
  <c r="G224" i="65"/>
  <c r="G111" i="21"/>
  <c r="G111" i="46"/>
  <c r="G223" i="46"/>
  <c r="G111" i="43"/>
  <c r="G111" i="20"/>
  <c r="G111" i="86"/>
  <c r="G119" i="53"/>
  <c r="G226" i="19"/>
  <c r="G61" i="15"/>
  <c r="G223" i="21"/>
  <c r="G232" i="136"/>
  <c r="G231" i="104"/>
  <c r="G232" i="100"/>
  <c r="E228" i="38"/>
  <c r="G223" i="38"/>
  <c r="G119" i="60"/>
  <c r="G93" i="54"/>
  <c r="G102" i="94"/>
  <c r="G111" i="50"/>
  <c r="E228" i="95"/>
  <c r="G224" i="95"/>
  <c r="F38" i="97"/>
  <c r="G35" i="133"/>
  <c r="G21" i="15"/>
  <c r="M211" i="97"/>
  <c r="M21" i="97" s="1"/>
  <c r="G223" i="65"/>
  <c r="G224" i="113"/>
  <c r="G61" i="86"/>
  <c r="G223" i="62"/>
  <c r="G161" i="54"/>
  <c r="G227" i="62"/>
  <c r="E228" i="50"/>
  <c r="G232" i="79"/>
  <c r="G227" i="133"/>
  <c r="G219" i="67"/>
  <c r="E228" i="67"/>
  <c r="G220" i="90"/>
  <c r="G206" i="95"/>
  <c r="G111" i="25"/>
  <c r="G21" i="98"/>
  <c r="G197" i="62"/>
  <c r="G206" i="28"/>
  <c r="G102" i="50"/>
  <c r="G206" i="38"/>
  <c r="G206" i="102"/>
  <c r="G161" i="135"/>
  <c r="G232" i="64"/>
  <c r="G111" i="47"/>
  <c r="G206" i="57"/>
  <c r="G225" i="89"/>
  <c r="G221" i="113"/>
  <c r="G225" i="113"/>
  <c r="G61" i="42"/>
  <c r="G227" i="69"/>
  <c r="G197" i="60"/>
  <c r="E228" i="53"/>
  <c r="G219" i="53"/>
  <c r="M11" i="53" s="1"/>
  <c r="G21" i="1"/>
  <c r="G222" i="50"/>
  <c r="G21" i="21"/>
  <c r="G224" i="43"/>
  <c r="G206" i="90"/>
  <c r="G232" i="49"/>
  <c r="G206" i="94"/>
  <c r="K18" i="68"/>
  <c r="G206" i="66"/>
  <c r="G231" i="54"/>
  <c r="G119" i="64"/>
  <c r="G119" i="16"/>
  <c r="G119" i="79"/>
  <c r="G206" i="46"/>
  <c r="G119" i="119"/>
  <c r="G206" i="59"/>
  <c r="G102" i="47"/>
  <c r="G111" i="54"/>
  <c r="G219" i="62"/>
  <c r="G111" i="1"/>
  <c r="G227" i="38"/>
  <c r="G111" i="100"/>
  <c r="G225" i="90"/>
  <c r="G233" i="57"/>
  <c r="G102" i="57"/>
  <c r="G232" i="85"/>
  <c r="G223" i="19"/>
  <c r="F164" i="97"/>
  <c r="G225" i="15"/>
  <c r="F82" i="97"/>
  <c r="G225" i="63"/>
  <c r="G219" i="14"/>
  <c r="G119" i="14"/>
  <c r="G21" i="91"/>
  <c r="H17" i="91" s="1"/>
  <c r="G232" i="92"/>
  <c r="G232" i="104"/>
  <c r="G21" i="142"/>
  <c r="H15" i="142" s="1"/>
  <c r="G225" i="95"/>
  <c r="G79" i="95"/>
  <c r="G119" i="58"/>
  <c r="K17" i="72"/>
  <c r="G119" i="32"/>
  <c r="G93" i="15"/>
  <c r="G227" i="67"/>
  <c r="G220" i="67"/>
  <c r="M12" i="67" s="1"/>
  <c r="G227" i="59"/>
  <c r="E233" i="47"/>
  <c r="E233" i="106"/>
  <c r="G233" i="106" s="1"/>
  <c r="G61" i="53"/>
  <c r="G61" i="98"/>
  <c r="G119" i="49"/>
  <c r="G206" i="104"/>
  <c r="G61" i="43"/>
  <c r="G226" i="136"/>
  <c r="G227" i="136"/>
  <c r="G206" i="43"/>
  <c r="G206" i="47"/>
  <c r="G232" i="47"/>
  <c r="G227" i="102"/>
  <c r="G224" i="104"/>
  <c r="G226" i="104"/>
  <c r="G227" i="104"/>
  <c r="G61" i="39"/>
  <c r="G232" i="39"/>
  <c r="G119" i="39"/>
  <c r="G232" i="135"/>
  <c r="M11" i="38"/>
  <c r="G232" i="120"/>
  <c r="G232" i="37"/>
  <c r="G226" i="33"/>
  <c r="G161" i="25"/>
  <c r="G61" i="95"/>
  <c r="E233" i="31"/>
  <c r="E235" i="31" s="1"/>
  <c r="G119" i="65"/>
  <c r="G21" i="65"/>
  <c r="E233" i="28"/>
  <c r="G227" i="27"/>
  <c r="G231" i="65"/>
  <c r="G232" i="65"/>
  <c r="G206" i="65"/>
  <c r="E233" i="65"/>
  <c r="E233" i="119"/>
  <c r="E235" i="119" s="1"/>
  <c r="G225" i="119"/>
  <c r="G93" i="119"/>
  <c r="G227" i="119"/>
  <c r="E233" i="20"/>
  <c r="E233" i="100"/>
  <c r="G225" i="92"/>
  <c r="G232" i="111"/>
  <c r="G233" i="21"/>
  <c r="G219" i="57"/>
  <c r="G220" i="57"/>
  <c r="G221" i="57"/>
  <c r="G222" i="57"/>
  <c r="G223" i="57"/>
  <c r="G224" i="57"/>
  <c r="G225" i="57"/>
  <c r="G226" i="57"/>
  <c r="G227" i="57"/>
  <c r="G102" i="86"/>
  <c r="G232" i="89"/>
  <c r="G227" i="89"/>
  <c r="G119" i="91"/>
  <c r="G206" i="15"/>
  <c r="G197" i="84"/>
  <c r="G197" i="141"/>
  <c r="G197" i="94"/>
  <c r="G197" i="90"/>
  <c r="G197" i="65"/>
  <c r="G161" i="65"/>
  <c r="G119" i="57"/>
  <c r="G119" i="94"/>
  <c r="G119" i="106"/>
  <c r="G93" i="86"/>
  <c r="G79" i="24"/>
  <c r="G79" i="55"/>
  <c r="E24" i="97"/>
  <c r="G21" i="92"/>
  <c r="G21" i="46"/>
  <c r="G21" i="42"/>
  <c r="G21" i="55"/>
  <c r="G21" i="31"/>
  <c r="G226" i="92"/>
  <c r="G119" i="92"/>
  <c r="G232" i="113"/>
  <c r="G222" i="71"/>
  <c r="G226" i="71"/>
  <c r="E233" i="19"/>
  <c r="G232" i="10"/>
  <c r="E233" i="32"/>
  <c r="E233" i="55"/>
  <c r="E233" i="94"/>
  <c r="E233" i="98"/>
  <c r="E233" i="25"/>
  <c r="E233" i="1"/>
  <c r="E233" i="95"/>
  <c r="E233" i="54"/>
  <c r="E233" i="71"/>
  <c r="G220" i="71"/>
  <c r="M12" i="71" s="1"/>
  <c r="G224" i="71"/>
  <c r="E233" i="66"/>
  <c r="E233" i="120"/>
  <c r="E233" i="63"/>
  <c r="E233" i="67"/>
  <c r="G233" i="67" s="1"/>
  <c r="E233" i="79"/>
  <c r="E233" i="89"/>
  <c r="E233" i="91"/>
  <c r="E233" i="87"/>
  <c r="E233" i="60"/>
  <c r="G119" i="67"/>
  <c r="E233" i="72"/>
  <c r="E233" i="10"/>
  <c r="E233" i="102"/>
  <c r="G12" i="102"/>
  <c r="G13" i="102"/>
  <c r="G14" i="102"/>
  <c r="G15" i="102"/>
  <c r="G16" i="102"/>
  <c r="G17" i="102"/>
  <c r="G18" i="102"/>
  <c r="G19" i="102"/>
  <c r="G26" i="102"/>
  <c r="G28" i="102"/>
  <c r="G29" i="102"/>
  <c r="G30" i="102"/>
  <c r="G31" i="102"/>
  <c r="G32" i="102"/>
  <c r="G33" i="102"/>
  <c r="G34" i="102"/>
  <c r="G36" i="102"/>
  <c r="G37" i="102"/>
  <c r="G38" i="102"/>
  <c r="G43" i="102"/>
  <c r="G47" i="102"/>
  <c r="G48" i="102"/>
  <c r="G49" i="102"/>
  <c r="G50" i="102"/>
  <c r="G52" i="102"/>
  <c r="G53" i="102"/>
  <c r="G54" i="102"/>
  <c r="G59" i="102"/>
  <c r="G97" i="102"/>
  <c r="G99" i="102"/>
  <c r="G100" i="102"/>
  <c r="G101" i="102"/>
  <c r="G106" i="102"/>
  <c r="G107" i="102"/>
  <c r="G116" i="102"/>
  <c r="G117" i="102"/>
  <c r="G118" i="102"/>
  <c r="G125" i="102"/>
  <c r="G126" i="102"/>
  <c r="G127" i="102"/>
  <c r="K17" i="102"/>
  <c r="G13" i="71"/>
  <c r="G15" i="71"/>
  <c r="G16" i="71"/>
  <c r="G17" i="71"/>
  <c r="G18" i="71"/>
  <c r="G19" i="71"/>
  <c r="G20" i="71"/>
  <c r="G25" i="71"/>
  <c r="G57" i="71"/>
  <c r="G82" i="71"/>
  <c r="G83" i="71"/>
  <c r="G84" i="71"/>
  <c r="G85" i="71"/>
  <c r="G86" i="71"/>
  <c r="G97" i="71"/>
  <c r="G98" i="71"/>
  <c r="G99" i="71"/>
  <c r="G100" i="71"/>
  <c r="G101" i="71"/>
  <c r="G105" i="71"/>
  <c r="G106" i="71"/>
  <c r="G107" i="71"/>
  <c r="G108" i="71"/>
  <c r="G109" i="71"/>
  <c r="G110" i="71"/>
  <c r="G124" i="71"/>
  <c r="G125" i="71"/>
  <c r="G126" i="71"/>
  <c r="G127" i="71"/>
  <c r="G129" i="71"/>
  <c r="G130" i="71"/>
  <c r="G131" i="71"/>
  <c r="G132" i="71"/>
  <c r="G133" i="71"/>
  <c r="G135" i="71"/>
  <c r="G136" i="71"/>
  <c r="G137" i="71"/>
  <c r="G148" i="71"/>
  <c r="G165" i="71"/>
  <c r="G166" i="71"/>
  <c r="G167" i="71"/>
  <c r="G168" i="71"/>
  <c r="G169" i="71"/>
  <c r="G170" i="71"/>
  <c r="G171" i="71"/>
  <c r="G172" i="71"/>
  <c r="G173" i="71"/>
  <c r="G174" i="71"/>
  <c r="G175" i="71"/>
  <c r="G176" i="71"/>
  <c r="G177" i="71"/>
  <c r="G200" i="71"/>
  <c r="E231" i="71"/>
  <c r="G232" i="71"/>
  <c r="G66" i="85"/>
  <c r="G68" i="85"/>
  <c r="G69" i="85"/>
  <c r="G70" i="85"/>
  <c r="G71" i="85"/>
  <c r="G72" i="85"/>
  <c r="G73" i="85"/>
  <c r="G74" i="85"/>
  <c r="G75" i="85"/>
  <c r="G76" i="85"/>
  <c r="G77" i="85"/>
  <c r="G78" i="85"/>
  <c r="G83" i="85"/>
  <c r="G84" i="85"/>
  <c r="G85" i="85"/>
  <c r="G86" i="85"/>
  <c r="G87" i="85"/>
  <c r="G88" i="85"/>
  <c r="G89" i="85"/>
  <c r="G90" i="85"/>
  <c r="G96" i="85"/>
  <c r="G124" i="85"/>
  <c r="G125" i="85"/>
  <c r="G183" i="85"/>
  <c r="G184" i="85"/>
  <c r="G185" i="85"/>
  <c r="G186" i="85"/>
  <c r="G187" i="85"/>
  <c r="G231" i="85"/>
  <c r="G37" i="19"/>
  <c r="G38" i="19"/>
  <c r="G39" i="19"/>
  <c r="G40" i="19"/>
  <c r="G41" i="19"/>
  <c r="G42" i="19"/>
  <c r="G43" i="19"/>
  <c r="G44" i="19"/>
  <c r="G45" i="19"/>
  <c r="G46" i="19"/>
  <c r="G47" i="19"/>
  <c r="G48" i="19"/>
  <c r="G49" i="19"/>
  <c r="G50" i="19"/>
  <c r="G51" i="19"/>
  <c r="G52" i="19"/>
  <c r="G53" i="19"/>
  <c r="G54" i="19"/>
  <c r="G55" i="19"/>
  <c r="G56" i="19"/>
  <c r="G57" i="19"/>
  <c r="G58" i="19"/>
  <c r="G59" i="19"/>
  <c r="G60" i="19"/>
  <c r="G65" i="19"/>
  <c r="G66" i="19"/>
  <c r="G67" i="19"/>
  <c r="G68" i="19"/>
  <c r="G69" i="19"/>
  <c r="G70" i="19"/>
  <c r="G71" i="19"/>
  <c r="G72" i="19"/>
  <c r="G73" i="19"/>
  <c r="G74" i="19"/>
  <c r="G75" i="19"/>
  <c r="G76" i="19"/>
  <c r="G77" i="19"/>
  <c r="G78" i="19"/>
  <c r="G97" i="19"/>
  <c r="G98" i="19"/>
  <c r="G99" i="19"/>
  <c r="G100" i="19"/>
  <c r="G101" i="19"/>
  <c r="G115" i="19"/>
  <c r="G116" i="19"/>
  <c r="G117" i="19"/>
  <c r="G118" i="19"/>
  <c r="G157" i="19"/>
  <c r="G166" i="19"/>
  <c r="G169" i="19"/>
  <c r="G170" i="19"/>
  <c r="G171" i="19"/>
  <c r="G175" i="19"/>
  <c r="G180" i="19"/>
  <c r="G181" i="19"/>
  <c r="G182" i="19"/>
  <c r="G183" i="19"/>
  <c r="G184" i="19"/>
  <c r="G186" i="19"/>
  <c r="G206" i="19"/>
  <c r="K17" i="19"/>
  <c r="K18" i="19"/>
  <c r="E232" i="19"/>
  <c r="G11" i="66"/>
  <c r="G12" i="66"/>
  <c r="G13" i="66"/>
  <c r="G14" i="66"/>
  <c r="G15" i="66"/>
  <c r="G16" i="66"/>
  <c r="G17" i="66"/>
  <c r="G18" i="66"/>
  <c r="G19" i="66"/>
  <c r="G20" i="66"/>
  <c r="G40" i="66"/>
  <c r="G41" i="66"/>
  <c r="G42" i="66"/>
  <c r="G43" i="66"/>
  <c r="G44" i="66"/>
  <c r="G45" i="66"/>
  <c r="G46" i="66"/>
  <c r="G47" i="66"/>
  <c r="G56" i="66"/>
  <c r="G57" i="66"/>
  <c r="G58" i="66"/>
  <c r="G59" i="66"/>
  <c r="G60" i="66"/>
  <c r="G65" i="66"/>
  <c r="G66" i="66"/>
  <c r="G67" i="66"/>
  <c r="G68" i="66"/>
  <c r="G69" i="66"/>
  <c r="G70" i="66"/>
  <c r="G71" i="66"/>
  <c r="G72" i="66"/>
  <c r="G73" i="66"/>
  <c r="G84" i="66"/>
  <c r="G85" i="66"/>
  <c r="G86" i="66"/>
  <c r="G87" i="66"/>
  <c r="G89" i="66"/>
  <c r="G90" i="66"/>
  <c r="G91" i="66"/>
  <c r="G96" i="66"/>
  <c r="G97" i="66"/>
  <c r="G98" i="66"/>
  <c r="G99" i="66"/>
  <c r="G100" i="66"/>
  <c r="G101" i="66"/>
  <c r="G109" i="66"/>
  <c r="G110" i="66"/>
  <c r="G126" i="66"/>
  <c r="G127" i="66"/>
  <c r="G129" i="66"/>
  <c r="G130" i="66"/>
  <c r="G131" i="66"/>
  <c r="G132" i="66"/>
  <c r="G133" i="66"/>
  <c r="G135" i="66"/>
  <c r="G136" i="66"/>
  <c r="G137" i="66"/>
  <c r="G138" i="66"/>
  <c r="G140" i="66"/>
  <c r="G141" i="66"/>
  <c r="G142" i="66"/>
  <c r="G143" i="66"/>
  <c r="G145" i="66"/>
  <c r="G146" i="66"/>
  <c r="G147" i="66"/>
  <c r="G148" i="66"/>
  <c r="G149" i="66"/>
  <c r="G150" i="66"/>
  <c r="G158" i="66"/>
  <c r="G159" i="66"/>
  <c r="G160" i="66"/>
  <c r="G164" i="66"/>
  <c r="G165" i="66"/>
  <c r="G166" i="66"/>
  <c r="G167" i="66"/>
  <c r="G168" i="66"/>
  <c r="G169" i="66"/>
  <c r="G170" i="66"/>
  <c r="G171" i="66"/>
  <c r="G172" i="66"/>
  <c r="G173" i="66"/>
  <c r="G174" i="66"/>
  <c r="G175" i="66"/>
  <c r="G176" i="66"/>
  <c r="G177" i="66"/>
  <c r="G178" i="66"/>
  <c r="G179" i="66"/>
  <c r="G180" i="66"/>
  <c r="G181" i="66"/>
  <c r="G182" i="66"/>
  <c r="G183" i="66"/>
  <c r="G184" i="66"/>
  <c r="G185" i="66"/>
  <c r="G186" i="66"/>
  <c r="G187" i="66"/>
  <c r="E220" i="66"/>
  <c r="G221" i="66"/>
  <c r="E222" i="66"/>
  <c r="G223" i="66"/>
  <c r="E224" i="66"/>
  <c r="G225" i="66"/>
  <c r="E226" i="66"/>
  <c r="G227" i="66"/>
  <c r="E226" i="10"/>
  <c r="G227" i="10"/>
  <c r="G64" i="58"/>
  <c r="G65" i="58"/>
  <c r="G66" i="58"/>
  <c r="G67" i="58"/>
  <c r="G68" i="58"/>
  <c r="G96" i="58"/>
  <c r="G97" i="58"/>
  <c r="G150" i="58"/>
  <c r="G165" i="58"/>
  <c r="G166" i="58"/>
  <c r="G167" i="58"/>
  <c r="G168" i="58"/>
  <c r="G169" i="58"/>
  <c r="G170" i="58"/>
  <c r="G171" i="58"/>
  <c r="G172" i="58"/>
  <c r="G173" i="58"/>
  <c r="G174" i="58"/>
  <c r="G175" i="58"/>
  <c r="G176" i="58"/>
  <c r="G177" i="58"/>
  <c r="G178" i="58"/>
  <c r="G179" i="58"/>
  <c r="G180" i="58"/>
  <c r="G181" i="58"/>
  <c r="G182" i="58"/>
  <c r="G183" i="58"/>
  <c r="G184" i="58"/>
  <c r="G185" i="58"/>
  <c r="G186" i="58"/>
  <c r="K17" i="58"/>
  <c r="K18" i="58"/>
  <c r="E220" i="58"/>
  <c r="E221" i="58"/>
  <c r="E222" i="58"/>
  <c r="E223" i="58"/>
  <c r="E224" i="58"/>
  <c r="E225" i="58"/>
  <c r="E226" i="58"/>
  <c r="G227" i="58"/>
  <c r="E233" i="133"/>
  <c r="G11" i="133"/>
  <c r="G12" i="133"/>
  <c r="G13" i="133"/>
  <c r="G14" i="133"/>
  <c r="G15" i="133"/>
  <c r="G16" i="133"/>
  <c r="G17" i="133"/>
  <c r="G18" i="133"/>
  <c r="G19" i="133"/>
  <c r="G26" i="133"/>
  <c r="G27" i="133"/>
  <c r="G44" i="133"/>
  <c r="G52" i="133"/>
  <c r="G54" i="133"/>
  <c r="G55" i="133"/>
  <c r="G58" i="133"/>
  <c r="G59" i="133"/>
  <c r="G65" i="133"/>
  <c r="G66" i="133"/>
  <c r="G73" i="133"/>
  <c r="G84" i="133"/>
  <c r="G105" i="133"/>
  <c r="G106" i="133"/>
  <c r="G107" i="133"/>
  <c r="G124" i="133"/>
  <c r="G126" i="133"/>
  <c r="G127" i="133"/>
  <c r="G129" i="133"/>
  <c r="G130" i="133"/>
  <c r="G131" i="133"/>
  <c r="G132" i="133"/>
  <c r="G133" i="133"/>
  <c r="G135" i="133"/>
  <c r="G136" i="133"/>
  <c r="G137" i="133"/>
  <c r="G138" i="133"/>
  <c r="G140" i="133"/>
  <c r="G141" i="133"/>
  <c r="G142" i="133"/>
  <c r="G143" i="133"/>
  <c r="G145" i="133"/>
  <c r="G146" i="133"/>
  <c r="G147" i="133"/>
  <c r="G148" i="133"/>
  <c r="G149" i="133"/>
  <c r="G150" i="133"/>
  <c r="G151" i="133"/>
  <c r="G152" i="133"/>
  <c r="G153" i="133"/>
  <c r="G155" i="133"/>
  <c r="G156" i="133"/>
  <c r="G157" i="133"/>
  <c r="G158" i="133"/>
  <c r="G159" i="133"/>
  <c r="G165" i="133"/>
  <c r="G166" i="133"/>
  <c r="G167" i="133"/>
  <c r="G168" i="133"/>
  <c r="G169" i="133"/>
  <c r="G170" i="133"/>
  <c r="G171" i="133"/>
  <c r="G172" i="133"/>
  <c r="G173" i="133"/>
  <c r="G174" i="133"/>
  <c r="G175" i="133"/>
  <c r="K17" i="133"/>
  <c r="G83" i="45"/>
  <c r="G84" i="45"/>
  <c r="G85" i="45"/>
  <c r="G86" i="45"/>
  <c r="G152" i="45"/>
  <c r="G201" i="45"/>
  <c r="G202" i="45"/>
  <c r="G203" i="45"/>
  <c r="G204" i="45"/>
  <c r="G205" i="45"/>
  <c r="E220" i="45"/>
  <c r="E221" i="45"/>
  <c r="E222" i="45"/>
  <c r="E223" i="45"/>
  <c r="E224" i="45"/>
  <c r="E225" i="45"/>
  <c r="E226" i="45"/>
  <c r="E227" i="45"/>
  <c r="E231" i="45"/>
  <c r="E232" i="45"/>
  <c r="G118" i="15"/>
  <c r="K17" i="15"/>
  <c r="K18" i="15"/>
  <c r="K17" i="65"/>
  <c r="K18" i="65"/>
  <c r="G30" i="21"/>
  <c r="G31" i="21"/>
  <c r="G32" i="21"/>
  <c r="G33" i="21"/>
  <c r="G34" i="21"/>
  <c r="G35" i="21"/>
  <c r="G36" i="21"/>
  <c r="G37" i="21"/>
  <c r="G38" i="21"/>
  <c r="G39" i="21"/>
  <c r="G40" i="21"/>
  <c r="G42" i="21"/>
  <c r="G43" i="21"/>
  <c r="G44" i="21"/>
  <c r="G45" i="21"/>
  <c r="G46" i="21"/>
  <c r="G47" i="21"/>
  <c r="G48" i="21"/>
  <c r="G49" i="21"/>
  <c r="G50" i="21"/>
  <c r="G51" i="21"/>
  <c r="G52" i="21"/>
  <c r="G53" i="21"/>
  <c r="G54" i="21"/>
  <c r="G55" i="21"/>
  <c r="G202" i="21"/>
  <c r="G203" i="21"/>
  <c r="G204" i="21"/>
  <c r="E221" i="21"/>
  <c r="G222" i="21"/>
  <c r="E224" i="21"/>
  <c r="G225" i="21"/>
  <c r="E226" i="21"/>
  <c r="G227" i="21"/>
  <c r="K17" i="21"/>
  <c r="K18" i="21"/>
  <c r="G76" i="59"/>
  <c r="G83" i="59"/>
  <c r="G84" i="59"/>
  <c r="G85" i="59"/>
  <c r="G86" i="59"/>
  <c r="G87" i="59"/>
  <c r="G88" i="59"/>
  <c r="G89" i="59"/>
  <c r="G90" i="59"/>
  <c r="G100" i="59"/>
  <c r="G118" i="59"/>
  <c r="G124" i="59"/>
  <c r="G125" i="59"/>
  <c r="G126" i="59"/>
  <c r="G127" i="59"/>
  <c r="G129" i="59"/>
  <c r="G130" i="59"/>
  <c r="G131" i="59"/>
  <c r="G132" i="59"/>
  <c r="G133" i="59"/>
  <c r="G135" i="59"/>
  <c r="G136" i="59"/>
  <c r="G137" i="59"/>
  <c r="G138" i="59"/>
  <c r="G140" i="59"/>
  <c r="G141" i="59"/>
  <c r="G142" i="59"/>
  <c r="G145" i="59"/>
  <c r="G146" i="59"/>
  <c r="G147" i="59"/>
  <c r="G148" i="59"/>
  <c r="G149" i="59"/>
  <c r="G150" i="59"/>
  <c r="G151" i="59"/>
  <c r="G152" i="59"/>
  <c r="G153" i="59"/>
  <c r="G155" i="59"/>
  <c r="G156" i="59"/>
  <c r="G157" i="59"/>
  <c r="G158" i="59"/>
  <c r="G159" i="59"/>
  <c r="G160" i="59"/>
  <c r="G164" i="59"/>
  <c r="G165" i="59"/>
  <c r="G166" i="59"/>
  <c r="G167" i="59"/>
  <c r="G168" i="59"/>
  <c r="G169" i="59"/>
  <c r="G171" i="59"/>
  <c r="G172" i="59"/>
  <c r="G173" i="59"/>
  <c r="G174" i="59"/>
  <c r="G175" i="59"/>
  <c r="G176" i="59"/>
  <c r="G177" i="59"/>
  <c r="G178" i="59"/>
  <c r="G179" i="59"/>
  <c r="G180" i="59"/>
  <c r="G181" i="59"/>
  <c r="G182" i="59"/>
  <c r="K17" i="59"/>
  <c r="G220" i="59"/>
  <c r="E221" i="59"/>
  <c r="G222" i="59"/>
  <c r="E223" i="59"/>
  <c r="G224" i="59"/>
  <c r="E225" i="59"/>
  <c r="G226" i="59"/>
  <c r="G96" i="37"/>
  <c r="G97" i="37"/>
  <c r="G98" i="37"/>
  <c r="G108" i="37"/>
  <c r="G124" i="37"/>
  <c r="G125" i="37"/>
  <c r="G126" i="37"/>
  <c r="G127" i="37"/>
  <c r="G129" i="37"/>
  <c r="G130" i="37"/>
  <c r="G131" i="37"/>
  <c r="G132" i="37"/>
  <c r="G133" i="37"/>
  <c r="G135" i="37"/>
  <c r="G136" i="37"/>
  <c r="G137" i="37"/>
  <c r="G138" i="37"/>
  <c r="G140" i="37"/>
  <c r="G141" i="37"/>
  <c r="G142" i="37"/>
  <c r="G143" i="37"/>
  <c r="G145" i="37"/>
  <c r="G146" i="37"/>
  <c r="G195" i="37"/>
  <c r="K17" i="37"/>
  <c r="G11" i="120"/>
  <c r="G12" i="120"/>
  <c r="G13" i="120"/>
  <c r="G14" i="120"/>
  <c r="G15" i="120"/>
  <c r="G16" i="120"/>
  <c r="G17" i="120"/>
  <c r="G18" i="120"/>
  <c r="G19" i="120"/>
  <c r="G27" i="120"/>
  <c r="G28" i="120"/>
  <c r="G29" i="120"/>
  <c r="G30" i="120"/>
  <c r="G31" i="120"/>
  <c r="G32" i="120"/>
  <c r="G33" i="120"/>
  <c r="G35" i="120"/>
  <c r="G36" i="120"/>
  <c r="G37" i="120"/>
  <c r="G38" i="120"/>
  <c r="G39" i="120"/>
  <c r="G40" i="120"/>
  <c r="G65" i="120"/>
  <c r="G66" i="120"/>
  <c r="G67" i="120"/>
  <c r="G68" i="120"/>
  <c r="G69" i="120"/>
  <c r="G70" i="120"/>
  <c r="G71" i="120"/>
  <c r="G72" i="120"/>
  <c r="G73" i="120"/>
  <c r="G74" i="120"/>
  <c r="G75" i="120"/>
  <c r="G76" i="120"/>
  <c r="G105" i="120"/>
  <c r="G106" i="120"/>
  <c r="G142" i="120"/>
  <c r="G161" i="120" s="1"/>
  <c r="G165" i="120"/>
  <c r="G166" i="120"/>
  <c r="G167" i="120"/>
  <c r="G168" i="120"/>
  <c r="G169" i="120"/>
  <c r="G170" i="120"/>
  <c r="G171" i="120"/>
  <c r="G172" i="120"/>
  <c r="G173" i="120"/>
  <c r="G174" i="120"/>
  <c r="G175" i="120"/>
  <c r="G176" i="120"/>
  <c r="G177" i="120"/>
  <c r="G178" i="120"/>
  <c r="G179" i="120"/>
  <c r="G180" i="120"/>
  <c r="G181" i="120"/>
  <c r="G182" i="120"/>
  <c r="G200" i="120"/>
  <c r="G201" i="120"/>
  <c r="G202" i="120"/>
  <c r="G203" i="120"/>
  <c r="G204" i="120"/>
  <c r="G205" i="120"/>
  <c r="E220" i="120"/>
  <c r="E221" i="120"/>
  <c r="E222" i="120"/>
  <c r="E223" i="120"/>
  <c r="E224" i="120"/>
  <c r="E225" i="120"/>
  <c r="G106" i="72"/>
  <c r="G107" i="72"/>
  <c r="G108" i="72"/>
  <c r="G109" i="72"/>
  <c r="G110" i="72"/>
  <c r="G114" i="72"/>
  <c r="G115" i="72"/>
  <c r="G116" i="72"/>
  <c r="G117" i="72"/>
  <c r="G118" i="72"/>
  <c r="G123" i="72"/>
  <c r="G124" i="72"/>
  <c r="G125" i="72"/>
  <c r="G126" i="72"/>
  <c r="G127" i="72"/>
  <c r="G65" i="63"/>
  <c r="G66" i="63"/>
  <c r="G67" i="63"/>
  <c r="G68" i="63"/>
  <c r="G69" i="63"/>
  <c r="G70" i="63"/>
  <c r="G71" i="63"/>
  <c r="G72" i="63"/>
  <c r="G73" i="63"/>
  <c r="G74" i="63"/>
  <c r="G75" i="63"/>
  <c r="G76" i="63"/>
  <c r="G77" i="63"/>
  <c r="G78" i="63"/>
  <c r="G82" i="63"/>
  <c r="G83" i="63"/>
  <c r="G84" i="63"/>
  <c r="G85" i="63"/>
  <c r="G86" i="63"/>
  <c r="G87" i="63"/>
  <c r="G88" i="63"/>
  <c r="G89" i="63"/>
  <c r="G101" i="63"/>
  <c r="G106" i="63"/>
  <c r="G159" i="63"/>
  <c r="G165" i="63"/>
  <c r="G166" i="63"/>
  <c r="G167" i="63"/>
  <c r="G168" i="63"/>
  <c r="G169" i="63"/>
  <c r="G170" i="63"/>
  <c r="G171" i="63"/>
  <c r="G172" i="63"/>
  <c r="G173" i="63"/>
  <c r="G174" i="63"/>
  <c r="G175" i="63"/>
  <c r="G176" i="63"/>
  <c r="G177" i="63"/>
  <c r="G178" i="63"/>
  <c r="G179" i="63"/>
  <c r="G180" i="63"/>
  <c r="G181" i="63"/>
  <c r="G182" i="63"/>
  <c r="G183" i="63"/>
  <c r="G185" i="63"/>
  <c r="G186" i="63"/>
  <c r="G187" i="63"/>
  <c r="G188" i="63"/>
  <c r="G189" i="63"/>
  <c r="E231" i="63"/>
  <c r="G232" i="63"/>
  <c r="G65" i="135"/>
  <c r="G66" i="135"/>
  <c r="G67" i="135"/>
  <c r="G68" i="135"/>
  <c r="G69" i="135"/>
  <c r="G70" i="135"/>
  <c r="G71" i="135"/>
  <c r="G72" i="135"/>
  <c r="G73" i="135"/>
  <c r="G74" i="135"/>
  <c r="G75" i="135"/>
  <c r="G83" i="135"/>
  <c r="G84" i="135"/>
  <c r="G85" i="135"/>
  <c r="G115" i="135"/>
  <c r="G116" i="135"/>
  <c r="G117" i="135"/>
  <c r="G118" i="135"/>
  <c r="G165" i="135"/>
  <c r="G166" i="135"/>
  <c r="G167" i="135"/>
  <c r="G168" i="135"/>
  <c r="G169" i="135"/>
  <c r="G170" i="135"/>
  <c r="G171" i="135"/>
  <c r="G172" i="135"/>
  <c r="G173" i="135"/>
  <c r="G174" i="135"/>
  <c r="G175" i="135"/>
  <c r="G176" i="135"/>
  <c r="G177" i="135"/>
  <c r="G178" i="135"/>
  <c r="G179" i="135"/>
  <c r="G180" i="135"/>
  <c r="G181" i="135"/>
  <c r="G182" i="135"/>
  <c r="G201" i="135"/>
  <c r="G202" i="135"/>
  <c r="G203" i="135"/>
  <c r="E220" i="135"/>
  <c r="E221" i="135"/>
  <c r="E222" i="135"/>
  <c r="E223" i="135"/>
  <c r="E224" i="135"/>
  <c r="E227" i="135"/>
  <c r="E231" i="135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73" i="31"/>
  <c r="G83" i="31"/>
  <c r="G84" i="31"/>
  <c r="G85" i="31"/>
  <c r="G86" i="31"/>
  <c r="G87" i="31"/>
  <c r="G88" i="31"/>
  <c r="G89" i="31"/>
  <c r="G90" i="31"/>
  <c r="G91" i="31"/>
  <c r="G92" i="31"/>
  <c r="G96" i="31"/>
  <c r="G97" i="31"/>
  <c r="G98" i="31"/>
  <c r="G99" i="31"/>
  <c r="G100" i="31"/>
  <c r="G101" i="31"/>
  <c r="G105" i="31"/>
  <c r="G106" i="31"/>
  <c r="G107" i="31"/>
  <c r="G108" i="31"/>
  <c r="G109" i="31"/>
  <c r="G110" i="31"/>
  <c r="G115" i="31"/>
  <c r="G116" i="31"/>
  <c r="G117" i="31"/>
  <c r="G118" i="31"/>
  <c r="G123" i="31"/>
  <c r="G124" i="31"/>
  <c r="G125" i="31"/>
  <c r="G126" i="31"/>
  <c r="G127" i="31"/>
  <c r="G97" i="64"/>
  <c r="G123" i="64"/>
  <c r="G124" i="64"/>
  <c r="G125" i="64"/>
  <c r="G126" i="64"/>
  <c r="G127" i="64"/>
  <c r="G129" i="64"/>
  <c r="G130" i="64"/>
  <c r="G131" i="64"/>
  <c r="G132" i="64"/>
  <c r="G133" i="64"/>
  <c r="G136" i="64"/>
  <c r="G181" i="64"/>
  <c r="K17" i="64"/>
  <c r="G11" i="27"/>
  <c r="G12" i="27"/>
  <c r="G13" i="27"/>
  <c r="G14" i="27"/>
  <c r="G15" i="27"/>
  <c r="G16" i="27"/>
  <c r="G17" i="27"/>
  <c r="G18" i="27"/>
  <c r="G19" i="27"/>
  <c r="G20" i="27"/>
  <c r="G26" i="27"/>
  <c r="G27" i="27"/>
  <c r="G28" i="27"/>
  <c r="G29" i="27"/>
  <c r="G30" i="27"/>
  <c r="G31" i="27"/>
  <c r="G32" i="27"/>
  <c r="G33" i="27"/>
  <c r="G34" i="27"/>
  <c r="G36" i="27"/>
  <c r="G37" i="27"/>
  <c r="G38" i="27"/>
  <c r="G39" i="27"/>
  <c r="G40" i="27"/>
  <c r="G41" i="27"/>
  <c r="G42" i="27"/>
  <c r="G44" i="27"/>
  <c r="G45" i="27"/>
  <c r="G46" i="27"/>
  <c r="G65" i="27"/>
  <c r="G66" i="27"/>
  <c r="G67" i="27"/>
  <c r="G140" i="27"/>
  <c r="G148" i="27"/>
  <c r="G157" i="27"/>
  <c r="G165" i="27"/>
  <c r="G166" i="27"/>
  <c r="G167" i="27"/>
  <c r="G168" i="27"/>
  <c r="G169" i="27"/>
  <c r="G170" i="27"/>
  <c r="G172" i="27"/>
  <c r="G173" i="27"/>
  <c r="G174" i="27"/>
  <c r="G175" i="27"/>
  <c r="G176" i="27"/>
  <c r="G177" i="27"/>
  <c r="G178" i="27"/>
  <c r="G180" i="27"/>
  <c r="G181" i="27"/>
  <c r="G182" i="27"/>
  <c r="G183" i="27"/>
  <c r="G184" i="27"/>
  <c r="G185" i="27"/>
  <c r="G186" i="27"/>
  <c r="G220" i="27"/>
  <c r="E222" i="27"/>
  <c r="G223" i="27"/>
  <c r="E225" i="27"/>
  <c r="G64" i="67"/>
  <c r="G65" i="67"/>
  <c r="G66" i="67"/>
  <c r="G67" i="67"/>
  <c r="G68" i="67"/>
  <c r="G69" i="67"/>
  <c r="G70" i="67"/>
  <c r="G71" i="67"/>
  <c r="G72" i="67"/>
  <c r="G73" i="67"/>
  <c r="G138" i="67"/>
  <c r="G155" i="67"/>
  <c r="G164" i="67"/>
  <c r="G165" i="67"/>
  <c r="G166" i="67"/>
  <c r="G167" i="67"/>
  <c r="G168" i="67"/>
  <c r="G169" i="67"/>
  <c r="G170" i="67"/>
  <c r="G171" i="67"/>
  <c r="G172" i="67"/>
  <c r="G173" i="67"/>
  <c r="G174" i="67"/>
  <c r="G175" i="67"/>
  <c r="G176" i="67"/>
  <c r="G177" i="67"/>
  <c r="G178" i="67"/>
  <c r="G179" i="67"/>
  <c r="G180" i="67"/>
  <c r="G181" i="67"/>
  <c r="G182" i="67"/>
  <c r="G183" i="67"/>
  <c r="G184" i="67"/>
  <c r="K17" i="67"/>
  <c r="G25" i="136"/>
  <c r="G26" i="136"/>
  <c r="G27" i="136"/>
  <c r="G28" i="136"/>
  <c r="G29" i="136"/>
  <c r="G30" i="136"/>
  <c r="G31" i="136"/>
  <c r="G32" i="136"/>
  <c r="G33" i="136"/>
  <c r="G34" i="136"/>
  <c r="G35" i="136"/>
  <c r="G36" i="136"/>
  <c r="G37" i="136"/>
  <c r="G38" i="136"/>
  <c r="G39" i="136"/>
  <c r="G83" i="136"/>
  <c r="G93" i="136" s="1"/>
  <c r="G124" i="136"/>
  <c r="G125" i="136"/>
  <c r="G126" i="136"/>
  <c r="G127" i="136"/>
  <c r="G129" i="136"/>
  <c r="G130" i="136"/>
  <c r="G131" i="136"/>
  <c r="G132" i="136"/>
  <c r="G133" i="136"/>
  <c r="G135" i="136"/>
  <c r="G136" i="136"/>
  <c r="G137" i="136"/>
  <c r="G138" i="136"/>
  <c r="G140" i="136"/>
  <c r="G141" i="136"/>
  <c r="G142" i="136"/>
  <c r="G143" i="136"/>
  <c r="G145" i="136"/>
  <c r="G147" i="136"/>
  <c r="G148" i="136"/>
  <c r="G149" i="136"/>
  <c r="G200" i="136"/>
  <c r="G201" i="136"/>
  <c r="G202" i="136"/>
  <c r="G203" i="136"/>
  <c r="G204" i="136"/>
  <c r="G220" i="136"/>
  <c r="E221" i="136"/>
  <c r="G222" i="136"/>
  <c r="E223" i="136"/>
  <c r="G224" i="136"/>
  <c r="E225" i="136"/>
  <c r="G11" i="47"/>
  <c r="G12" i="47"/>
  <c r="G13" i="47"/>
  <c r="G14" i="47"/>
  <c r="G15" i="47"/>
  <c r="G16" i="47"/>
  <c r="G17" i="47"/>
  <c r="G18" i="47"/>
  <c r="G19" i="47"/>
  <c r="G20" i="47"/>
  <c r="G26" i="47"/>
  <c r="G27" i="47"/>
  <c r="G28" i="47"/>
  <c r="G29" i="47"/>
  <c r="G30" i="47"/>
  <c r="G31" i="47"/>
  <c r="G32" i="47"/>
  <c r="G33" i="47"/>
  <c r="G34" i="47"/>
  <c r="G35" i="47"/>
  <c r="G36" i="47"/>
  <c r="G37" i="47"/>
  <c r="G38" i="47"/>
  <c r="G39" i="47"/>
  <c r="G40" i="47"/>
  <c r="G41" i="47"/>
  <c r="G42" i="47"/>
  <c r="G43" i="47"/>
  <c r="G44" i="47"/>
  <c r="G45" i="47"/>
  <c r="G46" i="47"/>
  <c r="G47" i="47"/>
  <c r="G48" i="47"/>
  <c r="G65" i="47"/>
  <c r="G66" i="47"/>
  <c r="G67" i="47"/>
  <c r="G115" i="47"/>
  <c r="G116" i="47"/>
  <c r="G117" i="47"/>
  <c r="G118" i="47"/>
  <c r="G124" i="47"/>
  <c r="G125" i="47"/>
  <c r="G126" i="47"/>
  <c r="G127" i="47"/>
  <c r="G129" i="47"/>
  <c r="G130" i="47"/>
  <c r="G131" i="47"/>
  <c r="G132" i="47"/>
  <c r="G133" i="47"/>
  <c r="G135" i="47"/>
  <c r="G136" i="47"/>
  <c r="G137" i="47"/>
  <c r="G138" i="47"/>
  <c r="G140" i="47"/>
  <c r="G141" i="47"/>
  <c r="G142" i="47"/>
  <c r="G143" i="47"/>
  <c r="G145" i="47"/>
  <c r="G146" i="47"/>
  <c r="G147" i="47"/>
  <c r="G148" i="47"/>
  <c r="G149" i="47"/>
  <c r="G150" i="47"/>
  <c r="G151" i="47"/>
  <c r="G152" i="47"/>
  <c r="G153" i="47"/>
  <c r="G155" i="47"/>
  <c r="G156" i="47"/>
  <c r="G157" i="47"/>
  <c r="G158" i="47"/>
  <c r="G159" i="47"/>
  <c r="G160" i="47"/>
  <c r="G165" i="47"/>
  <c r="G166" i="47"/>
  <c r="G167" i="47"/>
  <c r="G168" i="47"/>
  <c r="G169" i="47"/>
  <c r="G170" i="47"/>
  <c r="G171" i="47"/>
  <c r="G172" i="47"/>
  <c r="G173" i="47"/>
  <c r="G174" i="47"/>
  <c r="G175" i="47"/>
  <c r="G176" i="47"/>
  <c r="G177" i="47"/>
  <c r="G178" i="47"/>
  <c r="G179" i="47"/>
  <c r="G180" i="47"/>
  <c r="G181" i="47"/>
  <c r="G182" i="47"/>
  <c r="G183" i="47"/>
  <c r="G184" i="47"/>
  <c r="G185" i="47"/>
  <c r="G186" i="47"/>
  <c r="G187" i="47"/>
  <c r="G26" i="46"/>
  <c r="G27" i="46"/>
  <c r="G28" i="46"/>
  <c r="G29" i="46"/>
  <c r="G30" i="46"/>
  <c r="G31" i="46"/>
  <c r="G32" i="46"/>
  <c r="G33" i="46"/>
  <c r="G34" i="46"/>
  <c r="G35" i="46"/>
  <c r="G36" i="46"/>
  <c r="G37" i="46"/>
  <c r="G38" i="46"/>
  <c r="G39" i="46"/>
  <c r="G40" i="46"/>
  <c r="G41" i="46"/>
  <c r="G42" i="46"/>
  <c r="G43" i="46"/>
  <c r="G65" i="46"/>
  <c r="G66" i="46"/>
  <c r="G67" i="46"/>
  <c r="G68" i="46"/>
  <c r="G69" i="46"/>
  <c r="G70" i="46"/>
  <c r="G71" i="46"/>
  <c r="G72" i="46"/>
  <c r="G73" i="46"/>
  <c r="G115" i="46"/>
  <c r="G116" i="46"/>
  <c r="G117" i="46"/>
  <c r="G118" i="46"/>
  <c r="G143" i="46"/>
  <c r="G152" i="46"/>
  <c r="G165" i="46"/>
  <c r="G166" i="46"/>
  <c r="G167" i="46"/>
  <c r="G168" i="46"/>
  <c r="G169" i="46"/>
  <c r="G170" i="46"/>
  <c r="G171" i="46"/>
  <c r="G172" i="46"/>
  <c r="G173" i="46"/>
  <c r="G174" i="46"/>
  <c r="G175" i="46"/>
  <c r="G176" i="46"/>
  <c r="G177" i="46"/>
  <c r="G178" i="46"/>
  <c r="G179" i="46"/>
  <c r="G180" i="46"/>
  <c r="G181" i="46"/>
  <c r="G182" i="46"/>
  <c r="G183" i="46"/>
  <c r="G184" i="46"/>
  <c r="G185" i="46"/>
  <c r="G186" i="46"/>
  <c r="G187" i="46"/>
  <c r="G188" i="46"/>
  <c r="G189" i="46"/>
  <c r="E220" i="46"/>
  <c r="G221" i="46"/>
  <c r="E227" i="46"/>
  <c r="E233" i="43"/>
  <c r="G11" i="43"/>
  <c r="G12" i="43"/>
  <c r="G13" i="43"/>
  <c r="G14" i="43"/>
  <c r="G15" i="43"/>
  <c r="G16" i="43"/>
  <c r="G17" i="43"/>
  <c r="G18" i="43"/>
  <c r="G19" i="43"/>
  <c r="G20" i="43"/>
  <c r="G124" i="43"/>
  <c r="G125" i="43"/>
  <c r="G126" i="43"/>
  <c r="G127" i="43"/>
  <c r="G129" i="43"/>
  <c r="G130" i="43"/>
  <c r="G131" i="43"/>
  <c r="G132" i="43"/>
  <c r="G133" i="43"/>
  <c r="G135" i="43"/>
  <c r="G136" i="43"/>
  <c r="G137" i="43"/>
  <c r="G138" i="43"/>
  <c r="G140" i="43"/>
  <c r="G141" i="43"/>
  <c r="G142" i="43"/>
  <c r="G143" i="43"/>
  <c r="G145" i="43"/>
  <c r="G146" i="43"/>
  <c r="G147" i="43"/>
  <c r="G148" i="43"/>
  <c r="G149" i="43"/>
  <c r="G150" i="43"/>
  <c r="G151" i="43"/>
  <c r="G152" i="43"/>
  <c r="G153" i="43"/>
  <c r="G155" i="43"/>
  <c r="G156" i="43"/>
  <c r="G157" i="43"/>
  <c r="G158" i="43"/>
  <c r="G159" i="43"/>
  <c r="G160" i="43"/>
  <c r="G166" i="43"/>
  <c r="G187" i="43"/>
  <c r="G220" i="43"/>
  <c r="E231" i="43"/>
  <c r="G232" i="43"/>
  <c r="G11" i="39"/>
  <c r="G12" i="39"/>
  <c r="G13" i="39"/>
  <c r="G14" i="39"/>
  <c r="G15" i="39"/>
  <c r="G16" i="39"/>
  <c r="G17" i="39"/>
  <c r="G18" i="39"/>
  <c r="G19" i="39"/>
  <c r="G20" i="39"/>
  <c r="G65" i="39"/>
  <c r="G66" i="39"/>
  <c r="G67" i="39"/>
  <c r="G68" i="39"/>
  <c r="G69" i="39"/>
  <c r="G70" i="39"/>
  <c r="G71" i="39"/>
  <c r="G102" i="39"/>
  <c r="G110" i="39"/>
  <c r="G124" i="39"/>
  <c r="G125" i="39"/>
  <c r="G126" i="39"/>
  <c r="G127" i="39"/>
  <c r="G129" i="39"/>
  <c r="G130" i="39"/>
  <c r="G131" i="39"/>
  <c r="G132" i="39"/>
  <c r="G133" i="39"/>
  <c r="G135" i="39"/>
  <c r="G201" i="39"/>
  <c r="G202" i="39"/>
  <c r="E220" i="39"/>
  <c r="G221" i="39"/>
  <c r="E223" i="39"/>
  <c r="G224" i="39"/>
  <c r="E225" i="39"/>
  <c r="G226" i="39"/>
  <c r="E227" i="39"/>
  <c r="G96" i="119"/>
  <c r="G97" i="119"/>
  <c r="G98" i="119"/>
  <c r="G99" i="119"/>
  <c r="G106" i="119"/>
  <c r="G107" i="119"/>
  <c r="G108" i="119"/>
  <c r="G109" i="119"/>
  <c r="G110" i="119"/>
  <c r="G124" i="119"/>
  <c r="G125" i="119"/>
  <c r="G126" i="119"/>
  <c r="G127" i="119"/>
  <c r="G129" i="119"/>
  <c r="G130" i="119"/>
  <c r="G131" i="119"/>
  <c r="G132" i="119"/>
  <c r="G133" i="119"/>
  <c r="G135" i="119"/>
  <c r="G136" i="119"/>
  <c r="G137" i="119"/>
  <c r="G138" i="119"/>
  <c r="G140" i="119"/>
  <c r="G141" i="119"/>
  <c r="G142" i="119"/>
  <c r="G143" i="119"/>
  <c r="G145" i="119"/>
  <c r="G146" i="119"/>
  <c r="G147" i="119"/>
  <c r="G148" i="119"/>
  <c r="G201" i="119"/>
  <c r="G202" i="119"/>
  <c r="G220" i="119"/>
  <c r="E221" i="119"/>
  <c r="G222" i="119"/>
  <c r="E223" i="119"/>
  <c r="G224" i="119"/>
  <c r="G226" i="119"/>
  <c r="G25" i="33"/>
  <c r="G26" i="33"/>
  <c r="G27" i="33"/>
  <c r="G28" i="33"/>
  <c r="G29" i="33"/>
  <c r="G30" i="33"/>
  <c r="G31" i="33"/>
  <c r="G32" i="33"/>
  <c r="G33" i="33"/>
  <c r="G34" i="33"/>
  <c r="G35" i="33"/>
  <c r="G36" i="33"/>
  <c r="G37" i="33"/>
  <c r="G38" i="33"/>
  <c r="G39" i="33"/>
  <c r="G40" i="33"/>
  <c r="G41" i="33"/>
  <c r="G42" i="33"/>
  <c r="G43" i="33"/>
  <c r="G44" i="33"/>
  <c r="G45" i="33"/>
  <c r="G46" i="33"/>
  <c r="G47" i="33"/>
  <c r="G48" i="33"/>
  <c r="G65" i="33"/>
  <c r="G66" i="33"/>
  <c r="G97" i="33"/>
  <c r="G124" i="33"/>
  <c r="G125" i="33"/>
  <c r="G126" i="33"/>
  <c r="G127" i="33"/>
  <c r="G129" i="33"/>
  <c r="G130" i="33"/>
  <c r="G131" i="33"/>
  <c r="G132" i="33"/>
  <c r="G133" i="33"/>
  <c r="G135" i="33"/>
  <c r="G136" i="33"/>
  <c r="G137" i="33"/>
  <c r="G138" i="33"/>
  <c r="G140" i="33"/>
  <c r="G141" i="33"/>
  <c r="G142" i="33"/>
  <c r="G143" i="33"/>
  <c r="G145" i="33"/>
  <c r="G146" i="33"/>
  <c r="G201" i="33"/>
  <c r="G202" i="33"/>
  <c r="G203" i="33"/>
  <c r="G220" i="33"/>
  <c r="E221" i="33"/>
  <c r="G222" i="33"/>
  <c r="E223" i="33"/>
  <c r="G224" i="33"/>
  <c r="E225" i="33"/>
  <c r="G83" i="32"/>
  <c r="G84" i="32"/>
  <c r="G85" i="32"/>
  <c r="G86" i="32"/>
  <c r="G87" i="32"/>
  <c r="G88" i="32"/>
  <c r="G105" i="32"/>
  <c r="G106" i="32"/>
  <c r="G107" i="32"/>
  <c r="G108" i="32"/>
  <c r="G124" i="32"/>
  <c r="G125" i="32"/>
  <c r="G126" i="32"/>
  <c r="G127" i="32"/>
  <c r="G129" i="32"/>
  <c r="G130" i="32"/>
  <c r="G131" i="32"/>
  <c r="G132" i="32"/>
  <c r="G133" i="32"/>
  <c r="G135" i="32"/>
  <c r="G136" i="32"/>
  <c r="G138" i="32"/>
  <c r="G140" i="32"/>
  <c r="G105" i="79"/>
  <c r="G106" i="79"/>
  <c r="G179" i="79"/>
  <c r="G187" i="79"/>
  <c r="G201" i="79"/>
  <c r="G202" i="79"/>
  <c r="G203" i="79"/>
  <c r="G204" i="79"/>
  <c r="G205" i="79"/>
  <c r="E220" i="79"/>
  <c r="E221" i="79"/>
  <c r="E222" i="79"/>
  <c r="E223" i="79"/>
  <c r="E224" i="79"/>
  <c r="E225" i="79"/>
  <c r="E226" i="79"/>
  <c r="E227" i="79"/>
  <c r="G59" i="16"/>
  <c r="G184" i="16"/>
  <c r="G201" i="16"/>
  <c r="G202" i="16"/>
  <c r="G44" i="55"/>
  <c r="G48" i="55"/>
  <c r="G83" i="55"/>
  <c r="G84" i="55"/>
  <c r="G85" i="55"/>
  <c r="G86" i="55"/>
  <c r="G87" i="55"/>
  <c r="G88" i="55"/>
  <c r="G89" i="55"/>
  <c r="G90" i="55"/>
  <c r="G91" i="55"/>
  <c r="G92" i="55"/>
  <c r="G124" i="55"/>
  <c r="G125" i="55"/>
  <c r="G126" i="55"/>
  <c r="G127" i="55"/>
  <c r="G129" i="55"/>
  <c r="G130" i="55"/>
  <c r="G131" i="55"/>
  <c r="G132" i="55"/>
  <c r="G133" i="55"/>
  <c r="G135" i="55"/>
  <c r="G136" i="55"/>
  <c r="G137" i="55"/>
  <c r="G138" i="55"/>
  <c r="G140" i="55"/>
  <c r="G141" i="55"/>
  <c r="G142" i="55"/>
  <c r="G143" i="55"/>
  <c r="G145" i="55"/>
  <c r="G146" i="55"/>
  <c r="G147" i="55"/>
  <c r="G148" i="55"/>
  <c r="G149" i="55"/>
  <c r="G150" i="55"/>
  <c r="G151" i="55"/>
  <c r="G152" i="55"/>
  <c r="G153" i="55"/>
  <c r="G155" i="55"/>
  <c r="G156" i="55"/>
  <c r="G157" i="55"/>
  <c r="G158" i="55"/>
  <c r="G159" i="55"/>
  <c r="G160" i="55"/>
  <c r="G165" i="55"/>
  <c r="G166" i="55"/>
  <c r="G167" i="55"/>
  <c r="G168" i="55"/>
  <c r="G169" i="55"/>
  <c r="G170" i="55"/>
  <c r="G171" i="55"/>
  <c r="G172" i="55"/>
  <c r="G173" i="55"/>
  <c r="G174" i="55"/>
  <c r="G175" i="55"/>
  <c r="G176" i="55"/>
  <c r="G177" i="55"/>
  <c r="G178" i="55"/>
  <c r="G179" i="55"/>
  <c r="G180" i="55"/>
  <c r="G181" i="55"/>
  <c r="G182" i="55"/>
  <c r="G183" i="55"/>
  <c r="G184" i="55"/>
  <c r="G185" i="55"/>
  <c r="G186" i="55"/>
  <c r="G187" i="55"/>
  <c r="G188" i="55"/>
  <c r="G189" i="55"/>
  <c r="G190" i="55"/>
  <c r="G191" i="55"/>
  <c r="G192" i="55"/>
  <c r="G193" i="55"/>
  <c r="G194" i="55"/>
  <c r="G195" i="55"/>
  <c r="G196" i="55"/>
  <c r="G200" i="55"/>
  <c r="G201" i="55"/>
  <c r="G202" i="55"/>
  <c r="G203" i="55"/>
  <c r="G204" i="55"/>
  <c r="G205" i="55"/>
  <c r="E220" i="55"/>
  <c r="E221" i="55"/>
  <c r="E222" i="55"/>
  <c r="E223" i="55"/>
  <c r="E224" i="55"/>
  <c r="E225" i="55"/>
  <c r="E226" i="55"/>
  <c r="E227" i="55"/>
  <c r="E231" i="55"/>
  <c r="G232" i="55"/>
  <c r="E233" i="14"/>
  <c r="E227" i="14"/>
  <c r="G226" i="14"/>
  <c r="E225" i="14"/>
  <c r="G224" i="14"/>
  <c r="E223" i="14"/>
  <c r="G222" i="14"/>
  <c r="E221" i="14"/>
  <c r="G220" i="14"/>
  <c r="M12" i="14" s="1"/>
  <c r="G200" i="14"/>
  <c r="G173" i="14"/>
  <c r="G172" i="14"/>
  <c r="G171" i="14"/>
  <c r="G170" i="14"/>
  <c r="G169" i="14"/>
  <c r="G168" i="14"/>
  <c r="G167" i="14"/>
  <c r="G166" i="14"/>
  <c r="G165" i="14"/>
  <c r="G164" i="14"/>
  <c r="G160" i="14"/>
  <c r="G105" i="14"/>
  <c r="G99" i="14"/>
  <c r="G98" i="14"/>
  <c r="G97" i="14"/>
  <c r="G96" i="14"/>
  <c r="G82" i="14"/>
  <c r="G64" i="14"/>
  <c r="G60" i="14"/>
  <c r="G44" i="14"/>
  <c r="G43" i="14"/>
  <c r="G42" i="14"/>
  <c r="G41" i="14"/>
  <c r="G40" i="14"/>
  <c r="G39" i="14"/>
  <c r="G38" i="14"/>
  <c r="G37" i="14"/>
  <c r="G36" i="14"/>
  <c r="G35" i="14"/>
  <c r="G34" i="14"/>
  <c r="G33" i="14"/>
  <c r="G32" i="14"/>
  <c r="G31" i="14"/>
  <c r="G30" i="14"/>
  <c r="G29" i="14"/>
  <c r="G28" i="14"/>
  <c r="G27" i="14"/>
  <c r="G26" i="14"/>
  <c r="G25" i="14"/>
  <c r="G21" i="14"/>
  <c r="G18" i="57"/>
  <c r="G42" i="57"/>
  <c r="G43" i="57"/>
  <c r="G44" i="57"/>
  <c r="G45" i="57"/>
  <c r="G46" i="57"/>
  <c r="G47" i="57"/>
  <c r="G48" i="57"/>
  <c r="G49" i="57"/>
  <c r="G50" i="57"/>
  <c r="G51" i="57"/>
  <c r="G52" i="57"/>
  <c r="G53" i="57"/>
  <c r="G54" i="57"/>
  <c r="G55" i="57"/>
  <c r="G56" i="57"/>
  <c r="G57" i="57"/>
  <c r="G58" i="57"/>
  <c r="G59" i="57"/>
  <c r="G60" i="57"/>
  <c r="G64" i="57"/>
  <c r="G66" i="57"/>
  <c r="G67" i="57"/>
  <c r="G68" i="57"/>
  <c r="G69" i="57"/>
  <c r="G70" i="57"/>
  <c r="G71" i="57"/>
  <c r="G72" i="57"/>
  <c r="G73" i="57"/>
  <c r="G74" i="57"/>
  <c r="G75" i="57"/>
  <c r="G76" i="57"/>
  <c r="G77" i="57"/>
  <c r="G78" i="57"/>
  <c r="G83" i="57"/>
  <c r="G84" i="57"/>
  <c r="G85" i="57"/>
  <c r="G86" i="57"/>
  <c r="G87" i="57"/>
  <c r="G88" i="57"/>
  <c r="G89" i="57"/>
  <c r="G90" i="57"/>
  <c r="G91" i="57"/>
  <c r="G92" i="57"/>
  <c r="G106" i="57"/>
  <c r="G107" i="57"/>
  <c r="G108" i="57"/>
  <c r="G109" i="57"/>
  <c r="G110" i="57"/>
  <c r="G123" i="57"/>
  <c r="G124" i="57"/>
  <c r="G125" i="57"/>
  <c r="G126" i="57"/>
  <c r="G127" i="57"/>
  <c r="G129" i="57"/>
  <c r="G130" i="57"/>
  <c r="G131" i="57"/>
  <c r="G132" i="57"/>
  <c r="G133" i="57"/>
  <c r="G135" i="57"/>
  <c r="G136" i="57"/>
  <c r="G137" i="57"/>
  <c r="G138" i="57"/>
  <c r="G140" i="57"/>
  <c r="G141" i="57"/>
  <c r="G142" i="57"/>
  <c r="G143" i="57"/>
  <c r="G145" i="57"/>
  <c r="G146" i="57"/>
  <c r="G147" i="57"/>
  <c r="G148" i="57"/>
  <c r="G149" i="57"/>
  <c r="G150" i="57"/>
  <c r="G151" i="57"/>
  <c r="G152" i="57"/>
  <c r="G153" i="57"/>
  <c r="G155" i="57"/>
  <c r="G156" i="57"/>
  <c r="G157" i="57"/>
  <c r="G158" i="57"/>
  <c r="G159" i="57"/>
  <c r="G165" i="57"/>
  <c r="G166" i="57"/>
  <c r="G168" i="57"/>
  <c r="G169" i="57"/>
  <c r="G170" i="57"/>
  <c r="G171" i="57"/>
  <c r="G172" i="57"/>
  <c r="G173" i="57"/>
  <c r="G174" i="57"/>
  <c r="G175" i="57"/>
  <c r="G176" i="57"/>
  <c r="G177" i="57"/>
  <c r="G178" i="57"/>
  <c r="G179" i="57"/>
  <c r="G180" i="57"/>
  <c r="G181" i="57"/>
  <c r="G182" i="57"/>
  <c r="G184" i="57"/>
  <c r="G185" i="57"/>
  <c r="G186" i="57"/>
  <c r="G187" i="57"/>
  <c r="G188" i="57"/>
  <c r="G189" i="57"/>
  <c r="G190" i="57"/>
  <c r="G191" i="57"/>
  <c r="G192" i="57"/>
  <c r="G193" i="57"/>
  <c r="G194" i="57"/>
  <c r="G195" i="57"/>
  <c r="G196" i="57"/>
  <c r="K17" i="57"/>
  <c r="K18" i="57"/>
  <c r="G50" i="89"/>
  <c r="G58" i="89"/>
  <c r="G82" i="89"/>
  <c r="G51" i="91"/>
  <c r="G64" i="91"/>
  <c r="G65" i="91"/>
  <c r="G66" i="91"/>
  <c r="G67" i="91"/>
  <c r="G68" i="91"/>
  <c r="G69" i="91"/>
  <c r="G70" i="91"/>
  <c r="G71" i="91"/>
  <c r="G72" i="91"/>
  <c r="G73" i="91"/>
  <c r="G82" i="91"/>
  <c r="G83" i="91"/>
  <c r="G84" i="91"/>
  <c r="G85" i="91"/>
  <c r="G200" i="91"/>
  <c r="G201" i="91"/>
  <c r="G202" i="91"/>
  <c r="G203" i="91"/>
  <c r="G204" i="91"/>
  <c r="G205" i="91"/>
  <c r="E220" i="91"/>
  <c r="E221" i="91"/>
  <c r="E222" i="91"/>
  <c r="E223" i="91"/>
  <c r="E224" i="91"/>
  <c r="E225" i="91"/>
  <c r="E226" i="91"/>
  <c r="E227" i="91"/>
  <c r="G26" i="92"/>
  <c r="G27" i="92"/>
  <c r="G28" i="92"/>
  <c r="G29" i="92"/>
  <c r="G30" i="92"/>
  <c r="G31" i="92"/>
  <c r="G32" i="92"/>
  <c r="G33" i="92"/>
  <c r="G35" i="92"/>
  <c r="G36" i="92"/>
  <c r="G37" i="92"/>
  <c r="G38" i="92"/>
  <c r="G39" i="92"/>
  <c r="G40" i="92"/>
  <c r="G41" i="92"/>
  <c r="G42" i="92"/>
  <c r="G43" i="92"/>
  <c r="G45" i="92"/>
  <c r="G46" i="92"/>
  <c r="G47" i="92"/>
  <c r="G48" i="92"/>
  <c r="G49" i="92"/>
  <c r="G50" i="92"/>
  <c r="G51" i="92"/>
  <c r="G52" i="92"/>
  <c r="G53" i="92"/>
  <c r="G54" i="92"/>
  <c r="G55" i="92"/>
  <c r="G56" i="92"/>
  <c r="G57" i="92"/>
  <c r="G58" i="92"/>
  <c r="G175" i="92"/>
  <c r="G176" i="92"/>
  <c r="G177" i="92"/>
  <c r="G178" i="92"/>
  <c r="G179" i="92"/>
  <c r="G180" i="92"/>
  <c r="G181" i="92"/>
  <c r="G182" i="92"/>
  <c r="G45" i="113"/>
  <c r="G65" i="113"/>
  <c r="G66" i="113"/>
  <c r="G67" i="113"/>
  <c r="G68" i="113"/>
  <c r="G87" i="113"/>
  <c r="G105" i="113"/>
  <c r="G106" i="113"/>
  <c r="G107" i="113"/>
  <c r="G124" i="113"/>
  <c r="G125" i="113"/>
  <c r="G126" i="113"/>
  <c r="G127" i="113"/>
  <c r="G129" i="113"/>
  <c r="G30" i="90"/>
  <c r="G42" i="90"/>
  <c r="G43" i="90"/>
  <c r="G44" i="90"/>
  <c r="G45" i="90"/>
  <c r="G46" i="90"/>
  <c r="G47" i="90"/>
  <c r="G48" i="90"/>
  <c r="G49" i="90"/>
  <c r="G50" i="90"/>
  <c r="G51" i="90"/>
  <c r="G74" i="90"/>
  <c r="G75" i="90"/>
  <c r="G76" i="90"/>
  <c r="G77" i="90"/>
  <c r="G86" i="90"/>
  <c r="G11" i="20"/>
  <c r="G12" i="20"/>
  <c r="G13" i="20"/>
  <c r="G14" i="20"/>
  <c r="G15" i="20"/>
  <c r="G16" i="20"/>
  <c r="G17" i="20"/>
  <c r="G18" i="20"/>
  <c r="G19" i="20"/>
  <c r="G20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6" i="20"/>
  <c r="G47" i="20"/>
  <c r="G48" i="20"/>
  <c r="G70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200" i="20"/>
  <c r="G201" i="20"/>
  <c r="G202" i="20"/>
  <c r="G203" i="20"/>
  <c r="G204" i="20"/>
  <c r="G205" i="20"/>
  <c r="E220" i="20"/>
  <c r="E221" i="20"/>
  <c r="E222" i="20"/>
  <c r="E223" i="20"/>
  <c r="E224" i="20"/>
  <c r="E225" i="20"/>
  <c r="E226" i="20"/>
  <c r="E227" i="20"/>
  <c r="E231" i="20"/>
  <c r="G232" i="20"/>
  <c r="G15" i="87"/>
  <c r="G25" i="87"/>
  <c r="G26" i="87"/>
  <c r="G27" i="87"/>
  <c r="G28" i="87"/>
  <c r="G29" i="87"/>
  <c r="G30" i="87"/>
  <c r="G31" i="87"/>
  <c r="G32" i="87"/>
  <c r="G33" i="87"/>
  <c r="G34" i="87"/>
  <c r="G35" i="87"/>
  <c r="G36" i="87"/>
  <c r="G38" i="87"/>
  <c r="G39" i="87"/>
  <c r="G40" i="87"/>
  <c r="G41" i="87"/>
  <c r="G42" i="87"/>
  <c r="G43" i="87"/>
  <c r="G44" i="87"/>
  <c r="G45" i="87"/>
  <c r="G46" i="87"/>
  <c r="G47" i="87"/>
  <c r="G48" i="87"/>
  <c r="G65" i="87"/>
  <c r="G165" i="87"/>
  <c r="G166" i="87"/>
  <c r="G167" i="87"/>
  <c r="G168" i="87"/>
  <c r="G169" i="87"/>
  <c r="G170" i="87"/>
  <c r="G171" i="87"/>
  <c r="G172" i="87"/>
  <c r="G173" i="87"/>
  <c r="G174" i="87"/>
  <c r="G175" i="87"/>
  <c r="G176" i="87"/>
  <c r="G177" i="87"/>
  <c r="G178" i="87"/>
  <c r="G179" i="87"/>
  <c r="G180" i="87"/>
  <c r="G64" i="42"/>
  <c r="G65" i="42"/>
  <c r="G66" i="42"/>
  <c r="G67" i="42"/>
  <c r="G69" i="42"/>
  <c r="G70" i="42"/>
  <c r="G71" i="42"/>
  <c r="G72" i="42"/>
  <c r="G73" i="42"/>
  <c r="G74" i="42"/>
  <c r="G75" i="42"/>
  <c r="G76" i="42"/>
  <c r="G77" i="42"/>
  <c r="G78" i="42"/>
  <c r="G124" i="42"/>
  <c r="G125" i="42"/>
  <c r="G126" i="42"/>
  <c r="G127" i="42"/>
  <c r="G129" i="42"/>
  <c r="G130" i="42"/>
  <c r="G132" i="42"/>
  <c r="G133" i="42"/>
  <c r="G165" i="42"/>
  <c r="G166" i="42"/>
  <c r="G167" i="42"/>
  <c r="G168" i="42"/>
  <c r="G169" i="42"/>
  <c r="G170" i="42"/>
  <c r="G171" i="42"/>
  <c r="G172" i="42"/>
  <c r="G174" i="42"/>
  <c r="G200" i="42"/>
  <c r="G201" i="42"/>
  <c r="G202" i="42"/>
  <c r="G203" i="42"/>
  <c r="G204" i="42"/>
  <c r="G205" i="42"/>
  <c r="E220" i="42"/>
  <c r="E221" i="42"/>
  <c r="E222" i="42"/>
  <c r="E223" i="42"/>
  <c r="E224" i="42"/>
  <c r="E225" i="42"/>
  <c r="E226" i="42"/>
  <c r="E227" i="42"/>
  <c r="E231" i="42"/>
  <c r="G232" i="42"/>
  <c r="G26" i="106"/>
  <c r="G27" i="106"/>
  <c r="G28" i="106"/>
  <c r="G29" i="106"/>
  <c r="G30" i="106"/>
  <c r="G31" i="106"/>
  <c r="G32" i="106"/>
  <c r="G33" i="106"/>
  <c r="G34" i="106"/>
  <c r="G35" i="106"/>
  <c r="G36" i="106"/>
  <c r="G37" i="106"/>
  <c r="G38" i="106"/>
  <c r="G39" i="106"/>
  <c r="G40" i="106"/>
  <c r="G41" i="106"/>
  <c r="G42" i="106"/>
  <c r="G77" i="106"/>
  <c r="G84" i="106"/>
  <c r="G96" i="106"/>
  <c r="G97" i="106"/>
  <c r="G195" i="106"/>
  <c r="G69" i="104"/>
  <c r="G79" i="104" s="1"/>
  <c r="G82" i="104"/>
  <c r="G83" i="104"/>
  <c r="G84" i="104"/>
  <c r="G85" i="104"/>
  <c r="G86" i="104"/>
  <c r="G157" i="104"/>
  <c r="G164" i="104"/>
  <c r="G165" i="104"/>
  <c r="G166" i="104"/>
  <c r="G167" i="104"/>
  <c r="G169" i="104"/>
  <c r="G170" i="104"/>
  <c r="G171" i="104"/>
  <c r="G172" i="104"/>
  <c r="G173" i="104"/>
  <c r="G174" i="104"/>
  <c r="G175" i="104"/>
  <c r="G176" i="104"/>
  <c r="G177" i="104"/>
  <c r="G178" i="104"/>
  <c r="G179" i="104"/>
  <c r="G180" i="104"/>
  <c r="G181" i="104"/>
  <c r="G182" i="104"/>
  <c r="G183" i="104"/>
  <c r="G184" i="104"/>
  <c r="G185" i="104"/>
  <c r="G186" i="104"/>
  <c r="G187" i="104"/>
  <c r="G188" i="104"/>
  <c r="G189" i="104"/>
  <c r="G190" i="104"/>
  <c r="K17" i="104"/>
  <c r="G25" i="100"/>
  <c r="G26" i="100"/>
  <c r="G27" i="100"/>
  <c r="G28" i="100"/>
  <c r="G29" i="100"/>
  <c r="G30" i="100"/>
  <c r="G31" i="100"/>
  <c r="G32" i="100"/>
  <c r="G33" i="100"/>
  <c r="G34" i="100"/>
  <c r="G35" i="100"/>
  <c r="G36" i="100"/>
  <c r="G37" i="100"/>
  <c r="G38" i="100"/>
  <c r="G39" i="100"/>
  <c r="G40" i="100"/>
  <c r="G66" i="100"/>
  <c r="G83" i="100"/>
  <c r="G117" i="100"/>
  <c r="G118" i="100"/>
  <c r="G124" i="100"/>
  <c r="G125" i="100"/>
  <c r="G126" i="100"/>
  <c r="G127" i="100"/>
  <c r="G129" i="100"/>
  <c r="G130" i="100"/>
  <c r="G131" i="100"/>
  <c r="G132" i="100"/>
  <c r="G133" i="100"/>
  <c r="G135" i="100"/>
  <c r="G136" i="100"/>
  <c r="G137" i="100"/>
  <c r="G138" i="100"/>
  <c r="G140" i="100"/>
  <c r="G141" i="100"/>
  <c r="G142" i="100"/>
  <c r="G143" i="100"/>
  <c r="G145" i="100"/>
  <c r="G146" i="100"/>
  <c r="G147" i="100"/>
  <c r="G148" i="100"/>
  <c r="G149" i="100"/>
  <c r="G150" i="100"/>
  <c r="G151" i="100"/>
  <c r="G152" i="100"/>
  <c r="G153" i="100"/>
  <c r="G155" i="100"/>
  <c r="G156" i="100"/>
  <c r="G157" i="100"/>
  <c r="G158" i="100"/>
  <c r="G159" i="100"/>
  <c r="G160" i="100"/>
  <c r="G191" i="100"/>
  <c r="G201" i="100"/>
  <c r="G202" i="100"/>
  <c r="G203" i="100"/>
  <c r="G204" i="100"/>
  <c r="G205" i="100"/>
  <c r="E220" i="100"/>
  <c r="G221" i="100"/>
  <c r="E222" i="100"/>
  <c r="G223" i="100"/>
  <c r="E224" i="100"/>
  <c r="G225" i="100"/>
  <c r="E226" i="100"/>
  <c r="G227" i="100"/>
  <c r="G11" i="84"/>
  <c r="G12" i="84"/>
  <c r="G13" i="84"/>
  <c r="G14" i="84"/>
  <c r="G15" i="84"/>
  <c r="G16" i="84"/>
  <c r="G17" i="84"/>
  <c r="G18" i="84"/>
  <c r="G19" i="84"/>
  <c r="G20" i="84"/>
  <c r="G26" i="84"/>
  <c r="G27" i="84"/>
  <c r="G28" i="84"/>
  <c r="G29" i="84"/>
  <c r="G30" i="84"/>
  <c r="G31" i="84"/>
  <c r="G32" i="84"/>
  <c r="G33" i="84"/>
  <c r="G34" i="84"/>
  <c r="G35" i="84"/>
  <c r="G36" i="84"/>
  <c r="G37" i="84"/>
  <c r="G38" i="84"/>
  <c r="G39" i="84"/>
  <c r="G41" i="84"/>
  <c r="G42" i="84"/>
  <c r="G43" i="84"/>
  <c r="G44" i="84"/>
  <c r="G45" i="84"/>
  <c r="G46" i="84"/>
  <c r="G47" i="84"/>
  <c r="G48" i="84"/>
  <c r="G49" i="84"/>
  <c r="G50" i="84"/>
  <c r="G51" i="84"/>
  <c r="G52" i="84"/>
  <c r="G53" i="84"/>
  <c r="G54" i="84"/>
  <c r="G55" i="84"/>
  <c r="G56" i="84"/>
  <c r="G57" i="84"/>
  <c r="G58" i="84"/>
  <c r="G59" i="84"/>
  <c r="G60" i="84"/>
  <c r="G65" i="84"/>
  <c r="G67" i="84"/>
  <c r="G68" i="84"/>
  <c r="G69" i="84"/>
  <c r="G70" i="84"/>
  <c r="G71" i="84"/>
  <c r="G72" i="84"/>
  <c r="G73" i="84"/>
  <c r="G74" i="84"/>
  <c r="G75" i="84"/>
  <c r="G76" i="84"/>
  <c r="G77" i="84"/>
  <c r="G78" i="84"/>
  <c r="G102" i="84"/>
  <c r="G105" i="84"/>
  <c r="G106" i="84"/>
  <c r="G108" i="84"/>
  <c r="G109" i="84"/>
  <c r="G110" i="84"/>
  <c r="G124" i="84"/>
  <c r="G125" i="84"/>
  <c r="G126" i="84"/>
  <c r="G127" i="84"/>
  <c r="G129" i="84"/>
  <c r="G130" i="84"/>
  <c r="G131" i="84"/>
  <c r="G132" i="84"/>
  <c r="G133" i="84"/>
  <c r="G135" i="84"/>
  <c r="G136" i="84"/>
  <c r="G137" i="84"/>
  <c r="G138" i="84"/>
  <c r="G140" i="84"/>
  <c r="G141" i="84"/>
  <c r="G142" i="84"/>
  <c r="G143" i="84"/>
  <c r="G145" i="84"/>
  <c r="G147" i="84"/>
  <c r="G148" i="84"/>
  <c r="G149" i="84"/>
  <c r="G150" i="84"/>
  <c r="G151" i="84"/>
  <c r="G152" i="84"/>
  <c r="G153" i="84"/>
  <c r="G155" i="84"/>
  <c r="G156" i="84"/>
  <c r="G158" i="84"/>
  <c r="G159" i="84"/>
  <c r="G160" i="84"/>
  <c r="G201" i="84"/>
  <c r="G202" i="84"/>
  <c r="G203" i="84"/>
  <c r="G204" i="84"/>
  <c r="G205" i="84"/>
  <c r="G220" i="84"/>
  <c r="E221" i="84"/>
  <c r="G222" i="84"/>
  <c r="E223" i="84"/>
  <c r="G224" i="84"/>
  <c r="E225" i="84"/>
  <c r="G226" i="84"/>
  <c r="E227" i="84"/>
  <c r="E231" i="84"/>
  <c r="E232" i="84"/>
  <c r="G66" i="69"/>
  <c r="G67" i="69"/>
  <c r="G68" i="69"/>
  <c r="G69" i="69"/>
  <c r="G70" i="69"/>
  <c r="G71" i="69"/>
  <c r="G72" i="69"/>
  <c r="G73" i="69"/>
  <c r="G74" i="69"/>
  <c r="G75" i="69"/>
  <c r="G76" i="69"/>
  <c r="G77" i="69"/>
  <c r="G78" i="69"/>
  <c r="G83" i="69"/>
  <c r="G84" i="69"/>
  <c r="G85" i="69"/>
  <c r="G86" i="69"/>
  <c r="G87" i="69"/>
  <c r="G88" i="69"/>
  <c r="G89" i="69"/>
  <c r="G90" i="69"/>
  <c r="G91" i="69"/>
  <c r="G92" i="69"/>
  <c r="G96" i="69"/>
  <c r="G97" i="69"/>
  <c r="G98" i="69"/>
  <c r="G99" i="69"/>
  <c r="G101" i="69"/>
  <c r="G105" i="69"/>
  <c r="G106" i="69"/>
  <c r="G107" i="69"/>
  <c r="G108" i="69"/>
  <c r="G109" i="69"/>
  <c r="G110" i="69"/>
  <c r="G114" i="69"/>
  <c r="G124" i="69"/>
  <c r="G125" i="69"/>
  <c r="G126" i="69"/>
  <c r="G127" i="69"/>
  <c r="G129" i="69"/>
  <c r="G130" i="69"/>
  <c r="G131" i="69"/>
  <c r="G132" i="69"/>
  <c r="G133" i="69"/>
  <c r="G135" i="69"/>
  <c r="G136" i="69"/>
  <c r="G137" i="69"/>
  <c r="G138" i="69"/>
  <c r="G140" i="69"/>
  <c r="G141" i="69"/>
  <c r="G142" i="69"/>
  <c r="G143" i="69"/>
  <c r="G145" i="69"/>
  <c r="G146" i="69"/>
  <c r="G147" i="69"/>
  <c r="G148" i="69"/>
  <c r="G164" i="69"/>
  <c r="K17" i="69"/>
  <c r="K18" i="69"/>
  <c r="E220" i="69"/>
  <c r="G221" i="69"/>
  <c r="E222" i="69"/>
  <c r="G223" i="69"/>
  <c r="E224" i="69"/>
  <c r="G225" i="69"/>
  <c r="G11" i="49"/>
  <c r="G12" i="49"/>
  <c r="G13" i="49"/>
  <c r="G14" i="49"/>
  <c r="G15" i="49"/>
  <c r="G16" i="49"/>
  <c r="G17" i="49"/>
  <c r="G18" i="49"/>
  <c r="G19" i="49"/>
  <c r="G20" i="49"/>
  <c r="G26" i="49"/>
  <c r="G28" i="49"/>
  <c r="G29" i="49"/>
  <c r="G30" i="49"/>
  <c r="G37" i="49"/>
  <c r="G38" i="49"/>
  <c r="G39" i="49"/>
  <c r="G40" i="49"/>
  <c r="G41" i="49"/>
  <c r="G42" i="49"/>
  <c r="G43" i="49"/>
  <c r="G44" i="49"/>
  <c r="G45" i="49"/>
  <c r="G46" i="49"/>
  <c r="G48" i="49"/>
  <c r="G60" i="49"/>
  <c r="G65" i="49"/>
  <c r="G68" i="49"/>
  <c r="G69" i="49"/>
  <c r="G70" i="49"/>
  <c r="G71" i="49"/>
  <c r="G72" i="49"/>
  <c r="G73" i="49"/>
  <c r="G74" i="49"/>
  <c r="G76" i="49"/>
  <c r="G77" i="49"/>
  <c r="G78" i="49"/>
  <c r="G82" i="49"/>
  <c r="G83" i="49"/>
  <c r="G84" i="49"/>
  <c r="G88" i="49"/>
  <c r="G89" i="49"/>
  <c r="G90" i="49"/>
  <c r="G96" i="49"/>
  <c r="G97" i="49"/>
  <c r="G98" i="49"/>
  <c r="G99" i="49"/>
  <c r="G100" i="49"/>
  <c r="G105" i="49"/>
  <c r="G106" i="49"/>
  <c r="G107" i="49"/>
  <c r="G108" i="49"/>
  <c r="G109" i="49"/>
  <c r="G110" i="49"/>
  <c r="G124" i="49"/>
  <c r="G125" i="49"/>
  <c r="G126" i="49"/>
  <c r="G127" i="49"/>
  <c r="G129" i="49"/>
  <c r="G130" i="49"/>
  <c r="G131" i="49"/>
  <c r="G132" i="49"/>
  <c r="G133" i="49"/>
  <c r="G135" i="49"/>
  <c r="G136" i="49"/>
  <c r="G137" i="49"/>
  <c r="G138" i="49"/>
  <c r="G140" i="49"/>
  <c r="G141" i="49"/>
  <c r="G142" i="49"/>
  <c r="G143" i="49"/>
  <c r="G145" i="49"/>
  <c r="G146" i="49"/>
  <c r="G147" i="49"/>
  <c r="G148" i="49"/>
  <c r="G149" i="49"/>
  <c r="G150" i="49"/>
  <c r="G151" i="49"/>
  <c r="G160" i="49"/>
  <c r="G165" i="49"/>
  <c r="G166" i="49"/>
  <c r="G167" i="49"/>
  <c r="G168" i="49"/>
  <c r="G169" i="49"/>
  <c r="G170" i="49"/>
  <c r="G171" i="49"/>
  <c r="G172" i="49"/>
  <c r="G173" i="49"/>
  <c r="G174" i="49"/>
  <c r="G175" i="49"/>
  <c r="G176" i="49"/>
  <c r="G177" i="49"/>
  <c r="G178" i="49"/>
  <c r="G179" i="49"/>
  <c r="G180" i="49"/>
  <c r="G181" i="49"/>
  <c r="G195" i="49"/>
  <c r="G196" i="49"/>
  <c r="G200" i="49"/>
  <c r="G201" i="49"/>
  <c r="G202" i="49"/>
  <c r="G203" i="49"/>
  <c r="G204" i="49"/>
  <c r="G205" i="49"/>
  <c r="G220" i="49"/>
  <c r="E221" i="49"/>
  <c r="E222" i="49"/>
  <c r="G223" i="49"/>
  <c r="E224" i="49"/>
  <c r="E225" i="49"/>
  <c r="E226" i="49"/>
  <c r="E227" i="49"/>
  <c r="G25" i="38"/>
  <c r="G26" i="38"/>
  <c r="G27" i="38"/>
  <c r="G28" i="38"/>
  <c r="G29" i="38"/>
  <c r="G30" i="38"/>
  <c r="G31" i="38"/>
  <c r="G32" i="38"/>
  <c r="G33" i="38"/>
  <c r="G34" i="38"/>
  <c r="G35" i="38"/>
  <c r="G36" i="38"/>
  <c r="G37" i="38"/>
  <c r="G38" i="38"/>
  <c r="G39" i="38"/>
  <c r="G40" i="38"/>
  <c r="G41" i="38"/>
  <c r="G66" i="38"/>
  <c r="G67" i="38"/>
  <c r="G68" i="38"/>
  <c r="G69" i="38"/>
  <c r="G70" i="38"/>
  <c r="G71" i="38"/>
  <c r="G72" i="38"/>
  <c r="G73" i="38"/>
  <c r="G74" i="38"/>
  <c r="G75" i="38"/>
  <c r="G76" i="38"/>
  <c r="G77" i="38"/>
  <c r="G78" i="38"/>
  <c r="G84" i="38"/>
  <c r="G85" i="38"/>
  <c r="G86" i="38"/>
  <c r="G87" i="38"/>
  <c r="G88" i="38"/>
  <c r="G89" i="38"/>
  <c r="G90" i="38"/>
  <c r="G92" i="38"/>
  <c r="G96" i="38"/>
  <c r="G97" i="38"/>
  <c r="G98" i="38"/>
  <c r="G99" i="38"/>
  <c r="G100" i="38"/>
  <c r="G101" i="38"/>
  <c r="G105" i="38"/>
  <c r="G106" i="38"/>
  <c r="G107" i="38"/>
  <c r="G108" i="38"/>
  <c r="G109" i="38"/>
  <c r="G110" i="38"/>
  <c r="G124" i="38"/>
  <c r="G125" i="38"/>
  <c r="G126" i="38"/>
  <c r="G127" i="38"/>
  <c r="G129" i="38"/>
  <c r="G130" i="38"/>
  <c r="G131" i="38"/>
  <c r="G132" i="38"/>
  <c r="G133" i="38"/>
  <c r="G135" i="38"/>
  <c r="G136" i="38"/>
  <c r="G137" i="38"/>
  <c r="G138" i="38"/>
  <c r="G140" i="38"/>
  <c r="G141" i="38"/>
  <c r="G142" i="38"/>
  <c r="G143" i="38"/>
  <c r="G145" i="38"/>
  <c r="G146" i="38"/>
  <c r="G147" i="38"/>
  <c r="G148" i="38"/>
  <c r="G149" i="38"/>
  <c r="G150" i="38"/>
  <c r="G151" i="38"/>
  <c r="G152" i="38"/>
  <c r="G153" i="38"/>
  <c r="G155" i="38"/>
  <c r="G156" i="38"/>
  <c r="G157" i="38"/>
  <c r="G158" i="38"/>
  <c r="G159" i="38"/>
  <c r="G160" i="38"/>
  <c r="K17" i="38"/>
  <c r="K18" i="38"/>
  <c r="E232" i="38"/>
  <c r="G11" i="60"/>
  <c r="G12" i="60"/>
  <c r="G13" i="60"/>
  <c r="G14" i="60"/>
  <c r="G15" i="60"/>
  <c r="G16" i="60"/>
  <c r="G17" i="60"/>
  <c r="G18" i="60"/>
  <c r="G19" i="60"/>
  <c r="G20" i="60"/>
  <c r="G25" i="60"/>
  <c r="G26" i="60"/>
  <c r="G27" i="60"/>
  <c r="G28" i="60"/>
  <c r="G29" i="60"/>
  <c r="G30" i="60"/>
  <c r="G31" i="60"/>
  <c r="G32" i="60"/>
  <c r="G33" i="60"/>
  <c r="G34" i="60"/>
  <c r="G35" i="60"/>
  <c r="G36" i="60"/>
  <c r="G37" i="60"/>
  <c r="G38" i="60"/>
  <c r="G39" i="60"/>
  <c r="G40" i="60"/>
  <c r="G41" i="60"/>
  <c r="G42" i="60"/>
  <c r="G43" i="60"/>
  <c r="G44" i="60"/>
  <c r="G45" i="60"/>
  <c r="G46" i="60"/>
  <c r="G47" i="60"/>
  <c r="G48" i="60"/>
  <c r="G49" i="60"/>
  <c r="G50" i="60"/>
  <c r="G51" i="60"/>
  <c r="G52" i="60"/>
  <c r="G53" i="60"/>
  <c r="G54" i="60"/>
  <c r="G55" i="60"/>
  <c r="G56" i="60"/>
  <c r="G57" i="60"/>
  <c r="G58" i="60"/>
  <c r="G59" i="60"/>
  <c r="G60" i="60"/>
  <c r="G64" i="60"/>
  <c r="G65" i="60"/>
  <c r="G66" i="60"/>
  <c r="G67" i="60"/>
  <c r="G68" i="60"/>
  <c r="G69" i="60"/>
  <c r="G70" i="60"/>
  <c r="G71" i="60"/>
  <c r="G72" i="60"/>
  <c r="G73" i="60"/>
  <c r="G74" i="60"/>
  <c r="G75" i="60"/>
  <c r="G76" i="60"/>
  <c r="G77" i="60"/>
  <c r="G78" i="60"/>
  <c r="G102" i="60"/>
  <c r="G105" i="60"/>
  <c r="G106" i="60"/>
  <c r="G107" i="60"/>
  <c r="G108" i="60"/>
  <c r="G109" i="60"/>
  <c r="G110" i="60"/>
  <c r="G124" i="60"/>
  <c r="G125" i="60"/>
  <c r="G126" i="60"/>
  <c r="G127" i="60"/>
  <c r="G129" i="60"/>
  <c r="G130" i="60"/>
  <c r="G131" i="60"/>
  <c r="G132" i="60"/>
  <c r="G133" i="60"/>
  <c r="G135" i="60"/>
  <c r="G136" i="60"/>
  <c r="G137" i="60"/>
  <c r="G138" i="60"/>
  <c r="G140" i="60"/>
  <c r="G141" i="60"/>
  <c r="G142" i="60"/>
  <c r="G143" i="60"/>
  <c r="G145" i="60"/>
  <c r="G146" i="60"/>
  <c r="G147" i="60"/>
  <c r="G148" i="60"/>
  <c r="G149" i="60"/>
  <c r="G150" i="60"/>
  <c r="G151" i="60"/>
  <c r="G152" i="60"/>
  <c r="G153" i="60"/>
  <c r="G155" i="60"/>
  <c r="G156" i="60"/>
  <c r="G158" i="60"/>
  <c r="G159" i="60"/>
  <c r="G160" i="60"/>
  <c r="G200" i="60"/>
  <c r="G201" i="60"/>
  <c r="G202" i="60"/>
  <c r="G203" i="60"/>
  <c r="G204" i="60"/>
  <c r="G205" i="60"/>
  <c r="G220" i="60"/>
  <c r="E221" i="60"/>
  <c r="G222" i="60"/>
  <c r="E223" i="60"/>
  <c r="E224" i="60"/>
  <c r="E225" i="60"/>
  <c r="G226" i="60"/>
  <c r="E227" i="60"/>
  <c r="E231" i="60"/>
  <c r="G232" i="60"/>
  <c r="G11" i="54"/>
  <c r="G12" i="54"/>
  <c r="G13" i="54"/>
  <c r="G14" i="54"/>
  <c r="G15" i="54"/>
  <c r="G16" i="54"/>
  <c r="G17" i="54"/>
  <c r="G18" i="54"/>
  <c r="G19" i="54"/>
  <c r="G20" i="54"/>
  <c r="G26" i="54"/>
  <c r="G27" i="54"/>
  <c r="G28" i="54"/>
  <c r="G29" i="54"/>
  <c r="G30" i="54"/>
  <c r="G31" i="54"/>
  <c r="G32" i="54"/>
  <c r="G33" i="54"/>
  <c r="G34" i="54"/>
  <c r="G35" i="54"/>
  <c r="G36" i="54"/>
  <c r="G37" i="54"/>
  <c r="G38" i="54"/>
  <c r="G39" i="54"/>
  <c r="G40" i="54"/>
  <c r="G41" i="54"/>
  <c r="G42" i="54"/>
  <c r="G43" i="54"/>
  <c r="G44" i="54"/>
  <c r="G45" i="54"/>
  <c r="G46" i="54"/>
  <c r="G47" i="54"/>
  <c r="G48" i="54"/>
  <c r="G49" i="54"/>
  <c r="G50" i="54"/>
  <c r="G51" i="54"/>
  <c r="G52" i="54"/>
  <c r="G53" i="54"/>
  <c r="G54" i="54"/>
  <c r="G55" i="54"/>
  <c r="G56" i="54"/>
  <c r="G57" i="54"/>
  <c r="G58" i="54"/>
  <c r="G59" i="54"/>
  <c r="G60" i="54"/>
  <c r="G65" i="54"/>
  <c r="G66" i="54"/>
  <c r="G67" i="54"/>
  <c r="G68" i="54"/>
  <c r="G69" i="54"/>
  <c r="G70" i="54"/>
  <c r="G71" i="54"/>
  <c r="G72" i="54"/>
  <c r="G73" i="54"/>
  <c r="G74" i="54"/>
  <c r="G75" i="54"/>
  <c r="G76" i="54"/>
  <c r="G77" i="54"/>
  <c r="G78" i="54"/>
  <c r="G96" i="54"/>
  <c r="G97" i="54"/>
  <c r="G98" i="54"/>
  <c r="G99" i="54"/>
  <c r="G100" i="54"/>
  <c r="G101" i="54"/>
  <c r="G115" i="54"/>
  <c r="G116" i="54"/>
  <c r="G117" i="54"/>
  <c r="G118" i="54"/>
  <c r="G165" i="54"/>
  <c r="G166" i="54"/>
  <c r="G167" i="54"/>
  <c r="G168" i="54"/>
  <c r="G169" i="54"/>
  <c r="G170" i="54"/>
  <c r="G171" i="54"/>
  <c r="G172" i="54"/>
  <c r="G173" i="54"/>
  <c r="G174" i="54"/>
  <c r="G175" i="54"/>
  <c r="G176" i="54"/>
  <c r="G177" i="54"/>
  <c r="G178" i="54"/>
  <c r="G179" i="54"/>
  <c r="G180" i="54"/>
  <c r="G181" i="54"/>
  <c r="G182" i="54"/>
  <c r="G183" i="54"/>
  <c r="G184" i="54"/>
  <c r="G185" i="54"/>
  <c r="G186" i="54"/>
  <c r="G187" i="54"/>
  <c r="G188" i="54"/>
  <c r="G190" i="54"/>
  <c r="G191" i="54"/>
  <c r="G192" i="54"/>
  <c r="G193" i="54"/>
  <c r="G194" i="54"/>
  <c r="G195" i="54"/>
  <c r="G196" i="54"/>
  <c r="G200" i="54"/>
  <c r="G201" i="54"/>
  <c r="G202" i="54"/>
  <c r="G203" i="54"/>
  <c r="G204" i="54"/>
  <c r="G205" i="54"/>
  <c r="E220" i="54"/>
  <c r="E221" i="54"/>
  <c r="E222" i="54"/>
  <c r="E223" i="54"/>
  <c r="E224" i="54"/>
  <c r="G225" i="54"/>
  <c r="E226" i="54"/>
  <c r="G227" i="54"/>
  <c r="E232" i="54"/>
  <c r="G11" i="94"/>
  <c r="G12" i="94"/>
  <c r="G13" i="94"/>
  <c r="G14" i="94"/>
  <c r="G15" i="94"/>
  <c r="G16" i="94"/>
  <c r="G17" i="94"/>
  <c r="G18" i="94"/>
  <c r="G19" i="94"/>
  <c r="G20" i="94"/>
  <c r="G82" i="94"/>
  <c r="G83" i="94"/>
  <c r="G84" i="94"/>
  <c r="G85" i="94"/>
  <c r="G86" i="94"/>
  <c r="G87" i="94"/>
  <c r="G88" i="94"/>
  <c r="G89" i="94"/>
  <c r="G90" i="94"/>
  <c r="G91" i="94"/>
  <c r="G92" i="94"/>
  <c r="G105" i="94"/>
  <c r="G106" i="94"/>
  <c r="G107" i="94"/>
  <c r="G108" i="94"/>
  <c r="G109" i="94"/>
  <c r="G110" i="94"/>
  <c r="G123" i="94"/>
  <c r="G124" i="94"/>
  <c r="G125" i="94"/>
  <c r="G126" i="94"/>
  <c r="G127" i="94"/>
  <c r="G129" i="94"/>
  <c r="G130" i="94"/>
  <c r="G131" i="94"/>
  <c r="G132" i="94"/>
  <c r="G133" i="94"/>
  <c r="G135" i="94"/>
  <c r="G136" i="94"/>
  <c r="G137" i="94"/>
  <c r="G138" i="94"/>
  <c r="G140" i="94"/>
  <c r="G141" i="94"/>
  <c r="G142" i="94"/>
  <c r="G143" i="94"/>
  <c r="G145" i="94"/>
  <c r="G146" i="94"/>
  <c r="G148" i="94"/>
  <c r="G149" i="94"/>
  <c r="G150" i="94"/>
  <c r="G151" i="94"/>
  <c r="G152" i="94"/>
  <c r="G153" i="94"/>
  <c r="G155" i="94"/>
  <c r="G156" i="94"/>
  <c r="G157" i="94"/>
  <c r="G158" i="94"/>
  <c r="G159" i="94"/>
  <c r="G160" i="94"/>
  <c r="K17" i="94"/>
  <c r="K18" i="94"/>
  <c r="E220" i="94"/>
  <c r="G221" i="94"/>
  <c r="E222" i="94"/>
  <c r="G223" i="94"/>
  <c r="E224" i="94"/>
  <c r="G225" i="94"/>
  <c r="E226" i="94"/>
  <c r="G227" i="94"/>
  <c r="G232" i="94"/>
  <c r="E233" i="86"/>
  <c r="G11" i="86"/>
  <c r="G12" i="86"/>
  <c r="G13" i="86"/>
  <c r="G14" i="86"/>
  <c r="G15" i="86"/>
  <c r="G16" i="86"/>
  <c r="G17" i="86"/>
  <c r="G18" i="86"/>
  <c r="G19" i="86"/>
  <c r="G65" i="86"/>
  <c r="G66" i="86"/>
  <c r="G67" i="86"/>
  <c r="G68" i="86"/>
  <c r="G69" i="86"/>
  <c r="G70" i="86"/>
  <c r="G71" i="86"/>
  <c r="G72" i="86"/>
  <c r="G73" i="86"/>
  <c r="G74" i="86"/>
  <c r="G76" i="86"/>
  <c r="G77" i="86"/>
  <c r="G78" i="86"/>
  <c r="G137" i="86"/>
  <c r="G138" i="86"/>
  <c r="G140" i="86"/>
  <c r="G141" i="86"/>
  <c r="G142" i="86"/>
  <c r="G143" i="86"/>
  <c r="G145" i="86"/>
  <c r="G146" i="86"/>
  <c r="G147" i="86"/>
  <c r="G148" i="86"/>
  <c r="G149" i="86"/>
  <c r="G150" i="86"/>
  <c r="G151" i="86"/>
  <c r="G152" i="86"/>
  <c r="G153" i="86"/>
  <c r="G155" i="86"/>
  <c r="G156" i="86"/>
  <c r="G157" i="86"/>
  <c r="G158" i="86"/>
  <c r="G159" i="86"/>
  <c r="G160" i="86"/>
  <c r="G201" i="86"/>
  <c r="G202" i="86"/>
  <c r="G203" i="86"/>
  <c r="G204" i="86"/>
  <c r="G205" i="86"/>
  <c r="G220" i="86"/>
  <c r="E221" i="86"/>
  <c r="G222" i="86"/>
  <c r="E223" i="86"/>
  <c r="G224" i="86"/>
  <c r="E225" i="86"/>
  <c r="G226" i="86"/>
  <c r="E227" i="86"/>
  <c r="E231" i="86"/>
  <c r="G232" i="86"/>
  <c r="G65" i="53"/>
  <c r="G66" i="53"/>
  <c r="G67" i="53"/>
  <c r="G68" i="53"/>
  <c r="G69" i="53"/>
  <c r="G70" i="53"/>
  <c r="G71" i="53"/>
  <c r="G72" i="53"/>
  <c r="G73" i="53"/>
  <c r="G74" i="53"/>
  <c r="G76" i="53"/>
  <c r="G77" i="53"/>
  <c r="G78" i="53"/>
  <c r="G96" i="53"/>
  <c r="G97" i="53"/>
  <c r="G98" i="53"/>
  <c r="G99" i="53"/>
  <c r="G100" i="53"/>
  <c r="G101" i="53"/>
  <c r="G105" i="53"/>
  <c r="G106" i="53"/>
  <c r="G107" i="53"/>
  <c r="G108" i="53"/>
  <c r="G109" i="53"/>
  <c r="G110" i="53"/>
  <c r="G165" i="53"/>
  <c r="G166" i="53"/>
  <c r="G167" i="53"/>
  <c r="G168" i="53"/>
  <c r="G169" i="53"/>
  <c r="G170" i="53"/>
  <c r="G171" i="53"/>
  <c r="G172" i="53"/>
  <c r="G173" i="53"/>
  <c r="G174" i="53"/>
  <c r="G175" i="53"/>
  <c r="G176" i="53"/>
  <c r="G177" i="53"/>
  <c r="G178" i="53"/>
  <c r="G179" i="53"/>
  <c r="G180" i="53"/>
  <c r="G181" i="53"/>
  <c r="G182" i="53"/>
  <c r="G183" i="53"/>
  <c r="G184" i="53"/>
  <c r="G185" i="53"/>
  <c r="G186" i="53"/>
  <c r="G187" i="53"/>
  <c r="G188" i="53"/>
  <c r="G189" i="53"/>
  <c r="G190" i="53"/>
  <c r="G191" i="53"/>
  <c r="G192" i="53"/>
  <c r="G193" i="53"/>
  <c r="G194" i="53"/>
  <c r="G195" i="53"/>
  <c r="G196" i="53"/>
  <c r="K17" i="53"/>
  <c r="K18" i="53"/>
  <c r="E232" i="53"/>
  <c r="G64" i="98"/>
  <c r="G65" i="98"/>
  <c r="G66" i="98"/>
  <c r="G67" i="98"/>
  <c r="G68" i="98"/>
  <c r="G69" i="98"/>
  <c r="G70" i="98"/>
  <c r="G71" i="98"/>
  <c r="G72" i="98"/>
  <c r="G73" i="98"/>
  <c r="G74" i="98"/>
  <c r="G75" i="98"/>
  <c r="G76" i="98"/>
  <c r="G77" i="98"/>
  <c r="G78" i="98"/>
  <c r="G105" i="98"/>
  <c r="G106" i="98"/>
  <c r="G107" i="98"/>
  <c r="G108" i="98"/>
  <c r="G109" i="98"/>
  <c r="G110" i="98"/>
  <c r="G114" i="98"/>
  <c r="G115" i="98"/>
  <c r="G116" i="98"/>
  <c r="G117" i="98"/>
  <c r="G118" i="98"/>
  <c r="G148" i="98"/>
  <c r="G157" i="98"/>
  <c r="G165" i="98"/>
  <c r="G166" i="98"/>
  <c r="G167" i="98"/>
  <c r="G168" i="98"/>
  <c r="G169" i="98"/>
  <c r="G170" i="98"/>
  <c r="G171" i="98"/>
  <c r="G172" i="98"/>
  <c r="G173" i="98"/>
  <c r="G174" i="98"/>
  <c r="G175" i="98"/>
  <c r="G176" i="98"/>
  <c r="G177" i="98"/>
  <c r="G178" i="98"/>
  <c r="G179" i="98"/>
  <c r="G180" i="98"/>
  <c r="G181" i="98"/>
  <c r="G182" i="98"/>
  <c r="G183" i="98"/>
  <c r="G184" i="98"/>
  <c r="G185" i="98"/>
  <c r="G186" i="98"/>
  <c r="G187" i="98"/>
  <c r="G188" i="98"/>
  <c r="G190" i="98"/>
  <c r="G191" i="98"/>
  <c r="G192" i="98"/>
  <c r="G193" i="98"/>
  <c r="G194" i="98"/>
  <c r="G195" i="98"/>
  <c r="G196" i="98"/>
  <c r="K17" i="98"/>
  <c r="K18" i="98"/>
  <c r="G11" i="62"/>
  <c r="G12" i="62"/>
  <c r="G13" i="62"/>
  <c r="G14" i="62"/>
  <c r="G15" i="62"/>
  <c r="G16" i="62"/>
  <c r="G17" i="62"/>
  <c r="G18" i="62"/>
  <c r="G19" i="62"/>
  <c r="G20" i="62"/>
  <c r="G57" i="62"/>
  <c r="G98" i="62"/>
  <c r="G124" i="62"/>
  <c r="G125" i="62"/>
  <c r="G126" i="62"/>
  <c r="G127" i="62"/>
  <c r="G129" i="62"/>
  <c r="G130" i="62"/>
  <c r="G131" i="62"/>
  <c r="G132" i="62"/>
  <c r="G135" i="62"/>
  <c r="G136" i="62"/>
  <c r="G137" i="62"/>
  <c r="G138" i="62"/>
  <c r="G140" i="62"/>
  <c r="G141" i="62"/>
  <c r="G142" i="62"/>
  <c r="G145" i="62"/>
  <c r="G146" i="62"/>
  <c r="G147" i="62"/>
  <c r="G148" i="62"/>
  <c r="G149" i="62"/>
  <c r="G150" i="62"/>
  <c r="G151" i="62"/>
  <c r="G152" i="62"/>
  <c r="G153" i="62"/>
  <c r="G155" i="62"/>
  <c r="G156" i="62"/>
  <c r="G158" i="62"/>
  <c r="G159" i="62"/>
  <c r="G160" i="62"/>
  <c r="K17" i="62"/>
  <c r="K18" i="62"/>
  <c r="G26" i="24"/>
  <c r="G27" i="24"/>
  <c r="G28" i="24"/>
  <c r="G29" i="24"/>
  <c r="G30" i="24"/>
  <c r="G31" i="24"/>
  <c r="G32" i="24"/>
  <c r="G33" i="24"/>
  <c r="G34" i="24"/>
  <c r="G35" i="24"/>
  <c r="G36" i="24"/>
  <c r="G37" i="24"/>
  <c r="G38" i="24"/>
  <c r="G39" i="24"/>
  <c r="G40" i="24"/>
  <c r="G41" i="24"/>
  <c r="G42" i="24"/>
  <c r="G43" i="24"/>
  <c r="G44" i="24"/>
  <c r="G45" i="24"/>
  <c r="G46" i="24"/>
  <c r="G47" i="24"/>
  <c r="G48" i="24"/>
  <c r="G49" i="24"/>
  <c r="G50" i="24"/>
  <c r="G51" i="24"/>
  <c r="G52" i="24"/>
  <c r="G53" i="24"/>
  <c r="G54" i="24"/>
  <c r="G55" i="24"/>
  <c r="G56" i="24"/>
  <c r="G57" i="24"/>
  <c r="G58" i="24"/>
  <c r="G59" i="24"/>
  <c r="G60" i="24"/>
  <c r="G83" i="24"/>
  <c r="G84" i="24"/>
  <c r="G85" i="24"/>
  <c r="G86" i="24"/>
  <c r="G87" i="24"/>
  <c r="G88" i="24"/>
  <c r="G89" i="24"/>
  <c r="G90" i="24"/>
  <c r="G91" i="24"/>
  <c r="G92" i="24"/>
  <c r="G114" i="24"/>
  <c r="G115" i="24"/>
  <c r="G116" i="24"/>
  <c r="G117" i="24"/>
  <c r="G118" i="24"/>
  <c r="G124" i="24"/>
  <c r="G125" i="24"/>
  <c r="G126" i="24"/>
  <c r="G127" i="24"/>
  <c r="G129" i="24"/>
  <c r="G130" i="24"/>
  <c r="G131" i="24"/>
  <c r="G132" i="24"/>
  <c r="G133" i="24"/>
  <c r="G135" i="24"/>
  <c r="G136" i="24"/>
  <c r="G137" i="24"/>
  <c r="G138" i="24"/>
  <c r="G140" i="24"/>
  <c r="G141" i="24"/>
  <c r="G142" i="24"/>
  <c r="G143" i="24"/>
  <c r="G145" i="24"/>
  <c r="G146" i="24"/>
  <c r="G147" i="24"/>
  <c r="G148" i="24"/>
  <c r="G149" i="24"/>
  <c r="G150" i="24"/>
  <c r="G151" i="24"/>
  <c r="G152" i="24"/>
  <c r="G153" i="24"/>
  <c r="G155" i="24"/>
  <c r="G156" i="24"/>
  <c r="G157" i="24"/>
  <c r="G158" i="24"/>
  <c r="G159" i="24"/>
  <c r="G160" i="24"/>
  <c r="G170" i="24"/>
  <c r="G182" i="24"/>
  <c r="G190" i="24"/>
  <c r="G201" i="24"/>
  <c r="G202" i="24"/>
  <c r="G203" i="24"/>
  <c r="G204" i="24"/>
  <c r="G205" i="24"/>
  <c r="E220" i="24"/>
  <c r="G221" i="24"/>
  <c r="E222" i="24"/>
  <c r="G223" i="24"/>
  <c r="E224" i="24"/>
  <c r="G225" i="24"/>
  <c r="E226" i="24"/>
  <c r="G227" i="24"/>
  <c r="E233" i="141"/>
  <c r="G35" i="141"/>
  <c r="G61" i="141" s="1"/>
  <c r="G83" i="141"/>
  <c r="G84" i="141"/>
  <c r="G85" i="141"/>
  <c r="G86" i="141"/>
  <c r="G87" i="141"/>
  <c r="G88" i="141"/>
  <c r="G89" i="141"/>
  <c r="G90" i="141"/>
  <c r="G91" i="141"/>
  <c r="G92" i="141"/>
  <c r="G100" i="141"/>
  <c r="G118" i="141"/>
  <c r="G124" i="141"/>
  <c r="G125" i="141"/>
  <c r="G126" i="141"/>
  <c r="G127" i="141"/>
  <c r="G129" i="141"/>
  <c r="G130" i="141"/>
  <c r="G131" i="141"/>
  <c r="G132" i="141"/>
  <c r="G133" i="141"/>
  <c r="G135" i="141"/>
  <c r="G136" i="141"/>
  <c r="G137" i="141"/>
  <c r="G138" i="141"/>
  <c r="G140" i="141"/>
  <c r="G141" i="141"/>
  <c r="G142" i="141"/>
  <c r="G143" i="141"/>
  <c r="G145" i="141"/>
  <c r="G146" i="141"/>
  <c r="G147" i="141"/>
  <c r="G148" i="141"/>
  <c r="G149" i="141"/>
  <c r="G150" i="141"/>
  <c r="G151" i="141"/>
  <c r="G152" i="141"/>
  <c r="G153" i="141"/>
  <c r="G155" i="141"/>
  <c r="G156" i="141"/>
  <c r="G157" i="141"/>
  <c r="G158" i="141"/>
  <c r="G159" i="141"/>
  <c r="G160" i="141"/>
  <c r="G200" i="141"/>
  <c r="G201" i="141"/>
  <c r="G202" i="141"/>
  <c r="G203" i="141"/>
  <c r="G204" i="141"/>
  <c r="G205" i="141"/>
  <c r="G220" i="141"/>
  <c r="E221" i="141"/>
  <c r="G222" i="141"/>
  <c r="E223" i="141"/>
  <c r="G224" i="141"/>
  <c r="E225" i="141"/>
  <c r="G226" i="141"/>
  <c r="E227" i="141"/>
  <c r="E231" i="141"/>
  <c r="G232" i="141"/>
  <c r="E233" i="142"/>
  <c r="G25" i="142"/>
  <c r="G26" i="142"/>
  <c r="G27" i="142"/>
  <c r="G28" i="142"/>
  <c r="G29" i="142"/>
  <c r="G30" i="142"/>
  <c r="G31" i="142"/>
  <c r="G32" i="142"/>
  <c r="G33" i="142"/>
  <c r="G34" i="142"/>
  <c r="G35" i="142"/>
  <c r="G36" i="142"/>
  <c r="G37" i="142"/>
  <c r="G38" i="142"/>
  <c r="G39" i="142"/>
  <c r="G40" i="142"/>
  <c r="G41" i="142"/>
  <c r="G42" i="142"/>
  <c r="G43" i="142"/>
  <c r="G44" i="142"/>
  <c r="G45" i="142"/>
  <c r="G46" i="142"/>
  <c r="G47" i="142"/>
  <c r="G48" i="142"/>
  <c r="G49" i="142"/>
  <c r="G50" i="142"/>
  <c r="G51" i="142"/>
  <c r="G52" i="142"/>
  <c r="G53" i="142"/>
  <c r="G54" i="142"/>
  <c r="G55" i="142"/>
  <c r="G56" i="142"/>
  <c r="G57" i="142"/>
  <c r="G58" i="142"/>
  <c r="G59" i="142"/>
  <c r="G60" i="142"/>
  <c r="G70" i="142"/>
  <c r="G78" i="142"/>
  <c r="G83" i="142"/>
  <c r="G84" i="142"/>
  <c r="G85" i="142"/>
  <c r="G86" i="142"/>
  <c r="G87" i="142"/>
  <c r="G88" i="142"/>
  <c r="G89" i="142"/>
  <c r="G90" i="142"/>
  <c r="G91" i="142"/>
  <c r="G92" i="142"/>
  <c r="G96" i="142"/>
  <c r="G97" i="142"/>
  <c r="G98" i="142"/>
  <c r="G99" i="142"/>
  <c r="G101" i="142"/>
  <c r="G105" i="142"/>
  <c r="G106" i="142"/>
  <c r="G107" i="142"/>
  <c r="G108" i="142"/>
  <c r="G109" i="142"/>
  <c r="G110" i="142"/>
  <c r="G119" i="142"/>
  <c r="G124" i="142"/>
  <c r="G125" i="142"/>
  <c r="G126" i="142"/>
  <c r="G127" i="142"/>
  <c r="G129" i="142"/>
  <c r="G130" i="142"/>
  <c r="G131" i="142"/>
  <c r="G132" i="142"/>
  <c r="G133" i="142"/>
  <c r="G135" i="142"/>
  <c r="G136" i="142"/>
  <c r="G137" i="142"/>
  <c r="G138" i="142"/>
  <c r="G140" i="142"/>
  <c r="G141" i="142"/>
  <c r="G142" i="142"/>
  <c r="G143" i="142"/>
  <c r="G145" i="142"/>
  <c r="G146" i="142"/>
  <c r="G147" i="142"/>
  <c r="G148" i="142"/>
  <c r="G149" i="142"/>
  <c r="G150" i="142"/>
  <c r="G151" i="142"/>
  <c r="G152" i="142"/>
  <c r="G153" i="142"/>
  <c r="G155" i="142"/>
  <c r="G156" i="142"/>
  <c r="G157" i="142"/>
  <c r="G158" i="142"/>
  <c r="G159" i="142"/>
  <c r="G160" i="142"/>
  <c r="K17" i="142"/>
  <c r="K18" i="142"/>
  <c r="E220" i="142"/>
  <c r="G221" i="142"/>
  <c r="E222" i="142"/>
  <c r="G223" i="142"/>
  <c r="E224" i="142"/>
  <c r="G225" i="142"/>
  <c r="E226" i="142"/>
  <c r="G227" i="142"/>
  <c r="E232" i="142"/>
  <c r="G11" i="28"/>
  <c r="G12" i="28"/>
  <c r="G13" i="28"/>
  <c r="G14" i="28"/>
  <c r="G16" i="28"/>
  <c r="G17" i="28"/>
  <c r="G18" i="28"/>
  <c r="G19" i="28"/>
  <c r="G20" i="28"/>
  <c r="G25" i="28"/>
  <c r="G33" i="28"/>
  <c r="G41" i="28"/>
  <c r="G49" i="28"/>
  <c r="G57" i="28"/>
  <c r="G70" i="28"/>
  <c r="G83" i="28"/>
  <c r="G84" i="28"/>
  <c r="G85" i="28"/>
  <c r="G86" i="28"/>
  <c r="G88" i="28"/>
  <c r="G89" i="28"/>
  <c r="G90" i="28"/>
  <c r="G91" i="28"/>
  <c r="G92" i="28"/>
  <c r="G96" i="28"/>
  <c r="G97" i="28"/>
  <c r="G98" i="28"/>
  <c r="G99" i="28"/>
  <c r="G100" i="28"/>
  <c r="G101" i="28"/>
  <c r="G105" i="28"/>
  <c r="G106" i="28"/>
  <c r="G107" i="28"/>
  <c r="G108" i="28"/>
  <c r="G109" i="28"/>
  <c r="G110" i="28"/>
  <c r="G114" i="28"/>
  <c r="G115" i="28"/>
  <c r="G116" i="28"/>
  <c r="G117" i="28"/>
  <c r="G118" i="28"/>
  <c r="G129" i="28"/>
  <c r="G148" i="28"/>
  <c r="G157" i="28"/>
  <c r="G165" i="28"/>
  <c r="G166" i="28"/>
  <c r="G167" i="28"/>
  <c r="G168" i="28"/>
  <c r="G170" i="28"/>
  <c r="G171" i="28"/>
  <c r="G172" i="28"/>
  <c r="G173" i="28"/>
  <c r="G174" i="28"/>
  <c r="G175" i="28"/>
  <c r="G176" i="28"/>
  <c r="G178" i="28"/>
  <c r="G179" i="28"/>
  <c r="G180" i="28"/>
  <c r="G181" i="28"/>
  <c r="G182" i="28"/>
  <c r="G183" i="28"/>
  <c r="G184" i="28"/>
  <c r="G185" i="28"/>
  <c r="G186" i="28"/>
  <c r="G187" i="28"/>
  <c r="G188" i="28"/>
  <c r="G189" i="28"/>
  <c r="G190" i="28"/>
  <c r="G191" i="28"/>
  <c r="G192" i="28"/>
  <c r="G194" i="28"/>
  <c r="G195" i="28"/>
  <c r="G196" i="28"/>
  <c r="K17" i="28"/>
  <c r="K18" i="28"/>
  <c r="E220" i="28"/>
  <c r="G221" i="28"/>
  <c r="E222" i="28"/>
  <c r="G223" i="28"/>
  <c r="E224" i="28"/>
  <c r="G225" i="28"/>
  <c r="E226" i="28"/>
  <c r="G227" i="28"/>
  <c r="E232" i="28"/>
  <c r="G14" i="25"/>
  <c r="G60" i="25"/>
  <c r="G82" i="25"/>
  <c r="G83" i="25"/>
  <c r="G84" i="25"/>
  <c r="G85" i="25"/>
  <c r="G96" i="25"/>
  <c r="G97" i="25"/>
  <c r="G98" i="25"/>
  <c r="G99" i="25"/>
  <c r="G100" i="25"/>
  <c r="G101" i="25"/>
  <c r="G115" i="25"/>
  <c r="G116" i="25"/>
  <c r="G117" i="25"/>
  <c r="G118" i="25"/>
  <c r="G165" i="25"/>
  <c r="G166" i="25"/>
  <c r="G167" i="25"/>
  <c r="G168" i="25"/>
  <c r="G169" i="25"/>
  <c r="G170" i="25"/>
  <c r="G171" i="25"/>
  <c r="G172" i="25"/>
  <c r="G173" i="25"/>
  <c r="G174" i="25"/>
  <c r="G175" i="25"/>
  <c r="G176" i="25"/>
  <c r="G177" i="25"/>
  <c r="G178" i="25"/>
  <c r="G179" i="25"/>
  <c r="G180" i="25"/>
  <c r="G181" i="25"/>
  <c r="G182" i="25"/>
  <c r="G183" i="25"/>
  <c r="G184" i="25"/>
  <c r="G185" i="25"/>
  <c r="G186" i="25"/>
  <c r="G187" i="25"/>
  <c r="G188" i="25"/>
  <c r="G189" i="25"/>
  <c r="G190" i="25"/>
  <c r="G191" i="25"/>
  <c r="G192" i="25"/>
  <c r="G193" i="25"/>
  <c r="G194" i="25"/>
  <c r="G195" i="25"/>
  <c r="G196" i="25"/>
  <c r="G201" i="25"/>
  <c r="G202" i="25"/>
  <c r="G203" i="25"/>
  <c r="G204" i="25"/>
  <c r="G205" i="25"/>
  <c r="E220" i="25"/>
  <c r="E221" i="25"/>
  <c r="E222" i="25"/>
  <c r="E223" i="25"/>
  <c r="E224" i="25"/>
  <c r="E225" i="25"/>
  <c r="E226" i="25"/>
  <c r="E227" i="25"/>
  <c r="E231" i="25"/>
  <c r="E232" i="25"/>
  <c r="G45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96" i="1"/>
  <c r="G97" i="1"/>
  <c r="G98" i="1"/>
  <c r="G99" i="1"/>
  <c r="G100" i="1"/>
  <c r="G101" i="1"/>
  <c r="G123" i="1"/>
  <c r="G132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201" i="1"/>
  <c r="G202" i="1"/>
  <c r="G203" i="1"/>
  <c r="G204" i="1"/>
  <c r="G205" i="1"/>
  <c r="E220" i="1"/>
  <c r="E221" i="1"/>
  <c r="E222" i="1"/>
  <c r="E223" i="1"/>
  <c r="E224" i="1"/>
  <c r="E225" i="1"/>
  <c r="E226" i="1"/>
  <c r="E227" i="1"/>
  <c r="E231" i="1"/>
  <c r="G232" i="1"/>
  <c r="G25" i="50"/>
  <c r="G26" i="50"/>
  <c r="G28" i="50"/>
  <c r="G29" i="50"/>
  <c r="G30" i="50"/>
  <c r="G31" i="50"/>
  <c r="G32" i="50"/>
  <c r="G33" i="50"/>
  <c r="G34" i="50"/>
  <c r="G35" i="50"/>
  <c r="G36" i="50"/>
  <c r="G37" i="50"/>
  <c r="G38" i="50"/>
  <c r="G39" i="50"/>
  <c r="G40" i="50"/>
  <c r="G41" i="50"/>
  <c r="G42" i="50"/>
  <c r="G43" i="50"/>
  <c r="G44" i="50"/>
  <c r="G45" i="50"/>
  <c r="G46" i="50"/>
  <c r="G47" i="50"/>
  <c r="G48" i="50"/>
  <c r="G49" i="50"/>
  <c r="G50" i="50"/>
  <c r="G51" i="50"/>
  <c r="G52" i="50"/>
  <c r="G53" i="50"/>
  <c r="G54" i="50"/>
  <c r="G55" i="50"/>
  <c r="G56" i="50"/>
  <c r="G57" i="50"/>
  <c r="G58" i="50"/>
  <c r="G59" i="50"/>
  <c r="G60" i="50"/>
  <c r="G83" i="50"/>
  <c r="G84" i="50"/>
  <c r="G85" i="50"/>
  <c r="G86" i="50"/>
  <c r="G87" i="50"/>
  <c r="G88" i="50"/>
  <c r="G89" i="50"/>
  <c r="G90" i="50"/>
  <c r="G91" i="50"/>
  <c r="G92" i="50"/>
  <c r="G115" i="50"/>
  <c r="G116" i="50"/>
  <c r="G117" i="50"/>
  <c r="G118" i="50"/>
  <c r="G165" i="50"/>
  <c r="G166" i="50"/>
  <c r="G167" i="50"/>
  <c r="G168" i="50"/>
  <c r="G169" i="50"/>
  <c r="G170" i="50"/>
  <c r="G171" i="50"/>
  <c r="G172" i="50"/>
  <c r="G173" i="50"/>
  <c r="G174" i="50"/>
  <c r="G175" i="50"/>
  <c r="G176" i="50"/>
  <c r="G177" i="50"/>
  <c r="G178" i="50"/>
  <c r="G179" i="50"/>
  <c r="G180" i="50"/>
  <c r="G181" i="50"/>
  <c r="G182" i="50"/>
  <c r="G183" i="50"/>
  <c r="G184" i="50"/>
  <c r="G185" i="50"/>
  <c r="G186" i="50"/>
  <c r="G187" i="50"/>
  <c r="G188" i="50"/>
  <c r="G190" i="50"/>
  <c r="G191" i="50"/>
  <c r="G192" i="50"/>
  <c r="G193" i="50"/>
  <c r="G194" i="50"/>
  <c r="G195" i="50"/>
  <c r="G196" i="50"/>
  <c r="K17" i="50"/>
  <c r="K18" i="50"/>
  <c r="E232" i="50"/>
  <c r="G11" i="95"/>
  <c r="G12" i="95"/>
  <c r="G13" i="95"/>
  <c r="G14" i="95"/>
  <c r="G15" i="95"/>
  <c r="G16" i="95"/>
  <c r="G17" i="95"/>
  <c r="G18" i="95"/>
  <c r="G19" i="95"/>
  <c r="G20" i="95"/>
  <c r="G83" i="95"/>
  <c r="G84" i="95"/>
  <c r="G85" i="95"/>
  <c r="G86" i="95"/>
  <c r="G87" i="95"/>
  <c r="G88" i="95"/>
  <c r="G89" i="95"/>
  <c r="G90" i="95"/>
  <c r="G91" i="95"/>
  <c r="G92" i="95"/>
  <c r="G105" i="95"/>
  <c r="G106" i="95"/>
  <c r="G107" i="95"/>
  <c r="G108" i="95"/>
  <c r="G109" i="95"/>
  <c r="G110" i="95"/>
  <c r="G124" i="95"/>
  <c r="G125" i="95"/>
  <c r="G126" i="95"/>
  <c r="G127" i="95"/>
  <c r="G129" i="95"/>
  <c r="G130" i="95"/>
  <c r="G131" i="95"/>
  <c r="G132" i="95"/>
  <c r="G133" i="95"/>
  <c r="G135" i="95"/>
  <c r="G136" i="95"/>
  <c r="G137" i="95"/>
  <c r="G138" i="95"/>
  <c r="G140" i="95"/>
  <c r="G141" i="95"/>
  <c r="G142" i="95"/>
  <c r="G143" i="95"/>
  <c r="G145" i="95"/>
  <c r="G146" i="95"/>
  <c r="G147" i="95"/>
  <c r="G148" i="95"/>
  <c r="G149" i="95"/>
  <c r="G150" i="95"/>
  <c r="G151" i="95"/>
  <c r="G152" i="95"/>
  <c r="G153" i="95"/>
  <c r="G155" i="95"/>
  <c r="G156" i="95"/>
  <c r="G157" i="95"/>
  <c r="G158" i="95"/>
  <c r="G159" i="95"/>
  <c r="G160" i="95"/>
  <c r="G193" i="95"/>
  <c r="K17" i="95"/>
  <c r="K18" i="95"/>
  <c r="E232" i="95"/>
  <c r="M17" i="83"/>
  <c r="M17" i="68"/>
  <c r="G161" i="53"/>
  <c r="G93" i="62"/>
  <c r="G79" i="25"/>
  <c r="G119" i="1"/>
  <c r="G119" i="95"/>
  <c r="G197" i="86"/>
  <c r="G119" i="86"/>
  <c r="E233" i="69"/>
  <c r="G119" i="84"/>
  <c r="G93" i="84"/>
  <c r="G93" i="42"/>
  <c r="G119" i="20"/>
  <c r="E233" i="90"/>
  <c r="G206" i="113"/>
  <c r="G119" i="113"/>
  <c r="G119" i="89"/>
  <c r="G79" i="92"/>
  <c r="K14" i="92"/>
  <c r="G93" i="39"/>
  <c r="G93" i="16"/>
  <c r="G119" i="43"/>
  <c r="G79" i="43"/>
  <c r="G111" i="33"/>
  <c r="K14" i="16"/>
  <c r="G21" i="72"/>
  <c r="G206" i="63"/>
  <c r="G206" i="31"/>
  <c r="G119" i="37"/>
  <c r="G119" i="120"/>
  <c r="G160" i="15"/>
  <c r="G68" i="102"/>
  <c r="G72" i="102"/>
  <c r="G73" i="102"/>
  <c r="G74" i="102"/>
  <c r="G75" i="102"/>
  <c r="G77" i="102"/>
  <c r="G78" i="102"/>
  <c r="G83" i="102"/>
  <c r="G84" i="102"/>
  <c r="G85" i="102"/>
  <c r="G86" i="102"/>
  <c r="G87" i="102"/>
  <c r="G88" i="102"/>
  <c r="G89" i="102"/>
  <c r="G145" i="102"/>
  <c r="G146" i="102"/>
  <c r="G147" i="102"/>
  <c r="G148" i="102"/>
  <c r="G149" i="102"/>
  <c r="G150" i="102"/>
  <c r="G151" i="102"/>
  <c r="G152" i="102"/>
  <c r="G164" i="102"/>
  <c r="G165" i="102"/>
  <c r="G166" i="102"/>
  <c r="G167" i="102"/>
  <c r="G168" i="102"/>
  <c r="G169" i="102"/>
  <c r="G170" i="102"/>
  <c r="G171" i="102"/>
  <c r="G172" i="102"/>
  <c r="G173" i="102"/>
  <c r="G174" i="102"/>
  <c r="G175" i="102"/>
  <c r="G176" i="102"/>
  <c r="G177" i="102"/>
  <c r="G178" i="102"/>
  <c r="G179" i="102"/>
  <c r="G180" i="102"/>
  <c r="G181" i="102"/>
  <c r="G182" i="102"/>
  <c r="G183" i="102"/>
  <c r="G220" i="102"/>
  <c r="E221" i="102"/>
  <c r="G222" i="102"/>
  <c r="E223" i="102"/>
  <c r="G224" i="102"/>
  <c r="E225" i="102"/>
  <c r="G226" i="102"/>
  <c r="G221" i="71"/>
  <c r="G223" i="71"/>
  <c r="G225" i="71"/>
  <c r="G227" i="71"/>
  <c r="G11" i="85"/>
  <c r="G12" i="85"/>
  <c r="G13" i="85"/>
  <c r="G14" i="85"/>
  <c r="G15" i="85"/>
  <c r="G16" i="85"/>
  <c r="G17" i="85"/>
  <c r="G18" i="85"/>
  <c r="G19" i="85"/>
  <c r="G20" i="85"/>
  <c r="G26" i="85"/>
  <c r="G27" i="85"/>
  <c r="G30" i="85"/>
  <c r="G33" i="85"/>
  <c r="G34" i="85"/>
  <c r="G36" i="85"/>
  <c r="G37" i="85"/>
  <c r="G38" i="85"/>
  <c r="G39" i="85"/>
  <c r="G40" i="85"/>
  <c r="G42" i="85"/>
  <c r="G43" i="85"/>
  <c r="G44" i="85"/>
  <c r="G45" i="85"/>
  <c r="G46" i="85"/>
  <c r="G49" i="85"/>
  <c r="G50" i="85"/>
  <c r="G54" i="85"/>
  <c r="G55" i="85"/>
  <c r="G56" i="85"/>
  <c r="G58" i="85"/>
  <c r="G59" i="85"/>
  <c r="G106" i="85"/>
  <c r="G107" i="85"/>
  <c r="G133" i="85"/>
  <c r="G135" i="85"/>
  <c r="G136" i="85"/>
  <c r="G137" i="85"/>
  <c r="G138" i="85"/>
  <c r="G141" i="85"/>
  <c r="G143" i="85"/>
  <c r="G145" i="85"/>
  <c r="G146" i="85"/>
  <c r="G147" i="85"/>
  <c r="G148" i="85"/>
  <c r="G149" i="85"/>
  <c r="G165" i="85"/>
  <c r="G166" i="85"/>
  <c r="G167" i="85"/>
  <c r="G168" i="85"/>
  <c r="G169" i="85"/>
  <c r="G170" i="85"/>
  <c r="G171" i="85"/>
  <c r="G172" i="85"/>
  <c r="G173" i="85"/>
  <c r="G174" i="85"/>
  <c r="G175" i="85"/>
  <c r="G176" i="85"/>
  <c r="G177" i="85"/>
  <c r="G178" i="85"/>
  <c r="G179" i="85"/>
  <c r="G220" i="85"/>
  <c r="E221" i="85"/>
  <c r="G222" i="85"/>
  <c r="E223" i="85"/>
  <c r="G224" i="85"/>
  <c r="E225" i="85"/>
  <c r="G226" i="85"/>
  <c r="E227" i="85"/>
  <c r="G11" i="19"/>
  <c r="G12" i="19"/>
  <c r="G13" i="19"/>
  <c r="G14" i="19"/>
  <c r="G15" i="19"/>
  <c r="G16" i="19"/>
  <c r="G17" i="19"/>
  <c r="G18" i="19"/>
  <c r="G19" i="19"/>
  <c r="G20" i="19"/>
  <c r="G21" i="10"/>
  <c r="G56" i="10"/>
  <c r="E221" i="10"/>
  <c r="E223" i="10"/>
  <c r="E225" i="10"/>
  <c r="E231" i="10"/>
  <c r="G11" i="58"/>
  <c r="G12" i="58"/>
  <c r="G13" i="58"/>
  <c r="G14" i="58"/>
  <c r="G15" i="58"/>
  <c r="G16" i="58"/>
  <c r="G17" i="58"/>
  <c r="G18" i="58"/>
  <c r="G19" i="58"/>
  <c r="G20" i="58"/>
  <c r="G26" i="58"/>
  <c r="G27" i="58"/>
  <c r="G28" i="58"/>
  <c r="G29" i="58"/>
  <c r="G30" i="58"/>
  <c r="G31" i="58"/>
  <c r="G32" i="58"/>
  <c r="G33" i="58"/>
  <c r="G34" i="58"/>
  <c r="G35" i="58"/>
  <c r="G36" i="58"/>
  <c r="G38" i="58"/>
  <c r="G39" i="58"/>
  <c r="G40" i="58"/>
  <c r="G41" i="58"/>
  <c r="G42" i="58"/>
  <c r="G43" i="58"/>
  <c r="G44" i="58"/>
  <c r="G45" i="58"/>
  <c r="G83" i="58"/>
  <c r="G84" i="58"/>
  <c r="G85" i="58"/>
  <c r="G86" i="58"/>
  <c r="G87" i="58"/>
  <c r="G88" i="58"/>
  <c r="G124" i="58"/>
  <c r="G125" i="58"/>
  <c r="G126" i="58"/>
  <c r="G127" i="58"/>
  <c r="G129" i="58"/>
  <c r="G130" i="58"/>
  <c r="G131" i="58"/>
  <c r="G132" i="58"/>
  <c r="G133" i="58"/>
  <c r="G135" i="58"/>
  <c r="G136" i="58"/>
  <c r="G137" i="58"/>
  <c r="G138" i="58"/>
  <c r="G140" i="58"/>
  <c r="G141" i="58"/>
  <c r="G142" i="58"/>
  <c r="G143" i="58"/>
  <c r="G200" i="58"/>
  <c r="G201" i="58"/>
  <c r="G202" i="58"/>
  <c r="G31" i="133"/>
  <c r="G33" i="133"/>
  <c r="G39" i="133"/>
  <c r="G40" i="133"/>
  <c r="G69" i="133"/>
  <c r="G70" i="133"/>
  <c r="G74" i="133"/>
  <c r="G85" i="133"/>
  <c r="G86" i="133"/>
  <c r="G87" i="133"/>
  <c r="G88" i="133"/>
  <c r="G89" i="133"/>
  <c r="G183" i="133"/>
  <c r="G184" i="133"/>
  <c r="G185" i="133"/>
  <c r="G186" i="133"/>
  <c r="G200" i="133"/>
  <c r="G201" i="133"/>
  <c r="G202" i="133"/>
  <c r="G203" i="133"/>
  <c r="G219" i="133"/>
  <c r="E220" i="133"/>
  <c r="E221" i="133"/>
  <c r="G222" i="133"/>
  <c r="E223" i="133"/>
  <c r="G224" i="133"/>
  <c r="E225" i="133"/>
  <c r="G226" i="133"/>
  <c r="E231" i="133"/>
  <c r="G25" i="45"/>
  <c r="G26" i="45"/>
  <c r="G27" i="45"/>
  <c r="G28" i="45"/>
  <c r="G29" i="45"/>
  <c r="G30" i="45"/>
  <c r="G31" i="45"/>
  <c r="G32" i="45"/>
  <c r="G33" i="45"/>
  <c r="G34" i="45"/>
  <c r="G35" i="45"/>
  <c r="G36" i="45"/>
  <c r="G37" i="45"/>
  <c r="G38" i="45"/>
  <c r="G39" i="45"/>
  <c r="G40" i="45"/>
  <c r="G41" i="45"/>
  <c r="G42" i="45"/>
  <c r="G43" i="45"/>
  <c r="G44" i="45"/>
  <c r="G45" i="45"/>
  <c r="G46" i="45"/>
  <c r="G47" i="45"/>
  <c r="G48" i="45"/>
  <c r="G49" i="45"/>
  <c r="G50" i="45"/>
  <c r="G51" i="45"/>
  <c r="G52" i="45"/>
  <c r="G53" i="45"/>
  <c r="G54" i="45"/>
  <c r="G55" i="45"/>
  <c r="G56" i="45"/>
  <c r="G57" i="45"/>
  <c r="G58" i="45"/>
  <c r="G59" i="45"/>
  <c r="G60" i="45"/>
  <c r="G64" i="45"/>
  <c r="G65" i="45"/>
  <c r="G66" i="45"/>
  <c r="G67" i="45"/>
  <c r="G68" i="45"/>
  <c r="G69" i="45"/>
  <c r="G70" i="45"/>
  <c r="G71" i="45"/>
  <c r="G96" i="45"/>
  <c r="G97" i="45"/>
  <c r="G98" i="45"/>
  <c r="G124" i="45"/>
  <c r="G125" i="45"/>
  <c r="G126" i="45"/>
  <c r="G127" i="45"/>
  <c r="G129" i="45"/>
  <c r="G130" i="45"/>
  <c r="G131" i="45"/>
  <c r="G132" i="45"/>
  <c r="G133" i="45"/>
  <c r="G135" i="45"/>
  <c r="G136" i="45"/>
  <c r="G137" i="45"/>
  <c r="G138" i="45"/>
  <c r="G140" i="45"/>
  <c r="G141" i="45"/>
  <c r="G142" i="45"/>
  <c r="G143" i="45"/>
  <c r="G145" i="45"/>
  <c r="G146" i="45"/>
  <c r="G147" i="45"/>
  <c r="G148" i="45"/>
  <c r="G149" i="45"/>
  <c r="G150" i="45"/>
  <c r="G151" i="45"/>
  <c r="G153" i="45"/>
  <c r="G165" i="45"/>
  <c r="G166" i="45"/>
  <c r="G167" i="45"/>
  <c r="G168" i="45"/>
  <c r="G169" i="45"/>
  <c r="G170" i="45"/>
  <c r="G171" i="45"/>
  <c r="G173" i="45"/>
  <c r="G174" i="45"/>
  <c r="G175" i="45"/>
  <c r="G176" i="45"/>
  <c r="G177" i="45"/>
  <c r="G178" i="45"/>
  <c r="G179" i="45"/>
  <c r="G181" i="45"/>
  <c r="G182" i="45"/>
  <c r="G183" i="45"/>
  <c r="G66" i="21"/>
  <c r="G67" i="21"/>
  <c r="G68" i="21"/>
  <c r="G69" i="21"/>
  <c r="G70" i="21"/>
  <c r="G71" i="21"/>
  <c r="G72" i="21"/>
  <c r="G73" i="21"/>
  <c r="G78" i="21"/>
  <c r="G83" i="21"/>
  <c r="G84" i="21"/>
  <c r="G85" i="21"/>
  <c r="G96" i="21"/>
  <c r="G97" i="21"/>
  <c r="G98" i="21"/>
  <c r="G99" i="21"/>
  <c r="G100" i="21"/>
  <c r="G101" i="21"/>
  <c r="G115" i="21"/>
  <c r="G124" i="21"/>
  <c r="G125" i="21"/>
  <c r="G126" i="21"/>
  <c r="G127" i="21"/>
  <c r="G129" i="21"/>
  <c r="G130" i="21"/>
  <c r="G131" i="21"/>
  <c r="G132" i="21"/>
  <c r="G133" i="21"/>
  <c r="G135" i="21"/>
  <c r="G136" i="21"/>
  <c r="G137" i="21"/>
  <c r="G138" i="21"/>
  <c r="G140" i="21"/>
  <c r="G141" i="21"/>
  <c r="G142" i="21"/>
  <c r="G143" i="21"/>
  <c r="G145" i="21"/>
  <c r="G146" i="21"/>
  <c r="G147" i="21"/>
  <c r="G148" i="21"/>
  <c r="G149" i="21"/>
  <c r="G26" i="59"/>
  <c r="G27" i="59"/>
  <c r="G28" i="59"/>
  <c r="G29" i="59"/>
  <c r="G30" i="59"/>
  <c r="G31" i="59"/>
  <c r="G32" i="59"/>
  <c r="G33" i="59"/>
  <c r="G34" i="59"/>
  <c r="G35" i="59"/>
  <c r="G36" i="59"/>
  <c r="G37" i="59"/>
  <c r="G38" i="59"/>
  <c r="G39" i="59"/>
  <c r="G40" i="59"/>
  <c r="G41" i="59"/>
  <c r="G42" i="59"/>
  <c r="G43" i="59"/>
  <c r="G44" i="59"/>
  <c r="G45" i="59"/>
  <c r="G46" i="59"/>
  <c r="G47" i="59"/>
  <c r="G48" i="59"/>
  <c r="G49" i="59"/>
  <c r="G50" i="59"/>
  <c r="G65" i="59"/>
  <c r="G66" i="59"/>
  <c r="G67" i="59"/>
  <c r="G68" i="59"/>
  <c r="G106" i="59"/>
  <c r="G11" i="37"/>
  <c r="G12" i="37"/>
  <c r="G13" i="37"/>
  <c r="G14" i="37"/>
  <c r="G15" i="37"/>
  <c r="G16" i="37"/>
  <c r="G17" i="37"/>
  <c r="G18" i="37"/>
  <c r="G19" i="37"/>
  <c r="G20" i="37"/>
  <c r="G26" i="37"/>
  <c r="G27" i="37"/>
  <c r="G28" i="37"/>
  <c r="G29" i="37"/>
  <c r="G30" i="37"/>
  <c r="G31" i="37"/>
  <c r="G32" i="37"/>
  <c r="G33" i="37"/>
  <c r="G34" i="37"/>
  <c r="G35" i="37"/>
  <c r="G36" i="37"/>
  <c r="G37" i="37"/>
  <c r="G38" i="37"/>
  <c r="G39" i="37"/>
  <c r="G40" i="37"/>
  <c r="G41" i="37"/>
  <c r="G42" i="37"/>
  <c r="G44" i="37"/>
  <c r="G45" i="37"/>
  <c r="G46" i="37"/>
  <c r="G47" i="37"/>
  <c r="G48" i="37"/>
  <c r="G49" i="37"/>
  <c r="G50" i="37"/>
  <c r="G51" i="37"/>
  <c r="G52" i="37"/>
  <c r="G53" i="37"/>
  <c r="G54" i="37"/>
  <c r="G55" i="37"/>
  <c r="G56" i="37"/>
  <c r="G57" i="37"/>
  <c r="G58" i="37"/>
  <c r="G59" i="37"/>
  <c r="G60" i="37"/>
  <c r="G65" i="37"/>
  <c r="G66" i="37"/>
  <c r="G67" i="37"/>
  <c r="G68" i="37"/>
  <c r="G69" i="37"/>
  <c r="G70" i="37"/>
  <c r="G71" i="37"/>
  <c r="G72" i="37"/>
  <c r="G73" i="37"/>
  <c r="G74" i="37"/>
  <c r="G75" i="37"/>
  <c r="G76" i="37"/>
  <c r="G77" i="37"/>
  <c r="G78" i="37"/>
  <c r="G83" i="37"/>
  <c r="G84" i="37"/>
  <c r="G85" i="37"/>
  <c r="G86" i="37"/>
  <c r="G87" i="37"/>
  <c r="G88" i="37"/>
  <c r="G89" i="37"/>
  <c r="G165" i="37"/>
  <c r="G166" i="37"/>
  <c r="G167" i="37"/>
  <c r="G168" i="37"/>
  <c r="G169" i="37"/>
  <c r="G170" i="37"/>
  <c r="G171" i="37"/>
  <c r="G172" i="37"/>
  <c r="G173" i="37"/>
  <c r="G174" i="37"/>
  <c r="G175" i="37"/>
  <c r="G176" i="37"/>
  <c r="G177" i="37"/>
  <c r="G178" i="37"/>
  <c r="G179" i="37"/>
  <c r="G180" i="37"/>
  <c r="G181" i="37"/>
  <c r="G182" i="37"/>
  <c r="G183" i="37"/>
  <c r="G184" i="37"/>
  <c r="G185" i="37"/>
  <c r="G186" i="37"/>
  <c r="G188" i="37"/>
  <c r="G189" i="37"/>
  <c r="G190" i="37"/>
  <c r="G191" i="37"/>
  <c r="G200" i="37"/>
  <c r="G201" i="37"/>
  <c r="G202" i="37"/>
  <c r="G203" i="37"/>
  <c r="E220" i="37"/>
  <c r="G221" i="37"/>
  <c r="E223" i="37"/>
  <c r="G224" i="37"/>
  <c r="E225" i="37"/>
  <c r="G226" i="37"/>
  <c r="E227" i="37"/>
  <c r="G84" i="120"/>
  <c r="G92" i="120"/>
  <c r="G96" i="120"/>
  <c r="G97" i="120"/>
  <c r="G98" i="120"/>
  <c r="G187" i="120"/>
  <c r="G25" i="72"/>
  <c r="G26" i="72"/>
  <c r="G27" i="72"/>
  <c r="G28" i="72"/>
  <c r="G29" i="72"/>
  <c r="G30" i="72"/>
  <c r="G31" i="72"/>
  <c r="G32" i="72"/>
  <c r="G33" i="72"/>
  <c r="G34" i="72"/>
  <c r="G35" i="72"/>
  <c r="G36" i="72"/>
  <c r="G37" i="72"/>
  <c r="G38" i="72"/>
  <c r="G39" i="72"/>
  <c r="G40" i="72"/>
  <c r="G41" i="72"/>
  <c r="G42" i="72"/>
  <c r="G43" i="72"/>
  <c r="G44" i="72"/>
  <c r="G45" i="72"/>
  <c r="G46" i="72"/>
  <c r="G47" i="72"/>
  <c r="G48" i="72"/>
  <c r="G49" i="72"/>
  <c r="G50" i="72"/>
  <c r="G51" i="72"/>
  <c r="G52" i="72"/>
  <c r="G53" i="72"/>
  <c r="G54" i="72"/>
  <c r="G55" i="72"/>
  <c r="G56" i="72"/>
  <c r="G57" i="72"/>
  <c r="G58" i="72"/>
  <c r="G59" i="72"/>
  <c r="G64" i="72"/>
  <c r="G65" i="72"/>
  <c r="G66" i="72"/>
  <c r="G67" i="72"/>
  <c r="G68" i="72"/>
  <c r="G69" i="72"/>
  <c r="G70" i="72"/>
  <c r="G71" i="72"/>
  <c r="G72" i="72"/>
  <c r="G73" i="72"/>
  <c r="G74" i="72"/>
  <c r="G75" i="72"/>
  <c r="G76" i="72"/>
  <c r="G77" i="72"/>
  <c r="G78" i="72"/>
  <c r="G83" i="72"/>
  <c r="G84" i="72"/>
  <c r="G85" i="72"/>
  <c r="G86" i="72"/>
  <c r="G87" i="72"/>
  <c r="G88" i="72"/>
  <c r="G89" i="72"/>
  <c r="G90" i="72"/>
  <c r="G91" i="72"/>
  <c r="G92" i="72"/>
  <c r="G97" i="72"/>
  <c r="G164" i="72"/>
  <c r="G165" i="72"/>
  <c r="G166" i="72"/>
  <c r="G167" i="72"/>
  <c r="G168" i="72"/>
  <c r="G169" i="72"/>
  <c r="G170" i="72"/>
  <c r="G171" i="72"/>
  <c r="G172" i="72"/>
  <c r="G173" i="72"/>
  <c r="G174" i="72"/>
  <c r="G175" i="72"/>
  <c r="G176" i="72"/>
  <c r="G177" i="72"/>
  <c r="G178" i="72"/>
  <c r="G179" i="72"/>
  <c r="G180" i="72"/>
  <c r="G181" i="72"/>
  <c r="G182" i="72"/>
  <c r="G183" i="72"/>
  <c r="G184" i="72"/>
  <c r="G185" i="72"/>
  <c r="G186" i="72"/>
  <c r="G187" i="72"/>
  <c r="G188" i="72"/>
  <c r="G189" i="72"/>
  <c r="G190" i="72"/>
  <c r="G191" i="72"/>
  <c r="E224" i="72"/>
  <c r="E225" i="72"/>
  <c r="E226" i="72"/>
  <c r="E227" i="72"/>
  <c r="E231" i="72"/>
  <c r="G232" i="72"/>
  <c r="G31" i="63"/>
  <c r="G32" i="63"/>
  <c r="G33" i="63"/>
  <c r="G34" i="63"/>
  <c r="G35" i="63"/>
  <c r="G36" i="63"/>
  <c r="G37" i="63"/>
  <c r="G38" i="63"/>
  <c r="G39" i="63"/>
  <c r="G40" i="63"/>
  <c r="G41" i="63"/>
  <c r="G42" i="63"/>
  <c r="G43" i="63"/>
  <c r="G44" i="63"/>
  <c r="G45" i="63"/>
  <c r="G46" i="63"/>
  <c r="G47" i="63"/>
  <c r="G48" i="63"/>
  <c r="G49" i="63"/>
  <c r="G50" i="63"/>
  <c r="G51" i="63"/>
  <c r="G107" i="63"/>
  <c r="G124" i="63"/>
  <c r="G125" i="63"/>
  <c r="G126" i="63"/>
  <c r="G127" i="63"/>
  <c r="G129" i="63"/>
  <c r="G130" i="63"/>
  <c r="G131" i="63"/>
  <c r="G132" i="63"/>
  <c r="G133" i="63"/>
  <c r="G135" i="63"/>
  <c r="G136" i="63"/>
  <c r="G137" i="63"/>
  <c r="G192" i="63"/>
  <c r="E220" i="63"/>
  <c r="G221" i="63"/>
  <c r="E226" i="63"/>
  <c r="G227" i="63"/>
  <c r="G11" i="135"/>
  <c r="G12" i="135"/>
  <c r="G13" i="135"/>
  <c r="G14" i="135"/>
  <c r="G15" i="135"/>
  <c r="G16" i="135"/>
  <c r="G17" i="135"/>
  <c r="G18" i="135"/>
  <c r="G19" i="135"/>
  <c r="G20" i="135"/>
  <c r="G26" i="135"/>
  <c r="G27" i="135"/>
  <c r="G28" i="135"/>
  <c r="G29" i="135"/>
  <c r="G30" i="135"/>
  <c r="G31" i="135"/>
  <c r="G32" i="135"/>
  <c r="G33" i="135"/>
  <c r="G34" i="135"/>
  <c r="G35" i="135"/>
  <c r="G36" i="135"/>
  <c r="G37" i="135"/>
  <c r="G38" i="135"/>
  <c r="G39" i="135"/>
  <c r="G78" i="135"/>
  <c r="G98" i="135"/>
  <c r="G105" i="135"/>
  <c r="G106" i="135"/>
  <c r="K17" i="135"/>
  <c r="G64" i="31"/>
  <c r="G65" i="31"/>
  <c r="G66" i="31"/>
  <c r="G67" i="31"/>
  <c r="G165" i="31"/>
  <c r="G166" i="31"/>
  <c r="G167" i="31"/>
  <c r="G168" i="31"/>
  <c r="G169" i="31"/>
  <c r="G170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G188" i="31"/>
  <c r="G220" i="31"/>
  <c r="E221" i="31"/>
  <c r="G222" i="31"/>
  <c r="E223" i="31"/>
  <c r="G224" i="31"/>
  <c r="E225" i="31"/>
  <c r="G226" i="31"/>
  <c r="E227" i="31"/>
  <c r="G11" i="64"/>
  <c r="G12" i="64"/>
  <c r="G13" i="64"/>
  <c r="G14" i="64"/>
  <c r="G15" i="64"/>
  <c r="G16" i="64"/>
  <c r="G17" i="64"/>
  <c r="G18" i="64"/>
  <c r="G19" i="64"/>
  <c r="G27" i="64"/>
  <c r="G28" i="64"/>
  <c r="G29" i="64"/>
  <c r="G30" i="64"/>
  <c r="G31" i="64"/>
  <c r="G32" i="64"/>
  <c r="G33" i="64"/>
  <c r="G34" i="64"/>
  <c r="G35" i="64"/>
  <c r="G36" i="64"/>
  <c r="G37" i="64"/>
  <c r="G38" i="64"/>
  <c r="G39" i="64"/>
  <c r="G40" i="64"/>
  <c r="G41" i="64"/>
  <c r="G42" i="64"/>
  <c r="G43" i="64"/>
  <c r="G44" i="64"/>
  <c r="G45" i="64"/>
  <c r="G46" i="64"/>
  <c r="G47" i="64"/>
  <c r="G48" i="64"/>
  <c r="G49" i="64"/>
  <c r="G51" i="64"/>
  <c r="G52" i="64"/>
  <c r="G53" i="64"/>
  <c r="G54" i="64"/>
  <c r="G55" i="64"/>
  <c r="G56" i="64"/>
  <c r="G57" i="64"/>
  <c r="G58" i="64"/>
  <c r="G59" i="64"/>
  <c r="G60" i="64"/>
  <c r="G65" i="64"/>
  <c r="G66" i="64"/>
  <c r="G67" i="64"/>
  <c r="G68" i="64"/>
  <c r="G69" i="64"/>
  <c r="G70" i="64"/>
  <c r="G71" i="64"/>
  <c r="G72" i="64"/>
  <c r="G73" i="64"/>
  <c r="G74" i="64"/>
  <c r="G75" i="64"/>
  <c r="G76" i="64"/>
  <c r="G77" i="64"/>
  <c r="G78" i="64"/>
  <c r="G82" i="64"/>
  <c r="G83" i="64"/>
  <c r="G84" i="64"/>
  <c r="G85" i="64"/>
  <c r="G86" i="64"/>
  <c r="G87" i="64"/>
  <c r="G88" i="64"/>
  <c r="G89" i="64"/>
  <c r="G110" i="64"/>
  <c r="G145" i="64"/>
  <c r="G195" i="64"/>
  <c r="G200" i="64"/>
  <c r="G201" i="64"/>
  <c r="G202" i="64"/>
  <c r="G82" i="27"/>
  <c r="G83" i="27"/>
  <c r="G84" i="27"/>
  <c r="G85" i="27"/>
  <c r="G86" i="27"/>
  <c r="G87" i="27"/>
  <c r="G89" i="27"/>
  <c r="G90" i="27"/>
  <c r="G91" i="27"/>
  <c r="G92" i="27"/>
  <c r="G96" i="27"/>
  <c r="G97" i="27"/>
  <c r="G98" i="27"/>
  <c r="G99" i="27"/>
  <c r="G100" i="27"/>
  <c r="G101" i="27"/>
  <c r="G105" i="27"/>
  <c r="G106" i="27"/>
  <c r="G107" i="27"/>
  <c r="G108" i="27"/>
  <c r="G109" i="27"/>
  <c r="G110" i="27"/>
  <c r="G115" i="27"/>
  <c r="G116" i="27"/>
  <c r="G117" i="27"/>
  <c r="G118" i="27"/>
  <c r="G123" i="27"/>
  <c r="G124" i="27"/>
  <c r="G125" i="27"/>
  <c r="G126" i="27"/>
  <c r="G127" i="27"/>
  <c r="G129" i="27"/>
  <c r="G130" i="27"/>
  <c r="G131" i="27"/>
  <c r="G132" i="27"/>
  <c r="G133" i="27"/>
  <c r="G135" i="27"/>
  <c r="G13" i="67"/>
  <c r="G25" i="67"/>
  <c r="G26" i="67"/>
  <c r="G27" i="67"/>
  <c r="G28" i="67"/>
  <c r="G29" i="67"/>
  <c r="G30" i="67"/>
  <c r="G31" i="67"/>
  <c r="G32" i="67"/>
  <c r="G33" i="67"/>
  <c r="G34" i="67"/>
  <c r="G35" i="67"/>
  <c r="G36" i="67"/>
  <c r="G37" i="67"/>
  <c r="G38" i="67"/>
  <c r="G39" i="67"/>
  <c r="G40" i="67"/>
  <c r="G41" i="67"/>
  <c r="G42" i="67"/>
  <c r="G43" i="67"/>
  <c r="G44" i="67"/>
  <c r="G45" i="67"/>
  <c r="G46" i="67"/>
  <c r="G47" i="67"/>
  <c r="G48" i="67"/>
  <c r="G49" i="67"/>
  <c r="G50" i="67"/>
  <c r="G51" i="67"/>
  <c r="G52" i="67"/>
  <c r="G53" i="67"/>
  <c r="G54" i="67"/>
  <c r="G55" i="67"/>
  <c r="G56" i="67"/>
  <c r="G57" i="67"/>
  <c r="G58" i="67"/>
  <c r="G59" i="67"/>
  <c r="G60" i="67"/>
  <c r="G83" i="67"/>
  <c r="G84" i="67"/>
  <c r="G85" i="67"/>
  <c r="G86" i="67"/>
  <c r="G87" i="67"/>
  <c r="G88" i="67"/>
  <c r="G90" i="67"/>
  <c r="G91" i="67"/>
  <c r="G96" i="67"/>
  <c r="G97" i="67"/>
  <c r="G98" i="67"/>
  <c r="G124" i="67"/>
  <c r="G125" i="67"/>
  <c r="G126" i="67"/>
  <c r="G127" i="67"/>
  <c r="G129" i="67"/>
  <c r="G130" i="67"/>
  <c r="G201" i="67"/>
  <c r="G202" i="67"/>
  <c r="G203" i="67"/>
  <c r="G11" i="136"/>
  <c r="G12" i="136"/>
  <c r="G64" i="136"/>
  <c r="G65" i="136"/>
  <c r="G66" i="136"/>
  <c r="G67" i="136"/>
  <c r="G68" i="136"/>
  <c r="G69" i="136"/>
  <c r="G70" i="136"/>
  <c r="G71" i="136"/>
  <c r="G72" i="136"/>
  <c r="G73" i="136"/>
  <c r="G74" i="136"/>
  <c r="G96" i="136"/>
  <c r="G97" i="136"/>
  <c r="G98" i="136"/>
  <c r="G165" i="136"/>
  <c r="G166" i="136"/>
  <c r="G167" i="136"/>
  <c r="G168" i="136"/>
  <c r="G169" i="136"/>
  <c r="G170" i="136"/>
  <c r="G171" i="136"/>
  <c r="G172" i="136"/>
  <c r="G173" i="136"/>
  <c r="G174" i="136"/>
  <c r="G175" i="136"/>
  <c r="G176" i="136"/>
  <c r="G177" i="136"/>
  <c r="G178" i="136"/>
  <c r="G179" i="136"/>
  <c r="G180" i="136"/>
  <c r="G181" i="136"/>
  <c r="G182" i="136"/>
  <c r="K17" i="136"/>
  <c r="G83" i="47"/>
  <c r="G84" i="47"/>
  <c r="G85" i="47"/>
  <c r="G86" i="47"/>
  <c r="G87" i="47"/>
  <c r="G88" i="47"/>
  <c r="E220" i="47"/>
  <c r="E221" i="47"/>
  <c r="E222" i="47"/>
  <c r="E223" i="47"/>
  <c r="E224" i="47"/>
  <c r="E225" i="47"/>
  <c r="E226" i="47"/>
  <c r="E227" i="47"/>
  <c r="G83" i="46"/>
  <c r="G84" i="46"/>
  <c r="G85" i="46"/>
  <c r="G86" i="46"/>
  <c r="G87" i="46"/>
  <c r="G88" i="46"/>
  <c r="G91" i="43"/>
  <c r="G96" i="43"/>
  <c r="G97" i="43"/>
  <c r="G165" i="39"/>
  <c r="G166" i="39"/>
  <c r="G167" i="39"/>
  <c r="G168" i="39"/>
  <c r="G169" i="39"/>
  <c r="G170" i="39"/>
  <c r="G171" i="39"/>
  <c r="G172" i="39"/>
  <c r="G173" i="39"/>
  <c r="G174" i="39"/>
  <c r="G175" i="39"/>
  <c r="G176" i="39"/>
  <c r="G177" i="39"/>
  <c r="G178" i="39"/>
  <c r="G179" i="39"/>
  <c r="G180" i="39"/>
  <c r="G181" i="39"/>
  <c r="G182" i="39"/>
  <c r="G183" i="39"/>
  <c r="G184" i="39"/>
  <c r="G185" i="39"/>
  <c r="G11" i="119"/>
  <c r="G12" i="119"/>
  <c r="G13" i="119"/>
  <c r="G14" i="119"/>
  <c r="G15" i="119"/>
  <c r="G16" i="119"/>
  <c r="G17" i="119"/>
  <c r="G18" i="119"/>
  <c r="G20" i="119"/>
  <c r="G25" i="119"/>
  <c r="G26" i="119"/>
  <c r="G27" i="119"/>
  <c r="G28" i="119"/>
  <c r="G29" i="119"/>
  <c r="G30" i="119"/>
  <c r="G31" i="119"/>
  <c r="G32" i="119"/>
  <c r="G33" i="119"/>
  <c r="G34" i="119"/>
  <c r="G35" i="119"/>
  <c r="G36" i="119"/>
  <c r="G37" i="119"/>
  <c r="G38" i="119"/>
  <c r="G39" i="119"/>
  <c r="G40" i="119"/>
  <c r="G41" i="119"/>
  <c r="G42" i="119"/>
  <c r="G43" i="119"/>
  <c r="G44" i="119"/>
  <c r="G45" i="119"/>
  <c r="G46" i="119"/>
  <c r="G47" i="119"/>
  <c r="G48" i="119"/>
  <c r="G49" i="119"/>
  <c r="G50" i="119"/>
  <c r="G51" i="119"/>
  <c r="G52" i="119"/>
  <c r="G53" i="119"/>
  <c r="G54" i="119"/>
  <c r="G55" i="119"/>
  <c r="G56" i="119"/>
  <c r="G57" i="119"/>
  <c r="G58" i="119"/>
  <c r="G59" i="119"/>
  <c r="G60" i="119"/>
  <c r="G65" i="119"/>
  <c r="G66" i="119"/>
  <c r="G67" i="119"/>
  <c r="G68" i="119"/>
  <c r="G69" i="119"/>
  <c r="G70" i="119"/>
  <c r="G71" i="119"/>
  <c r="G72" i="119"/>
  <c r="G73" i="119"/>
  <c r="G164" i="119"/>
  <c r="G165" i="119"/>
  <c r="G166" i="119"/>
  <c r="G167" i="119"/>
  <c r="G168" i="119"/>
  <c r="G169" i="119"/>
  <c r="G170" i="119"/>
  <c r="G171" i="119"/>
  <c r="G172" i="119"/>
  <c r="G173" i="119"/>
  <c r="G174" i="119"/>
  <c r="G175" i="119"/>
  <c r="G176" i="119"/>
  <c r="G177" i="119"/>
  <c r="G178" i="119"/>
  <c r="G179" i="119"/>
  <c r="G180" i="119"/>
  <c r="G181" i="119"/>
  <c r="G182" i="119"/>
  <c r="G183" i="119"/>
  <c r="K17" i="119"/>
  <c r="G83" i="33"/>
  <c r="G84" i="33"/>
  <c r="G85" i="33"/>
  <c r="G86" i="33"/>
  <c r="G87" i="33"/>
  <c r="G88" i="33"/>
  <c r="G89" i="33"/>
  <c r="G90" i="33"/>
  <c r="G164" i="33"/>
  <c r="G165" i="33"/>
  <c r="G166" i="33"/>
  <c r="G167" i="33"/>
  <c r="G168" i="33"/>
  <c r="G169" i="33"/>
  <c r="G170" i="33"/>
  <c r="G171" i="33"/>
  <c r="G172" i="33"/>
  <c r="G173" i="33"/>
  <c r="G174" i="33"/>
  <c r="G175" i="33"/>
  <c r="G176" i="33"/>
  <c r="G177" i="33"/>
  <c r="G178" i="33"/>
  <c r="G179" i="33"/>
  <c r="G180" i="33"/>
  <c r="G181" i="33"/>
  <c r="G182" i="33"/>
  <c r="G183" i="33"/>
  <c r="K17" i="33"/>
  <c r="E231" i="33"/>
  <c r="E232" i="33"/>
  <c r="G13" i="32"/>
  <c r="G25" i="32"/>
  <c r="G26" i="32"/>
  <c r="G27" i="32"/>
  <c r="G28" i="32"/>
  <c r="G29" i="32"/>
  <c r="G30" i="32"/>
  <c r="G31" i="32"/>
  <c r="G32" i="32"/>
  <c r="G33" i="32"/>
  <c r="G34" i="32"/>
  <c r="G35" i="32"/>
  <c r="G36" i="32"/>
  <c r="G37" i="32"/>
  <c r="G38" i="32"/>
  <c r="G39" i="32"/>
  <c r="G40" i="32"/>
  <c r="G41" i="32"/>
  <c r="G42" i="32"/>
  <c r="G44" i="32"/>
  <c r="G45" i="32"/>
  <c r="G46" i="32"/>
  <c r="G47" i="32"/>
  <c r="G48" i="32"/>
  <c r="G49" i="32"/>
  <c r="G50" i="32"/>
  <c r="G51" i="32"/>
  <c r="G53" i="32"/>
  <c r="G54" i="32"/>
  <c r="G55" i="32"/>
  <c r="G56" i="32"/>
  <c r="G57" i="32"/>
  <c r="G58" i="32"/>
  <c r="G59" i="32"/>
  <c r="G60" i="32"/>
  <c r="G65" i="32"/>
  <c r="G66" i="32"/>
  <c r="G67" i="32"/>
  <c r="G68" i="32"/>
  <c r="G69" i="32"/>
  <c r="G70" i="32"/>
  <c r="G71" i="32"/>
  <c r="G157" i="32"/>
  <c r="G165" i="32"/>
  <c r="G166" i="32"/>
  <c r="G167" i="32"/>
  <c r="G168" i="32"/>
  <c r="G169" i="32"/>
  <c r="G170" i="32"/>
  <c r="G171" i="32"/>
  <c r="G172" i="32"/>
  <c r="G173" i="32"/>
  <c r="G174" i="32"/>
  <c r="G175" i="32"/>
  <c r="G176" i="32"/>
  <c r="G177" i="32"/>
  <c r="G178" i="32"/>
  <c r="G179" i="32"/>
  <c r="G180" i="32"/>
  <c r="G181" i="32"/>
  <c r="G182" i="32"/>
  <c r="G183" i="32"/>
  <c r="G184" i="32"/>
  <c r="G185" i="32"/>
  <c r="G186" i="32"/>
  <c r="G187" i="32"/>
  <c r="G188" i="32"/>
  <c r="G189" i="32"/>
  <c r="G190" i="32"/>
  <c r="G191" i="32"/>
  <c r="G192" i="32"/>
  <c r="G193" i="32"/>
  <c r="G200" i="32"/>
  <c r="G201" i="32"/>
  <c r="G202" i="32"/>
  <c r="G203" i="32"/>
  <c r="G204" i="32"/>
  <c r="G205" i="32"/>
  <c r="E220" i="32"/>
  <c r="E221" i="32"/>
  <c r="E222" i="32"/>
  <c r="E223" i="32"/>
  <c r="E224" i="32"/>
  <c r="E225" i="32"/>
  <c r="E226" i="32"/>
  <c r="E227" i="32"/>
  <c r="G11" i="79"/>
  <c r="G12" i="79"/>
  <c r="G13" i="79"/>
  <c r="G14" i="79"/>
  <c r="G15" i="79"/>
  <c r="G16" i="79"/>
  <c r="G17" i="79"/>
  <c r="G18" i="79"/>
  <c r="G19" i="79"/>
  <c r="G20" i="79"/>
  <c r="G26" i="79"/>
  <c r="G27" i="79"/>
  <c r="G28" i="79"/>
  <c r="G48" i="79"/>
  <c r="G49" i="79"/>
  <c r="G50" i="79"/>
  <c r="G51" i="79"/>
  <c r="G52" i="79"/>
  <c r="G54" i="79"/>
  <c r="G55" i="79"/>
  <c r="G56" i="79"/>
  <c r="G57" i="79"/>
  <c r="G58" i="79"/>
  <c r="G59" i="79"/>
  <c r="G60" i="79"/>
  <c r="G65" i="79"/>
  <c r="G66" i="79"/>
  <c r="G67" i="79"/>
  <c r="G68" i="79"/>
  <c r="G69" i="79"/>
  <c r="G70" i="79"/>
  <c r="G71" i="79"/>
  <c r="G72" i="79"/>
  <c r="G73" i="79"/>
  <c r="G74" i="79"/>
  <c r="G75" i="79"/>
  <c r="G76" i="79"/>
  <c r="G77" i="79"/>
  <c r="G78" i="79"/>
  <c r="G83" i="79"/>
  <c r="G84" i="79"/>
  <c r="G85" i="79"/>
  <c r="G86" i="79"/>
  <c r="G87" i="79"/>
  <c r="G88" i="79"/>
  <c r="G89" i="79"/>
  <c r="G90" i="79"/>
  <c r="G91" i="79"/>
  <c r="G92" i="79"/>
  <c r="G96" i="79"/>
  <c r="G97" i="79"/>
  <c r="G98" i="79"/>
  <c r="G124" i="79"/>
  <c r="G125" i="79"/>
  <c r="G126" i="79"/>
  <c r="G127" i="79"/>
  <c r="G129" i="79"/>
  <c r="G130" i="79"/>
  <c r="G131" i="79"/>
  <c r="G132" i="79"/>
  <c r="G133" i="79"/>
  <c r="G135" i="79"/>
  <c r="G136" i="79"/>
  <c r="G137" i="79"/>
  <c r="G138" i="79"/>
  <c r="G140" i="79"/>
  <c r="G141" i="79"/>
  <c r="G142" i="79"/>
  <c r="G143" i="79"/>
  <c r="G145" i="79"/>
  <c r="G147" i="79"/>
  <c r="G148" i="79"/>
  <c r="G149" i="79"/>
  <c r="G150" i="79"/>
  <c r="G151" i="79"/>
  <c r="G152" i="79"/>
  <c r="G165" i="79"/>
  <c r="G166" i="79"/>
  <c r="G167" i="79"/>
  <c r="G168" i="79"/>
  <c r="G169" i="79"/>
  <c r="G170" i="79"/>
  <c r="G171" i="79"/>
  <c r="G180" i="79"/>
  <c r="G25" i="16"/>
  <c r="G26" i="16"/>
  <c r="G27" i="16"/>
  <c r="G28" i="16"/>
  <c r="G29" i="16"/>
  <c r="G30" i="16"/>
  <c r="G31" i="16"/>
  <c r="G32" i="16"/>
  <c r="G33" i="16"/>
  <c r="G34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2" i="16"/>
  <c r="G53" i="16"/>
  <c r="G64" i="16"/>
  <c r="G65" i="16"/>
  <c r="G66" i="16"/>
  <c r="G67" i="16"/>
  <c r="G68" i="16"/>
  <c r="G69" i="16"/>
  <c r="G70" i="16"/>
  <c r="G96" i="16"/>
  <c r="G97" i="16"/>
  <c r="G124" i="16"/>
  <c r="G125" i="16"/>
  <c r="G126" i="16"/>
  <c r="G127" i="16"/>
  <c r="G129" i="16"/>
  <c r="G130" i="16"/>
  <c r="G131" i="16"/>
  <c r="G132" i="16"/>
  <c r="G133" i="16"/>
  <c r="G135" i="16"/>
  <c r="G136" i="16"/>
  <c r="G137" i="16"/>
  <c r="G138" i="16"/>
  <c r="G140" i="16"/>
  <c r="G141" i="16"/>
  <c r="G142" i="16"/>
  <c r="G143" i="16"/>
  <c r="G145" i="16"/>
  <c r="G146" i="16"/>
  <c r="G147" i="16"/>
  <c r="G149" i="16"/>
  <c r="G150" i="16"/>
  <c r="G164" i="16"/>
  <c r="G165" i="16"/>
  <c r="G166" i="16"/>
  <c r="G167" i="16"/>
  <c r="G168" i="16"/>
  <c r="G169" i="16"/>
  <c r="G170" i="16"/>
  <c r="G171" i="16"/>
  <c r="G172" i="16"/>
  <c r="G173" i="16"/>
  <c r="G220" i="111"/>
  <c r="E221" i="111"/>
  <c r="G222" i="111"/>
  <c r="E223" i="111"/>
  <c r="G224" i="111"/>
  <c r="E225" i="111"/>
  <c r="G226" i="111"/>
  <c r="E227" i="111"/>
  <c r="G26" i="55"/>
  <c r="G27" i="55"/>
  <c r="G28" i="55"/>
  <c r="G29" i="55"/>
  <c r="G30" i="55"/>
  <c r="G31" i="55"/>
  <c r="G32" i="55"/>
  <c r="G33" i="55"/>
  <c r="G34" i="55"/>
  <c r="G35" i="55"/>
  <c r="G36" i="55"/>
  <c r="G37" i="55"/>
  <c r="G231" i="57"/>
  <c r="G232" i="57"/>
  <c r="G26" i="89"/>
  <c r="G27" i="89"/>
  <c r="G28" i="89"/>
  <c r="G29" i="89"/>
  <c r="G30" i="89"/>
  <c r="G31" i="89"/>
  <c r="G33" i="89"/>
  <c r="G34" i="89"/>
  <c r="G35" i="89"/>
  <c r="G36" i="89"/>
  <c r="G37" i="89"/>
  <c r="G38" i="89"/>
  <c r="G39" i="89"/>
  <c r="G40" i="89"/>
  <c r="G41" i="89"/>
  <c r="G42" i="89"/>
  <c r="G43" i="89"/>
  <c r="G44" i="89"/>
  <c r="G67" i="89"/>
  <c r="G75" i="89"/>
  <c r="G88" i="89"/>
  <c r="G96" i="89"/>
  <c r="G97" i="89"/>
  <c r="G98" i="89"/>
  <c r="G99" i="89"/>
  <c r="G100" i="89"/>
  <c r="G101" i="89"/>
  <c r="G105" i="89"/>
  <c r="G106" i="89"/>
  <c r="G107" i="89"/>
  <c r="G108" i="89"/>
  <c r="G109" i="89"/>
  <c r="G123" i="89"/>
  <c r="G124" i="89"/>
  <c r="G125" i="89"/>
  <c r="G126" i="89"/>
  <c r="G127" i="89"/>
  <c r="G129" i="89"/>
  <c r="G130" i="89"/>
  <c r="G131" i="89"/>
  <c r="G132" i="89"/>
  <c r="G133" i="89"/>
  <c r="G135" i="89"/>
  <c r="G136" i="89"/>
  <c r="G137" i="89"/>
  <c r="G138" i="89"/>
  <c r="G140" i="89"/>
  <c r="G141" i="89"/>
  <c r="G143" i="89"/>
  <c r="G145" i="89"/>
  <c r="G146" i="89"/>
  <c r="G147" i="89"/>
  <c r="G148" i="89"/>
  <c r="G149" i="89"/>
  <c r="G150" i="89"/>
  <c r="G151" i="89"/>
  <c r="G152" i="89"/>
  <c r="G153" i="89"/>
  <c r="G155" i="89"/>
  <c r="G156" i="89"/>
  <c r="G157" i="89"/>
  <c r="G158" i="89"/>
  <c r="G159" i="89"/>
  <c r="G160" i="89"/>
  <c r="G165" i="89"/>
  <c r="G166" i="89"/>
  <c r="G167" i="89"/>
  <c r="G168" i="89"/>
  <c r="G169" i="89"/>
  <c r="G170" i="89"/>
  <c r="G171" i="89"/>
  <c r="G172" i="89"/>
  <c r="G173" i="89"/>
  <c r="G174" i="89"/>
  <c r="G175" i="89"/>
  <c r="G176" i="89"/>
  <c r="G177" i="89"/>
  <c r="G178" i="89"/>
  <c r="G179" i="89"/>
  <c r="G180" i="89"/>
  <c r="G181" i="89"/>
  <c r="G182" i="89"/>
  <c r="G183" i="89"/>
  <c r="G184" i="89"/>
  <c r="G185" i="89"/>
  <c r="G186" i="89"/>
  <c r="G187" i="89"/>
  <c r="G188" i="89"/>
  <c r="G189" i="89"/>
  <c r="G190" i="89"/>
  <c r="G200" i="89"/>
  <c r="G201" i="89"/>
  <c r="G202" i="89"/>
  <c r="G26" i="91"/>
  <c r="G27" i="91"/>
  <c r="G28" i="91"/>
  <c r="G29" i="91"/>
  <c r="G30" i="91"/>
  <c r="G31" i="91"/>
  <c r="G32" i="91"/>
  <c r="G33" i="91"/>
  <c r="G34" i="91"/>
  <c r="G35" i="91"/>
  <c r="G36" i="91"/>
  <c r="G37" i="91"/>
  <c r="G38" i="91"/>
  <c r="G39" i="91"/>
  <c r="G40" i="91"/>
  <c r="G41" i="91"/>
  <c r="G42" i="91"/>
  <c r="G43" i="91"/>
  <c r="G44" i="91"/>
  <c r="G45" i="91"/>
  <c r="G46" i="91"/>
  <c r="G48" i="91"/>
  <c r="G96" i="91"/>
  <c r="G97" i="91"/>
  <c r="G98" i="91"/>
  <c r="G99" i="91"/>
  <c r="G100" i="91"/>
  <c r="G101" i="91"/>
  <c r="G105" i="91"/>
  <c r="G106" i="91"/>
  <c r="G107" i="91"/>
  <c r="G108" i="91"/>
  <c r="G124" i="91"/>
  <c r="G125" i="91"/>
  <c r="G126" i="91"/>
  <c r="G127" i="91"/>
  <c r="G129" i="91"/>
  <c r="G130" i="91"/>
  <c r="G131" i="91"/>
  <c r="G132" i="91"/>
  <c r="G133" i="91"/>
  <c r="G135" i="91"/>
  <c r="G136" i="91"/>
  <c r="G137" i="91"/>
  <c r="G138" i="91"/>
  <c r="G140" i="91"/>
  <c r="G141" i="91"/>
  <c r="G142" i="91"/>
  <c r="G143" i="91"/>
  <c r="G145" i="91"/>
  <c r="G146" i="91"/>
  <c r="G147" i="91"/>
  <c r="G148" i="91"/>
  <c r="G149" i="91"/>
  <c r="G150" i="91"/>
  <c r="G151" i="91"/>
  <c r="G153" i="91"/>
  <c r="G155" i="91"/>
  <c r="G156" i="91"/>
  <c r="G157" i="91"/>
  <c r="G158" i="91"/>
  <c r="G159" i="91"/>
  <c r="G160" i="91"/>
  <c r="G165" i="91"/>
  <c r="G166" i="91"/>
  <c r="G167" i="91"/>
  <c r="G168" i="91"/>
  <c r="G169" i="91"/>
  <c r="G170" i="91"/>
  <c r="G171" i="91"/>
  <c r="G172" i="91"/>
  <c r="G173" i="91"/>
  <c r="G174" i="91"/>
  <c r="G175" i="91"/>
  <c r="G176" i="91"/>
  <c r="G177" i="91"/>
  <c r="G178" i="91"/>
  <c r="G179" i="91"/>
  <c r="G180" i="91"/>
  <c r="G181" i="91"/>
  <c r="G182" i="91"/>
  <c r="G183" i="91"/>
  <c r="G184" i="91"/>
  <c r="G185" i="91"/>
  <c r="G186" i="91"/>
  <c r="G187" i="91"/>
  <c r="G188" i="91"/>
  <c r="G83" i="92"/>
  <c r="G84" i="92"/>
  <c r="G85" i="92"/>
  <c r="G86" i="92"/>
  <c r="G87" i="92"/>
  <c r="G88" i="92"/>
  <c r="G89" i="92"/>
  <c r="G90" i="92"/>
  <c r="G91" i="92"/>
  <c r="G92" i="92"/>
  <c r="G96" i="92"/>
  <c r="G97" i="92"/>
  <c r="G98" i="92"/>
  <c r="G99" i="92"/>
  <c r="G100" i="92"/>
  <c r="G101" i="92"/>
  <c r="G111" i="92"/>
  <c r="G124" i="92"/>
  <c r="G125" i="92"/>
  <c r="G126" i="92"/>
  <c r="G127" i="92"/>
  <c r="G129" i="92"/>
  <c r="G130" i="92"/>
  <c r="G131" i="92"/>
  <c r="G132" i="92"/>
  <c r="G133" i="92"/>
  <c r="G135" i="92"/>
  <c r="G136" i="92"/>
  <c r="G137" i="92"/>
  <c r="G138" i="92"/>
  <c r="G140" i="92"/>
  <c r="G141" i="92"/>
  <c r="G142" i="92"/>
  <c r="G143" i="92"/>
  <c r="G145" i="92"/>
  <c r="G146" i="92"/>
  <c r="G147" i="92"/>
  <c r="G148" i="92"/>
  <c r="G149" i="92"/>
  <c r="G150" i="92"/>
  <c r="G151" i="92"/>
  <c r="G152" i="92"/>
  <c r="G153" i="92"/>
  <c r="G155" i="92"/>
  <c r="G156" i="92"/>
  <c r="G158" i="92"/>
  <c r="G159" i="92"/>
  <c r="G160" i="92"/>
  <c r="G191" i="92"/>
  <c r="G201" i="92"/>
  <c r="G202" i="92"/>
  <c r="G203" i="92"/>
  <c r="G220" i="92"/>
  <c r="E221" i="92"/>
  <c r="G222" i="92"/>
  <c r="E223" i="92"/>
  <c r="G224" i="92"/>
  <c r="G25" i="113"/>
  <c r="G26" i="113"/>
  <c r="G27" i="113"/>
  <c r="G28" i="113"/>
  <c r="G29" i="113"/>
  <c r="G30" i="113"/>
  <c r="G31" i="113"/>
  <c r="G32" i="113"/>
  <c r="G33" i="113"/>
  <c r="G34" i="113"/>
  <c r="G35" i="113"/>
  <c r="G36" i="113"/>
  <c r="G38" i="113"/>
  <c r="G39" i="113"/>
  <c r="G72" i="113"/>
  <c r="G83" i="113"/>
  <c r="G165" i="113"/>
  <c r="G166" i="113"/>
  <c r="G167" i="113"/>
  <c r="G168" i="113"/>
  <c r="G169" i="113"/>
  <c r="G170" i="113"/>
  <c r="G171" i="113"/>
  <c r="G172" i="113"/>
  <c r="G173" i="113"/>
  <c r="G174" i="113"/>
  <c r="G175" i="113"/>
  <c r="G176" i="113"/>
  <c r="G177" i="113"/>
  <c r="G178" i="113"/>
  <c r="G179" i="113"/>
  <c r="G180" i="113"/>
  <c r="G181" i="113"/>
  <c r="G182" i="113"/>
  <c r="G183" i="113"/>
  <c r="G184" i="113"/>
  <c r="G185" i="113"/>
  <c r="G186" i="113"/>
  <c r="G187" i="113"/>
  <c r="G188" i="113"/>
  <c r="G189" i="113"/>
  <c r="G190" i="113"/>
  <c r="E227" i="113"/>
  <c r="G11" i="90"/>
  <c r="G26" i="90"/>
  <c r="G60" i="90"/>
  <c r="G66" i="90"/>
  <c r="G67" i="90"/>
  <c r="G68" i="90"/>
  <c r="G115" i="90"/>
  <c r="G116" i="90"/>
  <c r="G117" i="90"/>
  <c r="G118" i="90"/>
  <c r="G150" i="90"/>
  <c r="E221" i="90"/>
  <c r="E222" i="90"/>
  <c r="G223" i="90"/>
  <c r="E227" i="90"/>
  <c r="E231" i="90"/>
  <c r="G231" i="90" s="1"/>
  <c r="K17" i="90"/>
  <c r="K18" i="90"/>
  <c r="G83" i="20"/>
  <c r="G84" i="20"/>
  <c r="G85" i="20"/>
  <c r="G86" i="20"/>
  <c r="G87" i="20"/>
  <c r="G88" i="20"/>
  <c r="G124" i="20"/>
  <c r="G125" i="20"/>
  <c r="G126" i="20"/>
  <c r="G127" i="20"/>
  <c r="G129" i="20"/>
  <c r="G130" i="20"/>
  <c r="G131" i="20"/>
  <c r="G132" i="20"/>
  <c r="G133" i="20"/>
  <c r="G135" i="20"/>
  <c r="G136" i="20"/>
  <c r="G137" i="20"/>
  <c r="G138" i="20"/>
  <c r="G140" i="20"/>
  <c r="G141" i="20"/>
  <c r="G142" i="20"/>
  <c r="G66" i="87"/>
  <c r="G83" i="87"/>
  <c r="G84" i="87"/>
  <c r="G85" i="87"/>
  <c r="G86" i="87"/>
  <c r="G87" i="87"/>
  <c r="G88" i="87"/>
  <c r="G89" i="87"/>
  <c r="G90" i="87"/>
  <c r="G91" i="87"/>
  <c r="G92" i="87"/>
  <c r="G96" i="87"/>
  <c r="G97" i="87"/>
  <c r="G98" i="87"/>
  <c r="G114" i="87"/>
  <c r="G115" i="87"/>
  <c r="G116" i="87"/>
  <c r="G117" i="87"/>
  <c r="G118" i="87"/>
  <c r="G124" i="87"/>
  <c r="G125" i="87"/>
  <c r="G126" i="87"/>
  <c r="G127" i="87"/>
  <c r="G129" i="87"/>
  <c r="G130" i="87"/>
  <c r="G131" i="87"/>
  <c r="G132" i="87"/>
  <c r="G133" i="87"/>
  <c r="G135" i="87"/>
  <c r="G138" i="87"/>
  <c r="G200" i="87"/>
  <c r="G201" i="87"/>
  <c r="G202" i="87"/>
  <c r="G203" i="87"/>
  <c r="G204" i="87"/>
  <c r="E220" i="87"/>
  <c r="E221" i="87"/>
  <c r="G222" i="87"/>
  <c r="E223" i="87"/>
  <c r="G224" i="87"/>
  <c r="E225" i="87"/>
  <c r="E226" i="87"/>
  <c r="E227" i="87"/>
  <c r="E231" i="87"/>
  <c r="G232" i="87"/>
  <c r="G49" i="106"/>
  <c r="G64" i="106"/>
  <c r="G65" i="106"/>
  <c r="G66" i="106"/>
  <c r="G67" i="106"/>
  <c r="G68" i="106"/>
  <c r="G69" i="106"/>
  <c r="G70" i="106"/>
  <c r="G71" i="106"/>
  <c r="G105" i="106"/>
  <c r="G106" i="106"/>
  <c r="G124" i="106"/>
  <c r="G125" i="106"/>
  <c r="G126" i="106"/>
  <c r="G127" i="106"/>
  <c r="G129" i="106"/>
  <c r="G130" i="106"/>
  <c r="G131" i="106"/>
  <c r="G132" i="106"/>
  <c r="G133" i="106"/>
  <c r="G135" i="106"/>
  <c r="G136" i="106"/>
  <c r="G137" i="106"/>
  <c r="G138" i="106"/>
  <c r="G140" i="106"/>
  <c r="G141" i="106"/>
  <c r="G142" i="106"/>
  <c r="G143" i="106"/>
  <c r="G145" i="106"/>
  <c r="G146" i="106"/>
  <c r="G147" i="106"/>
  <c r="G149" i="106"/>
  <c r="G150" i="106"/>
  <c r="G151" i="106"/>
  <c r="G152" i="106"/>
  <c r="G153" i="106"/>
  <c r="G155" i="106"/>
  <c r="G156" i="106"/>
  <c r="G157" i="106"/>
  <c r="G158" i="106"/>
  <c r="G159" i="106"/>
  <c r="G160" i="106"/>
  <c r="G164" i="106"/>
  <c r="G165" i="106"/>
  <c r="G167" i="106"/>
  <c r="G168" i="106"/>
  <c r="G169" i="106"/>
  <c r="G170" i="106"/>
  <c r="G171" i="106"/>
  <c r="G172" i="106"/>
  <c r="G173" i="106"/>
  <c r="G175" i="106"/>
  <c r="G176" i="106"/>
  <c r="G177" i="106"/>
  <c r="G178" i="106"/>
  <c r="G179" i="106"/>
  <c r="G180" i="106"/>
  <c r="G181" i="106"/>
  <c r="G182" i="106"/>
  <c r="G183" i="106"/>
  <c r="G184" i="106"/>
  <c r="G185" i="106"/>
  <c r="G186" i="106"/>
  <c r="G187" i="106"/>
  <c r="G188" i="106"/>
  <c r="K17" i="106"/>
  <c r="K18" i="106"/>
  <c r="E220" i="106"/>
  <c r="G221" i="106"/>
  <c r="E222" i="106"/>
  <c r="G223" i="106"/>
  <c r="E224" i="106"/>
  <c r="G225" i="106"/>
  <c r="E226" i="106"/>
  <c r="G227" i="106"/>
  <c r="G11" i="104"/>
  <c r="G12" i="104"/>
  <c r="G13" i="104"/>
  <c r="G14" i="104"/>
  <c r="G15" i="104"/>
  <c r="G16" i="104"/>
  <c r="G17" i="104"/>
  <c r="G18" i="104"/>
  <c r="G19" i="104"/>
  <c r="G20" i="104"/>
  <c r="G26" i="104"/>
  <c r="G27" i="104"/>
  <c r="G28" i="104"/>
  <c r="G29" i="104"/>
  <c r="G30" i="104"/>
  <c r="G31" i="104"/>
  <c r="G32" i="104"/>
  <c r="G33" i="104"/>
  <c r="G34" i="104"/>
  <c r="G35" i="104"/>
  <c r="G36" i="104"/>
  <c r="G37" i="104"/>
  <c r="G38" i="104"/>
  <c r="G39" i="104"/>
  <c r="G40" i="104"/>
  <c r="G41" i="104"/>
  <c r="G42" i="104"/>
  <c r="G43" i="104"/>
  <c r="G44" i="104"/>
  <c r="G45" i="104"/>
  <c r="G46" i="104"/>
  <c r="G47" i="104"/>
  <c r="G48" i="104"/>
  <c r="G96" i="104"/>
  <c r="G97" i="104"/>
  <c r="G98" i="104"/>
  <c r="G99" i="104"/>
  <c r="G115" i="104"/>
  <c r="G116" i="104"/>
  <c r="G117" i="104"/>
  <c r="G118" i="104"/>
  <c r="G123" i="104"/>
  <c r="G124" i="104"/>
  <c r="G125" i="104"/>
  <c r="G126" i="104"/>
  <c r="G127" i="104"/>
  <c r="G129" i="104"/>
  <c r="G130" i="104"/>
  <c r="G131" i="104"/>
  <c r="G132" i="104"/>
  <c r="G133" i="104"/>
  <c r="G220" i="104"/>
  <c r="E221" i="104"/>
  <c r="G222" i="104"/>
  <c r="E223" i="104"/>
  <c r="E225" i="104"/>
  <c r="G12" i="69"/>
  <c r="G13" i="69"/>
  <c r="G14" i="69"/>
  <c r="G15" i="69"/>
  <c r="G16" i="69"/>
  <c r="G17" i="69"/>
  <c r="G18" i="69"/>
  <c r="G19" i="69"/>
  <c r="G20" i="69"/>
  <c r="G27" i="69"/>
  <c r="G28" i="69"/>
  <c r="G29" i="69"/>
  <c r="G30" i="69"/>
  <c r="G31" i="69"/>
  <c r="G32" i="69"/>
  <c r="G33" i="69"/>
  <c r="G34" i="69"/>
  <c r="G35" i="69"/>
  <c r="G36" i="69"/>
  <c r="G37" i="69"/>
  <c r="G38" i="69"/>
  <c r="G39" i="69"/>
  <c r="G40" i="69"/>
  <c r="G41" i="69"/>
  <c r="G155" i="69"/>
  <c r="M11" i="100"/>
  <c r="M16" i="83"/>
  <c r="M14" i="83"/>
  <c r="M12" i="83"/>
  <c r="H17" i="50" l="1"/>
  <c r="H21" i="1"/>
  <c r="H11" i="92"/>
  <c r="H12" i="65"/>
  <c r="H21" i="113"/>
  <c r="K11" i="31"/>
  <c r="H12" i="24"/>
  <c r="H16" i="98"/>
  <c r="H15" i="53"/>
  <c r="H18" i="15"/>
  <c r="K11" i="38"/>
  <c r="K11" i="45"/>
  <c r="H18" i="63"/>
  <c r="M11" i="57"/>
  <c r="K14" i="94"/>
  <c r="M19" i="98"/>
  <c r="G235" i="67"/>
  <c r="F228" i="67"/>
  <c r="M18" i="89"/>
  <c r="F225" i="97"/>
  <c r="F230" i="97"/>
  <c r="F228" i="97"/>
  <c r="F229" i="97"/>
  <c r="F227" i="97"/>
  <c r="F226" i="97"/>
  <c r="F223" i="97"/>
  <c r="G226" i="67"/>
  <c r="H15" i="50"/>
  <c r="M16" i="38"/>
  <c r="H12" i="50"/>
  <c r="K14" i="66"/>
  <c r="M12" i="90"/>
  <c r="K11" i="53"/>
  <c r="M18" i="46"/>
  <c r="H16" i="53"/>
  <c r="K14" i="113"/>
  <c r="K14" i="14"/>
  <c r="H12" i="53"/>
  <c r="G233" i="64"/>
  <c r="G235" i="64" s="1"/>
  <c r="M13" i="15"/>
  <c r="G233" i="104"/>
  <c r="H14" i="53"/>
  <c r="M19" i="16"/>
  <c r="M17" i="65"/>
  <c r="E235" i="104"/>
  <c r="M12" i="53"/>
  <c r="H19" i="33"/>
  <c r="H17" i="24"/>
  <c r="H13" i="24"/>
  <c r="M14" i="38"/>
  <c r="G233" i="39"/>
  <c r="M15" i="53"/>
  <c r="M16" i="59"/>
  <c r="M17" i="98"/>
  <c r="M13" i="100"/>
  <c r="M12" i="65"/>
  <c r="M16" i="57"/>
  <c r="H11" i="24"/>
  <c r="H19" i="31"/>
  <c r="M14" i="46"/>
  <c r="K14" i="19"/>
  <c r="M19" i="53"/>
  <c r="H19" i="113"/>
  <c r="E235" i="49"/>
  <c r="H15" i="1"/>
  <c r="H14" i="113"/>
  <c r="H16" i="113"/>
  <c r="H16" i="24"/>
  <c r="M18" i="90"/>
  <c r="H16" i="45"/>
  <c r="K14" i="24"/>
  <c r="K14" i="67"/>
  <c r="H20" i="50"/>
  <c r="H14" i="1"/>
  <c r="M16" i="53"/>
  <c r="H15" i="59"/>
  <c r="H17" i="98"/>
  <c r="M14" i="113"/>
  <c r="H18" i="24"/>
  <c r="H18" i="113"/>
  <c r="M11" i="71"/>
  <c r="H15" i="24"/>
  <c r="H14" i="45"/>
  <c r="G233" i="58"/>
  <c r="H12" i="106"/>
  <c r="M12" i="72"/>
  <c r="G233" i="45"/>
  <c r="M14" i="53"/>
  <c r="M15" i="38"/>
  <c r="M17" i="21"/>
  <c r="M11" i="15"/>
  <c r="G233" i="53"/>
  <c r="M11" i="89"/>
  <c r="H21" i="106"/>
  <c r="H19" i="45"/>
  <c r="E235" i="53"/>
  <c r="H21" i="45"/>
  <c r="M15" i="15"/>
  <c r="M12" i="38"/>
  <c r="M12" i="89"/>
  <c r="H11" i="100"/>
  <c r="H14" i="24"/>
  <c r="G233" i="38"/>
  <c r="E235" i="58"/>
  <c r="M15" i="63"/>
  <c r="H13" i="113"/>
  <c r="H11" i="113"/>
  <c r="M11" i="24"/>
  <c r="E235" i="39"/>
  <c r="K14" i="28"/>
  <c r="K11" i="113"/>
  <c r="H19" i="24"/>
  <c r="K14" i="106"/>
  <c r="E235" i="24"/>
  <c r="H17" i="113"/>
  <c r="K14" i="64"/>
  <c r="M12" i="50"/>
  <c r="K11" i="24"/>
  <c r="H20" i="113"/>
  <c r="K14" i="53"/>
  <c r="H20" i="24"/>
  <c r="H15" i="113"/>
  <c r="G233" i="24"/>
  <c r="G233" i="49"/>
  <c r="M17" i="67"/>
  <c r="M18" i="50"/>
  <c r="H12" i="113"/>
  <c r="H21" i="24"/>
  <c r="K14" i="102"/>
  <c r="E235" i="38"/>
  <c r="K14" i="21"/>
  <c r="H15" i="31"/>
  <c r="E235" i="62"/>
  <c r="H16" i="50"/>
  <c r="M18" i="15"/>
  <c r="M15" i="16"/>
  <c r="M19" i="67"/>
  <c r="M12" i="113"/>
  <c r="M11" i="142"/>
  <c r="H19" i="16"/>
  <c r="H21" i="50"/>
  <c r="K14" i="32"/>
  <c r="G233" i="46"/>
  <c r="H20" i="53"/>
  <c r="H19" i="53"/>
  <c r="H11" i="53"/>
  <c r="G233" i="62"/>
  <c r="H13" i="50"/>
  <c r="K11" i="50"/>
  <c r="M13" i="89"/>
  <c r="M13" i="53"/>
  <c r="H13" i="106"/>
  <c r="H18" i="50"/>
  <c r="H14" i="50"/>
  <c r="K14" i="98"/>
  <c r="H17" i="53"/>
  <c r="H21" i="53"/>
  <c r="G233" i="37"/>
  <c r="M17" i="24"/>
  <c r="M15" i="50"/>
  <c r="H21" i="31"/>
  <c r="K14" i="39"/>
  <c r="G233" i="136"/>
  <c r="G235" i="136" s="1"/>
  <c r="M16" i="89"/>
  <c r="M11" i="21"/>
  <c r="H18" i="106"/>
  <c r="H19" i="50"/>
  <c r="E237" i="57"/>
  <c r="H13" i="53"/>
  <c r="H18" i="53"/>
  <c r="E235" i="92"/>
  <c r="M18" i="53"/>
  <c r="G233" i="92"/>
  <c r="M17" i="50"/>
  <c r="H14" i="31"/>
  <c r="H18" i="1"/>
  <c r="M13" i="72"/>
  <c r="M11" i="106"/>
  <c r="H11" i="50"/>
  <c r="K14" i="100"/>
  <c r="E235" i="46"/>
  <c r="M11" i="72"/>
  <c r="G197" i="43"/>
  <c r="H17" i="100"/>
  <c r="H11" i="45"/>
  <c r="H17" i="33"/>
  <c r="H18" i="38"/>
  <c r="M17" i="46"/>
  <c r="H18" i="45"/>
  <c r="H16" i="38"/>
  <c r="E235" i="113"/>
  <c r="H19" i="100"/>
  <c r="M14" i="63"/>
  <c r="M14" i="98"/>
  <c r="M14" i="15"/>
  <c r="M19" i="89"/>
  <c r="M15" i="57"/>
  <c r="H17" i="45"/>
  <c r="E235" i="136"/>
  <c r="M19" i="119"/>
  <c r="M16" i="63"/>
  <c r="M16" i="98"/>
  <c r="M16" i="15"/>
  <c r="M19" i="65"/>
  <c r="M13" i="142"/>
  <c r="H18" i="33"/>
  <c r="K14" i="50"/>
  <c r="H21" i="100"/>
  <c r="H20" i="45"/>
  <c r="H12" i="45"/>
  <c r="K14" i="59"/>
  <c r="M18" i="98"/>
  <c r="M13" i="50"/>
  <c r="K11" i="33"/>
  <c r="H14" i="33"/>
  <c r="K14" i="142"/>
  <c r="M17" i="15"/>
  <c r="M14" i="16"/>
  <c r="M11" i="65"/>
  <c r="K14" i="91"/>
  <c r="H15" i="45"/>
  <c r="H13" i="45"/>
  <c r="K14" i="46"/>
  <c r="M19" i="92"/>
  <c r="M15" i="98"/>
  <c r="H18" i="16"/>
  <c r="K14" i="136"/>
  <c r="H21" i="59"/>
  <c r="H14" i="38"/>
  <c r="H13" i="38"/>
  <c r="M16" i="46"/>
  <c r="M15" i="113"/>
  <c r="H21" i="15"/>
  <c r="H18" i="31"/>
  <c r="H21" i="33"/>
  <c r="K14" i="95"/>
  <c r="M19" i="15"/>
  <c r="M14" i="65"/>
  <c r="M14" i="89"/>
  <c r="H14" i="16"/>
  <c r="K11" i="100"/>
  <c r="K11" i="91"/>
  <c r="H17" i="16"/>
  <c r="H16" i="33"/>
  <c r="H14" i="59"/>
  <c r="H12" i="38"/>
  <c r="H15" i="38"/>
  <c r="G233" i="27"/>
  <c r="M14" i="59"/>
  <c r="H20" i="59"/>
  <c r="M19" i="100"/>
  <c r="M14" i="72"/>
  <c r="M19" i="50"/>
  <c r="H11" i="31"/>
  <c r="H15" i="33"/>
  <c r="M16" i="90"/>
  <c r="M11" i="50"/>
  <c r="H20" i="33"/>
  <c r="H14" i="100"/>
  <c r="H16" i="100"/>
  <c r="H16" i="91"/>
  <c r="H18" i="100"/>
  <c r="H12" i="100"/>
  <c r="H13" i="16"/>
  <c r="K14" i="89"/>
  <c r="E235" i="37"/>
  <c r="H13" i="59"/>
  <c r="H11" i="59"/>
  <c r="H20" i="38"/>
  <c r="H11" i="16"/>
  <c r="H12" i="16"/>
  <c r="H21" i="38"/>
  <c r="K14" i="15"/>
  <c r="H11" i="33"/>
  <c r="K11" i="98"/>
  <c r="M17" i="53"/>
  <c r="M12" i="33"/>
  <c r="M18" i="16"/>
  <c r="M11" i="98"/>
  <c r="G233" i="113"/>
  <c r="K11" i="16"/>
  <c r="H12" i="33"/>
  <c r="H15" i="100"/>
  <c r="H16" i="16"/>
  <c r="K14" i="49"/>
  <c r="H17" i="59"/>
  <c r="H16" i="59"/>
  <c r="H17" i="38"/>
  <c r="H15" i="16"/>
  <c r="H20" i="16"/>
  <c r="K14" i="104"/>
  <c r="M13" i="46"/>
  <c r="H12" i="59"/>
  <c r="G61" i="65"/>
  <c r="H21" i="63"/>
  <c r="M13" i="38"/>
  <c r="M14" i="33"/>
  <c r="H21" i="16"/>
  <c r="H13" i="33"/>
  <c r="H13" i="100"/>
  <c r="H20" i="100"/>
  <c r="E235" i="64"/>
  <c r="E236" i="64" s="1"/>
  <c r="G233" i="84"/>
  <c r="H19" i="38"/>
  <c r="H11" i="38"/>
  <c r="K11" i="63"/>
  <c r="M13" i="113"/>
  <c r="K14" i="62"/>
  <c r="H12" i="98"/>
  <c r="M18" i="113"/>
  <c r="G206" i="24"/>
  <c r="H20" i="106"/>
  <c r="H19" i="106"/>
  <c r="K14" i="38"/>
  <c r="H15" i="106"/>
  <c r="H11" i="63"/>
  <c r="H13" i="98"/>
  <c r="M19" i="33"/>
  <c r="H19" i="15"/>
  <c r="M19" i="59"/>
  <c r="M11" i="14"/>
  <c r="G161" i="47"/>
  <c r="H19" i="98"/>
  <c r="H15" i="63"/>
  <c r="K14" i="37"/>
  <c r="H19" i="63"/>
  <c r="K14" i="69"/>
  <c r="M15" i="28"/>
  <c r="K11" i="15"/>
  <c r="H15" i="15"/>
  <c r="M16" i="14"/>
  <c r="G197" i="46"/>
  <c r="H11" i="98"/>
  <c r="H20" i="63"/>
  <c r="H21" i="91"/>
  <c r="G233" i="42"/>
  <c r="H16" i="63"/>
  <c r="G228" i="65"/>
  <c r="M107" i="65" s="1"/>
  <c r="E237" i="21"/>
  <c r="H19" i="59"/>
  <c r="H18" i="59"/>
  <c r="M14" i="67"/>
  <c r="H14" i="15"/>
  <c r="G233" i="33"/>
  <c r="M18" i="33"/>
  <c r="M12" i="98"/>
  <c r="M19" i="38"/>
  <c r="M15" i="90"/>
  <c r="H11" i="15"/>
  <c r="G228" i="95"/>
  <c r="M74" i="95" s="1"/>
  <c r="H20" i="98"/>
  <c r="M18" i="65"/>
  <c r="K11" i="106"/>
  <c r="H12" i="63"/>
  <c r="E235" i="27"/>
  <c r="H14" i="98"/>
  <c r="H14" i="106"/>
  <c r="K14" i="68"/>
  <c r="G228" i="50"/>
  <c r="M101" i="50" s="1"/>
  <c r="H17" i="106"/>
  <c r="H17" i="63"/>
  <c r="M15" i="24"/>
  <c r="M17" i="113"/>
  <c r="G233" i="135"/>
  <c r="H18" i="98"/>
  <c r="H14" i="63"/>
  <c r="M13" i="65"/>
  <c r="M18" i="38"/>
  <c r="M16" i="113"/>
  <c r="M11" i="83"/>
  <c r="M11" i="113"/>
  <c r="H11" i="106"/>
  <c r="H13" i="63"/>
  <c r="H16" i="106"/>
  <c r="G233" i="15"/>
  <c r="M14" i="21"/>
  <c r="M19" i="142"/>
  <c r="G233" i="65"/>
  <c r="G235" i="65" s="1"/>
  <c r="K11" i="1"/>
  <c r="H19" i="1"/>
  <c r="M16" i="33"/>
  <c r="M12" i="16"/>
  <c r="E235" i="15"/>
  <c r="M19" i="24"/>
  <c r="M15" i="100"/>
  <c r="M17" i="90"/>
  <c r="H11" i="1"/>
  <c r="M19" i="68"/>
  <c r="M16" i="16"/>
  <c r="K14" i="83"/>
  <c r="F64" i="97"/>
  <c r="G119" i="50"/>
  <c r="G233" i="111"/>
  <c r="M18" i="59"/>
  <c r="M17" i="100"/>
  <c r="M17" i="92"/>
  <c r="E235" i="65"/>
  <c r="E237" i="65" s="1"/>
  <c r="G228" i="15"/>
  <c r="M15" i="67"/>
  <c r="M17" i="57"/>
  <c r="H16" i="1"/>
  <c r="M15" i="21"/>
  <c r="M16" i="67"/>
  <c r="M12" i="15"/>
  <c r="M11" i="67"/>
  <c r="M19" i="57"/>
  <c r="M13" i="83"/>
  <c r="M16" i="141"/>
  <c r="G206" i="84"/>
  <c r="H17" i="1"/>
  <c r="M12" i="57"/>
  <c r="K14" i="79"/>
  <c r="M19" i="10"/>
  <c r="M15" i="83"/>
  <c r="M18" i="141"/>
  <c r="M18" i="92"/>
  <c r="G93" i="95"/>
  <c r="G161" i="86"/>
  <c r="G206" i="119"/>
  <c r="E235" i="111"/>
  <c r="G233" i="50"/>
  <c r="E235" i="59"/>
  <c r="H19" i="65"/>
  <c r="H14" i="65"/>
  <c r="H16" i="65"/>
  <c r="H11" i="65"/>
  <c r="H21" i="65"/>
  <c r="H20" i="65"/>
  <c r="H18" i="65"/>
  <c r="M19" i="83"/>
  <c r="K11" i="89"/>
  <c r="H14" i="89"/>
  <c r="H11" i="89"/>
  <c r="H13" i="89"/>
  <c r="H15" i="89"/>
  <c r="H19" i="89"/>
  <c r="H17" i="89"/>
  <c r="M11" i="69"/>
  <c r="M13" i="98"/>
  <c r="M15" i="72"/>
  <c r="M17" i="38"/>
  <c r="K11" i="65"/>
  <c r="G235" i="21"/>
  <c r="E236" i="57"/>
  <c r="G228" i="38"/>
  <c r="M152" i="38" s="1"/>
  <c r="K11" i="142"/>
  <c r="H19" i="142"/>
  <c r="H20" i="142"/>
  <c r="H13" i="142"/>
  <c r="H14" i="142"/>
  <c r="H11" i="142"/>
  <c r="H21" i="142"/>
  <c r="H18" i="142"/>
  <c r="H17" i="142"/>
  <c r="H12" i="142"/>
  <c r="H16" i="142"/>
  <c r="H12" i="91"/>
  <c r="H11" i="91"/>
  <c r="H15" i="91"/>
  <c r="H19" i="91"/>
  <c r="H13" i="91"/>
  <c r="H14" i="91"/>
  <c r="H20" i="91"/>
  <c r="H18" i="91"/>
  <c r="M17" i="63"/>
  <c r="G228" i="62"/>
  <c r="M119" i="62" s="1"/>
  <c r="K14" i="54"/>
  <c r="H18" i="21"/>
  <c r="H20" i="21"/>
  <c r="H19" i="21"/>
  <c r="H13" i="21"/>
  <c r="H12" i="21"/>
  <c r="H21" i="21"/>
  <c r="H15" i="21"/>
  <c r="H16" i="21"/>
  <c r="H17" i="21"/>
  <c r="K11" i="21"/>
  <c r="H14" i="21"/>
  <c r="H11" i="21"/>
  <c r="M16" i="65"/>
  <c r="G79" i="65"/>
  <c r="G233" i="16"/>
  <c r="M12" i="141"/>
  <c r="M14" i="57"/>
  <c r="G228" i="53"/>
  <c r="M189" i="53" s="1"/>
  <c r="M17" i="16"/>
  <c r="M13" i="16"/>
  <c r="G228" i="64"/>
  <c r="M119" i="64" s="1"/>
  <c r="H11" i="141"/>
  <c r="H20" i="141"/>
  <c r="H18" i="141"/>
  <c r="H17" i="141"/>
  <c r="K11" i="141"/>
  <c r="H14" i="141"/>
  <c r="H19" i="141"/>
  <c r="H21" i="141"/>
  <c r="H15" i="141"/>
  <c r="H16" i="141"/>
  <c r="H13" i="141"/>
  <c r="H12" i="141"/>
  <c r="H17" i="65"/>
  <c r="K14" i="47"/>
  <c r="M14" i="71"/>
  <c r="H17" i="92"/>
  <c r="H16" i="92"/>
  <c r="M13" i="57"/>
  <c r="H20" i="89"/>
  <c r="M16" i="136"/>
  <c r="H21" i="89"/>
  <c r="M14" i="50"/>
  <c r="M17" i="89"/>
  <c r="M15" i="65"/>
  <c r="M15" i="46"/>
  <c r="M16" i="50"/>
  <c r="M15" i="89"/>
  <c r="H15" i="65"/>
  <c r="H13" i="65"/>
  <c r="H16" i="89"/>
  <c r="G228" i="98"/>
  <c r="M65" i="98" s="1"/>
  <c r="M17" i="142"/>
  <c r="M14" i="141"/>
  <c r="G197" i="53"/>
  <c r="M12" i="59"/>
  <c r="H18" i="92"/>
  <c r="H18" i="89"/>
  <c r="E237" i="50"/>
  <c r="M19" i="136"/>
  <c r="M12" i="21"/>
  <c r="M15" i="142"/>
  <c r="H12" i="89"/>
  <c r="G161" i="142"/>
  <c r="M13" i="24"/>
  <c r="G161" i="38"/>
  <c r="G161" i="55"/>
  <c r="M14" i="136"/>
  <c r="G228" i="19"/>
  <c r="M169" i="19" s="1"/>
  <c r="H19" i="92"/>
  <c r="M18" i="136"/>
  <c r="K14" i="119"/>
  <c r="G93" i="142"/>
  <c r="H13" i="1"/>
  <c r="H20" i="1"/>
  <c r="K14" i="58"/>
  <c r="G197" i="55"/>
  <c r="H21" i="98"/>
  <c r="H15" i="98"/>
  <c r="H16" i="15"/>
  <c r="H12" i="15"/>
  <c r="H17" i="15"/>
  <c r="H13" i="15"/>
  <c r="H20" i="15"/>
  <c r="K14" i="120"/>
  <c r="H12" i="1"/>
  <c r="G235" i="59"/>
  <c r="E235" i="106"/>
  <c r="E235" i="47"/>
  <c r="G233" i="47"/>
  <c r="G235" i="106"/>
  <c r="M19" i="21"/>
  <c r="E236" i="50"/>
  <c r="G233" i="31"/>
  <c r="G111" i="72"/>
  <c r="G233" i="28"/>
  <c r="E235" i="28"/>
  <c r="K14" i="65"/>
  <c r="G233" i="119"/>
  <c r="G233" i="20"/>
  <c r="M14" i="14"/>
  <c r="M18" i="14"/>
  <c r="E235" i="100"/>
  <c r="G233" i="100"/>
  <c r="G228" i="57"/>
  <c r="G228" i="89"/>
  <c r="M100" i="89" s="1"/>
  <c r="H21" i="55"/>
  <c r="H18" i="55"/>
  <c r="H14" i="55"/>
  <c r="H19" i="55"/>
  <c r="H15" i="55"/>
  <c r="H11" i="55"/>
  <c r="K11" i="55"/>
  <c r="H20" i="55"/>
  <c r="H16" i="55"/>
  <c r="H12" i="55"/>
  <c r="H17" i="55"/>
  <c r="H13" i="55"/>
  <c r="H20" i="42"/>
  <c r="H13" i="42"/>
  <c r="H16" i="42"/>
  <c r="H15" i="42"/>
  <c r="H14" i="42"/>
  <c r="H21" i="42"/>
  <c r="K11" i="42"/>
  <c r="H12" i="42"/>
  <c r="H17" i="42"/>
  <c r="H11" i="42"/>
  <c r="H19" i="42"/>
  <c r="H18" i="42"/>
  <c r="H16" i="31"/>
  <c r="H17" i="31"/>
  <c r="H20" i="31"/>
  <c r="H12" i="31"/>
  <c r="H13" i="31"/>
  <c r="H21" i="46"/>
  <c r="H14" i="46"/>
  <c r="H15" i="46"/>
  <c r="H20" i="46"/>
  <c r="H12" i="46"/>
  <c r="H13" i="46"/>
  <c r="K11" i="46"/>
  <c r="H18" i="46"/>
  <c r="H19" i="46"/>
  <c r="H11" i="46"/>
  <c r="H16" i="46"/>
  <c r="H17" i="46"/>
  <c r="K11" i="92"/>
  <c r="H14" i="92"/>
  <c r="H20" i="92"/>
  <c r="H13" i="92"/>
  <c r="H21" i="92"/>
  <c r="H15" i="92"/>
  <c r="H12" i="92"/>
  <c r="M201" i="83"/>
  <c r="G61" i="69"/>
  <c r="M19" i="69"/>
  <c r="M17" i="69"/>
  <c r="M15" i="69"/>
  <c r="M13" i="69"/>
  <c r="C231" i="97"/>
  <c r="G225" i="104"/>
  <c r="G61" i="104"/>
  <c r="M18" i="104"/>
  <c r="M16" i="104"/>
  <c r="M14" i="104"/>
  <c r="M12" i="104"/>
  <c r="G226" i="106"/>
  <c r="G224" i="106"/>
  <c r="G222" i="106"/>
  <c r="E228" i="106"/>
  <c r="G220" i="106"/>
  <c r="G111" i="106"/>
  <c r="G79" i="106"/>
  <c r="G227" i="87"/>
  <c r="G225" i="87"/>
  <c r="G223" i="87"/>
  <c r="G221" i="87"/>
  <c r="E228" i="87"/>
  <c r="G219" i="87"/>
  <c r="G161" i="87"/>
  <c r="G119" i="87"/>
  <c r="G102" i="87"/>
  <c r="G93" i="20"/>
  <c r="G227" i="90"/>
  <c r="G222" i="90"/>
  <c r="G161" i="90"/>
  <c r="M11" i="90"/>
  <c r="G21" i="90"/>
  <c r="G223" i="92"/>
  <c r="G221" i="92"/>
  <c r="G219" i="92"/>
  <c r="E228" i="92"/>
  <c r="G161" i="92"/>
  <c r="G102" i="92"/>
  <c r="G111" i="91"/>
  <c r="G206" i="89"/>
  <c r="G197" i="89"/>
  <c r="G111" i="89"/>
  <c r="G102" i="89"/>
  <c r="G61" i="55"/>
  <c r="M18" i="111"/>
  <c r="M16" i="111"/>
  <c r="M14" i="111"/>
  <c r="M12" i="111"/>
  <c r="G197" i="16"/>
  <c r="G102" i="16"/>
  <c r="G61" i="16"/>
  <c r="G197" i="79"/>
  <c r="G102" i="79"/>
  <c r="G79" i="79"/>
  <c r="G61" i="79"/>
  <c r="G227" i="32"/>
  <c r="G225" i="32"/>
  <c r="G223" i="32"/>
  <c r="G221" i="32"/>
  <c r="E228" i="32"/>
  <c r="G219" i="32"/>
  <c r="G206" i="32"/>
  <c r="G197" i="32"/>
  <c r="G61" i="32"/>
  <c r="G21" i="32"/>
  <c r="G231" i="33"/>
  <c r="E235" i="33"/>
  <c r="G79" i="119"/>
  <c r="M18" i="119"/>
  <c r="M16" i="119"/>
  <c r="M14" i="119"/>
  <c r="M12" i="119"/>
  <c r="G197" i="39"/>
  <c r="G93" i="46"/>
  <c r="G227" i="47"/>
  <c r="G225" i="47"/>
  <c r="G223" i="47"/>
  <c r="G221" i="47"/>
  <c r="E228" i="47"/>
  <c r="G219" i="47"/>
  <c r="M11" i="47" s="1"/>
  <c r="G93" i="47"/>
  <c r="G79" i="136"/>
  <c r="G21" i="136"/>
  <c r="G206" i="67"/>
  <c r="G102" i="67"/>
  <c r="G93" i="67"/>
  <c r="G161" i="27"/>
  <c r="G119" i="27"/>
  <c r="G102" i="27"/>
  <c r="G206" i="64"/>
  <c r="M18" i="64"/>
  <c r="M16" i="64"/>
  <c r="M14" i="64"/>
  <c r="M12" i="64"/>
  <c r="M18" i="31"/>
  <c r="M16" i="31"/>
  <c r="M14" i="31"/>
  <c r="M12" i="31"/>
  <c r="G79" i="31"/>
  <c r="G102" i="135"/>
  <c r="G79" i="135"/>
  <c r="G61" i="135"/>
  <c r="M18" i="135"/>
  <c r="G226" i="63"/>
  <c r="G220" i="63"/>
  <c r="G161" i="63"/>
  <c r="G111" i="63"/>
  <c r="G227" i="72"/>
  <c r="G225" i="72"/>
  <c r="G192" i="97"/>
  <c r="G102" i="72"/>
  <c r="G93" i="72"/>
  <c r="G79" i="72"/>
  <c r="G102" i="120"/>
  <c r="G93" i="120"/>
  <c r="G219" i="37"/>
  <c r="M11" i="37" s="1"/>
  <c r="E228" i="37"/>
  <c r="G206" i="37"/>
  <c r="G197" i="37"/>
  <c r="G93" i="37"/>
  <c r="G79" i="37"/>
  <c r="G61" i="37"/>
  <c r="M18" i="37"/>
  <c r="M16" i="37"/>
  <c r="M14" i="37"/>
  <c r="G61" i="59"/>
  <c r="G119" i="21"/>
  <c r="G93" i="21"/>
  <c r="G197" i="45"/>
  <c r="G220" i="133"/>
  <c r="E228" i="133"/>
  <c r="G161" i="69"/>
  <c r="C64" i="97"/>
  <c r="M18" i="69"/>
  <c r="G21" i="69"/>
  <c r="G223" i="104"/>
  <c r="G221" i="104"/>
  <c r="E228" i="104"/>
  <c r="G219" i="104"/>
  <c r="M11" i="104" s="1"/>
  <c r="G161" i="104"/>
  <c r="G119" i="104"/>
  <c r="G102" i="104"/>
  <c r="M19" i="104"/>
  <c r="G21" i="104"/>
  <c r="M19" i="106"/>
  <c r="M17" i="106"/>
  <c r="M15" i="106"/>
  <c r="M13" i="106"/>
  <c r="G197" i="106"/>
  <c r="G161" i="106"/>
  <c r="E235" i="87"/>
  <c r="G231" i="87"/>
  <c r="G226" i="87"/>
  <c r="M16" i="87"/>
  <c r="M14" i="87"/>
  <c r="G220" i="87"/>
  <c r="G206" i="87"/>
  <c r="G93" i="87"/>
  <c r="G79" i="87"/>
  <c r="G161" i="20"/>
  <c r="E235" i="90"/>
  <c r="E228" i="90"/>
  <c r="G221" i="90"/>
  <c r="G119" i="90"/>
  <c r="G79" i="90"/>
  <c r="G61" i="90"/>
  <c r="G227" i="113"/>
  <c r="E228" i="113"/>
  <c r="G197" i="113"/>
  <c r="G93" i="113"/>
  <c r="G61" i="113"/>
  <c r="M16" i="92"/>
  <c r="M14" i="92"/>
  <c r="M12" i="92"/>
  <c r="G206" i="92"/>
  <c r="G93" i="92"/>
  <c r="G197" i="91"/>
  <c r="G161" i="91"/>
  <c r="G102" i="91"/>
  <c r="G61" i="91"/>
  <c r="G161" i="89"/>
  <c r="G79" i="89"/>
  <c r="G61" i="89"/>
  <c r="G235" i="57"/>
  <c r="K14" i="57"/>
  <c r="G227" i="111"/>
  <c r="G225" i="111"/>
  <c r="G223" i="111"/>
  <c r="G221" i="111"/>
  <c r="G219" i="111"/>
  <c r="E228" i="111"/>
  <c r="G161" i="16"/>
  <c r="G79" i="16"/>
  <c r="G161" i="79"/>
  <c r="G93" i="79"/>
  <c r="G21" i="79"/>
  <c r="G226" i="32"/>
  <c r="G224" i="32"/>
  <c r="G222" i="32"/>
  <c r="G220" i="32"/>
  <c r="G79" i="32"/>
  <c r="G232" i="33"/>
  <c r="G197" i="33"/>
  <c r="G93" i="33"/>
  <c r="G197" i="119"/>
  <c r="G61" i="119"/>
  <c r="M17" i="119"/>
  <c r="G21" i="119"/>
  <c r="G102" i="43"/>
  <c r="G93" i="43"/>
  <c r="G226" i="47"/>
  <c r="G224" i="47"/>
  <c r="G222" i="47"/>
  <c r="G220" i="47"/>
  <c r="G197" i="136"/>
  <c r="G102" i="136"/>
  <c r="M12" i="136"/>
  <c r="G161" i="67"/>
  <c r="G61" i="67"/>
  <c r="G21" i="67"/>
  <c r="M13" i="67"/>
  <c r="G111" i="27"/>
  <c r="G93" i="27"/>
  <c r="G111" i="64"/>
  <c r="G93" i="64"/>
  <c r="G79" i="64"/>
  <c r="G61" i="64"/>
  <c r="M19" i="64"/>
  <c r="M17" i="64"/>
  <c r="M15" i="64"/>
  <c r="M13" i="64"/>
  <c r="M11" i="64"/>
  <c r="G21" i="64"/>
  <c r="G227" i="31"/>
  <c r="G225" i="31"/>
  <c r="G223" i="31"/>
  <c r="G221" i="31"/>
  <c r="G219" i="31"/>
  <c r="E228" i="31"/>
  <c r="E237" i="31"/>
  <c r="G197" i="31"/>
  <c r="G111" i="135"/>
  <c r="M17" i="135"/>
  <c r="G21" i="135"/>
  <c r="M19" i="63"/>
  <c r="M13" i="63"/>
  <c r="G219" i="63"/>
  <c r="E228" i="63"/>
  <c r="G61" i="63"/>
  <c r="G231" i="72"/>
  <c r="E235" i="72"/>
  <c r="G226" i="72"/>
  <c r="E228" i="72"/>
  <c r="G224" i="72"/>
  <c r="G197" i="72"/>
  <c r="G167" i="97"/>
  <c r="O167" i="97" s="1"/>
  <c r="G61" i="72"/>
  <c r="G227" i="37"/>
  <c r="G225" i="37"/>
  <c r="G223" i="37"/>
  <c r="G220" i="37"/>
  <c r="M13" i="37"/>
  <c r="G21" i="37"/>
  <c r="G111" i="59"/>
  <c r="G79" i="59"/>
  <c r="G161" i="21"/>
  <c r="G102" i="21"/>
  <c r="G79" i="21"/>
  <c r="G161" i="45"/>
  <c r="G102" i="45"/>
  <c r="G79" i="45"/>
  <c r="G61" i="45"/>
  <c r="E235" i="133"/>
  <c r="G231" i="133"/>
  <c r="G225" i="133"/>
  <c r="G223" i="133"/>
  <c r="G221" i="133"/>
  <c r="E209" i="97"/>
  <c r="G161" i="58"/>
  <c r="G93" i="58"/>
  <c r="G61" i="58"/>
  <c r="E235" i="10"/>
  <c r="E234" i="97"/>
  <c r="G231" i="10"/>
  <c r="G223" i="10"/>
  <c r="E226" i="97"/>
  <c r="G219" i="10"/>
  <c r="E228" i="10"/>
  <c r="E222" i="97"/>
  <c r="K11" i="10"/>
  <c r="H16" i="10"/>
  <c r="H17" i="10"/>
  <c r="H21" i="10"/>
  <c r="H14" i="10"/>
  <c r="H15" i="10"/>
  <c r="H20" i="10"/>
  <c r="H12" i="10"/>
  <c r="H13" i="10"/>
  <c r="H18" i="10"/>
  <c r="H19" i="10"/>
  <c r="H11" i="10"/>
  <c r="M18" i="103"/>
  <c r="E229" i="97"/>
  <c r="M16" i="103"/>
  <c r="E227" i="97"/>
  <c r="M14" i="103"/>
  <c r="E225" i="97"/>
  <c r="E223" i="97"/>
  <c r="M12" i="103"/>
  <c r="G136" i="97"/>
  <c r="G134" i="97"/>
  <c r="G132" i="97"/>
  <c r="G129" i="97"/>
  <c r="G127" i="97"/>
  <c r="G91" i="97"/>
  <c r="G89" i="97"/>
  <c r="G87" i="97"/>
  <c r="M19" i="19"/>
  <c r="M17" i="19"/>
  <c r="M15" i="19"/>
  <c r="M13" i="19"/>
  <c r="M11" i="19"/>
  <c r="G21" i="19"/>
  <c r="G197" i="85"/>
  <c r="G111" i="85"/>
  <c r="G61" i="85"/>
  <c r="M18" i="85"/>
  <c r="M16" i="85"/>
  <c r="M14" i="85"/>
  <c r="M12" i="85"/>
  <c r="G93" i="102"/>
  <c r="G79" i="102"/>
  <c r="G161" i="15"/>
  <c r="H17" i="72"/>
  <c r="H13" i="72"/>
  <c r="H21" i="72"/>
  <c r="H18" i="72"/>
  <c r="H14" i="72"/>
  <c r="K11" i="72"/>
  <c r="H19" i="72"/>
  <c r="H15" i="72"/>
  <c r="H11" i="72"/>
  <c r="H20" i="72"/>
  <c r="H16" i="72"/>
  <c r="H12" i="72"/>
  <c r="E235" i="69"/>
  <c r="G233" i="69"/>
  <c r="M205" i="83"/>
  <c r="M193" i="83"/>
  <c r="M191" i="83"/>
  <c r="M185" i="83"/>
  <c r="M183" i="83"/>
  <c r="M177" i="83"/>
  <c r="M175" i="83"/>
  <c r="M169" i="83"/>
  <c r="M167" i="83"/>
  <c r="M159" i="83"/>
  <c r="M149" i="83"/>
  <c r="M140" i="83"/>
  <c r="M130" i="83"/>
  <c r="M101" i="83"/>
  <c r="M99" i="83"/>
  <c r="M91" i="83"/>
  <c r="M78" i="83"/>
  <c r="M70" i="83"/>
  <c r="M68" i="83"/>
  <c r="M56" i="83"/>
  <c r="M54" i="83"/>
  <c r="M47" i="83"/>
  <c r="M39" i="83"/>
  <c r="M33" i="83"/>
  <c r="M31" i="83"/>
  <c r="E64" i="97"/>
  <c r="M148" i="68"/>
  <c r="M129" i="68"/>
  <c r="M43" i="68"/>
  <c r="M34" i="68"/>
  <c r="M16" i="68"/>
  <c r="M14" i="68"/>
  <c r="M12" i="68"/>
  <c r="G232" i="95"/>
  <c r="M18" i="95"/>
  <c r="M16" i="95"/>
  <c r="M14" i="95"/>
  <c r="M12" i="95"/>
  <c r="G232" i="50"/>
  <c r="G227" i="1"/>
  <c r="G225" i="1"/>
  <c r="G223" i="1"/>
  <c r="G221" i="1"/>
  <c r="E228" i="1"/>
  <c r="G219" i="1"/>
  <c r="G197" i="1"/>
  <c r="G102" i="1"/>
  <c r="G79" i="1"/>
  <c r="G61" i="1"/>
  <c r="G231" i="25"/>
  <c r="E235" i="25"/>
  <c r="G226" i="25"/>
  <c r="G224" i="25"/>
  <c r="G222" i="25"/>
  <c r="G220" i="25"/>
  <c r="G206" i="25"/>
  <c r="G119" i="25"/>
  <c r="G61" i="25"/>
  <c r="G232" i="28"/>
  <c r="G226" i="28"/>
  <c r="G224" i="28"/>
  <c r="G222" i="28"/>
  <c r="G220" i="28"/>
  <c r="M12" i="28" s="1"/>
  <c r="E228" i="28"/>
  <c r="G93" i="28"/>
  <c r="G61" i="28"/>
  <c r="M13" i="28"/>
  <c r="M11" i="28"/>
  <c r="G21" i="28"/>
  <c r="G61" i="142"/>
  <c r="G233" i="142"/>
  <c r="E235" i="142"/>
  <c r="E235" i="141"/>
  <c r="G231" i="141"/>
  <c r="G102" i="141"/>
  <c r="G233" i="141"/>
  <c r="G226" i="24"/>
  <c r="G224" i="24"/>
  <c r="G222" i="24"/>
  <c r="G220" i="24"/>
  <c r="E228" i="24"/>
  <c r="G119" i="24"/>
  <c r="G61" i="24"/>
  <c r="G161" i="62"/>
  <c r="G102" i="62"/>
  <c r="M18" i="62"/>
  <c r="M16" i="62"/>
  <c r="M14" i="62"/>
  <c r="M12" i="62"/>
  <c r="G161" i="98"/>
  <c r="G232" i="53"/>
  <c r="G102" i="53"/>
  <c r="E235" i="86"/>
  <c r="G231" i="86"/>
  <c r="G206" i="86"/>
  <c r="M18" i="86"/>
  <c r="M16" i="86"/>
  <c r="M14" i="86"/>
  <c r="M12" i="86"/>
  <c r="M11" i="118"/>
  <c r="G146" i="97"/>
  <c r="G112" i="97"/>
  <c r="G95" i="97"/>
  <c r="G92" i="97"/>
  <c r="E96" i="97"/>
  <c r="G208" i="97"/>
  <c r="G206" i="97"/>
  <c r="G163" i="97"/>
  <c r="G161" i="97"/>
  <c r="G159" i="97"/>
  <c r="G156" i="97"/>
  <c r="G154" i="97"/>
  <c r="G152" i="97"/>
  <c r="G150" i="97"/>
  <c r="G148" i="97"/>
  <c r="G144" i="97"/>
  <c r="G141" i="97"/>
  <c r="G139" i="97"/>
  <c r="G99" i="97"/>
  <c r="G67" i="97"/>
  <c r="C24" i="97"/>
  <c r="G93" i="94"/>
  <c r="G85" i="97"/>
  <c r="C96" i="97"/>
  <c r="G232" i="54"/>
  <c r="G226" i="54"/>
  <c r="G224" i="54"/>
  <c r="G222" i="54"/>
  <c r="G220" i="54"/>
  <c r="G199" i="97"/>
  <c r="G197" i="97"/>
  <c r="G195" i="97"/>
  <c r="G193" i="97"/>
  <c r="G182" i="97"/>
  <c r="G197" i="54"/>
  <c r="G102" i="54"/>
  <c r="G79" i="54"/>
  <c r="G61" i="54"/>
  <c r="G227" i="60"/>
  <c r="G225" i="60"/>
  <c r="G223" i="60"/>
  <c r="G221" i="60"/>
  <c r="G219" i="60"/>
  <c r="M11" i="60" s="1"/>
  <c r="E228" i="60"/>
  <c r="G206" i="60"/>
  <c r="G111" i="60"/>
  <c r="G79" i="60"/>
  <c r="G21" i="60"/>
  <c r="G93" i="38"/>
  <c r="G79" i="38"/>
  <c r="G61" i="38"/>
  <c r="G227" i="49"/>
  <c r="G225" i="49"/>
  <c r="G221" i="49"/>
  <c r="G219" i="49"/>
  <c r="M11" i="49" s="1"/>
  <c r="E228" i="49"/>
  <c r="G206" i="49"/>
  <c r="G161" i="49"/>
  <c r="G102" i="49"/>
  <c r="G93" i="49"/>
  <c r="M12" i="49"/>
  <c r="G224" i="69"/>
  <c r="G222" i="69"/>
  <c r="G220" i="69"/>
  <c r="E228" i="69"/>
  <c r="G197" i="69"/>
  <c r="G119" i="69"/>
  <c r="D164" i="97"/>
  <c r="G206" i="133"/>
  <c r="G206" i="58"/>
  <c r="M19" i="58"/>
  <c r="M11" i="58"/>
  <c r="G21" i="58"/>
  <c r="E228" i="97"/>
  <c r="G225" i="10"/>
  <c r="G221" i="10"/>
  <c r="E224" i="97"/>
  <c r="G61" i="10"/>
  <c r="G208" i="10" s="1"/>
  <c r="G215" i="10" s="1"/>
  <c r="G138" i="97"/>
  <c r="G135" i="97"/>
  <c r="G133" i="97"/>
  <c r="G130" i="97"/>
  <c r="G128" i="97"/>
  <c r="G90" i="97"/>
  <c r="G88" i="97"/>
  <c r="G86" i="97"/>
  <c r="M18" i="19"/>
  <c r="M16" i="19"/>
  <c r="M14" i="19"/>
  <c r="M12" i="19"/>
  <c r="G227" i="85"/>
  <c r="G225" i="85"/>
  <c r="G223" i="85"/>
  <c r="G221" i="85"/>
  <c r="G219" i="85"/>
  <c r="M11" i="85" s="1"/>
  <c r="E228" i="85"/>
  <c r="G21" i="85"/>
  <c r="G225" i="102"/>
  <c r="G223" i="102"/>
  <c r="G221" i="102"/>
  <c r="G219" i="102"/>
  <c r="E228" i="102"/>
  <c r="G197" i="102"/>
  <c r="G233" i="90"/>
  <c r="M202" i="83"/>
  <c r="M190" i="83"/>
  <c r="M182" i="83"/>
  <c r="M174" i="83"/>
  <c r="M166" i="83"/>
  <c r="M153" i="83"/>
  <c r="M143" i="83"/>
  <c r="M133" i="83"/>
  <c r="M124" i="83"/>
  <c r="M114" i="83"/>
  <c r="M92" i="83"/>
  <c r="M90" i="83"/>
  <c r="M84" i="83"/>
  <c r="M73" i="83"/>
  <c r="M57" i="83"/>
  <c r="M49" i="83"/>
  <c r="M40" i="83"/>
  <c r="M34" i="83"/>
  <c r="M26" i="83"/>
  <c r="M61" i="83"/>
  <c r="M18" i="83"/>
  <c r="M142" i="68"/>
  <c r="M42" i="68"/>
  <c r="M31" i="68"/>
  <c r="M18" i="68"/>
  <c r="M15" i="68"/>
  <c r="M13" i="68"/>
  <c r="M11" i="68"/>
  <c r="G197" i="95"/>
  <c r="G161" i="95"/>
  <c r="G111" i="95"/>
  <c r="M19" i="95"/>
  <c r="M17" i="95"/>
  <c r="M15" i="95"/>
  <c r="M13" i="95"/>
  <c r="M11" i="95"/>
  <c r="G21" i="95"/>
  <c r="G197" i="50"/>
  <c r="G93" i="50"/>
  <c r="G61" i="50"/>
  <c r="E235" i="1"/>
  <c r="G231" i="1"/>
  <c r="G226" i="1"/>
  <c r="G224" i="1"/>
  <c r="G222" i="1"/>
  <c r="G220" i="1"/>
  <c r="G206" i="1"/>
  <c r="G161" i="1"/>
  <c r="G232" i="25"/>
  <c r="G227" i="25"/>
  <c r="G225" i="25"/>
  <c r="G223" i="25"/>
  <c r="G221" i="25"/>
  <c r="G219" i="25"/>
  <c r="E228" i="25"/>
  <c r="G197" i="25"/>
  <c r="G102" i="25"/>
  <c r="G93" i="25"/>
  <c r="G21" i="25"/>
  <c r="G197" i="28"/>
  <c r="G161" i="28"/>
  <c r="G119" i="28"/>
  <c r="G111" i="28"/>
  <c r="G102" i="28"/>
  <c r="G79" i="28"/>
  <c r="M19" i="28"/>
  <c r="M17" i="28"/>
  <c r="G232" i="142"/>
  <c r="G226" i="142"/>
  <c r="G224" i="142"/>
  <c r="G222" i="142"/>
  <c r="G220" i="142"/>
  <c r="E228" i="142"/>
  <c r="G111" i="142"/>
  <c r="G102" i="142"/>
  <c r="G79" i="142"/>
  <c r="G227" i="141"/>
  <c r="G225" i="141"/>
  <c r="G223" i="141"/>
  <c r="G221" i="141"/>
  <c r="E228" i="141"/>
  <c r="G219" i="141"/>
  <c r="G206" i="141"/>
  <c r="G161" i="141"/>
  <c r="G119" i="141"/>
  <c r="G93" i="141"/>
  <c r="G197" i="24"/>
  <c r="G161" i="24"/>
  <c r="G93" i="24"/>
  <c r="G61" i="62"/>
  <c r="M19" i="62"/>
  <c r="M17" i="62"/>
  <c r="M15" i="62"/>
  <c r="M13" i="62"/>
  <c r="M11" i="62"/>
  <c r="G21" i="62"/>
  <c r="G197" i="98"/>
  <c r="G119" i="98"/>
  <c r="G111" i="98"/>
  <c r="G79" i="98"/>
  <c r="G111" i="53"/>
  <c r="G79" i="53"/>
  <c r="G227" i="86"/>
  <c r="G225" i="86"/>
  <c r="M17" i="86" s="1"/>
  <c r="G223" i="86"/>
  <c r="G221" i="86"/>
  <c r="E228" i="86"/>
  <c r="G219" i="86"/>
  <c r="M11" i="86" s="1"/>
  <c r="G79" i="86"/>
  <c r="G21" i="86"/>
  <c r="G233" i="86"/>
  <c r="G113" i="97"/>
  <c r="G111" i="97"/>
  <c r="G93" i="97"/>
  <c r="M18" i="118"/>
  <c r="M16" i="118"/>
  <c r="M14" i="118"/>
  <c r="M12" i="118"/>
  <c r="E230" i="97"/>
  <c r="G207" i="97"/>
  <c r="G205" i="97"/>
  <c r="G162" i="97"/>
  <c r="G158" i="97"/>
  <c r="G155" i="97"/>
  <c r="G153" i="97"/>
  <c r="G151" i="97"/>
  <c r="G149" i="97"/>
  <c r="G145" i="97"/>
  <c r="G143" i="97"/>
  <c r="G140" i="97"/>
  <c r="G94" i="97"/>
  <c r="D64" i="97"/>
  <c r="G226" i="94"/>
  <c r="G224" i="94"/>
  <c r="G222" i="94"/>
  <c r="G220" i="94"/>
  <c r="E228" i="94"/>
  <c r="G161" i="94"/>
  <c r="G126" i="97"/>
  <c r="G111" i="94"/>
  <c r="D96" i="97"/>
  <c r="M19" i="94"/>
  <c r="M17" i="94"/>
  <c r="M15" i="94"/>
  <c r="M13" i="94"/>
  <c r="M11" i="94"/>
  <c r="G21" i="94"/>
  <c r="G223" i="54"/>
  <c r="G221" i="54"/>
  <c r="G219" i="54"/>
  <c r="M11" i="54" s="1"/>
  <c r="E228" i="54"/>
  <c r="G206" i="54"/>
  <c r="G198" i="97"/>
  <c r="G196" i="97"/>
  <c r="G194" i="97"/>
  <c r="G119" i="54"/>
  <c r="M19" i="54"/>
  <c r="M17" i="54"/>
  <c r="G21" i="54"/>
  <c r="E235" i="60"/>
  <c r="G231" i="60"/>
  <c r="G224" i="60"/>
  <c r="G161" i="60"/>
  <c r="G61" i="60"/>
  <c r="G28" i="97"/>
  <c r="M18" i="60"/>
  <c r="M14" i="60"/>
  <c r="M12" i="60"/>
  <c r="G232" i="38"/>
  <c r="G111" i="38"/>
  <c r="G102" i="38"/>
  <c r="G226" i="49"/>
  <c r="G224" i="49"/>
  <c r="G222" i="49"/>
  <c r="G197" i="49"/>
  <c r="G111" i="49"/>
  <c r="G79" i="49"/>
  <c r="G61" i="49"/>
  <c r="M15" i="49"/>
  <c r="G21" i="49"/>
  <c r="G111" i="69"/>
  <c r="G102" i="69"/>
  <c r="G93" i="69"/>
  <c r="G79" i="69"/>
  <c r="C164" i="97"/>
  <c r="E235" i="84"/>
  <c r="G231" i="84"/>
  <c r="G61" i="84"/>
  <c r="M18" i="84"/>
  <c r="M16" i="84"/>
  <c r="M14" i="84"/>
  <c r="M12" i="84"/>
  <c r="G226" i="100"/>
  <c r="G224" i="100"/>
  <c r="G222" i="100"/>
  <c r="G220" i="100"/>
  <c r="E228" i="100"/>
  <c r="G206" i="100"/>
  <c r="G197" i="100"/>
  <c r="G161" i="100"/>
  <c r="G93" i="100"/>
  <c r="G79" i="100"/>
  <c r="G61" i="100"/>
  <c r="G93" i="106"/>
  <c r="G61" i="106"/>
  <c r="G227" i="42"/>
  <c r="G225" i="42"/>
  <c r="G223" i="42"/>
  <c r="G221" i="42"/>
  <c r="G219" i="42"/>
  <c r="E228" i="42"/>
  <c r="G206" i="42"/>
  <c r="G161" i="42"/>
  <c r="G197" i="87"/>
  <c r="G61" i="87"/>
  <c r="G21" i="87"/>
  <c r="G227" i="20"/>
  <c r="G225" i="20"/>
  <c r="G223" i="20"/>
  <c r="G221" i="20"/>
  <c r="E228" i="20"/>
  <c r="G219" i="20"/>
  <c r="M11" i="20" s="1"/>
  <c r="G206" i="20"/>
  <c r="G197" i="20"/>
  <c r="G161" i="113"/>
  <c r="G111" i="113"/>
  <c r="G79" i="113"/>
  <c r="G61" i="92"/>
  <c r="G226" i="91"/>
  <c r="G224" i="91"/>
  <c r="G222" i="91"/>
  <c r="G220" i="91"/>
  <c r="G197" i="57"/>
  <c r="G161" i="57"/>
  <c r="E114" i="97"/>
  <c r="G93" i="57"/>
  <c r="G79" i="57"/>
  <c r="M18" i="57"/>
  <c r="G21" i="57"/>
  <c r="G79" i="14"/>
  <c r="G93" i="14"/>
  <c r="G102" i="14"/>
  <c r="G161" i="14"/>
  <c r="G221" i="14"/>
  <c r="E228" i="14"/>
  <c r="G223" i="14"/>
  <c r="G225" i="14"/>
  <c r="G227" i="14"/>
  <c r="G233" i="14"/>
  <c r="E235" i="14"/>
  <c r="G231" i="55"/>
  <c r="E235" i="55"/>
  <c r="G226" i="55"/>
  <c r="G224" i="55"/>
  <c r="G222" i="55"/>
  <c r="G220" i="55"/>
  <c r="G232" i="84"/>
  <c r="G227" i="84"/>
  <c r="G225" i="84"/>
  <c r="G223" i="84"/>
  <c r="G221" i="84"/>
  <c r="E228" i="84"/>
  <c r="G219" i="84"/>
  <c r="M11" i="84" s="1"/>
  <c r="G161" i="84"/>
  <c r="G111" i="84"/>
  <c r="G79" i="84"/>
  <c r="G21" i="84"/>
  <c r="G119" i="100"/>
  <c r="G197" i="104"/>
  <c r="G93" i="104"/>
  <c r="G102" i="106"/>
  <c r="G231" i="42"/>
  <c r="E235" i="42"/>
  <c r="G226" i="42"/>
  <c r="G224" i="42"/>
  <c r="G222" i="42"/>
  <c r="G220" i="42"/>
  <c r="G197" i="42"/>
  <c r="G79" i="42"/>
  <c r="G231" i="20"/>
  <c r="E235" i="20"/>
  <c r="G226" i="20"/>
  <c r="G224" i="20"/>
  <c r="G222" i="20"/>
  <c r="G220" i="20"/>
  <c r="G79" i="20"/>
  <c r="G61" i="20"/>
  <c r="G21" i="20"/>
  <c r="G93" i="90"/>
  <c r="G197" i="92"/>
  <c r="G227" i="91"/>
  <c r="G225" i="91"/>
  <c r="G223" i="91"/>
  <c r="G221" i="91"/>
  <c r="E228" i="91"/>
  <c r="G219" i="91"/>
  <c r="G206" i="91"/>
  <c r="G93" i="91"/>
  <c r="G79" i="91"/>
  <c r="G93" i="89"/>
  <c r="G111" i="57"/>
  <c r="G61" i="57"/>
  <c r="H19" i="14"/>
  <c r="H15" i="14"/>
  <c r="H11" i="14"/>
  <c r="H20" i="14"/>
  <c r="H16" i="14"/>
  <c r="H17" i="14"/>
  <c r="H13" i="14"/>
  <c r="H21" i="14"/>
  <c r="H18" i="14"/>
  <c r="H14" i="14"/>
  <c r="H12" i="14"/>
  <c r="K11" i="14"/>
  <c r="G61" i="14"/>
  <c r="G111" i="14"/>
  <c r="G197" i="14"/>
  <c r="G206" i="14"/>
  <c r="G227" i="55"/>
  <c r="G225" i="55"/>
  <c r="G223" i="55"/>
  <c r="G221" i="55"/>
  <c r="E228" i="55"/>
  <c r="G219" i="55"/>
  <c r="G206" i="55"/>
  <c r="G93" i="55"/>
  <c r="G226" i="79"/>
  <c r="G224" i="79"/>
  <c r="G222" i="79"/>
  <c r="G220" i="79"/>
  <c r="G206" i="79"/>
  <c r="G161" i="32"/>
  <c r="G206" i="33"/>
  <c r="G102" i="33"/>
  <c r="G79" i="33"/>
  <c r="G61" i="33"/>
  <c r="G223" i="119"/>
  <c r="G221" i="119"/>
  <c r="G219" i="119"/>
  <c r="M11" i="119" s="1"/>
  <c r="E228" i="119"/>
  <c r="E237" i="119"/>
  <c r="G161" i="119"/>
  <c r="G102" i="119"/>
  <c r="G219" i="39"/>
  <c r="M11" i="39" s="1"/>
  <c r="E228" i="39"/>
  <c r="G206" i="39"/>
  <c r="M18" i="39"/>
  <c r="M16" i="39"/>
  <c r="M14" i="39"/>
  <c r="G231" i="43"/>
  <c r="E235" i="43"/>
  <c r="M17" i="43"/>
  <c r="M15" i="43"/>
  <c r="M13" i="43"/>
  <c r="G21" i="43"/>
  <c r="G227" i="46"/>
  <c r="G220" i="46"/>
  <c r="G61" i="46"/>
  <c r="G197" i="47"/>
  <c r="G61" i="47"/>
  <c r="G225" i="136"/>
  <c r="G223" i="136"/>
  <c r="G221" i="136"/>
  <c r="G219" i="136"/>
  <c r="E228" i="136"/>
  <c r="G161" i="136"/>
  <c r="G61" i="136"/>
  <c r="G225" i="27"/>
  <c r="G222" i="27"/>
  <c r="G219" i="27"/>
  <c r="M11" i="27" s="1"/>
  <c r="E228" i="27"/>
  <c r="G197" i="27"/>
  <c r="M19" i="27"/>
  <c r="M15" i="27"/>
  <c r="M13" i="27"/>
  <c r="G21" i="27"/>
  <c r="G197" i="64"/>
  <c r="G102" i="64"/>
  <c r="G161" i="31"/>
  <c r="G119" i="31"/>
  <c r="G102" i="31"/>
  <c r="G227" i="135"/>
  <c r="G223" i="135"/>
  <c r="G221" i="135"/>
  <c r="E228" i="135"/>
  <c r="G219" i="135"/>
  <c r="G197" i="135"/>
  <c r="G119" i="72"/>
  <c r="G117" i="97"/>
  <c r="G224" i="120"/>
  <c r="G222" i="120"/>
  <c r="G220" i="120"/>
  <c r="G61" i="120"/>
  <c r="M19" i="120"/>
  <c r="G21" i="120"/>
  <c r="G111" i="37"/>
  <c r="G225" i="59"/>
  <c r="G223" i="59"/>
  <c r="G221" i="59"/>
  <c r="G219" i="59"/>
  <c r="E228" i="59"/>
  <c r="G161" i="59"/>
  <c r="G119" i="59"/>
  <c r="G206" i="21"/>
  <c r="G231" i="45"/>
  <c r="E235" i="45"/>
  <c r="G226" i="45"/>
  <c r="G224" i="45"/>
  <c r="G222" i="45"/>
  <c r="G220" i="45"/>
  <c r="G206" i="45"/>
  <c r="G93" i="45"/>
  <c r="E228" i="16"/>
  <c r="G219" i="16"/>
  <c r="E237" i="16"/>
  <c r="G206" i="16"/>
  <c r="G227" i="79"/>
  <c r="G225" i="79"/>
  <c r="G223" i="79"/>
  <c r="G221" i="79"/>
  <c r="E228" i="79"/>
  <c r="G219" i="79"/>
  <c r="G111" i="79"/>
  <c r="G111" i="32"/>
  <c r="G93" i="32"/>
  <c r="G225" i="33"/>
  <c r="G223" i="33"/>
  <c r="G221" i="33"/>
  <c r="E228" i="33"/>
  <c r="G219" i="33"/>
  <c r="G161" i="33"/>
  <c r="G111" i="119"/>
  <c r="G227" i="39"/>
  <c r="G225" i="39"/>
  <c r="G223" i="39"/>
  <c r="G220" i="39"/>
  <c r="G161" i="39"/>
  <c r="G111" i="39"/>
  <c r="G79" i="39"/>
  <c r="M13" i="39"/>
  <c r="G21" i="39"/>
  <c r="G227" i="43"/>
  <c r="G219" i="43"/>
  <c r="G161" i="43"/>
  <c r="M18" i="43"/>
  <c r="M16" i="43"/>
  <c r="M14" i="43"/>
  <c r="M12" i="43"/>
  <c r="G233" i="43"/>
  <c r="E228" i="46"/>
  <c r="G219" i="46"/>
  <c r="G161" i="46"/>
  <c r="G119" i="46"/>
  <c r="G79" i="46"/>
  <c r="G119" i="47"/>
  <c r="G79" i="47"/>
  <c r="G21" i="47"/>
  <c r="G206" i="136"/>
  <c r="G197" i="67"/>
  <c r="G79" i="67"/>
  <c r="G79" i="27"/>
  <c r="G61" i="27"/>
  <c r="M18" i="27"/>
  <c r="M16" i="27"/>
  <c r="M12" i="27"/>
  <c r="G161" i="64"/>
  <c r="G111" i="31"/>
  <c r="G93" i="31"/>
  <c r="G61" i="31"/>
  <c r="G231" i="135"/>
  <c r="E235" i="135"/>
  <c r="G224" i="135"/>
  <c r="G222" i="135"/>
  <c r="G220" i="135"/>
  <c r="G206" i="135"/>
  <c r="G119" i="135"/>
  <c r="G93" i="135"/>
  <c r="E235" i="63"/>
  <c r="G231" i="63"/>
  <c r="G197" i="63"/>
  <c r="G102" i="63"/>
  <c r="G93" i="63"/>
  <c r="G79" i="63"/>
  <c r="G161" i="72"/>
  <c r="G225" i="120"/>
  <c r="G223" i="120"/>
  <c r="G221" i="120"/>
  <c r="E228" i="120"/>
  <c r="G219" i="120"/>
  <c r="G206" i="120"/>
  <c r="G197" i="120"/>
  <c r="G111" i="120"/>
  <c r="G79" i="120"/>
  <c r="M18" i="120"/>
  <c r="G161" i="37"/>
  <c r="G102" i="37"/>
  <c r="G197" i="59"/>
  <c r="G102" i="59"/>
  <c r="G93" i="59"/>
  <c r="G226" i="21"/>
  <c r="G224" i="21"/>
  <c r="G221" i="21"/>
  <c r="E228" i="21"/>
  <c r="G61" i="21"/>
  <c r="G119" i="15"/>
  <c r="G232" i="45"/>
  <c r="G227" i="45"/>
  <c r="G225" i="45"/>
  <c r="G223" i="45"/>
  <c r="G221" i="45"/>
  <c r="E228" i="45"/>
  <c r="G219" i="45"/>
  <c r="G161" i="133"/>
  <c r="G111" i="133"/>
  <c r="G79" i="133"/>
  <c r="G61" i="133"/>
  <c r="M18" i="133"/>
  <c r="M16" i="133"/>
  <c r="M14" i="133"/>
  <c r="G233" i="133"/>
  <c r="G226" i="58"/>
  <c r="G224" i="58"/>
  <c r="G222" i="58"/>
  <c r="G220" i="58"/>
  <c r="E228" i="58"/>
  <c r="G197" i="58"/>
  <c r="G79" i="58"/>
  <c r="G226" i="10"/>
  <c r="G203" i="97"/>
  <c r="G190" i="97"/>
  <c r="G188" i="97"/>
  <c r="G186" i="97"/>
  <c r="G184" i="97"/>
  <c r="G181" i="97"/>
  <c r="G179" i="97"/>
  <c r="G177" i="97"/>
  <c r="G175" i="97"/>
  <c r="G173" i="97"/>
  <c r="G170" i="97"/>
  <c r="G168" i="97"/>
  <c r="G110" i="97"/>
  <c r="G108" i="97"/>
  <c r="G49" i="97"/>
  <c r="G47" i="97"/>
  <c r="G45" i="97"/>
  <c r="G43" i="97"/>
  <c r="G41" i="97"/>
  <c r="G39" i="97"/>
  <c r="G37" i="97"/>
  <c r="G35" i="97"/>
  <c r="G33" i="97"/>
  <c r="G31" i="97"/>
  <c r="G29" i="97"/>
  <c r="G23" i="97"/>
  <c r="G21" i="97"/>
  <c r="G19" i="97"/>
  <c r="G17" i="97"/>
  <c r="G15" i="97"/>
  <c r="D24" i="97"/>
  <c r="G219" i="66"/>
  <c r="M11" i="66" s="1"/>
  <c r="E228" i="66"/>
  <c r="G197" i="66"/>
  <c r="G161" i="66"/>
  <c r="G111" i="66"/>
  <c r="G102" i="66"/>
  <c r="G93" i="66"/>
  <c r="M19" i="66"/>
  <c r="M17" i="66"/>
  <c r="M15" i="66"/>
  <c r="M13" i="66"/>
  <c r="G21" i="66"/>
  <c r="G172" i="97"/>
  <c r="G121" i="97"/>
  <c r="G119" i="97"/>
  <c r="G103" i="97"/>
  <c r="G101" i="97"/>
  <c r="G80" i="97"/>
  <c r="G78" i="97"/>
  <c r="G76" i="97"/>
  <c r="G74" i="97"/>
  <c r="G72" i="97"/>
  <c r="G70" i="97"/>
  <c r="G68" i="97"/>
  <c r="G79" i="19"/>
  <c r="D82" i="97"/>
  <c r="G63" i="97"/>
  <c r="G61" i="97"/>
  <c r="G59" i="97"/>
  <c r="G57" i="97"/>
  <c r="G55" i="97"/>
  <c r="G53" i="97"/>
  <c r="G51" i="97"/>
  <c r="J51" i="97" s="1"/>
  <c r="N48" i="172" s="1"/>
  <c r="K14" i="85"/>
  <c r="G102" i="85"/>
  <c r="G93" i="85"/>
  <c r="G79" i="85"/>
  <c r="G231" i="71"/>
  <c r="E235" i="71"/>
  <c r="G197" i="71"/>
  <c r="G161" i="71"/>
  <c r="G93" i="71"/>
  <c r="M19" i="71"/>
  <c r="M17" i="71"/>
  <c r="M15" i="71"/>
  <c r="G119" i="102"/>
  <c r="G111" i="102"/>
  <c r="G61" i="102"/>
  <c r="M18" i="102"/>
  <c r="M16" i="102"/>
  <c r="M14" i="102"/>
  <c r="M12" i="102"/>
  <c r="G21" i="102"/>
  <c r="G233" i="10"/>
  <c r="G233" i="60"/>
  <c r="G233" i="55"/>
  <c r="E235" i="32"/>
  <c r="G233" i="32"/>
  <c r="G233" i="19"/>
  <c r="E235" i="19"/>
  <c r="D200" i="97"/>
  <c r="C114" i="97"/>
  <c r="C105" i="97"/>
  <c r="C209" i="97"/>
  <c r="E122" i="97"/>
  <c r="C122" i="97"/>
  <c r="E105" i="97"/>
  <c r="M197" i="68"/>
  <c r="G102" i="71"/>
  <c r="G197" i="133"/>
  <c r="G93" i="133"/>
  <c r="M19" i="133"/>
  <c r="M11" i="133"/>
  <c r="G21" i="133"/>
  <c r="G225" i="58"/>
  <c r="G223" i="58"/>
  <c r="G221" i="58"/>
  <c r="G102" i="58"/>
  <c r="G204" i="97"/>
  <c r="G191" i="97"/>
  <c r="G189" i="97"/>
  <c r="G187" i="97"/>
  <c r="G185" i="97"/>
  <c r="G183" i="97"/>
  <c r="G180" i="97"/>
  <c r="G178" i="97"/>
  <c r="G176" i="97"/>
  <c r="G174" i="97"/>
  <c r="G171" i="97"/>
  <c r="G169" i="97"/>
  <c r="G109" i="97"/>
  <c r="D105" i="97"/>
  <c r="C82" i="97"/>
  <c r="G48" i="97"/>
  <c r="J48" i="97" s="1"/>
  <c r="N45" i="172" s="1"/>
  <c r="G46" i="97"/>
  <c r="G44" i="97"/>
  <c r="G42" i="97"/>
  <c r="G40" i="97"/>
  <c r="G38" i="97"/>
  <c r="G36" i="97"/>
  <c r="G34" i="97"/>
  <c r="G32" i="97"/>
  <c r="G30" i="97"/>
  <c r="M19" i="103"/>
  <c r="G22" i="97"/>
  <c r="M17" i="103"/>
  <c r="G20" i="97"/>
  <c r="M15" i="103"/>
  <c r="G18" i="97"/>
  <c r="M13" i="103"/>
  <c r="G16" i="97"/>
  <c r="M11" i="103"/>
  <c r="G14" i="97"/>
  <c r="G226" i="66"/>
  <c r="G224" i="66"/>
  <c r="G222" i="66"/>
  <c r="G220" i="66"/>
  <c r="G79" i="66"/>
  <c r="G61" i="66"/>
  <c r="G232" i="19"/>
  <c r="E235" i="97"/>
  <c r="G197" i="19"/>
  <c r="G160" i="97"/>
  <c r="G161" i="19"/>
  <c r="G120" i="97"/>
  <c r="G119" i="19"/>
  <c r="G118" i="97"/>
  <c r="G104" i="97"/>
  <c r="G102" i="97"/>
  <c r="G100" i="97"/>
  <c r="G102" i="19"/>
  <c r="G81" i="97"/>
  <c r="G79" i="97"/>
  <c r="G77" i="97"/>
  <c r="G75" i="97"/>
  <c r="G73" i="97"/>
  <c r="G71" i="97"/>
  <c r="G69" i="97"/>
  <c r="E82" i="97"/>
  <c r="G62" i="97"/>
  <c r="G60" i="97"/>
  <c r="G58" i="97"/>
  <c r="G56" i="97"/>
  <c r="G54" i="97"/>
  <c r="G52" i="97"/>
  <c r="G50" i="97"/>
  <c r="G61" i="19"/>
  <c r="G161" i="85"/>
  <c r="G206" i="71"/>
  <c r="G111" i="71"/>
  <c r="G61" i="71"/>
  <c r="M18" i="71"/>
  <c r="M16" i="71"/>
  <c r="M13" i="71"/>
  <c r="G21" i="71"/>
  <c r="G161" i="102"/>
  <c r="M19" i="102"/>
  <c r="G233" i="102"/>
  <c r="E235" i="102"/>
  <c r="G233" i="72"/>
  <c r="G233" i="87"/>
  <c r="E235" i="91"/>
  <c r="G233" i="91"/>
  <c r="E235" i="89"/>
  <c r="G233" i="89"/>
  <c r="E235" i="79"/>
  <c r="G233" i="79"/>
  <c r="E235" i="67"/>
  <c r="G233" i="63"/>
  <c r="G233" i="120"/>
  <c r="E235" i="120"/>
  <c r="G233" i="66"/>
  <c r="E235" i="66"/>
  <c r="G233" i="85"/>
  <c r="E235" i="85"/>
  <c r="G228" i="71"/>
  <c r="M174" i="71" s="1"/>
  <c r="G233" i="71"/>
  <c r="G233" i="54"/>
  <c r="E235" i="54"/>
  <c r="E235" i="95"/>
  <c r="G233" i="95"/>
  <c r="G233" i="1"/>
  <c r="G233" i="25"/>
  <c r="E235" i="98"/>
  <c r="G233" i="98"/>
  <c r="E235" i="94"/>
  <c r="G233" i="94"/>
  <c r="E200" i="97"/>
  <c r="C200" i="97"/>
  <c r="D114" i="97"/>
  <c r="D209" i="97"/>
  <c r="D122" i="97"/>
  <c r="G102" i="102"/>
  <c r="M13" i="86" l="1"/>
  <c r="G237" i="57"/>
  <c r="G236" i="57"/>
  <c r="M15" i="86"/>
  <c r="M119" i="57"/>
  <c r="F231" i="97"/>
  <c r="N48" i="167"/>
  <c r="N45" i="167"/>
  <c r="N45" i="164"/>
  <c r="N45" i="165"/>
  <c r="N48" i="164"/>
  <c r="N48" i="165"/>
  <c r="N48" i="158"/>
  <c r="N48" i="159"/>
  <c r="N45" i="158"/>
  <c r="N45" i="159"/>
  <c r="N48" i="156"/>
  <c r="N48" i="157"/>
  <c r="N45" i="156"/>
  <c r="N45" i="157"/>
  <c r="N48" i="152"/>
  <c r="N48" i="155"/>
  <c r="N45" i="152"/>
  <c r="N45" i="155"/>
  <c r="M78" i="38"/>
  <c r="M29" i="38"/>
  <c r="G228" i="67"/>
  <c r="M127" i="67" s="1"/>
  <c r="M18" i="67"/>
  <c r="N45" i="149"/>
  <c r="N45" i="150"/>
  <c r="N48" i="149"/>
  <c r="N48" i="150"/>
  <c r="M96" i="50"/>
  <c r="M197" i="50"/>
  <c r="M138" i="50"/>
  <c r="M99" i="50"/>
  <c r="E237" i="59"/>
  <c r="M108" i="57"/>
  <c r="H222" i="50"/>
  <c r="M183" i="50"/>
  <c r="M75" i="50"/>
  <c r="M148" i="57"/>
  <c r="M98" i="50"/>
  <c r="M172" i="50"/>
  <c r="M42" i="57"/>
  <c r="M39" i="50"/>
  <c r="M115" i="50"/>
  <c r="G235" i="92"/>
  <c r="K15" i="92" s="1"/>
  <c r="M149" i="57"/>
  <c r="M130" i="57"/>
  <c r="M179" i="57"/>
  <c r="M93" i="57"/>
  <c r="M138" i="57"/>
  <c r="M196" i="57"/>
  <c r="M171" i="57"/>
  <c r="M188" i="57"/>
  <c r="M71" i="57"/>
  <c r="M140" i="57"/>
  <c r="M157" i="57"/>
  <c r="E237" i="28"/>
  <c r="M129" i="57"/>
  <c r="M158" i="57"/>
  <c r="E237" i="92"/>
  <c r="M74" i="57"/>
  <c r="M111" i="57"/>
  <c r="M126" i="57"/>
  <c r="M136" i="57"/>
  <c r="M146" i="57"/>
  <c r="M155" i="57"/>
  <c r="M169" i="57"/>
  <c r="M177" i="57"/>
  <c r="M186" i="57"/>
  <c r="M194" i="57"/>
  <c r="M69" i="57"/>
  <c r="M77" i="57"/>
  <c r="M127" i="57"/>
  <c r="M137" i="57"/>
  <c r="M147" i="57"/>
  <c r="M156" i="57"/>
  <c r="M48" i="57"/>
  <c r="M56" i="57"/>
  <c r="M68" i="57"/>
  <c r="M76" i="57"/>
  <c r="M88" i="57"/>
  <c r="M43" i="57"/>
  <c r="M51" i="57"/>
  <c r="M59" i="57"/>
  <c r="M89" i="57"/>
  <c r="M109" i="57"/>
  <c r="M170" i="57"/>
  <c r="M178" i="57"/>
  <c r="M187" i="57"/>
  <c r="M195" i="57"/>
  <c r="M131" i="57"/>
  <c r="M151" i="57"/>
  <c r="M44" i="57"/>
  <c r="M52" i="57"/>
  <c r="M60" i="57"/>
  <c r="M72" i="57"/>
  <c r="M84" i="57"/>
  <c r="M92" i="57"/>
  <c r="M47" i="57"/>
  <c r="M55" i="57"/>
  <c r="M64" i="57"/>
  <c r="M85" i="57"/>
  <c r="M197" i="57"/>
  <c r="M174" i="57"/>
  <c r="M182" i="57"/>
  <c r="M191" i="57"/>
  <c r="M58" i="57"/>
  <c r="M78" i="57"/>
  <c r="M90" i="57"/>
  <c r="M53" i="57"/>
  <c r="M161" i="57"/>
  <c r="M172" i="57"/>
  <c r="M189" i="57"/>
  <c r="M124" i="57"/>
  <c r="M133" i="57"/>
  <c r="M143" i="57"/>
  <c r="M152" i="57"/>
  <c r="M166" i="57"/>
  <c r="M175" i="57"/>
  <c r="M184" i="57"/>
  <c r="M192" i="57"/>
  <c r="M75" i="57"/>
  <c r="M125" i="57"/>
  <c r="M135" i="57"/>
  <c r="M145" i="57"/>
  <c r="M153" i="57"/>
  <c r="M50" i="57"/>
  <c r="M70" i="57"/>
  <c r="M45" i="57"/>
  <c r="M83" i="57"/>
  <c r="M91" i="57"/>
  <c r="M180" i="57"/>
  <c r="M110" i="57"/>
  <c r="M141" i="57"/>
  <c r="M150" i="57"/>
  <c r="M159" i="57"/>
  <c r="M173" i="57"/>
  <c r="M181" i="57"/>
  <c r="M190" i="57"/>
  <c r="M79" i="57"/>
  <c r="M73" i="57"/>
  <c r="M123" i="57"/>
  <c r="M132" i="57"/>
  <c r="M142" i="57"/>
  <c r="M165" i="57"/>
  <c r="M46" i="57"/>
  <c r="M54" i="57"/>
  <c r="M66" i="57"/>
  <c r="M86" i="57"/>
  <c r="M106" i="57"/>
  <c r="M49" i="57"/>
  <c r="M57" i="57"/>
  <c r="M67" i="57"/>
  <c r="M87" i="57"/>
  <c r="M107" i="57"/>
  <c r="M168" i="57"/>
  <c r="M176" i="57"/>
  <c r="M185" i="57"/>
  <c r="M193" i="57"/>
  <c r="E237" i="104"/>
  <c r="M105" i="38"/>
  <c r="G235" i="104"/>
  <c r="M108" i="65"/>
  <c r="M71" i="38"/>
  <c r="M92" i="38"/>
  <c r="M89" i="65"/>
  <c r="E236" i="27"/>
  <c r="M200" i="65"/>
  <c r="G235" i="39"/>
  <c r="G235" i="37"/>
  <c r="K15" i="37" s="1"/>
  <c r="M161" i="64"/>
  <c r="G235" i="24"/>
  <c r="G237" i="24" s="1"/>
  <c r="H223" i="38"/>
  <c r="E237" i="46"/>
  <c r="G235" i="53"/>
  <c r="E236" i="62"/>
  <c r="M18" i="54"/>
  <c r="M52" i="64"/>
  <c r="H223" i="64"/>
  <c r="M129" i="64"/>
  <c r="M33" i="64"/>
  <c r="E237" i="142"/>
  <c r="M43" i="64"/>
  <c r="M69" i="50"/>
  <c r="G235" i="58"/>
  <c r="M40" i="50"/>
  <c r="E237" i="49"/>
  <c r="M133" i="50"/>
  <c r="M91" i="50"/>
  <c r="M108" i="50"/>
  <c r="M195" i="50"/>
  <c r="E237" i="53"/>
  <c r="E236" i="53"/>
  <c r="M202" i="50"/>
  <c r="E237" i="113"/>
  <c r="M48" i="50"/>
  <c r="M175" i="50"/>
  <c r="M49" i="50"/>
  <c r="H220" i="50"/>
  <c r="G235" i="38"/>
  <c r="G237" i="38" s="1"/>
  <c r="M83" i="50"/>
  <c r="M140" i="95"/>
  <c r="H219" i="50"/>
  <c r="M65" i="50"/>
  <c r="M164" i="50"/>
  <c r="E237" i="58"/>
  <c r="M32" i="98"/>
  <c r="M41" i="65"/>
  <c r="M115" i="98"/>
  <c r="E237" i="39"/>
  <c r="M117" i="65"/>
  <c r="G235" i="49"/>
  <c r="G237" i="49" s="1"/>
  <c r="G24" i="97"/>
  <c r="H20" i="97" s="1"/>
  <c r="E237" i="136"/>
  <c r="M123" i="15"/>
  <c r="M148" i="50"/>
  <c r="K13" i="98"/>
  <c r="M47" i="50"/>
  <c r="M57" i="50"/>
  <c r="M170" i="50"/>
  <c r="M180" i="50"/>
  <c r="H227" i="50"/>
  <c r="M16" i="47"/>
  <c r="M189" i="50"/>
  <c r="M64" i="50"/>
  <c r="M13" i="49"/>
  <c r="M56" i="50"/>
  <c r="M192" i="50"/>
  <c r="M159" i="50"/>
  <c r="M31" i="50"/>
  <c r="M41" i="50"/>
  <c r="M86" i="50"/>
  <c r="M117" i="50"/>
  <c r="M186" i="50"/>
  <c r="G235" i="62"/>
  <c r="K15" i="62" s="1"/>
  <c r="M149" i="50"/>
  <c r="G235" i="46"/>
  <c r="K15" i="46" s="1"/>
  <c r="E236" i="38"/>
  <c r="M82" i="50"/>
  <c r="M114" i="98"/>
  <c r="M32" i="50"/>
  <c r="M89" i="50"/>
  <c r="M167" i="50"/>
  <c r="M136" i="50"/>
  <c r="E237" i="24"/>
  <c r="M102" i="50"/>
  <c r="M140" i="50"/>
  <c r="E237" i="38"/>
  <c r="M100" i="50"/>
  <c r="M126" i="50"/>
  <c r="M33" i="50"/>
  <c r="M55" i="50"/>
  <c r="M88" i="50"/>
  <c r="M178" i="50"/>
  <c r="M188" i="50"/>
  <c r="H221" i="50"/>
  <c r="M135" i="50"/>
  <c r="G228" i="133"/>
  <c r="M152" i="133" s="1"/>
  <c r="M19" i="20"/>
  <c r="G235" i="113"/>
  <c r="M186" i="65"/>
  <c r="M177" i="65"/>
  <c r="M79" i="62"/>
  <c r="M76" i="65"/>
  <c r="M153" i="65"/>
  <c r="M39" i="19"/>
  <c r="M182" i="65"/>
  <c r="M77" i="65"/>
  <c r="M161" i="62"/>
  <c r="M145" i="65"/>
  <c r="M26" i="65"/>
  <c r="H223" i="19"/>
  <c r="M69" i="19"/>
  <c r="E237" i="62"/>
  <c r="M137" i="65"/>
  <c r="H223" i="65"/>
  <c r="M65" i="65"/>
  <c r="M203" i="15"/>
  <c r="H224" i="62"/>
  <c r="M181" i="65"/>
  <c r="M73" i="65"/>
  <c r="E237" i="141"/>
  <c r="M115" i="65"/>
  <c r="M106" i="65"/>
  <c r="M32" i="65"/>
  <c r="M127" i="62"/>
  <c r="M124" i="62"/>
  <c r="M146" i="62"/>
  <c r="M189" i="89"/>
  <c r="M38" i="19"/>
  <c r="M56" i="19"/>
  <c r="M180" i="19"/>
  <c r="G237" i="21"/>
  <c r="M157" i="19"/>
  <c r="M44" i="95"/>
  <c r="M57" i="62"/>
  <c r="M130" i="62"/>
  <c r="M141" i="62"/>
  <c r="M151" i="62"/>
  <c r="M126" i="62"/>
  <c r="M137" i="62"/>
  <c r="M148" i="62"/>
  <c r="M158" i="62"/>
  <c r="K15" i="21"/>
  <c r="M27" i="64"/>
  <c r="M56" i="64"/>
  <c r="M84" i="64"/>
  <c r="M200" i="64"/>
  <c r="M179" i="89"/>
  <c r="M52" i="65"/>
  <c r="M174" i="65"/>
  <c r="M172" i="65"/>
  <c r="M98" i="65"/>
  <c r="M45" i="65"/>
  <c r="M71" i="65"/>
  <c r="M203" i="50"/>
  <c r="M146" i="65"/>
  <c r="H227" i="19"/>
  <c r="M159" i="62"/>
  <c r="M135" i="62"/>
  <c r="M133" i="64"/>
  <c r="M47" i="64"/>
  <c r="M47" i="65"/>
  <c r="M99" i="65"/>
  <c r="M61" i="65"/>
  <c r="M116" i="65"/>
  <c r="M25" i="65"/>
  <c r="M180" i="65"/>
  <c r="M50" i="65"/>
  <c r="M54" i="65"/>
  <c r="M181" i="19"/>
  <c r="M138" i="62"/>
  <c r="H228" i="62"/>
  <c r="M116" i="19"/>
  <c r="M61" i="62"/>
  <c r="M45" i="19"/>
  <c r="M57" i="19"/>
  <c r="M66" i="19"/>
  <c r="M99" i="19"/>
  <c r="M115" i="19"/>
  <c r="M73" i="19"/>
  <c r="M118" i="19"/>
  <c r="M124" i="64"/>
  <c r="M75" i="95"/>
  <c r="M192" i="95"/>
  <c r="M132" i="62"/>
  <c r="M145" i="62"/>
  <c r="M153" i="62"/>
  <c r="E237" i="69"/>
  <c r="M102" i="62"/>
  <c r="M129" i="62"/>
  <c r="M140" i="62"/>
  <c r="M150" i="62"/>
  <c r="M160" i="62"/>
  <c r="M114" i="15"/>
  <c r="M39" i="64"/>
  <c r="M58" i="64"/>
  <c r="M86" i="64"/>
  <c r="M202" i="64"/>
  <c r="H226" i="65"/>
  <c r="M197" i="62"/>
  <c r="M157" i="65"/>
  <c r="M165" i="65"/>
  <c r="H219" i="65"/>
  <c r="M21" i="65"/>
  <c r="M150" i="65"/>
  <c r="M43" i="65"/>
  <c r="M87" i="65"/>
  <c r="M168" i="65"/>
  <c r="M160" i="50"/>
  <c r="M28" i="65"/>
  <c r="E237" i="27"/>
  <c r="H225" i="19"/>
  <c r="M35" i="64"/>
  <c r="M206" i="62"/>
  <c r="M197" i="19"/>
  <c r="M37" i="19"/>
  <c r="M47" i="19"/>
  <c r="M53" i="19"/>
  <c r="M67" i="19"/>
  <c r="M98" i="19"/>
  <c r="M197" i="64"/>
  <c r="G228" i="14"/>
  <c r="H228" i="14" s="1"/>
  <c r="M177" i="15"/>
  <c r="M98" i="62"/>
  <c r="M31" i="64"/>
  <c r="M49" i="64"/>
  <c r="H225" i="65"/>
  <c r="H222" i="62"/>
  <c r="M204" i="65"/>
  <c r="M195" i="65"/>
  <c r="M178" i="65"/>
  <c r="M34" i="65"/>
  <c r="M64" i="65"/>
  <c r="M114" i="65"/>
  <c r="M56" i="65"/>
  <c r="M149" i="62"/>
  <c r="M155" i="62"/>
  <c r="M28" i="15"/>
  <c r="H221" i="64"/>
  <c r="G235" i="27"/>
  <c r="M51" i="19"/>
  <c r="M76" i="19"/>
  <c r="H226" i="19"/>
  <c r="M46" i="19"/>
  <c r="M60" i="19"/>
  <c r="M126" i="64"/>
  <c r="M125" i="62"/>
  <c r="M136" i="62"/>
  <c r="M147" i="62"/>
  <c r="M156" i="62"/>
  <c r="M131" i="62"/>
  <c r="M142" i="62"/>
  <c r="M152" i="62"/>
  <c r="M41" i="64"/>
  <c r="M60" i="64"/>
  <c r="M88" i="64"/>
  <c r="H220" i="62"/>
  <c r="M97" i="65"/>
  <c r="M193" i="65"/>
  <c r="M88" i="65"/>
  <c r="M100" i="65"/>
  <c r="M51" i="65"/>
  <c r="M55" i="65"/>
  <c r="M151" i="65"/>
  <c r="M149" i="65"/>
  <c r="M165" i="89"/>
  <c r="M187" i="89"/>
  <c r="E236" i="100"/>
  <c r="M59" i="53"/>
  <c r="M84" i="98"/>
  <c r="M143" i="50"/>
  <c r="M181" i="15"/>
  <c r="M78" i="98"/>
  <c r="M30" i="50"/>
  <c r="M38" i="50"/>
  <c r="M46" i="50"/>
  <c r="M54" i="50"/>
  <c r="M165" i="50"/>
  <c r="M173" i="50"/>
  <c r="M181" i="50"/>
  <c r="M190" i="50"/>
  <c r="M61" i="98"/>
  <c r="M98" i="15"/>
  <c r="M131" i="50"/>
  <c r="M39" i="38"/>
  <c r="M159" i="38"/>
  <c r="M69" i="98"/>
  <c r="M79" i="50"/>
  <c r="H223" i="50"/>
  <c r="M97" i="89"/>
  <c r="M123" i="89"/>
  <c r="M71" i="50"/>
  <c r="M145" i="50"/>
  <c r="M73" i="50"/>
  <c r="M114" i="50"/>
  <c r="M151" i="50"/>
  <c r="M99" i="89"/>
  <c r="M67" i="50"/>
  <c r="M27" i="50"/>
  <c r="M68" i="50"/>
  <c r="M110" i="50"/>
  <c r="M129" i="50"/>
  <c r="M205" i="15"/>
  <c r="M36" i="38"/>
  <c r="M153" i="38"/>
  <c r="M61" i="50"/>
  <c r="M85" i="50"/>
  <c r="M116" i="50"/>
  <c r="M66" i="50"/>
  <c r="M155" i="50"/>
  <c r="M143" i="98"/>
  <c r="M31" i="38"/>
  <c r="M26" i="50"/>
  <c r="M35" i="50"/>
  <c r="M43" i="50"/>
  <c r="M51" i="50"/>
  <c r="M59" i="50"/>
  <c r="M90" i="50"/>
  <c r="M166" i="50"/>
  <c r="M174" i="50"/>
  <c r="M182" i="50"/>
  <c r="M191" i="50"/>
  <c r="M111" i="50"/>
  <c r="H228" i="50"/>
  <c r="H226" i="50"/>
  <c r="H221" i="15"/>
  <c r="M61" i="89"/>
  <c r="M171" i="89"/>
  <c r="M181" i="89"/>
  <c r="M109" i="50"/>
  <c r="M130" i="50"/>
  <c r="M77" i="50"/>
  <c r="M201" i="50"/>
  <c r="M13" i="102"/>
  <c r="M42" i="15"/>
  <c r="M72" i="50"/>
  <c r="M106" i="50"/>
  <c r="M124" i="50"/>
  <c r="M78" i="53"/>
  <c r="M25" i="50"/>
  <c r="M34" i="50"/>
  <c r="M42" i="50"/>
  <c r="M50" i="50"/>
  <c r="M58" i="50"/>
  <c r="M169" i="50"/>
  <c r="M177" i="50"/>
  <c r="M185" i="50"/>
  <c r="M194" i="50"/>
  <c r="M70" i="50"/>
  <c r="M150" i="50"/>
  <c r="M124" i="98"/>
  <c r="M133" i="38"/>
  <c r="M183" i="53"/>
  <c r="M117" i="98"/>
  <c r="M206" i="50"/>
  <c r="K13" i="50"/>
  <c r="M13" i="32"/>
  <c r="M105" i="50"/>
  <c r="M125" i="50"/>
  <c r="M147" i="50"/>
  <c r="M156" i="50"/>
  <c r="M12" i="120"/>
  <c r="M34" i="15"/>
  <c r="M76" i="50"/>
  <c r="M157" i="50"/>
  <c r="M149" i="15"/>
  <c r="M38" i="38"/>
  <c r="M156" i="38"/>
  <c r="M74" i="98"/>
  <c r="M87" i="50"/>
  <c r="M118" i="50"/>
  <c r="M74" i="50"/>
  <c r="M146" i="50"/>
  <c r="M200" i="50"/>
  <c r="M171" i="53"/>
  <c r="M29" i="50"/>
  <c r="M37" i="50"/>
  <c r="M45" i="50"/>
  <c r="M53" i="50"/>
  <c r="M84" i="50"/>
  <c r="M92" i="50"/>
  <c r="M168" i="50"/>
  <c r="M176" i="50"/>
  <c r="M184" i="50"/>
  <c r="M193" i="50"/>
  <c r="M21" i="50"/>
  <c r="H225" i="50"/>
  <c r="E237" i="37"/>
  <c r="M173" i="89"/>
  <c r="E237" i="106"/>
  <c r="E237" i="64"/>
  <c r="M158" i="50"/>
  <c r="M119" i="50"/>
  <c r="M132" i="50"/>
  <c r="M97" i="50"/>
  <c r="M127" i="50"/>
  <c r="M142" i="50"/>
  <c r="M15" i="102"/>
  <c r="E237" i="43"/>
  <c r="M58" i="89"/>
  <c r="M56" i="98"/>
  <c r="M64" i="15"/>
  <c r="M152" i="50"/>
  <c r="M145" i="15"/>
  <c r="M28" i="38"/>
  <c r="M127" i="38"/>
  <c r="M145" i="38"/>
  <c r="M28" i="50"/>
  <c r="M36" i="50"/>
  <c r="M44" i="50"/>
  <c r="M52" i="50"/>
  <c r="M60" i="50"/>
  <c r="M171" i="50"/>
  <c r="M179" i="50"/>
  <c r="M187" i="50"/>
  <c r="M196" i="50"/>
  <c r="M78" i="50"/>
  <c r="M141" i="50"/>
  <c r="M204" i="50"/>
  <c r="M110" i="38"/>
  <c r="M15" i="118"/>
  <c r="M77" i="53"/>
  <c r="M106" i="98"/>
  <c r="M161" i="50"/>
  <c r="H224" i="50"/>
  <c r="E237" i="111"/>
  <c r="M108" i="89"/>
  <c r="M153" i="50"/>
  <c r="M205" i="50"/>
  <c r="M123" i="50"/>
  <c r="E237" i="55"/>
  <c r="M15" i="20"/>
  <c r="M83" i="95"/>
  <c r="M108" i="95"/>
  <c r="H228" i="95"/>
  <c r="M164" i="95"/>
  <c r="M131" i="95"/>
  <c r="M157" i="95"/>
  <c r="M166" i="95"/>
  <c r="H227" i="95"/>
  <c r="M17" i="20"/>
  <c r="M36" i="95"/>
  <c r="M168" i="95"/>
  <c r="M148" i="95"/>
  <c r="M89" i="95"/>
  <c r="M26" i="95"/>
  <c r="M158" i="95"/>
  <c r="M59" i="95"/>
  <c r="M33" i="95"/>
  <c r="M195" i="95"/>
  <c r="M177" i="95"/>
  <c r="M203" i="95"/>
  <c r="M187" i="95"/>
  <c r="M185" i="95"/>
  <c r="M82" i="95"/>
  <c r="M99" i="95"/>
  <c r="M25" i="95"/>
  <c r="M29" i="95"/>
  <c r="M191" i="95"/>
  <c r="M175" i="95"/>
  <c r="M205" i="95"/>
  <c r="M45" i="95"/>
  <c r="M57" i="95"/>
  <c r="M68" i="95"/>
  <c r="M189" i="95"/>
  <c r="M173" i="95"/>
  <c r="M53" i="95"/>
  <c r="M171" i="95"/>
  <c r="M76" i="95"/>
  <c r="M41" i="95"/>
  <c r="M165" i="95"/>
  <c r="M49" i="95"/>
  <c r="M183" i="95"/>
  <c r="M37" i="95"/>
  <c r="M117" i="95"/>
  <c r="M179" i="95"/>
  <c r="M201" i="95"/>
  <c r="M72" i="95"/>
  <c r="M169" i="95"/>
  <c r="M167" i="95"/>
  <c r="M181" i="95"/>
  <c r="M97" i="95"/>
  <c r="M27" i="95"/>
  <c r="H221" i="95"/>
  <c r="M61" i="95"/>
  <c r="M178" i="95"/>
  <c r="M38" i="95"/>
  <c r="M107" i="95"/>
  <c r="M172" i="95"/>
  <c r="M118" i="95"/>
  <c r="M71" i="95"/>
  <c r="M48" i="95"/>
  <c r="M102" i="95"/>
  <c r="M194" i="95"/>
  <c r="M101" i="95"/>
  <c r="M31" i="95"/>
  <c r="H219" i="95"/>
  <c r="M206" i="95"/>
  <c r="M153" i="95"/>
  <c r="M145" i="95"/>
  <c r="M135" i="95"/>
  <c r="M125" i="95"/>
  <c r="M92" i="95"/>
  <c r="M84" i="95"/>
  <c r="M182" i="95"/>
  <c r="M42" i="95"/>
  <c r="M155" i="95"/>
  <c r="M146" i="95"/>
  <c r="M136" i="95"/>
  <c r="M126" i="95"/>
  <c r="M87" i="95"/>
  <c r="M176" i="95"/>
  <c r="M67" i="95"/>
  <c r="M52" i="95"/>
  <c r="M78" i="95"/>
  <c r="M202" i="95"/>
  <c r="M54" i="95"/>
  <c r="M188" i="95"/>
  <c r="M35" i="95"/>
  <c r="K13" i="95"/>
  <c r="M79" i="95"/>
  <c r="M186" i="95"/>
  <c r="M116" i="95"/>
  <c r="M46" i="95"/>
  <c r="M193" i="95"/>
  <c r="M105" i="95"/>
  <c r="M180" i="95"/>
  <c r="M56" i="95"/>
  <c r="M43" i="95"/>
  <c r="H222" i="95"/>
  <c r="M77" i="95"/>
  <c r="M39" i="95"/>
  <c r="H226" i="95"/>
  <c r="M64" i="95"/>
  <c r="M160" i="95"/>
  <c r="M151" i="95"/>
  <c r="M142" i="95"/>
  <c r="M132" i="95"/>
  <c r="M110" i="95"/>
  <c r="M90" i="95"/>
  <c r="M190" i="95"/>
  <c r="M50" i="95"/>
  <c r="M152" i="95"/>
  <c r="M143" i="95"/>
  <c r="M133" i="95"/>
  <c r="M124" i="95"/>
  <c r="M85" i="95"/>
  <c r="M204" i="95"/>
  <c r="M184" i="95"/>
  <c r="M28" i="95"/>
  <c r="M60" i="95"/>
  <c r="M115" i="95"/>
  <c r="M200" i="95"/>
  <c r="M32" i="95"/>
  <c r="M70" i="95"/>
  <c r="M51" i="95"/>
  <c r="M119" i="95"/>
  <c r="H225" i="95"/>
  <c r="H224" i="95"/>
  <c r="M170" i="95"/>
  <c r="M96" i="95"/>
  <c r="M69" i="95"/>
  <c r="M30" i="95"/>
  <c r="M109" i="95"/>
  <c r="M196" i="95"/>
  <c r="M123" i="95"/>
  <c r="M98" i="95"/>
  <c r="M40" i="95"/>
  <c r="M66" i="95"/>
  <c r="M55" i="95"/>
  <c r="H223" i="95"/>
  <c r="H220" i="95"/>
  <c r="M156" i="95"/>
  <c r="M147" i="95"/>
  <c r="M137" i="95"/>
  <c r="M127" i="95"/>
  <c r="M106" i="95"/>
  <c r="M86" i="95"/>
  <c r="M174" i="95"/>
  <c r="M100" i="95"/>
  <c r="M65" i="95"/>
  <c r="M34" i="95"/>
  <c r="M15" i="47"/>
  <c r="M138" i="95"/>
  <c r="M150" i="95"/>
  <c r="M130" i="95"/>
  <c r="M13" i="133"/>
  <c r="E238" i="50"/>
  <c r="M159" i="95"/>
  <c r="M58" i="95"/>
  <c r="M17" i="27"/>
  <c r="M114" i="95"/>
  <c r="M91" i="95"/>
  <c r="M73" i="95"/>
  <c r="M88" i="95"/>
  <c r="M47" i="95"/>
  <c r="M129" i="95"/>
  <c r="M141" i="95"/>
  <c r="M149" i="95"/>
  <c r="M70" i="19"/>
  <c r="M175" i="19"/>
  <c r="H219" i="19"/>
  <c r="K13" i="19"/>
  <c r="M44" i="19"/>
  <c r="M50" i="19"/>
  <c r="M171" i="19"/>
  <c r="M40" i="98"/>
  <c r="M66" i="98"/>
  <c r="M197" i="98"/>
  <c r="M93" i="98"/>
  <c r="M133" i="98"/>
  <c r="M88" i="38"/>
  <c r="M131" i="38"/>
  <c r="M143" i="38"/>
  <c r="M98" i="53"/>
  <c r="M191" i="53"/>
  <c r="M77" i="98"/>
  <c r="M111" i="89"/>
  <c r="M67" i="65"/>
  <c r="H226" i="62"/>
  <c r="M161" i="65"/>
  <c r="H220" i="65"/>
  <c r="M78" i="65"/>
  <c r="M39" i="65"/>
  <c r="M132" i="65"/>
  <c r="M203" i="65"/>
  <c r="M179" i="65"/>
  <c r="M205" i="65"/>
  <c r="M131" i="65"/>
  <c r="M79" i="65"/>
  <c r="M170" i="65"/>
  <c r="M156" i="65"/>
  <c r="M27" i="65"/>
  <c r="M85" i="65"/>
  <c r="M29" i="65"/>
  <c r="M70" i="65"/>
  <c r="M125" i="65"/>
  <c r="M33" i="65"/>
  <c r="M38" i="65"/>
  <c r="M137" i="50"/>
  <c r="M107" i="50"/>
  <c r="M124" i="65"/>
  <c r="M101" i="65"/>
  <c r="M40" i="65"/>
  <c r="M190" i="65"/>
  <c r="M166" i="19"/>
  <c r="H220" i="19"/>
  <c r="M52" i="19"/>
  <c r="M65" i="19"/>
  <c r="M75" i="19"/>
  <c r="M182" i="19"/>
  <c r="M35" i="53"/>
  <c r="M98" i="98"/>
  <c r="M159" i="98"/>
  <c r="M30" i="38"/>
  <c r="M77" i="38"/>
  <c r="M96" i="38"/>
  <c r="M135" i="38"/>
  <c r="M147" i="38"/>
  <c r="M97" i="53"/>
  <c r="M70" i="98"/>
  <c r="M116" i="98"/>
  <c r="M111" i="95"/>
  <c r="M197" i="95"/>
  <c r="H225" i="98"/>
  <c r="M46" i="98"/>
  <c r="M71" i="98"/>
  <c r="M148" i="98"/>
  <c r="M19" i="37"/>
  <c r="E238" i="57"/>
  <c r="H222" i="65"/>
  <c r="M206" i="65"/>
  <c r="M135" i="65"/>
  <c r="M138" i="65"/>
  <c r="M37" i="65"/>
  <c r="M148" i="65"/>
  <c r="M58" i="65"/>
  <c r="M83" i="65"/>
  <c r="M194" i="65"/>
  <c r="M49" i="65"/>
  <c r="M196" i="65"/>
  <c r="M74" i="65"/>
  <c r="M68" i="65"/>
  <c r="M184" i="65"/>
  <c r="M93" i="95"/>
  <c r="M93" i="65"/>
  <c r="M109" i="65"/>
  <c r="M171" i="65"/>
  <c r="M187" i="65"/>
  <c r="M41" i="19"/>
  <c r="M72" i="19"/>
  <c r="M59" i="19"/>
  <c r="M78" i="19"/>
  <c r="M183" i="19"/>
  <c r="H224" i="19"/>
  <c r="M40" i="19"/>
  <c r="M58" i="19"/>
  <c r="M27" i="53"/>
  <c r="M136" i="98"/>
  <c r="M102" i="38"/>
  <c r="M111" i="98"/>
  <c r="M151" i="68"/>
  <c r="H224" i="98"/>
  <c r="M13" i="85"/>
  <c r="M38" i="98"/>
  <c r="M61" i="38"/>
  <c r="M99" i="38"/>
  <c r="M124" i="38"/>
  <c r="M150" i="38"/>
  <c r="M173" i="53"/>
  <c r="M108" i="98"/>
  <c r="M150" i="68"/>
  <c r="H220" i="53"/>
  <c r="M60" i="65"/>
  <c r="H221" i="65"/>
  <c r="M93" i="62"/>
  <c r="M188" i="65"/>
  <c r="M164" i="65"/>
  <c r="M59" i="65"/>
  <c r="M90" i="65"/>
  <c r="M86" i="65"/>
  <c r="M35" i="65"/>
  <c r="M129" i="65"/>
  <c r="M201" i="65"/>
  <c r="M75" i="65"/>
  <c r="M140" i="65"/>
  <c r="K13" i="65"/>
  <c r="M123" i="65"/>
  <c r="M31" i="65"/>
  <c r="M36" i="65"/>
  <c r="M127" i="65"/>
  <c r="M202" i="65"/>
  <c r="M173" i="65"/>
  <c r="M141" i="65"/>
  <c r="M159" i="65"/>
  <c r="M161" i="95"/>
  <c r="M43" i="19"/>
  <c r="M49" i="19"/>
  <c r="H228" i="19"/>
  <c r="M48" i="19"/>
  <c r="M71" i="19"/>
  <c r="M77" i="19"/>
  <c r="M100" i="19"/>
  <c r="M184" i="19"/>
  <c r="G208" i="39"/>
  <c r="H152" i="39" s="1"/>
  <c r="M126" i="98"/>
  <c r="M69" i="38"/>
  <c r="M85" i="38"/>
  <c r="M125" i="38"/>
  <c r="M137" i="38"/>
  <c r="M71" i="53"/>
  <c r="M72" i="98"/>
  <c r="H227" i="98"/>
  <c r="M30" i="98"/>
  <c r="M118" i="53"/>
  <c r="M37" i="38"/>
  <c r="M70" i="38"/>
  <c r="M73" i="98"/>
  <c r="M73" i="68"/>
  <c r="H223" i="53"/>
  <c r="M66" i="65"/>
  <c r="H228" i="65"/>
  <c r="M183" i="65"/>
  <c r="M82" i="65"/>
  <c r="M155" i="65"/>
  <c r="M57" i="65"/>
  <c r="M152" i="65"/>
  <c r="M119" i="65"/>
  <c r="M84" i="65"/>
  <c r="M197" i="65"/>
  <c r="M191" i="65"/>
  <c r="M176" i="65"/>
  <c r="M30" i="65"/>
  <c r="M158" i="65"/>
  <c r="M111" i="65"/>
  <c r="M142" i="65"/>
  <c r="M48" i="65"/>
  <c r="M53" i="65"/>
  <c r="M147" i="65"/>
  <c r="M169" i="65"/>
  <c r="M143" i="65"/>
  <c r="M105" i="65"/>
  <c r="M189" i="65"/>
  <c r="M68" i="19"/>
  <c r="M101" i="19"/>
  <c r="M117" i="19"/>
  <c r="M170" i="19"/>
  <c r="M186" i="19"/>
  <c r="M61" i="19"/>
  <c r="M55" i="19"/>
  <c r="M74" i="19"/>
  <c r="M97" i="19"/>
  <c r="M161" i="19"/>
  <c r="H222" i="19"/>
  <c r="H221" i="19"/>
  <c r="M42" i="19"/>
  <c r="M54" i="19"/>
  <c r="M92" i="98"/>
  <c r="M156" i="53"/>
  <c r="M205" i="98"/>
  <c r="M64" i="98"/>
  <c r="M157" i="98"/>
  <c r="M33" i="53"/>
  <c r="M86" i="38"/>
  <c r="M101" i="38"/>
  <c r="M141" i="38"/>
  <c r="M72" i="53"/>
  <c r="M165" i="53"/>
  <c r="E237" i="10"/>
  <c r="M72" i="65"/>
  <c r="M167" i="65"/>
  <c r="H224" i="65"/>
  <c r="M96" i="65"/>
  <c r="M136" i="65"/>
  <c r="M130" i="65"/>
  <c r="M133" i="65"/>
  <c r="M44" i="65"/>
  <c r="M118" i="65"/>
  <c r="M42" i="65"/>
  <c r="M175" i="65"/>
  <c r="M192" i="65"/>
  <c r="M46" i="65"/>
  <c r="M110" i="65"/>
  <c r="M92" i="65"/>
  <c r="M160" i="65"/>
  <c r="M166" i="65"/>
  <c r="H227" i="65"/>
  <c r="M91" i="65"/>
  <c r="M102" i="65"/>
  <c r="M126" i="65"/>
  <c r="M185" i="65"/>
  <c r="M69" i="65"/>
  <c r="M158" i="15"/>
  <c r="M189" i="15"/>
  <c r="M14" i="54"/>
  <c r="M19" i="118"/>
  <c r="E237" i="33"/>
  <c r="K15" i="83"/>
  <c r="M25" i="15"/>
  <c r="M48" i="15"/>
  <c r="M31" i="15"/>
  <c r="M157" i="15"/>
  <c r="M138" i="15"/>
  <c r="M192" i="15"/>
  <c r="M176" i="15"/>
  <c r="M204" i="15"/>
  <c r="M45" i="15"/>
  <c r="M29" i="15"/>
  <c r="M82" i="15"/>
  <c r="M136" i="15"/>
  <c r="M190" i="15"/>
  <c r="M56" i="15"/>
  <c r="M83" i="15"/>
  <c r="M143" i="15"/>
  <c r="M180" i="15"/>
  <c r="M155" i="15"/>
  <c r="M174" i="15"/>
  <c r="M39" i="15"/>
  <c r="M87" i="15"/>
  <c r="M168" i="15"/>
  <c r="M33" i="15"/>
  <c r="M159" i="15"/>
  <c r="M194" i="15"/>
  <c r="M202" i="15"/>
  <c r="M43" i="15"/>
  <c r="M27" i="15"/>
  <c r="M65" i="15"/>
  <c r="M91" i="15"/>
  <c r="M109" i="15"/>
  <c r="M152" i="15"/>
  <c r="M133" i="15"/>
  <c r="M188" i="15"/>
  <c r="M172" i="15"/>
  <c r="M41" i="15"/>
  <c r="M68" i="15"/>
  <c r="M89" i="15"/>
  <c r="M101" i="15"/>
  <c r="M107" i="15"/>
  <c r="M150" i="15"/>
  <c r="M131" i="15"/>
  <c r="M186" i="15"/>
  <c r="M70" i="15"/>
  <c r="M99" i="15"/>
  <c r="M148" i="15"/>
  <c r="M75" i="15"/>
  <c r="M141" i="15"/>
  <c r="M178" i="15"/>
  <c r="M58" i="15"/>
  <c r="M170" i="15"/>
  <c r="M105" i="15"/>
  <c r="M129" i="15"/>
  <c r="M184" i="15"/>
  <c r="M35" i="15"/>
  <c r="M196" i="15"/>
  <c r="M200" i="15"/>
  <c r="M54" i="15"/>
  <c r="M37" i="15"/>
  <c r="M73" i="15"/>
  <c r="M85" i="15"/>
  <c r="M97" i="15"/>
  <c r="M146" i="15"/>
  <c r="M126" i="15"/>
  <c r="M182" i="15"/>
  <c r="M166" i="15"/>
  <c r="M52" i="15"/>
  <c r="M124" i="15"/>
  <c r="M50" i="15"/>
  <c r="M78" i="15"/>
  <c r="M72" i="15"/>
  <c r="K13" i="15"/>
  <c r="M60" i="15"/>
  <c r="M115" i="15"/>
  <c r="M167" i="15"/>
  <c r="M164" i="15"/>
  <c r="M127" i="15"/>
  <c r="M40" i="15"/>
  <c r="M193" i="15"/>
  <c r="M125" i="15"/>
  <c r="M96" i="15"/>
  <c r="M90" i="15"/>
  <c r="M46" i="15"/>
  <c r="M47" i="15"/>
  <c r="H228" i="15"/>
  <c r="M93" i="15"/>
  <c r="M61" i="15"/>
  <c r="M171" i="15"/>
  <c r="M132" i="15"/>
  <c r="M106" i="15"/>
  <c r="M84" i="15"/>
  <c r="M44" i="15"/>
  <c r="M165" i="15"/>
  <c r="M130" i="15"/>
  <c r="M100" i="15"/>
  <c r="M51" i="15"/>
  <c r="H222" i="15"/>
  <c r="H227" i="15"/>
  <c r="H226" i="15"/>
  <c r="M111" i="15"/>
  <c r="M197" i="15"/>
  <c r="M175" i="15"/>
  <c r="M137" i="15"/>
  <c r="M110" i="15"/>
  <c r="M88" i="15"/>
  <c r="M49" i="15"/>
  <c r="M169" i="15"/>
  <c r="M135" i="15"/>
  <c r="M74" i="15"/>
  <c r="M55" i="15"/>
  <c r="H223" i="15"/>
  <c r="M160" i="15"/>
  <c r="H225" i="15"/>
  <c r="H224" i="15"/>
  <c r="M102" i="15"/>
  <c r="M67" i="15"/>
  <c r="M179" i="15"/>
  <c r="M142" i="15"/>
  <c r="M92" i="15"/>
  <c r="M53" i="15"/>
  <c r="M173" i="15"/>
  <c r="M140" i="15"/>
  <c r="M69" i="15"/>
  <c r="M26" i="15"/>
  <c r="M59" i="15"/>
  <c r="M206" i="15"/>
  <c r="H219" i="15"/>
  <c r="M116" i="15"/>
  <c r="M191" i="15"/>
  <c r="M156" i="15"/>
  <c r="M66" i="15"/>
  <c r="M32" i="15"/>
  <c r="M185" i="15"/>
  <c r="M153" i="15"/>
  <c r="M38" i="15"/>
  <c r="M21" i="15"/>
  <c r="F211" i="97"/>
  <c r="M18" i="66"/>
  <c r="M118" i="15"/>
  <c r="M30" i="15"/>
  <c r="M86" i="15"/>
  <c r="G208" i="142"/>
  <c r="M17" i="102"/>
  <c r="M195" i="15"/>
  <c r="M117" i="15"/>
  <c r="M17" i="104"/>
  <c r="M119" i="89"/>
  <c r="M202" i="89"/>
  <c r="M160" i="89"/>
  <c r="M151" i="89"/>
  <c r="M141" i="89"/>
  <c r="M131" i="89"/>
  <c r="M109" i="89"/>
  <c r="M44" i="89"/>
  <c r="M36" i="89"/>
  <c r="M27" i="89"/>
  <c r="M201" i="89"/>
  <c r="M184" i="89"/>
  <c r="M176" i="89"/>
  <c r="M168" i="89"/>
  <c r="M157" i="89"/>
  <c r="M148" i="89"/>
  <c r="M137" i="89"/>
  <c r="M127" i="89"/>
  <c r="M41" i="89"/>
  <c r="M33" i="89"/>
  <c r="M50" i="89"/>
  <c r="M147" i="89"/>
  <c r="M126" i="89"/>
  <c r="M31" i="89"/>
  <c r="M180" i="89"/>
  <c r="M152" i="89"/>
  <c r="M132" i="89"/>
  <c r="M37" i="89"/>
  <c r="M185" i="89"/>
  <c r="M177" i="89"/>
  <c r="M169" i="89"/>
  <c r="M98" i="89"/>
  <c r="M106" i="89"/>
  <c r="M88" i="89"/>
  <c r="M82" i="89"/>
  <c r="M156" i="89"/>
  <c r="M105" i="89"/>
  <c r="M172" i="89"/>
  <c r="M143" i="89"/>
  <c r="M28" i="89"/>
  <c r="M200" i="89"/>
  <c r="M158" i="89"/>
  <c r="M149" i="89"/>
  <c r="M138" i="89"/>
  <c r="M129" i="89"/>
  <c r="M107" i="89"/>
  <c r="M42" i="89"/>
  <c r="M34" i="89"/>
  <c r="M190" i="89"/>
  <c r="M182" i="89"/>
  <c r="M174" i="89"/>
  <c r="M166" i="89"/>
  <c r="M155" i="89"/>
  <c r="M146" i="89"/>
  <c r="M135" i="89"/>
  <c r="M125" i="89"/>
  <c r="M39" i="89"/>
  <c r="M30" i="89"/>
  <c r="M136" i="89"/>
  <c r="M40" i="89"/>
  <c r="M188" i="89"/>
  <c r="M67" i="89"/>
  <c r="M183" i="89"/>
  <c r="M175" i="89"/>
  <c r="M167" i="89"/>
  <c r="M96" i="89"/>
  <c r="M101" i="89"/>
  <c r="M153" i="89"/>
  <c r="M145" i="89"/>
  <c r="M133" i="89"/>
  <c r="M124" i="89"/>
  <c r="M75" i="89"/>
  <c r="M38" i="89"/>
  <c r="M29" i="89"/>
  <c r="M186" i="89"/>
  <c r="M178" i="89"/>
  <c r="M170" i="89"/>
  <c r="M159" i="89"/>
  <c r="M150" i="89"/>
  <c r="M140" i="89"/>
  <c r="M130" i="89"/>
  <c r="M43" i="89"/>
  <c r="M35" i="89"/>
  <c r="M26" i="89"/>
  <c r="M16" i="28"/>
  <c r="M14" i="120"/>
  <c r="M108" i="15"/>
  <c r="M71" i="15"/>
  <c r="M187" i="15"/>
  <c r="M76" i="15"/>
  <c r="M13" i="20"/>
  <c r="M15" i="87"/>
  <c r="M17" i="85"/>
  <c r="M57" i="15"/>
  <c r="M77" i="15"/>
  <c r="M151" i="15"/>
  <c r="M183" i="15"/>
  <c r="H220" i="15"/>
  <c r="H226" i="53"/>
  <c r="M179" i="53"/>
  <c r="M88" i="53"/>
  <c r="M41" i="53"/>
  <c r="H227" i="53"/>
  <c r="M64" i="53"/>
  <c r="M187" i="53"/>
  <c r="M106" i="53"/>
  <c r="M70" i="53"/>
  <c r="M125" i="53"/>
  <c r="M49" i="53"/>
  <c r="M65" i="53"/>
  <c r="M116" i="53"/>
  <c r="M161" i="53"/>
  <c r="M200" i="53"/>
  <c r="M195" i="53"/>
  <c r="M167" i="53"/>
  <c r="M135" i="53"/>
  <c r="M73" i="53"/>
  <c r="M127" i="53"/>
  <c r="M175" i="53"/>
  <c r="M100" i="53"/>
  <c r="M68" i="53"/>
  <c r="M201" i="53"/>
  <c r="M145" i="53"/>
  <c r="M99" i="53"/>
  <c r="M137" i="53"/>
  <c r="H219" i="53"/>
  <c r="M181" i="53"/>
  <c r="M110" i="53"/>
  <c r="M69" i="53"/>
  <c r="M43" i="53"/>
  <c r="M74" i="38"/>
  <c r="M100" i="38"/>
  <c r="H222" i="38"/>
  <c r="M157" i="38"/>
  <c r="M148" i="38"/>
  <c r="M138" i="38"/>
  <c r="M129" i="38"/>
  <c r="M108" i="38"/>
  <c r="M97" i="38"/>
  <c r="M84" i="38"/>
  <c r="M66" i="38"/>
  <c r="M35" i="38"/>
  <c r="M27" i="38"/>
  <c r="M160" i="38"/>
  <c r="M151" i="38"/>
  <c r="M142" i="38"/>
  <c r="M132" i="38"/>
  <c r="M109" i="38"/>
  <c r="M89" i="38"/>
  <c r="M75" i="38"/>
  <c r="M67" i="38"/>
  <c r="M34" i="38"/>
  <c r="M26" i="38"/>
  <c r="H228" i="38"/>
  <c r="M72" i="38"/>
  <c r="M98" i="38"/>
  <c r="H220" i="38"/>
  <c r="M155" i="38"/>
  <c r="M146" i="38"/>
  <c r="M136" i="38"/>
  <c r="M126" i="38"/>
  <c r="M106" i="38"/>
  <c r="M90" i="38"/>
  <c r="M41" i="38"/>
  <c r="M33" i="38"/>
  <c r="M25" i="38"/>
  <c r="M158" i="38"/>
  <c r="M149" i="38"/>
  <c r="M140" i="38"/>
  <c r="M130" i="38"/>
  <c r="M107" i="38"/>
  <c r="M87" i="38"/>
  <c r="M73" i="38"/>
  <c r="M40" i="38"/>
  <c r="M32" i="38"/>
  <c r="H219" i="38"/>
  <c r="M76" i="38"/>
  <c r="M68" i="38"/>
  <c r="M42" i="38"/>
  <c r="M16" i="120"/>
  <c r="M201" i="15"/>
  <c r="M36" i="15"/>
  <c r="M147" i="15"/>
  <c r="M79" i="15"/>
  <c r="G235" i="50"/>
  <c r="E236" i="15"/>
  <c r="M119" i="15"/>
  <c r="G208" i="45"/>
  <c r="H116" i="45" s="1"/>
  <c r="M111" i="38"/>
  <c r="M32" i="83"/>
  <c r="M55" i="83"/>
  <c r="M71" i="83"/>
  <c r="M93" i="83"/>
  <c r="M119" i="83"/>
  <c r="M131" i="83"/>
  <c r="M141" i="83"/>
  <c r="M150" i="83"/>
  <c r="M160" i="83"/>
  <c r="M172" i="83"/>
  <c r="M180" i="83"/>
  <c r="M188" i="83"/>
  <c r="M196" i="83"/>
  <c r="M79" i="83"/>
  <c r="M76" i="83"/>
  <c r="M89" i="83"/>
  <c r="M127" i="83"/>
  <c r="M137" i="83"/>
  <c r="M147" i="83"/>
  <c r="M157" i="83"/>
  <c r="M203" i="83"/>
  <c r="E237" i="47"/>
  <c r="M197" i="89"/>
  <c r="G235" i="15"/>
  <c r="M161" i="89"/>
  <c r="M102" i="89"/>
  <c r="M86" i="83"/>
  <c r="M98" i="83"/>
  <c r="G208" i="65"/>
  <c r="H137" i="65" s="1"/>
  <c r="M27" i="83"/>
  <c r="M35" i="83"/>
  <c r="M50" i="83"/>
  <c r="M58" i="83"/>
  <c r="M161" i="83"/>
  <c r="M171" i="83"/>
  <c r="M179" i="83"/>
  <c r="M187" i="83"/>
  <c r="M195" i="83"/>
  <c r="M79" i="89"/>
  <c r="M206" i="89"/>
  <c r="M16" i="66"/>
  <c r="M93" i="89"/>
  <c r="M28" i="83"/>
  <c r="M36" i="83"/>
  <c r="M51" i="83"/>
  <c r="M59" i="83"/>
  <c r="M75" i="83"/>
  <c r="M126" i="83"/>
  <c r="M136" i="83"/>
  <c r="M146" i="83"/>
  <c r="M156" i="83"/>
  <c r="M168" i="83"/>
  <c r="M176" i="83"/>
  <c r="M184" i="83"/>
  <c r="M192" i="83"/>
  <c r="M204" i="83"/>
  <c r="M93" i="38"/>
  <c r="M72" i="83"/>
  <c r="M85" i="83"/>
  <c r="M102" i="83"/>
  <c r="M123" i="83"/>
  <c r="M132" i="83"/>
  <c r="M142" i="83"/>
  <c r="M152" i="83"/>
  <c r="M197" i="83"/>
  <c r="M88" i="83"/>
  <c r="M100" i="83"/>
  <c r="E236" i="65"/>
  <c r="M29" i="83"/>
  <c r="M37" i="83"/>
  <c r="M52" i="83"/>
  <c r="M60" i="83"/>
  <c r="M97" i="83"/>
  <c r="M165" i="83"/>
  <c r="M173" i="83"/>
  <c r="M181" i="83"/>
  <c r="M189" i="83"/>
  <c r="M206" i="83"/>
  <c r="G235" i="111"/>
  <c r="M161" i="15"/>
  <c r="M111" i="53"/>
  <c r="M30" i="83"/>
  <c r="M38" i="83"/>
  <c r="M53" i="83"/>
  <c r="M69" i="83"/>
  <c r="M77" i="83"/>
  <c r="M129" i="83"/>
  <c r="M138" i="83"/>
  <c r="M148" i="83"/>
  <c r="M158" i="83"/>
  <c r="M170" i="83"/>
  <c r="M178" i="83"/>
  <c r="M186" i="83"/>
  <c r="M194" i="83"/>
  <c r="M79" i="38"/>
  <c r="M74" i="83"/>
  <c r="M87" i="83"/>
  <c r="M125" i="83"/>
  <c r="M135" i="83"/>
  <c r="M145" i="83"/>
  <c r="M155" i="83"/>
  <c r="E237" i="15"/>
  <c r="N45" i="143"/>
  <c r="N45" i="145"/>
  <c r="N48" i="143"/>
  <c r="N48" i="145"/>
  <c r="M61" i="71"/>
  <c r="M132" i="71"/>
  <c r="M168" i="71"/>
  <c r="M176" i="71"/>
  <c r="M14" i="47"/>
  <c r="M19" i="49"/>
  <c r="M141" i="68"/>
  <c r="M206" i="68"/>
  <c r="M125" i="71"/>
  <c r="M135" i="71"/>
  <c r="M170" i="71"/>
  <c r="M206" i="71"/>
  <c r="M14" i="66"/>
  <c r="M61" i="57"/>
  <c r="G208" i="57"/>
  <c r="M15" i="84"/>
  <c r="M79" i="53"/>
  <c r="G208" i="53"/>
  <c r="H194" i="53" s="1"/>
  <c r="M93" i="50"/>
  <c r="G208" i="50"/>
  <c r="H173" i="50" s="1"/>
  <c r="M74" i="68"/>
  <c r="M114" i="68"/>
  <c r="M145" i="68"/>
  <c r="M37" i="68"/>
  <c r="M75" i="68"/>
  <c r="M143" i="68"/>
  <c r="M13" i="47"/>
  <c r="M54" i="53"/>
  <c r="M38" i="53"/>
  <c r="M82" i="53"/>
  <c r="M52" i="53"/>
  <c r="M36" i="53"/>
  <c r="M25" i="53"/>
  <c r="M50" i="53"/>
  <c r="M34" i="53"/>
  <c r="M91" i="53"/>
  <c r="M46" i="53"/>
  <c r="M30" i="53"/>
  <c r="M75" i="53"/>
  <c r="M87" i="53"/>
  <c r="M58" i="53"/>
  <c r="M26" i="53"/>
  <c r="M83" i="53"/>
  <c r="M150" i="53"/>
  <c r="M131" i="53"/>
  <c r="M148" i="53"/>
  <c r="M138" i="53"/>
  <c r="M89" i="53"/>
  <c r="M56" i="53"/>
  <c r="M129" i="53"/>
  <c r="M155" i="53"/>
  <c r="M48" i="53"/>
  <c r="M117" i="53"/>
  <c r="M146" i="53"/>
  <c r="M126" i="53"/>
  <c r="M143" i="53"/>
  <c r="M124" i="53"/>
  <c r="M202" i="53"/>
  <c r="M44" i="53"/>
  <c r="M115" i="53"/>
  <c r="M40" i="53"/>
  <c r="M157" i="53"/>
  <c r="M32" i="53"/>
  <c r="M42" i="53"/>
  <c r="M159" i="53"/>
  <c r="M141" i="53"/>
  <c r="M204" i="53"/>
  <c r="M136" i="53"/>
  <c r="M85" i="53"/>
  <c r="M152" i="53"/>
  <c r="M60" i="53"/>
  <c r="M133" i="53"/>
  <c r="M28" i="53"/>
  <c r="M206" i="53"/>
  <c r="M149" i="53"/>
  <c r="M92" i="53"/>
  <c r="M53" i="53"/>
  <c r="M196" i="53"/>
  <c r="M188" i="53"/>
  <c r="M180" i="53"/>
  <c r="M172" i="53"/>
  <c r="M142" i="53"/>
  <c r="M47" i="53"/>
  <c r="M21" i="53"/>
  <c r="H228" i="53"/>
  <c r="M93" i="53"/>
  <c r="M193" i="53"/>
  <c r="M185" i="53"/>
  <c r="M177" i="53"/>
  <c r="M169" i="53"/>
  <c r="M108" i="53"/>
  <c r="M74" i="53"/>
  <c r="M66" i="53"/>
  <c r="M153" i="53"/>
  <c r="M57" i="53"/>
  <c r="M101" i="53"/>
  <c r="M76" i="53"/>
  <c r="M67" i="53"/>
  <c r="M147" i="53"/>
  <c r="M86" i="53"/>
  <c r="M51" i="53"/>
  <c r="H224" i="53"/>
  <c r="M61" i="53"/>
  <c r="M96" i="53"/>
  <c r="M205" i="53"/>
  <c r="M158" i="53"/>
  <c r="M114" i="53"/>
  <c r="M29" i="53"/>
  <c r="M194" i="53"/>
  <c r="M186" i="53"/>
  <c r="M178" i="53"/>
  <c r="M170" i="53"/>
  <c r="M109" i="53"/>
  <c r="M203" i="53"/>
  <c r="M164" i="53"/>
  <c r="M151" i="53"/>
  <c r="M90" i="53"/>
  <c r="M55" i="53"/>
  <c r="H225" i="53"/>
  <c r="K13" i="53"/>
  <c r="M119" i="53"/>
  <c r="M130" i="53"/>
  <c r="M37" i="53"/>
  <c r="M192" i="53"/>
  <c r="M184" i="53"/>
  <c r="M176" i="53"/>
  <c r="M168" i="53"/>
  <c r="M107" i="53"/>
  <c r="M123" i="53"/>
  <c r="M160" i="53"/>
  <c r="M31" i="53"/>
  <c r="H221" i="53"/>
  <c r="H222" i="53"/>
  <c r="M140" i="53"/>
  <c r="M84" i="53"/>
  <c r="M45" i="53"/>
  <c r="M190" i="53"/>
  <c r="M182" i="53"/>
  <c r="M174" i="53"/>
  <c r="M166" i="53"/>
  <c r="M105" i="53"/>
  <c r="M132" i="53"/>
  <c r="M39" i="53"/>
  <c r="M19" i="47"/>
  <c r="M18" i="28"/>
  <c r="M26" i="68"/>
  <c r="M16" i="60"/>
  <c r="M46" i="68"/>
  <c r="M135" i="68"/>
  <c r="M156" i="68"/>
  <c r="M17" i="60"/>
  <c r="E237" i="25"/>
  <c r="M28" i="68"/>
  <c r="M52" i="68"/>
  <c r="M133" i="68"/>
  <c r="M17" i="37"/>
  <c r="M18" i="47"/>
  <c r="M13" i="84"/>
  <c r="M33" i="68"/>
  <c r="M132" i="68"/>
  <c r="M153" i="68"/>
  <c r="M131" i="68"/>
  <c r="M127" i="71"/>
  <c r="M137" i="71"/>
  <c r="M172" i="71"/>
  <c r="M200" i="71"/>
  <c r="G208" i="42"/>
  <c r="H42" i="42" s="1"/>
  <c r="M38" i="68"/>
  <c r="M125" i="68"/>
  <c r="M147" i="68"/>
  <c r="M39" i="68"/>
  <c r="M123" i="68"/>
  <c r="M157" i="68"/>
  <c r="M15" i="133"/>
  <c r="M25" i="98"/>
  <c r="M51" i="98"/>
  <c r="M35" i="98"/>
  <c r="M85" i="98"/>
  <c r="M49" i="98"/>
  <c r="M33" i="98"/>
  <c r="M47" i="98"/>
  <c r="M31" i="98"/>
  <c r="M59" i="98"/>
  <c r="M43" i="98"/>
  <c r="M27" i="98"/>
  <c r="M55" i="98"/>
  <c r="M97" i="98"/>
  <c r="M149" i="98"/>
  <c r="M130" i="98"/>
  <c r="M200" i="98"/>
  <c r="M147" i="98"/>
  <c r="M164" i="98"/>
  <c r="M202" i="98"/>
  <c r="M156" i="98"/>
  <c r="M29" i="98"/>
  <c r="M53" i="98"/>
  <c r="M127" i="98"/>
  <c r="M37" i="98"/>
  <c r="M137" i="98"/>
  <c r="M45" i="98"/>
  <c r="M91" i="98"/>
  <c r="M145" i="98"/>
  <c r="M125" i="98"/>
  <c r="M204" i="98"/>
  <c r="M142" i="98"/>
  <c r="M135" i="98"/>
  <c r="M21" i="98"/>
  <c r="M41" i="98"/>
  <c r="M89" i="98"/>
  <c r="M160" i="98"/>
  <c r="M123" i="98"/>
  <c r="M83" i="98"/>
  <c r="M101" i="98"/>
  <c r="M153" i="98"/>
  <c r="M39" i="98"/>
  <c r="M87" i="98"/>
  <c r="M158" i="98"/>
  <c r="M140" i="98"/>
  <c r="M57" i="98"/>
  <c r="M99" i="98"/>
  <c r="M151" i="98"/>
  <c r="M132" i="98"/>
  <c r="M188" i="98"/>
  <c r="M180" i="98"/>
  <c r="M172" i="98"/>
  <c r="M150" i="98"/>
  <c r="M96" i="98"/>
  <c r="M50" i="98"/>
  <c r="H223" i="98"/>
  <c r="H221" i="98"/>
  <c r="M194" i="98"/>
  <c r="M185" i="98"/>
  <c r="M177" i="98"/>
  <c r="M169" i="98"/>
  <c r="M109" i="98"/>
  <c r="M141" i="98"/>
  <c r="M44" i="98"/>
  <c r="M110" i="98"/>
  <c r="M75" i="98"/>
  <c r="M67" i="98"/>
  <c r="M189" i="98"/>
  <c r="M155" i="98"/>
  <c r="M100" i="98"/>
  <c r="M86" i="98"/>
  <c r="M54" i="98"/>
  <c r="H219" i="98"/>
  <c r="H226" i="98"/>
  <c r="M118" i="98"/>
  <c r="M76" i="98"/>
  <c r="M68" i="98"/>
  <c r="M146" i="98"/>
  <c r="M48" i="98"/>
  <c r="M195" i="98"/>
  <c r="M186" i="98"/>
  <c r="M178" i="98"/>
  <c r="M170" i="98"/>
  <c r="M90" i="98"/>
  <c r="M26" i="98"/>
  <c r="M58" i="98"/>
  <c r="H220" i="98"/>
  <c r="M206" i="98"/>
  <c r="M192" i="98"/>
  <c r="M183" i="98"/>
  <c r="M175" i="98"/>
  <c r="M167" i="98"/>
  <c r="M107" i="98"/>
  <c r="M152" i="98"/>
  <c r="M52" i="98"/>
  <c r="M193" i="98"/>
  <c r="M184" i="98"/>
  <c r="M176" i="98"/>
  <c r="M168" i="98"/>
  <c r="M203" i="98"/>
  <c r="M129" i="98"/>
  <c r="M34" i="98"/>
  <c r="H228" i="98"/>
  <c r="M102" i="98"/>
  <c r="M190" i="98"/>
  <c r="M181" i="98"/>
  <c r="M173" i="98"/>
  <c r="M165" i="98"/>
  <c r="M105" i="98"/>
  <c r="M201" i="98"/>
  <c r="M88" i="98"/>
  <c r="M28" i="98"/>
  <c r="M60" i="98"/>
  <c r="M191" i="98"/>
  <c r="M182" i="98"/>
  <c r="M174" i="98"/>
  <c r="M166" i="98"/>
  <c r="M138" i="98"/>
  <c r="M82" i="98"/>
  <c r="M42" i="98"/>
  <c r="H222" i="98"/>
  <c r="M196" i="98"/>
  <c r="M187" i="98"/>
  <c r="M179" i="98"/>
  <c r="M171" i="98"/>
  <c r="M131" i="98"/>
  <c r="M36" i="98"/>
  <c r="M15" i="60"/>
  <c r="M29" i="68"/>
  <c r="M79" i="68"/>
  <c r="M137" i="68"/>
  <c r="M19" i="60"/>
  <c r="M14" i="28"/>
  <c r="M14" i="25"/>
  <c r="M30" i="68"/>
  <c r="M93" i="68"/>
  <c r="M15" i="37"/>
  <c r="M12" i="47"/>
  <c r="M14" i="27"/>
  <c r="M15" i="54"/>
  <c r="M19" i="86"/>
  <c r="E237" i="86"/>
  <c r="M90" i="68"/>
  <c r="M85" i="68"/>
  <c r="M72" i="68"/>
  <c r="M155" i="68"/>
  <c r="M146" i="68"/>
  <c r="M136" i="68"/>
  <c r="M126" i="68"/>
  <c r="M77" i="68"/>
  <c r="M69" i="68"/>
  <c r="M41" i="68"/>
  <c r="M32" i="68"/>
  <c r="M158" i="68"/>
  <c r="M149" i="68"/>
  <c r="M140" i="68"/>
  <c r="M130" i="68"/>
  <c r="M44" i="68"/>
  <c r="M35" i="68"/>
  <c r="M27" i="68"/>
  <c r="M88" i="68"/>
  <c r="M91" i="68"/>
  <c r="M78" i="68"/>
  <c r="M70" i="68"/>
  <c r="M86" i="68"/>
  <c r="M89" i="68"/>
  <c r="M76" i="68"/>
  <c r="M68" i="68"/>
  <c r="M92" i="68"/>
  <c r="M84" i="68"/>
  <c r="M87" i="68"/>
  <c r="M45" i="68"/>
  <c r="M152" i="68"/>
  <c r="M130" i="71"/>
  <c r="M166" i="71"/>
  <c r="G208" i="20"/>
  <c r="H36" i="20" s="1"/>
  <c r="G208" i="106"/>
  <c r="M19" i="84"/>
  <c r="M13" i="54"/>
  <c r="M40" i="68"/>
  <c r="M127" i="68"/>
  <c r="M160" i="68"/>
  <c r="M17" i="49"/>
  <c r="M71" i="68"/>
  <c r="M138" i="68"/>
  <c r="M159" i="68"/>
  <c r="M17" i="133"/>
  <c r="M12" i="133"/>
  <c r="M17" i="47"/>
  <c r="M26" i="64"/>
  <c r="M96" i="64"/>
  <c r="M118" i="64"/>
  <c r="M148" i="64"/>
  <c r="M184" i="64"/>
  <c r="M168" i="64"/>
  <c r="M205" i="64"/>
  <c r="M25" i="64"/>
  <c r="M116" i="64"/>
  <c r="M146" i="64"/>
  <c r="M182" i="64"/>
  <c r="M166" i="64"/>
  <c r="H220" i="64"/>
  <c r="M114" i="64"/>
  <c r="M143" i="64"/>
  <c r="M196" i="64"/>
  <c r="M180" i="64"/>
  <c r="H222" i="64"/>
  <c r="M101" i="64"/>
  <c r="M159" i="64"/>
  <c r="M141" i="64"/>
  <c r="M194" i="64"/>
  <c r="M178" i="64"/>
  <c r="H224" i="64"/>
  <c r="M157" i="64"/>
  <c r="M138" i="64"/>
  <c r="M192" i="64"/>
  <c r="M176" i="64"/>
  <c r="H226" i="64"/>
  <c r="M64" i="64"/>
  <c r="M50" i="64"/>
  <c r="M174" i="64"/>
  <c r="H228" i="64"/>
  <c r="M109" i="64"/>
  <c r="M158" i="64"/>
  <c r="M137" i="64"/>
  <c r="M179" i="64"/>
  <c r="M156" i="64"/>
  <c r="M177" i="64"/>
  <c r="M204" i="64"/>
  <c r="M169" i="64"/>
  <c r="M188" i="64"/>
  <c r="M185" i="64"/>
  <c r="M172" i="64"/>
  <c r="M107" i="64"/>
  <c r="M135" i="64"/>
  <c r="M147" i="64"/>
  <c r="M187" i="64"/>
  <c r="M100" i="64"/>
  <c r="M170" i="64"/>
  <c r="K13" i="64"/>
  <c r="M99" i="64"/>
  <c r="M105" i="64"/>
  <c r="M153" i="64"/>
  <c r="M193" i="64"/>
  <c r="M175" i="64"/>
  <c r="M151" i="64"/>
  <c r="M191" i="64"/>
  <c r="M164" i="64"/>
  <c r="M117" i="64"/>
  <c r="M142" i="64"/>
  <c r="M167" i="64"/>
  <c r="M92" i="64"/>
  <c r="M98" i="64"/>
  <c r="M155" i="64"/>
  <c r="M173" i="64"/>
  <c r="M108" i="64"/>
  <c r="M190" i="64"/>
  <c r="M106" i="64"/>
  <c r="M90" i="64"/>
  <c r="M152" i="64"/>
  <c r="M203" i="64"/>
  <c r="M91" i="64"/>
  <c r="M149" i="64"/>
  <c r="M189" i="64"/>
  <c r="M171" i="64"/>
  <c r="M150" i="64"/>
  <c r="M183" i="64"/>
  <c r="M186" i="64"/>
  <c r="M165" i="64"/>
  <c r="M115" i="64"/>
  <c r="M160" i="64"/>
  <c r="M140" i="64"/>
  <c r="M89" i="64"/>
  <c r="M78" i="64"/>
  <c r="M70" i="64"/>
  <c r="M59" i="64"/>
  <c r="M51" i="64"/>
  <c r="M42" i="64"/>
  <c r="M34" i="64"/>
  <c r="M110" i="64"/>
  <c r="M73" i="64"/>
  <c r="M65" i="64"/>
  <c r="M127" i="64"/>
  <c r="M82" i="64"/>
  <c r="M54" i="64"/>
  <c r="M45" i="64"/>
  <c r="M37" i="64"/>
  <c r="M29" i="64"/>
  <c r="M131" i="64"/>
  <c r="M97" i="64"/>
  <c r="H225" i="64"/>
  <c r="M87" i="64"/>
  <c r="M76" i="64"/>
  <c r="M68" i="64"/>
  <c r="M57" i="64"/>
  <c r="M48" i="64"/>
  <c r="M40" i="64"/>
  <c r="M32" i="64"/>
  <c r="M201" i="64"/>
  <c r="M71" i="64"/>
  <c r="M136" i="64"/>
  <c r="M125" i="64"/>
  <c r="H227" i="64"/>
  <c r="M85" i="64"/>
  <c r="M74" i="64"/>
  <c r="M66" i="64"/>
  <c r="M55" i="64"/>
  <c r="M46" i="64"/>
  <c r="M38" i="64"/>
  <c r="M30" i="64"/>
  <c r="M195" i="64"/>
  <c r="M77" i="64"/>
  <c r="M69" i="64"/>
  <c r="M181" i="64"/>
  <c r="M132" i="64"/>
  <c r="M123" i="64"/>
  <c r="H219" i="64"/>
  <c r="M83" i="64"/>
  <c r="M72" i="64"/>
  <c r="M53" i="64"/>
  <c r="M44" i="64"/>
  <c r="M36" i="64"/>
  <c r="M28" i="64"/>
  <c r="M145" i="64"/>
  <c r="M75" i="64"/>
  <c r="M67" i="64"/>
  <c r="M130" i="64"/>
  <c r="G208" i="21"/>
  <c r="H119" i="21" s="1"/>
  <c r="G208" i="27"/>
  <c r="H143" i="27" s="1"/>
  <c r="G208" i="113"/>
  <c r="H127" i="113" s="1"/>
  <c r="M79" i="98"/>
  <c r="M119" i="98"/>
  <c r="M206" i="64"/>
  <c r="M86" i="19"/>
  <c r="M165" i="19"/>
  <c r="M32" i="19"/>
  <c r="M30" i="19"/>
  <c r="M136" i="19"/>
  <c r="M155" i="19"/>
  <c r="M195" i="19"/>
  <c r="M87" i="19"/>
  <c r="M156" i="19"/>
  <c r="M137" i="19"/>
  <c r="M176" i="19"/>
  <c r="M202" i="19"/>
  <c r="M93" i="19"/>
  <c r="M88" i="19"/>
  <c r="M173" i="19"/>
  <c r="M111" i="19"/>
  <c r="M34" i="19"/>
  <c r="M138" i="19"/>
  <c r="M167" i="19"/>
  <c r="M85" i="19"/>
  <c r="M114" i="19"/>
  <c r="M153" i="19"/>
  <c r="M135" i="19"/>
  <c r="M174" i="19"/>
  <c r="M204" i="19"/>
  <c r="M90" i="19"/>
  <c r="M185" i="19"/>
  <c r="M36" i="19"/>
  <c r="M141" i="19"/>
  <c r="M177" i="19"/>
  <c r="M83" i="19"/>
  <c r="M151" i="19"/>
  <c r="M132" i="19"/>
  <c r="M196" i="19"/>
  <c r="M172" i="19"/>
  <c r="M92" i="19"/>
  <c r="M201" i="19"/>
  <c r="M124" i="19"/>
  <c r="M143" i="19"/>
  <c r="M179" i="19"/>
  <c r="M109" i="19"/>
  <c r="M149" i="19"/>
  <c r="M130" i="19"/>
  <c r="M194" i="19"/>
  <c r="M168" i="19"/>
  <c r="M106" i="19"/>
  <c r="M203" i="19"/>
  <c r="M96" i="19"/>
  <c r="M126" i="19"/>
  <c r="M146" i="19"/>
  <c r="M187" i="19"/>
  <c r="M35" i="19"/>
  <c r="M107" i="19"/>
  <c r="M147" i="19"/>
  <c r="M127" i="19"/>
  <c r="M192" i="19"/>
  <c r="M164" i="19"/>
  <c r="M150" i="19"/>
  <c r="M25" i="19"/>
  <c r="M89" i="19"/>
  <c r="M158" i="19"/>
  <c r="M188" i="19"/>
  <c r="M64" i="19"/>
  <c r="M152" i="19"/>
  <c r="M145" i="19"/>
  <c r="M178" i="19"/>
  <c r="M123" i="19"/>
  <c r="M205" i="19"/>
  <c r="M91" i="19"/>
  <c r="M84" i="19"/>
  <c r="M26" i="19"/>
  <c r="M189" i="19"/>
  <c r="M31" i="19"/>
  <c r="M82" i="19"/>
  <c r="M142" i="19"/>
  <c r="M159" i="19"/>
  <c r="M133" i="19"/>
  <c r="M33" i="19"/>
  <c r="M108" i="19"/>
  <c r="M28" i="19"/>
  <c r="M191" i="19"/>
  <c r="M29" i="19"/>
  <c r="M140" i="19"/>
  <c r="M110" i="19"/>
  <c r="M129" i="19"/>
  <c r="M193" i="19"/>
  <c r="M27" i="19"/>
  <c r="M125" i="19"/>
  <c r="M131" i="19"/>
  <c r="M148" i="19"/>
  <c r="M105" i="19"/>
  <c r="M160" i="19"/>
  <c r="M190" i="19"/>
  <c r="M200" i="19"/>
  <c r="M45" i="38"/>
  <c r="M83" i="38"/>
  <c r="M164" i="38"/>
  <c r="M184" i="38"/>
  <c r="M168" i="38"/>
  <c r="M50" i="38"/>
  <c r="M60" i="38"/>
  <c r="M59" i="38"/>
  <c r="M43" i="38"/>
  <c r="M182" i="38"/>
  <c r="M166" i="38"/>
  <c r="M201" i="38"/>
  <c r="M48" i="38"/>
  <c r="M57" i="38"/>
  <c r="M196" i="38"/>
  <c r="M180" i="38"/>
  <c r="M203" i="38"/>
  <c r="M46" i="38"/>
  <c r="M55" i="38"/>
  <c r="M118" i="38"/>
  <c r="M194" i="38"/>
  <c r="M178" i="38"/>
  <c r="M205" i="38"/>
  <c r="M44" i="38"/>
  <c r="M53" i="38"/>
  <c r="M116" i="38"/>
  <c r="M192" i="38"/>
  <c r="M176" i="38"/>
  <c r="M58" i="38"/>
  <c r="M170" i="38"/>
  <c r="M117" i="38"/>
  <c r="M195" i="38"/>
  <c r="M179" i="38"/>
  <c r="M115" i="38"/>
  <c r="M177" i="38"/>
  <c r="M54" i="38"/>
  <c r="M64" i="38"/>
  <c r="M52" i="38"/>
  <c r="M197" i="38"/>
  <c r="M51" i="38"/>
  <c r="M65" i="38"/>
  <c r="M193" i="38"/>
  <c r="M91" i="38"/>
  <c r="M185" i="38"/>
  <c r="M82" i="38"/>
  <c r="M183" i="38"/>
  <c r="M49" i="38"/>
  <c r="M114" i="38"/>
  <c r="M123" i="38"/>
  <c r="M191" i="38"/>
  <c r="M175" i="38"/>
  <c r="M200" i="38"/>
  <c r="M189" i="38"/>
  <c r="M173" i="38"/>
  <c r="M47" i="38"/>
  <c r="M190" i="38"/>
  <c r="M202" i="38"/>
  <c r="M169" i="38"/>
  <c r="M174" i="38"/>
  <c r="M188" i="38"/>
  <c r="M56" i="38"/>
  <c r="M187" i="38"/>
  <c r="M171" i="38"/>
  <c r="M204" i="38"/>
  <c r="M186" i="38"/>
  <c r="M167" i="38"/>
  <c r="M172" i="38"/>
  <c r="M181" i="38"/>
  <c r="M165" i="38"/>
  <c r="M17" i="84"/>
  <c r="M15" i="85"/>
  <c r="M16" i="54"/>
  <c r="M17" i="118"/>
  <c r="M161" i="68"/>
  <c r="M61" i="64"/>
  <c r="H227" i="38"/>
  <c r="M102" i="64"/>
  <c r="M161" i="98"/>
  <c r="M93" i="64"/>
  <c r="G235" i="31"/>
  <c r="G237" i="31" s="1"/>
  <c r="M21" i="38"/>
  <c r="H226" i="38"/>
  <c r="E237" i="100"/>
  <c r="M206" i="38"/>
  <c r="M111" i="62"/>
  <c r="H227" i="62"/>
  <c r="M48" i="62"/>
  <c r="M32" i="62"/>
  <c r="M67" i="62"/>
  <c r="M110" i="62"/>
  <c r="M114" i="62"/>
  <c r="M183" i="62"/>
  <c r="M167" i="62"/>
  <c r="M55" i="62"/>
  <c r="M39" i="62"/>
  <c r="M70" i="62"/>
  <c r="M89" i="62"/>
  <c r="H225" i="62"/>
  <c r="M46" i="62"/>
  <c r="M30" i="62"/>
  <c r="M69" i="62"/>
  <c r="M92" i="62"/>
  <c r="M100" i="62"/>
  <c r="M108" i="62"/>
  <c r="M164" i="62"/>
  <c r="M181" i="62"/>
  <c r="M165" i="62"/>
  <c r="M53" i="62"/>
  <c r="M37" i="62"/>
  <c r="H223" i="62"/>
  <c r="M60" i="62"/>
  <c r="M44" i="62"/>
  <c r="M28" i="62"/>
  <c r="M71" i="62"/>
  <c r="M90" i="62"/>
  <c r="M96" i="62"/>
  <c r="M106" i="62"/>
  <c r="M195" i="62"/>
  <c r="M179" i="62"/>
  <c r="M51" i="62"/>
  <c r="M35" i="62"/>
  <c r="M74" i="62"/>
  <c r="M85" i="62"/>
  <c r="H221" i="62"/>
  <c r="M58" i="62"/>
  <c r="M42" i="62"/>
  <c r="M26" i="62"/>
  <c r="M73" i="62"/>
  <c r="M88" i="62"/>
  <c r="M193" i="62"/>
  <c r="M177" i="62"/>
  <c r="M25" i="62"/>
  <c r="H219" i="62"/>
  <c r="M56" i="62"/>
  <c r="M40" i="62"/>
  <c r="M75" i="62"/>
  <c r="M86" i="62"/>
  <c r="M191" i="62"/>
  <c r="M175" i="62"/>
  <c r="M201" i="62"/>
  <c r="M47" i="62"/>
  <c r="M31" i="62"/>
  <c r="M78" i="62"/>
  <c r="M36" i="62"/>
  <c r="M77" i="62"/>
  <c r="M27" i="62"/>
  <c r="M64" i="62"/>
  <c r="M82" i="62"/>
  <c r="M105" i="62"/>
  <c r="M196" i="62"/>
  <c r="M180" i="62"/>
  <c r="M194" i="62"/>
  <c r="M178" i="62"/>
  <c r="M41" i="62"/>
  <c r="M33" i="62"/>
  <c r="M133" i="62"/>
  <c r="M34" i="62"/>
  <c r="M189" i="62"/>
  <c r="M59" i="62"/>
  <c r="M66" i="62"/>
  <c r="M91" i="62"/>
  <c r="M101" i="62"/>
  <c r="M115" i="62"/>
  <c r="M143" i="62"/>
  <c r="M170" i="62"/>
  <c r="M123" i="62"/>
  <c r="M169" i="62"/>
  <c r="K13" i="62"/>
  <c r="M187" i="62"/>
  <c r="M49" i="62"/>
  <c r="M68" i="62"/>
  <c r="M87" i="62"/>
  <c r="M99" i="62"/>
  <c r="M192" i="62"/>
  <c r="M176" i="62"/>
  <c r="M190" i="62"/>
  <c r="M174" i="62"/>
  <c r="M171" i="62"/>
  <c r="M186" i="62"/>
  <c r="M84" i="62"/>
  <c r="M184" i="62"/>
  <c r="M65" i="62"/>
  <c r="M118" i="62"/>
  <c r="M185" i="62"/>
  <c r="M45" i="62"/>
  <c r="M72" i="62"/>
  <c r="M83" i="62"/>
  <c r="M97" i="62"/>
  <c r="M52" i="62"/>
  <c r="M54" i="62"/>
  <c r="M116" i="62"/>
  <c r="M173" i="62"/>
  <c r="M43" i="62"/>
  <c r="M76" i="62"/>
  <c r="M117" i="62"/>
  <c r="M157" i="62"/>
  <c r="M188" i="62"/>
  <c r="M172" i="62"/>
  <c r="M203" i="62"/>
  <c r="M200" i="62"/>
  <c r="M50" i="62"/>
  <c r="M205" i="62"/>
  <c r="M109" i="62"/>
  <c r="M168" i="62"/>
  <c r="M202" i="62"/>
  <c r="M38" i="62"/>
  <c r="M107" i="62"/>
  <c r="M204" i="62"/>
  <c r="M29" i="62"/>
  <c r="M182" i="62"/>
  <c r="M166" i="62"/>
  <c r="M102" i="53"/>
  <c r="M79" i="64"/>
  <c r="M111" i="64"/>
  <c r="G236" i="64"/>
  <c r="H225" i="38"/>
  <c r="K13" i="38"/>
  <c r="M161" i="38"/>
  <c r="G235" i="16"/>
  <c r="G237" i="16" s="1"/>
  <c r="M12" i="66"/>
  <c r="G208" i="49"/>
  <c r="H32" i="49" s="1"/>
  <c r="M119" i="68"/>
  <c r="M19" i="85"/>
  <c r="M13" i="60"/>
  <c r="M12" i="54"/>
  <c r="M13" i="118"/>
  <c r="M61" i="68"/>
  <c r="H224" i="38"/>
  <c r="H221" i="38"/>
  <c r="M206" i="19"/>
  <c r="M197" i="53"/>
  <c r="M119" i="38"/>
  <c r="G208" i="15"/>
  <c r="H28" i="15" s="1"/>
  <c r="G208" i="62"/>
  <c r="H148" i="62" s="1"/>
  <c r="K15" i="59"/>
  <c r="G235" i="47"/>
  <c r="G237" i="47" s="1"/>
  <c r="E237" i="45"/>
  <c r="M15" i="39"/>
  <c r="M17" i="39"/>
  <c r="M19" i="39"/>
  <c r="E237" i="84"/>
  <c r="G208" i="98"/>
  <c r="H97" i="98" s="1"/>
  <c r="M13" i="104"/>
  <c r="M15" i="104"/>
  <c r="K15" i="106"/>
  <c r="M111" i="71"/>
  <c r="G208" i="141"/>
  <c r="H85" i="141" s="1"/>
  <c r="G237" i="64"/>
  <c r="K15" i="64"/>
  <c r="G235" i="28"/>
  <c r="G237" i="28" s="1"/>
  <c r="G235" i="119"/>
  <c r="G237" i="119" s="1"/>
  <c r="G235" i="85"/>
  <c r="G237" i="85" s="1"/>
  <c r="G235" i="100"/>
  <c r="G237" i="100" s="1"/>
  <c r="H226" i="57"/>
  <c r="K13" i="57"/>
  <c r="H222" i="57"/>
  <c r="H228" i="57"/>
  <c r="H220" i="57"/>
  <c r="M65" i="57"/>
  <c r="H223" i="57"/>
  <c r="H227" i="57"/>
  <c r="H221" i="57"/>
  <c r="H224" i="57"/>
  <c r="H219" i="57"/>
  <c r="H225" i="57"/>
  <c r="M102" i="57"/>
  <c r="M25" i="57"/>
  <c r="M41" i="57"/>
  <c r="M37" i="57"/>
  <c r="M33" i="57"/>
  <c r="M29" i="57"/>
  <c r="M82" i="57"/>
  <c r="M100" i="57"/>
  <c r="M96" i="57"/>
  <c r="M117" i="57"/>
  <c r="M183" i="57"/>
  <c r="M201" i="57"/>
  <c r="M205" i="57"/>
  <c r="M40" i="57"/>
  <c r="M36" i="57"/>
  <c r="M32" i="57"/>
  <c r="M28" i="57"/>
  <c r="M99" i="57"/>
  <c r="M116" i="57"/>
  <c r="M160" i="57"/>
  <c r="M164" i="57"/>
  <c r="M200" i="57"/>
  <c r="M204" i="57"/>
  <c r="M206" i="57"/>
  <c r="M39" i="57"/>
  <c r="M35" i="57"/>
  <c r="M31" i="57"/>
  <c r="M27" i="57"/>
  <c r="M98" i="57"/>
  <c r="M115" i="57"/>
  <c r="M167" i="57"/>
  <c r="M203" i="57"/>
  <c r="M38" i="57"/>
  <c r="M34" i="57"/>
  <c r="M30" i="57"/>
  <c r="M26" i="57"/>
  <c r="M101" i="57"/>
  <c r="M97" i="57"/>
  <c r="M105" i="57"/>
  <c r="M118" i="57"/>
  <c r="M114" i="57"/>
  <c r="M202" i="57"/>
  <c r="H228" i="89"/>
  <c r="H224" i="89"/>
  <c r="H220" i="89"/>
  <c r="H226" i="89"/>
  <c r="H222" i="89"/>
  <c r="M56" i="89"/>
  <c r="M52" i="89"/>
  <c r="M46" i="89"/>
  <c r="M65" i="89"/>
  <c r="M71" i="89"/>
  <c r="M77" i="89"/>
  <c r="M89" i="89"/>
  <c r="M85" i="89"/>
  <c r="M110" i="89"/>
  <c r="M115" i="89"/>
  <c r="M196" i="89"/>
  <c r="M192" i="89"/>
  <c r="M205" i="89"/>
  <c r="H221" i="89"/>
  <c r="H225" i="89"/>
  <c r="K13" i="89"/>
  <c r="M21" i="89"/>
  <c r="M57" i="89"/>
  <c r="M53" i="89"/>
  <c r="M49" i="89"/>
  <c r="M45" i="89"/>
  <c r="M64" i="89"/>
  <c r="M68" i="89"/>
  <c r="M72" i="89"/>
  <c r="M76" i="89"/>
  <c r="M90" i="89"/>
  <c r="M84" i="89"/>
  <c r="M118" i="89"/>
  <c r="M114" i="89"/>
  <c r="M193" i="89"/>
  <c r="M204" i="89"/>
  <c r="M25" i="89"/>
  <c r="M60" i="89"/>
  <c r="M54" i="89"/>
  <c r="M48" i="89"/>
  <c r="M32" i="89"/>
  <c r="M69" i="89"/>
  <c r="M73" i="89"/>
  <c r="M91" i="89"/>
  <c r="M87" i="89"/>
  <c r="M83" i="89"/>
  <c r="M117" i="89"/>
  <c r="M142" i="89"/>
  <c r="M194" i="89"/>
  <c r="M203" i="89"/>
  <c r="H219" i="89"/>
  <c r="H223" i="89"/>
  <c r="H227" i="89"/>
  <c r="M59" i="89"/>
  <c r="M55" i="89"/>
  <c r="M51" i="89"/>
  <c r="M47" i="89"/>
  <c r="M66" i="89"/>
  <c r="M70" i="89"/>
  <c r="M74" i="89"/>
  <c r="M78" i="89"/>
  <c r="M92" i="89"/>
  <c r="M86" i="89"/>
  <c r="M116" i="89"/>
  <c r="M164" i="89"/>
  <c r="M195" i="89"/>
  <c r="M191" i="89"/>
  <c r="G208" i="19"/>
  <c r="H129" i="19" s="1"/>
  <c r="G208" i="66"/>
  <c r="H92" i="66" s="1"/>
  <c r="G208" i="1"/>
  <c r="G208" i="31"/>
  <c r="H203" i="31" s="1"/>
  <c r="G208" i="119"/>
  <c r="H51" i="119" s="1"/>
  <c r="G208" i="37"/>
  <c r="G208" i="111"/>
  <c r="K12" i="111" s="1"/>
  <c r="G208" i="32"/>
  <c r="G208" i="104"/>
  <c r="H67" i="104" s="1"/>
  <c r="G208" i="24"/>
  <c r="H99" i="24" s="1"/>
  <c r="G208" i="25"/>
  <c r="H38" i="25" s="1"/>
  <c r="G208" i="54"/>
  <c r="H60" i="54" s="1"/>
  <c r="G208" i="69"/>
  <c r="H34" i="69" s="1"/>
  <c r="G208" i="46"/>
  <c r="H119" i="46" s="1"/>
  <c r="G208" i="85"/>
  <c r="H131" i="85" s="1"/>
  <c r="G208" i="91"/>
  <c r="G208" i="102"/>
  <c r="H35" i="102" s="1"/>
  <c r="G235" i="94"/>
  <c r="E237" i="98"/>
  <c r="E236" i="98"/>
  <c r="G235" i="95"/>
  <c r="G235" i="54"/>
  <c r="G237" i="54" s="1"/>
  <c r="K13" i="71"/>
  <c r="H225" i="71"/>
  <c r="H221" i="71"/>
  <c r="H228" i="71"/>
  <c r="H224" i="71"/>
  <c r="H220" i="71"/>
  <c r="H227" i="71"/>
  <c r="H223" i="71"/>
  <c r="H219" i="71"/>
  <c r="H226" i="71"/>
  <c r="H222" i="71"/>
  <c r="M26" i="71"/>
  <c r="M30" i="71"/>
  <c r="M34" i="71"/>
  <c r="M38" i="71"/>
  <c r="M42" i="71"/>
  <c r="M46" i="71"/>
  <c r="M50" i="71"/>
  <c r="M54" i="71"/>
  <c r="M65" i="71"/>
  <c r="M69" i="71"/>
  <c r="M73" i="71"/>
  <c r="M77" i="71"/>
  <c r="M90" i="71"/>
  <c r="M150" i="71"/>
  <c r="M155" i="71"/>
  <c r="M159" i="71"/>
  <c r="M204" i="71"/>
  <c r="M79" i="71"/>
  <c r="M119" i="71"/>
  <c r="M58" i="71"/>
  <c r="M116" i="71"/>
  <c r="M138" i="71"/>
  <c r="M143" i="71"/>
  <c r="M179" i="71"/>
  <c r="M183" i="71"/>
  <c r="M187" i="71"/>
  <c r="M191" i="71"/>
  <c r="M195" i="71"/>
  <c r="M114" i="71"/>
  <c r="M28" i="71"/>
  <c r="M32" i="71"/>
  <c r="M36" i="71"/>
  <c r="M40" i="71"/>
  <c r="M44" i="71"/>
  <c r="M48" i="71"/>
  <c r="M52" i="71"/>
  <c r="M56" i="71"/>
  <c r="M67" i="71"/>
  <c r="M71" i="71"/>
  <c r="M75" i="71"/>
  <c r="M88" i="71"/>
  <c r="M92" i="71"/>
  <c r="M152" i="71"/>
  <c r="M157" i="71"/>
  <c r="M202" i="71"/>
  <c r="M96" i="71"/>
  <c r="M164" i="71"/>
  <c r="M60" i="71"/>
  <c r="M118" i="71"/>
  <c r="M141" i="71"/>
  <c r="M146" i="71"/>
  <c r="M181" i="71"/>
  <c r="M185" i="71"/>
  <c r="M189" i="71"/>
  <c r="M193" i="71"/>
  <c r="M59" i="71"/>
  <c r="M53" i="71"/>
  <c r="M49" i="71"/>
  <c r="M45" i="71"/>
  <c r="M41" i="71"/>
  <c r="M37" i="71"/>
  <c r="M33" i="71"/>
  <c r="M29" i="71"/>
  <c r="M66" i="71"/>
  <c r="M70" i="71"/>
  <c r="M74" i="71"/>
  <c r="M78" i="71"/>
  <c r="M89" i="71"/>
  <c r="M115" i="71"/>
  <c r="M158" i="71"/>
  <c r="M153" i="71"/>
  <c r="M149" i="71"/>
  <c r="M145" i="71"/>
  <c r="M140" i="71"/>
  <c r="M194" i="71"/>
  <c r="M190" i="71"/>
  <c r="M186" i="71"/>
  <c r="M182" i="71"/>
  <c r="M178" i="71"/>
  <c r="M201" i="71"/>
  <c r="M205" i="71"/>
  <c r="M55" i="71"/>
  <c r="M51" i="71"/>
  <c r="M47" i="71"/>
  <c r="M43" i="71"/>
  <c r="M39" i="71"/>
  <c r="M35" i="71"/>
  <c r="M31" i="71"/>
  <c r="M27" i="71"/>
  <c r="M64" i="71"/>
  <c r="M68" i="71"/>
  <c r="M72" i="71"/>
  <c r="M76" i="71"/>
  <c r="M91" i="71"/>
  <c r="M87" i="71"/>
  <c r="M117" i="71"/>
  <c r="M160" i="71"/>
  <c r="M156" i="71"/>
  <c r="M151" i="71"/>
  <c r="M147" i="71"/>
  <c r="M142" i="71"/>
  <c r="M123" i="71"/>
  <c r="M196" i="71"/>
  <c r="M192" i="71"/>
  <c r="M188" i="71"/>
  <c r="M184" i="71"/>
  <c r="M180" i="71"/>
  <c r="M203" i="71"/>
  <c r="G235" i="120"/>
  <c r="G237" i="120" s="1"/>
  <c r="E236" i="67"/>
  <c r="E237" i="67"/>
  <c r="G235" i="89"/>
  <c r="G235" i="102"/>
  <c r="G237" i="102" s="1"/>
  <c r="M119" i="19"/>
  <c r="G122" i="97"/>
  <c r="K11" i="103"/>
  <c r="O30" i="97"/>
  <c r="C211" i="97"/>
  <c r="O169" i="97"/>
  <c r="O171" i="97"/>
  <c r="H20" i="133"/>
  <c r="H12" i="133"/>
  <c r="H13" i="133"/>
  <c r="H18" i="133"/>
  <c r="H19" i="133"/>
  <c r="H11" i="133"/>
  <c r="K11" i="133"/>
  <c r="H16" i="133"/>
  <c r="H17" i="133"/>
  <c r="H21" i="133"/>
  <c r="H14" i="133"/>
  <c r="H15" i="133"/>
  <c r="G235" i="19"/>
  <c r="K14" i="71"/>
  <c r="G235" i="71"/>
  <c r="N48" i="59"/>
  <c r="N48" i="102"/>
  <c r="N48" i="24"/>
  <c r="N48" i="79"/>
  <c r="N48" i="100"/>
  <c r="N48" i="92"/>
  <c r="N48" i="118"/>
  <c r="N48" i="58"/>
  <c r="N48" i="47"/>
  <c r="N48" i="71"/>
  <c r="N48" i="141"/>
  <c r="N48" i="119"/>
  <c r="N48" i="111"/>
  <c r="N48" i="142"/>
  <c r="N48" i="103"/>
  <c r="N48" i="19"/>
  <c r="N48" i="60"/>
  <c r="N48" i="72"/>
  <c r="N48" i="68"/>
  <c r="N48" i="21"/>
  <c r="N48" i="57"/>
  <c r="N48" i="98"/>
  <c r="N48" i="106"/>
  <c r="N48" i="42"/>
  <c r="N48" i="39"/>
  <c r="N48" i="120"/>
  <c r="N48" i="33"/>
  <c r="N48" i="64"/>
  <c r="N48" i="25"/>
  <c r="N48" i="55"/>
  <c r="N48" i="69"/>
  <c r="N48" i="91"/>
  <c r="N48" i="1"/>
  <c r="N48" i="10"/>
  <c r="N48" i="133"/>
  <c r="N48" i="85"/>
  <c r="N48" i="67"/>
  <c r="N48" i="62"/>
  <c r="N48" i="49"/>
  <c r="N48" i="46"/>
  <c r="N48" i="104"/>
  <c r="N48" i="84"/>
  <c r="N48" i="135"/>
  <c r="N48" i="32"/>
  <c r="N48" i="28"/>
  <c r="N48" i="65"/>
  <c r="N48" i="20"/>
  <c r="N48" i="14"/>
  <c r="N48" i="89"/>
  <c r="N48" i="90"/>
  <c r="N48" i="50"/>
  <c r="N48" i="54"/>
  <c r="N48" i="66"/>
  <c r="N48" i="136"/>
  <c r="N48" i="83"/>
  <c r="N48" i="15"/>
  <c r="N48" i="38"/>
  <c r="N48" i="27"/>
  <c r="N48" i="16"/>
  <c r="N48" i="86"/>
  <c r="N48" i="95"/>
  <c r="N48" i="94"/>
  <c r="N48" i="63"/>
  <c r="N48" i="53"/>
  <c r="N48" i="45"/>
  <c r="N48" i="43"/>
  <c r="N48" i="37"/>
  <c r="N48" i="31"/>
  <c r="N48" i="87"/>
  <c r="N48" i="113"/>
  <c r="H21" i="66"/>
  <c r="H14" i="66"/>
  <c r="H15" i="66"/>
  <c r="H16" i="66"/>
  <c r="H17" i="66"/>
  <c r="K11" i="66"/>
  <c r="H18" i="66"/>
  <c r="H19" i="66"/>
  <c r="H11" i="66"/>
  <c r="H20" i="66"/>
  <c r="H12" i="66"/>
  <c r="H13" i="66"/>
  <c r="E236" i="66"/>
  <c r="G228" i="66"/>
  <c r="M93" i="66" s="1"/>
  <c r="G64" i="97"/>
  <c r="G114" i="97"/>
  <c r="G209" i="97"/>
  <c r="M18" i="10"/>
  <c r="E236" i="45"/>
  <c r="M13" i="45"/>
  <c r="M15" i="45"/>
  <c r="M17" i="45"/>
  <c r="M19" i="45"/>
  <c r="G228" i="21"/>
  <c r="M102" i="21" s="1"/>
  <c r="M13" i="21"/>
  <c r="M16" i="21"/>
  <c r="M18" i="21"/>
  <c r="G228" i="120"/>
  <c r="M79" i="120" s="1"/>
  <c r="E236" i="120"/>
  <c r="K14" i="135"/>
  <c r="G235" i="135"/>
  <c r="G237" i="135" s="1"/>
  <c r="G228" i="46"/>
  <c r="M79" i="46" s="1"/>
  <c r="M11" i="46"/>
  <c r="E236" i="43"/>
  <c r="G228" i="43"/>
  <c r="M161" i="43" s="1"/>
  <c r="K11" i="39"/>
  <c r="H20" i="39"/>
  <c r="H16" i="39"/>
  <c r="H12" i="39"/>
  <c r="H17" i="39"/>
  <c r="H13" i="39"/>
  <c r="H21" i="39"/>
  <c r="H18" i="39"/>
  <c r="H14" i="39"/>
  <c r="H19" i="39"/>
  <c r="H15" i="39"/>
  <c r="H11" i="39"/>
  <c r="E236" i="79"/>
  <c r="G228" i="16"/>
  <c r="M197" i="16" s="1"/>
  <c r="M11" i="16"/>
  <c r="K14" i="45"/>
  <c r="G235" i="45"/>
  <c r="G237" i="45" s="1"/>
  <c r="E236" i="59"/>
  <c r="O117" i="97"/>
  <c r="G228" i="135"/>
  <c r="H20" i="27"/>
  <c r="H16" i="27"/>
  <c r="H12" i="27"/>
  <c r="H17" i="27"/>
  <c r="H13" i="27"/>
  <c r="K11" i="27"/>
  <c r="H21" i="27"/>
  <c r="H18" i="27"/>
  <c r="H14" i="27"/>
  <c r="H19" i="27"/>
  <c r="H15" i="27"/>
  <c r="H11" i="27"/>
  <c r="G228" i="27"/>
  <c r="M119" i="27" s="1"/>
  <c r="E236" i="136"/>
  <c r="M12" i="46"/>
  <c r="M19" i="46"/>
  <c r="E236" i="39"/>
  <c r="E236" i="119"/>
  <c r="G228" i="91"/>
  <c r="M11" i="91"/>
  <c r="E236" i="91"/>
  <c r="M13" i="91"/>
  <c r="M15" i="91"/>
  <c r="M17" i="91"/>
  <c r="M19" i="91"/>
  <c r="H20" i="20"/>
  <c r="H12" i="20"/>
  <c r="H13" i="20"/>
  <c r="K11" i="20"/>
  <c r="H16" i="20"/>
  <c r="H17" i="20"/>
  <c r="H15" i="20"/>
  <c r="H14" i="20"/>
  <c r="H21" i="20"/>
  <c r="H11" i="20"/>
  <c r="H19" i="20"/>
  <c r="H18" i="20"/>
  <c r="K14" i="20"/>
  <c r="G235" i="20"/>
  <c r="G237" i="20" s="1"/>
  <c r="M14" i="42"/>
  <c r="M18" i="42"/>
  <c r="H12" i="84"/>
  <c r="K11" i="84"/>
  <c r="H20" i="84"/>
  <c r="H13" i="84"/>
  <c r="H16" i="84"/>
  <c r="H11" i="84"/>
  <c r="H19" i="84"/>
  <c r="H18" i="84"/>
  <c r="H17" i="84"/>
  <c r="H15" i="84"/>
  <c r="H14" i="84"/>
  <c r="H21" i="84"/>
  <c r="G228" i="84"/>
  <c r="E236" i="84"/>
  <c r="K14" i="55"/>
  <c r="G235" i="55"/>
  <c r="G237" i="55" s="1"/>
  <c r="E237" i="14"/>
  <c r="M13" i="14"/>
  <c r="M21" i="57"/>
  <c r="H15" i="57"/>
  <c r="K11" i="57"/>
  <c r="H12" i="57"/>
  <c r="H13" i="57"/>
  <c r="H21" i="57"/>
  <c r="H16" i="57"/>
  <c r="H11" i="57"/>
  <c r="H14" i="57"/>
  <c r="H20" i="57"/>
  <c r="H18" i="57"/>
  <c r="H19" i="57"/>
  <c r="H17" i="57"/>
  <c r="E236" i="20"/>
  <c r="K11" i="87"/>
  <c r="H16" i="87"/>
  <c r="H17" i="87"/>
  <c r="H21" i="87"/>
  <c r="H14" i="87"/>
  <c r="H15" i="87"/>
  <c r="H20" i="87"/>
  <c r="H12" i="87"/>
  <c r="H13" i="87"/>
  <c r="H18" i="87"/>
  <c r="H19" i="87"/>
  <c r="H11" i="87"/>
  <c r="E236" i="42"/>
  <c r="G228" i="42"/>
  <c r="M197" i="42" s="1"/>
  <c r="M11" i="42"/>
  <c r="M13" i="42"/>
  <c r="M15" i="42"/>
  <c r="M17" i="42"/>
  <c r="M19" i="42"/>
  <c r="G228" i="100"/>
  <c r="M79" i="100" s="1"/>
  <c r="M12" i="100"/>
  <c r="M14" i="100"/>
  <c r="M16" i="100"/>
  <c r="M18" i="100"/>
  <c r="O28" i="97"/>
  <c r="K11" i="54"/>
  <c r="H18" i="54"/>
  <c r="H19" i="54"/>
  <c r="H11" i="54"/>
  <c r="H12" i="54"/>
  <c r="H16" i="54"/>
  <c r="H21" i="54"/>
  <c r="H15" i="54"/>
  <c r="H13" i="54"/>
  <c r="H14" i="54"/>
  <c r="H20" i="54"/>
  <c r="H17" i="54"/>
  <c r="G228" i="54"/>
  <c r="M79" i="54" s="1"/>
  <c r="K11" i="94"/>
  <c r="H21" i="94"/>
  <c r="H18" i="94"/>
  <c r="H14" i="94"/>
  <c r="H19" i="94"/>
  <c r="H15" i="94"/>
  <c r="H11" i="94"/>
  <c r="H20" i="94"/>
  <c r="H16" i="94"/>
  <c r="H12" i="94"/>
  <c r="H17" i="94"/>
  <c r="H13" i="94"/>
  <c r="O126" i="97"/>
  <c r="G228" i="94"/>
  <c r="O140" i="97"/>
  <c r="O151" i="97"/>
  <c r="K14" i="118"/>
  <c r="H12" i="86"/>
  <c r="H20" i="86"/>
  <c r="H13" i="86"/>
  <c r="H15" i="86"/>
  <c r="H14" i="86"/>
  <c r="H21" i="86"/>
  <c r="H11" i="86"/>
  <c r="H19" i="86"/>
  <c r="H18" i="86"/>
  <c r="H16" i="86"/>
  <c r="H17" i="86"/>
  <c r="K11" i="86"/>
  <c r="G228" i="141"/>
  <c r="M11" i="141"/>
  <c r="E236" i="142"/>
  <c r="M12" i="142"/>
  <c r="G228" i="142"/>
  <c r="M61" i="142" s="1"/>
  <c r="M14" i="142"/>
  <c r="M16" i="142"/>
  <c r="M18" i="142"/>
  <c r="K11" i="25"/>
  <c r="H16" i="25"/>
  <c r="H17" i="25"/>
  <c r="H21" i="25"/>
  <c r="H14" i="25"/>
  <c r="H15" i="25"/>
  <c r="H20" i="25"/>
  <c r="H12" i="25"/>
  <c r="H13" i="25"/>
  <c r="H18" i="25"/>
  <c r="H19" i="25"/>
  <c r="H11" i="25"/>
  <c r="G228" i="25"/>
  <c r="M119" i="25" s="1"/>
  <c r="M11" i="25"/>
  <c r="M13" i="25"/>
  <c r="M15" i="25"/>
  <c r="M17" i="25"/>
  <c r="M19" i="25"/>
  <c r="M12" i="1"/>
  <c r="M14" i="1"/>
  <c r="M16" i="1"/>
  <c r="M18" i="1"/>
  <c r="K14" i="1"/>
  <c r="G235" i="1"/>
  <c r="G237" i="1" s="1"/>
  <c r="M21" i="68"/>
  <c r="K11" i="68"/>
  <c r="K15" i="68"/>
  <c r="M21" i="83"/>
  <c r="K11" i="83"/>
  <c r="K15" i="136"/>
  <c r="K15" i="65"/>
  <c r="G237" i="65"/>
  <c r="G236" i="65"/>
  <c r="E236" i="85"/>
  <c r="G228" i="85"/>
  <c r="M102" i="85" s="1"/>
  <c r="G96" i="97"/>
  <c r="O128" i="97"/>
  <c r="O138" i="97"/>
  <c r="M13" i="10"/>
  <c r="M17" i="10"/>
  <c r="G228" i="69"/>
  <c r="M79" i="69" s="1"/>
  <c r="E236" i="49"/>
  <c r="G228" i="49"/>
  <c r="M61" i="49" s="1"/>
  <c r="K11" i="60"/>
  <c r="H20" i="60"/>
  <c r="H12" i="60"/>
  <c r="H13" i="60"/>
  <c r="H16" i="60"/>
  <c r="H17" i="60"/>
  <c r="H15" i="60"/>
  <c r="H14" i="60"/>
  <c r="H21" i="60"/>
  <c r="H11" i="60"/>
  <c r="H19" i="60"/>
  <c r="H18" i="60"/>
  <c r="E236" i="60"/>
  <c r="O139" i="97"/>
  <c r="O150" i="97"/>
  <c r="K11" i="118"/>
  <c r="M111" i="118"/>
  <c r="G228" i="24"/>
  <c r="M93" i="24" s="1"/>
  <c r="M12" i="24"/>
  <c r="M14" i="24"/>
  <c r="M16" i="24"/>
  <c r="M18" i="24"/>
  <c r="K14" i="141"/>
  <c r="G235" i="141"/>
  <c r="G237" i="141" s="1"/>
  <c r="G235" i="142"/>
  <c r="G237" i="142" s="1"/>
  <c r="H20" i="28"/>
  <c r="H12" i="28"/>
  <c r="H13" i="28"/>
  <c r="H18" i="28"/>
  <c r="H19" i="28"/>
  <c r="H11" i="28"/>
  <c r="K11" i="28"/>
  <c r="H16" i="28"/>
  <c r="H17" i="28"/>
  <c r="H21" i="28"/>
  <c r="H14" i="28"/>
  <c r="H15" i="28"/>
  <c r="E236" i="28"/>
  <c r="K14" i="25"/>
  <c r="G235" i="25"/>
  <c r="E236" i="1"/>
  <c r="M13" i="1"/>
  <c r="M15" i="1"/>
  <c r="M17" i="1"/>
  <c r="M19" i="1"/>
  <c r="K13" i="68"/>
  <c r="M47" i="68"/>
  <c r="M164" i="68"/>
  <c r="M111" i="68"/>
  <c r="M105" i="68"/>
  <c r="M200" i="68"/>
  <c r="M115" i="68"/>
  <c r="M64" i="68"/>
  <c r="M102" i="68"/>
  <c r="M25" i="68"/>
  <c r="M58" i="68"/>
  <c r="M54" i="68"/>
  <c r="M48" i="68"/>
  <c r="M65" i="68"/>
  <c r="M98" i="68"/>
  <c r="M108" i="68"/>
  <c r="M117" i="68"/>
  <c r="M195" i="68"/>
  <c r="M191" i="68"/>
  <c r="M187" i="68"/>
  <c r="M183" i="68"/>
  <c r="M179" i="68"/>
  <c r="M175" i="68"/>
  <c r="M171" i="68"/>
  <c r="M167" i="68"/>
  <c r="M201" i="68"/>
  <c r="M205" i="68"/>
  <c r="M60" i="68"/>
  <c r="M56" i="68"/>
  <c r="M50" i="68"/>
  <c r="M67" i="68"/>
  <c r="M82" i="68"/>
  <c r="M100" i="68"/>
  <c r="M96" i="68"/>
  <c r="M110" i="68"/>
  <c r="M106" i="68"/>
  <c r="M124" i="68"/>
  <c r="M193" i="68"/>
  <c r="M189" i="68"/>
  <c r="M185" i="68"/>
  <c r="M181" i="68"/>
  <c r="M177" i="68"/>
  <c r="M173" i="68"/>
  <c r="M169" i="68"/>
  <c r="M165" i="68"/>
  <c r="M203" i="68"/>
  <c r="M57" i="68"/>
  <c r="M53" i="68"/>
  <c r="M49" i="68"/>
  <c r="M83" i="68"/>
  <c r="M101" i="68"/>
  <c r="M97" i="68"/>
  <c r="M109" i="68"/>
  <c r="M188" i="68"/>
  <c r="M184" i="68"/>
  <c r="M176" i="68"/>
  <c r="M168" i="68"/>
  <c r="M202" i="68"/>
  <c r="M59" i="68"/>
  <c r="M55" i="68"/>
  <c r="M51" i="68"/>
  <c r="M36" i="68"/>
  <c r="M66" i="68"/>
  <c r="M99" i="68"/>
  <c r="M107" i="68"/>
  <c r="M116" i="68"/>
  <c r="M194" i="68"/>
  <c r="M190" i="68"/>
  <c r="M186" i="68"/>
  <c r="M182" i="68"/>
  <c r="M178" i="68"/>
  <c r="M174" i="68"/>
  <c r="M170" i="68"/>
  <c r="M166" i="68"/>
  <c r="M204" i="68"/>
  <c r="M118" i="68"/>
  <c r="M196" i="68"/>
  <c r="M192" i="68"/>
  <c r="M180" i="68"/>
  <c r="M172" i="68"/>
  <c r="G235" i="69"/>
  <c r="M21" i="19"/>
  <c r="H20" i="19"/>
  <c r="H12" i="19"/>
  <c r="H13" i="19"/>
  <c r="H18" i="19"/>
  <c r="H19" i="19"/>
  <c r="H11" i="19"/>
  <c r="K11" i="19"/>
  <c r="H16" i="19"/>
  <c r="H17" i="19"/>
  <c r="H21" i="19"/>
  <c r="H14" i="19"/>
  <c r="H15" i="19"/>
  <c r="O127" i="97"/>
  <c r="G223" i="97"/>
  <c r="J15" i="97" s="1"/>
  <c r="N12" i="172" s="1"/>
  <c r="M93" i="103"/>
  <c r="G225" i="97"/>
  <c r="G229" i="97"/>
  <c r="G222" i="97"/>
  <c r="J14" i="97" s="1"/>
  <c r="N11" i="172" s="1"/>
  <c r="G228" i="10"/>
  <c r="M61" i="10" s="1"/>
  <c r="M11" i="10"/>
  <c r="G228" i="72"/>
  <c r="M161" i="72" s="1"/>
  <c r="M16" i="72"/>
  <c r="K14" i="72"/>
  <c r="G235" i="72"/>
  <c r="G228" i="63"/>
  <c r="M11" i="63"/>
  <c r="G228" i="31"/>
  <c r="M93" i="31" s="1"/>
  <c r="M11" i="31"/>
  <c r="M13" i="31"/>
  <c r="M15" i="31"/>
  <c r="M17" i="31"/>
  <c r="M19" i="31"/>
  <c r="K11" i="64"/>
  <c r="H21" i="64"/>
  <c r="H18" i="64"/>
  <c r="H14" i="64"/>
  <c r="H19" i="64"/>
  <c r="H15" i="64"/>
  <c r="H11" i="64"/>
  <c r="M21" i="64"/>
  <c r="H20" i="64"/>
  <c r="H16" i="64"/>
  <c r="H12" i="64"/>
  <c r="H17" i="64"/>
  <c r="H13" i="64"/>
  <c r="M12" i="32"/>
  <c r="M14" i="32"/>
  <c r="M16" i="32"/>
  <c r="M18" i="32"/>
  <c r="K11" i="79"/>
  <c r="H20" i="79"/>
  <c r="H16" i="79"/>
  <c r="H12" i="79"/>
  <c r="H17" i="79"/>
  <c r="H13" i="79"/>
  <c r="H21" i="79"/>
  <c r="H18" i="79"/>
  <c r="H14" i="79"/>
  <c r="H19" i="79"/>
  <c r="H15" i="79"/>
  <c r="H11" i="79"/>
  <c r="E236" i="111"/>
  <c r="K15" i="57"/>
  <c r="E236" i="113"/>
  <c r="E236" i="90"/>
  <c r="E237" i="90"/>
  <c r="M12" i="87"/>
  <c r="M18" i="87"/>
  <c r="K14" i="87"/>
  <c r="G235" i="87"/>
  <c r="G237" i="87" s="1"/>
  <c r="G228" i="104"/>
  <c r="M93" i="104" s="1"/>
  <c r="H16" i="69"/>
  <c r="K11" i="69"/>
  <c r="H17" i="69"/>
  <c r="H12" i="69"/>
  <c r="H15" i="69"/>
  <c r="H14" i="69"/>
  <c r="H21" i="69"/>
  <c r="H13" i="69"/>
  <c r="H20" i="69"/>
  <c r="H11" i="69"/>
  <c r="H19" i="69"/>
  <c r="H18" i="69"/>
  <c r="G228" i="37"/>
  <c r="M93" i="37" s="1"/>
  <c r="M17" i="72"/>
  <c r="M19" i="72"/>
  <c r="M12" i="63"/>
  <c r="M18" i="63"/>
  <c r="K11" i="136"/>
  <c r="H20" i="136"/>
  <c r="H16" i="136"/>
  <c r="H12" i="136"/>
  <c r="H17" i="136"/>
  <c r="H13" i="136"/>
  <c r="H21" i="136"/>
  <c r="H18" i="136"/>
  <c r="H14" i="136"/>
  <c r="H19" i="136"/>
  <c r="H15" i="136"/>
  <c r="H11" i="136"/>
  <c r="G228" i="47"/>
  <c r="M79" i="47" s="1"/>
  <c r="E236" i="32"/>
  <c r="M15" i="32"/>
  <c r="M17" i="32"/>
  <c r="M19" i="32"/>
  <c r="G228" i="92"/>
  <c r="M197" i="92" s="1"/>
  <c r="M11" i="92"/>
  <c r="M13" i="92"/>
  <c r="M15" i="92"/>
  <c r="K11" i="90"/>
  <c r="H20" i="90"/>
  <c r="H16" i="90"/>
  <c r="H12" i="90"/>
  <c r="H17" i="90"/>
  <c r="H13" i="90"/>
  <c r="H21" i="90"/>
  <c r="H18" i="90"/>
  <c r="H14" i="90"/>
  <c r="H19" i="90"/>
  <c r="H15" i="90"/>
  <c r="H11" i="90"/>
  <c r="M14" i="90"/>
  <c r="M19" i="90"/>
  <c r="G237" i="106"/>
  <c r="G228" i="106"/>
  <c r="M93" i="106" s="1"/>
  <c r="M12" i="106"/>
  <c r="G208" i="71"/>
  <c r="G215" i="71" s="1"/>
  <c r="M25" i="71"/>
  <c r="M83" i="71"/>
  <c r="M85" i="71"/>
  <c r="M98" i="71"/>
  <c r="M100" i="71"/>
  <c r="M105" i="71"/>
  <c r="M107" i="71"/>
  <c r="M109" i="71"/>
  <c r="M57" i="71"/>
  <c r="M93" i="71"/>
  <c r="M84" i="71"/>
  <c r="M86" i="71"/>
  <c r="M97" i="71"/>
  <c r="M99" i="71"/>
  <c r="M101" i="71"/>
  <c r="M197" i="71"/>
  <c r="M165" i="71"/>
  <c r="M167" i="71"/>
  <c r="M169" i="71"/>
  <c r="M171" i="71"/>
  <c r="M173" i="71"/>
  <c r="M175" i="71"/>
  <c r="M177" i="71"/>
  <c r="E237" i="79"/>
  <c r="M11" i="120"/>
  <c r="M13" i="120"/>
  <c r="M15" i="120"/>
  <c r="M17" i="120"/>
  <c r="G208" i="120"/>
  <c r="G215" i="120" s="1"/>
  <c r="G208" i="136"/>
  <c r="M11" i="43"/>
  <c r="M12" i="39"/>
  <c r="G208" i="14"/>
  <c r="M12" i="20"/>
  <c r="M14" i="20"/>
  <c r="M16" i="20"/>
  <c r="M18" i="20"/>
  <c r="E237" i="20"/>
  <c r="G208" i="84"/>
  <c r="E237" i="54"/>
  <c r="E237" i="94"/>
  <c r="G208" i="95"/>
  <c r="G215" i="95" s="1"/>
  <c r="E237" i="102"/>
  <c r="E164" i="97"/>
  <c r="M13" i="58"/>
  <c r="M15" i="58"/>
  <c r="M17" i="58"/>
  <c r="M14" i="49"/>
  <c r="M16" i="49"/>
  <c r="M18" i="49"/>
  <c r="G208" i="38"/>
  <c r="E237" i="60"/>
  <c r="M12" i="94"/>
  <c r="M14" i="94"/>
  <c r="M16" i="94"/>
  <c r="M18" i="94"/>
  <c r="G208" i="94"/>
  <c r="E237" i="1"/>
  <c r="G208" i="72"/>
  <c r="E237" i="63"/>
  <c r="M11" i="135"/>
  <c r="M13" i="135"/>
  <c r="M15" i="135"/>
  <c r="M19" i="135"/>
  <c r="G208" i="64"/>
  <c r="M13" i="119"/>
  <c r="M15" i="119"/>
  <c r="G208" i="89"/>
  <c r="M14" i="69"/>
  <c r="M16" i="69"/>
  <c r="E237" i="133"/>
  <c r="M12" i="37"/>
  <c r="E237" i="32"/>
  <c r="M12" i="79"/>
  <c r="M14" i="79"/>
  <c r="M16" i="79"/>
  <c r="M18" i="79"/>
  <c r="E237" i="87"/>
  <c r="G235" i="98"/>
  <c r="E237" i="95"/>
  <c r="E236" i="95"/>
  <c r="G235" i="66"/>
  <c r="G235" i="79"/>
  <c r="G237" i="79" s="1"/>
  <c r="E236" i="89"/>
  <c r="E237" i="89"/>
  <c r="G235" i="91"/>
  <c r="G237" i="91" s="1"/>
  <c r="M21" i="71"/>
  <c r="K11" i="71"/>
  <c r="H18" i="71"/>
  <c r="H19" i="71"/>
  <c r="H11" i="71"/>
  <c r="H16" i="71"/>
  <c r="H17" i="71"/>
  <c r="H21" i="71"/>
  <c r="H14" i="71"/>
  <c r="H15" i="71"/>
  <c r="H20" i="71"/>
  <c r="H12" i="71"/>
  <c r="H13" i="71"/>
  <c r="O54" i="97"/>
  <c r="M102" i="19"/>
  <c r="G105" i="97"/>
  <c r="G235" i="97"/>
  <c r="E238" i="97"/>
  <c r="E240" i="97" s="1"/>
  <c r="N45" i="85"/>
  <c r="N45" i="49"/>
  <c r="N45" i="135"/>
  <c r="N45" i="65"/>
  <c r="N45" i="90"/>
  <c r="N45" i="83"/>
  <c r="N45" i="38"/>
  <c r="N45" i="47"/>
  <c r="N45" i="37"/>
  <c r="N45" i="60"/>
  <c r="N45" i="57"/>
  <c r="N45" i="42"/>
  <c r="N45" i="64"/>
  <c r="N45" i="10"/>
  <c r="N45" i="62"/>
  <c r="N45" i="104"/>
  <c r="N45" i="32"/>
  <c r="N45" i="14"/>
  <c r="N45" i="59"/>
  <c r="N45" i="15"/>
  <c r="N45" i="79"/>
  <c r="N45" i="118"/>
  <c r="N45" i="58"/>
  <c r="N45" i="43"/>
  <c r="N45" i="31"/>
  <c r="N45" i="87"/>
  <c r="N45" i="113"/>
  <c r="N45" i="19"/>
  <c r="N45" i="68"/>
  <c r="N45" i="120"/>
  <c r="N45" i="100"/>
  <c r="N45" i="92"/>
  <c r="N45" i="69"/>
  <c r="N45" i="1"/>
  <c r="N45" i="133"/>
  <c r="N45" i="67"/>
  <c r="N45" i="46"/>
  <c r="N45" i="84"/>
  <c r="N45" i="28"/>
  <c r="N45" i="20"/>
  <c r="N45" i="89"/>
  <c r="N45" i="50"/>
  <c r="N45" i="54"/>
  <c r="N45" i="66"/>
  <c r="N45" i="136"/>
  <c r="N45" i="102"/>
  <c r="N45" i="24"/>
  <c r="N45" i="27"/>
  <c r="N45" i="16"/>
  <c r="N45" i="94"/>
  <c r="N45" i="63"/>
  <c r="N45" i="53"/>
  <c r="N45" i="45"/>
  <c r="N45" i="71"/>
  <c r="N45" i="141"/>
  <c r="N45" i="119"/>
  <c r="N45" i="111"/>
  <c r="N45" i="142"/>
  <c r="N45" i="103"/>
  <c r="N45" i="72"/>
  <c r="N45" i="21"/>
  <c r="N45" i="98"/>
  <c r="N45" i="106"/>
  <c r="N45" i="39"/>
  <c r="N45" i="33"/>
  <c r="N45" i="25"/>
  <c r="N45" i="55"/>
  <c r="N45" i="86"/>
  <c r="N45" i="95"/>
  <c r="N45" i="91"/>
  <c r="D211" i="97"/>
  <c r="E237" i="19"/>
  <c r="E236" i="19"/>
  <c r="G235" i="32"/>
  <c r="G237" i="32" s="1"/>
  <c r="H21" i="102"/>
  <c r="H14" i="102"/>
  <c r="H15" i="102"/>
  <c r="H20" i="102"/>
  <c r="H12" i="102"/>
  <c r="H13" i="102"/>
  <c r="K11" i="102"/>
  <c r="H18" i="102"/>
  <c r="H19" i="102"/>
  <c r="H11" i="102"/>
  <c r="H16" i="102"/>
  <c r="H17" i="102"/>
  <c r="E237" i="71"/>
  <c r="E236" i="71"/>
  <c r="M79" i="19"/>
  <c r="G82" i="97"/>
  <c r="O29" i="97"/>
  <c r="O108" i="97"/>
  <c r="G200" i="97"/>
  <c r="O175" i="97"/>
  <c r="O203" i="97"/>
  <c r="E236" i="58"/>
  <c r="G228" i="58"/>
  <c r="G228" i="45"/>
  <c r="M206" i="45" s="1"/>
  <c r="M11" i="45"/>
  <c r="E236" i="21"/>
  <c r="K14" i="63"/>
  <c r="G235" i="63"/>
  <c r="H20" i="47"/>
  <c r="H16" i="47"/>
  <c r="H12" i="47"/>
  <c r="H17" i="47"/>
  <c r="H13" i="47"/>
  <c r="K11" i="47"/>
  <c r="H21" i="47"/>
  <c r="H18" i="47"/>
  <c r="H14" i="47"/>
  <c r="H19" i="47"/>
  <c r="H15" i="47"/>
  <c r="H11" i="47"/>
  <c r="E236" i="46"/>
  <c r="G228" i="33"/>
  <c r="M79" i="33" s="1"/>
  <c r="M11" i="33"/>
  <c r="E236" i="33"/>
  <c r="M13" i="33"/>
  <c r="M15" i="33"/>
  <c r="M17" i="33"/>
  <c r="G228" i="79"/>
  <c r="E236" i="16"/>
  <c r="M12" i="45"/>
  <c r="M14" i="45"/>
  <c r="M16" i="45"/>
  <c r="M18" i="45"/>
  <c r="G228" i="59"/>
  <c r="G237" i="59"/>
  <c r="M11" i="59"/>
  <c r="M13" i="59"/>
  <c r="M15" i="59"/>
  <c r="M17" i="59"/>
  <c r="K11" i="120"/>
  <c r="H20" i="120"/>
  <c r="H16" i="120"/>
  <c r="H12" i="120"/>
  <c r="H17" i="120"/>
  <c r="H13" i="120"/>
  <c r="H21" i="120"/>
  <c r="H18" i="120"/>
  <c r="H14" i="120"/>
  <c r="H19" i="120"/>
  <c r="H15" i="120"/>
  <c r="H11" i="120"/>
  <c r="E236" i="135"/>
  <c r="G228" i="136"/>
  <c r="M79" i="136" s="1"/>
  <c r="G237" i="136"/>
  <c r="M13" i="136"/>
  <c r="M15" i="136"/>
  <c r="M17" i="136"/>
  <c r="H21" i="43"/>
  <c r="H18" i="43"/>
  <c r="H14" i="43"/>
  <c r="H19" i="43"/>
  <c r="H15" i="43"/>
  <c r="H11" i="43"/>
  <c r="K11" i="43"/>
  <c r="H20" i="43"/>
  <c r="H16" i="43"/>
  <c r="H12" i="43"/>
  <c r="H17" i="43"/>
  <c r="H13" i="43"/>
  <c r="K14" i="43"/>
  <c r="G235" i="43"/>
  <c r="G228" i="39"/>
  <c r="M161" i="39" s="1"/>
  <c r="G228" i="119"/>
  <c r="M102" i="119" s="1"/>
  <c r="G228" i="55"/>
  <c r="M11" i="55"/>
  <c r="E236" i="55"/>
  <c r="M13" i="55"/>
  <c r="M15" i="55"/>
  <c r="M17" i="55"/>
  <c r="M19" i="55"/>
  <c r="M12" i="42"/>
  <c r="M16" i="42"/>
  <c r="K14" i="42"/>
  <c r="G235" i="42"/>
  <c r="M12" i="55"/>
  <c r="M14" i="55"/>
  <c r="M16" i="55"/>
  <c r="M18" i="55"/>
  <c r="G235" i="14"/>
  <c r="M19" i="14"/>
  <c r="M17" i="14"/>
  <c r="M15" i="14"/>
  <c r="E236" i="14"/>
  <c r="M12" i="91"/>
  <c r="M14" i="91"/>
  <c r="M16" i="91"/>
  <c r="M18" i="91"/>
  <c r="G228" i="20"/>
  <c r="M206" i="20" s="1"/>
  <c r="K14" i="84"/>
  <c r="G235" i="84"/>
  <c r="K11" i="49"/>
  <c r="H20" i="49"/>
  <c r="H16" i="49"/>
  <c r="H12" i="49"/>
  <c r="H17" i="49"/>
  <c r="H13" i="49"/>
  <c r="H21" i="49"/>
  <c r="H18" i="49"/>
  <c r="H14" i="49"/>
  <c r="H19" i="49"/>
  <c r="H15" i="49"/>
  <c r="H11" i="49"/>
  <c r="K14" i="60"/>
  <c r="G235" i="60"/>
  <c r="G237" i="60" s="1"/>
  <c r="E236" i="54"/>
  <c r="E236" i="94"/>
  <c r="O149" i="97"/>
  <c r="G228" i="86"/>
  <c r="M79" i="86" s="1"/>
  <c r="E236" i="86"/>
  <c r="K11" i="62"/>
  <c r="H20" i="62"/>
  <c r="H16" i="62"/>
  <c r="H12" i="62"/>
  <c r="H17" i="62"/>
  <c r="H13" i="62"/>
  <c r="M21" i="62"/>
  <c r="H21" i="62"/>
  <c r="H14" i="62"/>
  <c r="H15" i="62"/>
  <c r="H18" i="62"/>
  <c r="H19" i="62"/>
  <c r="H11" i="62"/>
  <c r="E236" i="141"/>
  <c r="M13" i="141"/>
  <c r="M15" i="141"/>
  <c r="M17" i="141"/>
  <c r="M19" i="141"/>
  <c r="E236" i="25"/>
  <c r="M21" i="95"/>
  <c r="K11" i="95"/>
  <c r="H21" i="95"/>
  <c r="H18" i="95"/>
  <c r="H14" i="95"/>
  <c r="H19" i="95"/>
  <c r="H15" i="95"/>
  <c r="H11" i="95"/>
  <c r="H16" i="95"/>
  <c r="H17" i="95"/>
  <c r="H20" i="95"/>
  <c r="H12" i="95"/>
  <c r="H13" i="95"/>
  <c r="E236" i="102"/>
  <c r="G228" i="102"/>
  <c r="M61" i="102" s="1"/>
  <c r="M11" i="102"/>
  <c r="H21" i="85"/>
  <c r="H14" i="85"/>
  <c r="H15" i="85"/>
  <c r="H20" i="85"/>
  <c r="H12" i="85"/>
  <c r="H13" i="85"/>
  <c r="K11" i="85"/>
  <c r="H18" i="85"/>
  <c r="H19" i="85"/>
  <c r="H11" i="85"/>
  <c r="H16" i="85"/>
  <c r="H17" i="85"/>
  <c r="E211" i="97"/>
  <c r="O130" i="97"/>
  <c r="H204" i="10"/>
  <c r="H193" i="10"/>
  <c r="H185" i="10"/>
  <c r="H177" i="10"/>
  <c r="H169" i="10"/>
  <c r="H160" i="10"/>
  <c r="H151" i="10"/>
  <c r="H142" i="10"/>
  <c r="H132" i="10"/>
  <c r="H123" i="10"/>
  <c r="H110" i="10"/>
  <c r="H101" i="10"/>
  <c r="H92" i="10"/>
  <c r="H84" i="10"/>
  <c r="H73" i="10"/>
  <c r="H65" i="10"/>
  <c r="H56" i="10"/>
  <c r="H48" i="10"/>
  <c r="H40" i="10"/>
  <c r="H32" i="10"/>
  <c r="H208" i="10"/>
  <c r="H201" i="10"/>
  <c r="H192" i="10"/>
  <c r="H184" i="10"/>
  <c r="H176" i="10"/>
  <c r="H168" i="10"/>
  <c r="H157" i="10"/>
  <c r="H148" i="10"/>
  <c r="H138" i="10"/>
  <c r="H129" i="10"/>
  <c r="H118" i="10"/>
  <c r="H107" i="10"/>
  <c r="H96" i="10"/>
  <c r="H85" i="10"/>
  <c r="H76" i="10"/>
  <c r="H68" i="10"/>
  <c r="H57" i="10"/>
  <c r="H49" i="10"/>
  <c r="H41" i="10"/>
  <c r="H33" i="10"/>
  <c r="H25" i="10"/>
  <c r="H195" i="10"/>
  <c r="H187" i="10"/>
  <c r="H179" i="10"/>
  <c r="H171" i="10"/>
  <c r="H161" i="10"/>
  <c r="H153" i="10"/>
  <c r="H145" i="10"/>
  <c r="H135" i="10"/>
  <c r="H125" i="10"/>
  <c r="H111" i="10"/>
  <c r="H102" i="10"/>
  <c r="H93" i="10"/>
  <c r="H86" i="10"/>
  <c r="H75" i="10"/>
  <c r="H67" i="10"/>
  <c r="H58" i="10"/>
  <c r="H50" i="10"/>
  <c r="H42" i="10"/>
  <c r="H34" i="10"/>
  <c r="H26" i="10"/>
  <c r="H203" i="10"/>
  <c r="H194" i="10"/>
  <c r="H186" i="10"/>
  <c r="H178" i="10"/>
  <c r="H170" i="10"/>
  <c r="H159" i="10"/>
  <c r="H150" i="10"/>
  <c r="H141" i="10"/>
  <c r="H131" i="10"/>
  <c r="H119" i="10"/>
  <c r="H109" i="10"/>
  <c r="H98" i="10"/>
  <c r="H87" i="10"/>
  <c r="H78" i="10"/>
  <c r="H70" i="10"/>
  <c r="H59" i="10"/>
  <c r="H51" i="10"/>
  <c r="H43" i="10"/>
  <c r="H35" i="10"/>
  <c r="H27" i="10"/>
  <c r="K12" i="10"/>
  <c r="H200" i="10"/>
  <c r="H189" i="10"/>
  <c r="H181" i="10"/>
  <c r="H173" i="10"/>
  <c r="H165" i="10"/>
  <c r="H156" i="10"/>
  <c r="H147" i="10"/>
  <c r="H137" i="10"/>
  <c r="H127" i="10"/>
  <c r="H115" i="10"/>
  <c r="H106" i="10"/>
  <c r="H97" i="10"/>
  <c r="H88" i="10"/>
  <c r="H77" i="10"/>
  <c r="H69" i="10"/>
  <c r="H60" i="10"/>
  <c r="H52" i="10"/>
  <c r="H44" i="10"/>
  <c r="H36" i="10"/>
  <c r="H28" i="10"/>
  <c r="H205" i="10"/>
  <c r="H196" i="10"/>
  <c r="H188" i="10"/>
  <c r="H180" i="10"/>
  <c r="H172" i="10"/>
  <c r="H164" i="10"/>
  <c r="H152" i="10"/>
  <c r="H143" i="10"/>
  <c r="H133" i="10"/>
  <c r="H124" i="10"/>
  <c r="H114" i="10"/>
  <c r="H100" i="10"/>
  <c r="H89" i="10"/>
  <c r="H79" i="10"/>
  <c r="H72" i="10"/>
  <c r="H64" i="10"/>
  <c r="H53" i="10"/>
  <c r="H45" i="10"/>
  <c r="H37" i="10"/>
  <c r="H29" i="10"/>
  <c r="H202" i="10"/>
  <c r="H191" i="10"/>
  <c r="H183" i="10"/>
  <c r="H175" i="10"/>
  <c r="H167" i="10"/>
  <c r="H158" i="10"/>
  <c r="H149" i="10"/>
  <c r="H140" i="10"/>
  <c r="H130" i="10"/>
  <c r="H117" i="10"/>
  <c r="H108" i="10"/>
  <c r="H99" i="10"/>
  <c r="H90" i="10"/>
  <c r="H82" i="10"/>
  <c r="H71" i="10"/>
  <c r="H61" i="10"/>
  <c r="H54" i="10"/>
  <c r="H46" i="10"/>
  <c r="H38" i="10"/>
  <c r="H30" i="10"/>
  <c r="H206" i="10"/>
  <c r="H197" i="10"/>
  <c r="H190" i="10"/>
  <c r="H182" i="10"/>
  <c r="H174" i="10"/>
  <c r="H166" i="10"/>
  <c r="H155" i="10"/>
  <c r="H146" i="10"/>
  <c r="H136" i="10"/>
  <c r="H126" i="10"/>
  <c r="H116" i="10"/>
  <c r="H105" i="10"/>
  <c r="H91" i="10"/>
  <c r="H83" i="10"/>
  <c r="H74" i="10"/>
  <c r="H66" i="10"/>
  <c r="H55" i="10"/>
  <c r="H47" i="10"/>
  <c r="H39" i="10"/>
  <c r="H31" i="10"/>
  <c r="H18" i="58"/>
  <c r="H19" i="58"/>
  <c r="H11" i="58"/>
  <c r="H20" i="58"/>
  <c r="H12" i="58"/>
  <c r="H13" i="58"/>
  <c r="H21" i="58"/>
  <c r="H14" i="58"/>
  <c r="H15" i="58"/>
  <c r="K11" i="58"/>
  <c r="H16" i="58"/>
  <c r="H17" i="58"/>
  <c r="E236" i="69"/>
  <c r="G228" i="60"/>
  <c r="M21" i="60" s="1"/>
  <c r="O85" i="97"/>
  <c r="O99" i="97"/>
  <c r="O141" i="97"/>
  <c r="O148" i="97"/>
  <c r="O152" i="97"/>
  <c r="K14" i="86"/>
  <c r="G235" i="86"/>
  <c r="G237" i="86" s="1"/>
  <c r="E236" i="24"/>
  <c r="G228" i="28"/>
  <c r="M161" i="28" s="1"/>
  <c r="M12" i="25"/>
  <c r="M16" i="25"/>
  <c r="M18" i="25"/>
  <c r="G228" i="1"/>
  <c r="M102" i="1" s="1"/>
  <c r="M11" i="1"/>
  <c r="G164" i="97"/>
  <c r="O129" i="97"/>
  <c r="E231" i="97"/>
  <c r="G227" i="97"/>
  <c r="E236" i="10"/>
  <c r="M15" i="10"/>
  <c r="K14" i="10"/>
  <c r="G235" i="10"/>
  <c r="G234" i="97"/>
  <c r="M17" i="97" s="1"/>
  <c r="K14" i="133"/>
  <c r="G235" i="133"/>
  <c r="K11" i="37"/>
  <c r="H20" i="37"/>
  <c r="H16" i="37"/>
  <c r="H12" i="37"/>
  <c r="H17" i="37"/>
  <c r="H13" i="37"/>
  <c r="H21" i="37"/>
  <c r="H18" i="37"/>
  <c r="H14" i="37"/>
  <c r="H19" i="37"/>
  <c r="H15" i="37"/>
  <c r="H11" i="37"/>
  <c r="E236" i="72"/>
  <c r="M18" i="72"/>
  <c r="E237" i="72"/>
  <c r="E236" i="63"/>
  <c r="K11" i="135"/>
  <c r="H20" i="135"/>
  <c r="H16" i="135"/>
  <c r="H12" i="135"/>
  <c r="H17" i="135"/>
  <c r="H13" i="135"/>
  <c r="H21" i="135"/>
  <c r="H18" i="135"/>
  <c r="H14" i="135"/>
  <c r="H19" i="135"/>
  <c r="H15" i="135"/>
  <c r="H11" i="135"/>
  <c r="E236" i="31"/>
  <c r="H21" i="67"/>
  <c r="H18" i="67"/>
  <c r="H14" i="67"/>
  <c r="H19" i="67"/>
  <c r="H15" i="67"/>
  <c r="H11" i="67"/>
  <c r="K11" i="67"/>
  <c r="H20" i="67"/>
  <c r="H16" i="67"/>
  <c r="H12" i="67"/>
  <c r="H17" i="67"/>
  <c r="H13" i="67"/>
  <c r="K11" i="119"/>
  <c r="H20" i="119"/>
  <c r="H16" i="119"/>
  <c r="H12" i="119"/>
  <c r="H17" i="119"/>
  <c r="H13" i="119"/>
  <c r="H21" i="119"/>
  <c r="H18" i="119"/>
  <c r="H14" i="119"/>
  <c r="H19" i="119"/>
  <c r="H15" i="119"/>
  <c r="H11" i="119"/>
  <c r="G228" i="111"/>
  <c r="M11" i="111"/>
  <c r="M13" i="111"/>
  <c r="M15" i="111"/>
  <c r="M17" i="111"/>
  <c r="M19" i="111"/>
  <c r="G228" i="113"/>
  <c r="M161" i="113" s="1"/>
  <c r="M19" i="113"/>
  <c r="G228" i="90"/>
  <c r="M61" i="90" s="1"/>
  <c r="M13" i="90"/>
  <c r="K14" i="90"/>
  <c r="G235" i="90"/>
  <c r="H21" i="104"/>
  <c r="H14" i="104"/>
  <c r="H15" i="104"/>
  <c r="K11" i="104"/>
  <c r="H18" i="104"/>
  <c r="H19" i="104"/>
  <c r="H11" i="104"/>
  <c r="H13" i="104"/>
  <c r="H12" i="104"/>
  <c r="H20" i="104"/>
  <c r="H17" i="104"/>
  <c r="H16" i="104"/>
  <c r="E236" i="104"/>
  <c r="E236" i="133"/>
  <c r="E236" i="37"/>
  <c r="E236" i="47"/>
  <c r="K14" i="33"/>
  <c r="G235" i="33"/>
  <c r="K11" i="32"/>
  <c r="H18" i="32"/>
  <c r="H19" i="32"/>
  <c r="H11" i="32"/>
  <c r="H16" i="32"/>
  <c r="H17" i="32"/>
  <c r="H21" i="32"/>
  <c r="H14" i="32"/>
  <c r="H15" i="32"/>
  <c r="H20" i="32"/>
  <c r="H12" i="32"/>
  <c r="H13" i="32"/>
  <c r="G228" i="32"/>
  <c r="M11" i="32"/>
  <c r="E236" i="92"/>
  <c r="G228" i="87"/>
  <c r="M21" i="87" s="1"/>
  <c r="M11" i="87"/>
  <c r="E236" i="87"/>
  <c r="M13" i="87"/>
  <c r="M17" i="87"/>
  <c r="M19" i="87"/>
  <c r="E236" i="106"/>
  <c r="M14" i="106"/>
  <c r="M16" i="106"/>
  <c r="M18" i="106"/>
  <c r="K13" i="83"/>
  <c r="M41" i="83"/>
  <c r="M111" i="83"/>
  <c r="M115" i="83"/>
  <c r="M83" i="83"/>
  <c r="M25" i="83"/>
  <c r="M45" i="83"/>
  <c r="M65" i="83"/>
  <c r="M96" i="83"/>
  <c r="M108" i="83"/>
  <c r="M116" i="83"/>
  <c r="M48" i="83"/>
  <c r="M43" i="83"/>
  <c r="M67" i="83"/>
  <c r="M110" i="83"/>
  <c r="M106" i="83"/>
  <c r="M118" i="83"/>
  <c r="M151" i="83"/>
  <c r="M164" i="83"/>
  <c r="M46" i="83"/>
  <c r="M42" i="83"/>
  <c r="M66" i="83"/>
  <c r="M109" i="83"/>
  <c r="M105" i="83"/>
  <c r="M44" i="83"/>
  <c r="M64" i="83"/>
  <c r="M82" i="83"/>
  <c r="M107" i="83"/>
  <c r="M117" i="83"/>
  <c r="M200" i="83"/>
  <c r="M102" i="71"/>
  <c r="M82" i="71"/>
  <c r="M106" i="71"/>
  <c r="M108" i="71"/>
  <c r="M110" i="71"/>
  <c r="M161" i="71"/>
  <c r="M124" i="71"/>
  <c r="M126" i="71"/>
  <c r="M129" i="71"/>
  <c r="M131" i="71"/>
  <c r="M133" i="71"/>
  <c r="M136" i="71"/>
  <c r="M148" i="71"/>
  <c r="E237" i="66"/>
  <c r="G208" i="133"/>
  <c r="E237" i="120"/>
  <c r="E237" i="135"/>
  <c r="G208" i="47"/>
  <c r="M19" i="43"/>
  <c r="G208" i="33"/>
  <c r="E237" i="91"/>
  <c r="G208" i="92"/>
  <c r="G208" i="87"/>
  <c r="E237" i="42"/>
  <c r="G208" i="100"/>
  <c r="G208" i="60"/>
  <c r="G208" i="86"/>
  <c r="E237" i="85"/>
  <c r="G224" i="97"/>
  <c r="G226" i="97"/>
  <c r="G228" i="97"/>
  <c r="G230" i="97"/>
  <c r="G208" i="28"/>
  <c r="G215" i="28" s="1"/>
  <c r="G208" i="43"/>
  <c r="G215" i="43" s="1"/>
  <c r="M12" i="58"/>
  <c r="M14" i="58"/>
  <c r="M16" i="58"/>
  <c r="M18" i="58"/>
  <c r="G208" i="58"/>
  <c r="G208" i="63"/>
  <c r="G208" i="67"/>
  <c r="M11" i="79"/>
  <c r="M13" i="79"/>
  <c r="M15" i="79"/>
  <c r="M17" i="79"/>
  <c r="M19" i="79"/>
  <c r="G208" i="90"/>
  <c r="M12" i="69"/>
  <c r="G208" i="59"/>
  <c r="M12" i="135"/>
  <c r="M14" i="135"/>
  <c r="M16" i="135"/>
  <c r="G208" i="135"/>
  <c r="M11" i="136"/>
  <c r="G208" i="79"/>
  <c r="G208" i="16"/>
  <c r="G208" i="55"/>
  <c r="M205" i="67" l="1"/>
  <c r="M43" i="67"/>
  <c r="M166" i="67"/>
  <c r="M171" i="67"/>
  <c r="G238" i="57"/>
  <c r="M56" i="67"/>
  <c r="M115" i="67"/>
  <c r="M192" i="67"/>
  <c r="M74" i="67"/>
  <c r="M169" i="67"/>
  <c r="M58" i="67"/>
  <c r="M150" i="67"/>
  <c r="M178" i="67"/>
  <c r="M149" i="67"/>
  <c r="M31" i="67"/>
  <c r="H226" i="67"/>
  <c r="M44" i="67"/>
  <c r="M165" i="67"/>
  <c r="M37" i="67"/>
  <c r="M114" i="67"/>
  <c r="M147" i="67"/>
  <c r="M49" i="67"/>
  <c r="M200" i="67"/>
  <c r="M152" i="67"/>
  <c r="H224" i="67"/>
  <c r="M140" i="67"/>
  <c r="M92" i="67"/>
  <c r="M141" i="67"/>
  <c r="M75" i="67"/>
  <c r="M137" i="67"/>
  <c r="M110" i="67"/>
  <c r="H223" i="67"/>
  <c r="M27" i="67"/>
  <c r="M72" i="67"/>
  <c r="M66" i="67"/>
  <c r="M201" i="67"/>
  <c r="M28" i="67"/>
  <c r="M33" i="67"/>
  <c r="M202" i="67"/>
  <c r="M206" i="67"/>
  <c r="M96" i="67"/>
  <c r="M188" i="67"/>
  <c r="M159" i="67"/>
  <c r="H220" i="67"/>
  <c r="M145" i="67"/>
  <c r="M76" i="67"/>
  <c r="M146" i="67"/>
  <c r="K13" i="67"/>
  <c r="M142" i="67"/>
  <c r="M78" i="67"/>
  <c r="H227" i="67"/>
  <c r="M197" i="67"/>
  <c r="M61" i="67"/>
  <c r="M35" i="67"/>
  <c r="M29" i="67"/>
  <c r="M138" i="67"/>
  <c r="M170" i="67"/>
  <c r="M36" i="67"/>
  <c r="M41" i="67"/>
  <c r="M42" i="67"/>
  <c r="M130" i="67"/>
  <c r="M196" i="67"/>
  <c r="M109" i="67"/>
  <c r="M185" i="67"/>
  <c r="M153" i="67"/>
  <c r="M204" i="67"/>
  <c r="M157" i="67"/>
  <c r="H222" i="67"/>
  <c r="M151" i="67"/>
  <c r="M105" i="67"/>
  <c r="M51" i="67"/>
  <c r="M45" i="67"/>
  <c r="M39" i="67"/>
  <c r="M71" i="67"/>
  <c r="M52" i="67"/>
  <c r="M57" i="67"/>
  <c r="M38" i="67"/>
  <c r="M65" i="67"/>
  <c r="M40" i="67"/>
  <c r="M69" i="67"/>
  <c r="M129" i="67"/>
  <c r="M21" i="67"/>
  <c r="M131" i="67"/>
  <c r="M99" i="67"/>
  <c r="M189" i="67"/>
  <c r="M158" i="67"/>
  <c r="M186" i="67"/>
  <c r="M117" i="67"/>
  <c r="M187" i="67"/>
  <c r="M156" i="67"/>
  <c r="M111" i="67"/>
  <c r="M59" i="67"/>
  <c r="M53" i="67"/>
  <c r="M47" i="67"/>
  <c r="M167" i="67"/>
  <c r="M60" i="67"/>
  <c r="M88" i="67"/>
  <c r="M168" i="67"/>
  <c r="M182" i="67"/>
  <c r="M136" i="67"/>
  <c r="M193" i="67"/>
  <c r="M107" i="67"/>
  <c r="M160" i="67"/>
  <c r="M84" i="67"/>
  <c r="M55" i="67"/>
  <c r="M125" i="67"/>
  <c r="M90" i="67"/>
  <c r="M67" i="67"/>
  <c r="M46" i="67"/>
  <c r="M174" i="67"/>
  <c r="M143" i="67"/>
  <c r="M77" i="67"/>
  <c r="M123" i="67"/>
  <c r="M108" i="67"/>
  <c r="M194" i="67"/>
  <c r="M101" i="67"/>
  <c r="M195" i="67"/>
  <c r="M116" i="67"/>
  <c r="H225" i="67"/>
  <c r="M102" i="67"/>
  <c r="M83" i="67"/>
  <c r="M97" i="67"/>
  <c r="M86" i="67"/>
  <c r="M183" i="67"/>
  <c r="M68" i="67"/>
  <c r="M203" i="67"/>
  <c r="M180" i="67"/>
  <c r="M181" i="67"/>
  <c r="M30" i="67"/>
  <c r="M50" i="67"/>
  <c r="M82" i="67"/>
  <c r="M118" i="67"/>
  <c r="M190" i="67"/>
  <c r="M191" i="67"/>
  <c r="H221" i="67"/>
  <c r="M91" i="67"/>
  <c r="M175" i="67"/>
  <c r="M79" i="67"/>
  <c r="M148" i="67"/>
  <c r="H228" i="67"/>
  <c r="M135" i="67"/>
  <c r="M100" i="67"/>
  <c r="M133" i="67"/>
  <c r="M89" i="67"/>
  <c r="M132" i="67"/>
  <c r="M106" i="67"/>
  <c r="H219" i="67"/>
  <c r="M161" i="67"/>
  <c r="M70" i="67"/>
  <c r="M64" i="67"/>
  <c r="M85" i="67"/>
  <c r="M87" i="67"/>
  <c r="M124" i="67"/>
  <c r="M25" i="67"/>
  <c r="M119" i="67"/>
  <c r="M34" i="67"/>
  <c r="M155" i="67"/>
  <c r="M176" i="67"/>
  <c r="M126" i="67"/>
  <c r="H159" i="57"/>
  <c r="N12" i="167"/>
  <c r="N11" i="167"/>
  <c r="N12" i="164"/>
  <c r="N12" i="165"/>
  <c r="N11" i="164"/>
  <c r="N11" i="165"/>
  <c r="G237" i="94"/>
  <c r="G215" i="94"/>
  <c r="N12" i="158"/>
  <c r="N12" i="159"/>
  <c r="N11" i="158"/>
  <c r="N11" i="159"/>
  <c r="N12" i="156"/>
  <c r="N12" i="157"/>
  <c r="N11" i="156"/>
  <c r="N11" i="157"/>
  <c r="N12" i="152"/>
  <c r="N12" i="155"/>
  <c r="N11" i="152"/>
  <c r="N11" i="155"/>
  <c r="H79" i="50"/>
  <c r="M73" i="67"/>
  <c r="M93" i="67"/>
  <c r="M54" i="67"/>
  <c r="M48" i="67"/>
  <c r="M177" i="67"/>
  <c r="M173" i="67"/>
  <c r="M184" i="67"/>
  <c r="M179" i="67"/>
  <c r="M26" i="67"/>
  <c r="M98" i="67"/>
  <c r="M164" i="67"/>
  <c r="M172" i="67"/>
  <c r="M32" i="67"/>
  <c r="N12" i="149"/>
  <c r="N12" i="150"/>
  <c r="N11" i="149"/>
  <c r="N11" i="150"/>
  <c r="G215" i="119"/>
  <c r="M61" i="20"/>
  <c r="H42" i="50"/>
  <c r="G237" i="92"/>
  <c r="M206" i="100"/>
  <c r="K15" i="24"/>
  <c r="H195" i="50"/>
  <c r="H149" i="50"/>
  <c r="K15" i="38"/>
  <c r="H176" i="50"/>
  <c r="H184" i="50"/>
  <c r="H33" i="50"/>
  <c r="H58" i="50"/>
  <c r="H31" i="50"/>
  <c r="H56" i="50"/>
  <c r="H36" i="50"/>
  <c r="H44" i="113"/>
  <c r="H174" i="50"/>
  <c r="H193" i="50"/>
  <c r="H44" i="50"/>
  <c r="G237" i="39"/>
  <c r="K12" i="113"/>
  <c r="H182" i="50"/>
  <c r="H78" i="50"/>
  <c r="H106" i="50"/>
  <c r="H100" i="45"/>
  <c r="H54" i="50"/>
  <c r="H178" i="50"/>
  <c r="H200" i="50"/>
  <c r="H187" i="85"/>
  <c r="H110" i="65"/>
  <c r="H116" i="50"/>
  <c r="H168" i="50"/>
  <c r="H170" i="50"/>
  <c r="H172" i="50"/>
  <c r="H101" i="65"/>
  <c r="H52" i="113"/>
  <c r="H52" i="65"/>
  <c r="H173" i="65"/>
  <c r="H140" i="50"/>
  <c r="H142" i="50"/>
  <c r="H187" i="50"/>
  <c r="H189" i="50"/>
  <c r="H33" i="113"/>
  <c r="H192" i="113"/>
  <c r="H202" i="50"/>
  <c r="H204" i="50"/>
  <c r="G215" i="50"/>
  <c r="H204" i="113"/>
  <c r="H153" i="113"/>
  <c r="H79" i="113"/>
  <c r="M119" i="21"/>
  <c r="H29" i="69"/>
  <c r="G215" i="113"/>
  <c r="H27" i="113"/>
  <c r="H31" i="113"/>
  <c r="K15" i="39"/>
  <c r="H186" i="113"/>
  <c r="H46" i="113"/>
  <c r="G237" i="37"/>
  <c r="H194" i="113"/>
  <c r="H202" i="113"/>
  <c r="H203" i="27"/>
  <c r="H190" i="50"/>
  <c r="H25" i="50"/>
  <c r="H48" i="50"/>
  <c r="H27" i="50"/>
  <c r="H50" i="50"/>
  <c r="H72" i="50"/>
  <c r="H52" i="50"/>
  <c r="H78" i="1"/>
  <c r="G236" i="53"/>
  <c r="H39" i="50"/>
  <c r="H61" i="50"/>
  <c r="H85" i="50"/>
  <c r="H65" i="50"/>
  <c r="H87" i="50"/>
  <c r="H111" i="50"/>
  <c r="H89" i="50"/>
  <c r="H115" i="50"/>
  <c r="H106" i="1"/>
  <c r="G237" i="104"/>
  <c r="H91" i="50"/>
  <c r="H71" i="50"/>
  <c r="H96" i="50"/>
  <c r="H123" i="50"/>
  <c r="H98" i="50"/>
  <c r="H125" i="50"/>
  <c r="H152" i="50"/>
  <c r="H127" i="50"/>
  <c r="K15" i="104"/>
  <c r="H126" i="1"/>
  <c r="H151" i="1"/>
  <c r="H50" i="1"/>
  <c r="H105" i="50"/>
  <c r="H130" i="50"/>
  <c r="H107" i="50"/>
  <c r="H132" i="50"/>
  <c r="H159" i="50"/>
  <c r="H135" i="50"/>
  <c r="H164" i="50"/>
  <c r="H181" i="50"/>
  <c r="H99" i="1"/>
  <c r="H59" i="1"/>
  <c r="H74" i="1"/>
  <c r="H93" i="1"/>
  <c r="H72" i="1"/>
  <c r="H118" i="1"/>
  <c r="H108" i="1"/>
  <c r="H79" i="1"/>
  <c r="H138" i="1"/>
  <c r="H88" i="1"/>
  <c r="H101" i="1"/>
  <c r="H70" i="69"/>
  <c r="H98" i="69"/>
  <c r="H130" i="21"/>
  <c r="M124" i="14"/>
  <c r="M98" i="14"/>
  <c r="M65" i="14"/>
  <c r="M32" i="14"/>
  <c r="M109" i="14"/>
  <c r="M140" i="14"/>
  <c r="M172" i="14"/>
  <c r="M150" i="14"/>
  <c r="M184" i="14"/>
  <c r="M159" i="14"/>
  <c r="M21" i="14"/>
  <c r="M25" i="14"/>
  <c r="M187" i="14"/>
  <c r="M47" i="14"/>
  <c r="M178" i="14"/>
  <c r="M67" i="14"/>
  <c r="M156" i="14"/>
  <c r="H220" i="14"/>
  <c r="M29" i="14"/>
  <c r="M79" i="14"/>
  <c r="M166" i="14"/>
  <c r="M195" i="14"/>
  <c r="M177" i="14"/>
  <c r="M182" i="14"/>
  <c r="M50" i="14"/>
  <c r="M77" i="14"/>
  <c r="M35" i="14"/>
  <c r="M102" i="14"/>
  <c r="M170" i="14"/>
  <c r="M181" i="14"/>
  <c r="M126" i="14"/>
  <c r="M193" i="14"/>
  <c r="M130" i="14"/>
  <c r="M54" i="14"/>
  <c r="M69" i="14"/>
  <c r="M28" i="14"/>
  <c r="M39" i="14"/>
  <c r="M145" i="14"/>
  <c r="M82" i="14"/>
  <c r="M152" i="14"/>
  <c r="M116" i="14"/>
  <c r="M68" i="14"/>
  <c r="M106" i="14"/>
  <c r="M196" i="14"/>
  <c r="H219" i="14"/>
  <c r="M165" i="14"/>
  <c r="M192" i="14"/>
  <c r="M114" i="14"/>
  <c r="M74" i="14"/>
  <c r="M45" i="14"/>
  <c r="M100" i="14"/>
  <c r="M142" i="14"/>
  <c r="H226" i="14"/>
  <c r="M167" i="14"/>
  <c r="M129" i="14"/>
  <c r="M76" i="14"/>
  <c r="H227" i="14"/>
  <c r="M118" i="14"/>
  <c r="M66" i="14"/>
  <c r="M201" i="14"/>
  <c r="M83" i="14"/>
  <c r="M151" i="14"/>
  <c r="H175" i="21"/>
  <c r="H159" i="21"/>
  <c r="M61" i="25"/>
  <c r="H160" i="65"/>
  <c r="H31" i="65"/>
  <c r="H74" i="65"/>
  <c r="H27" i="65"/>
  <c r="H83" i="65"/>
  <c r="H150" i="65"/>
  <c r="H169" i="65"/>
  <c r="H136" i="65"/>
  <c r="H26" i="65"/>
  <c r="H146" i="65"/>
  <c r="H203" i="65"/>
  <c r="H75" i="65"/>
  <c r="H183" i="65"/>
  <c r="H135" i="65"/>
  <c r="H191" i="65"/>
  <c r="H64" i="65"/>
  <c r="H190" i="65"/>
  <c r="H140" i="65"/>
  <c r="H67" i="65"/>
  <c r="H49" i="65"/>
  <c r="H133" i="65"/>
  <c r="H57" i="65"/>
  <c r="H124" i="65"/>
  <c r="H107" i="65"/>
  <c r="H188" i="65"/>
  <c r="H56" i="65"/>
  <c r="H180" i="65"/>
  <c r="K15" i="53"/>
  <c r="M161" i="66"/>
  <c r="M161" i="84"/>
  <c r="G236" i="84"/>
  <c r="E238" i="62"/>
  <c r="G237" i="53"/>
  <c r="H126" i="104"/>
  <c r="H175" i="27"/>
  <c r="H138" i="27"/>
  <c r="H91" i="27"/>
  <c r="H123" i="27"/>
  <c r="H78" i="27"/>
  <c r="H41" i="141"/>
  <c r="M61" i="37"/>
  <c r="E238" i="38"/>
  <c r="M197" i="66"/>
  <c r="M61" i="66"/>
  <c r="M111" i="66"/>
  <c r="H153" i="66"/>
  <c r="H177" i="66"/>
  <c r="M56" i="133"/>
  <c r="H115" i="66"/>
  <c r="G237" i="62"/>
  <c r="G236" i="62"/>
  <c r="H108" i="66"/>
  <c r="M192" i="133"/>
  <c r="M151" i="133"/>
  <c r="M83" i="133"/>
  <c r="H223" i="133"/>
  <c r="M183" i="133"/>
  <c r="M153" i="133"/>
  <c r="M43" i="133"/>
  <c r="M203" i="133"/>
  <c r="M47" i="133"/>
  <c r="M184" i="133"/>
  <c r="M98" i="133"/>
  <c r="M28" i="133"/>
  <c r="M166" i="133"/>
  <c r="M156" i="133"/>
  <c r="M53" i="133"/>
  <c r="H227" i="133"/>
  <c r="M159" i="133"/>
  <c r="M190" i="133"/>
  <c r="M74" i="133"/>
  <c r="M109" i="133"/>
  <c r="M133" i="133"/>
  <c r="M202" i="133"/>
  <c r="H155" i="66"/>
  <c r="H164" i="66"/>
  <c r="H194" i="66"/>
  <c r="H208" i="66"/>
  <c r="H28" i="24"/>
  <c r="H170" i="24"/>
  <c r="H68" i="24"/>
  <c r="H47" i="24"/>
  <c r="H183" i="24"/>
  <c r="E238" i="53"/>
  <c r="G237" i="58"/>
  <c r="M72" i="133"/>
  <c r="M25" i="133"/>
  <c r="M101" i="133"/>
  <c r="H222" i="133"/>
  <c r="H116" i="65"/>
  <c r="H33" i="65"/>
  <c r="H142" i="65"/>
  <c r="H58" i="65"/>
  <c r="H172" i="65"/>
  <c r="H66" i="65"/>
  <c r="H175" i="65"/>
  <c r="H92" i="65"/>
  <c r="H186" i="65"/>
  <c r="H100" i="65"/>
  <c r="K12" i="65"/>
  <c r="H55" i="98"/>
  <c r="H46" i="66"/>
  <c r="H88" i="66"/>
  <c r="H93" i="66"/>
  <c r="H151" i="66"/>
  <c r="H44" i="24"/>
  <c r="H26" i="24"/>
  <c r="H157" i="24"/>
  <c r="H66" i="24"/>
  <c r="M126" i="133"/>
  <c r="M167" i="133"/>
  <c r="M168" i="133"/>
  <c r="M106" i="133"/>
  <c r="M35" i="133"/>
  <c r="E238" i="142"/>
  <c r="H38" i="65"/>
  <c r="H148" i="65"/>
  <c r="H59" i="65"/>
  <c r="H171" i="65"/>
  <c r="H88" i="65"/>
  <c r="H182" i="65"/>
  <c r="H96" i="65"/>
  <c r="H204" i="65"/>
  <c r="H102" i="65"/>
  <c r="H28" i="65"/>
  <c r="H167" i="66"/>
  <c r="H181" i="66"/>
  <c r="H179" i="66"/>
  <c r="G215" i="24"/>
  <c r="H189" i="24"/>
  <c r="H171" i="24"/>
  <c r="H40" i="24"/>
  <c r="H30" i="24"/>
  <c r="M66" i="133"/>
  <c r="M129" i="133"/>
  <c r="M197" i="133"/>
  <c r="M118" i="133"/>
  <c r="M193" i="133"/>
  <c r="M99" i="133"/>
  <c r="H228" i="133"/>
  <c r="M111" i="85"/>
  <c r="M110" i="133"/>
  <c r="M82" i="133"/>
  <c r="M68" i="133"/>
  <c r="M123" i="133"/>
  <c r="G236" i="58"/>
  <c r="H71" i="65"/>
  <c r="H184" i="65"/>
  <c r="H98" i="65"/>
  <c r="G215" i="65"/>
  <c r="H127" i="65"/>
  <c r="H30" i="65"/>
  <c r="H138" i="65"/>
  <c r="H35" i="65"/>
  <c r="H145" i="65"/>
  <c r="H60" i="65"/>
  <c r="M21" i="133"/>
  <c r="H55" i="66"/>
  <c r="H72" i="66"/>
  <c r="H70" i="66"/>
  <c r="H118" i="66"/>
  <c r="H143" i="24"/>
  <c r="H200" i="24"/>
  <c r="H187" i="24"/>
  <c r="H84" i="24"/>
  <c r="H38" i="24"/>
  <c r="H100" i="69"/>
  <c r="M165" i="133"/>
  <c r="M44" i="133"/>
  <c r="M111" i="133"/>
  <c r="M131" i="133"/>
  <c r="M61" i="85"/>
  <c r="H85" i="42"/>
  <c r="H90" i="65"/>
  <c r="H201" i="65"/>
  <c r="H119" i="65"/>
  <c r="H37" i="65"/>
  <c r="H147" i="65"/>
  <c r="H46" i="65"/>
  <c r="H157" i="65"/>
  <c r="H51" i="65"/>
  <c r="H161" i="65"/>
  <c r="H77" i="65"/>
  <c r="H83" i="66"/>
  <c r="H133" i="66"/>
  <c r="H141" i="66"/>
  <c r="H148" i="66"/>
  <c r="H164" i="24"/>
  <c r="H59" i="24"/>
  <c r="H195" i="24"/>
  <c r="H177" i="24"/>
  <c r="H82" i="24"/>
  <c r="M140" i="133"/>
  <c r="M85" i="133"/>
  <c r="M146" i="133"/>
  <c r="M26" i="133"/>
  <c r="K15" i="58"/>
  <c r="H127" i="24"/>
  <c r="H42" i="24"/>
  <c r="H201" i="24"/>
  <c r="H74" i="24"/>
  <c r="H117" i="66"/>
  <c r="H165" i="66"/>
  <c r="H171" i="66"/>
  <c r="H173" i="24"/>
  <c r="H50" i="24"/>
  <c r="H32" i="24"/>
  <c r="H197" i="24"/>
  <c r="M181" i="133"/>
  <c r="M75" i="133"/>
  <c r="M204" i="133"/>
  <c r="M119" i="133"/>
  <c r="M69" i="133"/>
  <c r="M108" i="133"/>
  <c r="M36" i="133"/>
  <c r="M176" i="133"/>
  <c r="M34" i="133"/>
  <c r="H39" i="42"/>
  <c r="H39" i="65"/>
  <c r="H149" i="65"/>
  <c r="H65" i="65"/>
  <c r="H178" i="65"/>
  <c r="H89" i="65"/>
  <c r="H200" i="65"/>
  <c r="H99" i="65"/>
  <c r="H208" i="65"/>
  <c r="H109" i="65"/>
  <c r="H29" i="65"/>
  <c r="H136" i="66"/>
  <c r="H152" i="66"/>
  <c r="H150" i="66"/>
  <c r="H192" i="66"/>
  <c r="H172" i="24"/>
  <c r="H159" i="24"/>
  <c r="H49" i="24"/>
  <c r="H185" i="24"/>
  <c r="M93" i="133"/>
  <c r="M70" i="133"/>
  <c r="M73" i="133"/>
  <c r="H74" i="66"/>
  <c r="H90" i="66"/>
  <c r="H79" i="66"/>
  <c r="H106" i="66"/>
  <c r="H119" i="66"/>
  <c r="H102" i="66"/>
  <c r="H138" i="66"/>
  <c r="H169" i="66"/>
  <c r="H166" i="66"/>
  <c r="H183" i="66"/>
  <c r="H205" i="66"/>
  <c r="H189" i="66"/>
  <c r="H26" i="66"/>
  <c r="H41" i="66"/>
  <c r="H32" i="66"/>
  <c r="H78" i="45"/>
  <c r="M61" i="106"/>
  <c r="H206" i="66"/>
  <c r="H191" i="66"/>
  <c r="H36" i="66"/>
  <c r="H43" i="66"/>
  <c r="H34" i="66"/>
  <c r="H57" i="66"/>
  <c r="H73" i="66"/>
  <c r="H65" i="45"/>
  <c r="H38" i="66"/>
  <c r="H53" i="66"/>
  <c r="H44" i="66"/>
  <c r="H59" i="66"/>
  <c r="H75" i="66"/>
  <c r="H68" i="66"/>
  <c r="H191" i="21"/>
  <c r="H179" i="21"/>
  <c r="H132" i="21"/>
  <c r="H53" i="21"/>
  <c r="H117" i="21"/>
  <c r="H84" i="21"/>
  <c r="H82" i="21"/>
  <c r="H61" i="21"/>
  <c r="H161" i="21"/>
  <c r="H188" i="21"/>
  <c r="H185" i="21"/>
  <c r="H69" i="21"/>
  <c r="H172" i="21"/>
  <c r="H107" i="21"/>
  <c r="H76" i="21"/>
  <c r="H160" i="21"/>
  <c r="H192" i="21"/>
  <c r="H129" i="21"/>
  <c r="H54" i="21"/>
  <c r="M26" i="14"/>
  <c r="M37" i="14"/>
  <c r="M173" i="14"/>
  <c r="M64" i="14"/>
  <c r="M30" i="14"/>
  <c r="M164" i="14"/>
  <c r="M33" i="14"/>
  <c r="M169" i="14"/>
  <c r="M42" i="14"/>
  <c r="M41" i="14"/>
  <c r="M96" i="14"/>
  <c r="M34" i="14"/>
  <c r="M197" i="85"/>
  <c r="M206" i="1"/>
  <c r="M93" i="14"/>
  <c r="M168" i="14"/>
  <c r="M189" i="14"/>
  <c r="M157" i="14"/>
  <c r="M191" i="14"/>
  <c r="M155" i="14"/>
  <c r="M70" i="14"/>
  <c r="M185" i="14"/>
  <c r="M72" i="14"/>
  <c r="M174" i="14"/>
  <c r="M135" i="14"/>
  <c r="M110" i="14"/>
  <c r="M46" i="14"/>
  <c r="M188" i="14"/>
  <c r="M147" i="14"/>
  <c r="M73" i="14"/>
  <c r="H223" i="14"/>
  <c r="H224" i="14"/>
  <c r="M160" i="14"/>
  <c r="M31" i="14"/>
  <c r="H137" i="62"/>
  <c r="H189" i="21"/>
  <c r="H133" i="21"/>
  <c r="H35" i="45"/>
  <c r="H149" i="24"/>
  <c r="H71" i="24"/>
  <c r="H190" i="24"/>
  <c r="H116" i="24"/>
  <c r="H39" i="24"/>
  <c r="H151" i="24"/>
  <c r="H73" i="24"/>
  <c r="H192" i="24"/>
  <c r="H118" i="24"/>
  <c r="H41" i="24"/>
  <c r="H161" i="24"/>
  <c r="H86" i="24"/>
  <c r="H203" i="24"/>
  <c r="H131" i="24"/>
  <c r="H51" i="24"/>
  <c r="H165" i="24"/>
  <c r="H88" i="24"/>
  <c r="H205" i="24"/>
  <c r="H133" i="24"/>
  <c r="H53" i="24"/>
  <c r="H140" i="24"/>
  <c r="H61" i="24"/>
  <c r="H182" i="24"/>
  <c r="H105" i="24"/>
  <c r="H31" i="24"/>
  <c r="H142" i="24"/>
  <c r="H65" i="24"/>
  <c r="H184" i="24"/>
  <c r="H107" i="24"/>
  <c r="H33" i="24"/>
  <c r="H153" i="24"/>
  <c r="H75" i="24"/>
  <c r="H194" i="24"/>
  <c r="H119" i="24"/>
  <c r="H43" i="24"/>
  <c r="H156" i="24"/>
  <c r="H77" i="24"/>
  <c r="H196" i="24"/>
  <c r="H124" i="24"/>
  <c r="H45" i="24"/>
  <c r="H202" i="24"/>
  <c r="H130" i="24"/>
  <c r="H54" i="24"/>
  <c r="H174" i="24"/>
  <c r="H91" i="24"/>
  <c r="H204" i="24"/>
  <c r="H132" i="24"/>
  <c r="H56" i="24"/>
  <c r="H176" i="24"/>
  <c r="H96" i="24"/>
  <c r="H25" i="24"/>
  <c r="H145" i="24"/>
  <c r="H67" i="24"/>
  <c r="H186" i="24"/>
  <c r="H109" i="24"/>
  <c r="H35" i="24"/>
  <c r="H147" i="24"/>
  <c r="H69" i="24"/>
  <c r="H188" i="24"/>
  <c r="H114" i="24"/>
  <c r="H37" i="24"/>
  <c r="H191" i="24"/>
  <c r="H117" i="24"/>
  <c r="H46" i="24"/>
  <c r="H166" i="24"/>
  <c r="H83" i="24"/>
  <c r="H193" i="24"/>
  <c r="H123" i="24"/>
  <c r="H48" i="24"/>
  <c r="H168" i="24"/>
  <c r="H85" i="24"/>
  <c r="K12" i="24"/>
  <c r="H135" i="24"/>
  <c r="H58" i="24"/>
  <c r="H178" i="24"/>
  <c r="H98" i="24"/>
  <c r="H27" i="24"/>
  <c r="H137" i="24"/>
  <c r="H60" i="24"/>
  <c r="H180" i="24"/>
  <c r="H100" i="24"/>
  <c r="H29" i="24"/>
  <c r="H167" i="24"/>
  <c r="H90" i="24"/>
  <c r="H206" i="24"/>
  <c r="H136" i="24"/>
  <c r="H55" i="24"/>
  <c r="H169" i="24"/>
  <c r="H92" i="24"/>
  <c r="H208" i="24"/>
  <c r="H138" i="24"/>
  <c r="H57" i="24"/>
  <c r="H179" i="24"/>
  <c r="H102" i="24"/>
  <c r="H34" i="24"/>
  <c r="H150" i="24"/>
  <c r="H70" i="24"/>
  <c r="H181" i="24"/>
  <c r="H106" i="24"/>
  <c r="H36" i="24"/>
  <c r="H152" i="24"/>
  <c r="H72" i="24"/>
  <c r="H142" i="66"/>
  <c r="H65" i="66"/>
  <c r="H184" i="66"/>
  <c r="H107" i="66"/>
  <c r="H33" i="66"/>
  <c r="H145" i="66"/>
  <c r="H67" i="66"/>
  <c r="H186" i="66"/>
  <c r="H109" i="66"/>
  <c r="H35" i="66"/>
  <c r="H156" i="66"/>
  <c r="H77" i="66"/>
  <c r="H196" i="66"/>
  <c r="H124" i="66"/>
  <c r="H45" i="66"/>
  <c r="H158" i="66"/>
  <c r="H82" i="66"/>
  <c r="H197" i="66"/>
  <c r="H126" i="66"/>
  <c r="H47" i="66"/>
  <c r="G215" i="66"/>
  <c r="H204" i="66"/>
  <c r="H132" i="66"/>
  <c r="H56" i="66"/>
  <c r="H176" i="66"/>
  <c r="H96" i="66"/>
  <c r="H25" i="66"/>
  <c r="H135" i="66"/>
  <c r="H58" i="66"/>
  <c r="H178" i="66"/>
  <c r="H98" i="66"/>
  <c r="H27" i="66"/>
  <c r="H147" i="66"/>
  <c r="H69" i="66"/>
  <c r="H188" i="66"/>
  <c r="H114" i="66"/>
  <c r="H37" i="66"/>
  <c r="H149" i="66"/>
  <c r="H71" i="66"/>
  <c r="H190" i="66"/>
  <c r="H116" i="66"/>
  <c r="H39" i="66"/>
  <c r="H193" i="66"/>
  <c r="H123" i="66"/>
  <c r="H48" i="66"/>
  <c r="H168" i="66"/>
  <c r="H85" i="66"/>
  <c r="H195" i="66"/>
  <c r="H125" i="66"/>
  <c r="H50" i="66"/>
  <c r="H170" i="66"/>
  <c r="H87" i="66"/>
  <c r="K12" i="66"/>
  <c r="H137" i="66"/>
  <c r="H60" i="66"/>
  <c r="H180" i="66"/>
  <c r="H100" i="66"/>
  <c r="H29" i="66"/>
  <c r="H140" i="66"/>
  <c r="H61" i="66"/>
  <c r="H182" i="66"/>
  <c r="H105" i="66"/>
  <c r="H31" i="66"/>
  <c r="H185" i="66"/>
  <c r="H110" i="66"/>
  <c r="H40" i="66"/>
  <c r="H157" i="66"/>
  <c r="H76" i="66"/>
  <c r="H187" i="66"/>
  <c r="H111" i="66"/>
  <c r="H42" i="66"/>
  <c r="H159" i="66"/>
  <c r="H78" i="66"/>
  <c r="H200" i="66"/>
  <c r="H127" i="66"/>
  <c r="H52" i="66"/>
  <c r="H172" i="66"/>
  <c r="H89" i="66"/>
  <c r="H202" i="66"/>
  <c r="H130" i="66"/>
  <c r="H54" i="66"/>
  <c r="H174" i="66"/>
  <c r="H91" i="66"/>
  <c r="H160" i="66"/>
  <c r="H84" i="66"/>
  <c r="H201" i="66"/>
  <c r="H129" i="66"/>
  <c r="H49" i="66"/>
  <c r="H161" i="66"/>
  <c r="H86" i="66"/>
  <c r="H203" i="66"/>
  <c r="H131" i="66"/>
  <c r="H51" i="66"/>
  <c r="H173" i="66"/>
  <c r="H97" i="66"/>
  <c r="H28" i="66"/>
  <c r="H143" i="66"/>
  <c r="H64" i="66"/>
  <c r="H175" i="66"/>
  <c r="H99" i="66"/>
  <c r="H30" i="66"/>
  <c r="H146" i="66"/>
  <c r="H66" i="66"/>
  <c r="G236" i="38"/>
  <c r="M161" i="14"/>
  <c r="M133" i="14"/>
  <c r="M202" i="14"/>
  <c r="M131" i="14"/>
  <c r="M107" i="14"/>
  <c r="M51" i="14"/>
  <c r="M101" i="14"/>
  <c r="M49" i="14"/>
  <c r="M186" i="14"/>
  <c r="M149" i="14"/>
  <c r="M87" i="14"/>
  <c r="M58" i="14"/>
  <c r="M123" i="14"/>
  <c r="M117" i="14"/>
  <c r="M48" i="14"/>
  <c r="H222" i="14"/>
  <c r="M36" i="14"/>
  <c r="M171" i="14"/>
  <c r="M43" i="14"/>
  <c r="H109" i="21"/>
  <c r="H196" i="45"/>
  <c r="H126" i="85"/>
  <c r="H136" i="85"/>
  <c r="H88" i="21"/>
  <c r="H56" i="32"/>
  <c r="H208" i="32"/>
  <c r="H61" i="32"/>
  <c r="M200" i="14"/>
  <c r="M99" i="14"/>
  <c r="M21" i="119"/>
  <c r="M138" i="14"/>
  <c r="M175" i="14"/>
  <c r="M136" i="14"/>
  <c r="M86" i="14"/>
  <c r="M55" i="14"/>
  <c r="M84" i="14"/>
  <c r="M53" i="14"/>
  <c r="M190" i="14"/>
  <c r="M153" i="14"/>
  <c r="M91" i="14"/>
  <c r="M203" i="14"/>
  <c r="M127" i="14"/>
  <c r="M108" i="14"/>
  <c r="M52" i="14"/>
  <c r="K13" i="14"/>
  <c r="M38" i="14"/>
  <c r="M61" i="14"/>
  <c r="M60" i="14"/>
  <c r="H28" i="21"/>
  <c r="H64" i="24"/>
  <c r="H52" i="24"/>
  <c r="H78" i="24"/>
  <c r="H93" i="24"/>
  <c r="H76" i="24"/>
  <c r="H101" i="24"/>
  <c r="H126" i="24"/>
  <c r="H108" i="24"/>
  <c r="H187" i="45"/>
  <c r="H145" i="45"/>
  <c r="H48" i="45"/>
  <c r="H39" i="45"/>
  <c r="H67" i="45"/>
  <c r="H118" i="45"/>
  <c r="K12" i="45"/>
  <c r="H58" i="45"/>
  <c r="H41" i="45"/>
  <c r="H88" i="45"/>
  <c r="H159" i="45"/>
  <c r="H33" i="45"/>
  <c r="H205" i="45"/>
  <c r="H142" i="45"/>
  <c r="H197" i="45"/>
  <c r="H29" i="45"/>
  <c r="M143" i="14"/>
  <c r="M179" i="14"/>
  <c r="M141" i="14"/>
  <c r="M90" i="14"/>
  <c r="M59" i="14"/>
  <c r="M88" i="14"/>
  <c r="M57" i="14"/>
  <c r="M194" i="14"/>
  <c r="M158" i="14"/>
  <c r="M75" i="14"/>
  <c r="M176" i="14"/>
  <c r="M132" i="14"/>
  <c r="M85" i="14"/>
  <c r="M56" i="14"/>
  <c r="H225" i="14"/>
  <c r="M40" i="14"/>
  <c r="M111" i="14"/>
  <c r="H137" i="21"/>
  <c r="H79" i="24"/>
  <c r="H97" i="24"/>
  <c r="H87" i="24"/>
  <c r="H111" i="24"/>
  <c r="H129" i="24"/>
  <c r="H110" i="24"/>
  <c r="H146" i="24"/>
  <c r="H158" i="24"/>
  <c r="H54" i="45"/>
  <c r="G237" i="46"/>
  <c r="M97" i="14"/>
  <c r="M105" i="14"/>
  <c r="M93" i="28"/>
  <c r="M197" i="14"/>
  <c r="M148" i="14"/>
  <c r="M183" i="14"/>
  <c r="M146" i="14"/>
  <c r="M78" i="14"/>
  <c r="M204" i="14"/>
  <c r="M92" i="14"/>
  <c r="M205" i="14"/>
  <c r="M125" i="14"/>
  <c r="M115" i="14"/>
  <c r="M71" i="14"/>
  <c r="M180" i="14"/>
  <c r="M137" i="14"/>
  <c r="M89" i="14"/>
  <c r="M119" i="14"/>
  <c r="H221" i="14"/>
  <c r="M44" i="14"/>
  <c r="M27" i="14"/>
  <c r="M206" i="14"/>
  <c r="H123" i="21"/>
  <c r="H169" i="21"/>
  <c r="H101" i="66"/>
  <c r="H89" i="24"/>
  <c r="H115" i="24"/>
  <c r="H141" i="24"/>
  <c r="H125" i="24"/>
  <c r="H148" i="24"/>
  <c r="H160" i="24"/>
  <c r="H155" i="24"/>
  <c r="H175" i="24"/>
  <c r="H130" i="45"/>
  <c r="H178" i="113"/>
  <c r="H56" i="113"/>
  <c r="H29" i="113"/>
  <c r="H25" i="113"/>
  <c r="H182" i="113"/>
  <c r="H60" i="113"/>
  <c r="H184" i="113"/>
  <c r="H54" i="113"/>
  <c r="H58" i="85"/>
  <c r="H90" i="85"/>
  <c r="H82" i="85"/>
  <c r="H176" i="85"/>
  <c r="H68" i="85"/>
  <c r="G215" i="85"/>
  <c r="K12" i="85"/>
  <c r="H102" i="85"/>
  <c r="H180" i="85"/>
  <c r="H72" i="85"/>
  <c r="H202" i="85"/>
  <c r="H99" i="85"/>
  <c r="H27" i="98"/>
  <c r="E238" i="59"/>
  <c r="M111" i="84"/>
  <c r="M61" i="84"/>
  <c r="M79" i="84"/>
  <c r="H86" i="85"/>
  <c r="H145" i="27"/>
  <c r="H161" i="27"/>
  <c r="H97" i="27"/>
  <c r="H54" i="27"/>
  <c r="H51" i="27"/>
  <c r="H187" i="27"/>
  <c r="H127" i="27"/>
  <c r="H92" i="27"/>
  <c r="H42" i="27"/>
  <c r="H172" i="27"/>
  <c r="H30" i="27"/>
  <c r="H168" i="27"/>
  <c r="H66" i="27"/>
  <c r="H202" i="27"/>
  <c r="H74" i="98"/>
  <c r="H77" i="98"/>
  <c r="H190" i="98"/>
  <c r="H108" i="21"/>
  <c r="H58" i="21"/>
  <c r="H111" i="21"/>
  <c r="H48" i="21"/>
  <c r="H55" i="21"/>
  <c r="H34" i="21"/>
  <c r="H171" i="21"/>
  <c r="H71" i="21"/>
  <c r="H158" i="21"/>
  <c r="H87" i="21"/>
  <c r="H200" i="21"/>
  <c r="H201" i="21"/>
  <c r="H66" i="21"/>
  <c r="H181" i="21"/>
  <c r="H51" i="21"/>
  <c r="H180" i="21"/>
  <c r="H204" i="21"/>
  <c r="H99" i="21"/>
  <c r="H153" i="21"/>
  <c r="H115" i="21"/>
  <c r="H52" i="21"/>
  <c r="H142" i="21"/>
  <c r="H77" i="21"/>
  <c r="H157" i="21"/>
  <c r="H101" i="21"/>
  <c r="H127" i="21"/>
  <c r="H124" i="21"/>
  <c r="H146" i="21"/>
  <c r="H194" i="21"/>
  <c r="H164" i="21"/>
  <c r="H89" i="21"/>
  <c r="H173" i="21"/>
  <c r="H27" i="21"/>
  <c r="H149" i="21"/>
  <c r="H166" i="21"/>
  <c r="H57" i="21"/>
  <c r="H38" i="21"/>
  <c r="H147" i="21"/>
  <c r="H92" i="21"/>
  <c r="H25" i="21"/>
  <c r="H49" i="21"/>
  <c r="H174" i="21"/>
  <c r="H155" i="21"/>
  <c r="H98" i="21"/>
  <c r="H39" i="21"/>
  <c r="H79" i="21"/>
  <c r="H136" i="21"/>
  <c r="H70" i="21"/>
  <c r="H59" i="21"/>
  <c r="H168" i="21"/>
  <c r="H85" i="21"/>
  <c r="H170" i="21"/>
  <c r="H91" i="21"/>
  <c r="H152" i="37"/>
  <c r="H160" i="37"/>
  <c r="H185" i="15"/>
  <c r="H159" i="15"/>
  <c r="H127" i="15"/>
  <c r="H42" i="85"/>
  <c r="H159" i="1"/>
  <c r="H171" i="1"/>
  <c r="H164" i="1"/>
  <c r="H181" i="1"/>
  <c r="H197" i="1"/>
  <c r="H183" i="1"/>
  <c r="H208" i="1"/>
  <c r="M206" i="87"/>
  <c r="M31" i="133"/>
  <c r="M179" i="133"/>
  <c r="M195" i="133"/>
  <c r="M32" i="133"/>
  <c r="M96" i="133"/>
  <c r="M45" i="133"/>
  <c r="M164" i="133"/>
  <c r="M42" i="133"/>
  <c r="M115" i="133"/>
  <c r="M46" i="133"/>
  <c r="M60" i="133"/>
  <c r="K13" i="133"/>
  <c r="E238" i="65"/>
  <c r="K12" i="103"/>
  <c r="H133" i="45"/>
  <c r="H156" i="45"/>
  <c r="H174" i="45"/>
  <c r="H158" i="45"/>
  <c r="H184" i="45"/>
  <c r="H193" i="45"/>
  <c r="H186" i="45"/>
  <c r="H26" i="1"/>
  <c r="H195" i="1"/>
  <c r="H36" i="1"/>
  <c r="H47" i="1"/>
  <c r="H38" i="1"/>
  <c r="H57" i="1"/>
  <c r="H73" i="1"/>
  <c r="M107" i="133"/>
  <c r="M200" i="133"/>
  <c r="M89" i="133"/>
  <c r="M158" i="133"/>
  <c r="M132" i="133"/>
  <c r="M148" i="133"/>
  <c r="M135" i="133"/>
  <c r="M105" i="133"/>
  <c r="M127" i="133"/>
  <c r="G237" i="111"/>
  <c r="K15" i="111"/>
  <c r="M65" i="133"/>
  <c r="M114" i="133"/>
  <c r="M116" i="133"/>
  <c r="M38" i="133"/>
  <c r="M100" i="133"/>
  <c r="M49" i="133"/>
  <c r="M117" i="133"/>
  <c r="M48" i="133"/>
  <c r="M97" i="133"/>
  <c r="M50" i="133"/>
  <c r="M90" i="133"/>
  <c r="H219" i="133"/>
  <c r="H195" i="57"/>
  <c r="H180" i="45"/>
  <c r="H165" i="45"/>
  <c r="H190" i="45"/>
  <c r="H202" i="45"/>
  <c r="H192" i="45"/>
  <c r="H27" i="45"/>
  <c r="H42" i="45"/>
  <c r="H42" i="1"/>
  <c r="H53" i="1"/>
  <c r="H44" i="1"/>
  <c r="H66" i="1"/>
  <c r="H82" i="1"/>
  <c r="H68" i="1"/>
  <c r="H92" i="1"/>
  <c r="M161" i="133"/>
  <c r="M150" i="133"/>
  <c r="M58" i="133"/>
  <c r="M27" i="133"/>
  <c r="M172" i="133"/>
  <c r="M142" i="133"/>
  <c r="M157" i="133"/>
  <c r="M145" i="133"/>
  <c r="M136" i="133"/>
  <c r="M155" i="133"/>
  <c r="M143" i="133"/>
  <c r="M141" i="133"/>
  <c r="M88" i="133"/>
  <c r="M205" i="133"/>
  <c r="M91" i="133"/>
  <c r="M51" i="133"/>
  <c r="M67" i="133"/>
  <c r="M178" i="133"/>
  <c r="M92" i="133"/>
  <c r="M180" i="133"/>
  <c r="M78" i="133"/>
  <c r="M102" i="133"/>
  <c r="H221" i="133"/>
  <c r="H220" i="133"/>
  <c r="M201" i="133"/>
  <c r="H45" i="45"/>
  <c r="H60" i="45"/>
  <c r="H47" i="45"/>
  <c r="H71" i="45"/>
  <c r="H85" i="45"/>
  <c r="H73" i="45"/>
  <c r="H98" i="45"/>
  <c r="H111" i="45"/>
  <c r="H87" i="1"/>
  <c r="H111" i="1"/>
  <c r="H133" i="1"/>
  <c r="H115" i="1"/>
  <c r="H146" i="1"/>
  <c r="H158" i="1"/>
  <c r="H148" i="1"/>
  <c r="H169" i="1"/>
  <c r="M59" i="133"/>
  <c r="M173" i="133"/>
  <c r="M52" i="133"/>
  <c r="M174" i="133"/>
  <c r="M55" i="133"/>
  <c r="M33" i="133"/>
  <c r="M54" i="133"/>
  <c r="M147" i="133"/>
  <c r="M86" i="133"/>
  <c r="M161" i="111"/>
  <c r="K13" i="111"/>
  <c r="M177" i="133"/>
  <c r="M77" i="133"/>
  <c r="M189" i="133"/>
  <c r="M29" i="133"/>
  <c r="M182" i="133"/>
  <c r="M76" i="133"/>
  <c r="M188" i="133"/>
  <c r="M71" i="133"/>
  <c r="M57" i="133"/>
  <c r="H225" i="133"/>
  <c r="H224" i="133"/>
  <c r="M186" i="133"/>
  <c r="H53" i="45"/>
  <c r="H77" i="45"/>
  <c r="H91" i="45"/>
  <c r="H82" i="45"/>
  <c r="H107" i="45"/>
  <c r="H123" i="45"/>
  <c r="H109" i="45"/>
  <c r="H135" i="45"/>
  <c r="H141" i="1"/>
  <c r="H125" i="1"/>
  <c r="H152" i="1"/>
  <c r="H165" i="1"/>
  <c r="H155" i="1"/>
  <c r="H175" i="1"/>
  <c r="H192" i="1"/>
  <c r="H177" i="1"/>
  <c r="M206" i="133"/>
  <c r="M130" i="133"/>
  <c r="M84" i="133"/>
  <c r="M185" i="133"/>
  <c r="M169" i="133"/>
  <c r="M87" i="133"/>
  <c r="M171" i="133"/>
  <c r="K15" i="49"/>
  <c r="M39" i="133"/>
  <c r="M191" i="133"/>
  <c r="M64" i="133"/>
  <c r="M125" i="133"/>
  <c r="M41" i="133"/>
  <c r="M194" i="133"/>
  <c r="M30" i="133"/>
  <c r="M196" i="133"/>
  <c r="M37" i="133"/>
  <c r="M160" i="133"/>
  <c r="H226" i="133"/>
  <c r="M187" i="133"/>
  <c r="H124" i="45"/>
  <c r="H137" i="45"/>
  <c r="H126" i="45"/>
  <c r="H149" i="45"/>
  <c r="H168" i="45"/>
  <c r="H151" i="45"/>
  <c r="H178" i="45"/>
  <c r="H170" i="1"/>
  <c r="H187" i="1"/>
  <c r="H205" i="1"/>
  <c r="H189" i="1"/>
  <c r="H30" i="1"/>
  <c r="H41" i="1"/>
  <c r="H32" i="1"/>
  <c r="M79" i="133"/>
  <c r="M61" i="133"/>
  <c r="M170" i="133"/>
  <c r="M40" i="133"/>
  <c r="M149" i="133"/>
  <c r="M175" i="133"/>
  <c r="M138" i="133"/>
  <c r="M124" i="133"/>
  <c r="M137" i="133"/>
  <c r="H60" i="57"/>
  <c r="H140" i="57"/>
  <c r="H172" i="19"/>
  <c r="H145" i="49"/>
  <c r="H119" i="104"/>
  <c r="H37" i="32"/>
  <c r="H65" i="57"/>
  <c r="M93" i="120"/>
  <c r="H166" i="85"/>
  <c r="H67" i="85"/>
  <c r="H71" i="85"/>
  <c r="H75" i="85"/>
  <c r="H164" i="104"/>
  <c r="H88" i="32"/>
  <c r="H70" i="1"/>
  <c r="H150" i="1"/>
  <c r="H34" i="1"/>
  <c r="H102" i="1"/>
  <c r="H179" i="1"/>
  <c r="H64" i="1"/>
  <c r="H143" i="1"/>
  <c r="H28" i="1"/>
  <c r="H97" i="1"/>
  <c r="H173" i="1"/>
  <c r="H55" i="1"/>
  <c r="H136" i="1"/>
  <c r="H206" i="1"/>
  <c r="H90" i="1"/>
  <c r="H167" i="1"/>
  <c r="H49" i="1"/>
  <c r="H129" i="1"/>
  <c r="H201" i="1"/>
  <c r="H84" i="1"/>
  <c r="H160" i="1"/>
  <c r="H137" i="57"/>
  <c r="M111" i="120"/>
  <c r="H83" i="39"/>
  <c r="H178" i="1"/>
  <c r="M61" i="69"/>
  <c r="M93" i="49"/>
  <c r="M111" i="142"/>
  <c r="M102" i="37"/>
  <c r="H180" i="57"/>
  <c r="M21" i="120"/>
  <c r="H40" i="39"/>
  <c r="H201" i="85"/>
  <c r="H205" i="85"/>
  <c r="H208" i="85"/>
  <c r="H115" i="85"/>
  <c r="H53" i="104"/>
  <c r="H35" i="1"/>
  <c r="H109" i="1"/>
  <c r="H186" i="1"/>
  <c r="H67" i="1"/>
  <c r="H145" i="1"/>
  <c r="H29" i="1"/>
  <c r="H100" i="1"/>
  <c r="H180" i="1"/>
  <c r="H60" i="1"/>
  <c r="H137" i="1"/>
  <c r="K12" i="1"/>
  <c r="H91" i="1"/>
  <c r="H174" i="1"/>
  <c r="H54" i="1"/>
  <c r="H130" i="1"/>
  <c r="H202" i="1"/>
  <c r="H85" i="1"/>
  <c r="H168" i="1"/>
  <c r="H48" i="1"/>
  <c r="H123" i="1"/>
  <c r="H193" i="1"/>
  <c r="H191" i="62"/>
  <c r="H176" i="104"/>
  <c r="H44" i="57"/>
  <c r="H34" i="104"/>
  <c r="H27" i="1"/>
  <c r="H98" i="1"/>
  <c r="H58" i="1"/>
  <c r="H135" i="1"/>
  <c r="G215" i="1"/>
  <c r="H89" i="1"/>
  <c r="H172" i="1"/>
  <c r="H52" i="1"/>
  <c r="H127" i="1"/>
  <c r="H200" i="1"/>
  <c r="H83" i="1"/>
  <c r="H166" i="1"/>
  <c r="H46" i="1"/>
  <c r="H117" i="1"/>
  <c r="H191" i="1"/>
  <c r="H76" i="1"/>
  <c r="H157" i="1"/>
  <c r="H40" i="1"/>
  <c r="H110" i="1"/>
  <c r="H185" i="1"/>
  <c r="M79" i="142"/>
  <c r="G215" i="32"/>
  <c r="M208" i="1"/>
  <c r="H101" i="57"/>
  <c r="E238" i="119"/>
  <c r="H180" i="39"/>
  <c r="H32" i="85"/>
  <c r="H36" i="85"/>
  <c r="H132" i="85"/>
  <c r="H137" i="85"/>
  <c r="H116" i="104"/>
  <c r="H59" i="32"/>
  <c r="H43" i="1"/>
  <c r="H119" i="1"/>
  <c r="H194" i="1"/>
  <c r="H75" i="1"/>
  <c r="H153" i="1"/>
  <c r="H37" i="1"/>
  <c r="H114" i="1"/>
  <c r="H188" i="1"/>
  <c r="H69" i="1"/>
  <c r="H147" i="1"/>
  <c r="H31" i="1"/>
  <c r="H105" i="1"/>
  <c r="H182" i="1"/>
  <c r="H61" i="1"/>
  <c r="H140" i="1"/>
  <c r="H25" i="1"/>
  <c r="H96" i="1"/>
  <c r="H176" i="1"/>
  <c r="H56" i="1"/>
  <c r="H132" i="1"/>
  <c r="H204" i="1"/>
  <c r="M79" i="21"/>
  <c r="M102" i="120"/>
  <c r="M21" i="85"/>
  <c r="H57" i="57"/>
  <c r="H90" i="57"/>
  <c r="H101" i="39"/>
  <c r="M102" i="142"/>
  <c r="H48" i="85"/>
  <c r="H147" i="85"/>
  <c r="H151" i="85"/>
  <c r="H156" i="85"/>
  <c r="H68" i="104"/>
  <c r="H195" i="32"/>
  <c r="H51" i="1"/>
  <c r="H131" i="1"/>
  <c r="H203" i="1"/>
  <c r="H86" i="1"/>
  <c r="H161" i="1"/>
  <c r="H45" i="1"/>
  <c r="H124" i="1"/>
  <c r="H196" i="1"/>
  <c r="H77" i="1"/>
  <c r="H156" i="1"/>
  <c r="H39" i="1"/>
  <c r="H116" i="1"/>
  <c r="H190" i="1"/>
  <c r="H71" i="1"/>
  <c r="H149" i="1"/>
  <c r="H33" i="1"/>
  <c r="H107" i="1"/>
  <c r="H184" i="1"/>
  <c r="H65" i="1"/>
  <c r="H142" i="1"/>
  <c r="H179" i="19"/>
  <c r="H141" i="19"/>
  <c r="H40" i="19"/>
  <c r="H191" i="19"/>
  <c r="H91" i="19"/>
  <c r="H188" i="19"/>
  <c r="H153" i="19"/>
  <c r="H119" i="19"/>
  <c r="H32" i="19"/>
  <c r="H117" i="19"/>
  <c r="H83" i="19"/>
  <c r="H180" i="19"/>
  <c r="H42" i="19"/>
  <c r="H132" i="19"/>
  <c r="H96" i="19"/>
  <c r="H190" i="19"/>
  <c r="H88" i="19"/>
  <c r="H89" i="19"/>
  <c r="H34" i="19"/>
  <c r="H123" i="19"/>
  <c r="H25" i="19"/>
  <c r="H182" i="19"/>
  <c r="H69" i="19"/>
  <c r="H37" i="19"/>
  <c r="H150" i="19"/>
  <c r="H110" i="19"/>
  <c r="H202" i="19"/>
  <c r="H105" i="19"/>
  <c r="H60" i="19"/>
  <c r="H29" i="19"/>
  <c r="H164" i="57"/>
  <c r="H147" i="62"/>
  <c r="H184" i="20"/>
  <c r="H72" i="104"/>
  <c r="H184" i="104"/>
  <c r="H180" i="104"/>
  <c r="H46" i="104"/>
  <c r="H50" i="104"/>
  <c r="H181" i="32"/>
  <c r="H40" i="32"/>
  <c r="M21" i="37"/>
  <c r="G215" i="104"/>
  <c r="H48" i="57"/>
  <c r="H185" i="57"/>
  <c r="H47" i="57"/>
  <c r="H127" i="57"/>
  <c r="H135" i="57"/>
  <c r="H110" i="57"/>
  <c r="H61" i="57"/>
  <c r="H172" i="57"/>
  <c r="H57" i="39"/>
  <c r="H34" i="39"/>
  <c r="H71" i="39"/>
  <c r="H147" i="39"/>
  <c r="H90" i="19"/>
  <c r="H50" i="19"/>
  <c r="H176" i="62"/>
  <c r="M119" i="100"/>
  <c r="M61" i="100"/>
  <c r="M161" i="100"/>
  <c r="M102" i="66"/>
  <c r="M79" i="66"/>
  <c r="H49" i="85"/>
  <c r="H193" i="85"/>
  <c r="H53" i="85"/>
  <c r="H109" i="85"/>
  <c r="H57" i="85"/>
  <c r="H116" i="85"/>
  <c r="H164" i="85"/>
  <c r="H119" i="85"/>
  <c r="H147" i="104"/>
  <c r="H108" i="104"/>
  <c r="H160" i="104"/>
  <c r="K12" i="104"/>
  <c r="H156" i="104"/>
  <c r="H25" i="104"/>
  <c r="H70" i="104"/>
  <c r="H75" i="32"/>
  <c r="H172" i="32"/>
  <c r="H126" i="32"/>
  <c r="H96" i="32"/>
  <c r="H169" i="32"/>
  <c r="H188" i="102"/>
  <c r="H204" i="102"/>
  <c r="H206" i="57"/>
  <c r="H133" i="57"/>
  <c r="H176" i="57"/>
  <c r="H28" i="57"/>
  <c r="H68" i="57"/>
  <c r="H204" i="57"/>
  <c r="H184" i="57"/>
  <c r="H59" i="57"/>
  <c r="H102" i="57"/>
  <c r="H138" i="39"/>
  <c r="H64" i="39"/>
  <c r="H90" i="39"/>
  <c r="H100" i="19"/>
  <c r="H108" i="19"/>
  <c r="H125" i="19"/>
  <c r="M111" i="37"/>
  <c r="M79" i="37"/>
  <c r="H30" i="62"/>
  <c r="E238" i="136"/>
  <c r="H165" i="104"/>
  <c r="H33" i="104"/>
  <c r="H177" i="104"/>
  <c r="H29" i="104"/>
  <c r="H83" i="104"/>
  <c r="H41" i="104"/>
  <c r="H87" i="104"/>
  <c r="H86" i="32"/>
  <c r="H69" i="32"/>
  <c r="H146" i="32"/>
  <c r="H107" i="32"/>
  <c r="H181" i="102"/>
  <c r="H55" i="102"/>
  <c r="M197" i="47"/>
  <c r="M161" i="37"/>
  <c r="H115" i="57"/>
  <c r="H160" i="57"/>
  <c r="H165" i="57"/>
  <c r="H25" i="57"/>
  <c r="H64" i="57"/>
  <c r="H126" i="57"/>
  <c r="H187" i="57"/>
  <c r="H125" i="57"/>
  <c r="H129" i="57"/>
  <c r="H189" i="57"/>
  <c r="H66" i="39"/>
  <c r="H157" i="39"/>
  <c r="H79" i="39"/>
  <c r="H202" i="39"/>
  <c r="H114" i="19"/>
  <c r="H107" i="19"/>
  <c r="H135" i="19"/>
  <c r="H175" i="62"/>
  <c r="H156" i="53"/>
  <c r="H85" i="85"/>
  <c r="H146" i="85"/>
  <c r="H188" i="85"/>
  <c r="H150" i="85"/>
  <c r="H192" i="85"/>
  <c r="H54" i="85"/>
  <c r="H196" i="85"/>
  <c r="H37" i="104"/>
  <c r="H181" i="104"/>
  <c r="H49" i="104"/>
  <c r="H98" i="104"/>
  <c r="H45" i="104"/>
  <c r="H105" i="104"/>
  <c r="H157" i="104"/>
  <c r="H109" i="104"/>
  <c r="H51" i="32"/>
  <c r="H102" i="32"/>
  <c r="H77" i="32"/>
  <c r="H46" i="32"/>
  <c r="H118" i="32"/>
  <c r="H145" i="102"/>
  <c r="H131" i="102"/>
  <c r="H69" i="102"/>
  <c r="H53" i="102"/>
  <c r="H140" i="102"/>
  <c r="H125" i="102"/>
  <c r="H70" i="102"/>
  <c r="H36" i="102"/>
  <c r="H29" i="102"/>
  <c r="G215" i="102"/>
  <c r="H96" i="102"/>
  <c r="H203" i="102"/>
  <c r="H165" i="102"/>
  <c r="H114" i="102"/>
  <c r="H33" i="102"/>
  <c r="H178" i="102"/>
  <c r="H127" i="102"/>
  <c r="H100" i="102"/>
  <c r="K12" i="102"/>
  <c r="H141" i="102"/>
  <c r="H97" i="102"/>
  <c r="H72" i="102"/>
  <c r="H46" i="57"/>
  <c r="H40" i="57"/>
  <c r="H45" i="57"/>
  <c r="H35" i="39"/>
  <c r="H59" i="39"/>
  <c r="H142" i="91"/>
  <c r="H90" i="91"/>
  <c r="H38" i="91"/>
  <c r="H176" i="91"/>
  <c r="K12" i="91"/>
  <c r="H79" i="91"/>
  <c r="H171" i="91"/>
  <c r="H100" i="42"/>
  <c r="H36" i="57"/>
  <c r="H73" i="57"/>
  <c r="H51" i="57"/>
  <c r="H26" i="57"/>
  <c r="H190" i="57"/>
  <c r="H109" i="57"/>
  <c r="H192" i="57"/>
  <c r="H31" i="57"/>
  <c r="H130" i="57"/>
  <c r="H197" i="39"/>
  <c r="H51" i="39"/>
  <c r="H60" i="39"/>
  <c r="H78" i="39"/>
  <c r="H181" i="19"/>
  <c r="H204" i="19"/>
  <c r="H109" i="62"/>
  <c r="H40" i="91"/>
  <c r="H65" i="20"/>
  <c r="H188" i="104"/>
  <c r="H155" i="104"/>
  <c r="H201" i="104"/>
  <c r="H58" i="104"/>
  <c r="H196" i="104"/>
  <c r="H61" i="104"/>
  <c r="H110" i="104"/>
  <c r="H150" i="32"/>
  <c r="H45" i="32"/>
  <c r="H200" i="32"/>
  <c r="H158" i="32"/>
  <c r="H58" i="102"/>
  <c r="H111" i="85"/>
  <c r="H159" i="85"/>
  <c r="H189" i="85"/>
  <c r="H44" i="85"/>
  <c r="H79" i="85"/>
  <c r="H130" i="85"/>
  <c r="H174" i="85"/>
  <c r="H204" i="85"/>
  <c r="H56" i="85"/>
  <c r="H96" i="85"/>
  <c r="H145" i="85"/>
  <c r="H186" i="85"/>
  <c r="H35" i="85"/>
  <c r="H69" i="85"/>
  <c r="H114" i="85"/>
  <c r="H158" i="85"/>
  <c r="H197" i="85"/>
  <c r="H47" i="85"/>
  <c r="H84" i="85"/>
  <c r="H129" i="85"/>
  <c r="H93" i="85"/>
  <c r="H141" i="85"/>
  <c r="H173" i="85"/>
  <c r="H28" i="85"/>
  <c r="H64" i="85"/>
  <c r="H108" i="85"/>
  <c r="H155" i="85"/>
  <c r="H185" i="85"/>
  <c r="H40" i="85"/>
  <c r="H76" i="85"/>
  <c r="H125" i="85"/>
  <c r="H170" i="85"/>
  <c r="H200" i="85"/>
  <c r="H52" i="85"/>
  <c r="H89" i="85"/>
  <c r="H140" i="85"/>
  <c r="H182" i="85"/>
  <c r="H31" i="85"/>
  <c r="H65" i="85"/>
  <c r="H107" i="85"/>
  <c r="H171" i="85"/>
  <c r="H26" i="85"/>
  <c r="H59" i="85"/>
  <c r="H97" i="85"/>
  <c r="H143" i="85"/>
  <c r="H183" i="85"/>
  <c r="H38" i="85"/>
  <c r="H74" i="85"/>
  <c r="H110" i="85"/>
  <c r="H157" i="85"/>
  <c r="H195" i="85"/>
  <c r="H50" i="85"/>
  <c r="H87" i="85"/>
  <c r="H127" i="85"/>
  <c r="H172" i="85"/>
  <c r="H61" i="85"/>
  <c r="H105" i="85"/>
  <c r="H142" i="85"/>
  <c r="H184" i="85"/>
  <c r="H33" i="85"/>
  <c r="H153" i="85"/>
  <c r="H194" i="85"/>
  <c r="H43" i="85"/>
  <c r="H77" i="85"/>
  <c r="H124" i="85"/>
  <c r="H167" i="85"/>
  <c r="H206" i="85"/>
  <c r="H55" i="85"/>
  <c r="H92" i="85"/>
  <c r="H138" i="85"/>
  <c r="H179" i="85"/>
  <c r="H34" i="85"/>
  <c r="H70" i="85"/>
  <c r="H106" i="85"/>
  <c r="H152" i="85"/>
  <c r="H191" i="85"/>
  <c r="H46" i="85"/>
  <c r="H83" i="85"/>
  <c r="H123" i="85"/>
  <c r="H168" i="85"/>
  <c r="H135" i="85"/>
  <c r="H178" i="85"/>
  <c r="H27" i="85"/>
  <c r="H60" i="85"/>
  <c r="H100" i="85"/>
  <c r="H149" i="85"/>
  <c r="H190" i="85"/>
  <c r="H39" i="85"/>
  <c r="H73" i="85"/>
  <c r="H118" i="85"/>
  <c r="H161" i="85"/>
  <c r="H203" i="85"/>
  <c r="H51" i="85"/>
  <c r="H88" i="85"/>
  <c r="H133" i="85"/>
  <c r="H175" i="85"/>
  <c r="H30" i="85"/>
  <c r="H66" i="85"/>
  <c r="H101" i="85"/>
  <c r="H148" i="85"/>
  <c r="H102" i="104"/>
  <c r="H150" i="104"/>
  <c r="H185" i="104"/>
  <c r="H40" i="104"/>
  <c r="H76" i="104"/>
  <c r="H117" i="104"/>
  <c r="H166" i="104"/>
  <c r="H189" i="104"/>
  <c r="H44" i="104"/>
  <c r="H79" i="104"/>
  <c r="H135" i="104"/>
  <c r="H178" i="104"/>
  <c r="H27" i="104"/>
  <c r="H65" i="104"/>
  <c r="H107" i="104"/>
  <c r="H149" i="104"/>
  <c r="H190" i="104"/>
  <c r="H39" i="104"/>
  <c r="H69" i="104"/>
  <c r="H114" i="104"/>
  <c r="H86" i="104"/>
  <c r="H131" i="104"/>
  <c r="H169" i="104"/>
  <c r="H208" i="104"/>
  <c r="H57" i="104"/>
  <c r="H99" i="104"/>
  <c r="H146" i="104"/>
  <c r="H173" i="104"/>
  <c r="H28" i="104"/>
  <c r="H64" i="104"/>
  <c r="H111" i="104"/>
  <c r="H159" i="104"/>
  <c r="H193" i="104"/>
  <c r="H48" i="104"/>
  <c r="H85" i="104"/>
  <c r="H130" i="104"/>
  <c r="H174" i="104"/>
  <c r="H200" i="104"/>
  <c r="H52" i="104"/>
  <c r="H89" i="104"/>
  <c r="H161" i="104"/>
  <c r="H203" i="104"/>
  <c r="H51" i="104"/>
  <c r="H92" i="104"/>
  <c r="H138" i="104"/>
  <c r="H175" i="104"/>
  <c r="H30" i="104"/>
  <c r="H66" i="104"/>
  <c r="H97" i="104"/>
  <c r="H143" i="104"/>
  <c r="H187" i="104"/>
  <c r="H42" i="104"/>
  <c r="H78" i="104"/>
  <c r="H123" i="104"/>
  <c r="H168" i="104"/>
  <c r="H202" i="104"/>
  <c r="H54" i="104"/>
  <c r="H91" i="104"/>
  <c r="H127" i="104"/>
  <c r="H172" i="104"/>
  <c r="H145" i="104"/>
  <c r="H186" i="104"/>
  <c r="H35" i="104"/>
  <c r="H73" i="104"/>
  <c r="H118" i="104"/>
  <c r="H158" i="104"/>
  <c r="H197" i="104"/>
  <c r="H47" i="104"/>
  <c r="H77" i="104"/>
  <c r="H124" i="104"/>
  <c r="H171" i="104"/>
  <c r="H26" i="104"/>
  <c r="H59" i="104"/>
  <c r="H101" i="104"/>
  <c r="H148" i="104"/>
  <c r="H183" i="104"/>
  <c r="H38" i="104"/>
  <c r="H74" i="104"/>
  <c r="H106" i="104"/>
  <c r="H152" i="104"/>
  <c r="H125" i="104"/>
  <c r="H170" i="104"/>
  <c r="H204" i="104"/>
  <c r="H56" i="104"/>
  <c r="H96" i="104"/>
  <c r="H140" i="104"/>
  <c r="H182" i="104"/>
  <c r="H31" i="104"/>
  <c r="H60" i="104"/>
  <c r="H100" i="104"/>
  <c r="H153" i="104"/>
  <c r="H194" i="104"/>
  <c r="H43" i="104"/>
  <c r="H84" i="104"/>
  <c r="H129" i="104"/>
  <c r="H167" i="104"/>
  <c r="H206" i="104"/>
  <c r="H55" i="104"/>
  <c r="H88" i="104"/>
  <c r="H133" i="104"/>
  <c r="H171" i="57"/>
  <c r="H108" i="57"/>
  <c r="H143" i="57"/>
  <c r="H38" i="57"/>
  <c r="H194" i="57"/>
  <c r="H178" i="57"/>
  <c r="H203" i="57"/>
  <c r="H111" i="57"/>
  <c r="H119" i="57"/>
  <c r="H35" i="57"/>
  <c r="H183" i="57"/>
  <c r="H175" i="57"/>
  <c r="H92" i="57"/>
  <c r="H52" i="57"/>
  <c r="H54" i="57"/>
  <c r="H74" i="57"/>
  <c r="H28" i="39"/>
  <c r="H165" i="19"/>
  <c r="H193" i="32"/>
  <c r="H204" i="32"/>
  <c r="H73" i="32"/>
  <c r="H157" i="32"/>
  <c r="H33" i="32"/>
  <c r="H99" i="32"/>
  <c r="H182" i="32"/>
  <c r="H47" i="32"/>
  <c r="H127" i="32"/>
  <c r="H196" i="32"/>
  <c r="H72" i="32"/>
  <c r="H145" i="32"/>
  <c r="H203" i="32"/>
  <c r="H109" i="32"/>
  <c r="H185" i="32"/>
  <c r="H65" i="32"/>
  <c r="H138" i="32"/>
  <c r="H25" i="32"/>
  <c r="H82" i="32"/>
  <c r="H166" i="32"/>
  <c r="H39" i="32"/>
  <c r="H106" i="32"/>
  <c r="H188" i="32"/>
  <c r="H53" i="32"/>
  <c r="H125" i="32"/>
  <c r="H194" i="32"/>
  <c r="H87" i="32"/>
  <c r="H132" i="32"/>
  <c r="H192" i="32"/>
  <c r="H76" i="32"/>
  <c r="H149" i="32"/>
  <c r="H30" i="32"/>
  <c r="H105" i="32"/>
  <c r="H165" i="32"/>
  <c r="H52" i="32"/>
  <c r="H124" i="32"/>
  <c r="H179" i="32"/>
  <c r="H67" i="32"/>
  <c r="H141" i="32"/>
  <c r="H43" i="32"/>
  <c r="H110" i="32"/>
  <c r="H184" i="32"/>
  <c r="H57" i="32"/>
  <c r="H140" i="32"/>
  <c r="H197" i="32"/>
  <c r="H83" i="32"/>
  <c r="H156" i="32"/>
  <c r="H36" i="32"/>
  <c r="H114" i="32"/>
  <c r="H161" i="32"/>
  <c r="H50" i="32"/>
  <c r="H131" i="32"/>
  <c r="H35" i="32"/>
  <c r="H92" i="32"/>
  <c r="H176" i="32"/>
  <c r="H41" i="32"/>
  <c r="H117" i="32"/>
  <c r="H190" i="32"/>
  <c r="H66" i="32"/>
  <c r="H147" i="32"/>
  <c r="H205" i="32"/>
  <c r="H89" i="32"/>
  <c r="H153" i="32"/>
  <c r="H34" i="32"/>
  <c r="H119" i="32"/>
  <c r="H27" i="32"/>
  <c r="M79" i="87"/>
  <c r="H72" i="57"/>
  <c r="H118" i="57"/>
  <c r="H124" i="57"/>
  <c r="H106" i="57"/>
  <c r="H151" i="57"/>
  <c r="H193" i="57"/>
  <c r="H41" i="57"/>
  <c r="H156" i="57"/>
  <c r="H157" i="57"/>
  <c r="H136" i="57"/>
  <c r="H46" i="39"/>
  <c r="H170" i="39"/>
  <c r="H91" i="39"/>
  <c r="H189" i="19"/>
  <c r="H27" i="19"/>
  <c r="H132" i="91"/>
  <c r="H160" i="85"/>
  <c r="H117" i="85"/>
  <c r="H165" i="85"/>
  <c r="H25" i="85"/>
  <c r="H169" i="85"/>
  <c r="H29" i="85"/>
  <c r="H78" i="85"/>
  <c r="H205" i="104"/>
  <c r="H71" i="104"/>
  <c r="H32" i="104"/>
  <c r="H75" i="104"/>
  <c r="H115" i="104"/>
  <c r="H82" i="104"/>
  <c r="H132" i="104"/>
  <c r="H179" i="104"/>
  <c r="H170" i="32"/>
  <c r="H133" i="32"/>
  <c r="H31" i="32"/>
  <c r="H175" i="32"/>
  <c r="H142" i="32"/>
  <c r="H172" i="102"/>
  <c r="H102" i="102"/>
  <c r="H51" i="102"/>
  <c r="H177" i="62"/>
  <c r="H178" i="62"/>
  <c r="H100" i="62"/>
  <c r="H202" i="62"/>
  <c r="H132" i="62"/>
  <c r="H159" i="62"/>
  <c r="H174" i="62"/>
  <c r="H187" i="62"/>
  <c r="H115" i="62"/>
  <c r="H166" i="62"/>
  <c r="H145" i="62"/>
  <c r="H164" i="62"/>
  <c r="H193" i="62"/>
  <c r="H135" i="62"/>
  <c r="H114" i="62"/>
  <c r="H152" i="20"/>
  <c r="H140" i="20"/>
  <c r="H165" i="39"/>
  <c r="H178" i="39"/>
  <c r="H33" i="39"/>
  <c r="H77" i="39"/>
  <c r="H67" i="39"/>
  <c r="H56" i="39"/>
  <c r="H82" i="39"/>
  <c r="H119" i="39"/>
  <c r="H72" i="39"/>
  <c r="H65" i="39"/>
  <c r="H187" i="39"/>
  <c r="H201" i="39"/>
  <c r="H39" i="39"/>
  <c r="H179" i="39"/>
  <c r="H185" i="39"/>
  <c r="H175" i="39"/>
  <c r="H31" i="39"/>
  <c r="H135" i="39"/>
  <c r="H168" i="39"/>
  <c r="H189" i="39"/>
  <c r="H161" i="39"/>
  <c r="H151" i="39"/>
  <c r="H158" i="39"/>
  <c r="K15" i="113"/>
  <c r="G237" i="113"/>
  <c r="H161" i="57"/>
  <c r="H37" i="57"/>
  <c r="H197" i="57"/>
  <c r="H202" i="57"/>
  <c r="H182" i="39"/>
  <c r="H201" i="19"/>
  <c r="H136" i="104"/>
  <c r="H141" i="104"/>
  <c r="H192" i="104"/>
  <c r="H70" i="32"/>
  <c r="H71" i="32"/>
  <c r="H50" i="102"/>
  <c r="M206" i="37"/>
  <c r="M119" i="47"/>
  <c r="H146" i="57"/>
  <c r="H70" i="57"/>
  <c r="H78" i="57"/>
  <c r="H49" i="57"/>
  <c r="H66" i="57"/>
  <c r="H152" i="57"/>
  <c r="H50" i="57"/>
  <c r="H69" i="57"/>
  <c r="H150" i="57"/>
  <c r="H41" i="39"/>
  <c r="H186" i="39"/>
  <c r="H136" i="39"/>
  <c r="H106" i="39"/>
  <c r="H206" i="19"/>
  <c r="H43" i="19"/>
  <c r="H168" i="62"/>
  <c r="H147" i="91"/>
  <c r="H177" i="85"/>
  <c r="H37" i="85"/>
  <c r="H181" i="85"/>
  <c r="H41" i="85"/>
  <c r="H91" i="85"/>
  <c r="H45" i="85"/>
  <c r="H98" i="85"/>
  <c r="H36" i="104"/>
  <c r="H90" i="104"/>
  <c r="H142" i="104"/>
  <c r="H93" i="104"/>
  <c r="H137" i="104"/>
  <c r="H191" i="104"/>
  <c r="H151" i="104"/>
  <c r="H195" i="104"/>
  <c r="H186" i="32"/>
  <c r="H152" i="32"/>
  <c r="H116" i="32"/>
  <c r="H191" i="32"/>
  <c r="H151" i="32"/>
  <c r="H180" i="102"/>
  <c r="H92" i="102"/>
  <c r="H145" i="37"/>
  <c r="H187" i="42"/>
  <c r="H171" i="42"/>
  <c r="H186" i="42"/>
  <c r="H200" i="42"/>
  <c r="H36" i="42"/>
  <c r="H53" i="42"/>
  <c r="H82" i="42"/>
  <c r="H126" i="42"/>
  <c r="H160" i="42"/>
  <c r="H201" i="42"/>
  <c r="H49" i="42"/>
  <c r="H161" i="42"/>
  <c r="H178" i="42"/>
  <c r="H189" i="42"/>
  <c r="H28" i="42"/>
  <c r="H37" i="42"/>
  <c r="H71" i="42"/>
  <c r="H116" i="42"/>
  <c r="H151" i="42"/>
  <c r="H192" i="42"/>
  <c r="H41" i="42"/>
  <c r="H135" i="42"/>
  <c r="H159" i="42"/>
  <c r="H173" i="42"/>
  <c r="H188" i="42"/>
  <c r="G215" i="42"/>
  <c r="H54" i="42"/>
  <c r="H91" i="42"/>
  <c r="H132" i="42"/>
  <c r="H176" i="42"/>
  <c r="H25" i="42"/>
  <c r="H125" i="42"/>
  <c r="H150" i="42"/>
  <c r="H165" i="42"/>
  <c r="H180" i="42"/>
  <c r="H202" i="42"/>
  <c r="H46" i="42"/>
  <c r="H83" i="42"/>
  <c r="H123" i="42"/>
  <c r="H168" i="42"/>
  <c r="H86" i="42"/>
  <c r="H98" i="42"/>
  <c r="H115" i="42"/>
  <c r="H143" i="42"/>
  <c r="H158" i="42"/>
  <c r="H197" i="42"/>
  <c r="H47" i="42"/>
  <c r="H84" i="42"/>
  <c r="H129" i="42"/>
  <c r="H166" i="42"/>
  <c r="H178" i="53"/>
  <c r="H195" i="49"/>
  <c r="H174" i="42"/>
  <c r="H147" i="49"/>
  <c r="H37" i="37"/>
  <c r="H48" i="42"/>
  <c r="H190" i="42"/>
  <c r="H88" i="42"/>
  <c r="K12" i="42"/>
  <c r="M61" i="31"/>
  <c r="H204" i="49"/>
  <c r="H82" i="49"/>
  <c r="H126" i="37"/>
  <c r="H35" i="113"/>
  <c r="H58" i="113"/>
  <c r="H41" i="113"/>
  <c r="H65" i="113"/>
  <c r="H83" i="113"/>
  <c r="H61" i="113"/>
  <c r="H89" i="113"/>
  <c r="H115" i="113"/>
  <c r="H201" i="69"/>
  <c r="H176" i="69"/>
  <c r="H189" i="69"/>
  <c r="H46" i="69"/>
  <c r="H49" i="69"/>
  <c r="H173" i="69"/>
  <c r="H166" i="69"/>
  <c r="G215" i="69"/>
  <c r="H161" i="69"/>
  <c r="H69" i="69"/>
  <c r="H146" i="69"/>
  <c r="H145" i="69"/>
  <c r="H143" i="69"/>
  <c r="H116" i="69"/>
  <c r="H142" i="69"/>
  <c r="H125" i="69"/>
  <c r="H124" i="69"/>
  <c r="H31" i="69"/>
  <c r="H146" i="141"/>
  <c r="H202" i="141"/>
  <c r="H155" i="141"/>
  <c r="H180" i="141"/>
  <c r="H164" i="141"/>
  <c r="H78" i="141"/>
  <c r="H58" i="98"/>
  <c r="H153" i="98"/>
  <c r="H124" i="98"/>
  <c r="H92" i="98"/>
  <c r="H135" i="98"/>
  <c r="H100" i="98"/>
  <c r="H73" i="98"/>
  <c r="H26" i="98"/>
  <c r="H183" i="98"/>
  <c r="H157" i="98"/>
  <c r="H194" i="98"/>
  <c r="H167" i="98"/>
  <c r="H138" i="98"/>
  <c r="H43" i="98"/>
  <c r="H206" i="98"/>
  <c r="H169" i="15"/>
  <c r="H92" i="15"/>
  <c r="H89" i="15"/>
  <c r="H84" i="15"/>
  <c r="H79" i="15"/>
  <c r="H41" i="15"/>
  <c r="H38" i="15"/>
  <c r="H93" i="15"/>
  <c r="H91" i="15"/>
  <c r="H194" i="15"/>
  <c r="M111" i="27"/>
  <c r="M197" i="27"/>
  <c r="M93" i="27"/>
  <c r="M102" i="27"/>
  <c r="M161" i="27"/>
  <c r="M61" i="27"/>
  <c r="H96" i="42"/>
  <c r="H188" i="37"/>
  <c r="H125" i="37"/>
  <c r="H118" i="37"/>
  <c r="H83" i="37"/>
  <c r="H147" i="37"/>
  <c r="H86" i="37"/>
  <c r="H96" i="37"/>
  <c r="H106" i="37"/>
  <c r="H194" i="37"/>
  <c r="H57" i="37"/>
  <c r="H77" i="37"/>
  <c r="H70" i="37"/>
  <c r="H175" i="37"/>
  <c r="H196" i="37"/>
  <c r="H43" i="37"/>
  <c r="H140" i="37"/>
  <c r="H56" i="42"/>
  <c r="H117" i="42"/>
  <c r="H106" i="42"/>
  <c r="H98" i="49"/>
  <c r="H117" i="49"/>
  <c r="H136" i="37"/>
  <c r="H43" i="113"/>
  <c r="H67" i="113"/>
  <c r="H96" i="113"/>
  <c r="H73" i="113"/>
  <c r="H91" i="113"/>
  <c r="H117" i="113"/>
  <c r="H100" i="113"/>
  <c r="E238" i="84"/>
  <c r="H153" i="53"/>
  <c r="H180" i="53"/>
  <c r="H143" i="53"/>
  <c r="H149" i="53"/>
  <c r="H155" i="53"/>
  <c r="H171" i="53"/>
  <c r="H136" i="53"/>
  <c r="K15" i="27"/>
  <c r="H133" i="42"/>
  <c r="M197" i="59"/>
  <c r="M119" i="59"/>
  <c r="K12" i="49"/>
  <c r="H69" i="42"/>
  <c r="M111" i="79"/>
  <c r="M93" i="79"/>
  <c r="H159" i="49"/>
  <c r="H181" i="113"/>
  <c r="H106" i="113"/>
  <c r="H36" i="113"/>
  <c r="H152" i="113"/>
  <c r="H72" i="113"/>
  <c r="H183" i="113"/>
  <c r="H108" i="113"/>
  <c r="H38" i="113"/>
  <c r="H155" i="113"/>
  <c r="H74" i="113"/>
  <c r="H193" i="113"/>
  <c r="H123" i="113"/>
  <c r="H48" i="113"/>
  <c r="H168" i="113"/>
  <c r="H85" i="113"/>
  <c r="H195" i="113"/>
  <c r="H125" i="113"/>
  <c r="H50" i="113"/>
  <c r="H170" i="113"/>
  <c r="H87" i="113"/>
  <c r="H173" i="113"/>
  <c r="H97" i="113"/>
  <c r="H28" i="113"/>
  <c r="H143" i="113"/>
  <c r="H64" i="113"/>
  <c r="H175" i="113"/>
  <c r="H99" i="113"/>
  <c r="H30" i="113"/>
  <c r="H146" i="113"/>
  <c r="H66" i="113"/>
  <c r="H185" i="113"/>
  <c r="H110" i="113"/>
  <c r="H40" i="113"/>
  <c r="H157" i="113"/>
  <c r="H76" i="113"/>
  <c r="H187" i="113"/>
  <c r="H111" i="113"/>
  <c r="H42" i="113"/>
  <c r="H159" i="113"/>
  <c r="H78" i="113"/>
  <c r="H165" i="113"/>
  <c r="H88" i="113"/>
  <c r="H205" i="113"/>
  <c r="H133" i="113"/>
  <c r="H53" i="113"/>
  <c r="H167" i="113"/>
  <c r="H90" i="113"/>
  <c r="H206" i="113"/>
  <c r="H136" i="113"/>
  <c r="H55" i="113"/>
  <c r="H177" i="113"/>
  <c r="H101" i="113"/>
  <c r="H32" i="113"/>
  <c r="H148" i="113"/>
  <c r="H68" i="113"/>
  <c r="H179" i="113"/>
  <c r="H102" i="113"/>
  <c r="H34" i="113"/>
  <c r="H150" i="113"/>
  <c r="H70" i="113"/>
  <c r="H156" i="113"/>
  <c r="H77" i="113"/>
  <c r="H196" i="113"/>
  <c r="H124" i="113"/>
  <c r="H45" i="113"/>
  <c r="H158" i="113"/>
  <c r="H82" i="113"/>
  <c r="H197" i="113"/>
  <c r="H126" i="113"/>
  <c r="H47" i="113"/>
  <c r="H169" i="113"/>
  <c r="H92" i="113"/>
  <c r="H208" i="113"/>
  <c r="H138" i="113"/>
  <c r="H57" i="113"/>
  <c r="H171" i="113"/>
  <c r="H93" i="113"/>
  <c r="H26" i="113"/>
  <c r="H141" i="113"/>
  <c r="H59" i="113"/>
  <c r="H147" i="113"/>
  <c r="H69" i="113"/>
  <c r="H188" i="113"/>
  <c r="H114" i="113"/>
  <c r="H37" i="113"/>
  <c r="H149" i="113"/>
  <c r="H71" i="113"/>
  <c r="H190" i="113"/>
  <c r="H116" i="113"/>
  <c r="H39" i="113"/>
  <c r="H160" i="113"/>
  <c r="H84" i="113"/>
  <c r="H201" i="113"/>
  <c r="H129" i="113"/>
  <c r="H49" i="113"/>
  <c r="H161" i="113"/>
  <c r="H86" i="113"/>
  <c r="H203" i="113"/>
  <c r="H131" i="113"/>
  <c r="H51" i="113"/>
  <c r="M102" i="54"/>
  <c r="M206" i="54"/>
  <c r="M61" i="54"/>
  <c r="M119" i="54"/>
  <c r="G215" i="37"/>
  <c r="H73" i="42"/>
  <c r="H130" i="42"/>
  <c r="H59" i="42"/>
  <c r="M21" i="69"/>
  <c r="M93" i="69"/>
  <c r="M161" i="69"/>
  <c r="M102" i="69"/>
  <c r="M197" i="69"/>
  <c r="M119" i="141"/>
  <c r="M102" i="141"/>
  <c r="H118" i="53"/>
  <c r="H85" i="49"/>
  <c r="H41" i="49"/>
  <c r="H32" i="69"/>
  <c r="H206" i="37"/>
  <c r="H98" i="113"/>
  <c r="H75" i="113"/>
  <c r="H107" i="113"/>
  <c r="H132" i="113"/>
  <c r="H105" i="113"/>
  <c r="H130" i="113"/>
  <c r="H164" i="113"/>
  <c r="H137" i="113"/>
  <c r="M79" i="135"/>
  <c r="M206" i="135"/>
  <c r="M79" i="27"/>
  <c r="H50" i="42"/>
  <c r="H118" i="42"/>
  <c r="H149" i="42"/>
  <c r="H70" i="42"/>
  <c r="M197" i="54"/>
  <c r="M93" i="63"/>
  <c r="M111" i="63"/>
  <c r="M197" i="63"/>
  <c r="H138" i="53"/>
  <c r="H123" i="141"/>
  <c r="H101" i="69"/>
  <c r="H40" i="37"/>
  <c r="H109" i="113"/>
  <c r="H135" i="113"/>
  <c r="H118" i="113"/>
  <c r="H142" i="113"/>
  <c r="H166" i="113"/>
  <c r="H140" i="113"/>
  <c r="H172" i="113"/>
  <c r="H189" i="113"/>
  <c r="H193" i="49"/>
  <c r="H146" i="49"/>
  <c r="H67" i="49"/>
  <c r="H149" i="49"/>
  <c r="H194" i="49"/>
  <c r="H169" i="49"/>
  <c r="H172" i="49"/>
  <c r="H124" i="49"/>
  <c r="H130" i="49"/>
  <c r="H200" i="49"/>
  <c r="H40" i="49"/>
  <c r="H58" i="49"/>
  <c r="H161" i="49"/>
  <c r="H108" i="49"/>
  <c r="H102" i="49"/>
  <c r="H192" i="49"/>
  <c r="H165" i="49"/>
  <c r="H174" i="49"/>
  <c r="H34" i="49"/>
  <c r="H57" i="49"/>
  <c r="H106" i="49"/>
  <c r="H177" i="49"/>
  <c r="H39" i="49"/>
  <c r="H164" i="49"/>
  <c r="M161" i="94"/>
  <c r="M111" i="94"/>
  <c r="H67" i="42"/>
  <c r="H193" i="42"/>
  <c r="M93" i="32"/>
  <c r="M61" i="32"/>
  <c r="M206" i="32"/>
  <c r="M79" i="32"/>
  <c r="H204" i="42"/>
  <c r="H89" i="42"/>
  <c r="H87" i="42"/>
  <c r="H110" i="53"/>
  <c r="H65" i="49"/>
  <c r="E238" i="39"/>
  <c r="G237" i="27"/>
  <c r="H158" i="69"/>
  <c r="H132" i="69"/>
  <c r="H151" i="37"/>
  <c r="H119" i="113"/>
  <c r="H145" i="113"/>
  <c r="H176" i="113"/>
  <c r="H151" i="113"/>
  <c r="H174" i="113"/>
  <c r="H191" i="113"/>
  <c r="H180" i="113"/>
  <c r="H200" i="113"/>
  <c r="H26" i="32"/>
  <c r="H93" i="32"/>
  <c r="H171" i="32"/>
  <c r="H64" i="32"/>
  <c r="H143" i="32"/>
  <c r="H28" i="32"/>
  <c r="H97" i="32"/>
  <c r="H173" i="32"/>
  <c r="H55" i="32"/>
  <c r="H136" i="32"/>
  <c r="H206" i="32"/>
  <c r="H90" i="32"/>
  <c r="H167" i="32"/>
  <c r="H49" i="32"/>
  <c r="H129" i="32"/>
  <c r="H201" i="32"/>
  <c r="H84" i="32"/>
  <c r="H160" i="32"/>
  <c r="H133" i="102"/>
  <c r="H106" i="102"/>
  <c r="H109" i="102"/>
  <c r="H86" i="102"/>
  <c r="H176" i="102"/>
  <c r="H78" i="32"/>
  <c r="H159" i="32"/>
  <c r="H42" i="32"/>
  <c r="H111" i="32"/>
  <c r="H187" i="32"/>
  <c r="H79" i="32"/>
  <c r="H164" i="32"/>
  <c r="H44" i="32"/>
  <c r="H115" i="32"/>
  <c r="H189" i="32"/>
  <c r="H74" i="32"/>
  <c r="H155" i="32"/>
  <c r="H38" i="32"/>
  <c r="H108" i="32"/>
  <c r="H183" i="32"/>
  <c r="H68" i="32"/>
  <c r="H148" i="32"/>
  <c r="H32" i="32"/>
  <c r="H101" i="32"/>
  <c r="H177" i="32"/>
  <c r="H98" i="32"/>
  <c r="H178" i="32"/>
  <c r="H58" i="32"/>
  <c r="H135" i="32"/>
  <c r="H29" i="32"/>
  <c r="H100" i="32"/>
  <c r="H180" i="32"/>
  <c r="H60" i="32"/>
  <c r="H137" i="32"/>
  <c r="K12" i="32"/>
  <c r="H91" i="32"/>
  <c r="H174" i="32"/>
  <c r="H54" i="32"/>
  <c r="H130" i="32"/>
  <c r="H202" i="32"/>
  <c r="H85" i="32"/>
  <c r="H168" i="32"/>
  <c r="H48" i="32"/>
  <c r="H123" i="32"/>
  <c r="H64" i="102"/>
  <c r="H28" i="102"/>
  <c r="H200" i="102"/>
  <c r="H186" i="102"/>
  <c r="H179" i="102"/>
  <c r="H91" i="102"/>
  <c r="H33" i="27"/>
  <c r="H191" i="27"/>
  <c r="H50" i="27"/>
  <c r="H167" i="62"/>
  <c r="H90" i="62"/>
  <c r="H206" i="62"/>
  <c r="H136" i="62"/>
  <c r="H55" i="62"/>
  <c r="H169" i="62"/>
  <c r="H92" i="62"/>
  <c r="H208" i="62"/>
  <c r="H138" i="62"/>
  <c r="H57" i="62"/>
  <c r="H179" i="62"/>
  <c r="H102" i="62"/>
  <c r="H34" i="62"/>
  <c r="H150" i="62"/>
  <c r="H70" i="62"/>
  <c r="H181" i="62"/>
  <c r="H106" i="62"/>
  <c r="H36" i="62"/>
  <c r="H152" i="62"/>
  <c r="H72" i="62"/>
  <c r="H158" i="62"/>
  <c r="H82" i="62"/>
  <c r="H197" i="62"/>
  <c r="H126" i="62"/>
  <c r="H47" i="62"/>
  <c r="H160" i="62"/>
  <c r="H84" i="62"/>
  <c r="H201" i="62"/>
  <c r="H129" i="62"/>
  <c r="H49" i="62"/>
  <c r="H171" i="62"/>
  <c r="H93" i="62"/>
  <c r="H26" i="62"/>
  <c r="H141" i="62"/>
  <c r="H59" i="62"/>
  <c r="H173" i="62"/>
  <c r="H97" i="62"/>
  <c r="H28" i="62"/>
  <c r="H143" i="62"/>
  <c r="H64" i="62"/>
  <c r="H149" i="62"/>
  <c r="H71" i="62"/>
  <c r="H190" i="62"/>
  <c r="H116" i="62"/>
  <c r="H39" i="62"/>
  <c r="H151" i="62"/>
  <c r="H73" i="62"/>
  <c r="H192" i="62"/>
  <c r="H118" i="62"/>
  <c r="H41" i="62"/>
  <c r="H161" i="62"/>
  <c r="H86" i="62"/>
  <c r="H203" i="62"/>
  <c r="H131" i="62"/>
  <c r="H51" i="62"/>
  <c r="H165" i="62"/>
  <c r="H88" i="62"/>
  <c r="H205" i="62"/>
  <c r="H133" i="62"/>
  <c r="H53" i="62"/>
  <c r="M208" i="62"/>
  <c r="H140" i="62"/>
  <c r="H61" i="62"/>
  <c r="H182" i="62"/>
  <c r="H105" i="62"/>
  <c r="H31" i="62"/>
  <c r="H142" i="62"/>
  <c r="H65" i="62"/>
  <c r="H184" i="62"/>
  <c r="H107" i="62"/>
  <c r="H33" i="62"/>
  <c r="H153" i="62"/>
  <c r="H75" i="62"/>
  <c r="H194" i="62"/>
  <c r="H119" i="62"/>
  <c r="H43" i="62"/>
  <c r="H156" i="62"/>
  <c r="H77" i="62"/>
  <c r="H196" i="62"/>
  <c r="H124" i="62"/>
  <c r="H45" i="62"/>
  <c r="H183" i="62"/>
  <c r="H108" i="62"/>
  <c r="H38" i="62"/>
  <c r="H155" i="62"/>
  <c r="H74" i="62"/>
  <c r="H185" i="62"/>
  <c r="H110" i="62"/>
  <c r="H40" i="62"/>
  <c r="H157" i="62"/>
  <c r="H76" i="62"/>
  <c r="H195" i="62"/>
  <c r="H125" i="62"/>
  <c r="H50" i="62"/>
  <c r="H170" i="62"/>
  <c r="H87" i="62"/>
  <c r="H200" i="62"/>
  <c r="H127" i="62"/>
  <c r="H52" i="62"/>
  <c r="H172" i="62"/>
  <c r="H89" i="62"/>
  <c r="M119" i="118"/>
  <c r="E238" i="111"/>
  <c r="M208" i="10"/>
  <c r="G215" i="62"/>
  <c r="H72" i="27"/>
  <c r="H36" i="27"/>
  <c r="H181" i="27"/>
  <c r="H155" i="27"/>
  <c r="H108" i="27"/>
  <c r="H68" i="27"/>
  <c r="H32" i="27"/>
  <c r="H177" i="27"/>
  <c r="H141" i="27"/>
  <c r="H93" i="27"/>
  <c r="H45" i="27"/>
  <c r="H196" i="27"/>
  <c r="H156" i="27"/>
  <c r="H126" i="27"/>
  <c r="H82" i="27"/>
  <c r="H41" i="27"/>
  <c r="H192" i="27"/>
  <c r="H151" i="27"/>
  <c r="H109" i="27"/>
  <c r="H67" i="27"/>
  <c r="M208" i="27"/>
  <c r="H45" i="19"/>
  <c r="H124" i="19"/>
  <c r="H205" i="19"/>
  <c r="H106" i="19"/>
  <c r="H200" i="19"/>
  <c r="H116" i="19"/>
  <c r="H38" i="19"/>
  <c r="H130" i="19"/>
  <c r="H33" i="19"/>
  <c r="H148" i="19"/>
  <c r="H48" i="19"/>
  <c r="H142" i="19"/>
  <c r="H59" i="19"/>
  <c r="H159" i="19"/>
  <c r="H58" i="19"/>
  <c r="H171" i="19"/>
  <c r="H180" i="62"/>
  <c r="H189" i="62"/>
  <c r="H186" i="62"/>
  <c r="K12" i="62"/>
  <c r="H32" i="62"/>
  <c r="H204" i="62"/>
  <c r="H46" i="62"/>
  <c r="H28" i="91"/>
  <c r="H150" i="91"/>
  <c r="H183" i="91"/>
  <c r="H183" i="106"/>
  <c r="H110" i="106"/>
  <c r="H150" i="106"/>
  <c r="H175" i="106"/>
  <c r="H157" i="106"/>
  <c r="H87" i="106"/>
  <c r="H167" i="106"/>
  <c r="H148" i="106"/>
  <c r="H127" i="106"/>
  <c r="H206" i="106"/>
  <c r="H138" i="106"/>
  <c r="H115" i="106"/>
  <c r="H177" i="106"/>
  <c r="H111" i="106"/>
  <c r="H89" i="106"/>
  <c r="H155" i="106"/>
  <c r="H79" i="106"/>
  <c r="H146" i="106"/>
  <c r="H169" i="106"/>
  <c r="H179" i="106"/>
  <c r="H106" i="106"/>
  <c r="H156" i="65"/>
  <c r="H196" i="65"/>
  <c r="H45" i="65"/>
  <c r="H86" i="65"/>
  <c r="H131" i="65"/>
  <c r="H185" i="65"/>
  <c r="H40" i="65"/>
  <c r="H76" i="65"/>
  <c r="H117" i="65"/>
  <c r="H166" i="65"/>
  <c r="H69" i="65"/>
  <c r="H114" i="65"/>
  <c r="H153" i="65"/>
  <c r="H194" i="65"/>
  <c r="H43" i="65"/>
  <c r="H84" i="65"/>
  <c r="H129" i="65"/>
  <c r="H167" i="65"/>
  <c r="H206" i="65"/>
  <c r="H55" i="65"/>
  <c r="H115" i="65"/>
  <c r="H164" i="65"/>
  <c r="H195" i="65"/>
  <c r="H50" i="65"/>
  <c r="H87" i="65"/>
  <c r="H151" i="65"/>
  <c r="H192" i="65"/>
  <c r="H41" i="65"/>
  <c r="H82" i="65"/>
  <c r="H126" i="65"/>
  <c r="H181" i="65"/>
  <c r="H36" i="65"/>
  <c r="H72" i="65"/>
  <c r="H111" i="65"/>
  <c r="H159" i="65"/>
  <c r="H193" i="65"/>
  <c r="H48" i="65"/>
  <c r="H85" i="65"/>
  <c r="H130" i="65"/>
  <c r="H174" i="65"/>
  <c r="H97" i="65"/>
  <c r="H143" i="65"/>
  <c r="H179" i="65"/>
  <c r="H34" i="65"/>
  <c r="H70" i="65"/>
  <c r="H132" i="65"/>
  <c r="H176" i="65"/>
  <c r="H25" i="65"/>
  <c r="H61" i="65"/>
  <c r="H105" i="65"/>
  <c r="H165" i="65"/>
  <c r="H205" i="65"/>
  <c r="H53" i="65"/>
  <c r="H93" i="65"/>
  <c r="H141" i="65"/>
  <c r="H177" i="65"/>
  <c r="H32" i="65"/>
  <c r="H68" i="65"/>
  <c r="H108" i="65"/>
  <c r="H155" i="65"/>
  <c r="H189" i="65"/>
  <c r="H44" i="65"/>
  <c r="H79" i="65"/>
  <c r="H125" i="65"/>
  <c r="H170" i="65"/>
  <c r="M208" i="65"/>
  <c r="H73" i="65"/>
  <c r="H118" i="65"/>
  <c r="H158" i="65"/>
  <c r="H197" i="65"/>
  <c r="H47" i="65"/>
  <c r="H106" i="65"/>
  <c r="H152" i="65"/>
  <c r="H187" i="65"/>
  <c r="H42" i="65"/>
  <c r="H78" i="65"/>
  <c r="H123" i="65"/>
  <c r="H168" i="65"/>
  <c r="H202" i="65"/>
  <c r="H54" i="65"/>
  <c r="H91" i="65"/>
  <c r="H188" i="27"/>
  <c r="H184" i="27"/>
  <c r="H164" i="27"/>
  <c r="H110" i="27"/>
  <c r="H165" i="27"/>
  <c r="H49" i="27"/>
  <c r="H75" i="27"/>
  <c r="H61" i="27"/>
  <c r="H49" i="142"/>
  <c r="H30" i="142"/>
  <c r="H171" i="142"/>
  <c r="H197" i="142"/>
  <c r="H67" i="142"/>
  <c r="H146" i="142"/>
  <c r="H35" i="142"/>
  <c r="H201" i="142"/>
  <c r="H28" i="142"/>
  <c r="H173" i="142"/>
  <c r="H36" i="142"/>
  <c r="H152" i="142"/>
  <c r="H89" i="27"/>
  <c r="H52" i="27"/>
  <c r="H200" i="27"/>
  <c r="H174" i="27"/>
  <c r="H130" i="27"/>
  <c r="H85" i="27"/>
  <c r="H48" i="27"/>
  <c r="H193" i="27"/>
  <c r="H159" i="27"/>
  <c r="H111" i="27"/>
  <c r="H64" i="27"/>
  <c r="H28" i="27"/>
  <c r="H173" i="27"/>
  <c r="H146" i="27"/>
  <c r="H99" i="27"/>
  <c r="H57" i="27"/>
  <c r="H208" i="27"/>
  <c r="H169" i="27"/>
  <c r="H131" i="27"/>
  <c r="H86" i="27"/>
  <c r="H53" i="19"/>
  <c r="H133" i="19"/>
  <c r="H28" i="19"/>
  <c r="H115" i="19"/>
  <c r="H31" i="19"/>
  <c r="H136" i="19"/>
  <c r="H46" i="19"/>
  <c r="H140" i="19"/>
  <c r="H49" i="19"/>
  <c r="H157" i="19"/>
  <c r="H56" i="19"/>
  <c r="H160" i="19"/>
  <c r="H70" i="19"/>
  <c r="H170" i="19"/>
  <c r="H75" i="19"/>
  <c r="H188" i="62"/>
  <c r="H27" i="62"/>
  <c r="H42" i="62"/>
  <c r="H25" i="62"/>
  <c r="H48" i="62"/>
  <c r="H66" i="62"/>
  <c r="H54" i="62"/>
  <c r="G215" i="27"/>
  <c r="H44" i="91"/>
  <c r="H86" i="91"/>
  <c r="H201" i="91"/>
  <c r="H147" i="27"/>
  <c r="H98" i="27"/>
  <c r="H83" i="27"/>
  <c r="H70" i="27"/>
  <c r="M93" i="102"/>
  <c r="H205" i="27"/>
  <c r="H90" i="27"/>
  <c r="H201" i="27"/>
  <c r="H119" i="27"/>
  <c r="H29" i="27"/>
  <c r="H137" i="27"/>
  <c r="H105" i="27"/>
  <c r="H25" i="27"/>
  <c r="H176" i="27"/>
  <c r="H87" i="27"/>
  <c r="H195" i="27"/>
  <c r="G215" i="19"/>
  <c r="H161" i="19"/>
  <c r="H86" i="19"/>
  <c r="H203" i="19"/>
  <c r="H131" i="19"/>
  <c r="H51" i="19"/>
  <c r="H169" i="19"/>
  <c r="H92" i="19"/>
  <c r="H208" i="19"/>
  <c r="H138" i="19"/>
  <c r="H57" i="19"/>
  <c r="H175" i="19"/>
  <c r="H99" i="19"/>
  <c r="H30" i="19"/>
  <c r="H146" i="19"/>
  <c r="H66" i="19"/>
  <c r="H173" i="19"/>
  <c r="H97" i="19"/>
  <c r="M208" i="19"/>
  <c r="H145" i="19"/>
  <c r="H67" i="19"/>
  <c r="H186" i="19"/>
  <c r="H109" i="19"/>
  <c r="H35" i="19"/>
  <c r="H151" i="19"/>
  <c r="H73" i="19"/>
  <c r="H192" i="19"/>
  <c r="H118" i="19"/>
  <c r="H41" i="19"/>
  <c r="H158" i="19"/>
  <c r="H82" i="19"/>
  <c r="H197" i="19"/>
  <c r="H126" i="19"/>
  <c r="H47" i="19"/>
  <c r="H156" i="19"/>
  <c r="H77" i="19"/>
  <c r="H196" i="19"/>
  <c r="M197" i="72"/>
  <c r="M161" i="63"/>
  <c r="M93" i="92"/>
  <c r="M102" i="63"/>
  <c r="M161" i="103"/>
  <c r="H114" i="27"/>
  <c r="H69" i="27"/>
  <c r="H39" i="27"/>
  <c r="H190" i="27"/>
  <c r="H149" i="27"/>
  <c r="H107" i="27"/>
  <c r="H65" i="27"/>
  <c r="H27" i="27"/>
  <c r="H178" i="27"/>
  <c r="H135" i="27"/>
  <c r="H79" i="27"/>
  <c r="H44" i="27"/>
  <c r="H189" i="27"/>
  <c r="H166" i="27"/>
  <c r="H117" i="27"/>
  <c r="H76" i="27"/>
  <c r="H40" i="27"/>
  <c r="H185" i="27"/>
  <c r="H150" i="27"/>
  <c r="H102" i="27"/>
  <c r="H64" i="19"/>
  <c r="H143" i="19"/>
  <c r="H36" i="19"/>
  <c r="H127" i="19"/>
  <c r="H39" i="19"/>
  <c r="H155" i="19"/>
  <c r="H54" i="19"/>
  <c r="H149" i="19"/>
  <c r="H68" i="19"/>
  <c r="H168" i="19"/>
  <c r="H65" i="19"/>
  <c r="H177" i="19"/>
  <c r="H78" i="19"/>
  <c r="H178" i="19"/>
  <c r="H93" i="19"/>
  <c r="H187" i="19"/>
  <c r="H29" i="62"/>
  <c r="H44" i="62"/>
  <c r="H35" i="62"/>
  <c r="H58" i="62"/>
  <c r="H68" i="62"/>
  <c r="H56" i="62"/>
  <c r="H83" i="62"/>
  <c r="H99" i="62"/>
  <c r="H146" i="91"/>
  <c r="H102" i="91"/>
  <c r="H152" i="106"/>
  <c r="H37" i="27"/>
  <c r="H71" i="27"/>
  <c r="H58" i="27"/>
  <c r="H46" i="27"/>
  <c r="H34" i="27"/>
  <c r="H53" i="27"/>
  <c r="H136" i="27"/>
  <c r="H160" i="27"/>
  <c r="H180" i="27"/>
  <c r="H132" i="27"/>
  <c r="H153" i="91"/>
  <c r="H194" i="91"/>
  <c r="H43" i="91"/>
  <c r="H84" i="91"/>
  <c r="H129" i="91"/>
  <c r="H167" i="91"/>
  <c r="H206" i="91"/>
  <c r="H55" i="91"/>
  <c r="H88" i="91"/>
  <c r="H133" i="91"/>
  <c r="H179" i="91"/>
  <c r="H34" i="91"/>
  <c r="H70" i="91"/>
  <c r="H110" i="91"/>
  <c r="H157" i="91"/>
  <c r="H191" i="91"/>
  <c r="H46" i="91"/>
  <c r="H83" i="91"/>
  <c r="H115" i="91"/>
  <c r="H164" i="91"/>
  <c r="H135" i="91"/>
  <c r="H178" i="91"/>
  <c r="H27" i="91"/>
  <c r="H65" i="91"/>
  <c r="H107" i="91"/>
  <c r="H149" i="91"/>
  <c r="H190" i="91"/>
  <c r="H39" i="91"/>
  <c r="H69" i="91"/>
  <c r="H114" i="91"/>
  <c r="H161" i="91"/>
  <c r="H203" i="91"/>
  <c r="H51" i="91"/>
  <c r="H92" i="91"/>
  <c r="H138" i="91"/>
  <c r="H175" i="91"/>
  <c r="H30" i="91"/>
  <c r="H66" i="91"/>
  <c r="H97" i="91"/>
  <c r="H143" i="91"/>
  <c r="H111" i="91"/>
  <c r="H159" i="91"/>
  <c r="H193" i="91"/>
  <c r="H48" i="91"/>
  <c r="H85" i="91"/>
  <c r="H130" i="91"/>
  <c r="H174" i="91"/>
  <c r="H200" i="91"/>
  <c r="H52" i="91"/>
  <c r="H89" i="91"/>
  <c r="H145" i="91"/>
  <c r="H186" i="91"/>
  <c r="H35" i="91"/>
  <c r="H73" i="91"/>
  <c r="H118" i="91"/>
  <c r="H158" i="91"/>
  <c r="H197" i="91"/>
  <c r="H47" i="91"/>
  <c r="H77" i="91"/>
  <c r="H124" i="91"/>
  <c r="H93" i="91"/>
  <c r="H141" i="91"/>
  <c r="H177" i="91"/>
  <c r="H32" i="91"/>
  <c r="H68" i="91"/>
  <c r="H108" i="91"/>
  <c r="H155" i="91"/>
  <c r="H181" i="91"/>
  <c r="H36" i="91"/>
  <c r="H72" i="91"/>
  <c r="H125" i="91"/>
  <c r="H170" i="91"/>
  <c r="H204" i="91"/>
  <c r="H56" i="91"/>
  <c r="H96" i="91"/>
  <c r="H140" i="91"/>
  <c r="H182" i="91"/>
  <c r="H31" i="91"/>
  <c r="H60" i="91"/>
  <c r="H100" i="91"/>
  <c r="H187" i="91"/>
  <c r="H42" i="91"/>
  <c r="H78" i="91"/>
  <c r="H123" i="91"/>
  <c r="H168" i="91"/>
  <c r="H202" i="91"/>
  <c r="H54" i="91"/>
  <c r="H91" i="91"/>
  <c r="H127" i="91"/>
  <c r="H172" i="91"/>
  <c r="G215" i="91"/>
  <c r="H67" i="91"/>
  <c r="H109" i="91"/>
  <c r="H151" i="91"/>
  <c r="H192" i="91"/>
  <c r="H41" i="91"/>
  <c r="H82" i="91"/>
  <c r="H126" i="91"/>
  <c r="H156" i="91"/>
  <c r="H196" i="91"/>
  <c r="H45" i="91"/>
  <c r="H26" i="91"/>
  <c r="H184" i="91"/>
  <c r="H136" i="91"/>
  <c r="H152" i="91"/>
  <c r="H131" i="91"/>
  <c r="H76" i="91"/>
  <c r="H105" i="91"/>
  <c r="H64" i="91"/>
  <c r="H119" i="91"/>
  <c r="H148" i="91"/>
  <c r="H116" i="91"/>
  <c r="H53" i="91"/>
  <c r="H87" i="91"/>
  <c r="H57" i="91"/>
  <c r="H189" i="91"/>
  <c r="H29" i="91"/>
  <c r="H98" i="91"/>
  <c r="H49" i="91"/>
  <c r="H74" i="91"/>
  <c r="H37" i="91"/>
  <c r="H185" i="91"/>
  <c r="H25" i="91"/>
  <c r="H173" i="91"/>
  <c r="H59" i="91"/>
  <c r="H33" i="91"/>
  <c r="H165" i="91"/>
  <c r="H195" i="91"/>
  <c r="H169" i="91"/>
  <c r="H117" i="91"/>
  <c r="H137" i="91"/>
  <c r="H75" i="91"/>
  <c r="H101" i="91"/>
  <c r="H71" i="91"/>
  <c r="H205" i="91"/>
  <c r="H50" i="91"/>
  <c r="H208" i="91"/>
  <c r="H166" i="91"/>
  <c r="H180" i="91"/>
  <c r="E238" i="64"/>
  <c r="M61" i="111"/>
  <c r="H133" i="27"/>
  <c r="H88" i="27"/>
  <c r="H55" i="27"/>
  <c r="H206" i="27"/>
  <c r="H167" i="27"/>
  <c r="H129" i="27"/>
  <c r="H84" i="27"/>
  <c r="H43" i="27"/>
  <c r="H194" i="27"/>
  <c r="H153" i="27"/>
  <c r="H100" i="27"/>
  <c r="H60" i="27"/>
  <c r="H31" i="27"/>
  <c r="H182" i="27"/>
  <c r="H140" i="27"/>
  <c r="H96" i="27"/>
  <c r="H56" i="27"/>
  <c r="H204" i="27"/>
  <c r="H170" i="27"/>
  <c r="H125" i="27"/>
  <c r="H72" i="19"/>
  <c r="H152" i="19"/>
  <c r="H44" i="19"/>
  <c r="H137" i="19"/>
  <c r="H55" i="19"/>
  <c r="H166" i="19"/>
  <c r="H61" i="19"/>
  <c r="H167" i="19"/>
  <c r="H76" i="19"/>
  <c r="H176" i="19"/>
  <c r="H84" i="19"/>
  <c r="H185" i="19"/>
  <c r="H87" i="19"/>
  <c r="H194" i="19"/>
  <c r="H102" i="19"/>
  <c r="H195" i="19"/>
  <c r="H37" i="62"/>
  <c r="H60" i="62"/>
  <c r="H78" i="62"/>
  <c r="H67" i="62"/>
  <c r="H85" i="62"/>
  <c r="H101" i="62"/>
  <c r="H91" i="62"/>
  <c r="H117" i="62"/>
  <c r="H61" i="91"/>
  <c r="H188" i="91"/>
  <c r="H160" i="91"/>
  <c r="H159" i="106"/>
  <c r="H116" i="27"/>
  <c r="H142" i="27"/>
  <c r="K12" i="27"/>
  <c r="H115" i="27"/>
  <c r="H157" i="27"/>
  <c r="H179" i="27"/>
  <c r="M111" i="31"/>
  <c r="M79" i="31"/>
  <c r="M102" i="72"/>
  <c r="M197" i="33"/>
  <c r="M79" i="63"/>
  <c r="M161" i="106"/>
  <c r="M161" i="1"/>
  <c r="H152" i="27"/>
  <c r="H106" i="27"/>
  <c r="H74" i="27"/>
  <c r="H38" i="27"/>
  <c r="H183" i="27"/>
  <c r="H148" i="27"/>
  <c r="H101" i="27"/>
  <c r="H59" i="27"/>
  <c r="H26" i="27"/>
  <c r="H171" i="27"/>
  <c r="H124" i="27"/>
  <c r="H77" i="27"/>
  <c r="H47" i="27"/>
  <c r="H197" i="27"/>
  <c r="H158" i="27"/>
  <c r="H118" i="27"/>
  <c r="H73" i="27"/>
  <c r="H35" i="27"/>
  <c r="H186" i="27"/>
  <c r="H79" i="19"/>
  <c r="H164" i="19"/>
  <c r="H52" i="19"/>
  <c r="H147" i="19"/>
  <c r="H74" i="19"/>
  <c r="H174" i="19"/>
  <c r="H71" i="19"/>
  <c r="H183" i="19"/>
  <c r="H85" i="19"/>
  <c r="H184" i="19"/>
  <c r="H101" i="19"/>
  <c r="H193" i="19"/>
  <c r="H98" i="19"/>
  <c r="H26" i="19"/>
  <c r="H111" i="19"/>
  <c r="K12" i="19"/>
  <c r="H79" i="62"/>
  <c r="H69" i="62"/>
  <c r="H98" i="62"/>
  <c r="H111" i="62"/>
  <c r="H96" i="62"/>
  <c r="H123" i="62"/>
  <c r="H146" i="62"/>
  <c r="H130" i="62"/>
  <c r="H99" i="91"/>
  <c r="H106" i="91"/>
  <c r="H58" i="91"/>
  <c r="H57" i="142"/>
  <c r="H125" i="106"/>
  <c r="H39" i="69"/>
  <c r="H191" i="69"/>
  <c r="H147" i="69"/>
  <c r="H50" i="69"/>
  <c r="H167" i="37"/>
  <c r="H110" i="37"/>
  <c r="H203" i="37"/>
  <c r="H204" i="69"/>
  <c r="H84" i="69"/>
  <c r="H168" i="69"/>
  <c r="H33" i="69"/>
  <c r="H102" i="69"/>
  <c r="H178" i="69"/>
  <c r="H51" i="69"/>
  <c r="H137" i="69"/>
  <c r="H196" i="69"/>
  <c r="H79" i="69"/>
  <c r="H149" i="69"/>
  <c r="H30" i="69"/>
  <c r="H105" i="69"/>
  <c r="H193" i="69"/>
  <c r="H65" i="69"/>
  <c r="H148" i="69"/>
  <c r="H25" i="69"/>
  <c r="H86" i="69"/>
  <c r="H170" i="69"/>
  <c r="H35" i="69"/>
  <c r="H115" i="69"/>
  <c r="H188" i="69"/>
  <c r="H64" i="69"/>
  <c r="H140" i="69"/>
  <c r="H197" i="69"/>
  <c r="H83" i="69"/>
  <c r="H177" i="69"/>
  <c r="H56" i="69"/>
  <c r="H129" i="69"/>
  <c r="H195" i="69"/>
  <c r="H67" i="69"/>
  <c r="H150" i="69"/>
  <c r="H27" i="69"/>
  <c r="H97" i="69"/>
  <c r="H180" i="69"/>
  <c r="H45" i="69"/>
  <c r="H117" i="69"/>
  <c r="H190" i="69"/>
  <c r="H66" i="69"/>
  <c r="H160" i="69"/>
  <c r="H48" i="69"/>
  <c r="H107" i="69"/>
  <c r="H179" i="69"/>
  <c r="H58" i="69"/>
  <c r="H131" i="69"/>
  <c r="K12" i="69"/>
  <c r="H77" i="69"/>
  <c r="H164" i="69"/>
  <c r="H37" i="69"/>
  <c r="H99" i="69"/>
  <c r="H182" i="69"/>
  <c r="H47" i="69"/>
  <c r="H123" i="69"/>
  <c r="H184" i="69"/>
  <c r="H68" i="69"/>
  <c r="H135" i="69"/>
  <c r="H203" i="69"/>
  <c r="H87" i="69"/>
  <c r="H156" i="69"/>
  <c r="H44" i="69"/>
  <c r="H114" i="69"/>
  <c r="H175" i="69"/>
  <c r="H61" i="69"/>
  <c r="H126" i="69"/>
  <c r="H69" i="37"/>
  <c r="H133" i="37"/>
  <c r="H195" i="37"/>
  <c r="H75" i="37"/>
  <c r="H150" i="37"/>
  <c r="H35" i="37"/>
  <c r="H92" i="37"/>
  <c r="H176" i="37"/>
  <c r="H49" i="37"/>
  <c r="H117" i="37"/>
  <c r="H197" i="37"/>
  <c r="H66" i="37"/>
  <c r="H52" i="37"/>
  <c r="H124" i="37"/>
  <c r="H179" i="37"/>
  <c r="H67" i="37"/>
  <c r="H131" i="37"/>
  <c r="H204" i="37"/>
  <c r="H84" i="37"/>
  <c r="H157" i="37"/>
  <c r="H41" i="37"/>
  <c r="H99" i="37"/>
  <c r="H182" i="37"/>
  <c r="H55" i="37"/>
  <c r="H165" i="37"/>
  <c r="H36" i="37"/>
  <c r="H114" i="37"/>
  <c r="H161" i="37"/>
  <c r="H50" i="37"/>
  <c r="H119" i="37"/>
  <c r="H185" i="37"/>
  <c r="H73" i="37"/>
  <c r="H138" i="37"/>
  <c r="H25" i="37"/>
  <c r="H90" i="37"/>
  <c r="H166" i="37"/>
  <c r="H47" i="37"/>
  <c r="H156" i="37"/>
  <c r="H205" i="37"/>
  <c r="H89" i="37"/>
  <c r="H153" i="37"/>
  <c r="H34" i="37"/>
  <c r="H109" i="37"/>
  <c r="H169" i="37"/>
  <c r="H56" i="37"/>
  <c r="H129" i="37"/>
  <c r="H191" i="37"/>
  <c r="H82" i="37"/>
  <c r="H146" i="37"/>
  <c r="H31" i="37"/>
  <c r="H88" i="37"/>
  <c r="H172" i="37"/>
  <c r="H45" i="37"/>
  <c r="H102" i="37"/>
  <c r="H186" i="37"/>
  <c r="H51" i="37"/>
  <c r="H132" i="37"/>
  <c r="H201" i="37"/>
  <c r="H76" i="37"/>
  <c r="H158" i="37"/>
  <c r="H30" i="37"/>
  <c r="H105" i="37"/>
  <c r="H132" i="49"/>
  <c r="H208" i="49"/>
  <c r="H166" i="49"/>
  <c r="H36" i="49"/>
  <c r="H45" i="49"/>
  <c r="H107" i="49"/>
  <c r="H155" i="49"/>
  <c r="H119" i="49"/>
  <c r="H76" i="49"/>
  <c r="H126" i="49"/>
  <c r="H78" i="49"/>
  <c r="H89" i="49"/>
  <c r="H68" i="49"/>
  <c r="H127" i="49"/>
  <c r="H179" i="49"/>
  <c r="H151" i="49"/>
  <c r="H99" i="49"/>
  <c r="H181" i="49"/>
  <c r="H186" i="49"/>
  <c r="H48" i="49"/>
  <c r="H190" i="49"/>
  <c r="H69" i="49"/>
  <c r="H79" i="49"/>
  <c r="H71" i="69"/>
  <c r="H28" i="69"/>
  <c r="H109" i="69"/>
  <c r="H85" i="69"/>
  <c r="H46" i="37"/>
  <c r="H192" i="37"/>
  <c r="H87" i="37"/>
  <c r="H53" i="37"/>
  <c r="H82" i="69"/>
  <c r="H60" i="69"/>
  <c r="H186" i="69"/>
  <c r="H96" i="69"/>
  <c r="H61" i="37"/>
  <c r="H208" i="37"/>
  <c r="H170" i="37"/>
  <c r="H72" i="37"/>
  <c r="H152" i="102"/>
  <c r="H88" i="102"/>
  <c r="H27" i="102"/>
  <c r="H150" i="102"/>
  <c r="H93" i="102"/>
  <c r="H49" i="102"/>
  <c r="H174" i="102"/>
  <c r="H89" i="102"/>
  <c r="H205" i="102"/>
  <c r="H137" i="102"/>
  <c r="H87" i="102"/>
  <c r="H34" i="102"/>
  <c r="H161" i="102"/>
  <c r="H132" i="102"/>
  <c r="M208" i="91"/>
  <c r="H206" i="111"/>
  <c r="H205" i="111"/>
  <c r="H204" i="111"/>
  <c r="H203" i="111"/>
  <c r="H202" i="111"/>
  <c r="H201" i="111"/>
  <c r="H200" i="111"/>
  <c r="H197" i="111"/>
  <c r="H196" i="111"/>
  <c r="H195" i="111"/>
  <c r="H194" i="111"/>
  <c r="H193" i="111"/>
  <c r="H192" i="111"/>
  <c r="H191" i="111"/>
  <c r="H190" i="111"/>
  <c r="H189" i="111"/>
  <c r="H188" i="111"/>
  <c r="H187" i="111"/>
  <c r="H186" i="111"/>
  <c r="H185" i="111"/>
  <c r="H184" i="111"/>
  <c r="H183" i="111"/>
  <c r="H182" i="111"/>
  <c r="H181" i="111"/>
  <c r="H180" i="111"/>
  <c r="H179" i="111"/>
  <c r="H178" i="111"/>
  <c r="H177" i="111"/>
  <c r="H176" i="111"/>
  <c r="H175" i="111"/>
  <c r="H174" i="111"/>
  <c r="H173" i="111"/>
  <c r="H172" i="111"/>
  <c r="H171" i="111"/>
  <c r="H170" i="111"/>
  <c r="H169" i="111"/>
  <c r="H168" i="111"/>
  <c r="H167" i="111"/>
  <c r="H166" i="111"/>
  <c r="H165" i="111"/>
  <c r="H164" i="111"/>
  <c r="H161" i="111"/>
  <c r="H160" i="111"/>
  <c r="H159" i="111"/>
  <c r="H158" i="111"/>
  <c r="H157" i="111"/>
  <c r="H156" i="111"/>
  <c r="H155" i="111"/>
  <c r="H153" i="111"/>
  <c r="H152" i="111"/>
  <c r="H151" i="111"/>
  <c r="H150" i="111"/>
  <c r="H149" i="111"/>
  <c r="H148" i="111"/>
  <c r="H147" i="111"/>
  <c r="H146" i="111"/>
  <c r="H145" i="111"/>
  <c r="H143" i="111"/>
  <c r="H142" i="111"/>
  <c r="H141" i="111"/>
  <c r="H140" i="111"/>
  <c r="H138" i="111"/>
  <c r="H137" i="111"/>
  <c r="H136" i="111"/>
  <c r="H135" i="111"/>
  <c r="H133" i="111"/>
  <c r="H132" i="111"/>
  <c r="H131" i="111"/>
  <c r="H130" i="111"/>
  <c r="H129" i="111"/>
  <c r="H127" i="111"/>
  <c r="H126" i="111"/>
  <c r="H125" i="111"/>
  <c r="H124" i="111"/>
  <c r="H123" i="111"/>
  <c r="H119" i="111"/>
  <c r="H118" i="111"/>
  <c r="H117" i="111"/>
  <c r="H116" i="111"/>
  <c r="H115" i="111"/>
  <c r="H114" i="111"/>
  <c r="H111" i="111"/>
  <c r="H110" i="111"/>
  <c r="H109" i="111"/>
  <c r="H108" i="111"/>
  <c r="H107" i="111"/>
  <c r="H106" i="111"/>
  <c r="H105" i="111"/>
  <c r="H102" i="111"/>
  <c r="H101" i="111"/>
  <c r="H100" i="111"/>
  <c r="H99" i="111"/>
  <c r="H98" i="111"/>
  <c r="H97" i="111"/>
  <c r="H96" i="111"/>
  <c r="H93" i="111"/>
  <c r="H92" i="111"/>
  <c r="H91" i="111"/>
  <c r="H90" i="111"/>
  <c r="H89" i="111"/>
  <c r="H88" i="111"/>
  <c r="H87" i="111"/>
  <c r="H86" i="111"/>
  <c r="H85" i="111"/>
  <c r="H84" i="111"/>
  <c r="H83" i="111"/>
  <c r="H82" i="111"/>
  <c r="H79" i="111"/>
  <c r="H78" i="111"/>
  <c r="H77" i="111"/>
  <c r="H76" i="111"/>
  <c r="H75" i="111"/>
  <c r="H74" i="111"/>
  <c r="H73" i="111"/>
  <c r="H72" i="111"/>
  <c r="H71" i="111"/>
  <c r="H70" i="111"/>
  <c r="H69" i="111"/>
  <c r="H68" i="111"/>
  <c r="H67" i="111"/>
  <c r="H66" i="111"/>
  <c r="H65" i="111"/>
  <c r="H64" i="111"/>
  <c r="H61" i="111"/>
  <c r="H60" i="111"/>
  <c r="H59" i="111"/>
  <c r="H58" i="111"/>
  <c r="H57" i="111"/>
  <c r="H56" i="111"/>
  <c r="H55" i="111"/>
  <c r="H54" i="111"/>
  <c r="H53" i="111"/>
  <c r="H52" i="111"/>
  <c r="H51" i="111"/>
  <c r="H50" i="111"/>
  <c r="H49" i="111"/>
  <c r="H48" i="111"/>
  <c r="H47" i="111"/>
  <c r="H46" i="111"/>
  <c r="H45" i="111"/>
  <c r="H44" i="111"/>
  <c r="H43" i="111"/>
  <c r="H42" i="111"/>
  <c r="H41" i="111"/>
  <c r="H40" i="111"/>
  <c r="H39" i="111"/>
  <c r="H38" i="111"/>
  <c r="H37" i="111"/>
  <c r="H36" i="111"/>
  <c r="H35" i="111"/>
  <c r="H34" i="111"/>
  <c r="H33" i="111"/>
  <c r="H32" i="111"/>
  <c r="H31" i="111"/>
  <c r="H30" i="111"/>
  <c r="H29" i="111"/>
  <c r="H28" i="111"/>
  <c r="H27" i="111"/>
  <c r="H26" i="111"/>
  <c r="H25" i="111"/>
  <c r="M197" i="113"/>
  <c r="M102" i="59"/>
  <c r="H33" i="42"/>
  <c r="H107" i="42"/>
  <c r="H184" i="42"/>
  <c r="H65" i="42"/>
  <c r="H142" i="42"/>
  <c r="H31" i="42"/>
  <c r="H105" i="42"/>
  <c r="H182" i="42"/>
  <c r="H61" i="42"/>
  <c r="H140" i="42"/>
  <c r="H29" i="42"/>
  <c r="H114" i="42"/>
  <c r="H205" i="42"/>
  <c r="H97" i="42"/>
  <c r="H181" i="42"/>
  <c r="H78" i="42"/>
  <c r="H170" i="42"/>
  <c r="H58" i="42"/>
  <c r="H145" i="42"/>
  <c r="H132" i="57"/>
  <c r="H86" i="57"/>
  <c r="H71" i="57"/>
  <c r="H107" i="57"/>
  <c r="H167" i="57"/>
  <c r="H155" i="57"/>
  <c r="H166" i="57"/>
  <c r="H93" i="57"/>
  <c r="H79" i="57"/>
  <c r="H117" i="57"/>
  <c r="H186" i="57"/>
  <c r="H42" i="57"/>
  <c r="H33" i="57"/>
  <c r="H56" i="57"/>
  <c r="H84" i="57"/>
  <c r="H200" i="57"/>
  <c r="H98" i="57"/>
  <c r="H47" i="39"/>
  <c r="H30" i="39"/>
  <c r="H191" i="39"/>
  <c r="H192" i="39"/>
  <c r="H204" i="39"/>
  <c r="H203" i="39"/>
  <c r="H29" i="39"/>
  <c r="H44" i="39"/>
  <c r="H74" i="39"/>
  <c r="H149" i="39"/>
  <c r="H32" i="39"/>
  <c r="H98" i="39"/>
  <c r="H53" i="39"/>
  <c r="H192" i="98"/>
  <c r="H116" i="98"/>
  <c r="H29" i="98"/>
  <c r="H137" i="98"/>
  <c r="H192" i="53"/>
  <c r="H206" i="53"/>
  <c r="H28" i="53"/>
  <c r="H58" i="53"/>
  <c r="H74" i="15"/>
  <c r="H172" i="15"/>
  <c r="H75" i="15"/>
  <c r="H73" i="141"/>
  <c r="M206" i="49"/>
  <c r="M111" i="49"/>
  <c r="H92" i="53"/>
  <c r="H108" i="53"/>
  <c r="H137" i="53"/>
  <c r="M206" i="42"/>
  <c r="M161" i="42"/>
  <c r="H88" i="54"/>
  <c r="H84" i="54"/>
  <c r="H133" i="54"/>
  <c r="H135" i="54"/>
  <c r="H65" i="54"/>
  <c r="H67" i="54"/>
  <c r="H110" i="54"/>
  <c r="H148" i="54"/>
  <c r="H109" i="54"/>
  <c r="H124" i="54"/>
  <c r="H126" i="54"/>
  <c r="H92" i="54"/>
  <c r="G215" i="54"/>
  <c r="H61" i="54"/>
  <c r="H152" i="54"/>
  <c r="H183" i="54"/>
  <c r="H123" i="54"/>
  <c r="H141" i="54"/>
  <c r="H138" i="54"/>
  <c r="H118" i="54"/>
  <c r="H54" i="54"/>
  <c r="H140" i="141"/>
  <c r="H61" i="141"/>
  <c r="H182" i="141"/>
  <c r="H105" i="141"/>
  <c r="H31" i="141"/>
  <c r="H147" i="141"/>
  <c r="H69" i="141"/>
  <c r="H188" i="141"/>
  <c r="H114" i="141"/>
  <c r="H37" i="141"/>
  <c r="H191" i="141"/>
  <c r="H117" i="141"/>
  <c r="H46" i="141"/>
  <c r="H166" i="141"/>
  <c r="H83" i="141"/>
  <c r="H200" i="141"/>
  <c r="H127" i="141"/>
  <c r="H52" i="141"/>
  <c r="H172" i="141"/>
  <c r="H89" i="141"/>
  <c r="K12" i="141"/>
  <c r="H158" i="141"/>
  <c r="H82" i="141"/>
  <c r="H197" i="141"/>
  <c r="H126" i="141"/>
  <c r="H47" i="141"/>
  <c r="H165" i="141"/>
  <c r="H88" i="141"/>
  <c r="H205" i="141"/>
  <c r="H133" i="141"/>
  <c r="H53" i="141"/>
  <c r="H171" i="141"/>
  <c r="H149" i="141"/>
  <c r="H30" i="141"/>
  <c r="H91" i="141"/>
  <c r="H173" i="141"/>
  <c r="H44" i="141"/>
  <c r="H124" i="141"/>
  <c r="H187" i="141"/>
  <c r="H102" i="141"/>
  <c r="H34" i="141"/>
  <c r="H150" i="141"/>
  <c r="H70" i="141"/>
  <c r="H185" i="141"/>
  <c r="H110" i="141"/>
  <c r="H40" i="141"/>
  <c r="H157" i="141"/>
  <c r="H76" i="141"/>
  <c r="H130" i="141"/>
  <c r="H206" i="141"/>
  <c r="H74" i="141"/>
  <c r="H156" i="141"/>
  <c r="H36" i="141"/>
  <c r="H100" i="141"/>
  <c r="H179" i="141"/>
  <c r="H93" i="141"/>
  <c r="H26" i="141"/>
  <c r="H141" i="141"/>
  <c r="H59" i="141"/>
  <c r="H177" i="141"/>
  <c r="H101" i="141"/>
  <c r="H32" i="141"/>
  <c r="H148" i="141"/>
  <c r="H68" i="141"/>
  <c r="H108" i="141"/>
  <c r="H190" i="141"/>
  <c r="H66" i="141"/>
  <c r="H137" i="141"/>
  <c r="H28" i="141"/>
  <c r="H79" i="141"/>
  <c r="H161" i="141"/>
  <c r="H86" i="141"/>
  <c r="H203" i="141"/>
  <c r="H131" i="141"/>
  <c r="H51" i="141"/>
  <c r="H169" i="141"/>
  <c r="H92" i="141"/>
  <c r="H208" i="141"/>
  <c r="H138" i="141"/>
  <c r="H57" i="141"/>
  <c r="H99" i="141"/>
  <c r="H174" i="141"/>
  <c r="H55" i="141"/>
  <c r="H115" i="141"/>
  <c r="H196" i="141"/>
  <c r="H72" i="141"/>
  <c r="H153" i="141"/>
  <c r="H75" i="141"/>
  <c r="H194" i="141"/>
  <c r="H119" i="141"/>
  <c r="H43" i="141"/>
  <c r="H160" i="141"/>
  <c r="H84" i="141"/>
  <c r="H201" i="141"/>
  <c r="H129" i="141"/>
  <c r="H49" i="141"/>
  <c r="H175" i="141"/>
  <c r="H54" i="141"/>
  <c r="H136" i="141"/>
  <c r="H189" i="141"/>
  <c r="H77" i="141"/>
  <c r="H152" i="141"/>
  <c r="H29" i="141"/>
  <c r="H125" i="141"/>
  <c r="H50" i="141"/>
  <c r="H170" i="141"/>
  <c r="H87" i="141"/>
  <c r="H204" i="141"/>
  <c r="H132" i="141"/>
  <c r="H56" i="141"/>
  <c r="H176" i="141"/>
  <c r="H96" i="141"/>
  <c r="H25" i="141"/>
  <c r="H90" i="141"/>
  <c r="H181" i="141"/>
  <c r="H45" i="141"/>
  <c r="H186" i="141"/>
  <c r="H193" i="141"/>
  <c r="H184" i="141"/>
  <c r="H71" i="141"/>
  <c r="H106" i="141"/>
  <c r="H195" i="141"/>
  <c r="H178" i="141"/>
  <c r="H151" i="141"/>
  <c r="H168" i="141"/>
  <c r="H38" i="141"/>
  <c r="H97" i="141"/>
  <c r="H145" i="141"/>
  <c r="H159" i="141"/>
  <c r="H142" i="141"/>
  <c r="H118" i="141"/>
  <c r="H183" i="141"/>
  <c r="H39" i="141"/>
  <c r="H143" i="141"/>
  <c r="H58" i="141"/>
  <c r="H35" i="141"/>
  <c r="H48" i="141"/>
  <c r="H33" i="141"/>
  <c r="H116" i="141"/>
  <c r="H67" i="141"/>
  <c r="H65" i="141"/>
  <c r="G215" i="141"/>
  <c r="H42" i="141"/>
  <c r="H192" i="141"/>
  <c r="H60" i="141"/>
  <c r="H109" i="141"/>
  <c r="H107" i="141"/>
  <c r="H167" i="141"/>
  <c r="H64" i="141"/>
  <c r="H27" i="141"/>
  <c r="H195" i="98"/>
  <c r="H125" i="98"/>
  <c r="H50" i="98"/>
  <c r="H170" i="98"/>
  <c r="H87" i="98"/>
  <c r="H200" i="98"/>
  <c r="H127" i="98"/>
  <c r="H52" i="98"/>
  <c r="H172" i="98"/>
  <c r="H89" i="98"/>
  <c r="G215" i="98"/>
  <c r="H140" i="98"/>
  <c r="H61" i="98"/>
  <c r="H182" i="98"/>
  <c r="H105" i="98"/>
  <c r="H31" i="98"/>
  <c r="H142" i="98"/>
  <c r="H65" i="98"/>
  <c r="H184" i="98"/>
  <c r="H107" i="98"/>
  <c r="H33" i="98"/>
  <c r="H187" i="98"/>
  <c r="H111" i="98"/>
  <c r="H42" i="98"/>
  <c r="H159" i="98"/>
  <c r="H78" i="98"/>
  <c r="H189" i="98"/>
  <c r="H115" i="98"/>
  <c r="H44" i="98"/>
  <c r="H164" i="98"/>
  <c r="H79" i="98"/>
  <c r="H202" i="98"/>
  <c r="H130" i="98"/>
  <c r="H54" i="98"/>
  <c r="H174" i="98"/>
  <c r="H91" i="98"/>
  <c r="H204" i="98"/>
  <c r="H132" i="98"/>
  <c r="H56" i="98"/>
  <c r="H176" i="98"/>
  <c r="H96" i="98"/>
  <c r="H25" i="98"/>
  <c r="H179" i="98"/>
  <c r="H102" i="98"/>
  <c r="H34" i="98"/>
  <c r="H150" i="98"/>
  <c r="H70" i="98"/>
  <c r="H181" i="98"/>
  <c r="H106" i="98"/>
  <c r="H36" i="98"/>
  <c r="H152" i="98"/>
  <c r="H72" i="98"/>
  <c r="H191" i="98"/>
  <c r="H117" i="98"/>
  <c r="H46" i="98"/>
  <c r="H166" i="98"/>
  <c r="H83" i="98"/>
  <c r="H193" i="98"/>
  <c r="H123" i="98"/>
  <c r="H48" i="98"/>
  <c r="H168" i="98"/>
  <c r="H85" i="98"/>
  <c r="M208" i="98"/>
  <c r="H145" i="98"/>
  <c r="H67" i="98"/>
  <c r="H186" i="98"/>
  <c r="H109" i="98"/>
  <c r="H35" i="98"/>
  <c r="H147" i="98"/>
  <c r="H69" i="98"/>
  <c r="H188" i="98"/>
  <c r="H114" i="98"/>
  <c r="H37" i="98"/>
  <c r="H158" i="98"/>
  <c r="H82" i="98"/>
  <c r="H197" i="98"/>
  <c r="H126" i="98"/>
  <c r="H47" i="98"/>
  <c r="H160" i="98"/>
  <c r="H84" i="98"/>
  <c r="H201" i="98"/>
  <c r="H129" i="98"/>
  <c r="H49" i="98"/>
  <c r="H93" i="98"/>
  <c r="H141" i="98"/>
  <c r="H173" i="98"/>
  <c r="H28" i="98"/>
  <c r="H64" i="98"/>
  <c r="H108" i="98"/>
  <c r="H155" i="98"/>
  <c r="H185" i="98"/>
  <c r="H40" i="98"/>
  <c r="H76" i="98"/>
  <c r="H86" i="98"/>
  <c r="H131" i="98"/>
  <c r="H165" i="98"/>
  <c r="H205" i="98"/>
  <c r="H53" i="98"/>
  <c r="H99" i="98"/>
  <c r="H146" i="98"/>
  <c r="H177" i="98"/>
  <c r="H32" i="98"/>
  <c r="H68" i="98"/>
  <c r="H75" i="98"/>
  <c r="H119" i="98"/>
  <c r="H156" i="98"/>
  <c r="H196" i="98"/>
  <c r="H45" i="98"/>
  <c r="H90" i="98"/>
  <c r="H136" i="98"/>
  <c r="H169" i="98"/>
  <c r="H208" i="98"/>
  <c r="H57" i="98"/>
  <c r="H161" i="98"/>
  <c r="H203" i="98"/>
  <c r="H51" i="98"/>
  <c r="H88" i="98"/>
  <c r="H133" i="98"/>
  <c r="H175" i="98"/>
  <c r="H30" i="98"/>
  <c r="H66" i="98"/>
  <c r="H101" i="98"/>
  <c r="H148" i="98"/>
  <c r="H142" i="15"/>
  <c r="H65" i="15"/>
  <c r="H184" i="15"/>
  <c r="H107" i="15"/>
  <c r="H33" i="15"/>
  <c r="H145" i="15"/>
  <c r="H67" i="15"/>
  <c r="H186" i="15"/>
  <c r="H109" i="15"/>
  <c r="H35" i="15"/>
  <c r="H165" i="15"/>
  <c r="H88" i="15"/>
  <c r="H205" i="15"/>
  <c r="H133" i="15"/>
  <c r="H53" i="15"/>
  <c r="H167" i="15"/>
  <c r="H90" i="15"/>
  <c r="H206" i="15"/>
  <c r="H136" i="15"/>
  <c r="H55" i="15"/>
  <c r="H204" i="15"/>
  <c r="H132" i="15"/>
  <c r="H56" i="15"/>
  <c r="H176" i="15"/>
  <c r="H96" i="15"/>
  <c r="H25" i="15"/>
  <c r="H135" i="15"/>
  <c r="H58" i="15"/>
  <c r="H178" i="15"/>
  <c r="H98" i="15"/>
  <c r="H27" i="15"/>
  <c r="H156" i="15"/>
  <c r="H77" i="15"/>
  <c r="H196" i="15"/>
  <c r="H124" i="15"/>
  <c r="H45" i="15"/>
  <c r="H158" i="15"/>
  <c r="H82" i="15"/>
  <c r="H197" i="15"/>
  <c r="H126" i="15"/>
  <c r="H47" i="15"/>
  <c r="H193" i="15"/>
  <c r="H123" i="15"/>
  <c r="H48" i="15"/>
  <c r="H168" i="15"/>
  <c r="H85" i="15"/>
  <c r="H195" i="15"/>
  <c r="H125" i="15"/>
  <c r="H50" i="15"/>
  <c r="H170" i="15"/>
  <c r="H87" i="15"/>
  <c r="M208" i="15"/>
  <c r="H147" i="15"/>
  <c r="H69" i="15"/>
  <c r="H188" i="15"/>
  <c r="H114" i="15"/>
  <c r="H37" i="15"/>
  <c r="H149" i="15"/>
  <c r="H71" i="15"/>
  <c r="H190" i="15"/>
  <c r="H116" i="15"/>
  <c r="H39" i="15"/>
  <c r="H160" i="15"/>
  <c r="H32" i="15"/>
  <c r="H118" i="15"/>
  <c r="H171" i="15"/>
  <c r="H42" i="15"/>
  <c r="H131" i="15"/>
  <c r="H200" i="15"/>
  <c r="H97" i="15"/>
  <c r="H164" i="15"/>
  <c r="H29" i="15"/>
  <c r="H108" i="15"/>
  <c r="H174" i="15"/>
  <c r="H66" i="15"/>
  <c r="H151" i="15"/>
  <c r="H208" i="15"/>
  <c r="H76" i="15"/>
  <c r="H161" i="15"/>
  <c r="H34" i="15"/>
  <c r="H119" i="15"/>
  <c r="H189" i="15"/>
  <c r="H60" i="15"/>
  <c r="H152" i="15"/>
  <c r="H202" i="15"/>
  <c r="H99" i="15"/>
  <c r="H166" i="15"/>
  <c r="H31" i="15"/>
  <c r="H110" i="15"/>
  <c r="H201" i="15"/>
  <c r="H68" i="15"/>
  <c r="H153" i="15"/>
  <c r="H26" i="15"/>
  <c r="H78" i="15"/>
  <c r="H181" i="15"/>
  <c r="H52" i="15"/>
  <c r="H143" i="15"/>
  <c r="H191" i="15"/>
  <c r="H61" i="15"/>
  <c r="H155" i="15"/>
  <c r="G215" i="15"/>
  <c r="H177" i="15"/>
  <c r="H73" i="15"/>
  <c r="H138" i="15"/>
  <c r="H187" i="15"/>
  <c r="H86" i="15"/>
  <c r="H150" i="15"/>
  <c r="H43" i="15"/>
  <c r="H115" i="15"/>
  <c r="H180" i="15"/>
  <c r="H72" i="15"/>
  <c r="H130" i="15"/>
  <c r="H30" i="15"/>
  <c r="H83" i="15"/>
  <c r="H40" i="15"/>
  <c r="H179" i="15"/>
  <c r="H141" i="15"/>
  <c r="H106" i="15"/>
  <c r="H64" i="15"/>
  <c r="H182" i="15"/>
  <c r="H192" i="15"/>
  <c r="H111" i="15"/>
  <c r="H70" i="15"/>
  <c r="H44" i="15"/>
  <c r="H183" i="15"/>
  <c r="H146" i="15"/>
  <c r="H157" i="15"/>
  <c r="H102" i="15"/>
  <c r="H59" i="15"/>
  <c r="H36" i="15"/>
  <c r="H175" i="15"/>
  <c r="H105" i="15"/>
  <c r="H101" i="15"/>
  <c r="H57" i="15"/>
  <c r="H203" i="15"/>
  <c r="H173" i="15"/>
  <c r="H100" i="15"/>
  <c r="H54" i="15"/>
  <c r="H151" i="20"/>
  <c r="H192" i="20"/>
  <c r="H41" i="20"/>
  <c r="H82" i="20"/>
  <c r="H126" i="20"/>
  <c r="H165" i="20"/>
  <c r="H205" i="20"/>
  <c r="H53" i="20"/>
  <c r="H86" i="20"/>
  <c r="H131" i="20"/>
  <c r="H160" i="20"/>
  <c r="H201" i="20"/>
  <c r="H49" i="20"/>
  <c r="H90" i="20"/>
  <c r="H136" i="20"/>
  <c r="H173" i="20"/>
  <c r="H28" i="20"/>
  <c r="H64" i="20"/>
  <c r="H93" i="20"/>
  <c r="H141" i="20"/>
  <c r="H110" i="20"/>
  <c r="H157" i="20"/>
  <c r="H191" i="20"/>
  <c r="H46" i="20"/>
  <c r="H83" i="20"/>
  <c r="H127" i="20"/>
  <c r="H172" i="20"/>
  <c r="H195" i="20"/>
  <c r="H50" i="20"/>
  <c r="H87" i="20"/>
  <c r="H123" i="20"/>
  <c r="H168" i="20"/>
  <c r="H202" i="20"/>
  <c r="H54" i="20"/>
  <c r="H91" i="20"/>
  <c r="H137" i="20"/>
  <c r="H180" i="20"/>
  <c r="H29" i="20"/>
  <c r="H58" i="20"/>
  <c r="H98" i="20"/>
  <c r="H185" i="20"/>
  <c r="H40" i="20"/>
  <c r="H76" i="20"/>
  <c r="H117" i="20"/>
  <c r="H166" i="20"/>
  <c r="H200" i="20"/>
  <c r="H52" i="20"/>
  <c r="H89" i="20"/>
  <c r="H125" i="20"/>
  <c r="H170" i="20"/>
  <c r="H193" i="20"/>
  <c r="H48" i="20"/>
  <c r="H85" i="20"/>
  <c r="H130" i="20"/>
  <c r="H174" i="20"/>
  <c r="K12" i="20"/>
  <c r="H60" i="20"/>
  <c r="H100" i="20"/>
  <c r="H135" i="20"/>
  <c r="H178" i="20"/>
  <c r="H27" i="20"/>
  <c r="H132" i="20"/>
  <c r="H96" i="20"/>
  <c r="H30" i="20"/>
  <c r="H181" i="20"/>
  <c r="H133" i="20"/>
  <c r="H67" i="20"/>
  <c r="H35" i="20"/>
  <c r="H148" i="20"/>
  <c r="H108" i="20"/>
  <c r="H55" i="20"/>
  <c r="H196" i="20"/>
  <c r="H153" i="20"/>
  <c r="H78" i="20"/>
  <c r="H92" i="20"/>
  <c r="H57" i="20"/>
  <c r="H197" i="20"/>
  <c r="H147" i="20"/>
  <c r="H114" i="20"/>
  <c r="H34" i="20"/>
  <c r="H177" i="20"/>
  <c r="H129" i="20"/>
  <c r="H71" i="20"/>
  <c r="H39" i="20"/>
  <c r="H164" i="20"/>
  <c r="H111" i="20"/>
  <c r="H59" i="20"/>
  <c r="H73" i="20"/>
  <c r="H25" i="20"/>
  <c r="H182" i="20"/>
  <c r="H106" i="20"/>
  <c r="H72" i="20"/>
  <c r="H203" i="20"/>
  <c r="H142" i="20"/>
  <c r="H107" i="20"/>
  <c r="H38" i="20"/>
  <c r="H189" i="20"/>
  <c r="H143" i="20"/>
  <c r="H75" i="20"/>
  <c r="H43" i="20"/>
  <c r="G215" i="20"/>
  <c r="H56" i="20"/>
  <c r="H175" i="20"/>
  <c r="H146" i="20"/>
  <c r="H88" i="20"/>
  <c r="H37" i="20"/>
  <c r="H186" i="20"/>
  <c r="H101" i="20"/>
  <c r="H68" i="20"/>
  <c r="H206" i="20"/>
  <c r="H156" i="20"/>
  <c r="H124" i="20"/>
  <c r="H42" i="20"/>
  <c r="H204" i="20"/>
  <c r="H138" i="20"/>
  <c r="H99" i="20"/>
  <c r="H47" i="20"/>
  <c r="H188" i="20"/>
  <c r="H145" i="20"/>
  <c r="H70" i="20"/>
  <c r="H32" i="20"/>
  <c r="H167" i="20"/>
  <c r="H116" i="20"/>
  <c r="H77" i="20"/>
  <c r="H187" i="20"/>
  <c r="H159" i="20"/>
  <c r="H169" i="20"/>
  <c r="H66" i="20"/>
  <c r="H150" i="20"/>
  <c r="H149" i="20"/>
  <c r="H45" i="20"/>
  <c r="H208" i="20"/>
  <c r="H31" i="20"/>
  <c r="H109" i="20"/>
  <c r="H190" i="20"/>
  <c r="H171" i="20"/>
  <c r="H176" i="20"/>
  <c r="H69" i="20"/>
  <c r="H51" i="20"/>
  <c r="H155" i="20"/>
  <c r="H26" i="20"/>
  <c r="H61" i="20"/>
  <c r="H161" i="20"/>
  <c r="H33" i="20"/>
  <c r="H44" i="20"/>
  <c r="H179" i="20"/>
  <c r="H97" i="20"/>
  <c r="H102" i="20"/>
  <c r="H79" i="20"/>
  <c r="H118" i="20"/>
  <c r="H84" i="20"/>
  <c r="H194" i="20"/>
  <c r="H105" i="20"/>
  <c r="H183" i="20"/>
  <c r="G215" i="57"/>
  <c r="H131" i="57"/>
  <c r="H158" i="57"/>
  <c r="H179" i="57"/>
  <c r="H181" i="57"/>
  <c r="H96" i="57"/>
  <c r="H116" i="57"/>
  <c r="H205" i="57"/>
  <c r="H67" i="57"/>
  <c r="H149" i="57"/>
  <c r="H145" i="57"/>
  <c r="H142" i="57"/>
  <c r="H89" i="57"/>
  <c r="H105" i="57"/>
  <c r="H201" i="57"/>
  <c r="H34" i="57"/>
  <c r="H77" i="57"/>
  <c r="H30" i="57"/>
  <c r="H173" i="57"/>
  <c r="H85" i="57"/>
  <c r="H83" i="57"/>
  <c r="H202" i="31"/>
  <c r="H76" i="31"/>
  <c r="H152" i="31"/>
  <c r="H179" i="31"/>
  <c r="H64" i="31"/>
  <c r="H117" i="31"/>
  <c r="H93" i="31"/>
  <c r="H182" i="31"/>
  <c r="H137" i="31"/>
  <c r="H74" i="31"/>
  <c r="H52" i="31"/>
  <c r="H142" i="31"/>
  <c r="H119" i="31"/>
  <c r="H56" i="31"/>
  <c r="H35" i="31"/>
  <c r="H195" i="53"/>
  <c r="H125" i="53"/>
  <c r="H50" i="53"/>
  <c r="H170" i="53"/>
  <c r="H87" i="53"/>
  <c r="H200" i="53"/>
  <c r="H127" i="53"/>
  <c r="H52" i="53"/>
  <c r="H172" i="53"/>
  <c r="H89" i="53"/>
  <c r="K12" i="53"/>
  <c r="H140" i="53"/>
  <c r="H61" i="53"/>
  <c r="H182" i="53"/>
  <c r="H105" i="53"/>
  <c r="H31" i="53"/>
  <c r="H142" i="53"/>
  <c r="H65" i="53"/>
  <c r="H184" i="53"/>
  <c r="H107" i="53"/>
  <c r="H33" i="53"/>
  <c r="H179" i="53"/>
  <c r="H102" i="53"/>
  <c r="H34" i="53"/>
  <c r="H150" i="53"/>
  <c r="H70" i="53"/>
  <c r="H181" i="53"/>
  <c r="H106" i="53"/>
  <c r="H36" i="53"/>
  <c r="H152" i="53"/>
  <c r="H72" i="53"/>
  <c r="H191" i="53"/>
  <c r="H117" i="53"/>
  <c r="H46" i="53"/>
  <c r="H166" i="53"/>
  <c r="H83" i="53"/>
  <c r="H193" i="53"/>
  <c r="H123" i="53"/>
  <c r="H48" i="53"/>
  <c r="H168" i="53"/>
  <c r="H85" i="53"/>
  <c r="H145" i="53"/>
  <c r="H42" i="53"/>
  <c r="H131" i="53"/>
  <c r="H35" i="53"/>
  <c r="H115" i="53"/>
  <c r="H205" i="53"/>
  <c r="H114" i="53"/>
  <c r="H202" i="53"/>
  <c r="H99" i="53"/>
  <c r="H197" i="53"/>
  <c r="H91" i="53"/>
  <c r="H177" i="53"/>
  <c r="H84" i="53"/>
  <c r="H176" i="53"/>
  <c r="H68" i="53"/>
  <c r="H135" i="53"/>
  <c r="H26" i="53"/>
  <c r="H119" i="53"/>
  <c r="H27" i="53"/>
  <c r="H97" i="53"/>
  <c r="H196" i="53"/>
  <c r="H100" i="53"/>
  <c r="H183" i="53"/>
  <c r="H90" i="53"/>
  <c r="H190" i="53"/>
  <c r="H74" i="53"/>
  <c r="H169" i="53"/>
  <c r="H73" i="53"/>
  <c r="H157" i="53"/>
  <c r="H57" i="53"/>
  <c r="M208" i="53"/>
  <c r="H111" i="53"/>
  <c r="H203" i="53"/>
  <c r="H109" i="53"/>
  <c r="H189" i="53"/>
  <c r="H88" i="53"/>
  <c r="H188" i="53"/>
  <c r="H79" i="53"/>
  <c r="H175" i="53"/>
  <c r="H82" i="53"/>
  <c r="H174" i="53"/>
  <c r="H66" i="53"/>
  <c r="H160" i="53"/>
  <c r="H56" i="53"/>
  <c r="H148" i="53"/>
  <c r="H49" i="53"/>
  <c r="H161" i="53"/>
  <c r="H67" i="53"/>
  <c r="H159" i="53"/>
  <c r="H51" i="53"/>
  <c r="H147" i="53"/>
  <c r="H44" i="53"/>
  <c r="H133" i="53"/>
  <c r="H37" i="53"/>
  <c r="H130" i="53"/>
  <c r="H30" i="53"/>
  <c r="H126" i="53"/>
  <c r="H204" i="53"/>
  <c r="H101" i="53"/>
  <c r="H201" i="53"/>
  <c r="H96" i="53"/>
  <c r="H93" i="53"/>
  <c r="H98" i="53"/>
  <c r="H77" i="53"/>
  <c r="H64" i="53"/>
  <c r="H71" i="53"/>
  <c r="H55" i="53"/>
  <c r="H40" i="53"/>
  <c r="H41" i="53"/>
  <c r="H86" i="53"/>
  <c r="H78" i="53"/>
  <c r="H69" i="53"/>
  <c r="H53" i="53"/>
  <c r="H54" i="53"/>
  <c r="H47" i="53"/>
  <c r="H32" i="53"/>
  <c r="H25" i="53"/>
  <c r="H75" i="53"/>
  <c r="H59" i="53"/>
  <c r="H60" i="53"/>
  <c r="H45" i="53"/>
  <c r="H38" i="53"/>
  <c r="H39" i="53"/>
  <c r="H208" i="53"/>
  <c r="H187" i="53"/>
  <c r="H186" i="53"/>
  <c r="H165" i="53"/>
  <c r="H164" i="53"/>
  <c r="H158" i="53"/>
  <c r="H146" i="53"/>
  <c r="H132" i="53"/>
  <c r="H129" i="53"/>
  <c r="H88" i="39"/>
  <c r="H133" i="39"/>
  <c r="H153" i="39"/>
  <c r="H194" i="39"/>
  <c r="H43" i="39"/>
  <c r="H84" i="39"/>
  <c r="H129" i="39"/>
  <c r="H167" i="39"/>
  <c r="H206" i="39"/>
  <c r="H55" i="39"/>
  <c r="H200" i="39"/>
  <c r="H52" i="39"/>
  <c r="H89" i="39"/>
  <c r="H111" i="39"/>
  <c r="H159" i="39"/>
  <c r="H193" i="39"/>
  <c r="H48" i="39"/>
  <c r="H85" i="39"/>
  <c r="H130" i="39"/>
  <c r="H174" i="39"/>
  <c r="K12" i="39"/>
  <c r="H36" i="39"/>
  <c r="H37" i="39"/>
  <c r="H26" i="39"/>
  <c r="H177" i="39"/>
  <c r="H184" i="39"/>
  <c r="H183" i="39"/>
  <c r="H155" i="39"/>
  <c r="H156" i="39"/>
  <c r="H196" i="39"/>
  <c r="H45" i="39"/>
  <c r="H86" i="39"/>
  <c r="H131" i="39"/>
  <c r="H169" i="39"/>
  <c r="H208" i="39"/>
  <c r="H181" i="39"/>
  <c r="H188" i="39"/>
  <c r="H171" i="39"/>
  <c r="H141" i="39"/>
  <c r="H142" i="39"/>
  <c r="H148" i="39"/>
  <c r="H108" i="39"/>
  <c r="H116" i="39"/>
  <c r="H115" i="39"/>
  <c r="H164" i="39"/>
  <c r="H195" i="39"/>
  <c r="H50" i="39"/>
  <c r="H87" i="39"/>
  <c r="H132" i="39"/>
  <c r="H176" i="39"/>
  <c r="H25" i="39"/>
  <c r="H61" i="39"/>
  <c r="H105" i="39"/>
  <c r="H127" i="39"/>
  <c r="H114" i="39"/>
  <c r="H75" i="39"/>
  <c r="M206" i="60"/>
  <c r="M197" i="49"/>
  <c r="H57" i="42"/>
  <c r="H138" i="42"/>
  <c r="H208" i="42"/>
  <c r="H92" i="42"/>
  <c r="H169" i="42"/>
  <c r="H55" i="42"/>
  <c r="H136" i="42"/>
  <c r="H206" i="42"/>
  <c r="H90" i="42"/>
  <c r="H175" i="42"/>
  <c r="H64" i="42"/>
  <c r="H152" i="42"/>
  <c r="H44" i="42"/>
  <c r="H127" i="42"/>
  <c r="H27" i="42"/>
  <c r="H109" i="42"/>
  <c r="H203" i="42"/>
  <c r="H93" i="42"/>
  <c r="H179" i="42"/>
  <c r="H182" i="57"/>
  <c r="H100" i="57"/>
  <c r="H88" i="57"/>
  <c r="H177" i="57"/>
  <c r="H39" i="57"/>
  <c r="H75" i="57"/>
  <c r="H76" i="57"/>
  <c r="H32" i="57"/>
  <c r="H191" i="57"/>
  <c r="H141" i="57"/>
  <c r="H29" i="57"/>
  <c r="H53" i="57"/>
  <c r="H196" i="57"/>
  <c r="H169" i="57"/>
  <c r="H87" i="57"/>
  <c r="H153" i="57"/>
  <c r="H148" i="57"/>
  <c r="M208" i="57"/>
  <c r="H126" i="39"/>
  <c r="H99" i="39"/>
  <c r="H76" i="39"/>
  <c r="H73" i="39"/>
  <c r="H70" i="39"/>
  <c r="H102" i="39"/>
  <c r="H100" i="39"/>
  <c r="H97" i="39"/>
  <c r="H190" i="39"/>
  <c r="H49" i="39"/>
  <c r="H123" i="39"/>
  <c r="H42" i="39"/>
  <c r="H172" i="39"/>
  <c r="H110" i="98"/>
  <c r="H38" i="98"/>
  <c r="H143" i="98"/>
  <c r="H59" i="98"/>
  <c r="H171" i="98"/>
  <c r="H151" i="53"/>
  <c r="H167" i="53"/>
  <c r="H173" i="53"/>
  <c r="G215" i="53"/>
  <c r="H168" i="31"/>
  <c r="H46" i="15"/>
  <c r="H137" i="15"/>
  <c r="H49" i="15"/>
  <c r="H98" i="141"/>
  <c r="H119" i="20"/>
  <c r="H158" i="20"/>
  <c r="H179" i="25"/>
  <c r="H193" i="25"/>
  <c r="H208" i="25"/>
  <c r="H86" i="25"/>
  <c r="H53" i="25"/>
  <c r="H70" i="25"/>
  <c r="H44" i="25"/>
  <c r="M111" i="60"/>
  <c r="H68" i="42"/>
  <c r="H148" i="42"/>
  <c r="H32" i="42"/>
  <c r="H101" i="42"/>
  <c r="H177" i="42"/>
  <c r="H66" i="42"/>
  <c r="H146" i="42"/>
  <c r="H30" i="42"/>
  <c r="H99" i="42"/>
  <c r="H183" i="42"/>
  <c r="H72" i="42"/>
  <c r="H164" i="42"/>
  <c r="H52" i="42"/>
  <c r="H137" i="42"/>
  <c r="H35" i="42"/>
  <c r="H131" i="42"/>
  <c r="H26" i="42"/>
  <c r="H102" i="42"/>
  <c r="H146" i="39"/>
  <c r="H117" i="39"/>
  <c r="H96" i="39"/>
  <c r="H92" i="39"/>
  <c r="H109" i="39"/>
  <c r="H125" i="39"/>
  <c r="H124" i="39"/>
  <c r="H137" i="39"/>
  <c r="H38" i="39"/>
  <c r="H68" i="39"/>
  <c r="H160" i="39"/>
  <c r="H58" i="39"/>
  <c r="H205" i="39"/>
  <c r="M102" i="49"/>
  <c r="H41" i="98"/>
  <c r="H151" i="98"/>
  <c r="H71" i="98"/>
  <c r="H180" i="98"/>
  <c r="H98" i="98"/>
  <c r="K12" i="98"/>
  <c r="H185" i="53"/>
  <c r="H29" i="53"/>
  <c r="H43" i="53"/>
  <c r="G215" i="39"/>
  <c r="E238" i="43"/>
  <c r="H117" i="15"/>
  <c r="K12" i="15"/>
  <c r="H129" i="15"/>
  <c r="H111" i="141"/>
  <c r="H115" i="20"/>
  <c r="M61" i="60"/>
  <c r="H153" i="42"/>
  <c r="H75" i="42"/>
  <c r="H194" i="42"/>
  <c r="H119" i="42"/>
  <c r="H43" i="42"/>
  <c r="H156" i="42"/>
  <c r="H77" i="42"/>
  <c r="H196" i="42"/>
  <c r="H124" i="42"/>
  <c r="H45" i="42"/>
  <c r="H167" i="42"/>
  <c r="M79" i="49"/>
  <c r="M21" i="49"/>
  <c r="M161" i="49"/>
  <c r="M102" i="58"/>
  <c r="H76" i="42"/>
  <c r="H157" i="42"/>
  <c r="H40" i="42"/>
  <c r="H110" i="42"/>
  <c r="H185" i="42"/>
  <c r="H74" i="42"/>
  <c r="H155" i="42"/>
  <c r="H38" i="42"/>
  <c r="H108" i="42"/>
  <c r="H191" i="42"/>
  <c r="H79" i="42"/>
  <c r="H172" i="42"/>
  <c r="H60" i="42"/>
  <c r="H147" i="42"/>
  <c r="H51" i="42"/>
  <c r="H141" i="42"/>
  <c r="H34" i="42"/>
  <c r="H111" i="42"/>
  <c r="H195" i="42"/>
  <c r="H208" i="57"/>
  <c r="H147" i="57"/>
  <c r="H43" i="57"/>
  <c r="H27" i="57"/>
  <c r="H82" i="57"/>
  <c r="H188" i="57"/>
  <c r="H123" i="57"/>
  <c r="H170" i="57"/>
  <c r="H174" i="57"/>
  <c r="H138" i="57"/>
  <c r="H168" i="57"/>
  <c r="H97" i="57"/>
  <c r="H91" i="57"/>
  <c r="H58" i="57"/>
  <c r="H114" i="57"/>
  <c r="H99" i="57"/>
  <c r="K12" i="57"/>
  <c r="H55" i="57"/>
  <c r="H166" i="39"/>
  <c r="H140" i="39"/>
  <c r="H118" i="39"/>
  <c r="H110" i="39"/>
  <c r="H150" i="39"/>
  <c r="H145" i="39"/>
  <c r="H143" i="39"/>
  <c r="H173" i="39"/>
  <c r="H54" i="39"/>
  <c r="H107" i="39"/>
  <c r="H27" i="39"/>
  <c r="H93" i="39"/>
  <c r="H69" i="39"/>
  <c r="H118" i="98"/>
  <c r="H39" i="98"/>
  <c r="H149" i="98"/>
  <c r="H60" i="98"/>
  <c r="H178" i="98"/>
  <c r="H76" i="53"/>
  <c r="H116" i="53"/>
  <c r="H124" i="53"/>
  <c r="H141" i="53"/>
  <c r="H140" i="15"/>
  <c r="H51" i="15"/>
  <c r="H148" i="15"/>
  <c r="H135" i="141"/>
  <c r="H74" i="20"/>
  <c r="M93" i="85"/>
  <c r="M79" i="85"/>
  <c r="M161" i="85"/>
  <c r="M93" i="100"/>
  <c r="M197" i="100"/>
  <c r="M208" i="141"/>
  <c r="M206" i="141"/>
  <c r="M161" i="16"/>
  <c r="M206" i="16"/>
  <c r="H79" i="46"/>
  <c r="H208" i="46"/>
  <c r="H45" i="46"/>
  <c r="H189" i="46"/>
  <c r="H90" i="46"/>
  <c r="H194" i="46"/>
  <c r="H204" i="142"/>
  <c r="H132" i="142"/>
  <c r="H56" i="142"/>
  <c r="H176" i="142"/>
  <c r="H96" i="142"/>
  <c r="H25" i="142"/>
  <c r="H135" i="142"/>
  <c r="H58" i="142"/>
  <c r="H178" i="142"/>
  <c r="H98" i="142"/>
  <c r="H27" i="142"/>
  <c r="H147" i="142"/>
  <c r="H69" i="142"/>
  <c r="H188" i="142"/>
  <c r="H114" i="142"/>
  <c r="H37" i="142"/>
  <c r="H149" i="142"/>
  <c r="H71" i="142"/>
  <c r="H190" i="142"/>
  <c r="H116" i="142"/>
  <c r="H39" i="142"/>
  <c r="H193" i="142"/>
  <c r="H123" i="142"/>
  <c r="H48" i="142"/>
  <c r="H168" i="142"/>
  <c r="H85" i="142"/>
  <c r="H195" i="142"/>
  <c r="H125" i="142"/>
  <c r="H50" i="142"/>
  <c r="H170" i="142"/>
  <c r="H87" i="142"/>
  <c r="K12" i="142"/>
  <c r="H137" i="142"/>
  <c r="H60" i="142"/>
  <c r="H180" i="142"/>
  <c r="H100" i="142"/>
  <c r="H29" i="142"/>
  <c r="H140" i="142"/>
  <c r="H61" i="142"/>
  <c r="H182" i="142"/>
  <c r="H105" i="142"/>
  <c r="H31" i="142"/>
  <c r="H185" i="142"/>
  <c r="H110" i="142"/>
  <c r="H40" i="142"/>
  <c r="H157" i="142"/>
  <c r="H76" i="142"/>
  <c r="H187" i="142"/>
  <c r="H111" i="142"/>
  <c r="H42" i="142"/>
  <c r="H159" i="142"/>
  <c r="H78" i="142"/>
  <c r="H200" i="142"/>
  <c r="H127" i="142"/>
  <c r="H52" i="142"/>
  <c r="H172" i="142"/>
  <c r="H89" i="142"/>
  <c r="H202" i="142"/>
  <c r="H130" i="142"/>
  <c r="H54" i="142"/>
  <c r="H174" i="142"/>
  <c r="H91" i="142"/>
  <c r="H177" i="142"/>
  <c r="H101" i="142"/>
  <c r="H32" i="142"/>
  <c r="H148" i="142"/>
  <c r="H68" i="142"/>
  <c r="H179" i="142"/>
  <c r="H102" i="142"/>
  <c r="H34" i="142"/>
  <c r="H150" i="142"/>
  <c r="H70" i="142"/>
  <c r="H189" i="142"/>
  <c r="H115" i="142"/>
  <c r="H44" i="142"/>
  <c r="H164" i="142"/>
  <c r="H79" i="142"/>
  <c r="H191" i="142"/>
  <c r="H117" i="142"/>
  <c r="H46" i="142"/>
  <c r="H166" i="142"/>
  <c r="H83" i="142"/>
  <c r="H151" i="142"/>
  <c r="H73" i="142"/>
  <c r="H192" i="142"/>
  <c r="H118" i="142"/>
  <c r="H41" i="142"/>
  <c r="H153" i="142"/>
  <c r="H75" i="142"/>
  <c r="H194" i="142"/>
  <c r="H119" i="142"/>
  <c r="H43" i="142"/>
  <c r="H165" i="142"/>
  <c r="H88" i="142"/>
  <c r="H205" i="142"/>
  <c r="H133" i="142"/>
  <c r="H53" i="142"/>
  <c r="H167" i="142"/>
  <c r="H90" i="142"/>
  <c r="H206" i="142"/>
  <c r="H136" i="142"/>
  <c r="H55" i="142"/>
  <c r="H169" i="142"/>
  <c r="H184" i="142"/>
  <c r="H161" i="142"/>
  <c r="H141" i="142"/>
  <c r="H156" i="142"/>
  <c r="H143" i="142"/>
  <c r="H108" i="142"/>
  <c r="H126" i="142"/>
  <c r="H160" i="142"/>
  <c r="H138" i="142"/>
  <c r="H145" i="142"/>
  <c r="H131" i="142"/>
  <c r="H106" i="142"/>
  <c r="H124" i="142"/>
  <c r="H99" i="142"/>
  <c r="H74" i="142"/>
  <c r="H142" i="142"/>
  <c r="H129" i="142"/>
  <c r="H93" i="142"/>
  <c r="H109" i="142"/>
  <c r="H97" i="142"/>
  <c r="H72" i="142"/>
  <c r="H82" i="142"/>
  <c r="H66" i="142"/>
  <c r="H92" i="142"/>
  <c r="H107" i="142"/>
  <c r="H86" i="142"/>
  <c r="H59" i="142"/>
  <c r="H77" i="142"/>
  <c r="H64" i="142"/>
  <c r="H38" i="142"/>
  <c r="H47" i="142"/>
  <c r="H208" i="142"/>
  <c r="H33" i="142"/>
  <c r="H203" i="142"/>
  <c r="H181" i="142"/>
  <c r="H196" i="142"/>
  <c r="H175" i="142"/>
  <c r="H155" i="142"/>
  <c r="M93" i="47"/>
  <c r="M119" i="69"/>
  <c r="H158" i="142"/>
  <c r="H51" i="142"/>
  <c r="H65" i="142"/>
  <c r="H183" i="142"/>
  <c r="H186" i="142"/>
  <c r="H84" i="142"/>
  <c r="M61" i="63"/>
  <c r="M111" i="69"/>
  <c r="H45" i="142"/>
  <c r="H26" i="142"/>
  <c r="G215" i="142"/>
  <c r="H60" i="102"/>
  <c r="H173" i="102"/>
  <c r="H98" i="102"/>
  <c r="H26" i="102"/>
  <c r="H135" i="102"/>
  <c r="H138" i="102"/>
  <c r="H206" i="102"/>
  <c r="M102" i="16"/>
  <c r="M206" i="25"/>
  <c r="G215" i="25"/>
  <c r="H72" i="31"/>
  <c r="H172" i="31"/>
  <c r="H60" i="31"/>
  <c r="H147" i="31"/>
  <c r="H43" i="31"/>
  <c r="H131" i="31"/>
  <c r="H26" i="31"/>
  <c r="H102" i="31"/>
  <c r="H195" i="31"/>
  <c r="H85" i="31"/>
  <c r="H176" i="31"/>
  <c r="H65" i="31"/>
  <c r="H151" i="31"/>
  <c r="H83" i="31"/>
  <c r="H190" i="31"/>
  <c r="H130" i="31"/>
  <c r="H40" i="25"/>
  <c r="H55" i="25"/>
  <c r="H46" i="25"/>
  <c r="H72" i="25"/>
  <c r="H88" i="25"/>
  <c r="H78" i="25"/>
  <c r="H102" i="25"/>
  <c r="M206" i="92"/>
  <c r="M61" i="119"/>
  <c r="M111" i="59"/>
  <c r="M197" i="25"/>
  <c r="M93" i="118"/>
  <c r="M79" i="113"/>
  <c r="H14" i="97"/>
  <c r="M61" i="16"/>
  <c r="M161" i="104"/>
  <c r="M61" i="72"/>
  <c r="M102" i="25"/>
  <c r="M119" i="72"/>
  <c r="M119" i="46"/>
  <c r="H89" i="31"/>
  <c r="H180" i="31"/>
  <c r="H69" i="31"/>
  <c r="H156" i="31"/>
  <c r="H51" i="31"/>
  <c r="H141" i="31"/>
  <c r="H34" i="31"/>
  <c r="H125" i="31"/>
  <c r="K12" i="31"/>
  <c r="H96" i="31"/>
  <c r="H184" i="31"/>
  <c r="H73" i="31"/>
  <c r="H169" i="31"/>
  <c r="H91" i="31"/>
  <c r="H38" i="31"/>
  <c r="H140" i="31"/>
  <c r="H57" i="25"/>
  <c r="H48" i="25"/>
  <c r="H74" i="25"/>
  <c r="H90" i="25"/>
  <c r="H79" i="25"/>
  <c r="H106" i="25"/>
  <c r="H131" i="25"/>
  <c r="H111" i="25"/>
  <c r="E238" i="15"/>
  <c r="M93" i="33"/>
  <c r="M161" i="20"/>
  <c r="M102" i="45"/>
  <c r="M102" i="104"/>
  <c r="H77" i="31"/>
  <c r="H25" i="31"/>
  <c r="H105" i="31"/>
  <c r="H76" i="25"/>
  <c r="H133" i="25"/>
  <c r="M79" i="91"/>
  <c r="M161" i="91"/>
  <c r="M206" i="91"/>
  <c r="H29" i="31"/>
  <c r="H114" i="31"/>
  <c r="H196" i="31"/>
  <c r="H88" i="31"/>
  <c r="H173" i="31"/>
  <c r="H70" i="31"/>
  <c r="H170" i="31"/>
  <c r="H58" i="31"/>
  <c r="H145" i="31"/>
  <c r="H33" i="31"/>
  <c r="H118" i="31"/>
  <c r="H201" i="31"/>
  <c r="H92" i="31"/>
  <c r="H193" i="31"/>
  <c r="H116" i="31"/>
  <c r="H54" i="31"/>
  <c r="H183" i="31"/>
  <c r="H85" i="25"/>
  <c r="H110" i="25"/>
  <c r="H136" i="25"/>
  <c r="H117" i="25"/>
  <c r="H152" i="25"/>
  <c r="H165" i="25"/>
  <c r="H159" i="25"/>
  <c r="G237" i="15"/>
  <c r="K15" i="15"/>
  <c r="G236" i="15"/>
  <c r="H153" i="25"/>
  <c r="H75" i="25"/>
  <c r="H194" i="25"/>
  <c r="H119" i="25"/>
  <c r="H43" i="25"/>
  <c r="H156" i="25"/>
  <c r="H77" i="25"/>
  <c r="H196" i="25"/>
  <c r="H124" i="25"/>
  <c r="H45" i="25"/>
  <c r="H158" i="25"/>
  <c r="H82" i="25"/>
  <c r="H197" i="25"/>
  <c r="H126" i="25"/>
  <c r="H47" i="25"/>
  <c r="H160" i="25"/>
  <c r="H84" i="25"/>
  <c r="H201" i="25"/>
  <c r="H129" i="25"/>
  <c r="H49" i="25"/>
  <c r="H145" i="25"/>
  <c r="H67" i="25"/>
  <c r="H186" i="25"/>
  <c r="H109" i="25"/>
  <c r="H35" i="25"/>
  <c r="H147" i="25"/>
  <c r="H69" i="25"/>
  <c r="H188" i="25"/>
  <c r="H114" i="25"/>
  <c r="H37" i="25"/>
  <c r="H149" i="25"/>
  <c r="H71" i="25"/>
  <c r="H190" i="25"/>
  <c r="H116" i="25"/>
  <c r="H39" i="25"/>
  <c r="H151" i="25"/>
  <c r="H73" i="25"/>
  <c r="H192" i="25"/>
  <c r="H118" i="25"/>
  <c r="H41" i="25"/>
  <c r="K12" i="25"/>
  <c r="H135" i="25"/>
  <c r="H58" i="25"/>
  <c r="H178" i="25"/>
  <c r="H98" i="25"/>
  <c r="H27" i="25"/>
  <c r="H137" i="25"/>
  <c r="H60" i="25"/>
  <c r="H180" i="25"/>
  <c r="H100" i="25"/>
  <c r="H29" i="25"/>
  <c r="H140" i="25"/>
  <c r="H61" i="25"/>
  <c r="H182" i="25"/>
  <c r="H105" i="25"/>
  <c r="H31" i="25"/>
  <c r="H142" i="25"/>
  <c r="H65" i="25"/>
  <c r="H184" i="25"/>
  <c r="H107" i="25"/>
  <c r="H33" i="25"/>
  <c r="H195" i="25"/>
  <c r="H125" i="25"/>
  <c r="H50" i="25"/>
  <c r="H170" i="25"/>
  <c r="H87" i="25"/>
  <c r="H200" i="25"/>
  <c r="H127" i="25"/>
  <c r="H52" i="25"/>
  <c r="H172" i="25"/>
  <c r="H89" i="25"/>
  <c r="H202" i="25"/>
  <c r="H130" i="25"/>
  <c r="H54" i="25"/>
  <c r="H174" i="25"/>
  <c r="H91" i="25"/>
  <c r="H204" i="25"/>
  <c r="H132" i="25"/>
  <c r="H56" i="25"/>
  <c r="H176" i="25"/>
  <c r="H96" i="25"/>
  <c r="H25" i="25"/>
  <c r="H171" i="25"/>
  <c r="H93" i="25"/>
  <c r="H26" i="25"/>
  <c r="H141" i="25"/>
  <c r="H59" i="25"/>
  <c r="H173" i="25"/>
  <c r="H97" i="25"/>
  <c r="H28" i="25"/>
  <c r="H143" i="25"/>
  <c r="H64" i="25"/>
  <c r="H175" i="25"/>
  <c r="H99" i="25"/>
  <c r="H30" i="25"/>
  <c r="H146" i="25"/>
  <c r="H66" i="25"/>
  <c r="H177" i="25"/>
  <c r="H101" i="25"/>
  <c r="H32" i="25"/>
  <c r="H148" i="25"/>
  <c r="H68" i="25"/>
  <c r="G215" i="31"/>
  <c r="H59" i="31"/>
  <c r="H107" i="31"/>
  <c r="H46" i="31"/>
  <c r="H92" i="25"/>
  <c r="H115" i="25"/>
  <c r="M61" i="45"/>
  <c r="M102" i="106"/>
  <c r="M61" i="46"/>
  <c r="M111" i="106"/>
  <c r="M102" i="91"/>
  <c r="M93" i="91"/>
  <c r="H16" i="97"/>
  <c r="H37" i="31"/>
  <c r="H124" i="31"/>
  <c r="H205" i="31"/>
  <c r="H97" i="31"/>
  <c r="H181" i="31"/>
  <c r="H87" i="31"/>
  <c r="H178" i="31"/>
  <c r="H67" i="31"/>
  <c r="H153" i="31"/>
  <c r="H41" i="31"/>
  <c r="H129" i="31"/>
  <c r="H208" i="31"/>
  <c r="H110" i="31"/>
  <c r="H204" i="31"/>
  <c r="H155" i="31"/>
  <c r="H61" i="31"/>
  <c r="H191" i="31"/>
  <c r="H138" i="25"/>
  <c r="H123" i="25"/>
  <c r="H155" i="25"/>
  <c r="H167" i="25"/>
  <c r="H164" i="25"/>
  <c r="H181" i="25"/>
  <c r="H203" i="25"/>
  <c r="H187" i="25"/>
  <c r="H156" i="46"/>
  <c r="H206" i="46"/>
  <c r="H138" i="46"/>
  <c r="H153" i="46"/>
  <c r="H77" i="46"/>
  <c r="H174" i="46"/>
  <c r="H57" i="46"/>
  <c r="H111" i="46"/>
  <c r="H196" i="46"/>
  <c r="H136" i="46"/>
  <c r="H75" i="46"/>
  <c r="H124" i="46"/>
  <c r="H55" i="46"/>
  <c r="H43" i="46"/>
  <c r="H167" i="46"/>
  <c r="H56" i="46"/>
  <c r="H165" i="21"/>
  <c r="H65" i="21"/>
  <c r="H135" i="21"/>
  <c r="H145" i="21"/>
  <c r="H143" i="21"/>
  <c r="H36" i="21"/>
  <c r="H83" i="21"/>
  <c r="H86" i="21"/>
  <c r="H33" i="21"/>
  <c r="H29" i="21"/>
  <c r="H183" i="21"/>
  <c r="H31" i="21"/>
  <c r="H141" i="21"/>
  <c r="H45" i="21"/>
  <c r="H116" i="21"/>
  <c r="H43" i="21"/>
  <c r="H197" i="21"/>
  <c r="H195" i="21"/>
  <c r="H208" i="21"/>
  <c r="H60" i="21"/>
  <c r="H32" i="21"/>
  <c r="H150" i="21"/>
  <c r="H56" i="21"/>
  <c r="G215" i="21"/>
  <c r="H186" i="21"/>
  <c r="H41" i="21"/>
  <c r="H72" i="21"/>
  <c r="H193" i="21"/>
  <c r="H203" i="21"/>
  <c r="H167" i="21"/>
  <c r="H118" i="21"/>
  <c r="H138" i="21"/>
  <c r="H182" i="21"/>
  <c r="H26" i="21"/>
  <c r="H148" i="21"/>
  <c r="H97" i="21"/>
  <c r="H106" i="21"/>
  <c r="H126" i="21"/>
  <c r="H125" i="21"/>
  <c r="H177" i="21"/>
  <c r="H100" i="21"/>
  <c r="H64" i="21"/>
  <c r="H102" i="21"/>
  <c r="H114" i="21"/>
  <c r="H96" i="21"/>
  <c r="H35" i="21"/>
  <c r="H187" i="21"/>
  <c r="H176" i="21"/>
  <c r="H44" i="21"/>
  <c r="H131" i="21"/>
  <c r="H90" i="21"/>
  <c r="H68" i="21"/>
  <c r="H205" i="21"/>
  <c r="H140" i="21"/>
  <c r="H93" i="21"/>
  <c r="H67" i="21"/>
  <c r="H151" i="21"/>
  <c r="H152" i="21"/>
  <c r="H47" i="21"/>
  <c r="H50" i="21"/>
  <c r="H202" i="21"/>
  <c r="H73" i="21"/>
  <c r="H184" i="21"/>
  <c r="H105" i="21"/>
  <c r="H178" i="21"/>
  <c r="H196" i="21"/>
  <c r="H190" i="21"/>
  <c r="H78" i="21"/>
  <c r="H46" i="21"/>
  <c r="K12" i="21"/>
  <c r="H179" i="45"/>
  <c r="H102" i="45"/>
  <c r="H34" i="45"/>
  <c r="H150" i="45"/>
  <c r="H70" i="45"/>
  <c r="H185" i="45"/>
  <c r="H110" i="45"/>
  <c r="H40" i="45"/>
  <c r="H157" i="45"/>
  <c r="H76" i="45"/>
  <c r="H191" i="45"/>
  <c r="H117" i="45"/>
  <c r="H46" i="45"/>
  <c r="H166" i="45"/>
  <c r="H83" i="45"/>
  <c r="H200" i="45"/>
  <c r="H127" i="45"/>
  <c r="H52" i="45"/>
  <c r="H172" i="45"/>
  <c r="H89" i="45"/>
  <c r="G215" i="45"/>
  <c r="H171" i="45"/>
  <c r="H93" i="45"/>
  <c r="H26" i="45"/>
  <c r="H141" i="45"/>
  <c r="H59" i="45"/>
  <c r="H177" i="45"/>
  <c r="H101" i="45"/>
  <c r="H32" i="45"/>
  <c r="H148" i="45"/>
  <c r="H68" i="45"/>
  <c r="H183" i="45"/>
  <c r="H108" i="45"/>
  <c r="H38" i="45"/>
  <c r="H155" i="45"/>
  <c r="H74" i="45"/>
  <c r="H189" i="45"/>
  <c r="H115" i="45"/>
  <c r="H44" i="45"/>
  <c r="H164" i="45"/>
  <c r="H79" i="45"/>
  <c r="H161" i="45"/>
  <c r="H86" i="45"/>
  <c r="H203" i="45"/>
  <c r="H131" i="45"/>
  <c r="H51" i="45"/>
  <c r="H169" i="45"/>
  <c r="H92" i="45"/>
  <c r="H208" i="45"/>
  <c r="H138" i="45"/>
  <c r="H57" i="45"/>
  <c r="H175" i="45"/>
  <c r="H99" i="45"/>
  <c r="H30" i="45"/>
  <c r="H146" i="45"/>
  <c r="H66" i="45"/>
  <c r="H181" i="45"/>
  <c r="H106" i="45"/>
  <c r="H36" i="45"/>
  <c r="H152" i="45"/>
  <c r="H72" i="45"/>
  <c r="H153" i="45"/>
  <c r="H75" i="45"/>
  <c r="H194" i="45"/>
  <c r="H119" i="45"/>
  <c r="H43" i="45"/>
  <c r="H160" i="45"/>
  <c r="H84" i="45"/>
  <c r="H201" i="45"/>
  <c r="H129" i="45"/>
  <c r="H49" i="45"/>
  <c r="H167" i="45"/>
  <c r="H90" i="45"/>
  <c r="H206" i="45"/>
  <c r="H136" i="45"/>
  <c r="H55" i="45"/>
  <c r="H173" i="45"/>
  <c r="H97" i="45"/>
  <c r="H28" i="45"/>
  <c r="H143" i="45"/>
  <c r="H64" i="45"/>
  <c r="H195" i="45"/>
  <c r="H125" i="45"/>
  <c r="H50" i="45"/>
  <c r="H170" i="45"/>
  <c r="H87" i="45"/>
  <c r="H204" i="45"/>
  <c r="H132" i="45"/>
  <c r="H56" i="45"/>
  <c r="H176" i="45"/>
  <c r="H96" i="45"/>
  <c r="H25" i="45"/>
  <c r="H140" i="45"/>
  <c r="H61" i="45"/>
  <c r="H182" i="45"/>
  <c r="H105" i="45"/>
  <c r="H31" i="45"/>
  <c r="H147" i="45"/>
  <c r="H69" i="45"/>
  <c r="H188" i="45"/>
  <c r="H114" i="45"/>
  <c r="H37" i="45"/>
  <c r="M197" i="45"/>
  <c r="M93" i="25"/>
  <c r="M61" i="92"/>
  <c r="H100" i="31"/>
  <c r="H165" i="31"/>
  <c r="H50" i="31"/>
  <c r="H192" i="31"/>
  <c r="H185" i="31"/>
  <c r="H108" i="25"/>
  <c r="H161" i="25"/>
  <c r="M61" i="104"/>
  <c r="M93" i="72"/>
  <c r="M197" i="91"/>
  <c r="M79" i="28"/>
  <c r="M197" i="104"/>
  <c r="M79" i="119"/>
  <c r="M61" i="91"/>
  <c r="M206" i="118"/>
  <c r="M79" i="106"/>
  <c r="M111" i="91"/>
  <c r="M93" i="46"/>
  <c r="M119" i="104"/>
  <c r="M93" i="111"/>
  <c r="M197" i="31"/>
  <c r="M161" i="118"/>
  <c r="M79" i="60"/>
  <c r="M111" i="119"/>
  <c r="H23" i="97"/>
  <c r="M21" i="47"/>
  <c r="M79" i="72"/>
  <c r="M79" i="118"/>
  <c r="H45" i="31"/>
  <c r="H133" i="31"/>
  <c r="H28" i="31"/>
  <c r="H106" i="31"/>
  <c r="H200" i="31"/>
  <c r="H98" i="31"/>
  <c r="H186" i="31"/>
  <c r="H75" i="31"/>
  <c r="H161" i="31"/>
  <c r="H49" i="31"/>
  <c r="H138" i="31"/>
  <c r="H40" i="31"/>
  <c r="H123" i="31"/>
  <c r="H31" i="31"/>
  <c r="H166" i="31"/>
  <c r="H71" i="31"/>
  <c r="H157" i="25"/>
  <c r="H169" i="25"/>
  <c r="H166" i="25"/>
  <c r="H183" i="25"/>
  <c r="H205" i="25"/>
  <c r="H189" i="25"/>
  <c r="H34" i="25"/>
  <c r="H92" i="46"/>
  <c r="H150" i="54"/>
  <c r="H107" i="54"/>
  <c r="H175" i="31"/>
  <c r="H99" i="31"/>
  <c r="H30" i="31"/>
  <c r="H146" i="31"/>
  <c r="H66" i="31"/>
  <c r="H177" i="31"/>
  <c r="H101" i="31"/>
  <c r="H32" i="31"/>
  <c r="H148" i="31"/>
  <c r="H68" i="31"/>
  <c r="H187" i="31"/>
  <c r="H111" i="31"/>
  <c r="H42" i="31"/>
  <c r="H159" i="31"/>
  <c r="H78" i="31"/>
  <c r="H189" i="31"/>
  <c r="H115" i="31"/>
  <c r="H44" i="31"/>
  <c r="H164" i="31"/>
  <c r="H79" i="31"/>
  <c r="H167" i="31"/>
  <c r="H90" i="31"/>
  <c r="H206" i="31"/>
  <c r="H136" i="31"/>
  <c r="H55" i="31"/>
  <c r="H158" i="31"/>
  <c r="H82" i="31"/>
  <c r="H197" i="31"/>
  <c r="H126" i="31"/>
  <c r="H47" i="31"/>
  <c r="H160" i="31"/>
  <c r="M102" i="118"/>
  <c r="M102" i="136"/>
  <c r="M21" i="104"/>
  <c r="H188" i="31"/>
  <c r="H150" i="31"/>
  <c r="H135" i="31"/>
  <c r="H84" i="31"/>
  <c r="H149" i="31"/>
  <c r="H83" i="25"/>
  <c r="H150" i="25"/>
  <c r="M93" i="45"/>
  <c r="M161" i="92"/>
  <c r="E238" i="28"/>
  <c r="M197" i="106"/>
  <c r="M79" i="16"/>
  <c r="E238" i="49"/>
  <c r="M102" i="92"/>
  <c r="H53" i="31"/>
  <c r="H143" i="31"/>
  <c r="H36" i="31"/>
  <c r="H127" i="31"/>
  <c r="H27" i="31"/>
  <c r="H109" i="31"/>
  <c r="H194" i="31"/>
  <c r="H86" i="31"/>
  <c r="H171" i="31"/>
  <c r="H57" i="31"/>
  <c r="H157" i="31"/>
  <c r="H48" i="31"/>
  <c r="H132" i="31"/>
  <c r="H39" i="31"/>
  <c r="H174" i="31"/>
  <c r="H108" i="31"/>
  <c r="H75" i="21"/>
  <c r="H156" i="21"/>
  <c r="H37" i="21"/>
  <c r="H74" i="21"/>
  <c r="H206" i="21"/>
  <c r="H40" i="21"/>
  <c r="H42" i="21"/>
  <c r="H30" i="21"/>
  <c r="H110" i="21"/>
  <c r="H168" i="25"/>
  <c r="H185" i="25"/>
  <c r="H206" i="25"/>
  <c r="H191" i="25"/>
  <c r="H36" i="25"/>
  <c r="H51" i="25"/>
  <c r="H42" i="25"/>
  <c r="H169" i="46"/>
  <c r="H136" i="54"/>
  <c r="H100" i="54"/>
  <c r="H119" i="54"/>
  <c r="H179" i="54"/>
  <c r="H105" i="54"/>
  <c r="H167" i="54"/>
  <c r="H156" i="54"/>
  <c r="H116" i="54"/>
  <c r="H175" i="54"/>
  <c r="H98" i="54"/>
  <c r="H161" i="54"/>
  <c r="H147" i="54"/>
  <c r="H149" i="54"/>
  <c r="H115" i="54"/>
  <c r="H171" i="54"/>
  <c r="H91" i="54"/>
  <c r="H158" i="54"/>
  <c r="H137" i="54"/>
  <c r="H145" i="54"/>
  <c r="H106" i="54"/>
  <c r="H142" i="54"/>
  <c r="H77" i="54"/>
  <c r="H153" i="54"/>
  <c r="H127" i="54"/>
  <c r="H140" i="54"/>
  <c r="H97" i="54"/>
  <c r="H132" i="54"/>
  <c r="H69" i="54"/>
  <c r="H101" i="54"/>
  <c r="H157" i="54"/>
  <c r="H73" i="54"/>
  <c r="H143" i="54"/>
  <c r="H58" i="54"/>
  <c r="H129" i="54"/>
  <c r="H146" i="54"/>
  <c r="H114" i="54"/>
  <c r="H131" i="54"/>
  <c r="H37" i="102"/>
  <c r="H143" i="102"/>
  <c r="H52" i="102"/>
  <c r="H147" i="102"/>
  <c r="H59" i="102"/>
  <c r="H170" i="102"/>
  <c r="H67" i="102"/>
  <c r="H171" i="102"/>
  <c r="H56" i="102"/>
  <c r="H54" i="102"/>
  <c r="K15" i="50"/>
  <c r="G237" i="50"/>
  <c r="G236" i="50"/>
  <c r="F218" i="97"/>
  <c r="M102" i="79"/>
  <c r="M206" i="79"/>
  <c r="H158" i="106"/>
  <c r="H82" i="106"/>
  <c r="H197" i="106"/>
  <c r="H126" i="106"/>
  <c r="H47" i="106"/>
  <c r="H160" i="106"/>
  <c r="H84" i="106"/>
  <c r="H201" i="106"/>
  <c r="H129" i="106"/>
  <c r="H49" i="106"/>
  <c r="H171" i="106"/>
  <c r="H93" i="106"/>
  <c r="H26" i="106"/>
  <c r="H141" i="106"/>
  <c r="H59" i="106"/>
  <c r="H173" i="106"/>
  <c r="H97" i="106"/>
  <c r="H28" i="106"/>
  <c r="H143" i="106"/>
  <c r="H64" i="106"/>
  <c r="H149" i="106"/>
  <c r="H71" i="106"/>
  <c r="H190" i="106"/>
  <c r="H116" i="106"/>
  <c r="H39" i="106"/>
  <c r="H151" i="106"/>
  <c r="H73" i="106"/>
  <c r="H192" i="106"/>
  <c r="H118" i="106"/>
  <c r="H41" i="106"/>
  <c r="H161" i="106"/>
  <c r="H86" i="106"/>
  <c r="H203" i="106"/>
  <c r="H131" i="106"/>
  <c r="H51" i="106"/>
  <c r="H165" i="106"/>
  <c r="H88" i="106"/>
  <c r="H205" i="106"/>
  <c r="H133" i="106"/>
  <c r="H53" i="106"/>
  <c r="H140" i="106"/>
  <c r="H61" i="106"/>
  <c r="H182" i="106"/>
  <c r="H105" i="106"/>
  <c r="H31" i="106"/>
  <c r="H142" i="106"/>
  <c r="H65" i="106"/>
  <c r="H184" i="106"/>
  <c r="H107" i="106"/>
  <c r="H33" i="106"/>
  <c r="H153" i="106"/>
  <c r="H75" i="106"/>
  <c r="H194" i="106"/>
  <c r="H119" i="106"/>
  <c r="H43" i="106"/>
  <c r="H156" i="106"/>
  <c r="H77" i="106"/>
  <c r="H196" i="106"/>
  <c r="H124" i="106"/>
  <c r="H45" i="106"/>
  <c r="H202" i="106"/>
  <c r="H130" i="106"/>
  <c r="H54" i="106"/>
  <c r="H174" i="106"/>
  <c r="H91" i="106"/>
  <c r="H204" i="106"/>
  <c r="H132" i="106"/>
  <c r="H56" i="106"/>
  <c r="H176" i="106"/>
  <c r="H96" i="106"/>
  <c r="H25" i="106"/>
  <c r="H145" i="106"/>
  <c r="H67" i="106"/>
  <c r="H186" i="106"/>
  <c r="H109" i="106"/>
  <c r="H35" i="106"/>
  <c r="H147" i="106"/>
  <c r="H69" i="106"/>
  <c r="H188" i="106"/>
  <c r="H114" i="106"/>
  <c r="H37" i="106"/>
  <c r="H191" i="106"/>
  <c r="H117" i="106"/>
  <c r="H46" i="106"/>
  <c r="H166" i="106"/>
  <c r="H83" i="106"/>
  <c r="H193" i="106"/>
  <c r="H123" i="106"/>
  <c r="H48" i="106"/>
  <c r="H168" i="106"/>
  <c r="H85" i="106"/>
  <c r="K12" i="106"/>
  <c r="H135" i="106"/>
  <c r="H58" i="106"/>
  <c r="H178" i="106"/>
  <c r="H98" i="106"/>
  <c r="H27" i="106"/>
  <c r="H137" i="106"/>
  <c r="H60" i="106"/>
  <c r="H180" i="106"/>
  <c r="H100" i="106"/>
  <c r="H29" i="106"/>
  <c r="M79" i="79"/>
  <c r="M102" i="43"/>
  <c r="M197" i="1"/>
  <c r="M119" i="24"/>
  <c r="M161" i="141"/>
  <c r="M102" i="102"/>
  <c r="H47" i="50"/>
  <c r="H126" i="50"/>
  <c r="H197" i="50"/>
  <c r="H82" i="50"/>
  <c r="H158" i="50"/>
  <c r="H41" i="50"/>
  <c r="H118" i="50"/>
  <c r="H192" i="50"/>
  <c r="H73" i="50"/>
  <c r="H151" i="50"/>
  <c r="H35" i="50"/>
  <c r="H109" i="50"/>
  <c r="H186" i="50"/>
  <c r="H67" i="50"/>
  <c r="H145" i="50"/>
  <c r="H29" i="50"/>
  <c r="H100" i="50"/>
  <c r="H180" i="50"/>
  <c r="H60" i="50"/>
  <c r="H137" i="50"/>
  <c r="K12" i="50"/>
  <c r="M21" i="43"/>
  <c r="M102" i="135"/>
  <c r="M93" i="94"/>
  <c r="M197" i="24"/>
  <c r="M93" i="135"/>
  <c r="M208" i="49"/>
  <c r="H44" i="49"/>
  <c r="H64" i="49"/>
  <c r="H75" i="49"/>
  <c r="H59" i="49"/>
  <c r="H55" i="49"/>
  <c r="H206" i="49"/>
  <c r="H167" i="49"/>
  <c r="H129" i="49"/>
  <c r="H84" i="49"/>
  <c r="H178" i="49"/>
  <c r="H196" i="49"/>
  <c r="H29" i="49"/>
  <c r="H42" i="49"/>
  <c r="H185" i="49"/>
  <c r="H31" i="49"/>
  <c r="H182" i="49"/>
  <c r="H140" i="49"/>
  <c r="H96" i="49"/>
  <c r="H56" i="49"/>
  <c r="H52" i="49"/>
  <c r="H164" i="106"/>
  <c r="H181" i="106"/>
  <c r="H170" i="106"/>
  <c r="H187" i="106"/>
  <c r="H208" i="106"/>
  <c r="H185" i="106"/>
  <c r="H30" i="106"/>
  <c r="K15" i="31"/>
  <c r="M197" i="87"/>
  <c r="H55" i="50"/>
  <c r="H136" i="50"/>
  <c r="H206" i="50"/>
  <c r="H90" i="50"/>
  <c r="H167" i="50"/>
  <c r="H49" i="50"/>
  <c r="H129" i="50"/>
  <c r="H201" i="50"/>
  <c r="H84" i="50"/>
  <c r="H160" i="50"/>
  <c r="H43" i="50"/>
  <c r="H119" i="50"/>
  <c r="H194" i="50"/>
  <c r="H75" i="50"/>
  <c r="H153" i="50"/>
  <c r="H37" i="50"/>
  <c r="H114" i="50"/>
  <c r="H188" i="50"/>
  <c r="H69" i="50"/>
  <c r="H147" i="50"/>
  <c r="M208" i="50"/>
  <c r="G215" i="49"/>
  <c r="M208" i="42"/>
  <c r="M208" i="103"/>
  <c r="M61" i="135"/>
  <c r="M93" i="21"/>
  <c r="M161" i="24"/>
  <c r="M79" i="42"/>
  <c r="M197" i="135"/>
  <c r="M206" i="21"/>
  <c r="H87" i="49"/>
  <c r="H115" i="49"/>
  <c r="H143" i="49"/>
  <c r="H153" i="49"/>
  <c r="H26" i="49"/>
  <c r="H74" i="49"/>
  <c r="H38" i="49"/>
  <c r="H183" i="49"/>
  <c r="H148" i="49"/>
  <c r="H101" i="49"/>
  <c r="H51" i="49"/>
  <c r="H77" i="49"/>
  <c r="H100" i="49"/>
  <c r="H111" i="49"/>
  <c r="H141" i="49"/>
  <c r="H47" i="49"/>
  <c r="H197" i="49"/>
  <c r="H158" i="49"/>
  <c r="H118" i="49"/>
  <c r="H73" i="49"/>
  <c r="H135" i="49"/>
  <c r="H172" i="106"/>
  <c r="H189" i="106"/>
  <c r="H34" i="106"/>
  <c r="H195" i="106"/>
  <c r="H32" i="106"/>
  <c r="H55" i="106"/>
  <c r="H38" i="106"/>
  <c r="M93" i="43"/>
  <c r="M61" i="24"/>
  <c r="M93" i="141"/>
  <c r="M21" i="135"/>
  <c r="M161" i="90"/>
  <c r="M61" i="1"/>
  <c r="M197" i="28"/>
  <c r="M61" i="120"/>
  <c r="M111" i="39"/>
  <c r="M119" i="102"/>
  <c r="H66" i="50"/>
  <c r="H146" i="50"/>
  <c r="H30" i="50"/>
  <c r="H99" i="50"/>
  <c r="H175" i="50"/>
  <c r="H57" i="50"/>
  <c r="H138" i="50"/>
  <c r="H208" i="50"/>
  <c r="H92" i="50"/>
  <c r="H169" i="50"/>
  <c r="H51" i="50"/>
  <c r="H131" i="50"/>
  <c r="H203" i="50"/>
  <c r="H86" i="50"/>
  <c r="H161" i="50"/>
  <c r="H45" i="50"/>
  <c r="H124" i="50"/>
  <c r="H196" i="50"/>
  <c r="H77" i="50"/>
  <c r="H156" i="50"/>
  <c r="H170" i="49"/>
  <c r="H189" i="49"/>
  <c r="H28" i="49"/>
  <c r="H37" i="49"/>
  <c r="H171" i="49"/>
  <c r="H91" i="49"/>
  <c r="H54" i="49"/>
  <c r="H202" i="49"/>
  <c r="H168" i="49"/>
  <c r="H123" i="49"/>
  <c r="H131" i="49"/>
  <c r="H156" i="49"/>
  <c r="H180" i="49"/>
  <c r="H187" i="49"/>
  <c r="H93" i="49"/>
  <c r="H66" i="49"/>
  <c r="H30" i="49"/>
  <c r="H175" i="49"/>
  <c r="H138" i="49"/>
  <c r="H92" i="49"/>
  <c r="H27" i="49"/>
  <c r="H36" i="106"/>
  <c r="H200" i="106"/>
  <c r="H42" i="106"/>
  <c r="H57" i="106"/>
  <c r="H40" i="106"/>
  <c r="H66" i="106"/>
  <c r="H90" i="106"/>
  <c r="H42" i="46"/>
  <c r="H115" i="46"/>
  <c r="H202" i="46"/>
  <c r="H91" i="46"/>
  <c r="H176" i="46"/>
  <c r="H159" i="46"/>
  <c r="H44" i="46"/>
  <c r="H130" i="46"/>
  <c r="H204" i="46"/>
  <c r="H96" i="46"/>
  <c r="H187" i="46"/>
  <c r="H78" i="46"/>
  <c r="H164" i="46"/>
  <c r="H54" i="46"/>
  <c r="H132" i="46"/>
  <c r="H25" i="46"/>
  <c r="G215" i="111"/>
  <c r="H208" i="111"/>
  <c r="M119" i="87"/>
  <c r="M206" i="39"/>
  <c r="H108" i="50"/>
  <c r="H32" i="50"/>
  <c r="H177" i="50"/>
  <c r="H59" i="50"/>
  <c r="H26" i="50"/>
  <c r="H93" i="50"/>
  <c r="H171" i="50"/>
  <c r="H53" i="50"/>
  <c r="H205" i="50"/>
  <c r="H88" i="50"/>
  <c r="H165" i="50"/>
  <c r="M111" i="135"/>
  <c r="M197" i="120"/>
  <c r="H50" i="49"/>
  <c r="H70" i="49"/>
  <c r="H97" i="49"/>
  <c r="H114" i="49"/>
  <c r="H133" i="49"/>
  <c r="H116" i="49"/>
  <c r="H71" i="49"/>
  <c r="H33" i="49"/>
  <c r="H184" i="49"/>
  <c r="H142" i="49"/>
  <c r="H203" i="49"/>
  <c r="H35" i="49"/>
  <c r="H60" i="49"/>
  <c r="H72" i="49"/>
  <c r="H53" i="49"/>
  <c r="H83" i="49"/>
  <c r="H46" i="49"/>
  <c r="H191" i="49"/>
  <c r="H157" i="49"/>
  <c r="H110" i="49"/>
  <c r="H43" i="49"/>
  <c r="G215" i="106"/>
  <c r="H44" i="106"/>
  <c r="H70" i="106"/>
  <c r="H50" i="106"/>
  <c r="H68" i="106"/>
  <c r="H92" i="106"/>
  <c r="H74" i="106"/>
  <c r="H99" i="106"/>
  <c r="H185" i="69"/>
  <c r="H110" i="69"/>
  <c r="H40" i="69"/>
  <c r="H157" i="69"/>
  <c r="H76" i="69"/>
  <c r="H187" i="69"/>
  <c r="H111" i="69"/>
  <c r="H42" i="69"/>
  <c r="H159" i="69"/>
  <c r="H78" i="69"/>
  <c r="H200" i="69"/>
  <c r="H127" i="69"/>
  <c r="H52" i="69"/>
  <c r="H172" i="69"/>
  <c r="H89" i="69"/>
  <c r="H202" i="69"/>
  <c r="H130" i="69"/>
  <c r="H54" i="69"/>
  <c r="H174" i="69"/>
  <c r="H91" i="69"/>
  <c r="H169" i="69"/>
  <c r="H92" i="69"/>
  <c r="H208" i="69"/>
  <c r="H138" i="69"/>
  <c r="H57" i="69"/>
  <c r="H171" i="69"/>
  <c r="H93" i="69"/>
  <c r="H26" i="69"/>
  <c r="H141" i="69"/>
  <c r="H59" i="69"/>
  <c r="H181" i="69"/>
  <c r="H106" i="69"/>
  <c r="H36" i="69"/>
  <c r="H152" i="69"/>
  <c r="H72" i="69"/>
  <c r="H183" i="69"/>
  <c r="H108" i="69"/>
  <c r="H38" i="69"/>
  <c r="H155" i="69"/>
  <c r="H74" i="69"/>
  <c r="H151" i="69"/>
  <c r="H73" i="69"/>
  <c r="H192" i="69"/>
  <c r="H118" i="69"/>
  <c r="H41" i="69"/>
  <c r="H153" i="69"/>
  <c r="H75" i="69"/>
  <c r="H194" i="69"/>
  <c r="H119" i="69"/>
  <c r="H43" i="69"/>
  <c r="H165" i="69"/>
  <c r="H88" i="69"/>
  <c r="H205" i="69"/>
  <c r="H133" i="69"/>
  <c r="H53" i="69"/>
  <c r="H167" i="69"/>
  <c r="H90" i="69"/>
  <c r="H206" i="69"/>
  <c r="H136" i="69"/>
  <c r="H55" i="69"/>
  <c r="K12" i="37"/>
  <c r="H137" i="37"/>
  <c r="H60" i="37"/>
  <c r="H180" i="37"/>
  <c r="H100" i="37"/>
  <c r="H29" i="37"/>
  <c r="H135" i="37"/>
  <c r="H58" i="37"/>
  <c r="H178" i="37"/>
  <c r="H98" i="37"/>
  <c r="H27" i="37"/>
  <c r="H142" i="37"/>
  <c r="H65" i="37"/>
  <c r="H184" i="37"/>
  <c r="H107" i="37"/>
  <c r="H33" i="37"/>
  <c r="H149" i="37"/>
  <c r="H71" i="37"/>
  <c r="H190" i="37"/>
  <c r="H116" i="37"/>
  <c r="H39" i="37"/>
  <c r="H200" i="37"/>
  <c r="H127" i="37"/>
  <c r="H189" i="37"/>
  <c r="H115" i="37"/>
  <c r="H44" i="37"/>
  <c r="H164" i="37"/>
  <c r="H79" i="37"/>
  <c r="H187" i="37"/>
  <c r="H111" i="37"/>
  <c r="H42" i="37"/>
  <c r="H159" i="37"/>
  <c r="H78" i="37"/>
  <c r="H193" i="37"/>
  <c r="H123" i="37"/>
  <c r="H48" i="37"/>
  <c r="H168" i="37"/>
  <c r="H85" i="37"/>
  <c r="H202" i="37"/>
  <c r="H130" i="37"/>
  <c r="H54" i="37"/>
  <c r="H174" i="37"/>
  <c r="H91" i="37"/>
  <c r="H181" i="37"/>
  <c r="H173" i="37"/>
  <c r="H97" i="37"/>
  <c r="H28" i="37"/>
  <c r="H143" i="37"/>
  <c r="H64" i="37"/>
  <c r="H171" i="37"/>
  <c r="H93" i="37"/>
  <c r="H26" i="37"/>
  <c r="H141" i="37"/>
  <c r="H59" i="37"/>
  <c r="H177" i="37"/>
  <c r="H101" i="37"/>
  <c r="H32" i="37"/>
  <c r="H148" i="37"/>
  <c r="H68" i="37"/>
  <c r="H183" i="37"/>
  <c r="H108" i="37"/>
  <c r="H38" i="37"/>
  <c r="H155" i="37"/>
  <c r="H74" i="37"/>
  <c r="M79" i="58"/>
  <c r="M119" i="135"/>
  <c r="M161" i="21"/>
  <c r="M119" i="28"/>
  <c r="H74" i="50"/>
  <c r="H155" i="50"/>
  <c r="H38" i="50"/>
  <c r="H183" i="50"/>
  <c r="H68" i="50"/>
  <c r="H148" i="50"/>
  <c r="H101" i="50"/>
  <c r="H141" i="50"/>
  <c r="H133" i="50"/>
  <c r="M93" i="58"/>
  <c r="M102" i="28"/>
  <c r="M206" i="120"/>
  <c r="M61" i="21"/>
  <c r="M21" i="58"/>
  <c r="H83" i="50"/>
  <c r="H166" i="50"/>
  <c r="H46" i="50"/>
  <c r="H117" i="50"/>
  <c r="H191" i="50"/>
  <c r="H76" i="50"/>
  <c r="H157" i="50"/>
  <c r="H40" i="50"/>
  <c r="H110" i="50"/>
  <c r="H185" i="50"/>
  <c r="H70" i="50"/>
  <c r="H150" i="50"/>
  <c r="H34" i="50"/>
  <c r="H102" i="50"/>
  <c r="H179" i="50"/>
  <c r="H64" i="50"/>
  <c r="H143" i="50"/>
  <c r="H28" i="50"/>
  <c r="H97" i="50"/>
  <c r="M197" i="103"/>
  <c r="H125" i="49"/>
  <c r="H150" i="49"/>
  <c r="H173" i="49"/>
  <c r="H188" i="49"/>
  <c r="H88" i="49"/>
  <c r="H136" i="49"/>
  <c r="H90" i="49"/>
  <c r="H49" i="49"/>
  <c r="H201" i="49"/>
  <c r="H160" i="49"/>
  <c r="H86" i="49"/>
  <c r="H109" i="49"/>
  <c r="H137" i="49"/>
  <c r="H152" i="49"/>
  <c r="H205" i="49"/>
  <c r="H105" i="49"/>
  <c r="H61" i="49"/>
  <c r="H25" i="49"/>
  <c r="H176" i="49"/>
  <c r="H72" i="106"/>
  <c r="H52" i="106"/>
  <c r="H78" i="106"/>
  <c r="H102" i="106"/>
  <c r="H76" i="106"/>
  <c r="H101" i="106"/>
  <c r="H136" i="106"/>
  <c r="H108" i="106"/>
  <c r="H111" i="54"/>
  <c r="H38" i="54"/>
  <c r="H74" i="54"/>
  <c r="H44" i="54"/>
  <c r="H79" i="54"/>
  <c r="H117" i="54"/>
  <c r="H42" i="54"/>
  <c r="H78" i="54"/>
  <c r="H48" i="54"/>
  <c r="H85" i="54"/>
  <c r="H125" i="54"/>
  <c r="H46" i="54"/>
  <c r="H83" i="54"/>
  <c r="H52" i="54"/>
  <c r="H89" i="54"/>
  <c r="H130" i="54"/>
  <c r="H50" i="54"/>
  <c r="H87" i="54"/>
  <c r="H56" i="54"/>
  <c r="H96" i="54"/>
  <c r="H93" i="54"/>
  <c r="H206" i="54"/>
  <c r="H55" i="54"/>
  <c r="H28" i="54"/>
  <c r="H64" i="54"/>
  <c r="H99" i="54"/>
  <c r="H26" i="54"/>
  <c r="H59" i="54"/>
  <c r="H32" i="54"/>
  <c r="H68" i="54"/>
  <c r="H102" i="54"/>
  <c r="H30" i="54"/>
  <c r="H66" i="54"/>
  <c r="H36" i="54"/>
  <c r="H72" i="54"/>
  <c r="H108" i="54"/>
  <c r="H34" i="54"/>
  <c r="H70" i="54"/>
  <c r="H40" i="54"/>
  <c r="H76" i="54"/>
  <c r="H75" i="54"/>
  <c r="H190" i="54"/>
  <c r="H39" i="54"/>
  <c r="H196" i="54"/>
  <c r="H45" i="54"/>
  <c r="H82" i="54"/>
  <c r="H194" i="54"/>
  <c r="H43" i="54"/>
  <c r="H201" i="54"/>
  <c r="H49" i="54"/>
  <c r="H86" i="54"/>
  <c r="H197" i="54"/>
  <c r="H47" i="54"/>
  <c r="H205" i="54"/>
  <c r="H53" i="54"/>
  <c r="H90" i="54"/>
  <c r="H203" i="54"/>
  <c r="H51" i="54"/>
  <c r="H208" i="54"/>
  <c r="H57" i="54"/>
  <c r="K12" i="54"/>
  <c r="H185" i="54"/>
  <c r="H174" i="54"/>
  <c r="H200" i="54"/>
  <c r="H180" i="54"/>
  <c r="H29" i="54"/>
  <c r="H193" i="54"/>
  <c r="H178" i="54"/>
  <c r="H27" i="54"/>
  <c r="H184" i="54"/>
  <c r="H33" i="54"/>
  <c r="H204" i="54"/>
  <c r="H182" i="54"/>
  <c r="H31" i="54"/>
  <c r="H188" i="54"/>
  <c r="H37" i="54"/>
  <c r="H71" i="54"/>
  <c r="H186" i="54"/>
  <c r="H35" i="54"/>
  <c r="H192" i="54"/>
  <c r="H41" i="54"/>
  <c r="H187" i="54"/>
  <c r="H151" i="54"/>
  <c r="H155" i="54"/>
  <c r="H165" i="54"/>
  <c r="H164" i="54"/>
  <c r="H191" i="54"/>
  <c r="H160" i="54"/>
  <c r="H159" i="54"/>
  <c r="H173" i="54"/>
  <c r="H168" i="54"/>
  <c r="H195" i="54"/>
  <c r="H169" i="54"/>
  <c r="H166" i="54"/>
  <c r="H181" i="54"/>
  <c r="H172" i="54"/>
  <c r="H202" i="54"/>
  <c r="H177" i="54"/>
  <c r="H170" i="54"/>
  <c r="H189" i="54"/>
  <c r="H176" i="54"/>
  <c r="H25" i="54"/>
  <c r="H204" i="119"/>
  <c r="H79" i="102"/>
  <c r="H164" i="102"/>
  <c r="H44" i="102"/>
  <c r="H115" i="102"/>
  <c r="H189" i="102"/>
  <c r="H78" i="102"/>
  <c r="H159" i="102"/>
  <c r="H42" i="102"/>
  <c r="H111" i="102"/>
  <c r="H187" i="102"/>
  <c r="H208" i="102"/>
  <c r="H136" i="102"/>
  <c r="K15" i="16"/>
  <c r="H45" i="102"/>
  <c r="H124" i="102"/>
  <c r="H196" i="102"/>
  <c r="H77" i="102"/>
  <c r="H156" i="102"/>
  <c r="H43" i="102"/>
  <c r="H119" i="102"/>
  <c r="H194" i="102"/>
  <c r="H75" i="102"/>
  <c r="H153" i="102"/>
  <c r="H68" i="102"/>
  <c r="H169" i="102"/>
  <c r="H90" i="102"/>
  <c r="K15" i="47"/>
  <c r="H41" i="46"/>
  <c r="H76" i="46"/>
  <c r="H118" i="46"/>
  <c r="H157" i="46"/>
  <c r="H192" i="46"/>
  <c r="H40" i="46"/>
  <c r="H73" i="46"/>
  <c r="H110" i="46"/>
  <c r="H151" i="46"/>
  <c r="H185" i="46"/>
  <c r="H39" i="46"/>
  <c r="H74" i="46"/>
  <c r="H116" i="46"/>
  <c r="H155" i="46"/>
  <c r="H190" i="46"/>
  <c r="H38" i="46"/>
  <c r="H71" i="46"/>
  <c r="H108" i="46"/>
  <c r="H149" i="46"/>
  <c r="H183" i="46"/>
  <c r="H29" i="46"/>
  <c r="H64" i="46"/>
  <c r="H100" i="46"/>
  <c r="H143" i="46"/>
  <c r="H180" i="46"/>
  <c r="H28" i="46"/>
  <c r="H60" i="46"/>
  <c r="H97" i="46"/>
  <c r="H137" i="46"/>
  <c r="H173" i="46"/>
  <c r="H27" i="46"/>
  <c r="H59" i="46"/>
  <c r="H98" i="46"/>
  <c r="H141" i="46"/>
  <c r="H178" i="46"/>
  <c r="H26" i="46"/>
  <c r="H58" i="46"/>
  <c r="H93" i="46"/>
  <c r="H135" i="46"/>
  <c r="H171" i="46"/>
  <c r="K12" i="46"/>
  <c r="M61" i="47"/>
  <c r="H195" i="102"/>
  <c r="H25" i="102"/>
  <c r="H41" i="102"/>
  <c r="H57" i="102"/>
  <c r="H76" i="102"/>
  <c r="H118" i="102"/>
  <c r="H157" i="102"/>
  <c r="H192" i="102"/>
  <c r="H40" i="102"/>
  <c r="H73" i="102"/>
  <c r="H110" i="102"/>
  <c r="H151" i="102"/>
  <c r="H185" i="102"/>
  <c r="H39" i="102"/>
  <c r="H74" i="102"/>
  <c r="H116" i="102"/>
  <c r="H155" i="102"/>
  <c r="H190" i="102"/>
  <c r="H38" i="102"/>
  <c r="H71" i="102"/>
  <c r="H108" i="102"/>
  <c r="H175" i="102"/>
  <c r="M161" i="46"/>
  <c r="H33" i="46"/>
  <c r="H49" i="46"/>
  <c r="H68" i="46"/>
  <c r="H85" i="46"/>
  <c r="H107" i="46"/>
  <c r="H129" i="46"/>
  <c r="H148" i="46"/>
  <c r="H168" i="46"/>
  <c r="H184" i="46"/>
  <c r="H201" i="46"/>
  <c r="H32" i="46"/>
  <c r="H48" i="46"/>
  <c r="H65" i="46"/>
  <c r="H84" i="46"/>
  <c r="H101" i="46"/>
  <c r="H123" i="46"/>
  <c r="H142" i="46"/>
  <c r="H160" i="46"/>
  <c r="H177" i="46"/>
  <c r="H193" i="46"/>
  <c r="H31" i="46"/>
  <c r="H47" i="46"/>
  <c r="H66" i="46"/>
  <c r="H83" i="46"/>
  <c r="H105" i="46"/>
  <c r="H126" i="46"/>
  <c r="H146" i="46"/>
  <c r="H166" i="46"/>
  <c r="H182" i="46"/>
  <c r="H197" i="46"/>
  <c r="H30" i="46"/>
  <c r="H46" i="46"/>
  <c r="H61" i="46"/>
  <c r="H82" i="46"/>
  <c r="H99" i="46"/>
  <c r="H117" i="46"/>
  <c r="H140" i="46"/>
  <c r="H158" i="46"/>
  <c r="H175" i="46"/>
  <c r="H191" i="46"/>
  <c r="G215" i="46"/>
  <c r="H37" i="46"/>
  <c r="H53" i="46"/>
  <c r="H72" i="46"/>
  <c r="H89" i="46"/>
  <c r="H114" i="46"/>
  <c r="H133" i="46"/>
  <c r="H152" i="46"/>
  <c r="H172" i="46"/>
  <c r="H188" i="46"/>
  <c r="H205" i="46"/>
  <c r="H36" i="46"/>
  <c r="H52" i="46"/>
  <c r="H69" i="46"/>
  <c r="H88" i="46"/>
  <c r="H106" i="46"/>
  <c r="H127" i="46"/>
  <c r="H147" i="46"/>
  <c r="H165" i="46"/>
  <c r="H181" i="46"/>
  <c r="H200" i="46"/>
  <c r="H35" i="46"/>
  <c r="H51" i="46"/>
  <c r="H70" i="46"/>
  <c r="H87" i="46"/>
  <c r="H109" i="46"/>
  <c r="H131" i="46"/>
  <c r="H150" i="46"/>
  <c r="H170" i="46"/>
  <c r="H186" i="46"/>
  <c r="H203" i="46"/>
  <c r="H34" i="46"/>
  <c r="H50" i="46"/>
  <c r="H67" i="46"/>
  <c r="H86" i="46"/>
  <c r="H102" i="46"/>
  <c r="H125" i="46"/>
  <c r="H145" i="46"/>
  <c r="H161" i="46"/>
  <c r="H179" i="46"/>
  <c r="H195" i="46"/>
  <c r="H85" i="102"/>
  <c r="H107" i="102"/>
  <c r="H129" i="102"/>
  <c r="H148" i="102"/>
  <c r="H168" i="102"/>
  <c r="H184" i="102"/>
  <c r="H201" i="102"/>
  <c r="H32" i="102"/>
  <c r="H48" i="102"/>
  <c r="H65" i="102"/>
  <c r="H84" i="102"/>
  <c r="H101" i="102"/>
  <c r="H123" i="102"/>
  <c r="H142" i="102"/>
  <c r="H160" i="102"/>
  <c r="H177" i="102"/>
  <c r="H193" i="102"/>
  <c r="H31" i="102"/>
  <c r="H47" i="102"/>
  <c r="H66" i="102"/>
  <c r="H83" i="102"/>
  <c r="H105" i="102"/>
  <c r="H126" i="102"/>
  <c r="H146" i="102"/>
  <c r="H166" i="102"/>
  <c r="H182" i="102"/>
  <c r="H197" i="102"/>
  <c r="H30" i="102"/>
  <c r="H46" i="102"/>
  <c r="H61" i="102"/>
  <c r="H82" i="102"/>
  <c r="H99" i="102"/>
  <c r="H117" i="102"/>
  <c r="H158" i="102"/>
  <c r="H191" i="102"/>
  <c r="M197" i="37"/>
  <c r="M161" i="31"/>
  <c r="M102" i="31"/>
  <c r="M119" i="31"/>
  <c r="G238" i="64"/>
  <c r="K15" i="28"/>
  <c r="H203" i="119"/>
  <c r="K15" i="119"/>
  <c r="H131" i="119"/>
  <c r="H53" i="119"/>
  <c r="H27" i="119"/>
  <c r="H87" i="119"/>
  <c r="H170" i="119"/>
  <c r="H86" i="119"/>
  <c r="H205" i="119"/>
  <c r="H35" i="119"/>
  <c r="H70" i="119"/>
  <c r="H109" i="119"/>
  <c r="H150" i="119"/>
  <c r="H186" i="119"/>
  <c r="H50" i="119"/>
  <c r="H161" i="119"/>
  <c r="H133" i="119"/>
  <c r="H200" i="119"/>
  <c r="H43" i="119"/>
  <c r="H59" i="119"/>
  <c r="H78" i="119"/>
  <c r="H98" i="119"/>
  <c r="H119" i="119"/>
  <c r="H141" i="119"/>
  <c r="H159" i="119"/>
  <c r="H178" i="119"/>
  <c r="H194" i="119"/>
  <c r="H34" i="119"/>
  <c r="H67" i="119"/>
  <c r="H125" i="119"/>
  <c r="H195" i="119"/>
  <c r="H89" i="119"/>
  <c r="H172" i="119"/>
  <c r="H69" i="119"/>
  <c r="H108" i="119"/>
  <c r="H102" i="119"/>
  <c r="H145" i="119"/>
  <c r="H179" i="119"/>
  <c r="H37" i="119"/>
  <c r="H72" i="119"/>
  <c r="H114" i="119"/>
  <c r="H152" i="119"/>
  <c r="H188" i="119"/>
  <c r="H36" i="119"/>
  <c r="H127" i="119"/>
  <c r="H155" i="119"/>
  <c r="H68" i="119"/>
  <c r="H26" i="119"/>
  <c r="H42" i="119"/>
  <c r="H58" i="119"/>
  <c r="H75" i="119"/>
  <c r="H93" i="119"/>
  <c r="H111" i="119"/>
  <c r="H135" i="119"/>
  <c r="H153" i="119"/>
  <c r="H171" i="119"/>
  <c r="H187" i="119"/>
  <c r="H29" i="119"/>
  <c r="H45" i="119"/>
  <c r="H64" i="119"/>
  <c r="H79" i="119"/>
  <c r="H100" i="119"/>
  <c r="H124" i="119"/>
  <c r="H143" i="119"/>
  <c r="H164" i="119"/>
  <c r="H180" i="119"/>
  <c r="H196" i="119"/>
  <c r="H28" i="119"/>
  <c r="H52" i="119"/>
  <c r="H88" i="119"/>
  <c r="H165" i="119"/>
  <c r="H74" i="119"/>
  <c r="H38" i="119"/>
  <c r="H183" i="119"/>
  <c r="H148" i="119"/>
  <c r="H106" i="119"/>
  <c r="H147" i="119"/>
  <c r="H181" i="119"/>
  <c r="H39" i="119"/>
  <c r="H116" i="119"/>
  <c r="H190" i="119"/>
  <c r="H71" i="119"/>
  <c r="H149" i="119"/>
  <c r="H33" i="119"/>
  <c r="H107" i="119"/>
  <c r="H65" i="119"/>
  <c r="H44" i="119"/>
  <c r="H60" i="119"/>
  <c r="H77" i="119"/>
  <c r="H97" i="119"/>
  <c r="H115" i="119"/>
  <c r="H137" i="119"/>
  <c r="H156" i="119"/>
  <c r="H173" i="119"/>
  <c r="H189" i="119"/>
  <c r="K12" i="119"/>
  <c r="H55" i="119"/>
  <c r="H91" i="119"/>
  <c r="H136" i="119"/>
  <c r="H174" i="119"/>
  <c r="H206" i="119"/>
  <c r="H54" i="119"/>
  <c r="H90" i="119"/>
  <c r="H130" i="119"/>
  <c r="H167" i="119"/>
  <c r="H202" i="119"/>
  <c r="H49" i="119"/>
  <c r="H85" i="119"/>
  <c r="H129" i="119"/>
  <c r="H184" i="119"/>
  <c r="H142" i="119"/>
  <c r="H31" i="119"/>
  <c r="H47" i="119"/>
  <c r="H66" i="119"/>
  <c r="H83" i="119"/>
  <c r="H105" i="119"/>
  <c r="H126" i="119"/>
  <c r="H146" i="119"/>
  <c r="H166" i="119"/>
  <c r="H182" i="119"/>
  <c r="H197" i="119"/>
  <c r="H30" i="119"/>
  <c r="H46" i="119"/>
  <c r="H61" i="119"/>
  <c r="H82" i="119"/>
  <c r="H99" i="119"/>
  <c r="H117" i="119"/>
  <c r="H140" i="119"/>
  <c r="H158" i="119"/>
  <c r="H175" i="119"/>
  <c r="H191" i="119"/>
  <c r="H25" i="119"/>
  <c r="H41" i="119"/>
  <c r="H57" i="119"/>
  <c r="H76" i="119"/>
  <c r="H96" i="119"/>
  <c r="H118" i="119"/>
  <c r="H138" i="119"/>
  <c r="H168" i="119"/>
  <c r="H32" i="119"/>
  <c r="H101" i="119"/>
  <c r="H177" i="119"/>
  <c r="H157" i="119"/>
  <c r="H176" i="119"/>
  <c r="H201" i="119"/>
  <c r="H48" i="119"/>
  <c r="H84" i="119"/>
  <c r="H123" i="119"/>
  <c r="H160" i="119"/>
  <c r="H193" i="119"/>
  <c r="H192" i="119"/>
  <c r="H208" i="119"/>
  <c r="H40" i="119"/>
  <c r="H56" i="119"/>
  <c r="H73" i="119"/>
  <c r="H92" i="119"/>
  <c r="H110" i="119"/>
  <c r="H132" i="119"/>
  <c r="H151" i="119"/>
  <c r="H169" i="119"/>
  <c r="H185" i="119"/>
  <c r="H219" i="85"/>
  <c r="G236" i="85"/>
  <c r="M102" i="111"/>
  <c r="E239" i="97"/>
  <c r="E241" i="97" s="1"/>
  <c r="K15" i="100"/>
  <c r="H22" i="97"/>
  <c r="H17" i="97"/>
  <c r="H21" i="97"/>
  <c r="H18" i="97"/>
  <c r="H19" i="97"/>
  <c r="H130" i="102"/>
  <c r="H149" i="102"/>
  <c r="H167" i="102"/>
  <c r="H183" i="102"/>
  <c r="H202" i="102"/>
  <c r="M208" i="79"/>
  <c r="K12" i="79"/>
  <c r="H195" i="79"/>
  <c r="H187" i="79"/>
  <c r="H179" i="79"/>
  <c r="H171" i="79"/>
  <c r="H161" i="79"/>
  <c r="H153" i="79"/>
  <c r="H145" i="79"/>
  <c r="H135" i="79"/>
  <c r="H125" i="79"/>
  <c r="H111" i="79"/>
  <c r="H102" i="79"/>
  <c r="H93" i="79"/>
  <c r="H86" i="79"/>
  <c r="H75" i="79"/>
  <c r="H67" i="79"/>
  <c r="H58" i="79"/>
  <c r="H50" i="79"/>
  <c r="H42" i="79"/>
  <c r="H34" i="79"/>
  <c r="H26" i="79"/>
  <c r="H203" i="79"/>
  <c r="H194" i="79"/>
  <c r="H186" i="79"/>
  <c r="H178" i="79"/>
  <c r="H170" i="79"/>
  <c r="H159" i="79"/>
  <c r="H150" i="79"/>
  <c r="H141" i="79"/>
  <c r="H131" i="79"/>
  <c r="H119" i="79"/>
  <c r="H109" i="79"/>
  <c r="H98" i="79"/>
  <c r="H87" i="79"/>
  <c r="H78" i="79"/>
  <c r="H70" i="79"/>
  <c r="H59" i="79"/>
  <c r="H51" i="79"/>
  <c r="H43" i="79"/>
  <c r="H35" i="79"/>
  <c r="H27" i="79"/>
  <c r="H200" i="79"/>
  <c r="H189" i="79"/>
  <c r="H181" i="79"/>
  <c r="H173" i="79"/>
  <c r="H165" i="79"/>
  <c r="H156" i="79"/>
  <c r="H147" i="79"/>
  <c r="H137" i="79"/>
  <c r="H127" i="79"/>
  <c r="H115" i="79"/>
  <c r="H106" i="79"/>
  <c r="H97" i="79"/>
  <c r="H88" i="79"/>
  <c r="H77" i="79"/>
  <c r="H69" i="79"/>
  <c r="H60" i="79"/>
  <c r="H52" i="79"/>
  <c r="H44" i="79"/>
  <c r="H36" i="79"/>
  <c r="H28" i="79"/>
  <c r="H205" i="79"/>
  <c r="H196" i="79"/>
  <c r="H188" i="79"/>
  <c r="H180" i="79"/>
  <c r="H172" i="79"/>
  <c r="H164" i="79"/>
  <c r="H152" i="79"/>
  <c r="H143" i="79"/>
  <c r="H133" i="79"/>
  <c r="H124" i="79"/>
  <c r="H114" i="79"/>
  <c r="H100" i="79"/>
  <c r="H89" i="79"/>
  <c r="H79" i="79"/>
  <c r="H72" i="79"/>
  <c r="H64" i="79"/>
  <c r="H53" i="79"/>
  <c r="H45" i="79"/>
  <c r="H37" i="79"/>
  <c r="H29" i="79"/>
  <c r="H202" i="79"/>
  <c r="H191" i="79"/>
  <c r="H183" i="79"/>
  <c r="H175" i="79"/>
  <c r="H167" i="79"/>
  <c r="H158" i="79"/>
  <c r="H149" i="79"/>
  <c r="H140" i="79"/>
  <c r="H130" i="79"/>
  <c r="H117" i="79"/>
  <c r="H108" i="79"/>
  <c r="H99" i="79"/>
  <c r="H90" i="79"/>
  <c r="H82" i="79"/>
  <c r="H71" i="79"/>
  <c r="H61" i="79"/>
  <c r="H54" i="79"/>
  <c r="H46" i="79"/>
  <c r="H38" i="79"/>
  <c r="H30" i="79"/>
  <c r="H206" i="79"/>
  <c r="H197" i="79"/>
  <c r="H190" i="79"/>
  <c r="H182" i="79"/>
  <c r="H174" i="79"/>
  <c r="H166" i="79"/>
  <c r="H155" i="79"/>
  <c r="H146" i="79"/>
  <c r="H136" i="79"/>
  <c r="H126" i="79"/>
  <c r="H116" i="79"/>
  <c r="H105" i="79"/>
  <c r="H91" i="79"/>
  <c r="H83" i="79"/>
  <c r="H74" i="79"/>
  <c r="H66" i="79"/>
  <c r="H55" i="79"/>
  <c r="H47" i="79"/>
  <c r="H39" i="79"/>
  <c r="H31" i="79"/>
  <c r="H204" i="79"/>
  <c r="H193" i="79"/>
  <c r="H185" i="79"/>
  <c r="H177" i="79"/>
  <c r="H169" i="79"/>
  <c r="H160" i="79"/>
  <c r="H151" i="79"/>
  <c r="H142" i="79"/>
  <c r="H132" i="79"/>
  <c r="H123" i="79"/>
  <c r="H110" i="79"/>
  <c r="H101" i="79"/>
  <c r="H92" i="79"/>
  <c r="H84" i="79"/>
  <c r="H73" i="79"/>
  <c r="H65" i="79"/>
  <c r="H56" i="79"/>
  <c r="H48" i="79"/>
  <c r="H40" i="79"/>
  <c r="H32" i="79"/>
  <c r="H208" i="79"/>
  <c r="H201" i="79"/>
  <c r="H192" i="79"/>
  <c r="H184" i="79"/>
  <c r="H176" i="79"/>
  <c r="H168" i="79"/>
  <c r="H157" i="79"/>
  <c r="H148" i="79"/>
  <c r="H138" i="79"/>
  <c r="H129" i="79"/>
  <c r="H118" i="79"/>
  <c r="H107" i="79"/>
  <c r="H96" i="79"/>
  <c r="H85" i="79"/>
  <c r="H76" i="79"/>
  <c r="H68" i="79"/>
  <c r="H57" i="79"/>
  <c r="H49" i="79"/>
  <c r="H41" i="79"/>
  <c r="H33" i="79"/>
  <c r="H25" i="79"/>
  <c r="H200" i="90"/>
  <c r="H189" i="90"/>
  <c r="H181" i="90"/>
  <c r="H173" i="90"/>
  <c r="H165" i="90"/>
  <c r="H156" i="90"/>
  <c r="H147" i="90"/>
  <c r="H137" i="90"/>
  <c r="H127" i="90"/>
  <c r="H115" i="90"/>
  <c r="H106" i="90"/>
  <c r="H97" i="90"/>
  <c r="H88" i="90"/>
  <c r="H77" i="90"/>
  <c r="H69" i="90"/>
  <c r="H60" i="90"/>
  <c r="H52" i="90"/>
  <c r="H44" i="90"/>
  <c r="H36" i="90"/>
  <c r="H28" i="90"/>
  <c r="H205" i="90"/>
  <c r="H196" i="90"/>
  <c r="H188" i="90"/>
  <c r="H180" i="90"/>
  <c r="H172" i="90"/>
  <c r="H164" i="90"/>
  <c r="H152" i="90"/>
  <c r="H143" i="90"/>
  <c r="H133" i="90"/>
  <c r="H124" i="90"/>
  <c r="H114" i="90"/>
  <c r="H100" i="90"/>
  <c r="H89" i="90"/>
  <c r="H79" i="90"/>
  <c r="H72" i="90"/>
  <c r="H64" i="90"/>
  <c r="H53" i="90"/>
  <c r="H45" i="90"/>
  <c r="H37" i="90"/>
  <c r="H29" i="90"/>
  <c r="K12" i="90"/>
  <c r="H195" i="90"/>
  <c r="H187" i="90"/>
  <c r="H179" i="90"/>
  <c r="H171" i="90"/>
  <c r="H161" i="90"/>
  <c r="H153" i="90"/>
  <c r="H145" i="90"/>
  <c r="H135" i="90"/>
  <c r="H125" i="90"/>
  <c r="H111" i="90"/>
  <c r="H102" i="90"/>
  <c r="H93" i="90"/>
  <c r="H86" i="90"/>
  <c r="H75" i="90"/>
  <c r="H67" i="90"/>
  <c r="H58" i="90"/>
  <c r="H50" i="90"/>
  <c r="H42" i="90"/>
  <c r="H34" i="90"/>
  <c r="H26" i="90"/>
  <c r="H203" i="90"/>
  <c r="H194" i="90"/>
  <c r="H186" i="90"/>
  <c r="H178" i="90"/>
  <c r="H170" i="90"/>
  <c r="H159" i="90"/>
  <c r="H150" i="90"/>
  <c r="H141" i="90"/>
  <c r="H131" i="90"/>
  <c r="H119" i="90"/>
  <c r="H109" i="90"/>
  <c r="H98" i="90"/>
  <c r="H87" i="90"/>
  <c r="H78" i="90"/>
  <c r="H70" i="90"/>
  <c r="H59" i="90"/>
  <c r="H51" i="90"/>
  <c r="H43" i="90"/>
  <c r="H35" i="90"/>
  <c r="H27" i="90"/>
  <c r="H204" i="90"/>
  <c r="H193" i="90"/>
  <c r="H185" i="90"/>
  <c r="H177" i="90"/>
  <c r="H169" i="90"/>
  <c r="H160" i="90"/>
  <c r="H151" i="90"/>
  <c r="H142" i="90"/>
  <c r="H132" i="90"/>
  <c r="H123" i="90"/>
  <c r="H110" i="90"/>
  <c r="H101" i="90"/>
  <c r="H92" i="90"/>
  <c r="H84" i="90"/>
  <c r="H73" i="90"/>
  <c r="H65" i="90"/>
  <c r="H56" i="90"/>
  <c r="H48" i="90"/>
  <c r="H40" i="90"/>
  <c r="H32" i="90"/>
  <c r="H208" i="90"/>
  <c r="H201" i="90"/>
  <c r="H192" i="90"/>
  <c r="H184" i="90"/>
  <c r="H176" i="90"/>
  <c r="H168" i="90"/>
  <c r="H157" i="90"/>
  <c r="H148" i="90"/>
  <c r="H138" i="90"/>
  <c r="H129" i="90"/>
  <c r="H118" i="90"/>
  <c r="H107" i="90"/>
  <c r="H96" i="90"/>
  <c r="H85" i="90"/>
  <c r="H76" i="90"/>
  <c r="H68" i="90"/>
  <c r="H57" i="90"/>
  <c r="H49" i="90"/>
  <c r="H41" i="90"/>
  <c r="H33" i="90"/>
  <c r="H25" i="90"/>
  <c r="H202" i="90"/>
  <c r="H191" i="90"/>
  <c r="H183" i="90"/>
  <c r="H175" i="90"/>
  <c r="H167" i="90"/>
  <c r="H158" i="90"/>
  <c r="H149" i="90"/>
  <c r="H140" i="90"/>
  <c r="H130" i="90"/>
  <c r="H117" i="90"/>
  <c r="H108" i="90"/>
  <c r="H99" i="90"/>
  <c r="H90" i="90"/>
  <c r="H82" i="90"/>
  <c r="H71" i="90"/>
  <c r="H61" i="90"/>
  <c r="H54" i="90"/>
  <c r="H46" i="90"/>
  <c r="H38" i="90"/>
  <c r="H30" i="90"/>
  <c r="H206" i="90"/>
  <c r="H197" i="90"/>
  <c r="H190" i="90"/>
  <c r="H182" i="90"/>
  <c r="H174" i="90"/>
  <c r="H166" i="90"/>
  <c r="H155" i="90"/>
  <c r="H146" i="90"/>
  <c r="H136" i="90"/>
  <c r="H126" i="90"/>
  <c r="H116" i="90"/>
  <c r="H105" i="90"/>
  <c r="H91" i="90"/>
  <c r="H83" i="90"/>
  <c r="H74" i="90"/>
  <c r="H66" i="90"/>
  <c r="H55" i="90"/>
  <c r="H47" i="90"/>
  <c r="H39" i="90"/>
  <c r="H31" i="90"/>
  <c r="M208" i="90"/>
  <c r="M208" i="67"/>
  <c r="H202" i="67"/>
  <c r="H191" i="67"/>
  <c r="H183" i="67"/>
  <c r="H175" i="67"/>
  <c r="H167" i="67"/>
  <c r="H158" i="67"/>
  <c r="H149" i="67"/>
  <c r="H140" i="67"/>
  <c r="H130" i="67"/>
  <c r="H117" i="67"/>
  <c r="H108" i="67"/>
  <c r="H99" i="67"/>
  <c r="H90" i="67"/>
  <c r="H82" i="67"/>
  <c r="H71" i="67"/>
  <c r="H61" i="67"/>
  <c r="H54" i="67"/>
  <c r="H46" i="67"/>
  <c r="H38" i="67"/>
  <c r="H30" i="67"/>
  <c r="H206" i="67"/>
  <c r="H197" i="67"/>
  <c r="H190" i="67"/>
  <c r="H182" i="67"/>
  <c r="H174" i="67"/>
  <c r="H166" i="67"/>
  <c r="H155" i="67"/>
  <c r="H146" i="67"/>
  <c r="H136" i="67"/>
  <c r="H126" i="67"/>
  <c r="H116" i="67"/>
  <c r="H105" i="67"/>
  <c r="H91" i="67"/>
  <c r="H83" i="67"/>
  <c r="H74" i="67"/>
  <c r="H66" i="67"/>
  <c r="H55" i="67"/>
  <c r="H47" i="67"/>
  <c r="H39" i="67"/>
  <c r="H31" i="67"/>
  <c r="H200" i="67"/>
  <c r="H189" i="67"/>
  <c r="H181" i="67"/>
  <c r="H173" i="67"/>
  <c r="H165" i="67"/>
  <c r="H156" i="67"/>
  <c r="H147" i="67"/>
  <c r="H137" i="67"/>
  <c r="H127" i="67"/>
  <c r="H115" i="67"/>
  <c r="H106" i="67"/>
  <c r="H97" i="67"/>
  <c r="H88" i="67"/>
  <c r="H77" i="67"/>
  <c r="H69" i="67"/>
  <c r="H60" i="67"/>
  <c r="H52" i="67"/>
  <c r="H44" i="67"/>
  <c r="H36" i="67"/>
  <c r="H28" i="67"/>
  <c r="H205" i="67"/>
  <c r="H196" i="67"/>
  <c r="H188" i="67"/>
  <c r="H180" i="67"/>
  <c r="H172" i="67"/>
  <c r="H164" i="67"/>
  <c r="H152" i="67"/>
  <c r="H143" i="67"/>
  <c r="H133" i="67"/>
  <c r="H124" i="67"/>
  <c r="H114" i="67"/>
  <c r="H100" i="67"/>
  <c r="H89" i="67"/>
  <c r="H79" i="67"/>
  <c r="H72" i="67"/>
  <c r="H64" i="67"/>
  <c r="H53" i="67"/>
  <c r="H45" i="67"/>
  <c r="H37" i="67"/>
  <c r="H29" i="67"/>
  <c r="K12" i="67"/>
  <c r="H195" i="67"/>
  <c r="H187" i="67"/>
  <c r="H179" i="67"/>
  <c r="H171" i="67"/>
  <c r="H161" i="67"/>
  <c r="H153" i="67"/>
  <c r="H145" i="67"/>
  <c r="H135" i="67"/>
  <c r="H125" i="67"/>
  <c r="H111" i="67"/>
  <c r="H102" i="67"/>
  <c r="H93" i="67"/>
  <c r="H86" i="67"/>
  <c r="H75" i="67"/>
  <c r="H67" i="67"/>
  <c r="H58" i="67"/>
  <c r="H50" i="67"/>
  <c r="H42" i="67"/>
  <c r="H34" i="67"/>
  <c r="H26" i="67"/>
  <c r="H203" i="67"/>
  <c r="H194" i="67"/>
  <c r="H186" i="67"/>
  <c r="H178" i="67"/>
  <c r="H170" i="67"/>
  <c r="H159" i="67"/>
  <c r="H150" i="67"/>
  <c r="H141" i="67"/>
  <c r="H131" i="67"/>
  <c r="H119" i="67"/>
  <c r="H109" i="67"/>
  <c r="H98" i="67"/>
  <c r="H87" i="67"/>
  <c r="H78" i="67"/>
  <c r="H70" i="67"/>
  <c r="H59" i="67"/>
  <c r="H51" i="67"/>
  <c r="H43" i="67"/>
  <c r="H35" i="67"/>
  <c r="H27" i="67"/>
  <c r="H204" i="67"/>
  <c r="H193" i="67"/>
  <c r="H185" i="67"/>
  <c r="H177" i="67"/>
  <c r="H169" i="67"/>
  <c r="H160" i="67"/>
  <c r="H151" i="67"/>
  <c r="H142" i="67"/>
  <c r="H132" i="67"/>
  <c r="H123" i="67"/>
  <c r="H110" i="67"/>
  <c r="H101" i="67"/>
  <c r="H92" i="67"/>
  <c r="H84" i="67"/>
  <c r="H73" i="67"/>
  <c r="H65" i="67"/>
  <c r="H56" i="67"/>
  <c r="H48" i="67"/>
  <c r="H40" i="67"/>
  <c r="H32" i="67"/>
  <c r="H208" i="67"/>
  <c r="H201" i="67"/>
  <c r="H192" i="67"/>
  <c r="H184" i="67"/>
  <c r="H176" i="67"/>
  <c r="H168" i="67"/>
  <c r="H157" i="67"/>
  <c r="H148" i="67"/>
  <c r="H138" i="67"/>
  <c r="H129" i="67"/>
  <c r="H118" i="67"/>
  <c r="H107" i="67"/>
  <c r="H96" i="67"/>
  <c r="H85" i="67"/>
  <c r="H76" i="67"/>
  <c r="H68" i="67"/>
  <c r="H57" i="67"/>
  <c r="H49" i="67"/>
  <c r="H41" i="67"/>
  <c r="H33" i="67"/>
  <c r="H25" i="67"/>
  <c r="M208" i="63"/>
  <c r="H204" i="63"/>
  <c r="H193" i="63"/>
  <c r="H185" i="63"/>
  <c r="H177" i="63"/>
  <c r="H169" i="63"/>
  <c r="H160" i="63"/>
  <c r="H151" i="63"/>
  <c r="H142" i="63"/>
  <c r="H132" i="63"/>
  <c r="H123" i="63"/>
  <c r="H110" i="63"/>
  <c r="H101" i="63"/>
  <c r="H92" i="63"/>
  <c r="H84" i="63"/>
  <c r="H73" i="63"/>
  <c r="H65" i="63"/>
  <c r="H56" i="63"/>
  <c r="H48" i="63"/>
  <c r="H40" i="63"/>
  <c r="H32" i="63"/>
  <c r="H206" i="63"/>
  <c r="H197" i="63"/>
  <c r="H190" i="63"/>
  <c r="H182" i="63"/>
  <c r="H174" i="63"/>
  <c r="H166" i="63"/>
  <c r="H155" i="63"/>
  <c r="H146" i="63"/>
  <c r="H136" i="63"/>
  <c r="H126" i="63"/>
  <c r="H116" i="63"/>
  <c r="H105" i="63"/>
  <c r="H91" i="63"/>
  <c r="H83" i="63"/>
  <c r="H74" i="63"/>
  <c r="H66" i="63"/>
  <c r="H55" i="63"/>
  <c r="H47" i="63"/>
  <c r="H39" i="63"/>
  <c r="H31" i="63"/>
  <c r="G215" i="63"/>
  <c r="H202" i="63"/>
  <c r="H191" i="63"/>
  <c r="H183" i="63"/>
  <c r="H175" i="63"/>
  <c r="H167" i="63"/>
  <c r="H158" i="63"/>
  <c r="H149" i="63"/>
  <c r="H140" i="63"/>
  <c r="H130" i="63"/>
  <c r="H117" i="63"/>
  <c r="H108" i="63"/>
  <c r="H99" i="63"/>
  <c r="H90" i="63"/>
  <c r="H82" i="63"/>
  <c r="H71" i="63"/>
  <c r="H61" i="63"/>
  <c r="H54" i="63"/>
  <c r="H46" i="63"/>
  <c r="H38" i="63"/>
  <c r="H30" i="63"/>
  <c r="H208" i="63"/>
  <c r="H201" i="63"/>
  <c r="H192" i="63"/>
  <c r="H184" i="63"/>
  <c r="H176" i="63"/>
  <c r="H168" i="63"/>
  <c r="H157" i="63"/>
  <c r="H148" i="63"/>
  <c r="H138" i="63"/>
  <c r="H129" i="63"/>
  <c r="H118" i="63"/>
  <c r="H107" i="63"/>
  <c r="H96" i="63"/>
  <c r="H85" i="63"/>
  <c r="H76" i="63"/>
  <c r="H68" i="63"/>
  <c r="H57" i="63"/>
  <c r="H49" i="63"/>
  <c r="H41" i="63"/>
  <c r="H33" i="63"/>
  <c r="H25" i="63"/>
  <c r="K12" i="63"/>
  <c r="H200" i="63"/>
  <c r="H189" i="63"/>
  <c r="H181" i="63"/>
  <c r="H173" i="63"/>
  <c r="H165" i="63"/>
  <c r="H156" i="63"/>
  <c r="H147" i="63"/>
  <c r="H137" i="63"/>
  <c r="H127" i="63"/>
  <c r="H115" i="63"/>
  <c r="H106" i="63"/>
  <c r="H97" i="63"/>
  <c r="H88" i="63"/>
  <c r="H77" i="63"/>
  <c r="H69" i="63"/>
  <c r="H60" i="63"/>
  <c r="H52" i="63"/>
  <c r="H44" i="63"/>
  <c r="H36" i="63"/>
  <c r="H28" i="63"/>
  <c r="H203" i="63"/>
  <c r="H194" i="63"/>
  <c r="H186" i="63"/>
  <c r="H178" i="63"/>
  <c r="H170" i="63"/>
  <c r="H159" i="63"/>
  <c r="H150" i="63"/>
  <c r="H141" i="63"/>
  <c r="H131" i="63"/>
  <c r="H119" i="63"/>
  <c r="H109" i="63"/>
  <c r="H98" i="63"/>
  <c r="H87" i="63"/>
  <c r="H78" i="63"/>
  <c r="H70" i="63"/>
  <c r="H59" i="63"/>
  <c r="H51" i="63"/>
  <c r="H43" i="63"/>
  <c r="H35" i="63"/>
  <c r="H27" i="63"/>
  <c r="H195" i="63"/>
  <c r="H187" i="63"/>
  <c r="H179" i="63"/>
  <c r="H171" i="63"/>
  <c r="H161" i="63"/>
  <c r="H153" i="63"/>
  <c r="H145" i="63"/>
  <c r="H135" i="63"/>
  <c r="H125" i="63"/>
  <c r="H111" i="63"/>
  <c r="H102" i="63"/>
  <c r="H93" i="63"/>
  <c r="H86" i="63"/>
  <c r="H75" i="63"/>
  <c r="H67" i="63"/>
  <c r="H58" i="63"/>
  <c r="H50" i="63"/>
  <c r="H42" i="63"/>
  <c r="H34" i="63"/>
  <c r="H26" i="63"/>
  <c r="H205" i="63"/>
  <c r="H196" i="63"/>
  <c r="H188" i="63"/>
  <c r="H180" i="63"/>
  <c r="H172" i="63"/>
  <c r="H164" i="63"/>
  <c r="H152" i="63"/>
  <c r="H143" i="63"/>
  <c r="H133" i="63"/>
  <c r="H124" i="63"/>
  <c r="H114" i="63"/>
  <c r="H100" i="63"/>
  <c r="H89" i="63"/>
  <c r="H79" i="63"/>
  <c r="H72" i="63"/>
  <c r="H64" i="63"/>
  <c r="H53" i="63"/>
  <c r="H45" i="63"/>
  <c r="H37" i="63"/>
  <c r="H29" i="63"/>
  <c r="M208" i="58"/>
  <c r="H202" i="58"/>
  <c r="H191" i="58"/>
  <c r="H183" i="58"/>
  <c r="H175" i="58"/>
  <c r="H167" i="58"/>
  <c r="H158" i="58"/>
  <c r="H149" i="58"/>
  <c r="H140" i="58"/>
  <c r="H130" i="58"/>
  <c r="H117" i="58"/>
  <c r="H108" i="58"/>
  <c r="H99" i="58"/>
  <c r="H90" i="58"/>
  <c r="H82" i="58"/>
  <c r="H71" i="58"/>
  <c r="H61" i="58"/>
  <c r="H54" i="58"/>
  <c r="H46" i="58"/>
  <c r="H38" i="58"/>
  <c r="H30" i="58"/>
  <c r="H206" i="58"/>
  <c r="H197" i="58"/>
  <c r="H190" i="58"/>
  <c r="H182" i="58"/>
  <c r="H174" i="58"/>
  <c r="H166" i="58"/>
  <c r="H155" i="58"/>
  <c r="H146" i="58"/>
  <c r="H136" i="58"/>
  <c r="H126" i="58"/>
  <c r="H116" i="58"/>
  <c r="H105" i="58"/>
  <c r="H91" i="58"/>
  <c r="H83" i="58"/>
  <c r="H74" i="58"/>
  <c r="H66" i="58"/>
  <c r="H55" i="58"/>
  <c r="H47" i="58"/>
  <c r="H39" i="58"/>
  <c r="H31" i="58"/>
  <c r="H204" i="58"/>
  <c r="H193" i="58"/>
  <c r="H185" i="58"/>
  <c r="H177" i="58"/>
  <c r="H169" i="58"/>
  <c r="H160" i="58"/>
  <c r="H151" i="58"/>
  <c r="H142" i="58"/>
  <c r="H132" i="58"/>
  <c r="H123" i="58"/>
  <c r="H110" i="58"/>
  <c r="H101" i="58"/>
  <c r="H92" i="58"/>
  <c r="H84" i="58"/>
  <c r="H73" i="58"/>
  <c r="H65" i="58"/>
  <c r="H56" i="58"/>
  <c r="H48" i="58"/>
  <c r="H40" i="58"/>
  <c r="H32" i="58"/>
  <c r="H208" i="58"/>
  <c r="H201" i="58"/>
  <c r="H192" i="58"/>
  <c r="H184" i="58"/>
  <c r="H176" i="58"/>
  <c r="H168" i="58"/>
  <c r="H157" i="58"/>
  <c r="H148" i="58"/>
  <c r="H138" i="58"/>
  <c r="H129" i="58"/>
  <c r="H118" i="58"/>
  <c r="H107" i="58"/>
  <c r="H96" i="58"/>
  <c r="H85" i="58"/>
  <c r="H76" i="58"/>
  <c r="H68" i="58"/>
  <c r="H57" i="58"/>
  <c r="H49" i="58"/>
  <c r="H41" i="58"/>
  <c r="H33" i="58"/>
  <c r="H25" i="58"/>
  <c r="K12" i="58"/>
  <c r="H195" i="58"/>
  <c r="H187" i="58"/>
  <c r="H179" i="58"/>
  <c r="H171" i="58"/>
  <c r="H161" i="58"/>
  <c r="H153" i="58"/>
  <c r="H145" i="58"/>
  <c r="H135" i="58"/>
  <c r="H125" i="58"/>
  <c r="H111" i="58"/>
  <c r="H102" i="58"/>
  <c r="H93" i="58"/>
  <c r="H86" i="58"/>
  <c r="H75" i="58"/>
  <c r="H67" i="58"/>
  <c r="H58" i="58"/>
  <c r="H50" i="58"/>
  <c r="H42" i="58"/>
  <c r="H34" i="58"/>
  <c r="H26" i="58"/>
  <c r="H203" i="58"/>
  <c r="H194" i="58"/>
  <c r="H186" i="58"/>
  <c r="H178" i="58"/>
  <c r="H170" i="58"/>
  <c r="H159" i="58"/>
  <c r="H150" i="58"/>
  <c r="H141" i="58"/>
  <c r="H131" i="58"/>
  <c r="H119" i="58"/>
  <c r="H109" i="58"/>
  <c r="H98" i="58"/>
  <c r="H87" i="58"/>
  <c r="H78" i="58"/>
  <c r="H70" i="58"/>
  <c r="H59" i="58"/>
  <c r="H51" i="58"/>
  <c r="H43" i="58"/>
  <c r="H35" i="58"/>
  <c r="H27" i="58"/>
  <c r="H200" i="58"/>
  <c r="H189" i="58"/>
  <c r="H181" i="58"/>
  <c r="H173" i="58"/>
  <c r="H165" i="58"/>
  <c r="H156" i="58"/>
  <c r="H147" i="58"/>
  <c r="H137" i="58"/>
  <c r="H127" i="58"/>
  <c r="H115" i="58"/>
  <c r="H106" i="58"/>
  <c r="H97" i="58"/>
  <c r="H88" i="58"/>
  <c r="H77" i="58"/>
  <c r="H69" i="58"/>
  <c r="H60" i="58"/>
  <c r="H52" i="58"/>
  <c r="H44" i="58"/>
  <c r="H36" i="58"/>
  <c r="H28" i="58"/>
  <c r="H205" i="58"/>
  <c r="H196" i="58"/>
  <c r="H188" i="58"/>
  <c r="H180" i="58"/>
  <c r="H172" i="58"/>
  <c r="H164" i="58"/>
  <c r="H152" i="58"/>
  <c r="H143" i="58"/>
  <c r="H133" i="58"/>
  <c r="H124" i="58"/>
  <c r="H114" i="58"/>
  <c r="H100" i="58"/>
  <c r="H89" i="58"/>
  <c r="H79" i="58"/>
  <c r="H72" i="58"/>
  <c r="H64" i="58"/>
  <c r="H53" i="58"/>
  <c r="H45" i="58"/>
  <c r="H37" i="58"/>
  <c r="H29" i="58"/>
  <c r="J20" i="97"/>
  <c r="N17" i="172" s="1"/>
  <c r="J16" i="97"/>
  <c r="N13" i="172" s="1"/>
  <c r="E238" i="85"/>
  <c r="H202" i="86"/>
  <c r="H191" i="86"/>
  <c r="H183" i="86"/>
  <c r="H175" i="86"/>
  <c r="H167" i="86"/>
  <c r="H158" i="86"/>
  <c r="H149" i="86"/>
  <c r="H140" i="86"/>
  <c r="H130" i="86"/>
  <c r="H117" i="86"/>
  <c r="H108" i="86"/>
  <c r="H99" i="86"/>
  <c r="H90" i="86"/>
  <c r="H82" i="86"/>
  <c r="H71" i="86"/>
  <c r="H61" i="86"/>
  <c r="H54" i="86"/>
  <c r="H46" i="86"/>
  <c r="H38" i="86"/>
  <c r="H30" i="86"/>
  <c r="H206" i="86"/>
  <c r="H197" i="86"/>
  <c r="H190" i="86"/>
  <c r="H182" i="86"/>
  <c r="H174" i="86"/>
  <c r="H166" i="86"/>
  <c r="H155" i="86"/>
  <c r="H146" i="86"/>
  <c r="H136" i="86"/>
  <c r="H126" i="86"/>
  <c r="H116" i="86"/>
  <c r="H105" i="86"/>
  <c r="H91" i="86"/>
  <c r="H83" i="86"/>
  <c r="H74" i="86"/>
  <c r="H66" i="86"/>
  <c r="H55" i="86"/>
  <c r="H47" i="86"/>
  <c r="H39" i="86"/>
  <c r="H31" i="86"/>
  <c r="H204" i="86"/>
  <c r="H193" i="86"/>
  <c r="H185" i="86"/>
  <c r="H177" i="86"/>
  <c r="H169" i="86"/>
  <c r="H160" i="86"/>
  <c r="H151" i="86"/>
  <c r="H142" i="86"/>
  <c r="H132" i="86"/>
  <c r="H123" i="86"/>
  <c r="H110" i="86"/>
  <c r="H101" i="86"/>
  <c r="H92" i="86"/>
  <c r="H84" i="86"/>
  <c r="H73" i="86"/>
  <c r="H65" i="86"/>
  <c r="H56" i="86"/>
  <c r="H48" i="86"/>
  <c r="H40" i="86"/>
  <c r="H32" i="86"/>
  <c r="H208" i="86"/>
  <c r="H201" i="86"/>
  <c r="H192" i="86"/>
  <c r="H184" i="86"/>
  <c r="H176" i="86"/>
  <c r="H168" i="86"/>
  <c r="H157" i="86"/>
  <c r="H148" i="86"/>
  <c r="H138" i="86"/>
  <c r="H129" i="86"/>
  <c r="H118" i="86"/>
  <c r="H107" i="86"/>
  <c r="H96" i="86"/>
  <c r="H85" i="86"/>
  <c r="H76" i="86"/>
  <c r="H68" i="86"/>
  <c r="H57" i="86"/>
  <c r="H49" i="86"/>
  <c r="H41" i="86"/>
  <c r="H33" i="86"/>
  <c r="H25" i="86"/>
  <c r="K12" i="86"/>
  <c r="H195" i="86"/>
  <c r="H187" i="86"/>
  <c r="H179" i="86"/>
  <c r="H171" i="86"/>
  <c r="H161" i="86"/>
  <c r="H153" i="86"/>
  <c r="H145" i="86"/>
  <c r="H135" i="86"/>
  <c r="H125" i="86"/>
  <c r="H111" i="86"/>
  <c r="H102" i="86"/>
  <c r="H93" i="86"/>
  <c r="H86" i="86"/>
  <c r="H75" i="86"/>
  <c r="H67" i="86"/>
  <c r="H58" i="86"/>
  <c r="H50" i="86"/>
  <c r="H42" i="86"/>
  <c r="H34" i="86"/>
  <c r="H26" i="86"/>
  <c r="H203" i="86"/>
  <c r="H194" i="86"/>
  <c r="H186" i="86"/>
  <c r="H178" i="86"/>
  <c r="H170" i="86"/>
  <c r="H159" i="86"/>
  <c r="H150" i="86"/>
  <c r="H141" i="86"/>
  <c r="H131" i="86"/>
  <c r="H119" i="86"/>
  <c r="H109" i="86"/>
  <c r="H98" i="86"/>
  <c r="H87" i="86"/>
  <c r="H78" i="86"/>
  <c r="H70" i="86"/>
  <c r="H59" i="86"/>
  <c r="H51" i="86"/>
  <c r="H43" i="86"/>
  <c r="H35" i="86"/>
  <c r="H27" i="86"/>
  <c r="H200" i="86"/>
  <c r="H189" i="86"/>
  <c r="H181" i="86"/>
  <c r="H173" i="86"/>
  <c r="H165" i="86"/>
  <c r="H156" i="86"/>
  <c r="H147" i="86"/>
  <c r="H137" i="86"/>
  <c r="H127" i="86"/>
  <c r="H115" i="86"/>
  <c r="H106" i="86"/>
  <c r="H97" i="86"/>
  <c r="H88" i="86"/>
  <c r="H77" i="86"/>
  <c r="H69" i="86"/>
  <c r="H60" i="86"/>
  <c r="H52" i="86"/>
  <c r="H44" i="86"/>
  <c r="H36" i="86"/>
  <c r="H28" i="86"/>
  <c r="H205" i="86"/>
  <c r="H196" i="86"/>
  <c r="H188" i="86"/>
  <c r="H180" i="86"/>
  <c r="H172" i="86"/>
  <c r="H164" i="86"/>
  <c r="H152" i="86"/>
  <c r="H143" i="86"/>
  <c r="H133" i="86"/>
  <c r="H124" i="86"/>
  <c r="H114" i="86"/>
  <c r="H100" i="86"/>
  <c r="H89" i="86"/>
  <c r="H79" i="86"/>
  <c r="H72" i="86"/>
  <c r="H64" i="86"/>
  <c r="H53" i="86"/>
  <c r="H45" i="86"/>
  <c r="H37" i="86"/>
  <c r="H29" i="86"/>
  <c r="M208" i="86"/>
  <c r="M208" i="60"/>
  <c r="K12" i="60"/>
  <c r="H195" i="60"/>
  <c r="H187" i="60"/>
  <c r="H179" i="60"/>
  <c r="H171" i="60"/>
  <c r="H161" i="60"/>
  <c r="H153" i="60"/>
  <c r="H145" i="60"/>
  <c r="H135" i="60"/>
  <c r="H125" i="60"/>
  <c r="H111" i="60"/>
  <c r="H102" i="60"/>
  <c r="H93" i="60"/>
  <c r="H86" i="60"/>
  <c r="H75" i="60"/>
  <c r="H67" i="60"/>
  <c r="H58" i="60"/>
  <c r="H50" i="60"/>
  <c r="H42" i="60"/>
  <c r="H34" i="60"/>
  <c r="H26" i="60"/>
  <c r="H203" i="60"/>
  <c r="H194" i="60"/>
  <c r="H186" i="60"/>
  <c r="H178" i="60"/>
  <c r="H170" i="60"/>
  <c r="H159" i="60"/>
  <c r="H150" i="60"/>
  <c r="H141" i="60"/>
  <c r="H131" i="60"/>
  <c r="H119" i="60"/>
  <c r="H109" i="60"/>
  <c r="H98" i="60"/>
  <c r="H87" i="60"/>
  <c r="H78" i="60"/>
  <c r="H70" i="60"/>
  <c r="H59" i="60"/>
  <c r="H51" i="60"/>
  <c r="H43" i="60"/>
  <c r="H35" i="60"/>
  <c r="H27" i="60"/>
  <c r="H204" i="60"/>
  <c r="H193" i="60"/>
  <c r="H185" i="60"/>
  <c r="H177" i="60"/>
  <c r="H169" i="60"/>
  <c r="H160" i="60"/>
  <c r="H151" i="60"/>
  <c r="H142" i="60"/>
  <c r="H132" i="60"/>
  <c r="H123" i="60"/>
  <c r="H110" i="60"/>
  <c r="H101" i="60"/>
  <c r="H92" i="60"/>
  <c r="H84" i="60"/>
  <c r="H73" i="60"/>
  <c r="H65" i="60"/>
  <c r="H56" i="60"/>
  <c r="H48" i="60"/>
  <c r="H40" i="60"/>
  <c r="H32" i="60"/>
  <c r="H208" i="60"/>
  <c r="H201" i="60"/>
  <c r="H192" i="60"/>
  <c r="H184" i="60"/>
  <c r="H176" i="60"/>
  <c r="H168" i="60"/>
  <c r="H157" i="60"/>
  <c r="H148" i="60"/>
  <c r="H138" i="60"/>
  <c r="H129" i="60"/>
  <c r="H118" i="60"/>
  <c r="H107" i="60"/>
  <c r="H96" i="60"/>
  <c r="H85" i="60"/>
  <c r="H76" i="60"/>
  <c r="H68" i="60"/>
  <c r="H57" i="60"/>
  <c r="H49" i="60"/>
  <c r="H41" i="60"/>
  <c r="H33" i="60"/>
  <c r="H25" i="60"/>
  <c r="H202" i="60"/>
  <c r="H191" i="60"/>
  <c r="H183" i="60"/>
  <c r="H175" i="60"/>
  <c r="H167" i="60"/>
  <c r="H158" i="60"/>
  <c r="H149" i="60"/>
  <c r="H140" i="60"/>
  <c r="H130" i="60"/>
  <c r="H117" i="60"/>
  <c r="H108" i="60"/>
  <c r="H99" i="60"/>
  <c r="H90" i="60"/>
  <c r="H82" i="60"/>
  <c r="H71" i="60"/>
  <c r="H61" i="60"/>
  <c r="H54" i="60"/>
  <c r="H46" i="60"/>
  <c r="H38" i="60"/>
  <c r="H30" i="60"/>
  <c r="H206" i="60"/>
  <c r="H197" i="60"/>
  <c r="H190" i="60"/>
  <c r="H182" i="60"/>
  <c r="H174" i="60"/>
  <c r="H166" i="60"/>
  <c r="H155" i="60"/>
  <c r="H146" i="60"/>
  <c r="H136" i="60"/>
  <c r="H126" i="60"/>
  <c r="H116" i="60"/>
  <c r="H105" i="60"/>
  <c r="H91" i="60"/>
  <c r="H83" i="60"/>
  <c r="H74" i="60"/>
  <c r="H66" i="60"/>
  <c r="H55" i="60"/>
  <c r="H47" i="60"/>
  <c r="H39" i="60"/>
  <c r="H31" i="60"/>
  <c r="H200" i="60"/>
  <c r="H189" i="60"/>
  <c r="H181" i="60"/>
  <c r="H173" i="60"/>
  <c r="H165" i="60"/>
  <c r="H156" i="60"/>
  <c r="H147" i="60"/>
  <c r="H137" i="60"/>
  <c r="H127" i="60"/>
  <c r="H115" i="60"/>
  <c r="H106" i="60"/>
  <c r="H97" i="60"/>
  <c r="H88" i="60"/>
  <c r="H77" i="60"/>
  <c r="H69" i="60"/>
  <c r="H60" i="60"/>
  <c r="H52" i="60"/>
  <c r="H44" i="60"/>
  <c r="H36" i="60"/>
  <c r="H28" i="60"/>
  <c r="H205" i="60"/>
  <c r="H196" i="60"/>
  <c r="H188" i="60"/>
  <c r="H180" i="60"/>
  <c r="H172" i="60"/>
  <c r="H164" i="60"/>
  <c r="H152" i="60"/>
  <c r="H143" i="60"/>
  <c r="H133" i="60"/>
  <c r="H124" i="60"/>
  <c r="H114" i="60"/>
  <c r="H100" i="60"/>
  <c r="H89" i="60"/>
  <c r="H79" i="60"/>
  <c r="H72" i="60"/>
  <c r="H64" i="60"/>
  <c r="H53" i="60"/>
  <c r="H45" i="60"/>
  <c r="H37" i="60"/>
  <c r="H29" i="60"/>
  <c r="M208" i="100"/>
  <c r="K12" i="100"/>
  <c r="H195" i="100"/>
  <c r="H187" i="100"/>
  <c r="H179" i="100"/>
  <c r="H171" i="100"/>
  <c r="H161" i="100"/>
  <c r="H153" i="100"/>
  <c r="H145" i="100"/>
  <c r="H135" i="100"/>
  <c r="H125" i="100"/>
  <c r="H111" i="100"/>
  <c r="H102" i="100"/>
  <c r="H93" i="100"/>
  <c r="H86" i="100"/>
  <c r="H75" i="100"/>
  <c r="H67" i="100"/>
  <c r="H58" i="100"/>
  <c r="H50" i="100"/>
  <c r="H42" i="100"/>
  <c r="H34" i="100"/>
  <c r="H26" i="100"/>
  <c r="H203" i="100"/>
  <c r="H194" i="100"/>
  <c r="H186" i="100"/>
  <c r="H178" i="100"/>
  <c r="H170" i="100"/>
  <c r="H159" i="100"/>
  <c r="H150" i="100"/>
  <c r="H141" i="100"/>
  <c r="H131" i="100"/>
  <c r="H119" i="100"/>
  <c r="H109" i="100"/>
  <c r="H98" i="100"/>
  <c r="H87" i="100"/>
  <c r="H78" i="100"/>
  <c r="H70" i="100"/>
  <c r="H59" i="100"/>
  <c r="H51" i="100"/>
  <c r="H43" i="100"/>
  <c r="H35" i="100"/>
  <c r="H27" i="100"/>
  <c r="H200" i="100"/>
  <c r="H189" i="100"/>
  <c r="H181" i="100"/>
  <c r="H173" i="100"/>
  <c r="H165" i="100"/>
  <c r="H156" i="100"/>
  <c r="H147" i="100"/>
  <c r="H137" i="100"/>
  <c r="H127" i="100"/>
  <c r="H115" i="100"/>
  <c r="H106" i="100"/>
  <c r="H97" i="100"/>
  <c r="H88" i="100"/>
  <c r="H77" i="100"/>
  <c r="H69" i="100"/>
  <c r="H60" i="100"/>
  <c r="H52" i="100"/>
  <c r="H44" i="100"/>
  <c r="H36" i="100"/>
  <c r="H28" i="100"/>
  <c r="H205" i="100"/>
  <c r="H196" i="100"/>
  <c r="H188" i="100"/>
  <c r="H180" i="100"/>
  <c r="H172" i="100"/>
  <c r="H164" i="100"/>
  <c r="H152" i="100"/>
  <c r="H143" i="100"/>
  <c r="H133" i="100"/>
  <c r="H124" i="100"/>
  <c r="H114" i="100"/>
  <c r="H100" i="100"/>
  <c r="H89" i="100"/>
  <c r="H79" i="100"/>
  <c r="H72" i="100"/>
  <c r="H64" i="100"/>
  <c r="H53" i="100"/>
  <c r="H45" i="100"/>
  <c r="H37" i="100"/>
  <c r="H29" i="100"/>
  <c r="G215" i="100"/>
  <c r="H202" i="100"/>
  <c r="H191" i="100"/>
  <c r="H183" i="100"/>
  <c r="H175" i="100"/>
  <c r="H167" i="100"/>
  <c r="H158" i="100"/>
  <c r="H149" i="100"/>
  <c r="H140" i="100"/>
  <c r="H130" i="100"/>
  <c r="H117" i="100"/>
  <c r="H108" i="100"/>
  <c r="H99" i="100"/>
  <c r="H90" i="100"/>
  <c r="H82" i="100"/>
  <c r="H71" i="100"/>
  <c r="H61" i="100"/>
  <c r="H54" i="100"/>
  <c r="H46" i="100"/>
  <c r="H38" i="100"/>
  <c r="H30" i="100"/>
  <c r="H206" i="100"/>
  <c r="H197" i="100"/>
  <c r="H190" i="100"/>
  <c r="H182" i="100"/>
  <c r="H174" i="100"/>
  <c r="H166" i="100"/>
  <c r="H155" i="100"/>
  <c r="H146" i="100"/>
  <c r="H136" i="100"/>
  <c r="H126" i="100"/>
  <c r="H116" i="100"/>
  <c r="H105" i="100"/>
  <c r="H91" i="100"/>
  <c r="H83" i="100"/>
  <c r="H74" i="100"/>
  <c r="H66" i="100"/>
  <c r="H55" i="100"/>
  <c r="H47" i="100"/>
  <c r="H39" i="100"/>
  <c r="H31" i="100"/>
  <c r="H204" i="100"/>
  <c r="H193" i="100"/>
  <c r="H185" i="100"/>
  <c r="H177" i="100"/>
  <c r="H169" i="100"/>
  <c r="H160" i="100"/>
  <c r="H151" i="100"/>
  <c r="H142" i="100"/>
  <c r="H132" i="100"/>
  <c r="H123" i="100"/>
  <c r="H110" i="100"/>
  <c r="H101" i="100"/>
  <c r="H92" i="100"/>
  <c r="H84" i="100"/>
  <c r="H73" i="100"/>
  <c r="H65" i="100"/>
  <c r="H56" i="100"/>
  <c r="H48" i="100"/>
  <c r="H40" i="100"/>
  <c r="H32" i="100"/>
  <c r="H208" i="100"/>
  <c r="H201" i="100"/>
  <c r="H192" i="100"/>
  <c r="H184" i="100"/>
  <c r="H176" i="100"/>
  <c r="H168" i="100"/>
  <c r="H157" i="100"/>
  <c r="H148" i="100"/>
  <c r="H138" i="100"/>
  <c r="H129" i="100"/>
  <c r="H118" i="100"/>
  <c r="H107" i="100"/>
  <c r="H96" i="100"/>
  <c r="H85" i="100"/>
  <c r="H76" i="100"/>
  <c r="H68" i="100"/>
  <c r="H57" i="100"/>
  <c r="H49" i="100"/>
  <c r="H41" i="100"/>
  <c r="H33" i="100"/>
  <c r="H25" i="100"/>
  <c r="M208" i="92"/>
  <c r="H204" i="92"/>
  <c r="H193" i="92"/>
  <c r="H185" i="92"/>
  <c r="H177" i="92"/>
  <c r="H169" i="92"/>
  <c r="H160" i="92"/>
  <c r="H151" i="92"/>
  <c r="H142" i="92"/>
  <c r="H132" i="92"/>
  <c r="H123" i="92"/>
  <c r="H110" i="92"/>
  <c r="H101" i="92"/>
  <c r="H92" i="92"/>
  <c r="H84" i="92"/>
  <c r="H73" i="92"/>
  <c r="H65" i="92"/>
  <c r="H56" i="92"/>
  <c r="H48" i="92"/>
  <c r="H40" i="92"/>
  <c r="H32" i="92"/>
  <c r="H208" i="92"/>
  <c r="H201" i="92"/>
  <c r="H192" i="92"/>
  <c r="H184" i="92"/>
  <c r="H176" i="92"/>
  <c r="H168" i="92"/>
  <c r="H157" i="92"/>
  <c r="H148" i="92"/>
  <c r="H138" i="92"/>
  <c r="H129" i="92"/>
  <c r="H118" i="92"/>
  <c r="H107" i="92"/>
  <c r="H96" i="92"/>
  <c r="H85" i="92"/>
  <c r="H76" i="92"/>
  <c r="H68" i="92"/>
  <c r="H57" i="92"/>
  <c r="H49" i="92"/>
  <c r="H41" i="92"/>
  <c r="H33" i="92"/>
  <c r="H25" i="92"/>
  <c r="H195" i="92"/>
  <c r="H187" i="92"/>
  <c r="H179" i="92"/>
  <c r="H171" i="92"/>
  <c r="H161" i="92"/>
  <c r="H153" i="92"/>
  <c r="H145" i="92"/>
  <c r="H135" i="92"/>
  <c r="H125" i="92"/>
  <c r="H111" i="92"/>
  <c r="H102" i="92"/>
  <c r="H93" i="92"/>
  <c r="H86" i="92"/>
  <c r="H75" i="92"/>
  <c r="H67" i="92"/>
  <c r="H58" i="92"/>
  <c r="H50" i="92"/>
  <c r="H42" i="92"/>
  <c r="H34" i="92"/>
  <c r="H26" i="92"/>
  <c r="H203" i="92"/>
  <c r="H194" i="92"/>
  <c r="H186" i="92"/>
  <c r="H178" i="92"/>
  <c r="H170" i="92"/>
  <c r="H159" i="92"/>
  <c r="H150" i="92"/>
  <c r="H141" i="92"/>
  <c r="H131" i="92"/>
  <c r="H119" i="92"/>
  <c r="H109" i="92"/>
  <c r="H98" i="92"/>
  <c r="H87" i="92"/>
  <c r="H78" i="92"/>
  <c r="H70" i="92"/>
  <c r="H59" i="92"/>
  <c r="H51" i="92"/>
  <c r="H43" i="92"/>
  <c r="H35" i="92"/>
  <c r="H27" i="92"/>
  <c r="G215" i="92"/>
  <c r="K12" i="92"/>
  <c r="H200" i="92"/>
  <c r="H189" i="92"/>
  <c r="H181" i="92"/>
  <c r="H173" i="92"/>
  <c r="H165" i="92"/>
  <c r="H156" i="92"/>
  <c r="H147" i="92"/>
  <c r="H137" i="92"/>
  <c r="H127" i="92"/>
  <c r="H115" i="92"/>
  <c r="H106" i="92"/>
  <c r="H97" i="92"/>
  <c r="H88" i="92"/>
  <c r="H77" i="92"/>
  <c r="H69" i="92"/>
  <c r="H60" i="92"/>
  <c r="H52" i="92"/>
  <c r="H44" i="92"/>
  <c r="H36" i="92"/>
  <c r="H28" i="92"/>
  <c r="H205" i="92"/>
  <c r="H196" i="92"/>
  <c r="H188" i="92"/>
  <c r="H180" i="92"/>
  <c r="H172" i="92"/>
  <c r="H164" i="92"/>
  <c r="H152" i="92"/>
  <c r="H143" i="92"/>
  <c r="H133" i="92"/>
  <c r="H124" i="92"/>
  <c r="H114" i="92"/>
  <c r="H100" i="92"/>
  <c r="H89" i="92"/>
  <c r="H79" i="92"/>
  <c r="H72" i="92"/>
  <c r="H64" i="92"/>
  <c r="H53" i="92"/>
  <c r="H45" i="92"/>
  <c r="H37" i="92"/>
  <c r="H29" i="92"/>
  <c r="H202" i="92"/>
  <c r="H191" i="92"/>
  <c r="H183" i="92"/>
  <c r="H175" i="92"/>
  <c r="H167" i="92"/>
  <c r="H158" i="92"/>
  <c r="H149" i="92"/>
  <c r="H140" i="92"/>
  <c r="H130" i="92"/>
  <c r="H117" i="92"/>
  <c r="H108" i="92"/>
  <c r="H99" i="92"/>
  <c r="H90" i="92"/>
  <c r="H82" i="92"/>
  <c r="H71" i="92"/>
  <c r="H61" i="92"/>
  <c r="H54" i="92"/>
  <c r="H46" i="92"/>
  <c r="H38" i="92"/>
  <c r="H30" i="92"/>
  <c r="H206" i="92"/>
  <c r="H197" i="92"/>
  <c r="H190" i="92"/>
  <c r="H182" i="92"/>
  <c r="H174" i="92"/>
  <c r="H166" i="92"/>
  <c r="H155" i="92"/>
  <c r="H146" i="92"/>
  <c r="H136" i="92"/>
  <c r="H126" i="92"/>
  <c r="H116" i="92"/>
  <c r="H105" i="92"/>
  <c r="H91" i="92"/>
  <c r="H83" i="92"/>
  <c r="H74" i="92"/>
  <c r="H66" i="92"/>
  <c r="H55" i="92"/>
  <c r="H47" i="92"/>
  <c r="H39" i="92"/>
  <c r="H31" i="92"/>
  <c r="M208" i="33"/>
  <c r="K12" i="33"/>
  <c r="H200" i="33"/>
  <c r="H189" i="33"/>
  <c r="H181" i="33"/>
  <c r="H173" i="33"/>
  <c r="H165" i="33"/>
  <c r="H156" i="33"/>
  <c r="H147" i="33"/>
  <c r="H137" i="33"/>
  <c r="H127" i="33"/>
  <c r="H115" i="33"/>
  <c r="H106" i="33"/>
  <c r="H97" i="33"/>
  <c r="H88" i="33"/>
  <c r="H77" i="33"/>
  <c r="H69" i="33"/>
  <c r="H60" i="33"/>
  <c r="H52" i="33"/>
  <c r="H44" i="33"/>
  <c r="H36" i="33"/>
  <c r="H28" i="33"/>
  <c r="H205" i="33"/>
  <c r="H196" i="33"/>
  <c r="H188" i="33"/>
  <c r="H180" i="33"/>
  <c r="H172" i="33"/>
  <c r="H164" i="33"/>
  <c r="H152" i="33"/>
  <c r="H143" i="33"/>
  <c r="H133" i="33"/>
  <c r="H124" i="33"/>
  <c r="H114" i="33"/>
  <c r="H100" i="33"/>
  <c r="H89" i="33"/>
  <c r="H79" i="33"/>
  <c r="H72" i="33"/>
  <c r="H64" i="33"/>
  <c r="H53" i="33"/>
  <c r="H45" i="33"/>
  <c r="H37" i="33"/>
  <c r="H29" i="33"/>
  <c r="G215" i="33"/>
  <c r="H195" i="33"/>
  <c r="H187" i="33"/>
  <c r="H179" i="33"/>
  <c r="H171" i="33"/>
  <c r="H161" i="33"/>
  <c r="H153" i="33"/>
  <c r="H145" i="33"/>
  <c r="H135" i="33"/>
  <c r="H125" i="33"/>
  <c r="H111" i="33"/>
  <c r="H102" i="33"/>
  <c r="H93" i="33"/>
  <c r="H86" i="33"/>
  <c r="H75" i="33"/>
  <c r="H67" i="33"/>
  <c r="H58" i="33"/>
  <c r="H50" i="33"/>
  <c r="H42" i="33"/>
  <c r="H34" i="33"/>
  <c r="H26" i="33"/>
  <c r="H203" i="33"/>
  <c r="H194" i="33"/>
  <c r="H186" i="33"/>
  <c r="H178" i="33"/>
  <c r="H170" i="33"/>
  <c r="H159" i="33"/>
  <c r="H150" i="33"/>
  <c r="H141" i="33"/>
  <c r="H131" i="33"/>
  <c r="H119" i="33"/>
  <c r="H109" i="33"/>
  <c r="H98" i="33"/>
  <c r="H87" i="33"/>
  <c r="H78" i="33"/>
  <c r="H70" i="33"/>
  <c r="H59" i="33"/>
  <c r="H51" i="33"/>
  <c r="H43" i="33"/>
  <c r="H35" i="33"/>
  <c r="H27" i="33"/>
  <c r="H204" i="33"/>
  <c r="H193" i="33"/>
  <c r="H185" i="33"/>
  <c r="H177" i="33"/>
  <c r="H169" i="33"/>
  <c r="H160" i="33"/>
  <c r="H151" i="33"/>
  <c r="H142" i="33"/>
  <c r="H132" i="33"/>
  <c r="H123" i="33"/>
  <c r="H110" i="33"/>
  <c r="H101" i="33"/>
  <c r="H92" i="33"/>
  <c r="H84" i="33"/>
  <c r="H73" i="33"/>
  <c r="H65" i="33"/>
  <c r="H56" i="33"/>
  <c r="H48" i="33"/>
  <c r="H40" i="33"/>
  <c r="H32" i="33"/>
  <c r="H208" i="33"/>
  <c r="H201" i="33"/>
  <c r="H192" i="33"/>
  <c r="H184" i="33"/>
  <c r="H176" i="33"/>
  <c r="H168" i="33"/>
  <c r="H157" i="33"/>
  <c r="H148" i="33"/>
  <c r="H138" i="33"/>
  <c r="H129" i="33"/>
  <c r="H118" i="33"/>
  <c r="H107" i="33"/>
  <c r="H96" i="33"/>
  <c r="H85" i="33"/>
  <c r="H76" i="33"/>
  <c r="H68" i="33"/>
  <c r="H57" i="33"/>
  <c r="H49" i="33"/>
  <c r="H41" i="33"/>
  <c r="H33" i="33"/>
  <c r="H25" i="33"/>
  <c r="H202" i="33"/>
  <c r="H191" i="33"/>
  <c r="H183" i="33"/>
  <c r="H175" i="33"/>
  <c r="H167" i="33"/>
  <c r="H158" i="33"/>
  <c r="H149" i="33"/>
  <c r="H140" i="33"/>
  <c r="H130" i="33"/>
  <c r="H117" i="33"/>
  <c r="H108" i="33"/>
  <c r="H99" i="33"/>
  <c r="H90" i="33"/>
  <c r="H82" i="33"/>
  <c r="H71" i="33"/>
  <c r="H61" i="33"/>
  <c r="H54" i="33"/>
  <c r="H46" i="33"/>
  <c r="H38" i="33"/>
  <c r="H30" i="33"/>
  <c r="H206" i="33"/>
  <c r="H197" i="33"/>
  <c r="H190" i="33"/>
  <c r="H182" i="33"/>
  <c r="H174" i="33"/>
  <c r="H166" i="33"/>
  <c r="H155" i="33"/>
  <c r="H146" i="33"/>
  <c r="H136" i="33"/>
  <c r="H126" i="33"/>
  <c r="H116" i="33"/>
  <c r="H105" i="33"/>
  <c r="H91" i="33"/>
  <c r="H83" i="33"/>
  <c r="H74" i="33"/>
  <c r="H66" i="33"/>
  <c r="H55" i="33"/>
  <c r="H47" i="33"/>
  <c r="H39" i="33"/>
  <c r="H31" i="33"/>
  <c r="M208" i="47"/>
  <c r="H202" i="47"/>
  <c r="H191" i="47"/>
  <c r="H183" i="47"/>
  <c r="H175" i="47"/>
  <c r="H167" i="47"/>
  <c r="H158" i="47"/>
  <c r="H149" i="47"/>
  <c r="H140" i="47"/>
  <c r="H130" i="47"/>
  <c r="H117" i="47"/>
  <c r="H108" i="47"/>
  <c r="H99" i="47"/>
  <c r="H90" i="47"/>
  <c r="H82" i="47"/>
  <c r="H71" i="47"/>
  <c r="H61" i="47"/>
  <c r="H54" i="47"/>
  <c r="H46" i="47"/>
  <c r="H38" i="47"/>
  <c r="H30" i="47"/>
  <c r="H206" i="47"/>
  <c r="H197" i="47"/>
  <c r="H190" i="47"/>
  <c r="H182" i="47"/>
  <c r="H174" i="47"/>
  <c r="H166" i="47"/>
  <c r="H155" i="47"/>
  <c r="H146" i="47"/>
  <c r="H136" i="47"/>
  <c r="H126" i="47"/>
  <c r="H116" i="47"/>
  <c r="H105" i="47"/>
  <c r="H91" i="47"/>
  <c r="H83" i="47"/>
  <c r="H74" i="47"/>
  <c r="H66" i="47"/>
  <c r="H55" i="47"/>
  <c r="H47" i="47"/>
  <c r="H39" i="47"/>
  <c r="H31" i="47"/>
  <c r="H200" i="47"/>
  <c r="H189" i="47"/>
  <c r="H181" i="47"/>
  <c r="H173" i="47"/>
  <c r="H165" i="47"/>
  <c r="H156" i="47"/>
  <c r="H147" i="47"/>
  <c r="H137" i="47"/>
  <c r="H127" i="47"/>
  <c r="H115" i="47"/>
  <c r="H106" i="47"/>
  <c r="H97" i="47"/>
  <c r="H88" i="47"/>
  <c r="H77" i="47"/>
  <c r="H69" i="47"/>
  <c r="H60" i="47"/>
  <c r="H52" i="47"/>
  <c r="H44" i="47"/>
  <c r="H36" i="47"/>
  <c r="H28" i="47"/>
  <c r="H205" i="47"/>
  <c r="H196" i="47"/>
  <c r="H188" i="47"/>
  <c r="H180" i="47"/>
  <c r="H172" i="47"/>
  <c r="H164" i="47"/>
  <c r="H152" i="47"/>
  <c r="H143" i="47"/>
  <c r="H133" i="47"/>
  <c r="H124" i="47"/>
  <c r="H114" i="47"/>
  <c r="H100" i="47"/>
  <c r="H89" i="47"/>
  <c r="H79" i="47"/>
  <c r="H72" i="47"/>
  <c r="H64" i="47"/>
  <c r="H53" i="47"/>
  <c r="H45" i="47"/>
  <c r="H37" i="47"/>
  <c r="H29" i="47"/>
  <c r="K12" i="47"/>
  <c r="H195" i="47"/>
  <c r="H187" i="47"/>
  <c r="H179" i="47"/>
  <c r="H171" i="47"/>
  <c r="H161" i="47"/>
  <c r="H153" i="47"/>
  <c r="H145" i="47"/>
  <c r="H135" i="47"/>
  <c r="H125" i="47"/>
  <c r="H111" i="47"/>
  <c r="H102" i="47"/>
  <c r="H93" i="47"/>
  <c r="H86" i="47"/>
  <c r="H75" i="47"/>
  <c r="H67" i="47"/>
  <c r="H58" i="47"/>
  <c r="H50" i="47"/>
  <c r="H42" i="47"/>
  <c r="H34" i="47"/>
  <c r="H26" i="47"/>
  <c r="H203" i="47"/>
  <c r="H194" i="47"/>
  <c r="H186" i="47"/>
  <c r="H178" i="47"/>
  <c r="H170" i="47"/>
  <c r="H159" i="47"/>
  <c r="H150" i="47"/>
  <c r="H141" i="47"/>
  <c r="H131" i="47"/>
  <c r="H119" i="47"/>
  <c r="H109" i="47"/>
  <c r="H98" i="47"/>
  <c r="H87" i="47"/>
  <c r="H78" i="47"/>
  <c r="H70" i="47"/>
  <c r="H59" i="47"/>
  <c r="H51" i="47"/>
  <c r="H43" i="47"/>
  <c r="H35" i="47"/>
  <c r="H27" i="47"/>
  <c r="H204" i="47"/>
  <c r="H193" i="47"/>
  <c r="H185" i="47"/>
  <c r="H177" i="47"/>
  <c r="H169" i="47"/>
  <c r="H160" i="47"/>
  <c r="H151" i="47"/>
  <c r="H142" i="47"/>
  <c r="H132" i="47"/>
  <c r="H123" i="47"/>
  <c r="H110" i="47"/>
  <c r="H101" i="47"/>
  <c r="H92" i="47"/>
  <c r="H84" i="47"/>
  <c r="H73" i="47"/>
  <c r="H65" i="47"/>
  <c r="H56" i="47"/>
  <c r="H48" i="47"/>
  <c r="H40" i="47"/>
  <c r="H32" i="47"/>
  <c r="H208" i="47"/>
  <c r="H201" i="47"/>
  <c r="H192" i="47"/>
  <c r="H184" i="47"/>
  <c r="H176" i="47"/>
  <c r="H168" i="47"/>
  <c r="H157" i="47"/>
  <c r="H148" i="47"/>
  <c r="H138" i="47"/>
  <c r="H129" i="47"/>
  <c r="H118" i="47"/>
  <c r="H107" i="47"/>
  <c r="H96" i="47"/>
  <c r="H85" i="47"/>
  <c r="H76" i="47"/>
  <c r="H68" i="47"/>
  <c r="H57" i="47"/>
  <c r="H49" i="47"/>
  <c r="H41" i="47"/>
  <c r="H33" i="47"/>
  <c r="H25" i="47"/>
  <c r="E238" i="135"/>
  <c r="D218" i="97"/>
  <c r="H227" i="32"/>
  <c r="H225" i="32"/>
  <c r="H223" i="32"/>
  <c r="H221" i="32"/>
  <c r="H219" i="32"/>
  <c r="K13" i="32"/>
  <c r="H228" i="32"/>
  <c r="H226" i="32"/>
  <c r="H224" i="32"/>
  <c r="H222" i="32"/>
  <c r="H220" i="32"/>
  <c r="G236" i="32"/>
  <c r="M102" i="32"/>
  <c r="M119" i="32"/>
  <c r="M64" i="32"/>
  <c r="M74" i="32"/>
  <c r="M78" i="32"/>
  <c r="M82" i="32"/>
  <c r="M92" i="32"/>
  <c r="M98" i="32"/>
  <c r="M110" i="32"/>
  <c r="M115" i="32"/>
  <c r="M158" i="32"/>
  <c r="M153" i="32"/>
  <c r="M149" i="32"/>
  <c r="M145" i="32"/>
  <c r="M137" i="32"/>
  <c r="M196" i="32"/>
  <c r="M43" i="32"/>
  <c r="M72" i="32"/>
  <c r="M76" i="32"/>
  <c r="M90" i="32"/>
  <c r="M100" i="32"/>
  <c r="M96" i="32"/>
  <c r="M117" i="32"/>
  <c r="M160" i="32"/>
  <c r="M156" i="32"/>
  <c r="M151" i="32"/>
  <c r="M147" i="32"/>
  <c r="M142" i="32"/>
  <c r="M123" i="32"/>
  <c r="M194" i="32"/>
  <c r="M52" i="32"/>
  <c r="M75" i="32"/>
  <c r="M89" i="32"/>
  <c r="M99" i="32"/>
  <c r="M109" i="32"/>
  <c r="M159" i="32"/>
  <c r="M148" i="32"/>
  <c r="M164" i="32"/>
  <c r="M73" i="32"/>
  <c r="M77" i="32"/>
  <c r="M91" i="32"/>
  <c r="M101" i="32"/>
  <c r="M97" i="32"/>
  <c r="M118" i="32"/>
  <c r="M114" i="32"/>
  <c r="M155" i="32"/>
  <c r="M150" i="32"/>
  <c r="M146" i="32"/>
  <c r="M141" i="32"/>
  <c r="M116" i="32"/>
  <c r="M152" i="32"/>
  <c r="M143" i="32"/>
  <c r="M195" i="32"/>
  <c r="M193" i="32"/>
  <c r="M191" i="32"/>
  <c r="M189" i="32"/>
  <c r="M187" i="32"/>
  <c r="M185" i="32"/>
  <c r="M183" i="32"/>
  <c r="M181" i="32"/>
  <c r="M179" i="32"/>
  <c r="M177" i="32"/>
  <c r="M175" i="32"/>
  <c r="M173" i="32"/>
  <c r="M171" i="32"/>
  <c r="M169" i="32"/>
  <c r="M167" i="32"/>
  <c r="M165" i="32"/>
  <c r="M60" i="32"/>
  <c r="M58" i="32"/>
  <c r="M56" i="32"/>
  <c r="M54" i="32"/>
  <c r="M51" i="32"/>
  <c r="M49" i="32"/>
  <c r="M47" i="32"/>
  <c r="M45" i="32"/>
  <c r="M42" i="32"/>
  <c r="M40" i="32"/>
  <c r="M38" i="32"/>
  <c r="M36" i="32"/>
  <c r="M34" i="32"/>
  <c r="M32" i="32"/>
  <c r="M30" i="32"/>
  <c r="M28" i="32"/>
  <c r="M26" i="32"/>
  <c r="M140" i="32"/>
  <c r="M136" i="32"/>
  <c r="M133" i="32"/>
  <c r="M131" i="32"/>
  <c r="M129" i="32"/>
  <c r="M126" i="32"/>
  <c r="M124" i="32"/>
  <c r="M138" i="32"/>
  <c r="M135" i="32"/>
  <c r="M132" i="32"/>
  <c r="M130" i="32"/>
  <c r="M127" i="32"/>
  <c r="M125" i="32"/>
  <c r="M107" i="32"/>
  <c r="M105" i="32"/>
  <c r="M204" i="32"/>
  <c r="M202" i="32"/>
  <c r="M200" i="32"/>
  <c r="M157" i="32"/>
  <c r="M70" i="32"/>
  <c r="M68" i="32"/>
  <c r="M66" i="32"/>
  <c r="M59" i="32"/>
  <c r="M57" i="32"/>
  <c r="M55" i="32"/>
  <c r="M53" i="32"/>
  <c r="M50" i="32"/>
  <c r="M48" i="32"/>
  <c r="M46" i="32"/>
  <c r="M44" i="32"/>
  <c r="M41" i="32"/>
  <c r="M39" i="32"/>
  <c r="M37" i="32"/>
  <c r="M35" i="32"/>
  <c r="M33" i="32"/>
  <c r="M31" i="32"/>
  <c r="M29" i="32"/>
  <c r="M27" i="32"/>
  <c r="M25" i="32"/>
  <c r="M205" i="32"/>
  <c r="M203" i="32"/>
  <c r="M201" i="32"/>
  <c r="M192" i="32"/>
  <c r="M190" i="32"/>
  <c r="M188" i="32"/>
  <c r="M186" i="32"/>
  <c r="M184" i="32"/>
  <c r="M182" i="32"/>
  <c r="M180" i="32"/>
  <c r="M178" i="32"/>
  <c r="M176" i="32"/>
  <c r="M174" i="32"/>
  <c r="M172" i="32"/>
  <c r="M170" i="32"/>
  <c r="M168" i="32"/>
  <c r="M166" i="32"/>
  <c r="M71" i="32"/>
  <c r="M69" i="32"/>
  <c r="M67" i="32"/>
  <c r="M65" i="32"/>
  <c r="M108" i="32"/>
  <c r="M106" i="32"/>
  <c r="M88" i="32"/>
  <c r="M86" i="32"/>
  <c r="M84" i="32"/>
  <c r="M87" i="32"/>
  <c r="M85" i="32"/>
  <c r="M83" i="32"/>
  <c r="K15" i="90"/>
  <c r="G237" i="90"/>
  <c r="H226" i="90"/>
  <c r="K13" i="90"/>
  <c r="H222" i="90"/>
  <c r="H224" i="90"/>
  <c r="H219" i="90"/>
  <c r="H223" i="90"/>
  <c r="H227" i="90"/>
  <c r="G236" i="90"/>
  <c r="H220" i="90"/>
  <c r="H228" i="90"/>
  <c r="H221" i="90"/>
  <c r="H225" i="90"/>
  <c r="M65" i="90"/>
  <c r="M64" i="90"/>
  <c r="M31" i="90"/>
  <c r="M78" i="90"/>
  <c r="M111" i="90"/>
  <c r="M197" i="90"/>
  <c r="M206" i="90"/>
  <c r="M35" i="90"/>
  <c r="M102" i="90"/>
  <c r="M85" i="90"/>
  <c r="M25" i="90"/>
  <c r="M58" i="90"/>
  <c r="M54" i="90"/>
  <c r="M41" i="90"/>
  <c r="M37" i="90"/>
  <c r="M32" i="90"/>
  <c r="M69" i="90"/>
  <c r="M73" i="90"/>
  <c r="M82" i="90"/>
  <c r="M91" i="90"/>
  <c r="M87" i="90"/>
  <c r="M100" i="90"/>
  <c r="M96" i="90"/>
  <c r="M108" i="90"/>
  <c r="M159" i="90"/>
  <c r="M155" i="90"/>
  <c r="M148" i="90"/>
  <c r="M143" i="90"/>
  <c r="M138" i="90"/>
  <c r="M133" i="90"/>
  <c r="M129" i="90"/>
  <c r="M124" i="90"/>
  <c r="M194" i="90"/>
  <c r="M190" i="90"/>
  <c r="M186" i="90"/>
  <c r="M182" i="90"/>
  <c r="M178" i="90"/>
  <c r="M174" i="90"/>
  <c r="M170" i="90"/>
  <c r="M166" i="90"/>
  <c r="M202" i="90"/>
  <c r="M56" i="90"/>
  <c r="M52" i="90"/>
  <c r="M39" i="90"/>
  <c r="M34" i="90"/>
  <c r="M28" i="90"/>
  <c r="M71" i="90"/>
  <c r="M89" i="90"/>
  <c r="M83" i="90"/>
  <c r="M98" i="90"/>
  <c r="M110" i="90"/>
  <c r="M106" i="90"/>
  <c r="M157" i="90"/>
  <c r="M152" i="90"/>
  <c r="M146" i="90"/>
  <c r="M141" i="90"/>
  <c r="M136" i="90"/>
  <c r="M131" i="90"/>
  <c r="M126" i="90"/>
  <c r="M196" i="90"/>
  <c r="M192" i="90"/>
  <c r="M188" i="90"/>
  <c r="M184" i="90"/>
  <c r="M180" i="90"/>
  <c r="M176" i="90"/>
  <c r="M172" i="90"/>
  <c r="M168" i="90"/>
  <c r="M200" i="90"/>
  <c r="M204" i="90"/>
  <c r="M57" i="90"/>
  <c r="M53" i="90"/>
  <c r="M38" i="90"/>
  <c r="M33" i="90"/>
  <c r="M27" i="90"/>
  <c r="M72" i="90"/>
  <c r="M92" i="90"/>
  <c r="M88" i="90"/>
  <c r="M101" i="90"/>
  <c r="M97" i="90"/>
  <c r="M107" i="90"/>
  <c r="M193" i="90"/>
  <c r="M185" i="90"/>
  <c r="M181" i="90"/>
  <c r="M169" i="90"/>
  <c r="M201" i="90"/>
  <c r="M59" i="90"/>
  <c r="M55" i="90"/>
  <c r="M40" i="90"/>
  <c r="M36" i="90"/>
  <c r="M29" i="90"/>
  <c r="M70" i="90"/>
  <c r="M90" i="90"/>
  <c r="M84" i="90"/>
  <c r="M99" i="90"/>
  <c r="M109" i="90"/>
  <c r="M105" i="90"/>
  <c r="M158" i="90"/>
  <c r="M153" i="90"/>
  <c r="M149" i="90"/>
  <c r="M145" i="90"/>
  <c r="M140" i="90"/>
  <c r="M135" i="90"/>
  <c r="M130" i="90"/>
  <c r="M125" i="90"/>
  <c r="M164" i="90"/>
  <c r="M195" i="90"/>
  <c r="M191" i="90"/>
  <c r="M187" i="90"/>
  <c r="M183" i="90"/>
  <c r="M179" i="90"/>
  <c r="M175" i="90"/>
  <c r="M171" i="90"/>
  <c r="M167" i="90"/>
  <c r="M203" i="90"/>
  <c r="M114" i="90"/>
  <c r="M160" i="90"/>
  <c r="M156" i="90"/>
  <c r="M151" i="90"/>
  <c r="M147" i="90"/>
  <c r="M142" i="90"/>
  <c r="M137" i="90"/>
  <c r="M132" i="90"/>
  <c r="M127" i="90"/>
  <c r="M123" i="90"/>
  <c r="M189" i="90"/>
  <c r="M177" i="90"/>
  <c r="M173" i="90"/>
  <c r="M165" i="90"/>
  <c r="M205" i="90"/>
  <c r="M118" i="90"/>
  <c r="M116" i="90"/>
  <c r="M67" i="90"/>
  <c r="M60" i="90"/>
  <c r="M117" i="90"/>
  <c r="M115" i="90"/>
  <c r="M66" i="90"/>
  <c r="M86" i="90"/>
  <c r="M76" i="90"/>
  <c r="M74" i="90"/>
  <c r="M51" i="90"/>
  <c r="M49" i="90"/>
  <c r="M47" i="90"/>
  <c r="M45" i="90"/>
  <c r="M43" i="90"/>
  <c r="M30" i="90"/>
  <c r="M150" i="90"/>
  <c r="M68" i="90"/>
  <c r="M26" i="90"/>
  <c r="M77" i="90"/>
  <c r="M75" i="90"/>
  <c r="M50" i="90"/>
  <c r="M48" i="90"/>
  <c r="M46" i="90"/>
  <c r="M44" i="90"/>
  <c r="M42" i="90"/>
  <c r="K15" i="133"/>
  <c r="G237" i="133"/>
  <c r="K15" i="10"/>
  <c r="E218" i="97"/>
  <c r="H227" i="102"/>
  <c r="H223" i="102"/>
  <c r="H219" i="102"/>
  <c r="H226" i="102"/>
  <c r="H222" i="102"/>
  <c r="G236" i="102"/>
  <c r="K13" i="102"/>
  <c r="H225" i="102"/>
  <c r="H221" i="102"/>
  <c r="H228" i="102"/>
  <c r="H224" i="102"/>
  <c r="H220" i="102"/>
  <c r="M114" i="102"/>
  <c r="M64" i="102"/>
  <c r="M96" i="102"/>
  <c r="M206" i="102"/>
  <c r="M60" i="102"/>
  <c r="M56" i="102"/>
  <c r="M44" i="102"/>
  <c r="M40" i="102"/>
  <c r="M65" i="102"/>
  <c r="M69" i="102"/>
  <c r="M92" i="102"/>
  <c r="M110" i="102"/>
  <c r="M160" i="102"/>
  <c r="M156" i="102"/>
  <c r="M142" i="102"/>
  <c r="M137" i="102"/>
  <c r="M132" i="102"/>
  <c r="M123" i="102"/>
  <c r="M193" i="102"/>
  <c r="M189" i="102"/>
  <c r="M185" i="102"/>
  <c r="M203" i="102"/>
  <c r="M58" i="102"/>
  <c r="M46" i="102"/>
  <c r="M42" i="102"/>
  <c r="M67" i="102"/>
  <c r="M71" i="102"/>
  <c r="M90" i="102"/>
  <c r="M98" i="102"/>
  <c r="M108" i="102"/>
  <c r="M158" i="102"/>
  <c r="M153" i="102"/>
  <c r="M140" i="102"/>
  <c r="M135" i="102"/>
  <c r="M130" i="102"/>
  <c r="M195" i="102"/>
  <c r="M191" i="102"/>
  <c r="M187" i="102"/>
  <c r="M201" i="102"/>
  <c r="M205" i="102"/>
  <c r="M57" i="102"/>
  <c r="M51" i="102"/>
  <c r="M41" i="102"/>
  <c r="M35" i="102"/>
  <c r="M70" i="102"/>
  <c r="M82" i="102"/>
  <c r="M105" i="102"/>
  <c r="M138" i="102"/>
  <c r="M133" i="102"/>
  <c r="M194" i="102"/>
  <c r="M186" i="102"/>
  <c r="M204" i="102"/>
  <c r="M25" i="102"/>
  <c r="M55" i="102"/>
  <c r="M45" i="102"/>
  <c r="M39" i="102"/>
  <c r="M27" i="102"/>
  <c r="M66" i="102"/>
  <c r="M76" i="102"/>
  <c r="M91" i="102"/>
  <c r="M109" i="102"/>
  <c r="M115" i="102"/>
  <c r="M159" i="102"/>
  <c r="M155" i="102"/>
  <c r="M141" i="102"/>
  <c r="M136" i="102"/>
  <c r="M131" i="102"/>
  <c r="M124" i="102"/>
  <c r="M196" i="102"/>
  <c r="M192" i="102"/>
  <c r="M188" i="102"/>
  <c r="M184" i="102"/>
  <c r="M202" i="102"/>
  <c r="M157" i="102"/>
  <c r="M143" i="102"/>
  <c r="M129" i="102"/>
  <c r="M190" i="102"/>
  <c r="M200" i="102"/>
  <c r="M78" i="102"/>
  <c r="M75" i="102"/>
  <c r="M73" i="102"/>
  <c r="M68" i="102"/>
  <c r="M182" i="102"/>
  <c r="M180" i="102"/>
  <c r="M178" i="102"/>
  <c r="M176" i="102"/>
  <c r="M174" i="102"/>
  <c r="M172" i="102"/>
  <c r="M170" i="102"/>
  <c r="M168" i="102"/>
  <c r="M166" i="102"/>
  <c r="M164" i="102"/>
  <c r="M151" i="102"/>
  <c r="M149" i="102"/>
  <c r="M147" i="102"/>
  <c r="M145" i="102"/>
  <c r="M88" i="102"/>
  <c r="M86" i="102"/>
  <c r="M84" i="102"/>
  <c r="M77" i="102"/>
  <c r="M74" i="102"/>
  <c r="M72" i="102"/>
  <c r="M106" i="102"/>
  <c r="M127" i="102"/>
  <c r="M125" i="102"/>
  <c r="M183" i="102"/>
  <c r="M181" i="102"/>
  <c r="M179" i="102"/>
  <c r="M177" i="102"/>
  <c r="M175" i="102"/>
  <c r="M173" i="102"/>
  <c r="M171" i="102"/>
  <c r="M169" i="102"/>
  <c r="M167" i="102"/>
  <c r="M165" i="102"/>
  <c r="M152" i="102"/>
  <c r="M150" i="102"/>
  <c r="M148" i="102"/>
  <c r="M146" i="102"/>
  <c r="M89" i="102"/>
  <c r="M87" i="102"/>
  <c r="M85" i="102"/>
  <c r="M83" i="102"/>
  <c r="M126" i="102"/>
  <c r="M118" i="102"/>
  <c r="M116" i="102"/>
  <c r="M100" i="102"/>
  <c r="M97" i="102"/>
  <c r="M54" i="102"/>
  <c r="M52" i="102"/>
  <c r="M49" i="102"/>
  <c r="M47" i="102"/>
  <c r="M38" i="102"/>
  <c r="M36" i="102"/>
  <c r="M33" i="102"/>
  <c r="M31" i="102"/>
  <c r="M29" i="102"/>
  <c r="M26" i="102"/>
  <c r="M117" i="102"/>
  <c r="M107" i="102"/>
  <c r="M101" i="102"/>
  <c r="M99" i="102"/>
  <c r="M59" i="102"/>
  <c r="M53" i="102"/>
  <c r="M50" i="102"/>
  <c r="M48" i="102"/>
  <c r="M43" i="102"/>
  <c r="M37" i="102"/>
  <c r="M34" i="102"/>
  <c r="M32" i="102"/>
  <c r="M30" i="102"/>
  <c r="M28" i="102"/>
  <c r="K15" i="84"/>
  <c r="H219" i="20"/>
  <c r="H223" i="20"/>
  <c r="H227" i="20"/>
  <c r="H226" i="20"/>
  <c r="G236" i="20"/>
  <c r="H224" i="20"/>
  <c r="H221" i="20"/>
  <c r="H225" i="20"/>
  <c r="K13" i="20"/>
  <c r="H222" i="20"/>
  <c r="H228" i="20"/>
  <c r="H220" i="20"/>
  <c r="M111" i="20"/>
  <c r="M102" i="20"/>
  <c r="M60" i="20"/>
  <c r="M56" i="20"/>
  <c r="M52" i="20"/>
  <c r="M67" i="20"/>
  <c r="M71" i="20"/>
  <c r="M75" i="20"/>
  <c r="M82" i="20"/>
  <c r="M91" i="20"/>
  <c r="M100" i="20"/>
  <c r="M96" i="20"/>
  <c r="M108" i="20"/>
  <c r="M117" i="20"/>
  <c r="M158" i="20"/>
  <c r="M153" i="20"/>
  <c r="M149" i="20"/>
  <c r="M145" i="20"/>
  <c r="M196" i="20"/>
  <c r="M25" i="20"/>
  <c r="M58" i="20"/>
  <c r="M54" i="20"/>
  <c r="M50" i="20"/>
  <c r="M65" i="20"/>
  <c r="M69" i="20"/>
  <c r="M73" i="20"/>
  <c r="M77" i="20"/>
  <c r="M89" i="20"/>
  <c r="M98" i="20"/>
  <c r="M110" i="20"/>
  <c r="M106" i="20"/>
  <c r="M115" i="20"/>
  <c r="M160" i="20"/>
  <c r="M156" i="20"/>
  <c r="M151" i="20"/>
  <c r="M147" i="20"/>
  <c r="M123" i="20"/>
  <c r="M59" i="20"/>
  <c r="M55" i="20"/>
  <c r="M51" i="20"/>
  <c r="M45" i="20"/>
  <c r="M64" i="20"/>
  <c r="M68" i="20"/>
  <c r="M74" i="20"/>
  <c r="M78" i="20"/>
  <c r="M92" i="20"/>
  <c r="M101" i="20"/>
  <c r="M97" i="20"/>
  <c r="M107" i="20"/>
  <c r="M164" i="20"/>
  <c r="M57" i="20"/>
  <c r="M53" i="20"/>
  <c r="M49" i="20"/>
  <c r="M66" i="20"/>
  <c r="M72" i="20"/>
  <c r="M76" i="20"/>
  <c r="M90" i="20"/>
  <c r="M99" i="20"/>
  <c r="M109" i="20"/>
  <c r="M105" i="20"/>
  <c r="M116" i="20"/>
  <c r="M159" i="20"/>
  <c r="M155" i="20"/>
  <c r="M150" i="20"/>
  <c r="M146" i="20"/>
  <c r="M195" i="20"/>
  <c r="M118" i="20"/>
  <c r="M114" i="20"/>
  <c r="M157" i="20"/>
  <c r="M152" i="20"/>
  <c r="M148" i="20"/>
  <c r="M143" i="20"/>
  <c r="M142" i="20"/>
  <c r="M140" i="20"/>
  <c r="M137" i="20"/>
  <c r="M135" i="20"/>
  <c r="M132" i="20"/>
  <c r="M130" i="20"/>
  <c r="M127" i="20"/>
  <c r="M125" i="20"/>
  <c r="M87" i="20"/>
  <c r="M85" i="20"/>
  <c r="M83" i="20"/>
  <c r="M88" i="20"/>
  <c r="M86" i="20"/>
  <c r="M84" i="20"/>
  <c r="M193" i="20"/>
  <c r="M191" i="20"/>
  <c r="M189" i="20"/>
  <c r="M187" i="20"/>
  <c r="M185" i="20"/>
  <c r="M183" i="20"/>
  <c r="M181" i="20"/>
  <c r="M179" i="20"/>
  <c r="M177" i="20"/>
  <c r="M175" i="20"/>
  <c r="M173" i="20"/>
  <c r="M171" i="20"/>
  <c r="M169" i="20"/>
  <c r="M167" i="20"/>
  <c r="M165" i="20"/>
  <c r="M31" i="20"/>
  <c r="M205" i="20"/>
  <c r="M203" i="20"/>
  <c r="M201" i="20"/>
  <c r="M194" i="20"/>
  <c r="M192" i="20"/>
  <c r="M190" i="20"/>
  <c r="M188" i="20"/>
  <c r="M186" i="20"/>
  <c r="M184" i="20"/>
  <c r="M182" i="20"/>
  <c r="M180" i="20"/>
  <c r="M178" i="20"/>
  <c r="M176" i="20"/>
  <c r="M174" i="20"/>
  <c r="M172" i="20"/>
  <c r="M170" i="20"/>
  <c r="M168" i="20"/>
  <c r="M166" i="20"/>
  <c r="M70" i="20"/>
  <c r="M141" i="20"/>
  <c r="M138" i="20"/>
  <c r="M136" i="20"/>
  <c r="M133" i="20"/>
  <c r="M131" i="20"/>
  <c r="M129" i="20"/>
  <c r="M126" i="20"/>
  <c r="M124" i="20"/>
  <c r="M119" i="20"/>
  <c r="M204" i="20"/>
  <c r="M202" i="20"/>
  <c r="M200" i="20"/>
  <c r="M48" i="20"/>
  <c r="M46" i="20"/>
  <c r="M43" i="20"/>
  <c r="M41" i="20"/>
  <c r="M39" i="20"/>
  <c r="M37" i="20"/>
  <c r="M35" i="20"/>
  <c r="M33" i="20"/>
  <c r="M29" i="20"/>
  <c r="M27" i="20"/>
  <c r="M47" i="20"/>
  <c r="M44" i="20"/>
  <c r="M42" i="20"/>
  <c r="M40" i="20"/>
  <c r="M38" i="20"/>
  <c r="M36" i="20"/>
  <c r="M34" i="20"/>
  <c r="M32" i="20"/>
  <c r="M30" i="20"/>
  <c r="M28" i="20"/>
  <c r="M26" i="20"/>
  <c r="K15" i="14"/>
  <c r="G237" i="14"/>
  <c r="K15" i="42"/>
  <c r="K13" i="55"/>
  <c r="H228" i="55"/>
  <c r="H226" i="55"/>
  <c r="H224" i="55"/>
  <c r="H222" i="55"/>
  <c r="H220" i="55"/>
  <c r="H227" i="55"/>
  <c r="H225" i="55"/>
  <c r="H223" i="55"/>
  <c r="H221" i="55"/>
  <c r="H219" i="55"/>
  <c r="G236" i="55"/>
  <c r="M79" i="55"/>
  <c r="M111" i="55"/>
  <c r="M119" i="55"/>
  <c r="M102" i="55"/>
  <c r="M59" i="55"/>
  <c r="M55" i="55"/>
  <c r="M51" i="55"/>
  <c r="M47" i="55"/>
  <c r="M43" i="55"/>
  <c r="M39" i="55"/>
  <c r="M66" i="55"/>
  <c r="M70" i="55"/>
  <c r="M74" i="55"/>
  <c r="M78" i="55"/>
  <c r="M100" i="55"/>
  <c r="M96" i="55"/>
  <c r="M110" i="55"/>
  <c r="M106" i="55"/>
  <c r="M118" i="55"/>
  <c r="M114" i="55"/>
  <c r="M164" i="55"/>
  <c r="M21" i="55"/>
  <c r="M57" i="55"/>
  <c r="M53" i="55"/>
  <c r="M49" i="55"/>
  <c r="M45" i="55"/>
  <c r="M41" i="55"/>
  <c r="M64" i="55"/>
  <c r="M68" i="55"/>
  <c r="M72" i="55"/>
  <c r="M76" i="55"/>
  <c r="M98" i="55"/>
  <c r="M108" i="55"/>
  <c r="M116" i="55"/>
  <c r="M58" i="55"/>
  <c r="M54" i="55"/>
  <c r="M50" i="55"/>
  <c r="M42" i="55"/>
  <c r="M38" i="55"/>
  <c r="M65" i="55"/>
  <c r="M69" i="55"/>
  <c r="M73" i="55"/>
  <c r="M77" i="55"/>
  <c r="M82" i="55"/>
  <c r="M99" i="55"/>
  <c r="M109" i="55"/>
  <c r="M105" i="55"/>
  <c r="M25" i="55"/>
  <c r="M60" i="55"/>
  <c r="M56" i="55"/>
  <c r="M52" i="55"/>
  <c r="M46" i="55"/>
  <c r="M40" i="55"/>
  <c r="M67" i="55"/>
  <c r="M71" i="55"/>
  <c r="M75" i="55"/>
  <c r="M101" i="55"/>
  <c r="M97" i="55"/>
  <c r="M107" i="55"/>
  <c r="M117" i="55"/>
  <c r="M123" i="55"/>
  <c r="M115" i="55"/>
  <c r="M36" i="55"/>
  <c r="M34" i="55"/>
  <c r="M32" i="55"/>
  <c r="M30" i="55"/>
  <c r="M28" i="55"/>
  <c r="M26" i="55"/>
  <c r="M37" i="55"/>
  <c r="M35" i="55"/>
  <c r="M33" i="55"/>
  <c r="M31" i="55"/>
  <c r="M29" i="55"/>
  <c r="M27" i="55"/>
  <c r="M205" i="55"/>
  <c r="M203" i="55"/>
  <c r="M201" i="55"/>
  <c r="M195" i="55"/>
  <c r="M193" i="55"/>
  <c r="M191" i="55"/>
  <c r="M189" i="55"/>
  <c r="M187" i="55"/>
  <c r="M185" i="55"/>
  <c r="M183" i="55"/>
  <c r="M181" i="55"/>
  <c r="M179" i="55"/>
  <c r="M177" i="55"/>
  <c r="M175" i="55"/>
  <c r="M173" i="55"/>
  <c r="M171" i="55"/>
  <c r="M169" i="55"/>
  <c r="M167" i="55"/>
  <c r="M165" i="55"/>
  <c r="M160" i="55"/>
  <c r="M158" i="55"/>
  <c r="M156" i="55"/>
  <c r="M153" i="55"/>
  <c r="M151" i="55"/>
  <c r="M149" i="55"/>
  <c r="M147" i="55"/>
  <c r="M145" i="55"/>
  <c r="M142" i="55"/>
  <c r="M140" i="55"/>
  <c r="M137" i="55"/>
  <c r="M135" i="55"/>
  <c r="M132" i="55"/>
  <c r="M130" i="55"/>
  <c r="M127" i="55"/>
  <c r="M125" i="55"/>
  <c r="M92" i="55"/>
  <c r="M90" i="55"/>
  <c r="M88" i="55"/>
  <c r="M86" i="55"/>
  <c r="M84" i="55"/>
  <c r="M44" i="55"/>
  <c r="M204" i="55"/>
  <c r="M202" i="55"/>
  <c r="M200" i="55"/>
  <c r="M83" i="55"/>
  <c r="M48" i="55"/>
  <c r="M161" i="55"/>
  <c r="M197" i="55"/>
  <c r="M196" i="55"/>
  <c r="M194" i="55"/>
  <c r="M192" i="55"/>
  <c r="M190" i="55"/>
  <c r="M188" i="55"/>
  <c r="M186" i="55"/>
  <c r="M184" i="55"/>
  <c r="M182" i="55"/>
  <c r="M180" i="55"/>
  <c r="M178" i="55"/>
  <c r="M176" i="55"/>
  <c r="M174" i="55"/>
  <c r="M172" i="55"/>
  <c r="M170" i="55"/>
  <c r="M168" i="55"/>
  <c r="M166" i="55"/>
  <c r="M159" i="55"/>
  <c r="M157" i="55"/>
  <c r="M155" i="55"/>
  <c r="M152" i="55"/>
  <c r="M150" i="55"/>
  <c r="M148" i="55"/>
  <c r="M146" i="55"/>
  <c r="M143" i="55"/>
  <c r="M141" i="55"/>
  <c r="M138" i="55"/>
  <c r="M136" i="55"/>
  <c r="M133" i="55"/>
  <c r="M131" i="55"/>
  <c r="M129" i="55"/>
  <c r="M126" i="55"/>
  <c r="M124" i="55"/>
  <c r="M91" i="55"/>
  <c r="M89" i="55"/>
  <c r="M87" i="55"/>
  <c r="M85" i="55"/>
  <c r="H228" i="119"/>
  <c r="H226" i="119"/>
  <c r="H224" i="119"/>
  <c r="H222" i="119"/>
  <c r="H220" i="119"/>
  <c r="K13" i="119"/>
  <c r="H227" i="119"/>
  <c r="H225" i="119"/>
  <c r="H223" i="119"/>
  <c r="H221" i="119"/>
  <c r="H219" i="119"/>
  <c r="G236" i="119"/>
  <c r="M105" i="119"/>
  <c r="M93" i="119"/>
  <c r="M119" i="119"/>
  <c r="M64" i="119"/>
  <c r="M76" i="119"/>
  <c r="M92" i="119"/>
  <c r="M88" i="119"/>
  <c r="M84" i="119"/>
  <c r="M100" i="119"/>
  <c r="M115" i="119"/>
  <c r="M160" i="119"/>
  <c r="M156" i="119"/>
  <c r="M151" i="119"/>
  <c r="M123" i="119"/>
  <c r="M196" i="119"/>
  <c r="M192" i="119"/>
  <c r="M188" i="119"/>
  <c r="M184" i="119"/>
  <c r="M203" i="119"/>
  <c r="M74" i="119"/>
  <c r="M78" i="119"/>
  <c r="M82" i="119"/>
  <c r="M90" i="119"/>
  <c r="M86" i="119"/>
  <c r="M117" i="119"/>
  <c r="M158" i="119"/>
  <c r="M153" i="119"/>
  <c r="M149" i="119"/>
  <c r="M194" i="119"/>
  <c r="M190" i="119"/>
  <c r="M186" i="119"/>
  <c r="M205" i="119"/>
  <c r="M77" i="119"/>
  <c r="M91" i="119"/>
  <c r="M87" i="119"/>
  <c r="M83" i="119"/>
  <c r="M101" i="119"/>
  <c r="M195" i="119"/>
  <c r="M187" i="119"/>
  <c r="M200" i="119"/>
  <c r="M75" i="119"/>
  <c r="M89" i="119"/>
  <c r="M85" i="119"/>
  <c r="M118" i="119"/>
  <c r="M114" i="119"/>
  <c r="M157" i="119"/>
  <c r="M152" i="119"/>
  <c r="M193" i="119"/>
  <c r="M189" i="119"/>
  <c r="M185" i="119"/>
  <c r="M204" i="119"/>
  <c r="M116" i="119"/>
  <c r="M159" i="119"/>
  <c r="M155" i="119"/>
  <c r="M150" i="119"/>
  <c r="M191" i="119"/>
  <c r="M60" i="119"/>
  <c r="M58" i="119"/>
  <c r="M56" i="119"/>
  <c r="M54" i="119"/>
  <c r="M52" i="119"/>
  <c r="M50" i="119"/>
  <c r="M48" i="119"/>
  <c r="M46" i="119"/>
  <c r="M44" i="119"/>
  <c r="M42" i="119"/>
  <c r="M40" i="119"/>
  <c r="M38" i="119"/>
  <c r="M36" i="119"/>
  <c r="M34" i="119"/>
  <c r="M32" i="119"/>
  <c r="M30" i="119"/>
  <c r="M28" i="119"/>
  <c r="M26" i="119"/>
  <c r="M182" i="119"/>
  <c r="M180" i="119"/>
  <c r="M178" i="119"/>
  <c r="M176" i="119"/>
  <c r="M174" i="119"/>
  <c r="M172" i="119"/>
  <c r="M170" i="119"/>
  <c r="M168" i="119"/>
  <c r="M166" i="119"/>
  <c r="M164" i="119"/>
  <c r="M206" i="119"/>
  <c r="M201" i="119"/>
  <c r="M148" i="119"/>
  <c r="M146" i="119"/>
  <c r="M143" i="119"/>
  <c r="M141" i="119"/>
  <c r="M138" i="119"/>
  <c r="M136" i="119"/>
  <c r="M133" i="119"/>
  <c r="M131" i="119"/>
  <c r="M129" i="119"/>
  <c r="M126" i="119"/>
  <c r="M124" i="119"/>
  <c r="M99" i="119"/>
  <c r="M97" i="119"/>
  <c r="M183" i="119"/>
  <c r="M181" i="119"/>
  <c r="M179" i="119"/>
  <c r="M177" i="119"/>
  <c r="M175" i="119"/>
  <c r="M173" i="119"/>
  <c r="M171" i="119"/>
  <c r="M169" i="119"/>
  <c r="M167" i="119"/>
  <c r="M165" i="119"/>
  <c r="M73" i="119"/>
  <c r="M71" i="119"/>
  <c r="M69" i="119"/>
  <c r="M67" i="119"/>
  <c r="M65" i="119"/>
  <c r="M72" i="119"/>
  <c r="M70" i="119"/>
  <c r="M68" i="119"/>
  <c r="M66" i="119"/>
  <c r="M59" i="119"/>
  <c r="M57" i="119"/>
  <c r="M55" i="119"/>
  <c r="M53" i="119"/>
  <c r="M51" i="119"/>
  <c r="M49" i="119"/>
  <c r="M47" i="119"/>
  <c r="M45" i="119"/>
  <c r="M43" i="119"/>
  <c r="M41" i="119"/>
  <c r="M39" i="119"/>
  <c r="M37" i="119"/>
  <c r="M35" i="119"/>
  <c r="M33" i="119"/>
  <c r="M31" i="119"/>
  <c r="M29" i="119"/>
  <c r="M27" i="119"/>
  <c r="M25" i="119"/>
  <c r="M109" i="119"/>
  <c r="M107" i="119"/>
  <c r="M98" i="119"/>
  <c r="M96" i="119"/>
  <c r="M202" i="119"/>
  <c r="M147" i="119"/>
  <c r="M145" i="119"/>
  <c r="M142" i="119"/>
  <c r="M140" i="119"/>
  <c r="M137" i="119"/>
  <c r="M135" i="119"/>
  <c r="M132" i="119"/>
  <c r="M130" i="119"/>
  <c r="M127" i="119"/>
  <c r="M125" i="119"/>
  <c r="M110" i="119"/>
  <c r="M108" i="119"/>
  <c r="M106" i="119"/>
  <c r="K13" i="136"/>
  <c r="H228" i="136"/>
  <c r="H226" i="136"/>
  <c r="H224" i="136"/>
  <c r="H222" i="136"/>
  <c r="H220" i="136"/>
  <c r="H227" i="136"/>
  <c r="H225" i="136"/>
  <c r="H223" i="136"/>
  <c r="H221" i="136"/>
  <c r="H219" i="136"/>
  <c r="G236" i="136"/>
  <c r="M111" i="136"/>
  <c r="M119" i="136"/>
  <c r="M58" i="136"/>
  <c r="M54" i="136"/>
  <c r="M50" i="136"/>
  <c r="M46" i="136"/>
  <c r="M42" i="136"/>
  <c r="M75" i="136"/>
  <c r="M82" i="136"/>
  <c r="M92" i="136"/>
  <c r="M88" i="136"/>
  <c r="M84" i="136"/>
  <c r="M100" i="136"/>
  <c r="M110" i="136"/>
  <c r="M106" i="136"/>
  <c r="M117" i="136"/>
  <c r="M157" i="136"/>
  <c r="M152" i="136"/>
  <c r="M146" i="136"/>
  <c r="M195" i="136"/>
  <c r="M191" i="136"/>
  <c r="M187" i="136"/>
  <c r="M183" i="136"/>
  <c r="M205" i="136"/>
  <c r="M60" i="136"/>
  <c r="M56" i="136"/>
  <c r="M52" i="136"/>
  <c r="M48" i="136"/>
  <c r="M44" i="136"/>
  <c r="M40" i="136"/>
  <c r="M77" i="136"/>
  <c r="M90" i="136"/>
  <c r="M86" i="136"/>
  <c r="M108" i="136"/>
  <c r="M115" i="136"/>
  <c r="M159" i="136"/>
  <c r="M155" i="136"/>
  <c r="M150" i="136"/>
  <c r="M193" i="136"/>
  <c r="M189" i="136"/>
  <c r="M185" i="136"/>
  <c r="M59" i="136"/>
  <c r="M55" i="136"/>
  <c r="M51" i="136"/>
  <c r="M47" i="136"/>
  <c r="M43" i="136"/>
  <c r="M76" i="136"/>
  <c r="M91" i="136"/>
  <c r="M87" i="136"/>
  <c r="M99" i="136"/>
  <c r="M107" i="136"/>
  <c r="M153" i="136"/>
  <c r="M190" i="136"/>
  <c r="M57" i="136"/>
  <c r="M53" i="136"/>
  <c r="M49" i="136"/>
  <c r="M45" i="136"/>
  <c r="M41" i="136"/>
  <c r="M78" i="136"/>
  <c r="M89" i="136"/>
  <c r="M85" i="136"/>
  <c r="M101" i="136"/>
  <c r="M109" i="136"/>
  <c r="M105" i="136"/>
  <c r="M118" i="136"/>
  <c r="M114" i="136"/>
  <c r="M160" i="136"/>
  <c r="M156" i="136"/>
  <c r="M151" i="136"/>
  <c r="M164" i="136"/>
  <c r="M196" i="136"/>
  <c r="M192" i="136"/>
  <c r="M188" i="136"/>
  <c r="M184" i="136"/>
  <c r="M116" i="136"/>
  <c r="M158" i="136"/>
  <c r="M123" i="136"/>
  <c r="M194" i="136"/>
  <c r="M186" i="136"/>
  <c r="M181" i="136"/>
  <c r="M179" i="136"/>
  <c r="M177" i="136"/>
  <c r="M175" i="136"/>
  <c r="M173" i="136"/>
  <c r="M171" i="136"/>
  <c r="M169" i="136"/>
  <c r="M167" i="136"/>
  <c r="M165" i="136"/>
  <c r="M203" i="136"/>
  <c r="M201" i="136"/>
  <c r="M149" i="136"/>
  <c r="M147" i="136"/>
  <c r="M143" i="136"/>
  <c r="M141" i="136"/>
  <c r="M138" i="136"/>
  <c r="M136" i="136"/>
  <c r="M133" i="136"/>
  <c r="M131" i="136"/>
  <c r="M129" i="136"/>
  <c r="M126" i="136"/>
  <c r="M124" i="136"/>
  <c r="M25" i="136"/>
  <c r="M204" i="136"/>
  <c r="M202" i="136"/>
  <c r="M200" i="136"/>
  <c r="M182" i="136"/>
  <c r="M180" i="136"/>
  <c r="M178" i="136"/>
  <c r="M176" i="136"/>
  <c r="M174" i="136"/>
  <c r="M172" i="136"/>
  <c r="M170" i="136"/>
  <c r="M168" i="136"/>
  <c r="M166" i="136"/>
  <c r="M97" i="136"/>
  <c r="M74" i="136"/>
  <c r="M72" i="136"/>
  <c r="M70" i="136"/>
  <c r="M68" i="136"/>
  <c r="M66" i="136"/>
  <c r="M64" i="136"/>
  <c r="M98" i="136"/>
  <c r="M96" i="136"/>
  <c r="M73" i="136"/>
  <c r="M71" i="136"/>
  <c r="M69" i="136"/>
  <c r="M67" i="136"/>
  <c r="M65" i="136"/>
  <c r="M93" i="136"/>
  <c r="M39" i="136"/>
  <c r="M37" i="136"/>
  <c r="M35" i="136"/>
  <c r="M33" i="136"/>
  <c r="M31" i="136"/>
  <c r="M29" i="136"/>
  <c r="M27" i="136"/>
  <c r="M148" i="136"/>
  <c r="M145" i="136"/>
  <c r="M142" i="136"/>
  <c r="M140" i="136"/>
  <c r="M137" i="136"/>
  <c r="M135" i="136"/>
  <c r="M132" i="136"/>
  <c r="M130" i="136"/>
  <c r="M127" i="136"/>
  <c r="M125" i="136"/>
  <c r="M83" i="136"/>
  <c r="M38" i="136"/>
  <c r="M36" i="136"/>
  <c r="M34" i="136"/>
  <c r="M32" i="136"/>
  <c r="M30" i="136"/>
  <c r="M28" i="136"/>
  <c r="M26" i="136"/>
  <c r="H227" i="79"/>
  <c r="H225" i="79"/>
  <c r="H223" i="79"/>
  <c r="H221" i="79"/>
  <c r="H219" i="79"/>
  <c r="K13" i="79"/>
  <c r="H228" i="79"/>
  <c r="H226" i="79"/>
  <c r="H224" i="79"/>
  <c r="H222" i="79"/>
  <c r="H220" i="79"/>
  <c r="G236" i="79"/>
  <c r="M200" i="79"/>
  <c r="M82" i="79"/>
  <c r="M114" i="79"/>
  <c r="M119" i="79"/>
  <c r="M46" i="79"/>
  <c r="M42" i="79"/>
  <c r="M38" i="79"/>
  <c r="M34" i="79"/>
  <c r="M30" i="79"/>
  <c r="M100" i="79"/>
  <c r="M110" i="79"/>
  <c r="M116" i="79"/>
  <c r="M157" i="79"/>
  <c r="M146" i="79"/>
  <c r="M164" i="79"/>
  <c r="M196" i="79"/>
  <c r="M192" i="79"/>
  <c r="M188" i="79"/>
  <c r="M184" i="79"/>
  <c r="M178" i="79"/>
  <c r="M174" i="79"/>
  <c r="M44" i="79"/>
  <c r="M40" i="79"/>
  <c r="M36" i="79"/>
  <c r="M32" i="79"/>
  <c r="M108" i="79"/>
  <c r="M118" i="79"/>
  <c r="M159" i="79"/>
  <c r="M155" i="79"/>
  <c r="M194" i="79"/>
  <c r="M190" i="79"/>
  <c r="M186" i="79"/>
  <c r="M182" i="79"/>
  <c r="M176" i="79"/>
  <c r="M172" i="79"/>
  <c r="M47" i="79"/>
  <c r="M43" i="79"/>
  <c r="M39" i="79"/>
  <c r="M35" i="79"/>
  <c r="M31" i="79"/>
  <c r="M64" i="79"/>
  <c r="M99" i="79"/>
  <c r="M109" i="79"/>
  <c r="M158" i="79"/>
  <c r="M191" i="79"/>
  <c r="M181" i="79"/>
  <c r="M175" i="79"/>
  <c r="M25" i="79"/>
  <c r="M53" i="79"/>
  <c r="M45" i="79"/>
  <c r="M41" i="79"/>
  <c r="M37" i="79"/>
  <c r="M33" i="79"/>
  <c r="M29" i="79"/>
  <c r="M101" i="79"/>
  <c r="M107" i="79"/>
  <c r="M117" i="79"/>
  <c r="M160" i="79"/>
  <c r="M156" i="79"/>
  <c r="M123" i="79"/>
  <c r="M193" i="79"/>
  <c r="M189" i="79"/>
  <c r="M183" i="79"/>
  <c r="M177" i="79"/>
  <c r="M173" i="79"/>
  <c r="M115" i="79"/>
  <c r="M153" i="79"/>
  <c r="M195" i="79"/>
  <c r="M185" i="79"/>
  <c r="M171" i="79"/>
  <c r="M169" i="79"/>
  <c r="M167" i="79"/>
  <c r="M165" i="79"/>
  <c r="M92" i="79"/>
  <c r="M90" i="79"/>
  <c r="M88" i="79"/>
  <c r="M86" i="79"/>
  <c r="M84" i="79"/>
  <c r="M77" i="79"/>
  <c r="M75" i="79"/>
  <c r="M73" i="79"/>
  <c r="M71" i="79"/>
  <c r="M69" i="79"/>
  <c r="M67" i="79"/>
  <c r="M180" i="79"/>
  <c r="M170" i="79"/>
  <c r="M168" i="79"/>
  <c r="M166" i="79"/>
  <c r="M151" i="79"/>
  <c r="M149" i="79"/>
  <c r="M147" i="79"/>
  <c r="M143" i="79"/>
  <c r="M141" i="79"/>
  <c r="M138" i="79"/>
  <c r="M136" i="79"/>
  <c r="M133" i="79"/>
  <c r="M131" i="79"/>
  <c r="M129" i="79"/>
  <c r="M126" i="79"/>
  <c r="M124" i="79"/>
  <c r="M78" i="79"/>
  <c r="M76" i="79"/>
  <c r="M74" i="79"/>
  <c r="M72" i="79"/>
  <c r="M70" i="79"/>
  <c r="M68" i="79"/>
  <c r="M66" i="79"/>
  <c r="M59" i="79"/>
  <c r="M57" i="79"/>
  <c r="M55" i="79"/>
  <c r="M52" i="79"/>
  <c r="M50" i="79"/>
  <c r="M48" i="79"/>
  <c r="M27" i="79"/>
  <c r="M187" i="79"/>
  <c r="M106" i="79"/>
  <c r="M152" i="79"/>
  <c r="M150" i="79"/>
  <c r="M148" i="79"/>
  <c r="M145" i="79"/>
  <c r="M142" i="79"/>
  <c r="M140" i="79"/>
  <c r="M137" i="79"/>
  <c r="M135" i="79"/>
  <c r="M132" i="79"/>
  <c r="M130" i="79"/>
  <c r="M127" i="79"/>
  <c r="M125" i="79"/>
  <c r="M98" i="79"/>
  <c r="M96" i="79"/>
  <c r="M65" i="79"/>
  <c r="M60" i="79"/>
  <c r="M58" i="79"/>
  <c r="M56" i="79"/>
  <c r="M54" i="79"/>
  <c r="M51" i="79"/>
  <c r="M49" i="79"/>
  <c r="M28" i="79"/>
  <c r="M26" i="79"/>
  <c r="M97" i="79"/>
  <c r="M91" i="79"/>
  <c r="M89" i="79"/>
  <c r="M87" i="79"/>
  <c r="M85" i="79"/>
  <c r="M83" i="79"/>
  <c r="M205" i="79"/>
  <c r="M203" i="79"/>
  <c r="M201" i="79"/>
  <c r="M204" i="79"/>
  <c r="M202" i="79"/>
  <c r="M179" i="79"/>
  <c r="M105" i="79"/>
  <c r="H227" i="33"/>
  <c r="H225" i="33"/>
  <c r="H223" i="33"/>
  <c r="H221" i="33"/>
  <c r="H219" i="33"/>
  <c r="K13" i="33"/>
  <c r="H228" i="33"/>
  <c r="H226" i="33"/>
  <c r="H224" i="33"/>
  <c r="H222" i="33"/>
  <c r="H220" i="33"/>
  <c r="G236" i="33"/>
  <c r="M119" i="33"/>
  <c r="M60" i="33"/>
  <c r="M56" i="33"/>
  <c r="M52" i="33"/>
  <c r="M69" i="33"/>
  <c r="M73" i="33"/>
  <c r="M77" i="33"/>
  <c r="M92" i="33"/>
  <c r="M100" i="33"/>
  <c r="M96" i="33"/>
  <c r="M108" i="33"/>
  <c r="M116" i="33"/>
  <c r="M159" i="33"/>
  <c r="M155" i="33"/>
  <c r="M150" i="33"/>
  <c r="M196" i="33"/>
  <c r="M192" i="33"/>
  <c r="M188" i="33"/>
  <c r="M184" i="33"/>
  <c r="M21" i="33"/>
  <c r="M58" i="33"/>
  <c r="M54" i="33"/>
  <c r="M50" i="33"/>
  <c r="M67" i="33"/>
  <c r="M71" i="33"/>
  <c r="M75" i="33"/>
  <c r="M98" i="33"/>
  <c r="M110" i="33"/>
  <c r="M106" i="33"/>
  <c r="M118" i="33"/>
  <c r="M114" i="33"/>
  <c r="M157" i="33"/>
  <c r="M152" i="33"/>
  <c r="M148" i="33"/>
  <c r="M194" i="33"/>
  <c r="M190" i="33"/>
  <c r="M186" i="33"/>
  <c r="M205" i="33"/>
  <c r="M57" i="33"/>
  <c r="M53" i="33"/>
  <c r="M49" i="33"/>
  <c r="M64" i="33"/>
  <c r="M70" i="33"/>
  <c r="M74" i="33"/>
  <c r="M78" i="33"/>
  <c r="M82" i="33"/>
  <c r="M101" i="33"/>
  <c r="M107" i="33"/>
  <c r="M160" i="33"/>
  <c r="M151" i="33"/>
  <c r="M193" i="33"/>
  <c r="M185" i="33"/>
  <c r="M59" i="33"/>
  <c r="M55" i="33"/>
  <c r="M51" i="33"/>
  <c r="M68" i="33"/>
  <c r="M72" i="33"/>
  <c r="M76" i="33"/>
  <c r="M91" i="33"/>
  <c r="M99" i="33"/>
  <c r="M109" i="33"/>
  <c r="M105" i="33"/>
  <c r="M115" i="33"/>
  <c r="M158" i="33"/>
  <c r="M153" i="33"/>
  <c r="M149" i="33"/>
  <c r="M123" i="33"/>
  <c r="M195" i="33"/>
  <c r="M191" i="33"/>
  <c r="M187" i="33"/>
  <c r="M204" i="33"/>
  <c r="M117" i="33"/>
  <c r="M156" i="33"/>
  <c r="M147" i="33"/>
  <c r="M189" i="33"/>
  <c r="M200" i="33"/>
  <c r="M182" i="33"/>
  <c r="M180" i="33"/>
  <c r="M178" i="33"/>
  <c r="M176" i="33"/>
  <c r="M174" i="33"/>
  <c r="M172" i="33"/>
  <c r="M170" i="33"/>
  <c r="M168" i="33"/>
  <c r="M166" i="33"/>
  <c r="M201" i="33"/>
  <c r="M145" i="33"/>
  <c r="M142" i="33"/>
  <c r="M140" i="33"/>
  <c r="M137" i="33"/>
  <c r="M135" i="33"/>
  <c r="M132" i="33"/>
  <c r="M130" i="33"/>
  <c r="M127" i="33"/>
  <c r="M125" i="33"/>
  <c r="M97" i="33"/>
  <c r="M47" i="33"/>
  <c r="M45" i="33"/>
  <c r="M43" i="33"/>
  <c r="M41" i="33"/>
  <c r="M39" i="33"/>
  <c r="M37" i="33"/>
  <c r="M35" i="33"/>
  <c r="M33" i="33"/>
  <c r="M31" i="33"/>
  <c r="M29" i="33"/>
  <c r="M27" i="33"/>
  <c r="M25" i="33"/>
  <c r="M202" i="33"/>
  <c r="M146" i="33"/>
  <c r="M143" i="33"/>
  <c r="M141" i="33"/>
  <c r="M138" i="33"/>
  <c r="M136" i="33"/>
  <c r="M133" i="33"/>
  <c r="M131" i="33"/>
  <c r="M129" i="33"/>
  <c r="M126" i="33"/>
  <c r="M124" i="33"/>
  <c r="M183" i="33"/>
  <c r="M181" i="33"/>
  <c r="M179" i="33"/>
  <c r="M177" i="33"/>
  <c r="M175" i="33"/>
  <c r="M173" i="33"/>
  <c r="M171" i="33"/>
  <c r="M169" i="33"/>
  <c r="M167" i="33"/>
  <c r="M165" i="33"/>
  <c r="M90" i="33"/>
  <c r="M88" i="33"/>
  <c r="M86" i="33"/>
  <c r="M84" i="33"/>
  <c r="M164" i="33"/>
  <c r="M89" i="33"/>
  <c r="M87" i="33"/>
  <c r="M85" i="33"/>
  <c r="M83" i="33"/>
  <c r="M111" i="33"/>
  <c r="M203" i="33"/>
  <c r="M65" i="33"/>
  <c r="M66" i="33"/>
  <c r="M48" i="33"/>
  <c r="M46" i="33"/>
  <c r="M44" i="33"/>
  <c r="M42" i="33"/>
  <c r="M40" i="33"/>
  <c r="M38" i="33"/>
  <c r="M36" i="33"/>
  <c r="M34" i="33"/>
  <c r="M32" i="33"/>
  <c r="M30" i="33"/>
  <c r="M28" i="33"/>
  <c r="M26" i="33"/>
  <c r="E238" i="21"/>
  <c r="H225" i="58"/>
  <c r="H221" i="58"/>
  <c r="K13" i="58"/>
  <c r="H226" i="58"/>
  <c r="H222" i="58"/>
  <c r="H227" i="58"/>
  <c r="H223" i="58"/>
  <c r="H219" i="58"/>
  <c r="H228" i="58"/>
  <c r="H224" i="58"/>
  <c r="H220" i="58"/>
  <c r="M114" i="58"/>
  <c r="M119" i="58"/>
  <c r="M111" i="58"/>
  <c r="M60" i="58"/>
  <c r="M56" i="58"/>
  <c r="M52" i="58"/>
  <c r="M48" i="58"/>
  <c r="M69" i="58"/>
  <c r="M73" i="58"/>
  <c r="M77" i="58"/>
  <c r="M90" i="58"/>
  <c r="M100" i="58"/>
  <c r="M108" i="58"/>
  <c r="M116" i="58"/>
  <c r="M160" i="58"/>
  <c r="M156" i="58"/>
  <c r="M151" i="58"/>
  <c r="M147" i="58"/>
  <c r="M123" i="58"/>
  <c r="M164" i="58"/>
  <c r="M193" i="58"/>
  <c r="M189" i="58"/>
  <c r="M203" i="58"/>
  <c r="M58" i="58"/>
  <c r="M54" i="58"/>
  <c r="M50" i="58"/>
  <c r="M46" i="58"/>
  <c r="M71" i="58"/>
  <c r="M75" i="58"/>
  <c r="M92" i="58"/>
  <c r="M98" i="58"/>
  <c r="M110" i="58"/>
  <c r="M106" i="58"/>
  <c r="M118" i="58"/>
  <c r="M158" i="58"/>
  <c r="M153" i="58"/>
  <c r="M149" i="58"/>
  <c r="M145" i="58"/>
  <c r="M195" i="58"/>
  <c r="M191" i="58"/>
  <c r="M187" i="58"/>
  <c r="M205" i="58"/>
  <c r="M59" i="58"/>
  <c r="M55" i="58"/>
  <c r="M51" i="58"/>
  <c r="M47" i="58"/>
  <c r="M72" i="58"/>
  <c r="M76" i="58"/>
  <c r="M82" i="58"/>
  <c r="M91" i="58"/>
  <c r="M101" i="58"/>
  <c r="M107" i="58"/>
  <c r="M159" i="58"/>
  <c r="M155" i="58"/>
  <c r="M196" i="58"/>
  <c r="M188" i="58"/>
  <c r="M204" i="58"/>
  <c r="M25" i="58"/>
  <c r="M57" i="58"/>
  <c r="M53" i="58"/>
  <c r="M49" i="58"/>
  <c r="M37" i="58"/>
  <c r="M70" i="58"/>
  <c r="M74" i="58"/>
  <c r="M78" i="58"/>
  <c r="M89" i="58"/>
  <c r="M99" i="58"/>
  <c r="M109" i="58"/>
  <c r="M105" i="58"/>
  <c r="M117" i="58"/>
  <c r="M157" i="58"/>
  <c r="M152" i="58"/>
  <c r="M146" i="58"/>
  <c r="M194" i="58"/>
  <c r="M190" i="58"/>
  <c r="M115" i="58"/>
  <c r="M148" i="58"/>
  <c r="M192" i="58"/>
  <c r="M201" i="58"/>
  <c r="M143" i="58"/>
  <c r="M141" i="58"/>
  <c r="M138" i="58"/>
  <c r="M136" i="58"/>
  <c r="M133" i="58"/>
  <c r="M131" i="58"/>
  <c r="M129" i="58"/>
  <c r="M126" i="58"/>
  <c r="M124" i="58"/>
  <c r="M45" i="58"/>
  <c r="M43" i="58"/>
  <c r="M41" i="58"/>
  <c r="M39" i="58"/>
  <c r="M36" i="58"/>
  <c r="M34" i="58"/>
  <c r="M32" i="58"/>
  <c r="M30" i="58"/>
  <c r="M28" i="58"/>
  <c r="M26" i="58"/>
  <c r="M202" i="58"/>
  <c r="M200" i="58"/>
  <c r="M185" i="58"/>
  <c r="M183" i="58"/>
  <c r="M181" i="58"/>
  <c r="M179" i="58"/>
  <c r="M177" i="58"/>
  <c r="M175" i="58"/>
  <c r="M173" i="58"/>
  <c r="M171" i="58"/>
  <c r="M169" i="58"/>
  <c r="M167" i="58"/>
  <c r="M165" i="58"/>
  <c r="M67" i="58"/>
  <c r="M65" i="58"/>
  <c r="M87" i="58"/>
  <c r="M85" i="58"/>
  <c r="M83" i="58"/>
  <c r="M142" i="58"/>
  <c r="M140" i="58"/>
  <c r="M137" i="58"/>
  <c r="M135" i="58"/>
  <c r="M132" i="58"/>
  <c r="M130" i="58"/>
  <c r="M127" i="58"/>
  <c r="M125" i="58"/>
  <c r="M88" i="58"/>
  <c r="M86" i="58"/>
  <c r="M84" i="58"/>
  <c r="M44" i="58"/>
  <c r="M42" i="58"/>
  <c r="M40" i="58"/>
  <c r="M38" i="58"/>
  <c r="M35" i="58"/>
  <c r="M33" i="58"/>
  <c r="M31" i="58"/>
  <c r="M29" i="58"/>
  <c r="M27" i="58"/>
  <c r="M97" i="58"/>
  <c r="M68" i="58"/>
  <c r="M66" i="58"/>
  <c r="M64" i="58"/>
  <c r="M186" i="58"/>
  <c r="M184" i="58"/>
  <c r="M182" i="58"/>
  <c r="M180" i="58"/>
  <c r="M178" i="58"/>
  <c r="M176" i="58"/>
  <c r="M174" i="58"/>
  <c r="M172" i="58"/>
  <c r="M170" i="58"/>
  <c r="M168" i="58"/>
  <c r="M166" i="58"/>
  <c r="M150" i="58"/>
  <c r="M96" i="58"/>
  <c r="E238" i="71"/>
  <c r="E238" i="19"/>
  <c r="K15" i="79"/>
  <c r="K15" i="67"/>
  <c r="G237" i="67"/>
  <c r="G236" i="67"/>
  <c r="K15" i="66"/>
  <c r="E238" i="87"/>
  <c r="E238" i="32"/>
  <c r="M208" i="64"/>
  <c r="K12" i="64"/>
  <c r="H189" i="64"/>
  <c r="H173" i="64"/>
  <c r="H156" i="64"/>
  <c r="H137" i="64"/>
  <c r="H115" i="64"/>
  <c r="H97" i="64"/>
  <c r="H77" i="64"/>
  <c r="H60" i="64"/>
  <c r="H44" i="64"/>
  <c r="H28" i="64"/>
  <c r="H196" i="64"/>
  <c r="H180" i="64"/>
  <c r="H164" i="64"/>
  <c r="H143" i="64"/>
  <c r="H124" i="64"/>
  <c r="H100" i="64"/>
  <c r="H79" i="64"/>
  <c r="H64" i="64"/>
  <c r="H45" i="64"/>
  <c r="H29" i="64"/>
  <c r="H191" i="64"/>
  <c r="H175" i="64"/>
  <c r="H158" i="64"/>
  <c r="H140" i="64"/>
  <c r="H117" i="64"/>
  <c r="H99" i="64"/>
  <c r="H82" i="64"/>
  <c r="H61" i="64"/>
  <c r="H46" i="64"/>
  <c r="H30" i="64"/>
  <c r="H197" i="64"/>
  <c r="H182" i="64"/>
  <c r="H166" i="64"/>
  <c r="H146" i="64"/>
  <c r="H126" i="64"/>
  <c r="H105" i="64"/>
  <c r="H83" i="64"/>
  <c r="H66" i="64"/>
  <c r="H47" i="64"/>
  <c r="H31" i="64"/>
  <c r="H193" i="64"/>
  <c r="H177" i="64"/>
  <c r="H160" i="64"/>
  <c r="H142" i="64"/>
  <c r="H123" i="64"/>
  <c r="H101" i="64"/>
  <c r="H84" i="64"/>
  <c r="H65" i="64"/>
  <c r="H48" i="64"/>
  <c r="H32" i="64"/>
  <c r="H201" i="64"/>
  <c r="H184" i="64"/>
  <c r="H168" i="64"/>
  <c r="H148" i="64"/>
  <c r="H129" i="64"/>
  <c r="H107" i="64"/>
  <c r="H85" i="64"/>
  <c r="H68" i="64"/>
  <c r="H49" i="64"/>
  <c r="H33" i="64"/>
  <c r="H195" i="64"/>
  <c r="H179" i="64"/>
  <c r="H161" i="64"/>
  <c r="H145" i="64"/>
  <c r="H125" i="64"/>
  <c r="H102" i="64"/>
  <c r="H86" i="64"/>
  <c r="H67" i="64"/>
  <c r="H50" i="64"/>
  <c r="H34" i="64"/>
  <c r="H203" i="64"/>
  <c r="H186" i="64"/>
  <c r="H170" i="64"/>
  <c r="H150" i="64"/>
  <c r="H131" i="64"/>
  <c r="H109" i="64"/>
  <c r="H87" i="64"/>
  <c r="H70" i="64"/>
  <c r="H51" i="64"/>
  <c r="H35" i="64"/>
  <c r="H200" i="64"/>
  <c r="H181" i="64"/>
  <c r="H165" i="64"/>
  <c r="H147" i="64"/>
  <c r="H127" i="64"/>
  <c r="H106" i="64"/>
  <c r="H88" i="64"/>
  <c r="H69" i="64"/>
  <c r="H52" i="64"/>
  <c r="H36" i="64"/>
  <c r="H205" i="64"/>
  <c r="H188" i="64"/>
  <c r="H172" i="64"/>
  <c r="H152" i="64"/>
  <c r="H133" i="64"/>
  <c r="H114" i="64"/>
  <c r="H89" i="64"/>
  <c r="H72" i="64"/>
  <c r="H53" i="64"/>
  <c r="H37" i="64"/>
  <c r="H202" i="64"/>
  <c r="H183" i="64"/>
  <c r="H167" i="64"/>
  <c r="H149" i="64"/>
  <c r="H130" i="64"/>
  <c r="H108" i="64"/>
  <c r="H90" i="64"/>
  <c r="H71" i="64"/>
  <c r="H54" i="64"/>
  <c r="H38" i="64"/>
  <c r="H206" i="64"/>
  <c r="H190" i="64"/>
  <c r="H174" i="64"/>
  <c r="H155" i="64"/>
  <c r="H136" i="64"/>
  <c r="H116" i="64"/>
  <c r="H91" i="64"/>
  <c r="H74" i="64"/>
  <c r="H55" i="64"/>
  <c r="H39" i="64"/>
  <c r="H204" i="64"/>
  <c r="H185" i="64"/>
  <c r="H169" i="64"/>
  <c r="H151" i="64"/>
  <c r="H132" i="64"/>
  <c r="H110" i="64"/>
  <c r="H92" i="64"/>
  <c r="H73" i="64"/>
  <c r="H56" i="64"/>
  <c r="H40" i="64"/>
  <c r="H208" i="64"/>
  <c r="H192" i="64"/>
  <c r="H176" i="64"/>
  <c r="H157" i="64"/>
  <c r="H138" i="64"/>
  <c r="H118" i="64"/>
  <c r="H96" i="64"/>
  <c r="H76" i="64"/>
  <c r="H57" i="64"/>
  <c r="H41" i="64"/>
  <c r="H25" i="64"/>
  <c r="H187" i="64"/>
  <c r="H171" i="64"/>
  <c r="H153" i="64"/>
  <c r="H135" i="64"/>
  <c r="H111" i="64"/>
  <c r="H93" i="64"/>
  <c r="H75" i="64"/>
  <c r="H58" i="64"/>
  <c r="H42" i="64"/>
  <c r="H26" i="64"/>
  <c r="H194" i="64"/>
  <c r="H178" i="64"/>
  <c r="H159" i="64"/>
  <c r="H141" i="64"/>
  <c r="H119" i="64"/>
  <c r="H98" i="64"/>
  <c r="H78" i="64"/>
  <c r="H59" i="64"/>
  <c r="H43" i="64"/>
  <c r="H27" i="64"/>
  <c r="K12" i="68"/>
  <c r="M208" i="68"/>
  <c r="E238" i="1"/>
  <c r="E238" i="102"/>
  <c r="K12" i="83"/>
  <c r="M208" i="83"/>
  <c r="E238" i="94"/>
  <c r="E238" i="54"/>
  <c r="M208" i="84"/>
  <c r="H202" i="84"/>
  <c r="H183" i="84"/>
  <c r="H167" i="84"/>
  <c r="H149" i="84"/>
  <c r="H130" i="84"/>
  <c r="H108" i="84"/>
  <c r="H90" i="84"/>
  <c r="H71" i="84"/>
  <c r="H54" i="84"/>
  <c r="H38" i="84"/>
  <c r="H206" i="84"/>
  <c r="H190" i="84"/>
  <c r="H174" i="84"/>
  <c r="H155" i="84"/>
  <c r="H136" i="84"/>
  <c r="H116" i="84"/>
  <c r="H91" i="84"/>
  <c r="H74" i="84"/>
  <c r="H55" i="84"/>
  <c r="H39" i="84"/>
  <c r="H200" i="84"/>
  <c r="H181" i="84"/>
  <c r="H165" i="84"/>
  <c r="H147" i="84"/>
  <c r="H127" i="84"/>
  <c r="H106" i="84"/>
  <c r="H88" i="84"/>
  <c r="H69" i="84"/>
  <c r="H52" i="84"/>
  <c r="H36" i="84"/>
  <c r="H205" i="84"/>
  <c r="H188" i="84"/>
  <c r="H172" i="84"/>
  <c r="H152" i="84"/>
  <c r="H133" i="84"/>
  <c r="H114" i="84"/>
  <c r="H89" i="84"/>
  <c r="H72" i="84"/>
  <c r="H53" i="84"/>
  <c r="H37" i="84"/>
  <c r="H195" i="84"/>
  <c r="H179" i="84"/>
  <c r="H161" i="84"/>
  <c r="H145" i="84"/>
  <c r="H125" i="84"/>
  <c r="H102" i="84"/>
  <c r="H86" i="84"/>
  <c r="H67" i="84"/>
  <c r="H50" i="84"/>
  <c r="H34" i="84"/>
  <c r="H203" i="84"/>
  <c r="H186" i="84"/>
  <c r="H170" i="84"/>
  <c r="H150" i="84"/>
  <c r="H131" i="84"/>
  <c r="H109" i="84"/>
  <c r="H87" i="84"/>
  <c r="H70" i="84"/>
  <c r="H51" i="84"/>
  <c r="H35" i="84"/>
  <c r="H204" i="84"/>
  <c r="H185" i="84"/>
  <c r="H169" i="84"/>
  <c r="H151" i="84"/>
  <c r="H132" i="84"/>
  <c r="H110" i="84"/>
  <c r="H92" i="84"/>
  <c r="H73" i="84"/>
  <c r="H56" i="84"/>
  <c r="H40" i="84"/>
  <c r="H208" i="84"/>
  <c r="H192" i="84"/>
  <c r="H176" i="84"/>
  <c r="H157" i="84"/>
  <c r="H138" i="84"/>
  <c r="H118" i="84"/>
  <c r="H96" i="84"/>
  <c r="H76" i="84"/>
  <c r="H57" i="84"/>
  <c r="H41" i="84"/>
  <c r="H25" i="84"/>
  <c r="H191" i="84"/>
  <c r="H175" i="84"/>
  <c r="H158" i="84"/>
  <c r="H140" i="84"/>
  <c r="H117" i="84"/>
  <c r="H99" i="84"/>
  <c r="H82" i="84"/>
  <c r="H61" i="84"/>
  <c r="H46" i="84"/>
  <c r="H30" i="84"/>
  <c r="H197" i="84"/>
  <c r="H182" i="84"/>
  <c r="H166" i="84"/>
  <c r="H146" i="84"/>
  <c r="H126" i="84"/>
  <c r="H105" i="84"/>
  <c r="H83" i="84"/>
  <c r="H66" i="84"/>
  <c r="H47" i="84"/>
  <c r="H31" i="84"/>
  <c r="H189" i="84"/>
  <c r="H173" i="84"/>
  <c r="H156" i="84"/>
  <c r="H137" i="84"/>
  <c r="H115" i="84"/>
  <c r="H97" i="84"/>
  <c r="H77" i="84"/>
  <c r="H60" i="84"/>
  <c r="H44" i="84"/>
  <c r="H28" i="84"/>
  <c r="H196" i="84"/>
  <c r="H180" i="84"/>
  <c r="H164" i="84"/>
  <c r="H143" i="84"/>
  <c r="H124" i="84"/>
  <c r="H100" i="84"/>
  <c r="H79" i="84"/>
  <c r="H64" i="84"/>
  <c r="H45" i="84"/>
  <c r="H29" i="84"/>
  <c r="K12" i="84"/>
  <c r="H187" i="84"/>
  <c r="H171" i="84"/>
  <c r="H153" i="84"/>
  <c r="H135" i="84"/>
  <c r="H111" i="84"/>
  <c r="H93" i="84"/>
  <c r="H75" i="84"/>
  <c r="H58" i="84"/>
  <c r="H42" i="84"/>
  <c r="H26" i="84"/>
  <c r="H194" i="84"/>
  <c r="H178" i="84"/>
  <c r="H159" i="84"/>
  <c r="H141" i="84"/>
  <c r="H119" i="84"/>
  <c r="H98" i="84"/>
  <c r="H78" i="84"/>
  <c r="H59" i="84"/>
  <c r="H43" i="84"/>
  <c r="H27" i="84"/>
  <c r="H193" i="84"/>
  <c r="H177" i="84"/>
  <c r="H160" i="84"/>
  <c r="H142" i="84"/>
  <c r="H123" i="84"/>
  <c r="H101" i="84"/>
  <c r="H84" i="84"/>
  <c r="H65" i="84"/>
  <c r="H48" i="84"/>
  <c r="H32" i="84"/>
  <c r="H201" i="84"/>
  <c r="H184" i="84"/>
  <c r="H168" i="84"/>
  <c r="H148" i="84"/>
  <c r="H129" i="84"/>
  <c r="H107" i="84"/>
  <c r="H85" i="84"/>
  <c r="H68" i="84"/>
  <c r="H49" i="84"/>
  <c r="H33" i="84"/>
  <c r="E238" i="20"/>
  <c r="K12" i="14"/>
  <c r="H28" i="14"/>
  <c r="H32" i="14"/>
  <c r="H36" i="14"/>
  <c r="H40" i="14"/>
  <c r="H44" i="14"/>
  <c r="H48" i="14"/>
  <c r="H52" i="14"/>
  <c r="H56" i="14"/>
  <c r="H60" i="14"/>
  <c r="H65" i="14"/>
  <c r="H69" i="14"/>
  <c r="H73" i="14"/>
  <c r="H77" i="14"/>
  <c r="H84" i="14"/>
  <c r="H88" i="14"/>
  <c r="H92" i="14"/>
  <c r="H97" i="14"/>
  <c r="H101" i="14"/>
  <c r="H106" i="14"/>
  <c r="H110" i="14"/>
  <c r="H115" i="14"/>
  <c r="H123" i="14"/>
  <c r="H127" i="14"/>
  <c r="H132" i="14"/>
  <c r="H137" i="14"/>
  <c r="H142" i="14"/>
  <c r="H147" i="14"/>
  <c r="H151" i="14"/>
  <c r="H156" i="14"/>
  <c r="H160" i="14"/>
  <c r="H165" i="14"/>
  <c r="H169" i="14"/>
  <c r="H173" i="14"/>
  <c r="H177" i="14"/>
  <c r="H181" i="14"/>
  <c r="H185" i="14"/>
  <c r="H189" i="14"/>
  <c r="H193" i="14"/>
  <c r="H200" i="14"/>
  <c r="H204" i="14"/>
  <c r="H25" i="14"/>
  <c r="H29" i="14"/>
  <c r="H33" i="14"/>
  <c r="H37" i="14"/>
  <c r="H41" i="14"/>
  <c r="H45" i="14"/>
  <c r="H49" i="14"/>
  <c r="H53" i="14"/>
  <c r="H57" i="14"/>
  <c r="H64" i="14"/>
  <c r="H68" i="14"/>
  <c r="H72" i="14"/>
  <c r="H76" i="14"/>
  <c r="H79" i="14"/>
  <c r="H85" i="14"/>
  <c r="H89" i="14"/>
  <c r="H96" i="14"/>
  <c r="H100" i="14"/>
  <c r="H107" i="14"/>
  <c r="H114" i="14"/>
  <c r="H118" i="14"/>
  <c r="H124" i="14"/>
  <c r="H129" i="14"/>
  <c r="H133" i="14"/>
  <c r="H138" i="14"/>
  <c r="H143" i="14"/>
  <c r="H148" i="14"/>
  <c r="H152" i="14"/>
  <c r="H157" i="14"/>
  <c r="H164" i="14"/>
  <c r="H168" i="14"/>
  <c r="H172" i="14"/>
  <c r="H176" i="14"/>
  <c r="H180" i="14"/>
  <c r="H184" i="14"/>
  <c r="H188" i="14"/>
  <c r="H192" i="14"/>
  <c r="H196" i="14"/>
  <c r="H201" i="14"/>
  <c r="H205" i="14"/>
  <c r="H208" i="14"/>
  <c r="M208" i="14"/>
  <c r="H26" i="14"/>
  <c r="H30" i="14"/>
  <c r="H34" i="14"/>
  <c r="H38" i="14"/>
  <c r="H42" i="14"/>
  <c r="H46" i="14"/>
  <c r="H50" i="14"/>
  <c r="H54" i="14"/>
  <c r="H58" i="14"/>
  <c r="H61" i="14"/>
  <c r="H67" i="14"/>
  <c r="H71" i="14"/>
  <c r="H75" i="14"/>
  <c r="H82" i="14"/>
  <c r="H86" i="14"/>
  <c r="H90" i="14"/>
  <c r="H93" i="14"/>
  <c r="H99" i="14"/>
  <c r="H102" i="14"/>
  <c r="H108" i="14"/>
  <c r="H111" i="14"/>
  <c r="H117" i="14"/>
  <c r="H125" i="14"/>
  <c r="H130" i="14"/>
  <c r="H135" i="14"/>
  <c r="H140" i="14"/>
  <c r="H145" i="14"/>
  <c r="H149" i="14"/>
  <c r="H153" i="14"/>
  <c r="H158" i="14"/>
  <c r="H161" i="14"/>
  <c r="H167" i="14"/>
  <c r="H171" i="14"/>
  <c r="H175" i="14"/>
  <c r="H179" i="14"/>
  <c r="H183" i="14"/>
  <c r="H187" i="14"/>
  <c r="H191" i="14"/>
  <c r="H195" i="14"/>
  <c r="H202" i="14"/>
  <c r="H27" i="14"/>
  <c r="H31" i="14"/>
  <c r="H35" i="14"/>
  <c r="H39" i="14"/>
  <c r="H43" i="14"/>
  <c r="H47" i="14"/>
  <c r="H51" i="14"/>
  <c r="H55" i="14"/>
  <c r="H59" i="14"/>
  <c r="H66" i="14"/>
  <c r="H70" i="14"/>
  <c r="H74" i="14"/>
  <c r="H78" i="14"/>
  <c r="H83" i="14"/>
  <c r="H87" i="14"/>
  <c r="H91" i="14"/>
  <c r="H98" i="14"/>
  <c r="H105" i="14"/>
  <c r="H109" i="14"/>
  <c r="H116" i="14"/>
  <c r="H119" i="14"/>
  <c r="H126" i="14"/>
  <c r="H131" i="14"/>
  <c r="H136" i="14"/>
  <c r="H141" i="14"/>
  <c r="H146" i="14"/>
  <c r="H150" i="14"/>
  <c r="H155" i="14"/>
  <c r="H159" i="14"/>
  <c r="H166" i="14"/>
  <c r="H170" i="14"/>
  <c r="H174" i="14"/>
  <c r="H178" i="14"/>
  <c r="H182" i="14"/>
  <c r="H186" i="14"/>
  <c r="H190" i="14"/>
  <c r="H194" i="14"/>
  <c r="H197" i="14"/>
  <c r="H203" i="14"/>
  <c r="H206" i="14"/>
  <c r="G215" i="14"/>
  <c r="M208" i="136"/>
  <c r="H202" i="136"/>
  <c r="H191" i="136"/>
  <c r="H183" i="136"/>
  <c r="H175" i="136"/>
  <c r="H167" i="136"/>
  <c r="H158" i="136"/>
  <c r="H149" i="136"/>
  <c r="H140" i="136"/>
  <c r="H130" i="136"/>
  <c r="H117" i="136"/>
  <c r="H108" i="136"/>
  <c r="H99" i="136"/>
  <c r="H90" i="136"/>
  <c r="H82" i="136"/>
  <c r="H71" i="136"/>
  <c r="H61" i="136"/>
  <c r="H54" i="136"/>
  <c r="H46" i="136"/>
  <c r="H38" i="136"/>
  <c r="H30" i="136"/>
  <c r="H206" i="136"/>
  <c r="H197" i="136"/>
  <c r="H190" i="136"/>
  <c r="H182" i="136"/>
  <c r="H174" i="136"/>
  <c r="H166" i="136"/>
  <c r="H155" i="136"/>
  <c r="H146" i="136"/>
  <c r="H136" i="136"/>
  <c r="H126" i="136"/>
  <c r="H116" i="136"/>
  <c r="H105" i="136"/>
  <c r="H91" i="136"/>
  <c r="H83" i="136"/>
  <c r="H74" i="136"/>
  <c r="H66" i="136"/>
  <c r="H55" i="136"/>
  <c r="H200" i="136"/>
  <c r="H189" i="136"/>
  <c r="H181" i="136"/>
  <c r="H173" i="136"/>
  <c r="H165" i="136"/>
  <c r="H156" i="136"/>
  <c r="H147" i="136"/>
  <c r="H137" i="136"/>
  <c r="H127" i="136"/>
  <c r="H115" i="136"/>
  <c r="H106" i="136"/>
  <c r="H97" i="136"/>
  <c r="H88" i="136"/>
  <c r="H77" i="136"/>
  <c r="H69" i="136"/>
  <c r="H60" i="136"/>
  <c r="H52" i="136"/>
  <c r="H44" i="136"/>
  <c r="H36" i="136"/>
  <c r="H28" i="136"/>
  <c r="H205" i="136"/>
  <c r="H196" i="136"/>
  <c r="H188" i="136"/>
  <c r="H180" i="136"/>
  <c r="H172" i="136"/>
  <c r="H164" i="136"/>
  <c r="H152" i="136"/>
  <c r="H143" i="136"/>
  <c r="H133" i="136"/>
  <c r="H124" i="136"/>
  <c r="H114" i="136"/>
  <c r="H100" i="136"/>
  <c r="H89" i="136"/>
  <c r="H79" i="136"/>
  <c r="H72" i="136"/>
  <c r="H53" i="136"/>
  <c r="H45" i="136"/>
  <c r="H37" i="136"/>
  <c r="H29" i="136"/>
  <c r="H57" i="136"/>
  <c r="H47" i="136"/>
  <c r="H39" i="136"/>
  <c r="H31" i="136"/>
  <c r="K12" i="136"/>
  <c r="H195" i="136"/>
  <c r="H187" i="136"/>
  <c r="H179" i="136"/>
  <c r="H171" i="136"/>
  <c r="H161" i="136"/>
  <c r="H153" i="136"/>
  <c r="H145" i="136"/>
  <c r="H135" i="136"/>
  <c r="H125" i="136"/>
  <c r="H111" i="136"/>
  <c r="H102" i="136"/>
  <c r="H93" i="136"/>
  <c r="H86" i="136"/>
  <c r="H75" i="136"/>
  <c r="H67" i="136"/>
  <c r="H58" i="136"/>
  <c r="H50" i="136"/>
  <c r="H42" i="136"/>
  <c r="H34" i="136"/>
  <c r="H26" i="136"/>
  <c r="H203" i="136"/>
  <c r="H194" i="136"/>
  <c r="H186" i="136"/>
  <c r="H178" i="136"/>
  <c r="H170" i="136"/>
  <c r="H159" i="136"/>
  <c r="H150" i="136"/>
  <c r="H141" i="136"/>
  <c r="H131" i="136"/>
  <c r="H119" i="136"/>
  <c r="H109" i="136"/>
  <c r="H98" i="136"/>
  <c r="H87" i="136"/>
  <c r="H78" i="136"/>
  <c r="H70" i="136"/>
  <c r="H59" i="136"/>
  <c r="H204" i="136"/>
  <c r="H193" i="136"/>
  <c r="H185" i="136"/>
  <c r="H177" i="136"/>
  <c r="H169" i="136"/>
  <c r="H160" i="136"/>
  <c r="H151" i="136"/>
  <c r="H142" i="136"/>
  <c r="H132" i="136"/>
  <c r="H123" i="136"/>
  <c r="H110" i="136"/>
  <c r="H101" i="136"/>
  <c r="H92" i="136"/>
  <c r="H84" i="136"/>
  <c r="H73" i="136"/>
  <c r="H65" i="136"/>
  <c r="H56" i="136"/>
  <c r="H48" i="136"/>
  <c r="H40" i="136"/>
  <c r="H32" i="136"/>
  <c r="H208" i="136"/>
  <c r="H201" i="136"/>
  <c r="H192" i="136"/>
  <c r="H184" i="136"/>
  <c r="H176" i="136"/>
  <c r="H168" i="136"/>
  <c r="H157" i="136"/>
  <c r="H148" i="136"/>
  <c r="H138" i="136"/>
  <c r="H129" i="136"/>
  <c r="H118" i="136"/>
  <c r="H107" i="136"/>
  <c r="H96" i="136"/>
  <c r="H85" i="136"/>
  <c r="H76" i="136"/>
  <c r="H64" i="136"/>
  <c r="H49" i="136"/>
  <c r="H41" i="136"/>
  <c r="H33" i="136"/>
  <c r="H25" i="136"/>
  <c r="H68" i="136"/>
  <c r="H51" i="136"/>
  <c r="H43" i="136"/>
  <c r="H35" i="136"/>
  <c r="H27" i="136"/>
  <c r="H227" i="106"/>
  <c r="H223" i="106"/>
  <c r="H219" i="106"/>
  <c r="K13" i="106"/>
  <c r="H225" i="106"/>
  <c r="H221" i="106"/>
  <c r="H222" i="106"/>
  <c r="H226" i="106"/>
  <c r="G236" i="106"/>
  <c r="H220" i="106"/>
  <c r="H224" i="106"/>
  <c r="H228" i="106"/>
  <c r="M206" i="106"/>
  <c r="M200" i="106"/>
  <c r="M82" i="106"/>
  <c r="M119" i="106"/>
  <c r="M58" i="106"/>
  <c r="M54" i="106"/>
  <c r="M50" i="106"/>
  <c r="M46" i="106"/>
  <c r="M73" i="106"/>
  <c r="M90" i="106"/>
  <c r="M86" i="106"/>
  <c r="M100" i="106"/>
  <c r="M108" i="106"/>
  <c r="M116" i="106"/>
  <c r="M123" i="106"/>
  <c r="M193" i="106"/>
  <c r="M189" i="106"/>
  <c r="M201" i="106"/>
  <c r="M205" i="106"/>
  <c r="M21" i="106"/>
  <c r="M60" i="106"/>
  <c r="M56" i="106"/>
  <c r="M52" i="106"/>
  <c r="M48" i="106"/>
  <c r="M44" i="106"/>
  <c r="M75" i="106"/>
  <c r="M92" i="106"/>
  <c r="M88" i="106"/>
  <c r="M98" i="106"/>
  <c r="M110" i="106"/>
  <c r="M118" i="106"/>
  <c r="M114" i="106"/>
  <c r="M191" i="106"/>
  <c r="M203" i="106"/>
  <c r="M25" i="106"/>
  <c r="M59" i="106"/>
  <c r="M55" i="106"/>
  <c r="M51" i="106"/>
  <c r="M45" i="106"/>
  <c r="M72" i="106"/>
  <c r="M76" i="106"/>
  <c r="M89" i="106"/>
  <c r="M85" i="106"/>
  <c r="M101" i="106"/>
  <c r="M109" i="106"/>
  <c r="M148" i="106"/>
  <c r="M192" i="106"/>
  <c r="M57" i="106"/>
  <c r="M53" i="106"/>
  <c r="M47" i="106"/>
  <c r="M43" i="106"/>
  <c r="M74" i="106"/>
  <c r="M78" i="106"/>
  <c r="M91" i="106"/>
  <c r="M87" i="106"/>
  <c r="M83" i="106"/>
  <c r="M99" i="106"/>
  <c r="M107" i="106"/>
  <c r="M117" i="106"/>
  <c r="M194" i="106"/>
  <c r="M190" i="106"/>
  <c r="M166" i="106"/>
  <c r="M202" i="106"/>
  <c r="M115" i="106"/>
  <c r="M196" i="106"/>
  <c r="M174" i="106"/>
  <c r="M204" i="106"/>
  <c r="M187" i="106"/>
  <c r="M185" i="106"/>
  <c r="M183" i="106"/>
  <c r="M181" i="106"/>
  <c r="M179" i="106"/>
  <c r="M177" i="106"/>
  <c r="M175" i="106"/>
  <c r="M172" i="106"/>
  <c r="M170" i="106"/>
  <c r="M168" i="106"/>
  <c r="M165" i="106"/>
  <c r="M159" i="106"/>
  <c r="M157" i="106"/>
  <c r="M155" i="106"/>
  <c r="M152" i="106"/>
  <c r="M150" i="106"/>
  <c r="M147" i="106"/>
  <c r="M145" i="106"/>
  <c r="M142" i="106"/>
  <c r="M140" i="106"/>
  <c r="M137" i="106"/>
  <c r="M135" i="106"/>
  <c r="M132" i="106"/>
  <c r="M130" i="106"/>
  <c r="M127" i="106"/>
  <c r="M125" i="106"/>
  <c r="M105" i="106"/>
  <c r="M188" i="106"/>
  <c r="M186" i="106"/>
  <c r="M184" i="106"/>
  <c r="M182" i="106"/>
  <c r="M180" i="106"/>
  <c r="M178" i="106"/>
  <c r="M176" i="106"/>
  <c r="M173" i="106"/>
  <c r="M171" i="106"/>
  <c r="M169" i="106"/>
  <c r="M167" i="106"/>
  <c r="M106" i="106"/>
  <c r="M71" i="106"/>
  <c r="M69" i="106"/>
  <c r="M67" i="106"/>
  <c r="M65" i="106"/>
  <c r="M49" i="106"/>
  <c r="M97" i="106"/>
  <c r="M84" i="106"/>
  <c r="M77" i="106"/>
  <c r="M41" i="106"/>
  <c r="M39" i="106"/>
  <c r="M37" i="106"/>
  <c r="M35" i="106"/>
  <c r="M33" i="106"/>
  <c r="M31" i="106"/>
  <c r="M29" i="106"/>
  <c r="M27" i="106"/>
  <c r="M70" i="106"/>
  <c r="M68" i="106"/>
  <c r="M66" i="106"/>
  <c r="M64" i="106"/>
  <c r="M164" i="106"/>
  <c r="M160" i="106"/>
  <c r="M158" i="106"/>
  <c r="M156" i="106"/>
  <c r="M153" i="106"/>
  <c r="M151" i="106"/>
  <c r="M149" i="106"/>
  <c r="M146" i="106"/>
  <c r="M143" i="106"/>
  <c r="M141" i="106"/>
  <c r="M138" i="106"/>
  <c r="M136" i="106"/>
  <c r="M133" i="106"/>
  <c r="M131" i="106"/>
  <c r="M129" i="106"/>
  <c r="M126" i="106"/>
  <c r="M124" i="106"/>
  <c r="M42" i="106"/>
  <c r="M40" i="106"/>
  <c r="M38" i="106"/>
  <c r="M36" i="106"/>
  <c r="M34" i="106"/>
  <c r="M32" i="106"/>
  <c r="M30" i="106"/>
  <c r="M28" i="106"/>
  <c r="M26" i="106"/>
  <c r="M195" i="106"/>
  <c r="M96" i="106"/>
  <c r="K13" i="92"/>
  <c r="H228" i="92"/>
  <c r="H226" i="92"/>
  <c r="H224" i="92"/>
  <c r="H222" i="92"/>
  <c r="H220" i="92"/>
  <c r="H227" i="92"/>
  <c r="H225" i="92"/>
  <c r="H223" i="92"/>
  <c r="H221" i="92"/>
  <c r="H219" i="92"/>
  <c r="G236" i="92"/>
  <c r="M21" i="92"/>
  <c r="M119" i="92"/>
  <c r="M44" i="92"/>
  <c r="M67" i="92"/>
  <c r="M71" i="92"/>
  <c r="M75" i="92"/>
  <c r="M110" i="92"/>
  <c r="M106" i="92"/>
  <c r="M118" i="92"/>
  <c r="M114" i="92"/>
  <c r="M164" i="92"/>
  <c r="M194" i="92"/>
  <c r="M190" i="92"/>
  <c r="M186" i="92"/>
  <c r="M174" i="92"/>
  <c r="M170" i="92"/>
  <c r="M166" i="92"/>
  <c r="M204" i="92"/>
  <c r="M60" i="92"/>
  <c r="M34" i="92"/>
  <c r="M65" i="92"/>
  <c r="M69" i="92"/>
  <c r="M73" i="92"/>
  <c r="M77" i="92"/>
  <c r="M108" i="92"/>
  <c r="M116" i="92"/>
  <c r="M123" i="92"/>
  <c r="M196" i="92"/>
  <c r="M192" i="92"/>
  <c r="M188" i="92"/>
  <c r="M184" i="92"/>
  <c r="M172" i="92"/>
  <c r="M168" i="92"/>
  <c r="M200" i="92"/>
  <c r="M59" i="92"/>
  <c r="M66" i="92"/>
  <c r="M70" i="92"/>
  <c r="M74" i="92"/>
  <c r="M78" i="92"/>
  <c r="M82" i="92"/>
  <c r="M109" i="92"/>
  <c r="M105" i="92"/>
  <c r="M189" i="92"/>
  <c r="M173" i="92"/>
  <c r="M165" i="92"/>
  <c r="M25" i="92"/>
  <c r="M64" i="92"/>
  <c r="M68" i="92"/>
  <c r="M72" i="92"/>
  <c r="M76" i="92"/>
  <c r="M107" i="92"/>
  <c r="M115" i="92"/>
  <c r="M157" i="92"/>
  <c r="M193" i="92"/>
  <c r="M187" i="92"/>
  <c r="M183" i="92"/>
  <c r="M171" i="92"/>
  <c r="M167" i="92"/>
  <c r="M205" i="92"/>
  <c r="M117" i="92"/>
  <c r="M195" i="92"/>
  <c r="M185" i="92"/>
  <c r="M169" i="92"/>
  <c r="M100" i="92"/>
  <c r="M98" i="92"/>
  <c r="M96" i="92"/>
  <c r="M191" i="92"/>
  <c r="M159" i="92"/>
  <c r="M156" i="92"/>
  <c r="M153" i="92"/>
  <c r="M151" i="92"/>
  <c r="M149" i="92"/>
  <c r="M147" i="92"/>
  <c r="M145" i="92"/>
  <c r="M142" i="92"/>
  <c r="M140" i="92"/>
  <c r="M137" i="92"/>
  <c r="M135" i="92"/>
  <c r="M132" i="92"/>
  <c r="M130" i="92"/>
  <c r="M127" i="92"/>
  <c r="M125" i="92"/>
  <c r="M101" i="92"/>
  <c r="M99" i="92"/>
  <c r="M97" i="92"/>
  <c r="M91" i="92"/>
  <c r="M89" i="92"/>
  <c r="M87" i="92"/>
  <c r="M85" i="92"/>
  <c r="M111" i="92"/>
  <c r="M79" i="92"/>
  <c r="M182" i="92"/>
  <c r="M180" i="92"/>
  <c r="M178" i="92"/>
  <c r="M176" i="92"/>
  <c r="M58" i="92"/>
  <c r="M56" i="92"/>
  <c r="M54" i="92"/>
  <c r="M52" i="92"/>
  <c r="M50" i="92"/>
  <c r="M48" i="92"/>
  <c r="M46" i="92"/>
  <c r="M43" i="92"/>
  <c r="M41" i="92"/>
  <c r="M39" i="92"/>
  <c r="M37" i="92"/>
  <c r="M35" i="92"/>
  <c r="M32" i="92"/>
  <c r="M30" i="92"/>
  <c r="M28" i="92"/>
  <c r="M181" i="92"/>
  <c r="M179" i="92"/>
  <c r="M177" i="92"/>
  <c r="M175" i="92"/>
  <c r="M202" i="92"/>
  <c r="M160" i="92"/>
  <c r="M158" i="92"/>
  <c r="M155" i="92"/>
  <c r="M152" i="92"/>
  <c r="M150" i="92"/>
  <c r="M148" i="92"/>
  <c r="M146" i="92"/>
  <c r="M143" i="92"/>
  <c r="M141" i="92"/>
  <c r="M138" i="92"/>
  <c r="M136" i="92"/>
  <c r="M133" i="92"/>
  <c r="M131" i="92"/>
  <c r="M129" i="92"/>
  <c r="M126" i="92"/>
  <c r="M124" i="92"/>
  <c r="M92" i="92"/>
  <c r="M90" i="92"/>
  <c r="M88" i="92"/>
  <c r="M86" i="92"/>
  <c r="M84" i="92"/>
  <c r="M203" i="92"/>
  <c r="M201" i="92"/>
  <c r="M83" i="92"/>
  <c r="M26" i="92"/>
  <c r="M57" i="92"/>
  <c r="M55" i="92"/>
  <c r="M53" i="92"/>
  <c r="M51" i="92"/>
  <c r="M49" i="92"/>
  <c r="M47" i="92"/>
  <c r="M45" i="92"/>
  <c r="M42" i="92"/>
  <c r="M40" i="92"/>
  <c r="M38" i="92"/>
  <c r="M36" i="92"/>
  <c r="M33" i="92"/>
  <c r="M31" i="92"/>
  <c r="M29" i="92"/>
  <c r="M27" i="92"/>
  <c r="E238" i="90"/>
  <c r="E238" i="113"/>
  <c r="H228" i="31"/>
  <c r="H226" i="31"/>
  <c r="H224" i="31"/>
  <c r="H222" i="31"/>
  <c r="H220" i="31"/>
  <c r="K13" i="31"/>
  <c r="H227" i="31"/>
  <c r="H225" i="31"/>
  <c r="H223" i="31"/>
  <c r="H221" i="31"/>
  <c r="H219" i="31"/>
  <c r="G236" i="31"/>
  <c r="M164" i="31"/>
  <c r="M57" i="31"/>
  <c r="M53" i="31"/>
  <c r="M49" i="31"/>
  <c r="M68" i="31"/>
  <c r="M72" i="31"/>
  <c r="M76" i="31"/>
  <c r="M158" i="31"/>
  <c r="M153" i="31"/>
  <c r="M149" i="31"/>
  <c r="M145" i="31"/>
  <c r="M140" i="31"/>
  <c r="M135" i="31"/>
  <c r="M130" i="31"/>
  <c r="M196" i="31"/>
  <c r="M192" i="31"/>
  <c r="M201" i="31"/>
  <c r="M205" i="31"/>
  <c r="M59" i="31"/>
  <c r="M55" i="31"/>
  <c r="M51" i="31"/>
  <c r="M47" i="31"/>
  <c r="M70" i="31"/>
  <c r="M74" i="31"/>
  <c r="M78" i="31"/>
  <c r="M82" i="31"/>
  <c r="M160" i="31"/>
  <c r="M156" i="31"/>
  <c r="M151" i="31"/>
  <c r="M147" i="31"/>
  <c r="M142" i="31"/>
  <c r="M137" i="31"/>
  <c r="M132" i="31"/>
  <c r="M194" i="31"/>
  <c r="M190" i="31"/>
  <c r="M203" i="31"/>
  <c r="M58" i="31"/>
  <c r="M54" i="31"/>
  <c r="M50" i="31"/>
  <c r="M46" i="31"/>
  <c r="M69" i="31"/>
  <c r="M75" i="31"/>
  <c r="M152" i="31"/>
  <c r="M143" i="31"/>
  <c r="M133" i="31"/>
  <c r="M195" i="31"/>
  <c r="M191" i="31"/>
  <c r="M21" i="31"/>
  <c r="M60" i="31"/>
  <c r="M56" i="31"/>
  <c r="M52" i="31"/>
  <c r="M48" i="31"/>
  <c r="M71" i="31"/>
  <c r="M77" i="31"/>
  <c r="M159" i="31"/>
  <c r="M155" i="31"/>
  <c r="M150" i="31"/>
  <c r="M146" i="31"/>
  <c r="M141" i="31"/>
  <c r="M136" i="31"/>
  <c r="M131" i="31"/>
  <c r="M193" i="31"/>
  <c r="M189" i="31"/>
  <c r="M200" i="31"/>
  <c r="M204" i="31"/>
  <c r="M114" i="31"/>
  <c r="M157" i="31"/>
  <c r="M148" i="31"/>
  <c r="M138" i="31"/>
  <c r="M129" i="31"/>
  <c r="M202" i="31"/>
  <c r="M188" i="31"/>
  <c r="M186" i="31"/>
  <c r="M184" i="31"/>
  <c r="M182" i="31"/>
  <c r="M180" i="31"/>
  <c r="M178" i="31"/>
  <c r="M176" i="31"/>
  <c r="M174" i="31"/>
  <c r="M172" i="31"/>
  <c r="M170" i="31"/>
  <c r="M168" i="31"/>
  <c r="M166" i="31"/>
  <c r="M67" i="31"/>
  <c r="M65" i="31"/>
  <c r="M206" i="31"/>
  <c r="M123" i="31"/>
  <c r="M117" i="31"/>
  <c r="M115" i="31"/>
  <c r="M96" i="31"/>
  <c r="M92" i="31"/>
  <c r="M90" i="31"/>
  <c r="M88" i="31"/>
  <c r="M86" i="31"/>
  <c r="M84" i="31"/>
  <c r="M73" i="31"/>
  <c r="M44" i="31"/>
  <c r="M42" i="31"/>
  <c r="M40" i="31"/>
  <c r="M38" i="31"/>
  <c r="M36" i="31"/>
  <c r="M34" i="31"/>
  <c r="M32" i="31"/>
  <c r="M30" i="31"/>
  <c r="M28" i="31"/>
  <c r="M26" i="31"/>
  <c r="M101" i="31"/>
  <c r="M99" i="31"/>
  <c r="M97" i="31"/>
  <c r="M91" i="31"/>
  <c r="M89" i="31"/>
  <c r="M87" i="31"/>
  <c r="M85" i="31"/>
  <c r="M83" i="31"/>
  <c r="M25" i="31"/>
  <c r="M66" i="31"/>
  <c r="M64" i="31"/>
  <c r="M187" i="31"/>
  <c r="M185" i="31"/>
  <c r="M183" i="31"/>
  <c r="M181" i="31"/>
  <c r="M179" i="31"/>
  <c r="M177" i="31"/>
  <c r="M175" i="31"/>
  <c r="M173" i="31"/>
  <c r="M171" i="31"/>
  <c r="M169" i="31"/>
  <c r="M167" i="31"/>
  <c r="M165" i="31"/>
  <c r="M127" i="31"/>
  <c r="M125" i="31"/>
  <c r="M110" i="31"/>
  <c r="M108" i="31"/>
  <c r="M106" i="31"/>
  <c r="M100" i="31"/>
  <c r="M98" i="31"/>
  <c r="M126" i="31"/>
  <c r="M124" i="31"/>
  <c r="M118" i="31"/>
  <c r="M116" i="31"/>
  <c r="M109" i="31"/>
  <c r="M107" i="31"/>
  <c r="M105" i="31"/>
  <c r="M45" i="31"/>
  <c r="M43" i="31"/>
  <c r="M41" i="31"/>
  <c r="M39" i="31"/>
  <c r="M37" i="31"/>
  <c r="M35" i="31"/>
  <c r="M33" i="31"/>
  <c r="M31" i="31"/>
  <c r="M29" i="31"/>
  <c r="M27" i="31"/>
  <c r="H227" i="63"/>
  <c r="H225" i="63"/>
  <c r="H223" i="63"/>
  <c r="H221" i="63"/>
  <c r="H219" i="63"/>
  <c r="K13" i="63"/>
  <c r="H228" i="63"/>
  <c r="H226" i="63"/>
  <c r="H224" i="63"/>
  <c r="H222" i="63"/>
  <c r="H220" i="63"/>
  <c r="G236" i="63"/>
  <c r="M164" i="63"/>
  <c r="M119" i="63"/>
  <c r="M21" i="63"/>
  <c r="M30" i="63"/>
  <c r="M59" i="63"/>
  <c r="M55" i="63"/>
  <c r="M29" i="63"/>
  <c r="M64" i="63"/>
  <c r="M92" i="63"/>
  <c r="M98" i="63"/>
  <c r="M110" i="63"/>
  <c r="M116" i="63"/>
  <c r="M160" i="63"/>
  <c r="M156" i="63"/>
  <c r="M151" i="63"/>
  <c r="M147" i="63"/>
  <c r="M142" i="63"/>
  <c r="M123" i="63"/>
  <c r="M193" i="63"/>
  <c r="M203" i="63"/>
  <c r="M57" i="63"/>
  <c r="M53" i="63"/>
  <c r="M27" i="63"/>
  <c r="M90" i="63"/>
  <c r="M100" i="63"/>
  <c r="M96" i="63"/>
  <c r="M108" i="63"/>
  <c r="M118" i="63"/>
  <c r="M114" i="63"/>
  <c r="M158" i="63"/>
  <c r="M153" i="63"/>
  <c r="M149" i="63"/>
  <c r="M145" i="63"/>
  <c r="M140" i="63"/>
  <c r="M195" i="63"/>
  <c r="M191" i="63"/>
  <c r="M201" i="63"/>
  <c r="M205" i="63"/>
  <c r="M58" i="63"/>
  <c r="M54" i="63"/>
  <c r="M28" i="63"/>
  <c r="M99" i="63"/>
  <c r="M109" i="63"/>
  <c r="M152" i="63"/>
  <c r="M143" i="63"/>
  <c r="M184" i="63"/>
  <c r="M200" i="63"/>
  <c r="M25" i="63"/>
  <c r="M60" i="63"/>
  <c r="M56" i="63"/>
  <c r="M52" i="63"/>
  <c r="M26" i="63"/>
  <c r="M91" i="63"/>
  <c r="M97" i="63"/>
  <c r="M105" i="63"/>
  <c r="M117" i="63"/>
  <c r="M155" i="63"/>
  <c r="M150" i="63"/>
  <c r="M146" i="63"/>
  <c r="M141" i="63"/>
  <c r="M196" i="63"/>
  <c r="M190" i="63"/>
  <c r="M202" i="63"/>
  <c r="M115" i="63"/>
  <c r="M157" i="63"/>
  <c r="M148" i="63"/>
  <c r="M138" i="63"/>
  <c r="M194" i="63"/>
  <c r="M204" i="63"/>
  <c r="M107" i="63"/>
  <c r="M188" i="63"/>
  <c r="M186" i="63"/>
  <c r="M183" i="63"/>
  <c r="M181" i="63"/>
  <c r="M179" i="63"/>
  <c r="M177" i="63"/>
  <c r="M175" i="63"/>
  <c r="M173" i="63"/>
  <c r="M171" i="63"/>
  <c r="M169" i="63"/>
  <c r="M167" i="63"/>
  <c r="M165" i="63"/>
  <c r="M88" i="63"/>
  <c r="M86" i="63"/>
  <c r="M84" i="63"/>
  <c r="M82" i="63"/>
  <c r="M192" i="63"/>
  <c r="M136" i="63"/>
  <c r="M133" i="63"/>
  <c r="M131" i="63"/>
  <c r="M129" i="63"/>
  <c r="M126" i="63"/>
  <c r="M124" i="63"/>
  <c r="M50" i="63"/>
  <c r="M48" i="63"/>
  <c r="M46" i="63"/>
  <c r="M44" i="63"/>
  <c r="M42" i="63"/>
  <c r="M40" i="63"/>
  <c r="M38" i="63"/>
  <c r="M36" i="63"/>
  <c r="M34" i="63"/>
  <c r="M32" i="63"/>
  <c r="M137" i="63"/>
  <c r="M135" i="63"/>
  <c r="M132" i="63"/>
  <c r="M130" i="63"/>
  <c r="M127" i="63"/>
  <c r="M125" i="63"/>
  <c r="M51" i="63"/>
  <c r="M49" i="63"/>
  <c r="M47" i="63"/>
  <c r="M45" i="63"/>
  <c r="M43" i="63"/>
  <c r="M41" i="63"/>
  <c r="M39" i="63"/>
  <c r="M37" i="63"/>
  <c r="M35" i="63"/>
  <c r="M33" i="63"/>
  <c r="M31" i="63"/>
  <c r="M206" i="63"/>
  <c r="M189" i="63"/>
  <c r="M187" i="63"/>
  <c r="M185" i="63"/>
  <c r="M182" i="63"/>
  <c r="M180" i="63"/>
  <c r="M178" i="63"/>
  <c r="M176" i="63"/>
  <c r="M174" i="63"/>
  <c r="M172" i="63"/>
  <c r="M170" i="63"/>
  <c r="M168" i="63"/>
  <c r="M166" i="63"/>
  <c r="M89" i="63"/>
  <c r="M87" i="63"/>
  <c r="M85" i="63"/>
  <c r="M83" i="63"/>
  <c r="M78" i="63"/>
  <c r="M76" i="63"/>
  <c r="M74" i="63"/>
  <c r="M72" i="63"/>
  <c r="M70" i="63"/>
  <c r="M68" i="63"/>
  <c r="M66" i="63"/>
  <c r="M159" i="63"/>
  <c r="M106" i="63"/>
  <c r="M101" i="63"/>
  <c r="M77" i="63"/>
  <c r="M75" i="63"/>
  <c r="M73" i="63"/>
  <c r="M71" i="63"/>
  <c r="M69" i="63"/>
  <c r="M67" i="63"/>
  <c r="M65" i="63"/>
  <c r="G237" i="72"/>
  <c r="K15" i="72"/>
  <c r="H228" i="72"/>
  <c r="H222" i="72"/>
  <c r="H226" i="72"/>
  <c r="H219" i="72"/>
  <c r="H227" i="72"/>
  <c r="H224" i="72"/>
  <c r="G236" i="72"/>
  <c r="K13" i="72"/>
  <c r="H221" i="72"/>
  <c r="H225" i="72"/>
  <c r="H223" i="72"/>
  <c r="H220" i="72"/>
  <c r="M60" i="72"/>
  <c r="M206" i="72"/>
  <c r="M99" i="72"/>
  <c r="M159" i="72"/>
  <c r="M155" i="72"/>
  <c r="M150" i="72"/>
  <c r="M146" i="72"/>
  <c r="M141" i="72"/>
  <c r="M136" i="72"/>
  <c r="M131" i="72"/>
  <c r="M194" i="72"/>
  <c r="M200" i="72"/>
  <c r="M204" i="72"/>
  <c r="M82" i="72"/>
  <c r="M101" i="72"/>
  <c r="M105" i="72"/>
  <c r="M157" i="72"/>
  <c r="M152" i="72"/>
  <c r="M148" i="72"/>
  <c r="M143" i="72"/>
  <c r="M138" i="72"/>
  <c r="M133" i="72"/>
  <c r="M129" i="72"/>
  <c r="M196" i="72"/>
  <c r="M192" i="72"/>
  <c r="M202" i="72"/>
  <c r="M100" i="72"/>
  <c r="M96" i="72"/>
  <c r="M158" i="72"/>
  <c r="M149" i="72"/>
  <c r="M145" i="72"/>
  <c r="M135" i="72"/>
  <c r="M130" i="72"/>
  <c r="M203" i="72"/>
  <c r="M98" i="72"/>
  <c r="M160" i="72"/>
  <c r="M156" i="72"/>
  <c r="M151" i="72"/>
  <c r="M147" i="72"/>
  <c r="M142" i="72"/>
  <c r="M137" i="72"/>
  <c r="M132" i="72"/>
  <c r="M193" i="72"/>
  <c r="M201" i="72"/>
  <c r="M205" i="72"/>
  <c r="M153" i="72"/>
  <c r="M140" i="72"/>
  <c r="M195" i="72"/>
  <c r="M187" i="72"/>
  <c r="M185" i="72"/>
  <c r="M183" i="72"/>
  <c r="M181" i="72"/>
  <c r="M179" i="72"/>
  <c r="M177" i="72"/>
  <c r="M175" i="72"/>
  <c r="M173" i="72"/>
  <c r="M171" i="72"/>
  <c r="M169" i="72"/>
  <c r="M167" i="72"/>
  <c r="M165" i="72"/>
  <c r="M78" i="72"/>
  <c r="M76" i="72"/>
  <c r="M74" i="72"/>
  <c r="M70" i="72"/>
  <c r="M68" i="72"/>
  <c r="M66" i="72"/>
  <c r="M64" i="72"/>
  <c r="M47" i="72"/>
  <c r="M25" i="72"/>
  <c r="M21" i="72"/>
  <c r="M114" i="72"/>
  <c r="M127" i="72"/>
  <c r="M125" i="72"/>
  <c r="M123" i="72"/>
  <c r="M191" i="72"/>
  <c r="M189" i="72"/>
  <c r="M97" i="72"/>
  <c r="M91" i="72"/>
  <c r="M89" i="72"/>
  <c r="M87" i="72"/>
  <c r="M85" i="72"/>
  <c r="M83" i="72"/>
  <c r="M72" i="72"/>
  <c r="M58" i="72"/>
  <c r="M56" i="72"/>
  <c r="M54" i="72"/>
  <c r="M52" i="72"/>
  <c r="M50" i="72"/>
  <c r="M48" i="72"/>
  <c r="M46" i="72"/>
  <c r="M44" i="72"/>
  <c r="M42" i="72"/>
  <c r="M40" i="72"/>
  <c r="M38" i="72"/>
  <c r="M36" i="72"/>
  <c r="M34" i="72"/>
  <c r="M32" i="72"/>
  <c r="M30" i="72"/>
  <c r="M28" i="72"/>
  <c r="M26" i="72"/>
  <c r="M190" i="72"/>
  <c r="M188" i="72"/>
  <c r="M186" i="72"/>
  <c r="M184" i="72"/>
  <c r="M182" i="72"/>
  <c r="M180" i="72"/>
  <c r="M178" i="72"/>
  <c r="M176" i="72"/>
  <c r="M174" i="72"/>
  <c r="M172" i="72"/>
  <c r="M170" i="72"/>
  <c r="M168" i="72"/>
  <c r="M166" i="72"/>
  <c r="M164" i="72"/>
  <c r="M92" i="72"/>
  <c r="M90" i="72"/>
  <c r="M88" i="72"/>
  <c r="M86" i="72"/>
  <c r="M84" i="72"/>
  <c r="M77" i="72"/>
  <c r="M75" i="72"/>
  <c r="M73" i="72"/>
  <c r="M71" i="72"/>
  <c r="M69" i="72"/>
  <c r="M67" i="72"/>
  <c r="M65" i="72"/>
  <c r="M59" i="72"/>
  <c r="M57" i="72"/>
  <c r="M55" i="72"/>
  <c r="M53" i="72"/>
  <c r="M51" i="72"/>
  <c r="M49" i="72"/>
  <c r="M45" i="72"/>
  <c r="M43" i="72"/>
  <c r="M41" i="72"/>
  <c r="M39" i="72"/>
  <c r="M37" i="72"/>
  <c r="M35" i="72"/>
  <c r="M33" i="72"/>
  <c r="M31" i="72"/>
  <c r="M29" i="72"/>
  <c r="M27" i="72"/>
  <c r="M111" i="72"/>
  <c r="M126" i="72"/>
  <c r="M124" i="72"/>
  <c r="M118" i="72"/>
  <c r="M116" i="72"/>
  <c r="M110" i="72"/>
  <c r="M108" i="72"/>
  <c r="M106" i="72"/>
  <c r="M117" i="72"/>
  <c r="M115" i="72"/>
  <c r="M109" i="72"/>
  <c r="M107" i="72"/>
  <c r="H228" i="10"/>
  <c r="H224" i="10"/>
  <c r="H220" i="10"/>
  <c r="H227" i="10"/>
  <c r="H223" i="10"/>
  <c r="H219" i="10"/>
  <c r="K13" i="10"/>
  <c r="H226" i="10"/>
  <c r="H222" i="10"/>
  <c r="G236" i="10"/>
  <c r="H225" i="10"/>
  <c r="H221" i="10"/>
  <c r="M125" i="10"/>
  <c r="M127" i="10"/>
  <c r="M130" i="10"/>
  <c r="M132" i="10"/>
  <c r="M135" i="10"/>
  <c r="M137" i="10"/>
  <c r="M142" i="10"/>
  <c r="M147" i="10"/>
  <c r="M151" i="10"/>
  <c r="M153" i="10"/>
  <c r="M197" i="10"/>
  <c r="M82" i="10"/>
  <c r="M84" i="10"/>
  <c r="M88" i="10"/>
  <c r="M92" i="10"/>
  <c r="M167" i="10"/>
  <c r="M171" i="10"/>
  <c r="M175" i="10"/>
  <c r="M179" i="10"/>
  <c r="M183" i="10"/>
  <c r="M201" i="10"/>
  <c r="M205" i="10"/>
  <c r="M110" i="10"/>
  <c r="M124" i="10"/>
  <c r="M126" i="10"/>
  <c r="M129" i="10"/>
  <c r="M131" i="10"/>
  <c r="M133" i="10"/>
  <c r="M136" i="10"/>
  <c r="M138" i="10"/>
  <c r="M141" i="10"/>
  <c r="M143" i="10"/>
  <c r="M146" i="10"/>
  <c r="M152" i="10"/>
  <c r="M155" i="10"/>
  <c r="M159" i="10"/>
  <c r="M206" i="10"/>
  <c r="M119" i="10"/>
  <c r="M123" i="10"/>
  <c r="M65" i="10"/>
  <c r="M69" i="10"/>
  <c r="M73" i="10"/>
  <c r="M77" i="10"/>
  <c r="M98" i="10"/>
  <c r="M116" i="10"/>
  <c r="M187" i="10"/>
  <c r="M191" i="10"/>
  <c r="M195" i="10"/>
  <c r="M105" i="10"/>
  <c r="M107" i="10"/>
  <c r="M109" i="10"/>
  <c r="M140" i="10"/>
  <c r="M145" i="10"/>
  <c r="M149" i="10"/>
  <c r="M156" i="10"/>
  <c r="M158" i="10"/>
  <c r="M160" i="10"/>
  <c r="M186" i="10"/>
  <c r="M111" i="10"/>
  <c r="M161" i="10"/>
  <c r="M93" i="10"/>
  <c r="M86" i="10"/>
  <c r="M90" i="10"/>
  <c r="M165" i="10"/>
  <c r="M169" i="10"/>
  <c r="M173" i="10"/>
  <c r="M177" i="10"/>
  <c r="M181" i="10"/>
  <c r="M185" i="10"/>
  <c r="M203" i="10"/>
  <c r="M106" i="10"/>
  <c r="M108" i="10"/>
  <c r="M148" i="10"/>
  <c r="M150" i="10"/>
  <c r="M157" i="10"/>
  <c r="M102" i="10"/>
  <c r="M79" i="10"/>
  <c r="M114" i="10"/>
  <c r="M67" i="10"/>
  <c r="M71" i="10"/>
  <c r="M75" i="10"/>
  <c r="M96" i="10"/>
  <c r="M100" i="10"/>
  <c r="M118" i="10"/>
  <c r="M189" i="10"/>
  <c r="M193" i="10"/>
  <c r="M60" i="10"/>
  <c r="M54" i="10"/>
  <c r="M50" i="10"/>
  <c r="M46" i="10"/>
  <c r="M42" i="10"/>
  <c r="M38" i="10"/>
  <c r="M34" i="10"/>
  <c r="M30" i="10"/>
  <c r="M26" i="10"/>
  <c r="M66" i="10"/>
  <c r="M70" i="10"/>
  <c r="M74" i="10"/>
  <c r="M78" i="10"/>
  <c r="M91" i="10"/>
  <c r="M87" i="10"/>
  <c r="M83" i="10"/>
  <c r="M99" i="10"/>
  <c r="M117" i="10"/>
  <c r="M194" i="10"/>
  <c r="M190" i="10"/>
  <c r="M184" i="10"/>
  <c r="M180" i="10"/>
  <c r="M176" i="10"/>
  <c r="M172" i="10"/>
  <c r="M168" i="10"/>
  <c r="M202" i="10"/>
  <c r="M58" i="10"/>
  <c r="M52" i="10"/>
  <c r="M48" i="10"/>
  <c r="M44" i="10"/>
  <c r="M40" i="10"/>
  <c r="M36" i="10"/>
  <c r="M32" i="10"/>
  <c r="M28" i="10"/>
  <c r="M64" i="10"/>
  <c r="M68" i="10"/>
  <c r="M72" i="10"/>
  <c r="M76" i="10"/>
  <c r="M89" i="10"/>
  <c r="M85" i="10"/>
  <c r="M101" i="10"/>
  <c r="M97" i="10"/>
  <c r="M115" i="10"/>
  <c r="M164" i="10"/>
  <c r="M196" i="10"/>
  <c r="M192" i="10"/>
  <c r="M188" i="10"/>
  <c r="M182" i="10"/>
  <c r="M178" i="10"/>
  <c r="M174" i="10"/>
  <c r="M170" i="10"/>
  <c r="M166" i="10"/>
  <c r="M200" i="10"/>
  <c r="M204" i="10"/>
  <c r="M25" i="10"/>
  <c r="M59" i="10"/>
  <c r="M55" i="10"/>
  <c r="M51" i="10"/>
  <c r="M47" i="10"/>
  <c r="M43" i="10"/>
  <c r="M39" i="10"/>
  <c r="M35" i="10"/>
  <c r="M31" i="10"/>
  <c r="M27" i="10"/>
  <c r="M57" i="10"/>
  <c r="M53" i="10"/>
  <c r="M49" i="10"/>
  <c r="M45" i="10"/>
  <c r="M41" i="10"/>
  <c r="M37" i="10"/>
  <c r="M33" i="10"/>
  <c r="M29" i="10"/>
  <c r="M21" i="10"/>
  <c r="M56" i="10"/>
  <c r="J21" i="97"/>
  <c r="N18" i="172" s="1"/>
  <c r="J17" i="97"/>
  <c r="N14" i="172" s="1"/>
  <c r="K15" i="69"/>
  <c r="H228" i="24"/>
  <c r="H224" i="24"/>
  <c r="H220" i="24"/>
  <c r="H221" i="24"/>
  <c r="H225" i="24"/>
  <c r="K13" i="24"/>
  <c r="H222" i="24"/>
  <c r="H223" i="24"/>
  <c r="H226" i="24"/>
  <c r="H219" i="24"/>
  <c r="H227" i="24"/>
  <c r="G236" i="24"/>
  <c r="M102" i="24"/>
  <c r="M79" i="24"/>
  <c r="M111" i="24"/>
  <c r="M21" i="24"/>
  <c r="M65" i="24"/>
  <c r="M69" i="24"/>
  <c r="M73" i="24"/>
  <c r="M77" i="24"/>
  <c r="M100" i="24"/>
  <c r="M96" i="24"/>
  <c r="M108" i="24"/>
  <c r="M194" i="24"/>
  <c r="M188" i="24"/>
  <c r="M184" i="24"/>
  <c r="M178" i="24"/>
  <c r="M174" i="24"/>
  <c r="M168" i="24"/>
  <c r="M67" i="24"/>
  <c r="M71" i="24"/>
  <c r="M75" i="24"/>
  <c r="M98" i="24"/>
  <c r="M110" i="24"/>
  <c r="M106" i="24"/>
  <c r="M164" i="24"/>
  <c r="M196" i="24"/>
  <c r="M192" i="24"/>
  <c r="M186" i="24"/>
  <c r="M180" i="24"/>
  <c r="M176" i="24"/>
  <c r="M172" i="24"/>
  <c r="M166" i="24"/>
  <c r="M25" i="24"/>
  <c r="M64" i="24"/>
  <c r="M68" i="24"/>
  <c r="M72" i="24"/>
  <c r="M76" i="24"/>
  <c r="M99" i="24"/>
  <c r="M107" i="24"/>
  <c r="M123" i="24"/>
  <c r="M193" i="24"/>
  <c r="M185" i="24"/>
  <c r="M177" i="24"/>
  <c r="M169" i="24"/>
  <c r="M200" i="24"/>
  <c r="M66" i="24"/>
  <c r="M70" i="24"/>
  <c r="M74" i="24"/>
  <c r="M78" i="24"/>
  <c r="M82" i="24"/>
  <c r="M101" i="24"/>
  <c r="M97" i="24"/>
  <c r="M109" i="24"/>
  <c r="M105" i="24"/>
  <c r="M195" i="24"/>
  <c r="M191" i="24"/>
  <c r="M187" i="24"/>
  <c r="M183" i="24"/>
  <c r="M179" i="24"/>
  <c r="M175" i="24"/>
  <c r="M171" i="24"/>
  <c r="M167" i="24"/>
  <c r="M189" i="24"/>
  <c r="M181" i="24"/>
  <c r="M173" i="24"/>
  <c r="M165" i="24"/>
  <c r="M92" i="24"/>
  <c r="M90" i="24"/>
  <c r="M88" i="24"/>
  <c r="M86" i="24"/>
  <c r="M84" i="24"/>
  <c r="M60" i="24"/>
  <c r="M58" i="24"/>
  <c r="M56" i="24"/>
  <c r="M54" i="24"/>
  <c r="M52" i="24"/>
  <c r="M50" i="24"/>
  <c r="M48" i="24"/>
  <c r="M46" i="24"/>
  <c r="M44" i="24"/>
  <c r="M42" i="24"/>
  <c r="M40" i="24"/>
  <c r="M38" i="24"/>
  <c r="M36" i="24"/>
  <c r="M34" i="24"/>
  <c r="M32" i="24"/>
  <c r="M30" i="24"/>
  <c r="M28" i="24"/>
  <c r="M26" i="24"/>
  <c r="M206" i="24"/>
  <c r="M204" i="24"/>
  <c r="M202" i="24"/>
  <c r="M190" i="24"/>
  <c r="M170" i="24"/>
  <c r="M124" i="24"/>
  <c r="M117" i="24"/>
  <c r="M115" i="24"/>
  <c r="M91" i="24"/>
  <c r="M89" i="24"/>
  <c r="M87" i="24"/>
  <c r="M85" i="24"/>
  <c r="M83" i="24"/>
  <c r="M205" i="24"/>
  <c r="M203" i="24"/>
  <c r="M201" i="24"/>
  <c r="M182" i="24"/>
  <c r="M160" i="24"/>
  <c r="M158" i="24"/>
  <c r="M156" i="24"/>
  <c r="M153" i="24"/>
  <c r="M151" i="24"/>
  <c r="M149" i="24"/>
  <c r="M147" i="24"/>
  <c r="M145" i="24"/>
  <c r="M142" i="24"/>
  <c r="M140" i="24"/>
  <c r="M137" i="24"/>
  <c r="M135" i="24"/>
  <c r="M132" i="24"/>
  <c r="M130" i="24"/>
  <c r="M127" i="24"/>
  <c r="M125" i="24"/>
  <c r="M118" i="24"/>
  <c r="M116" i="24"/>
  <c r="M114" i="24"/>
  <c r="M159" i="24"/>
  <c r="M157" i="24"/>
  <c r="M155" i="24"/>
  <c r="M152" i="24"/>
  <c r="M150" i="24"/>
  <c r="M148" i="24"/>
  <c r="M146" i="24"/>
  <c r="M143" i="24"/>
  <c r="M141" i="24"/>
  <c r="M138" i="24"/>
  <c r="M136" i="24"/>
  <c r="M133" i="24"/>
  <c r="M131" i="24"/>
  <c r="M129" i="24"/>
  <c r="M126" i="24"/>
  <c r="M59" i="24"/>
  <c r="M57" i="24"/>
  <c r="M55" i="24"/>
  <c r="M53" i="24"/>
  <c r="M51" i="24"/>
  <c r="M49" i="24"/>
  <c r="M47" i="24"/>
  <c r="M45" i="24"/>
  <c r="M43" i="24"/>
  <c r="M41" i="24"/>
  <c r="M39" i="24"/>
  <c r="M37" i="24"/>
  <c r="M35" i="24"/>
  <c r="M33" i="24"/>
  <c r="M31" i="24"/>
  <c r="M29" i="24"/>
  <c r="M27" i="24"/>
  <c r="H226" i="69"/>
  <c r="H222" i="69"/>
  <c r="K13" i="69"/>
  <c r="H225" i="69"/>
  <c r="H221" i="69"/>
  <c r="H228" i="69"/>
  <c r="H224" i="69"/>
  <c r="H220" i="69"/>
  <c r="H227" i="69"/>
  <c r="H223" i="69"/>
  <c r="H219" i="69"/>
  <c r="G236" i="69"/>
  <c r="M206" i="69"/>
  <c r="M59" i="69"/>
  <c r="M55" i="69"/>
  <c r="M51" i="69"/>
  <c r="M47" i="69"/>
  <c r="M43" i="69"/>
  <c r="M100" i="69"/>
  <c r="M116" i="69"/>
  <c r="M157" i="69"/>
  <c r="M150" i="69"/>
  <c r="M196" i="69"/>
  <c r="M192" i="69"/>
  <c r="M188" i="69"/>
  <c r="M184" i="69"/>
  <c r="M180" i="69"/>
  <c r="M176" i="69"/>
  <c r="M172" i="69"/>
  <c r="M168" i="69"/>
  <c r="M203" i="69"/>
  <c r="M57" i="69"/>
  <c r="M53" i="69"/>
  <c r="M49" i="69"/>
  <c r="M45" i="69"/>
  <c r="M64" i="69"/>
  <c r="M118" i="69"/>
  <c r="M159" i="69"/>
  <c r="M152" i="69"/>
  <c r="M194" i="69"/>
  <c r="M190" i="69"/>
  <c r="M186" i="69"/>
  <c r="M182" i="69"/>
  <c r="M178" i="69"/>
  <c r="M174" i="69"/>
  <c r="M170" i="69"/>
  <c r="M166" i="69"/>
  <c r="M201" i="69"/>
  <c r="M205" i="69"/>
  <c r="M25" i="69"/>
  <c r="M58" i="69"/>
  <c r="M54" i="69"/>
  <c r="M50" i="69"/>
  <c r="M46" i="69"/>
  <c r="M42" i="69"/>
  <c r="M65" i="69"/>
  <c r="M82" i="69"/>
  <c r="M195" i="69"/>
  <c r="M191" i="69"/>
  <c r="M183" i="69"/>
  <c r="M175" i="69"/>
  <c r="M167" i="69"/>
  <c r="M202" i="69"/>
  <c r="M60" i="69"/>
  <c r="M56" i="69"/>
  <c r="M52" i="69"/>
  <c r="M48" i="69"/>
  <c r="M44" i="69"/>
  <c r="M26" i="69"/>
  <c r="M117" i="69"/>
  <c r="M160" i="69"/>
  <c r="M156" i="69"/>
  <c r="M151" i="69"/>
  <c r="M123" i="69"/>
  <c r="M193" i="69"/>
  <c r="M189" i="69"/>
  <c r="M185" i="69"/>
  <c r="M181" i="69"/>
  <c r="M177" i="69"/>
  <c r="M173" i="69"/>
  <c r="M169" i="69"/>
  <c r="M165" i="69"/>
  <c r="M200" i="69"/>
  <c r="M204" i="69"/>
  <c r="M115" i="69"/>
  <c r="M158" i="69"/>
  <c r="M153" i="69"/>
  <c r="M149" i="69"/>
  <c r="M187" i="69"/>
  <c r="M179" i="69"/>
  <c r="M171" i="69"/>
  <c r="M41" i="69"/>
  <c r="M39" i="69"/>
  <c r="M37" i="69"/>
  <c r="M35" i="69"/>
  <c r="M33" i="69"/>
  <c r="M31" i="69"/>
  <c r="M29" i="69"/>
  <c r="M27" i="69"/>
  <c r="M155" i="69"/>
  <c r="M148" i="69"/>
  <c r="M146" i="69"/>
  <c r="M143" i="69"/>
  <c r="M141" i="69"/>
  <c r="M138" i="69"/>
  <c r="M136" i="69"/>
  <c r="M133" i="69"/>
  <c r="M131" i="69"/>
  <c r="M129" i="69"/>
  <c r="M126" i="69"/>
  <c r="M124" i="69"/>
  <c r="M114" i="69"/>
  <c r="M147" i="69"/>
  <c r="M145" i="69"/>
  <c r="M142" i="69"/>
  <c r="M140" i="69"/>
  <c r="M137" i="69"/>
  <c r="M135" i="69"/>
  <c r="M132" i="69"/>
  <c r="M130" i="69"/>
  <c r="M127" i="69"/>
  <c r="M125" i="69"/>
  <c r="M109" i="69"/>
  <c r="M107" i="69"/>
  <c r="M105" i="69"/>
  <c r="M91" i="69"/>
  <c r="M89" i="69"/>
  <c r="M87" i="69"/>
  <c r="M85" i="69"/>
  <c r="M83" i="69"/>
  <c r="M66" i="69"/>
  <c r="M40" i="69"/>
  <c r="M38" i="69"/>
  <c r="M36" i="69"/>
  <c r="M34" i="69"/>
  <c r="M32" i="69"/>
  <c r="M30" i="69"/>
  <c r="M28" i="69"/>
  <c r="M164" i="69"/>
  <c r="M110" i="69"/>
  <c r="M108" i="69"/>
  <c r="M106" i="69"/>
  <c r="M99" i="69"/>
  <c r="M97" i="69"/>
  <c r="M92" i="69"/>
  <c r="M90" i="69"/>
  <c r="M88" i="69"/>
  <c r="M86" i="69"/>
  <c r="M84" i="69"/>
  <c r="M77" i="69"/>
  <c r="M75" i="69"/>
  <c r="M73" i="69"/>
  <c r="M71" i="69"/>
  <c r="M69" i="69"/>
  <c r="M67" i="69"/>
  <c r="M101" i="69"/>
  <c r="M98" i="69"/>
  <c r="M96" i="69"/>
  <c r="M78" i="69"/>
  <c r="M76" i="69"/>
  <c r="M74" i="69"/>
  <c r="M72" i="69"/>
  <c r="M70" i="69"/>
  <c r="M68" i="69"/>
  <c r="K13" i="85"/>
  <c r="H226" i="85"/>
  <c r="H222" i="85"/>
  <c r="H225" i="85"/>
  <c r="H221" i="85"/>
  <c r="H228" i="85"/>
  <c r="H224" i="85"/>
  <c r="H220" i="85"/>
  <c r="H227" i="85"/>
  <c r="H223" i="85"/>
  <c r="M201" i="85"/>
  <c r="M28" i="85"/>
  <c r="M41" i="85"/>
  <c r="M67" i="85"/>
  <c r="M31" i="85"/>
  <c r="M150" i="85"/>
  <c r="M91" i="85"/>
  <c r="M47" i="85"/>
  <c r="M60" i="85"/>
  <c r="M142" i="85"/>
  <c r="M140" i="85"/>
  <c r="M115" i="85"/>
  <c r="M97" i="85"/>
  <c r="M35" i="85"/>
  <c r="M123" i="85"/>
  <c r="M131" i="85"/>
  <c r="M206" i="85"/>
  <c r="M119" i="85"/>
  <c r="M130" i="85"/>
  <c r="M57" i="85"/>
  <c r="M32" i="85"/>
  <c r="M64" i="85"/>
  <c r="M98" i="85"/>
  <c r="M110" i="85"/>
  <c r="M105" i="85"/>
  <c r="M118" i="85"/>
  <c r="M158" i="85"/>
  <c r="M153" i="85"/>
  <c r="M129" i="85"/>
  <c r="M195" i="85"/>
  <c r="M191" i="85"/>
  <c r="M181" i="85"/>
  <c r="M202" i="85"/>
  <c r="M52" i="85"/>
  <c r="M92" i="85"/>
  <c r="M100" i="85"/>
  <c r="M108" i="85"/>
  <c r="M116" i="85"/>
  <c r="M160" i="85"/>
  <c r="M156" i="85"/>
  <c r="M151" i="85"/>
  <c r="M126" i="85"/>
  <c r="M164" i="85"/>
  <c r="M193" i="85"/>
  <c r="M189" i="85"/>
  <c r="M204" i="85"/>
  <c r="M132" i="85"/>
  <c r="M25" i="85"/>
  <c r="M53" i="85"/>
  <c r="M48" i="85"/>
  <c r="M65" i="85"/>
  <c r="M101" i="85"/>
  <c r="M109" i="85"/>
  <c r="M155" i="85"/>
  <c r="M194" i="85"/>
  <c r="M182" i="85"/>
  <c r="M205" i="85"/>
  <c r="M51" i="85"/>
  <c r="M29" i="85"/>
  <c r="M82" i="85"/>
  <c r="M99" i="85"/>
  <c r="M117" i="85"/>
  <c r="M157" i="85"/>
  <c r="M152" i="85"/>
  <c r="M196" i="85"/>
  <c r="M192" i="85"/>
  <c r="M188" i="85"/>
  <c r="M180" i="85"/>
  <c r="M203" i="85"/>
  <c r="M114" i="85"/>
  <c r="M159" i="85"/>
  <c r="M127" i="85"/>
  <c r="M190" i="85"/>
  <c r="M200" i="85"/>
  <c r="M173" i="85"/>
  <c r="M149" i="85"/>
  <c r="M147" i="85"/>
  <c r="M145" i="85"/>
  <c r="M141" i="85"/>
  <c r="M137" i="85"/>
  <c r="M135" i="85"/>
  <c r="M186" i="85"/>
  <c r="M184" i="85"/>
  <c r="M125" i="85"/>
  <c r="M96" i="85"/>
  <c r="M83" i="85"/>
  <c r="M77" i="85"/>
  <c r="M75" i="85"/>
  <c r="M73" i="85"/>
  <c r="M71" i="85"/>
  <c r="M69" i="85"/>
  <c r="M66" i="85"/>
  <c r="M187" i="85"/>
  <c r="M185" i="85"/>
  <c r="M183" i="85"/>
  <c r="M124" i="85"/>
  <c r="M179" i="85"/>
  <c r="M177" i="85"/>
  <c r="M175" i="85"/>
  <c r="M171" i="85"/>
  <c r="M169" i="85"/>
  <c r="M167" i="85"/>
  <c r="M165" i="85"/>
  <c r="M106" i="85"/>
  <c r="M58" i="85"/>
  <c r="M55" i="85"/>
  <c r="M50" i="85"/>
  <c r="M46" i="85"/>
  <c r="M44" i="85"/>
  <c r="M42" i="85"/>
  <c r="M39" i="85"/>
  <c r="M37" i="85"/>
  <c r="M34" i="85"/>
  <c r="M30" i="85"/>
  <c r="M26" i="85"/>
  <c r="M178" i="85"/>
  <c r="M176" i="85"/>
  <c r="M174" i="85"/>
  <c r="M172" i="85"/>
  <c r="M170" i="85"/>
  <c r="M168" i="85"/>
  <c r="M166" i="85"/>
  <c r="M148" i="85"/>
  <c r="M146" i="85"/>
  <c r="M143" i="85"/>
  <c r="M138" i="85"/>
  <c r="M136" i="85"/>
  <c r="M133" i="85"/>
  <c r="M107" i="85"/>
  <c r="M59" i="85"/>
  <c r="M56" i="85"/>
  <c r="M54" i="85"/>
  <c r="M49" i="85"/>
  <c r="M45" i="85"/>
  <c r="M43" i="85"/>
  <c r="M40" i="85"/>
  <c r="M38" i="85"/>
  <c r="M36" i="85"/>
  <c r="M33" i="85"/>
  <c r="M27" i="85"/>
  <c r="M89" i="85"/>
  <c r="M87" i="85"/>
  <c r="M85" i="85"/>
  <c r="M90" i="85"/>
  <c r="M88" i="85"/>
  <c r="M86" i="85"/>
  <c r="M84" i="85"/>
  <c r="M78" i="85"/>
  <c r="M76" i="85"/>
  <c r="M74" i="85"/>
  <c r="M72" i="85"/>
  <c r="M70" i="85"/>
  <c r="M68" i="85"/>
  <c r="G238" i="65"/>
  <c r="K13" i="25"/>
  <c r="H227" i="25"/>
  <c r="H225" i="25"/>
  <c r="H223" i="25"/>
  <c r="H221" i="25"/>
  <c r="H219" i="25"/>
  <c r="H228" i="25"/>
  <c r="H224" i="25"/>
  <c r="H220" i="25"/>
  <c r="H226" i="25"/>
  <c r="H222" i="25"/>
  <c r="G236" i="25"/>
  <c r="M86" i="25"/>
  <c r="M161" i="25"/>
  <c r="M111" i="25"/>
  <c r="M200" i="25"/>
  <c r="M74" i="25"/>
  <c r="M58" i="25"/>
  <c r="M54" i="25"/>
  <c r="M50" i="25"/>
  <c r="M46" i="25"/>
  <c r="M42" i="25"/>
  <c r="M38" i="25"/>
  <c r="M34" i="25"/>
  <c r="M30" i="25"/>
  <c r="M26" i="25"/>
  <c r="M66" i="25"/>
  <c r="M70" i="25"/>
  <c r="M75" i="25"/>
  <c r="M89" i="25"/>
  <c r="M108" i="25"/>
  <c r="M114" i="25"/>
  <c r="M159" i="25"/>
  <c r="M155" i="25"/>
  <c r="M150" i="25"/>
  <c r="M146" i="25"/>
  <c r="M141" i="25"/>
  <c r="M136" i="25"/>
  <c r="M131" i="25"/>
  <c r="M126" i="25"/>
  <c r="M56" i="25"/>
  <c r="M52" i="25"/>
  <c r="M48" i="25"/>
  <c r="M44" i="25"/>
  <c r="M40" i="25"/>
  <c r="M36" i="25"/>
  <c r="M32" i="25"/>
  <c r="M28" i="25"/>
  <c r="M64" i="25"/>
  <c r="M68" i="25"/>
  <c r="M72" i="25"/>
  <c r="M77" i="25"/>
  <c r="M91" i="25"/>
  <c r="M87" i="25"/>
  <c r="M110" i="25"/>
  <c r="M106" i="25"/>
  <c r="M157" i="25"/>
  <c r="M152" i="25"/>
  <c r="M148" i="25"/>
  <c r="M143" i="25"/>
  <c r="M138" i="25"/>
  <c r="M133" i="25"/>
  <c r="M129" i="25"/>
  <c r="M124" i="25"/>
  <c r="M164" i="25"/>
  <c r="M25" i="25"/>
  <c r="M57" i="25"/>
  <c r="M53" i="25"/>
  <c r="M49" i="25"/>
  <c r="M45" i="25"/>
  <c r="M41" i="25"/>
  <c r="M37" i="25"/>
  <c r="M33" i="25"/>
  <c r="M29" i="25"/>
  <c r="M65" i="25"/>
  <c r="M69" i="25"/>
  <c r="M73" i="25"/>
  <c r="M78" i="25"/>
  <c r="M90" i="25"/>
  <c r="M109" i="25"/>
  <c r="M105" i="25"/>
  <c r="M59" i="25"/>
  <c r="M55" i="25"/>
  <c r="M51" i="25"/>
  <c r="M47" i="25"/>
  <c r="M43" i="25"/>
  <c r="M39" i="25"/>
  <c r="M35" i="25"/>
  <c r="M31" i="25"/>
  <c r="M27" i="25"/>
  <c r="M67" i="25"/>
  <c r="M71" i="25"/>
  <c r="M76" i="25"/>
  <c r="M92" i="25"/>
  <c r="M88" i="25"/>
  <c r="M107" i="25"/>
  <c r="M160" i="25"/>
  <c r="M156" i="25"/>
  <c r="M151" i="25"/>
  <c r="M147" i="25"/>
  <c r="M142" i="25"/>
  <c r="M137" i="25"/>
  <c r="M132" i="25"/>
  <c r="M127" i="25"/>
  <c r="M123" i="25"/>
  <c r="M158" i="25"/>
  <c r="M153" i="25"/>
  <c r="M149" i="25"/>
  <c r="M145" i="25"/>
  <c r="M140" i="25"/>
  <c r="M135" i="25"/>
  <c r="M130" i="25"/>
  <c r="M125" i="25"/>
  <c r="M205" i="25"/>
  <c r="M203" i="25"/>
  <c r="M201" i="25"/>
  <c r="M101" i="25"/>
  <c r="M99" i="25"/>
  <c r="M97" i="25"/>
  <c r="M85" i="25"/>
  <c r="M83" i="25"/>
  <c r="M60" i="25"/>
  <c r="M118" i="25"/>
  <c r="M116" i="25"/>
  <c r="M100" i="25"/>
  <c r="M98" i="25"/>
  <c r="M96" i="25"/>
  <c r="M196" i="25"/>
  <c r="M194" i="25"/>
  <c r="M192" i="25"/>
  <c r="M190" i="25"/>
  <c r="M188" i="25"/>
  <c r="M186" i="25"/>
  <c r="M184" i="25"/>
  <c r="M182" i="25"/>
  <c r="M180" i="25"/>
  <c r="M178" i="25"/>
  <c r="M176" i="25"/>
  <c r="M174" i="25"/>
  <c r="M172" i="25"/>
  <c r="M170" i="25"/>
  <c r="M168" i="25"/>
  <c r="M166" i="25"/>
  <c r="M117" i="25"/>
  <c r="M115" i="25"/>
  <c r="M79" i="25"/>
  <c r="M204" i="25"/>
  <c r="M202" i="25"/>
  <c r="M195" i="25"/>
  <c r="M193" i="25"/>
  <c r="M191" i="25"/>
  <c r="M189" i="25"/>
  <c r="M187" i="25"/>
  <c r="M185" i="25"/>
  <c r="M183" i="25"/>
  <c r="M181" i="25"/>
  <c r="M179" i="25"/>
  <c r="M177" i="25"/>
  <c r="M175" i="25"/>
  <c r="M173" i="25"/>
  <c r="M171" i="25"/>
  <c r="M169" i="25"/>
  <c r="M167" i="25"/>
  <c r="M165" i="25"/>
  <c r="M84" i="25"/>
  <c r="M82" i="25"/>
  <c r="K15" i="118"/>
  <c r="K13" i="94"/>
  <c r="H226" i="94"/>
  <c r="H222" i="94"/>
  <c r="H220" i="94"/>
  <c r="H228" i="94"/>
  <c r="H221" i="94"/>
  <c r="H225" i="94"/>
  <c r="H224" i="94"/>
  <c r="H219" i="94"/>
  <c r="H223" i="94"/>
  <c r="H227" i="94"/>
  <c r="G236" i="94"/>
  <c r="M61" i="94"/>
  <c r="M206" i="94"/>
  <c r="M119" i="94"/>
  <c r="M102" i="94"/>
  <c r="M197" i="94"/>
  <c r="M79" i="94"/>
  <c r="M57" i="94"/>
  <c r="M53" i="94"/>
  <c r="M49" i="94"/>
  <c r="M45" i="94"/>
  <c r="M41" i="94"/>
  <c r="M37" i="94"/>
  <c r="M33" i="94"/>
  <c r="M29" i="94"/>
  <c r="M67" i="94"/>
  <c r="M71" i="94"/>
  <c r="M75" i="94"/>
  <c r="M99" i="94"/>
  <c r="M117" i="94"/>
  <c r="M147" i="94"/>
  <c r="M164" i="94"/>
  <c r="M196" i="94"/>
  <c r="M192" i="94"/>
  <c r="M188" i="94"/>
  <c r="M184" i="94"/>
  <c r="M180" i="94"/>
  <c r="M176" i="94"/>
  <c r="M172" i="94"/>
  <c r="M168" i="94"/>
  <c r="M202" i="94"/>
  <c r="M59" i="94"/>
  <c r="M55" i="94"/>
  <c r="M51" i="94"/>
  <c r="M47" i="94"/>
  <c r="M43" i="94"/>
  <c r="M39" i="94"/>
  <c r="M35" i="94"/>
  <c r="M31" i="94"/>
  <c r="M27" i="94"/>
  <c r="M65" i="94"/>
  <c r="M69" i="94"/>
  <c r="M73" i="94"/>
  <c r="M77" i="94"/>
  <c r="M101" i="94"/>
  <c r="M97" i="94"/>
  <c r="M115" i="94"/>
  <c r="M194" i="94"/>
  <c r="M190" i="94"/>
  <c r="M186" i="94"/>
  <c r="M182" i="94"/>
  <c r="M178" i="94"/>
  <c r="M174" i="94"/>
  <c r="M170" i="94"/>
  <c r="M166" i="94"/>
  <c r="M200" i="94"/>
  <c r="M204" i="94"/>
  <c r="M60" i="94"/>
  <c r="M56" i="94"/>
  <c r="M52" i="94"/>
  <c r="M48" i="94"/>
  <c r="M44" i="94"/>
  <c r="M40" i="94"/>
  <c r="M36" i="94"/>
  <c r="M32" i="94"/>
  <c r="M28" i="94"/>
  <c r="M66" i="94"/>
  <c r="M70" i="94"/>
  <c r="M74" i="94"/>
  <c r="M78" i="94"/>
  <c r="M98" i="94"/>
  <c r="M195" i="94"/>
  <c r="M183" i="94"/>
  <c r="M175" i="94"/>
  <c r="M167" i="94"/>
  <c r="M205" i="94"/>
  <c r="M25" i="94"/>
  <c r="M58" i="94"/>
  <c r="M54" i="94"/>
  <c r="M50" i="94"/>
  <c r="M46" i="94"/>
  <c r="M42" i="94"/>
  <c r="M38" i="94"/>
  <c r="M34" i="94"/>
  <c r="M30" i="94"/>
  <c r="M26" i="94"/>
  <c r="M64" i="94"/>
  <c r="M68" i="94"/>
  <c r="M72" i="94"/>
  <c r="M76" i="94"/>
  <c r="M100" i="94"/>
  <c r="M96" i="94"/>
  <c r="M118" i="94"/>
  <c r="M114" i="94"/>
  <c r="M193" i="94"/>
  <c r="M189" i="94"/>
  <c r="M185" i="94"/>
  <c r="M181" i="94"/>
  <c r="M177" i="94"/>
  <c r="M173" i="94"/>
  <c r="M169" i="94"/>
  <c r="M165" i="94"/>
  <c r="M203" i="94"/>
  <c r="M116" i="94"/>
  <c r="M191" i="94"/>
  <c r="M187" i="94"/>
  <c r="M179" i="94"/>
  <c r="M171" i="94"/>
  <c r="M201" i="94"/>
  <c r="M160" i="94"/>
  <c r="M158" i="94"/>
  <c r="M156" i="94"/>
  <c r="M153" i="94"/>
  <c r="M151" i="94"/>
  <c r="M149" i="94"/>
  <c r="M146" i="94"/>
  <c r="M143" i="94"/>
  <c r="M141" i="94"/>
  <c r="M138" i="94"/>
  <c r="M136" i="94"/>
  <c r="M133" i="94"/>
  <c r="M131" i="94"/>
  <c r="M129" i="94"/>
  <c r="M126" i="94"/>
  <c r="M124" i="94"/>
  <c r="M110" i="94"/>
  <c r="M108" i="94"/>
  <c r="M106" i="94"/>
  <c r="M92" i="94"/>
  <c r="M90" i="94"/>
  <c r="M88" i="94"/>
  <c r="M86" i="94"/>
  <c r="M84" i="94"/>
  <c r="M82" i="94"/>
  <c r="M105" i="94"/>
  <c r="M91" i="94"/>
  <c r="M89" i="94"/>
  <c r="M87" i="94"/>
  <c r="M85" i="94"/>
  <c r="M83" i="94"/>
  <c r="M159" i="94"/>
  <c r="M157" i="94"/>
  <c r="M155" i="94"/>
  <c r="M152" i="94"/>
  <c r="M150" i="94"/>
  <c r="M148" i="94"/>
  <c r="M145" i="94"/>
  <c r="M142" i="94"/>
  <c r="M140" i="94"/>
  <c r="M137" i="94"/>
  <c r="M135" i="94"/>
  <c r="M132" i="94"/>
  <c r="M130" i="94"/>
  <c r="M127" i="94"/>
  <c r="M125" i="94"/>
  <c r="M123" i="94"/>
  <c r="M109" i="94"/>
  <c r="M107" i="94"/>
  <c r="H227" i="54"/>
  <c r="H223" i="54"/>
  <c r="H219" i="54"/>
  <c r="H226" i="54"/>
  <c r="H222" i="54"/>
  <c r="K13" i="54"/>
  <c r="H221" i="54"/>
  <c r="H224" i="54"/>
  <c r="G236" i="54"/>
  <c r="H225" i="54"/>
  <c r="H228" i="54"/>
  <c r="H220" i="54"/>
  <c r="M161" i="54"/>
  <c r="M93" i="54"/>
  <c r="M111" i="54"/>
  <c r="M25" i="54"/>
  <c r="M64" i="54"/>
  <c r="M82" i="54"/>
  <c r="M92" i="54"/>
  <c r="M88" i="54"/>
  <c r="M84" i="54"/>
  <c r="M109" i="54"/>
  <c r="M105" i="54"/>
  <c r="M114" i="54"/>
  <c r="M157" i="54"/>
  <c r="M152" i="54"/>
  <c r="M148" i="54"/>
  <c r="M143" i="54"/>
  <c r="M138" i="54"/>
  <c r="M133" i="54"/>
  <c r="M129" i="54"/>
  <c r="M124" i="54"/>
  <c r="M90" i="54"/>
  <c r="M86" i="54"/>
  <c r="M107" i="54"/>
  <c r="M159" i="54"/>
  <c r="M155" i="54"/>
  <c r="M150" i="54"/>
  <c r="M146" i="54"/>
  <c r="M141" i="54"/>
  <c r="M136" i="54"/>
  <c r="M131" i="54"/>
  <c r="M126" i="54"/>
  <c r="M91" i="54"/>
  <c r="M87" i="54"/>
  <c r="M83" i="54"/>
  <c r="M153" i="54"/>
  <c r="M145" i="54"/>
  <c r="M135" i="54"/>
  <c r="M89" i="54"/>
  <c r="M85" i="54"/>
  <c r="M110" i="54"/>
  <c r="M106" i="54"/>
  <c r="M160" i="54"/>
  <c r="M156" i="54"/>
  <c r="M151" i="54"/>
  <c r="M147" i="54"/>
  <c r="M142" i="54"/>
  <c r="M137" i="54"/>
  <c r="M132" i="54"/>
  <c r="M127" i="54"/>
  <c r="M123" i="54"/>
  <c r="M164" i="54"/>
  <c r="M108" i="54"/>
  <c r="M158" i="54"/>
  <c r="M149" i="54"/>
  <c r="M140" i="54"/>
  <c r="M130" i="54"/>
  <c r="M125" i="54"/>
  <c r="M189" i="54"/>
  <c r="M190" i="54"/>
  <c r="M177" i="54"/>
  <c r="M175" i="54"/>
  <c r="M173" i="54"/>
  <c r="M171" i="54"/>
  <c r="M169" i="54"/>
  <c r="M167" i="54"/>
  <c r="M165" i="54"/>
  <c r="M77" i="54"/>
  <c r="M75" i="54"/>
  <c r="M73" i="54"/>
  <c r="M71" i="54"/>
  <c r="M69" i="54"/>
  <c r="M67" i="54"/>
  <c r="M65" i="54"/>
  <c r="M195" i="54"/>
  <c r="M191" i="54"/>
  <c r="M101" i="54"/>
  <c r="M99" i="54"/>
  <c r="M97" i="54"/>
  <c r="M78" i="54"/>
  <c r="M76" i="54"/>
  <c r="M74" i="54"/>
  <c r="M72" i="54"/>
  <c r="M70" i="54"/>
  <c r="M68" i="54"/>
  <c r="M66" i="54"/>
  <c r="M59" i="54"/>
  <c r="M57" i="54"/>
  <c r="M55" i="54"/>
  <c r="M53" i="54"/>
  <c r="M51" i="54"/>
  <c r="M49" i="54"/>
  <c r="M47" i="54"/>
  <c r="M45" i="54"/>
  <c r="M43" i="54"/>
  <c r="M41" i="54"/>
  <c r="M39" i="54"/>
  <c r="M37" i="54"/>
  <c r="M35" i="54"/>
  <c r="M33" i="54"/>
  <c r="M31" i="54"/>
  <c r="M29" i="54"/>
  <c r="M27" i="54"/>
  <c r="M205" i="54"/>
  <c r="M203" i="54"/>
  <c r="M201" i="54"/>
  <c r="M196" i="54"/>
  <c r="M194" i="54"/>
  <c r="M192" i="54"/>
  <c r="M187" i="54"/>
  <c r="M185" i="54"/>
  <c r="M183" i="54"/>
  <c r="M181" i="54"/>
  <c r="M179" i="54"/>
  <c r="M118" i="54"/>
  <c r="M116" i="54"/>
  <c r="M100" i="54"/>
  <c r="M98" i="54"/>
  <c r="M96" i="54"/>
  <c r="M60" i="54"/>
  <c r="M58" i="54"/>
  <c r="M56" i="54"/>
  <c r="M54" i="54"/>
  <c r="M52" i="54"/>
  <c r="M50" i="54"/>
  <c r="M48" i="54"/>
  <c r="M46" i="54"/>
  <c r="M44" i="54"/>
  <c r="M42" i="54"/>
  <c r="M40" i="54"/>
  <c r="M38" i="54"/>
  <c r="M36" i="54"/>
  <c r="M34" i="54"/>
  <c r="M32" i="54"/>
  <c r="M30" i="54"/>
  <c r="M28" i="54"/>
  <c r="M26" i="54"/>
  <c r="M204" i="54"/>
  <c r="M202" i="54"/>
  <c r="M200" i="54"/>
  <c r="M193" i="54"/>
  <c r="M188" i="54"/>
  <c r="M186" i="54"/>
  <c r="M184" i="54"/>
  <c r="M182" i="54"/>
  <c r="M180" i="54"/>
  <c r="M178" i="54"/>
  <c r="M176" i="54"/>
  <c r="M174" i="54"/>
  <c r="M172" i="54"/>
  <c r="M170" i="54"/>
  <c r="M168" i="54"/>
  <c r="M166" i="54"/>
  <c r="M117" i="54"/>
  <c r="M115" i="54"/>
  <c r="K13" i="42"/>
  <c r="H225" i="42"/>
  <c r="H221" i="42"/>
  <c r="H228" i="42"/>
  <c r="H224" i="42"/>
  <c r="H220" i="42"/>
  <c r="H227" i="42"/>
  <c r="H223" i="42"/>
  <c r="H219" i="42"/>
  <c r="H226" i="42"/>
  <c r="H222" i="42"/>
  <c r="G236" i="42"/>
  <c r="M111" i="42"/>
  <c r="M136" i="42"/>
  <c r="M141" i="42"/>
  <c r="M146" i="42"/>
  <c r="M150" i="42"/>
  <c r="M155" i="42"/>
  <c r="M159" i="42"/>
  <c r="M178" i="42"/>
  <c r="M182" i="42"/>
  <c r="M186" i="42"/>
  <c r="M190" i="42"/>
  <c r="M194" i="42"/>
  <c r="M102" i="42"/>
  <c r="M27" i="42"/>
  <c r="M31" i="42"/>
  <c r="M35" i="42"/>
  <c r="M39" i="42"/>
  <c r="M43" i="42"/>
  <c r="M47" i="42"/>
  <c r="M51" i="42"/>
  <c r="M55" i="42"/>
  <c r="M59" i="42"/>
  <c r="M85" i="42"/>
  <c r="M89" i="42"/>
  <c r="M97" i="42"/>
  <c r="M101" i="42"/>
  <c r="M107" i="42"/>
  <c r="M115" i="42"/>
  <c r="M131" i="42"/>
  <c r="M195" i="42"/>
  <c r="M61" i="42"/>
  <c r="M138" i="42"/>
  <c r="M143" i="42"/>
  <c r="M148" i="42"/>
  <c r="M152" i="42"/>
  <c r="M157" i="42"/>
  <c r="M176" i="42"/>
  <c r="M180" i="42"/>
  <c r="M184" i="42"/>
  <c r="M188" i="42"/>
  <c r="M192" i="42"/>
  <c r="M119" i="42"/>
  <c r="M82" i="42"/>
  <c r="M25" i="42"/>
  <c r="M29" i="42"/>
  <c r="M33" i="42"/>
  <c r="M37" i="42"/>
  <c r="M41" i="42"/>
  <c r="M45" i="42"/>
  <c r="M49" i="42"/>
  <c r="M53" i="42"/>
  <c r="M57" i="42"/>
  <c r="M83" i="42"/>
  <c r="M87" i="42"/>
  <c r="M91" i="42"/>
  <c r="M99" i="42"/>
  <c r="M105" i="42"/>
  <c r="M109" i="42"/>
  <c r="M117" i="42"/>
  <c r="M196" i="42"/>
  <c r="M58" i="42"/>
  <c r="M54" i="42"/>
  <c r="M50" i="42"/>
  <c r="M46" i="42"/>
  <c r="M42" i="42"/>
  <c r="M38" i="42"/>
  <c r="M34" i="42"/>
  <c r="M30" i="42"/>
  <c r="M26" i="42"/>
  <c r="M68" i="42"/>
  <c r="M90" i="42"/>
  <c r="M86" i="42"/>
  <c r="M98" i="42"/>
  <c r="M108" i="42"/>
  <c r="M118" i="42"/>
  <c r="M114" i="42"/>
  <c r="M158" i="42"/>
  <c r="M153" i="42"/>
  <c r="M149" i="42"/>
  <c r="M145" i="42"/>
  <c r="M140" i="42"/>
  <c r="M135" i="42"/>
  <c r="M164" i="42"/>
  <c r="M191" i="42"/>
  <c r="M187" i="42"/>
  <c r="M183" i="42"/>
  <c r="M179" i="42"/>
  <c r="M175" i="42"/>
  <c r="M21" i="42"/>
  <c r="M60" i="42"/>
  <c r="M56" i="42"/>
  <c r="M52" i="42"/>
  <c r="M48" i="42"/>
  <c r="M44" i="42"/>
  <c r="M40" i="42"/>
  <c r="M36" i="42"/>
  <c r="M32" i="42"/>
  <c r="M28" i="42"/>
  <c r="M92" i="42"/>
  <c r="M88" i="42"/>
  <c r="M84" i="42"/>
  <c r="M100" i="42"/>
  <c r="M96" i="42"/>
  <c r="M110" i="42"/>
  <c r="M106" i="42"/>
  <c r="M116" i="42"/>
  <c r="M160" i="42"/>
  <c r="M156" i="42"/>
  <c r="M151" i="42"/>
  <c r="M147" i="42"/>
  <c r="M142" i="42"/>
  <c r="M137" i="42"/>
  <c r="M123" i="42"/>
  <c r="M193" i="42"/>
  <c r="M189" i="42"/>
  <c r="M185" i="42"/>
  <c r="M181" i="42"/>
  <c r="M177" i="42"/>
  <c r="M173" i="42"/>
  <c r="M204" i="42"/>
  <c r="M202" i="42"/>
  <c r="M200" i="42"/>
  <c r="M132" i="42"/>
  <c r="M67" i="42"/>
  <c r="M65" i="42"/>
  <c r="M174" i="42"/>
  <c r="M130" i="42"/>
  <c r="M127" i="42"/>
  <c r="M125" i="42"/>
  <c r="M66" i="42"/>
  <c r="M64" i="42"/>
  <c r="M93" i="42"/>
  <c r="M172" i="42"/>
  <c r="M170" i="42"/>
  <c r="M168" i="42"/>
  <c r="M166" i="42"/>
  <c r="M129" i="42"/>
  <c r="M126" i="42"/>
  <c r="M124" i="42"/>
  <c r="M78" i="42"/>
  <c r="M76" i="42"/>
  <c r="M74" i="42"/>
  <c r="M72" i="42"/>
  <c r="M70" i="42"/>
  <c r="M205" i="42"/>
  <c r="M203" i="42"/>
  <c r="M201" i="42"/>
  <c r="M171" i="42"/>
  <c r="M169" i="42"/>
  <c r="M167" i="42"/>
  <c r="M165" i="42"/>
  <c r="M133" i="42"/>
  <c r="M77" i="42"/>
  <c r="M75" i="42"/>
  <c r="M73" i="42"/>
  <c r="M71" i="42"/>
  <c r="M69" i="42"/>
  <c r="H222" i="84"/>
  <c r="K13" i="84"/>
  <c r="H224" i="84"/>
  <c r="H221" i="84"/>
  <c r="H225" i="84"/>
  <c r="H226" i="84"/>
  <c r="H220" i="84"/>
  <c r="H228" i="84"/>
  <c r="H219" i="84"/>
  <c r="H223" i="84"/>
  <c r="H227" i="84"/>
  <c r="M197" i="84"/>
  <c r="M25" i="84"/>
  <c r="M82" i="84"/>
  <c r="M92" i="84"/>
  <c r="M88" i="84"/>
  <c r="M84" i="84"/>
  <c r="M100" i="84"/>
  <c r="M96" i="84"/>
  <c r="M117" i="84"/>
  <c r="M146" i="84"/>
  <c r="M193" i="84"/>
  <c r="M189" i="84"/>
  <c r="M185" i="84"/>
  <c r="M181" i="84"/>
  <c r="M177" i="84"/>
  <c r="M173" i="84"/>
  <c r="M169" i="84"/>
  <c r="M165" i="84"/>
  <c r="M90" i="84"/>
  <c r="M86" i="84"/>
  <c r="M98" i="84"/>
  <c r="M115" i="84"/>
  <c r="M157" i="84"/>
  <c r="M195" i="84"/>
  <c r="M191" i="84"/>
  <c r="M187" i="84"/>
  <c r="M183" i="84"/>
  <c r="M179" i="84"/>
  <c r="M175" i="84"/>
  <c r="M171" i="84"/>
  <c r="M167" i="84"/>
  <c r="M64" i="84"/>
  <c r="M91" i="84"/>
  <c r="M87" i="84"/>
  <c r="M83" i="84"/>
  <c r="M99" i="84"/>
  <c r="M107" i="84"/>
  <c r="M123" i="84"/>
  <c r="M190" i="84"/>
  <c r="M186" i="84"/>
  <c r="M178" i="84"/>
  <c r="M170" i="84"/>
  <c r="M40" i="84"/>
  <c r="M66" i="84"/>
  <c r="M89" i="84"/>
  <c r="M85" i="84"/>
  <c r="M101" i="84"/>
  <c r="M97" i="84"/>
  <c r="M116" i="84"/>
  <c r="M164" i="84"/>
  <c r="M196" i="84"/>
  <c r="M192" i="84"/>
  <c r="M188" i="84"/>
  <c r="M184" i="84"/>
  <c r="M180" i="84"/>
  <c r="M176" i="84"/>
  <c r="M172" i="84"/>
  <c r="M168" i="84"/>
  <c r="M200" i="84"/>
  <c r="M118" i="84"/>
  <c r="M114" i="84"/>
  <c r="M194" i="84"/>
  <c r="M182" i="84"/>
  <c r="M174" i="84"/>
  <c r="M166" i="84"/>
  <c r="M93" i="84"/>
  <c r="M206" i="84"/>
  <c r="M119" i="84"/>
  <c r="M204" i="84"/>
  <c r="M202" i="84"/>
  <c r="M159" i="84"/>
  <c r="M156" i="84"/>
  <c r="M153" i="84"/>
  <c r="M151" i="84"/>
  <c r="M149" i="84"/>
  <c r="M147" i="84"/>
  <c r="M143" i="84"/>
  <c r="M141" i="84"/>
  <c r="M138" i="84"/>
  <c r="M136" i="84"/>
  <c r="M133" i="84"/>
  <c r="M131" i="84"/>
  <c r="M129" i="84"/>
  <c r="M126" i="84"/>
  <c r="M78" i="84"/>
  <c r="M76" i="84"/>
  <c r="M74" i="84"/>
  <c r="M72" i="84"/>
  <c r="M70" i="84"/>
  <c r="M68" i="84"/>
  <c r="M65" i="84"/>
  <c r="M205" i="84"/>
  <c r="M203" i="84"/>
  <c r="M201" i="84"/>
  <c r="M160" i="84"/>
  <c r="M158" i="84"/>
  <c r="M155" i="84"/>
  <c r="M152" i="84"/>
  <c r="M150" i="84"/>
  <c r="M148" i="84"/>
  <c r="M145" i="84"/>
  <c r="M142" i="84"/>
  <c r="M140" i="84"/>
  <c r="M137" i="84"/>
  <c r="M135" i="84"/>
  <c r="M132" i="84"/>
  <c r="M130" i="84"/>
  <c r="M127" i="84"/>
  <c r="M125" i="84"/>
  <c r="M109" i="84"/>
  <c r="M106" i="84"/>
  <c r="M77" i="84"/>
  <c r="M75" i="84"/>
  <c r="M73" i="84"/>
  <c r="M71" i="84"/>
  <c r="M69" i="84"/>
  <c r="M67" i="84"/>
  <c r="M59" i="84"/>
  <c r="M57" i="84"/>
  <c r="M55" i="84"/>
  <c r="M53" i="84"/>
  <c r="M51" i="84"/>
  <c r="M49" i="84"/>
  <c r="M47" i="84"/>
  <c r="M45" i="84"/>
  <c r="M43" i="84"/>
  <c r="M41" i="84"/>
  <c r="M38" i="84"/>
  <c r="M36" i="84"/>
  <c r="M34" i="84"/>
  <c r="M32" i="84"/>
  <c r="M30" i="84"/>
  <c r="M28" i="84"/>
  <c r="M26" i="84"/>
  <c r="M102" i="84"/>
  <c r="M124" i="84"/>
  <c r="M110" i="84"/>
  <c r="M108" i="84"/>
  <c r="M105" i="84"/>
  <c r="M60" i="84"/>
  <c r="M58" i="84"/>
  <c r="M56" i="84"/>
  <c r="M54" i="84"/>
  <c r="M52" i="84"/>
  <c r="M50" i="84"/>
  <c r="M48" i="84"/>
  <c r="M46" i="84"/>
  <c r="M44" i="84"/>
  <c r="M42" i="84"/>
  <c r="M39" i="84"/>
  <c r="M37" i="84"/>
  <c r="M35" i="84"/>
  <c r="M33" i="84"/>
  <c r="M31" i="84"/>
  <c r="M29" i="84"/>
  <c r="M27" i="84"/>
  <c r="H227" i="16"/>
  <c r="H225" i="16"/>
  <c r="H223" i="16"/>
  <c r="H221" i="16"/>
  <c r="H219" i="16"/>
  <c r="K13" i="16"/>
  <c r="H228" i="16"/>
  <c r="H226" i="16"/>
  <c r="H224" i="16"/>
  <c r="H222" i="16"/>
  <c r="H220" i="16"/>
  <c r="G236" i="16"/>
  <c r="M111" i="16"/>
  <c r="M119" i="16"/>
  <c r="M21" i="16"/>
  <c r="M57" i="16"/>
  <c r="M51" i="16"/>
  <c r="M74" i="16"/>
  <c r="M78" i="16"/>
  <c r="M89" i="16"/>
  <c r="M85" i="16"/>
  <c r="M100" i="16"/>
  <c r="M110" i="16"/>
  <c r="M106" i="16"/>
  <c r="M116" i="16"/>
  <c r="M159" i="16"/>
  <c r="M155" i="16"/>
  <c r="M148" i="16"/>
  <c r="M194" i="16"/>
  <c r="M190" i="16"/>
  <c r="M186" i="16"/>
  <c r="M180" i="16"/>
  <c r="M176" i="16"/>
  <c r="M203" i="16"/>
  <c r="M55" i="16"/>
  <c r="M35" i="16"/>
  <c r="M72" i="16"/>
  <c r="M76" i="16"/>
  <c r="M91" i="16"/>
  <c r="M87" i="16"/>
  <c r="M83" i="16"/>
  <c r="M98" i="16"/>
  <c r="M108" i="16"/>
  <c r="M118" i="16"/>
  <c r="M114" i="16"/>
  <c r="M157" i="16"/>
  <c r="M152" i="16"/>
  <c r="M196" i="16"/>
  <c r="M192" i="16"/>
  <c r="M188" i="16"/>
  <c r="M182" i="16"/>
  <c r="M178" i="16"/>
  <c r="M174" i="16"/>
  <c r="M205" i="16"/>
  <c r="M60" i="16"/>
  <c r="M56" i="16"/>
  <c r="M71" i="16"/>
  <c r="M75" i="16"/>
  <c r="M90" i="16"/>
  <c r="M86" i="16"/>
  <c r="M101" i="16"/>
  <c r="M109" i="16"/>
  <c r="M105" i="16"/>
  <c r="M195" i="16"/>
  <c r="M187" i="16"/>
  <c r="M183" i="16"/>
  <c r="M175" i="16"/>
  <c r="M58" i="16"/>
  <c r="M54" i="16"/>
  <c r="M73" i="16"/>
  <c r="M77" i="16"/>
  <c r="M82" i="16"/>
  <c r="M92" i="16"/>
  <c r="M88" i="16"/>
  <c r="M84" i="16"/>
  <c r="M99" i="16"/>
  <c r="M107" i="16"/>
  <c r="M115" i="16"/>
  <c r="M160" i="16"/>
  <c r="M156" i="16"/>
  <c r="M151" i="16"/>
  <c r="M193" i="16"/>
  <c r="M189" i="16"/>
  <c r="M185" i="16"/>
  <c r="M181" i="16"/>
  <c r="M177" i="16"/>
  <c r="M200" i="16"/>
  <c r="M117" i="16"/>
  <c r="M158" i="16"/>
  <c r="M153" i="16"/>
  <c r="M123" i="16"/>
  <c r="M191" i="16"/>
  <c r="M179" i="16"/>
  <c r="M204" i="16"/>
  <c r="M172" i="16"/>
  <c r="M170" i="16"/>
  <c r="M168" i="16"/>
  <c r="M166" i="16"/>
  <c r="M164" i="16"/>
  <c r="M96" i="16"/>
  <c r="M69" i="16"/>
  <c r="M67" i="16"/>
  <c r="M65" i="16"/>
  <c r="M53" i="16"/>
  <c r="M50" i="16"/>
  <c r="M48" i="16"/>
  <c r="M46" i="16"/>
  <c r="M44" i="16"/>
  <c r="M42" i="16"/>
  <c r="M40" i="16"/>
  <c r="M38" i="16"/>
  <c r="M36" i="16"/>
  <c r="M33" i="16"/>
  <c r="M31" i="16"/>
  <c r="M29" i="16"/>
  <c r="M27" i="16"/>
  <c r="M25" i="16"/>
  <c r="M173" i="16"/>
  <c r="M171" i="16"/>
  <c r="M169" i="16"/>
  <c r="M167" i="16"/>
  <c r="M165" i="16"/>
  <c r="M149" i="16"/>
  <c r="M146" i="16"/>
  <c r="M143" i="16"/>
  <c r="M141" i="16"/>
  <c r="M138" i="16"/>
  <c r="M136" i="16"/>
  <c r="M133" i="16"/>
  <c r="M131" i="16"/>
  <c r="M129" i="16"/>
  <c r="M126" i="16"/>
  <c r="M124" i="16"/>
  <c r="M52" i="16"/>
  <c r="M49" i="16"/>
  <c r="M47" i="16"/>
  <c r="M45" i="16"/>
  <c r="M43" i="16"/>
  <c r="M41" i="16"/>
  <c r="M39" i="16"/>
  <c r="M37" i="16"/>
  <c r="M34" i="16"/>
  <c r="M32" i="16"/>
  <c r="M30" i="16"/>
  <c r="M28" i="16"/>
  <c r="M26" i="16"/>
  <c r="M201" i="16"/>
  <c r="M150" i="16"/>
  <c r="M147" i="16"/>
  <c r="M145" i="16"/>
  <c r="M142" i="16"/>
  <c r="M140" i="16"/>
  <c r="M137" i="16"/>
  <c r="M135" i="16"/>
  <c r="M132" i="16"/>
  <c r="M130" i="16"/>
  <c r="M127" i="16"/>
  <c r="M125" i="16"/>
  <c r="M97" i="16"/>
  <c r="M70" i="16"/>
  <c r="M68" i="16"/>
  <c r="M66" i="16"/>
  <c r="M64" i="16"/>
  <c r="M93" i="16"/>
  <c r="M202" i="16"/>
  <c r="M59" i="16"/>
  <c r="M184" i="16"/>
  <c r="H228" i="46"/>
  <c r="H226" i="46"/>
  <c r="H224" i="46"/>
  <c r="H222" i="46"/>
  <c r="H220" i="46"/>
  <c r="K13" i="46"/>
  <c r="H227" i="46"/>
  <c r="H225" i="46"/>
  <c r="H223" i="46"/>
  <c r="H221" i="46"/>
  <c r="H219" i="46"/>
  <c r="G236" i="46"/>
  <c r="M111" i="46"/>
  <c r="M206" i="46"/>
  <c r="M200" i="46"/>
  <c r="M21" i="46"/>
  <c r="M102" i="46"/>
  <c r="M57" i="46"/>
  <c r="M53" i="46"/>
  <c r="M49" i="46"/>
  <c r="M45" i="46"/>
  <c r="M64" i="46"/>
  <c r="M76" i="46"/>
  <c r="M92" i="46"/>
  <c r="M100" i="46"/>
  <c r="M96" i="46"/>
  <c r="M110" i="46"/>
  <c r="M106" i="46"/>
  <c r="M157" i="46"/>
  <c r="M150" i="46"/>
  <c r="M146" i="46"/>
  <c r="M138" i="46"/>
  <c r="M133" i="46"/>
  <c r="M129" i="46"/>
  <c r="M124" i="46"/>
  <c r="M193" i="46"/>
  <c r="M201" i="46"/>
  <c r="M205" i="46"/>
  <c r="M25" i="46"/>
  <c r="M59" i="46"/>
  <c r="M55" i="46"/>
  <c r="M51" i="46"/>
  <c r="M47" i="46"/>
  <c r="M74" i="46"/>
  <c r="M78" i="46"/>
  <c r="M82" i="46"/>
  <c r="M90" i="46"/>
  <c r="M98" i="46"/>
  <c r="M108" i="46"/>
  <c r="M159" i="46"/>
  <c r="M155" i="46"/>
  <c r="M148" i="46"/>
  <c r="M141" i="46"/>
  <c r="M136" i="46"/>
  <c r="M131" i="46"/>
  <c r="M126" i="46"/>
  <c r="M195" i="46"/>
  <c r="M191" i="46"/>
  <c r="M203" i="46"/>
  <c r="M60" i="46"/>
  <c r="M56" i="46"/>
  <c r="M52" i="46"/>
  <c r="M48" i="46"/>
  <c r="M44" i="46"/>
  <c r="M75" i="46"/>
  <c r="M91" i="46"/>
  <c r="M101" i="46"/>
  <c r="M97" i="46"/>
  <c r="M107" i="46"/>
  <c r="M156" i="46"/>
  <c r="M151" i="46"/>
  <c r="M142" i="46"/>
  <c r="M132" i="46"/>
  <c r="M196" i="46"/>
  <c r="M58" i="46"/>
  <c r="M54" i="46"/>
  <c r="M50" i="46"/>
  <c r="M46" i="46"/>
  <c r="M77" i="46"/>
  <c r="M89" i="46"/>
  <c r="M99" i="46"/>
  <c r="M109" i="46"/>
  <c r="M105" i="46"/>
  <c r="M158" i="46"/>
  <c r="M153" i="46"/>
  <c r="M149" i="46"/>
  <c r="M145" i="46"/>
  <c r="M140" i="46"/>
  <c r="M135" i="46"/>
  <c r="M130" i="46"/>
  <c r="M125" i="46"/>
  <c r="M194" i="46"/>
  <c r="M190" i="46"/>
  <c r="M202" i="46"/>
  <c r="M114" i="46"/>
  <c r="M160" i="46"/>
  <c r="M147" i="46"/>
  <c r="M137" i="46"/>
  <c r="M127" i="46"/>
  <c r="M123" i="46"/>
  <c r="M164" i="46"/>
  <c r="M192" i="46"/>
  <c r="M204" i="46"/>
  <c r="M88" i="46"/>
  <c r="M86" i="46"/>
  <c r="M84" i="46"/>
  <c r="M197" i="46"/>
  <c r="M188" i="46"/>
  <c r="M186" i="46"/>
  <c r="M184" i="46"/>
  <c r="M182" i="46"/>
  <c r="M180" i="46"/>
  <c r="M178" i="46"/>
  <c r="M176" i="46"/>
  <c r="M174" i="46"/>
  <c r="M172" i="46"/>
  <c r="M170" i="46"/>
  <c r="M168" i="46"/>
  <c r="M166" i="46"/>
  <c r="M143" i="46"/>
  <c r="M115" i="46"/>
  <c r="M73" i="46"/>
  <c r="M71" i="46"/>
  <c r="M69" i="46"/>
  <c r="M67" i="46"/>
  <c r="M65" i="46"/>
  <c r="M87" i="46"/>
  <c r="M85" i="46"/>
  <c r="M83" i="46"/>
  <c r="M189" i="46"/>
  <c r="M187" i="46"/>
  <c r="M185" i="46"/>
  <c r="M183" i="46"/>
  <c r="M181" i="46"/>
  <c r="M179" i="46"/>
  <c r="M177" i="46"/>
  <c r="M175" i="46"/>
  <c r="M173" i="46"/>
  <c r="M171" i="46"/>
  <c r="M169" i="46"/>
  <c r="M167" i="46"/>
  <c r="M165" i="46"/>
  <c r="M152" i="46"/>
  <c r="M118" i="46"/>
  <c r="M116" i="46"/>
  <c r="M72" i="46"/>
  <c r="M70" i="46"/>
  <c r="M68" i="46"/>
  <c r="M66" i="46"/>
  <c r="M42" i="46"/>
  <c r="M40" i="46"/>
  <c r="M38" i="46"/>
  <c r="M36" i="46"/>
  <c r="M34" i="46"/>
  <c r="M32" i="46"/>
  <c r="M30" i="46"/>
  <c r="M28" i="46"/>
  <c r="M26" i="46"/>
  <c r="M117" i="46"/>
  <c r="M43" i="46"/>
  <c r="M41" i="46"/>
  <c r="M39" i="46"/>
  <c r="M37" i="46"/>
  <c r="M35" i="46"/>
  <c r="M33" i="46"/>
  <c r="M31" i="46"/>
  <c r="M29" i="46"/>
  <c r="M27" i="46"/>
  <c r="H227" i="21"/>
  <c r="H223" i="21"/>
  <c r="H219" i="21"/>
  <c r="H226" i="21"/>
  <c r="H222" i="21"/>
  <c r="G236" i="21"/>
  <c r="K13" i="21"/>
  <c r="H225" i="21"/>
  <c r="H221" i="21"/>
  <c r="H228" i="21"/>
  <c r="H224" i="21"/>
  <c r="H220" i="21"/>
  <c r="M205" i="21"/>
  <c r="M41" i="21"/>
  <c r="M56" i="21"/>
  <c r="M74" i="21"/>
  <c r="M86" i="21"/>
  <c r="M65" i="21"/>
  <c r="M64" i="21"/>
  <c r="M21" i="21"/>
  <c r="M197" i="21"/>
  <c r="M60" i="21"/>
  <c r="M111" i="21"/>
  <c r="M25" i="21"/>
  <c r="M28" i="21"/>
  <c r="M90" i="21"/>
  <c r="M108" i="21"/>
  <c r="M117" i="21"/>
  <c r="M157" i="21"/>
  <c r="M152" i="21"/>
  <c r="M193" i="21"/>
  <c r="M189" i="21"/>
  <c r="M185" i="21"/>
  <c r="M181" i="21"/>
  <c r="M177" i="21"/>
  <c r="M173" i="21"/>
  <c r="M169" i="21"/>
  <c r="M165" i="21"/>
  <c r="M201" i="21"/>
  <c r="M58" i="21"/>
  <c r="M26" i="21"/>
  <c r="M76" i="21"/>
  <c r="M82" i="21"/>
  <c r="M92" i="21"/>
  <c r="M88" i="21"/>
  <c r="M110" i="21"/>
  <c r="M106" i="21"/>
  <c r="M159" i="21"/>
  <c r="M155" i="21"/>
  <c r="M150" i="21"/>
  <c r="M195" i="21"/>
  <c r="M191" i="21"/>
  <c r="M187" i="21"/>
  <c r="M183" i="21"/>
  <c r="M179" i="21"/>
  <c r="M175" i="21"/>
  <c r="M171" i="21"/>
  <c r="M167" i="21"/>
  <c r="M57" i="21"/>
  <c r="M27" i="21"/>
  <c r="M77" i="21"/>
  <c r="M91" i="21"/>
  <c r="M87" i="21"/>
  <c r="M107" i="21"/>
  <c r="M160" i="21"/>
  <c r="M151" i="21"/>
  <c r="M194" i="21"/>
  <c r="M186" i="21"/>
  <c r="M178" i="21"/>
  <c r="M174" i="21"/>
  <c r="M166" i="21"/>
  <c r="M59" i="21"/>
  <c r="M29" i="21"/>
  <c r="M75" i="21"/>
  <c r="M89" i="21"/>
  <c r="M109" i="21"/>
  <c r="M105" i="21"/>
  <c r="M116" i="21"/>
  <c r="M158" i="21"/>
  <c r="M153" i="21"/>
  <c r="M123" i="21"/>
  <c r="M164" i="21"/>
  <c r="M196" i="21"/>
  <c r="M192" i="21"/>
  <c r="M188" i="21"/>
  <c r="M184" i="21"/>
  <c r="M180" i="21"/>
  <c r="M176" i="21"/>
  <c r="M172" i="21"/>
  <c r="M168" i="21"/>
  <c r="M200" i="21"/>
  <c r="M118" i="21"/>
  <c r="M114" i="21"/>
  <c r="M156" i="21"/>
  <c r="M190" i="21"/>
  <c r="M182" i="21"/>
  <c r="M170" i="21"/>
  <c r="M101" i="21"/>
  <c r="M99" i="21"/>
  <c r="M97" i="21"/>
  <c r="M83" i="21"/>
  <c r="M100" i="21"/>
  <c r="M98" i="21"/>
  <c r="M96" i="21"/>
  <c r="M66" i="21"/>
  <c r="M204" i="21"/>
  <c r="M202" i="21"/>
  <c r="M203" i="21"/>
  <c r="M55" i="21"/>
  <c r="M53" i="21"/>
  <c r="M51" i="21"/>
  <c r="M49" i="21"/>
  <c r="M47" i="21"/>
  <c r="M45" i="21"/>
  <c r="M43" i="21"/>
  <c r="M40" i="21"/>
  <c r="M38" i="21"/>
  <c r="M36" i="21"/>
  <c r="M34" i="21"/>
  <c r="M32" i="21"/>
  <c r="M30" i="21"/>
  <c r="M149" i="21"/>
  <c r="M147" i="21"/>
  <c r="M145" i="21"/>
  <c r="M142" i="21"/>
  <c r="M140" i="21"/>
  <c r="M137" i="21"/>
  <c r="M135" i="21"/>
  <c r="M132" i="21"/>
  <c r="M130" i="21"/>
  <c r="M127" i="21"/>
  <c r="M125" i="21"/>
  <c r="M115" i="21"/>
  <c r="M85" i="21"/>
  <c r="M73" i="21"/>
  <c r="M71" i="21"/>
  <c r="M69" i="21"/>
  <c r="M67" i="21"/>
  <c r="M148" i="21"/>
  <c r="M146" i="21"/>
  <c r="M143" i="21"/>
  <c r="M141" i="21"/>
  <c r="M138" i="21"/>
  <c r="M136" i="21"/>
  <c r="M133" i="21"/>
  <c r="M131" i="21"/>
  <c r="M129" i="21"/>
  <c r="M126" i="21"/>
  <c r="M124" i="21"/>
  <c r="M84" i="21"/>
  <c r="M78" i="21"/>
  <c r="M72" i="21"/>
  <c r="M70" i="21"/>
  <c r="M68" i="21"/>
  <c r="M54" i="21"/>
  <c r="M52" i="21"/>
  <c r="M50" i="21"/>
  <c r="M48" i="21"/>
  <c r="M46" i="21"/>
  <c r="M44" i="21"/>
  <c r="M42" i="21"/>
  <c r="M39" i="21"/>
  <c r="M37" i="21"/>
  <c r="M35" i="21"/>
  <c r="M33" i="21"/>
  <c r="M31" i="21"/>
  <c r="K13" i="66"/>
  <c r="H225" i="66"/>
  <c r="H221" i="66"/>
  <c r="H228" i="66"/>
  <c r="H224" i="66"/>
  <c r="H220" i="66"/>
  <c r="H227" i="66"/>
  <c r="H223" i="66"/>
  <c r="H219" i="66"/>
  <c r="H226" i="66"/>
  <c r="H222" i="66"/>
  <c r="G236" i="66"/>
  <c r="M206" i="66"/>
  <c r="M119" i="66"/>
  <c r="M54" i="66"/>
  <c r="M50" i="66"/>
  <c r="M38" i="66"/>
  <c r="M34" i="66"/>
  <c r="M30" i="66"/>
  <c r="M26" i="66"/>
  <c r="M77" i="66"/>
  <c r="M82" i="66"/>
  <c r="M92" i="66"/>
  <c r="M108" i="66"/>
  <c r="M117" i="66"/>
  <c r="M155" i="66"/>
  <c r="M124" i="66"/>
  <c r="M195" i="66"/>
  <c r="M191" i="66"/>
  <c r="M201" i="66"/>
  <c r="M205" i="66"/>
  <c r="M25" i="66"/>
  <c r="M52" i="66"/>
  <c r="M48" i="66"/>
  <c r="M36" i="66"/>
  <c r="M32" i="66"/>
  <c r="M28" i="66"/>
  <c r="M75" i="66"/>
  <c r="M88" i="66"/>
  <c r="M106" i="66"/>
  <c r="M115" i="66"/>
  <c r="M157" i="66"/>
  <c r="M152" i="66"/>
  <c r="M193" i="66"/>
  <c r="M189" i="66"/>
  <c r="M203" i="66"/>
  <c r="M55" i="66"/>
  <c r="M51" i="66"/>
  <c r="M39" i="66"/>
  <c r="M35" i="66"/>
  <c r="M31" i="66"/>
  <c r="M27" i="66"/>
  <c r="M74" i="66"/>
  <c r="M78" i="66"/>
  <c r="M83" i="66"/>
  <c r="M107" i="66"/>
  <c r="M153" i="66"/>
  <c r="M190" i="66"/>
  <c r="M202" i="66"/>
  <c r="M53" i="66"/>
  <c r="M49" i="66"/>
  <c r="M37" i="66"/>
  <c r="M33" i="66"/>
  <c r="M29" i="66"/>
  <c r="M64" i="66"/>
  <c r="M76" i="66"/>
  <c r="M105" i="66"/>
  <c r="M118" i="66"/>
  <c r="M114" i="66"/>
  <c r="M156" i="66"/>
  <c r="M151" i="66"/>
  <c r="M123" i="66"/>
  <c r="M196" i="66"/>
  <c r="M192" i="66"/>
  <c r="M188" i="66"/>
  <c r="M200" i="66"/>
  <c r="M204" i="66"/>
  <c r="M116" i="66"/>
  <c r="M125" i="66"/>
  <c r="M194" i="66"/>
  <c r="M160" i="66"/>
  <c r="M158" i="66"/>
  <c r="M150" i="66"/>
  <c r="M148" i="66"/>
  <c r="M146" i="66"/>
  <c r="M143" i="66"/>
  <c r="M141" i="66"/>
  <c r="M138" i="66"/>
  <c r="M136" i="66"/>
  <c r="M133" i="66"/>
  <c r="M131" i="66"/>
  <c r="M129" i="66"/>
  <c r="M126" i="66"/>
  <c r="M100" i="66"/>
  <c r="M98" i="66"/>
  <c r="M96" i="66"/>
  <c r="M72" i="66"/>
  <c r="M70" i="66"/>
  <c r="M68" i="66"/>
  <c r="M66" i="66"/>
  <c r="M59" i="66"/>
  <c r="M57" i="66"/>
  <c r="M47" i="66"/>
  <c r="M45" i="66"/>
  <c r="M43" i="66"/>
  <c r="M41" i="66"/>
  <c r="M187" i="66"/>
  <c r="M185" i="66"/>
  <c r="M183" i="66"/>
  <c r="M181" i="66"/>
  <c r="M179" i="66"/>
  <c r="M177" i="66"/>
  <c r="M175" i="66"/>
  <c r="M173" i="66"/>
  <c r="M171" i="66"/>
  <c r="M169" i="66"/>
  <c r="M167" i="66"/>
  <c r="M165" i="66"/>
  <c r="M159" i="66"/>
  <c r="M149" i="66"/>
  <c r="M147" i="66"/>
  <c r="M145" i="66"/>
  <c r="M142" i="66"/>
  <c r="M140" i="66"/>
  <c r="M137" i="66"/>
  <c r="M135" i="66"/>
  <c r="M132" i="66"/>
  <c r="M130" i="66"/>
  <c r="M127" i="66"/>
  <c r="M110" i="66"/>
  <c r="M101" i="66"/>
  <c r="M99" i="66"/>
  <c r="M97" i="66"/>
  <c r="M90" i="66"/>
  <c r="M87" i="66"/>
  <c r="M85" i="66"/>
  <c r="M73" i="66"/>
  <c r="M71" i="66"/>
  <c r="M69" i="66"/>
  <c r="M67" i="66"/>
  <c r="M65" i="66"/>
  <c r="M186" i="66"/>
  <c r="M184" i="66"/>
  <c r="M182" i="66"/>
  <c r="M180" i="66"/>
  <c r="M178" i="66"/>
  <c r="M176" i="66"/>
  <c r="M174" i="66"/>
  <c r="M172" i="66"/>
  <c r="M170" i="66"/>
  <c r="M168" i="66"/>
  <c r="M166" i="66"/>
  <c r="M164" i="66"/>
  <c r="M109" i="66"/>
  <c r="M91" i="66"/>
  <c r="M89" i="66"/>
  <c r="M86" i="66"/>
  <c r="M84" i="66"/>
  <c r="M60" i="66"/>
  <c r="M58" i="66"/>
  <c r="M56" i="66"/>
  <c r="M46" i="66"/>
  <c r="M44" i="66"/>
  <c r="M42" i="66"/>
  <c r="M40" i="66"/>
  <c r="K15" i="71"/>
  <c r="G237" i="71"/>
  <c r="C218" i="97"/>
  <c r="H15" i="97"/>
  <c r="H24" i="97"/>
  <c r="M14" i="97"/>
  <c r="K15" i="120"/>
  <c r="E238" i="98"/>
  <c r="K15" i="94"/>
  <c r="E238" i="47"/>
  <c r="G215" i="67"/>
  <c r="G236" i="133"/>
  <c r="G215" i="58"/>
  <c r="G236" i="14"/>
  <c r="M208" i="39"/>
  <c r="E238" i="46"/>
  <c r="G215" i="47"/>
  <c r="G211" i="97"/>
  <c r="M102" i="87"/>
  <c r="M93" i="20"/>
  <c r="M61" i="79"/>
  <c r="M197" i="39"/>
  <c r="M61" i="59"/>
  <c r="M93" i="87"/>
  <c r="M79" i="90"/>
  <c r="M61" i="113"/>
  <c r="M197" i="111"/>
  <c r="M161" i="79"/>
  <c r="M197" i="136"/>
  <c r="M79" i="59"/>
  <c r="M79" i="45"/>
  <c r="M61" i="58"/>
  <c r="M206" i="86"/>
  <c r="M206" i="58"/>
  <c r="M161" i="60"/>
  <c r="M206" i="55"/>
  <c r="M206" i="33"/>
  <c r="M61" i="33"/>
  <c r="M161" i="136"/>
  <c r="M161" i="59"/>
  <c r="M111" i="32"/>
  <c r="M206" i="136"/>
  <c r="M161" i="102"/>
  <c r="M21" i="90"/>
  <c r="E238" i="92"/>
  <c r="M21" i="136"/>
  <c r="G215" i="79"/>
  <c r="E238" i="31"/>
  <c r="E238" i="10"/>
  <c r="E238" i="24"/>
  <c r="E238" i="69"/>
  <c r="E238" i="25"/>
  <c r="G215" i="86"/>
  <c r="G237" i="84"/>
  <c r="M21" i="84"/>
  <c r="E238" i="33"/>
  <c r="E238" i="45"/>
  <c r="E238" i="58"/>
  <c r="M21" i="66"/>
  <c r="G236" i="71"/>
  <c r="M208" i="85"/>
  <c r="M208" i="25"/>
  <c r="M208" i="20"/>
  <c r="M208" i="46"/>
  <c r="M208" i="54"/>
  <c r="M208" i="106"/>
  <c r="M208" i="55"/>
  <c r="K12" i="55"/>
  <c r="H187" i="55"/>
  <c r="H171" i="55"/>
  <c r="H153" i="55"/>
  <c r="H135" i="55"/>
  <c r="H111" i="55"/>
  <c r="H93" i="55"/>
  <c r="H75" i="55"/>
  <c r="H58" i="55"/>
  <c r="H42" i="55"/>
  <c r="H26" i="55"/>
  <c r="H194" i="55"/>
  <c r="H178" i="55"/>
  <c r="H159" i="55"/>
  <c r="H141" i="55"/>
  <c r="H119" i="55"/>
  <c r="H98" i="55"/>
  <c r="H78" i="55"/>
  <c r="H59" i="55"/>
  <c r="H43" i="55"/>
  <c r="H27" i="55"/>
  <c r="H193" i="55"/>
  <c r="H177" i="55"/>
  <c r="H160" i="55"/>
  <c r="H142" i="55"/>
  <c r="H123" i="55"/>
  <c r="H101" i="55"/>
  <c r="H84" i="55"/>
  <c r="H65" i="55"/>
  <c r="H48" i="55"/>
  <c r="H32" i="55"/>
  <c r="H201" i="55"/>
  <c r="H184" i="55"/>
  <c r="H168" i="55"/>
  <c r="H148" i="55"/>
  <c r="H129" i="55"/>
  <c r="H107" i="55"/>
  <c r="H85" i="55"/>
  <c r="H68" i="55"/>
  <c r="H49" i="55"/>
  <c r="H33" i="55"/>
  <c r="H202" i="55"/>
  <c r="H183" i="55"/>
  <c r="H167" i="55"/>
  <c r="H149" i="55"/>
  <c r="H130" i="55"/>
  <c r="H108" i="55"/>
  <c r="H90" i="55"/>
  <c r="H71" i="55"/>
  <c r="H54" i="55"/>
  <c r="H38" i="55"/>
  <c r="H206" i="55"/>
  <c r="H190" i="55"/>
  <c r="H174" i="55"/>
  <c r="H155" i="55"/>
  <c r="H136" i="55"/>
  <c r="H116" i="55"/>
  <c r="H91" i="55"/>
  <c r="H74" i="55"/>
  <c r="H55" i="55"/>
  <c r="H39" i="55"/>
  <c r="H200" i="55"/>
  <c r="H181" i="55"/>
  <c r="H165" i="55"/>
  <c r="H147" i="55"/>
  <c r="H127" i="55"/>
  <c r="H106" i="55"/>
  <c r="H88" i="55"/>
  <c r="H69" i="55"/>
  <c r="H52" i="55"/>
  <c r="H36" i="55"/>
  <c r="H205" i="55"/>
  <c r="H188" i="55"/>
  <c r="H172" i="55"/>
  <c r="H152" i="55"/>
  <c r="H133" i="55"/>
  <c r="H114" i="55"/>
  <c r="H89" i="55"/>
  <c r="H72" i="55"/>
  <c r="H53" i="55"/>
  <c r="H37" i="55"/>
  <c r="G215" i="55"/>
  <c r="H195" i="55"/>
  <c r="H179" i="55"/>
  <c r="H161" i="55"/>
  <c r="H145" i="55"/>
  <c r="H125" i="55"/>
  <c r="H102" i="55"/>
  <c r="H86" i="55"/>
  <c r="H67" i="55"/>
  <c r="H50" i="55"/>
  <c r="H34" i="55"/>
  <c r="H203" i="55"/>
  <c r="H186" i="55"/>
  <c r="H170" i="55"/>
  <c r="H150" i="55"/>
  <c r="H131" i="55"/>
  <c r="H109" i="55"/>
  <c r="H87" i="55"/>
  <c r="H70" i="55"/>
  <c r="H51" i="55"/>
  <c r="H35" i="55"/>
  <c r="H204" i="55"/>
  <c r="H185" i="55"/>
  <c r="H169" i="55"/>
  <c r="H151" i="55"/>
  <c r="H132" i="55"/>
  <c r="H110" i="55"/>
  <c r="H92" i="55"/>
  <c r="H73" i="55"/>
  <c r="H56" i="55"/>
  <c r="H40" i="55"/>
  <c r="H208" i="55"/>
  <c r="H192" i="55"/>
  <c r="H176" i="55"/>
  <c r="H157" i="55"/>
  <c r="H138" i="55"/>
  <c r="H118" i="55"/>
  <c r="H96" i="55"/>
  <c r="H76" i="55"/>
  <c r="H57" i="55"/>
  <c r="H41" i="55"/>
  <c r="H25" i="55"/>
  <c r="H191" i="55"/>
  <c r="H175" i="55"/>
  <c r="H158" i="55"/>
  <c r="H140" i="55"/>
  <c r="H117" i="55"/>
  <c r="H99" i="55"/>
  <c r="H82" i="55"/>
  <c r="H61" i="55"/>
  <c r="H46" i="55"/>
  <c r="H30" i="55"/>
  <c r="H197" i="55"/>
  <c r="H182" i="55"/>
  <c r="H166" i="55"/>
  <c r="H146" i="55"/>
  <c r="H126" i="55"/>
  <c r="H105" i="55"/>
  <c r="H83" i="55"/>
  <c r="H66" i="55"/>
  <c r="H47" i="55"/>
  <c r="H31" i="55"/>
  <c r="H189" i="55"/>
  <c r="H173" i="55"/>
  <c r="H156" i="55"/>
  <c r="H137" i="55"/>
  <c r="H115" i="55"/>
  <c r="H97" i="55"/>
  <c r="H77" i="55"/>
  <c r="H60" i="55"/>
  <c r="H44" i="55"/>
  <c r="H28" i="55"/>
  <c r="H196" i="55"/>
  <c r="H180" i="55"/>
  <c r="H164" i="55"/>
  <c r="H143" i="55"/>
  <c r="H124" i="55"/>
  <c r="H100" i="55"/>
  <c r="H79" i="55"/>
  <c r="H64" i="55"/>
  <c r="H45" i="55"/>
  <c r="H29" i="55"/>
  <c r="M208" i="135"/>
  <c r="H204" i="135"/>
  <c r="H193" i="135"/>
  <c r="H185" i="135"/>
  <c r="H177" i="135"/>
  <c r="H169" i="135"/>
  <c r="H160" i="135"/>
  <c r="H151" i="135"/>
  <c r="H142" i="135"/>
  <c r="H132" i="135"/>
  <c r="H123" i="135"/>
  <c r="H110" i="135"/>
  <c r="H101" i="135"/>
  <c r="H92" i="135"/>
  <c r="H84" i="135"/>
  <c r="H73" i="135"/>
  <c r="H65" i="135"/>
  <c r="H56" i="135"/>
  <c r="H48" i="135"/>
  <c r="H40" i="135"/>
  <c r="H32" i="135"/>
  <c r="H208" i="135"/>
  <c r="H201" i="135"/>
  <c r="H192" i="135"/>
  <c r="H184" i="135"/>
  <c r="H176" i="135"/>
  <c r="H168" i="135"/>
  <c r="H157" i="135"/>
  <c r="H148" i="135"/>
  <c r="H138" i="135"/>
  <c r="H129" i="135"/>
  <c r="H118" i="135"/>
  <c r="H107" i="135"/>
  <c r="H96" i="135"/>
  <c r="H85" i="135"/>
  <c r="H76" i="135"/>
  <c r="H68" i="135"/>
  <c r="H57" i="135"/>
  <c r="H49" i="135"/>
  <c r="H41" i="135"/>
  <c r="H33" i="135"/>
  <c r="H25" i="135"/>
  <c r="H202" i="135"/>
  <c r="H191" i="135"/>
  <c r="H183" i="135"/>
  <c r="H175" i="135"/>
  <c r="H167" i="135"/>
  <c r="H158" i="135"/>
  <c r="H149" i="135"/>
  <c r="H140" i="135"/>
  <c r="H130" i="135"/>
  <c r="H117" i="135"/>
  <c r="H108" i="135"/>
  <c r="H99" i="135"/>
  <c r="H90" i="135"/>
  <c r="H82" i="135"/>
  <c r="H71" i="135"/>
  <c r="H61" i="135"/>
  <c r="H54" i="135"/>
  <c r="H46" i="135"/>
  <c r="H38" i="135"/>
  <c r="H30" i="135"/>
  <c r="H206" i="135"/>
  <c r="H197" i="135"/>
  <c r="H190" i="135"/>
  <c r="H182" i="135"/>
  <c r="H174" i="135"/>
  <c r="H166" i="135"/>
  <c r="H155" i="135"/>
  <c r="H146" i="135"/>
  <c r="H136" i="135"/>
  <c r="H126" i="135"/>
  <c r="H116" i="135"/>
  <c r="H105" i="135"/>
  <c r="H91" i="135"/>
  <c r="H83" i="135"/>
  <c r="H74" i="135"/>
  <c r="H66" i="135"/>
  <c r="H55" i="135"/>
  <c r="H47" i="135"/>
  <c r="H39" i="135"/>
  <c r="H31" i="135"/>
  <c r="K12" i="135"/>
  <c r="H200" i="135"/>
  <c r="H189" i="135"/>
  <c r="H181" i="135"/>
  <c r="H173" i="135"/>
  <c r="H165" i="135"/>
  <c r="H156" i="135"/>
  <c r="H147" i="135"/>
  <c r="H137" i="135"/>
  <c r="H127" i="135"/>
  <c r="H115" i="135"/>
  <c r="H106" i="135"/>
  <c r="H97" i="135"/>
  <c r="H88" i="135"/>
  <c r="H77" i="135"/>
  <c r="H69" i="135"/>
  <c r="H60" i="135"/>
  <c r="H52" i="135"/>
  <c r="H44" i="135"/>
  <c r="H36" i="135"/>
  <c r="H28" i="135"/>
  <c r="H205" i="135"/>
  <c r="H196" i="135"/>
  <c r="H188" i="135"/>
  <c r="H180" i="135"/>
  <c r="H172" i="135"/>
  <c r="H164" i="135"/>
  <c r="H152" i="135"/>
  <c r="H143" i="135"/>
  <c r="H133" i="135"/>
  <c r="H124" i="135"/>
  <c r="H114" i="135"/>
  <c r="H100" i="135"/>
  <c r="H89" i="135"/>
  <c r="H79" i="135"/>
  <c r="H72" i="135"/>
  <c r="H64" i="135"/>
  <c r="H53" i="135"/>
  <c r="H45" i="135"/>
  <c r="H37" i="135"/>
  <c r="H29" i="135"/>
  <c r="H195" i="135"/>
  <c r="H187" i="135"/>
  <c r="H179" i="135"/>
  <c r="H171" i="135"/>
  <c r="H161" i="135"/>
  <c r="H153" i="135"/>
  <c r="H145" i="135"/>
  <c r="H135" i="135"/>
  <c r="H125" i="135"/>
  <c r="H111" i="135"/>
  <c r="H102" i="135"/>
  <c r="H93" i="135"/>
  <c r="H86" i="135"/>
  <c r="H75" i="135"/>
  <c r="H67" i="135"/>
  <c r="H58" i="135"/>
  <c r="H50" i="135"/>
  <c r="H42" i="135"/>
  <c r="H34" i="135"/>
  <c r="H26" i="135"/>
  <c r="H203" i="135"/>
  <c r="H194" i="135"/>
  <c r="H186" i="135"/>
  <c r="H178" i="135"/>
  <c r="H170" i="135"/>
  <c r="H159" i="135"/>
  <c r="H150" i="135"/>
  <c r="H141" i="135"/>
  <c r="H131" i="135"/>
  <c r="H119" i="135"/>
  <c r="H109" i="135"/>
  <c r="H98" i="135"/>
  <c r="H87" i="135"/>
  <c r="H78" i="135"/>
  <c r="H70" i="135"/>
  <c r="H59" i="135"/>
  <c r="H51" i="135"/>
  <c r="H43" i="135"/>
  <c r="H35" i="135"/>
  <c r="H27" i="135"/>
  <c r="M208" i="16"/>
  <c r="K12" i="16"/>
  <c r="H195" i="16"/>
  <c r="H187" i="16"/>
  <c r="H179" i="16"/>
  <c r="H171" i="16"/>
  <c r="H161" i="16"/>
  <c r="H153" i="16"/>
  <c r="H145" i="16"/>
  <c r="H135" i="16"/>
  <c r="H125" i="16"/>
  <c r="H111" i="16"/>
  <c r="H102" i="16"/>
  <c r="H93" i="16"/>
  <c r="H86" i="16"/>
  <c r="H75" i="16"/>
  <c r="H67" i="16"/>
  <c r="H58" i="16"/>
  <c r="H50" i="16"/>
  <c r="H42" i="16"/>
  <c r="H34" i="16"/>
  <c r="H26" i="16"/>
  <c r="H203" i="16"/>
  <c r="H194" i="16"/>
  <c r="H186" i="16"/>
  <c r="H178" i="16"/>
  <c r="H170" i="16"/>
  <c r="H159" i="16"/>
  <c r="H150" i="16"/>
  <c r="H141" i="16"/>
  <c r="H131" i="16"/>
  <c r="H119" i="16"/>
  <c r="H109" i="16"/>
  <c r="H98" i="16"/>
  <c r="H87" i="16"/>
  <c r="H78" i="16"/>
  <c r="H70" i="16"/>
  <c r="H59" i="16"/>
  <c r="H51" i="16"/>
  <c r="H43" i="16"/>
  <c r="H35" i="16"/>
  <c r="H27" i="16"/>
  <c r="H200" i="16"/>
  <c r="H189" i="16"/>
  <c r="H181" i="16"/>
  <c r="H173" i="16"/>
  <c r="H165" i="16"/>
  <c r="H156" i="16"/>
  <c r="H147" i="16"/>
  <c r="H137" i="16"/>
  <c r="H127" i="16"/>
  <c r="H115" i="16"/>
  <c r="H106" i="16"/>
  <c r="H97" i="16"/>
  <c r="H88" i="16"/>
  <c r="H77" i="16"/>
  <c r="H69" i="16"/>
  <c r="H60" i="16"/>
  <c r="H52" i="16"/>
  <c r="H44" i="16"/>
  <c r="H36" i="16"/>
  <c r="H28" i="16"/>
  <c r="H205" i="16"/>
  <c r="H196" i="16"/>
  <c r="H188" i="16"/>
  <c r="H180" i="16"/>
  <c r="H172" i="16"/>
  <c r="H164" i="16"/>
  <c r="H152" i="16"/>
  <c r="H143" i="16"/>
  <c r="H133" i="16"/>
  <c r="H124" i="16"/>
  <c r="H114" i="16"/>
  <c r="H100" i="16"/>
  <c r="H89" i="16"/>
  <c r="H79" i="16"/>
  <c r="H72" i="16"/>
  <c r="H64" i="16"/>
  <c r="H53" i="16"/>
  <c r="H45" i="16"/>
  <c r="H37" i="16"/>
  <c r="H29" i="16"/>
  <c r="G215" i="16"/>
  <c r="H202" i="16"/>
  <c r="H191" i="16"/>
  <c r="H183" i="16"/>
  <c r="H175" i="16"/>
  <c r="H167" i="16"/>
  <c r="H158" i="16"/>
  <c r="H149" i="16"/>
  <c r="H140" i="16"/>
  <c r="H130" i="16"/>
  <c r="H117" i="16"/>
  <c r="H108" i="16"/>
  <c r="H99" i="16"/>
  <c r="H90" i="16"/>
  <c r="H82" i="16"/>
  <c r="H71" i="16"/>
  <c r="H61" i="16"/>
  <c r="H54" i="16"/>
  <c r="H46" i="16"/>
  <c r="H38" i="16"/>
  <c r="H30" i="16"/>
  <c r="H206" i="16"/>
  <c r="H197" i="16"/>
  <c r="H190" i="16"/>
  <c r="H182" i="16"/>
  <c r="H174" i="16"/>
  <c r="H166" i="16"/>
  <c r="H155" i="16"/>
  <c r="H146" i="16"/>
  <c r="H136" i="16"/>
  <c r="H126" i="16"/>
  <c r="H116" i="16"/>
  <c r="H105" i="16"/>
  <c r="H91" i="16"/>
  <c r="H83" i="16"/>
  <c r="H74" i="16"/>
  <c r="H66" i="16"/>
  <c r="H55" i="16"/>
  <c r="H47" i="16"/>
  <c r="H39" i="16"/>
  <c r="H31" i="16"/>
  <c r="H204" i="16"/>
  <c r="H193" i="16"/>
  <c r="H185" i="16"/>
  <c r="H177" i="16"/>
  <c r="H169" i="16"/>
  <c r="H160" i="16"/>
  <c r="H151" i="16"/>
  <c r="H142" i="16"/>
  <c r="H132" i="16"/>
  <c r="H123" i="16"/>
  <c r="H110" i="16"/>
  <c r="H101" i="16"/>
  <c r="H92" i="16"/>
  <c r="H84" i="16"/>
  <c r="H73" i="16"/>
  <c r="H65" i="16"/>
  <c r="H56" i="16"/>
  <c r="H48" i="16"/>
  <c r="H40" i="16"/>
  <c r="H32" i="16"/>
  <c r="H208" i="16"/>
  <c r="H201" i="16"/>
  <c r="H192" i="16"/>
  <c r="H184" i="16"/>
  <c r="H176" i="16"/>
  <c r="H168" i="16"/>
  <c r="H157" i="16"/>
  <c r="H148" i="16"/>
  <c r="H138" i="16"/>
  <c r="H129" i="16"/>
  <c r="H118" i="16"/>
  <c r="H107" i="16"/>
  <c r="H96" i="16"/>
  <c r="H85" i="16"/>
  <c r="H76" i="16"/>
  <c r="H68" i="16"/>
  <c r="H57" i="16"/>
  <c r="H49" i="16"/>
  <c r="H41" i="16"/>
  <c r="H33" i="16"/>
  <c r="H25" i="16"/>
  <c r="M208" i="59"/>
  <c r="K12" i="59"/>
  <c r="H195" i="59"/>
  <c r="H187" i="59"/>
  <c r="H179" i="59"/>
  <c r="H171" i="59"/>
  <c r="H161" i="59"/>
  <c r="H153" i="59"/>
  <c r="H145" i="59"/>
  <c r="H135" i="59"/>
  <c r="H125" i="59"/>
  <c r="H111" i="59"/>
  <c r="H102" i="59"/>
  <c r="H93" i="59"/>
  <c r="H86" i="59"/>
  <c r="H75" i="59"/>
  <c r="H67" i="59"/>
  <c r="H58" i="59"/>
  <c r="H50" i="59"/>
  <c r="H42" i="59"/>
  <c r="H34" i="59"/>
  <c r="H26" i="59"/>
  <c r="H203" i="59"/>
  <c r="H194" i="59"/>
  <c r="H186" i="59"/>
  <c r="H178" i="59"/>
  <c r="H170" i="59"/>
  <c r="H159" i="59"/>
  <c r="H150" i="59"/>
  <c r="H141" i="59"/>
  <c r="H131" i="59"/>
  <c r="H119" i="59"/>
  <c r="H109" i="59"/>
  <c r="H98" i="59"/>
  <c r="H87" i="59"/>
  <c r="H78" i="59"/>
  <c r="H70" i="59"/>
  <c r="H59" i="59"/>
  <c r="H51" i="59"/>
  <c r="H43" i="59"/>
  <c r="H35" i="59"/>
  <c r="H27" i="59"/>
  <c r="H200" i="59"/>
  <c r="H189" i="59"/>
  <c r="H181" i="59"/>
  <c r="H173" i="59"/>
  <c r="H165" i="59"/>
  <c r="H156" i="59"/>
  <c r="H147" i="59"/>
  <c r="H137" i="59"/>
  <c r="H127" i="59"/>
  <c r="H115" i="59"/>
  <c r="H106" i="59"/>
  <c r="H97" i="59"/>
  <c r="H88" i="59"/>
  <c r="H77" i="59"/>
  <c r="H69" i="59"/>
  <c r="H60" i="59"/>
  <c r="H52" i="59"/>
  <c r="H44" i="59"/>
  <c r="H36" i="59"/>
  <c r="H28" i="59"/>
  <c r="H205" i="59"/>
  <c r="H196" i="59"/>
  <c r="H188" i="59"/>
  <c r="H180" i="59"/>
  <c r="H172" i="59"/>
  <c r="H164" i="59"/>
  <c r="H152" i="59"/>
  <c r="H143" i="59"/>
  <c r="H133" i="59"/>
  <c r="H124" i="59"/>
  <c r="H114" i="59"/>
  <c r="H100" i="59"/>
  <c r="H89" i="59"/>
  <c r="H79" i="59"/>
  <c r="H72" i="59"/>
  <c r="H64" i="59"/>
  <c r="H53" i="59"/>
  <c r="H45" i="59"/>
  <c r="H37" i="59"/>
  <c r="H29" i="59"/>
  <c r="H202" i="59"/>
  <c r="H191" i="59"/>
  <c r="H183" i="59"/>
  <c r="H175" i="59"/>
  <c r="H167" i="59"/>
  <c r="H158" i="59"/>
  <c r="H149" i="59"/>
  <c r="H140" i="59"/>
  <c r="H130" i="59"/>
  <c r="H117" i="59"/>
  <c r="H108" i="59"/>
  <c r="H99" i="59"/>
  <c r="H90" i="59"/>
  <c r="H82" i="59"/>
  <c r="H71" i="59"/>
  <c r="H61" i="59"/>
  <c r="H54" i="59"/>
  <c r="H46" i="59"/>
  <c r="H38" i="59"/>
  <c r="H30" i="59"/>
  <c r="H206" i="59"/>
  <c r="H197" i="59"/>
  <c r="H190" i="59"/>
  <c r="H182" i="59"/>
  <c r="H174" i="59"/>
  <c r="H166" i="59"/>
  <c r="H155" i="59"/>
  <c r="H146" i="59"/>
  <c r="H136" i="59"/>
  <c r="H126" i="59"/>
  <c r="H116" i="59"/>
  <c r="H105" i="59"/>
  <c r="H91" i="59"/>
  <c r="H83" i="59"/>
  <c r="H74" i="59"/>
  <c r="H66" i="59"/>
  <c r="H55" i="59"/>
  <c r="H47" i="59"/>
  <c r="H39" i="59"/>
  <c r="H31" i="59"/>
  <c r="H204" i="59"/>
  <c r="H193" i="59"/>
  <c r="H185" i="59"/>
  <c r="H177" i="59"/>
  <c r="H169" i="59"/>
  <c r="H160" i="59"/>
  <c r="H151" i="59"/>
  <c r="H142" i="59"/>
  <c r="H132" i="59"/>
  <c r="H123" i="59"/>
  <c r="H110" i="59"/>
  <c r="H101" i="59"/>
  <c r="H92" i="59"/>
  <c r="H84" i="59"/>
  <c r="H73" i="59"/>
  <c r="H65" i="59"/>
  <c r="H56" i="59"/>
  <c r="H48" i="59"/>
  <c r="H40" i="59"/>
  <c r="H32" i="59"/>
  <c r="H208" i="59"/>
  <c r="H201" i="59"/>
  <c r="H192" i="59"/>
  <c r="H184" i="59"/>
  <c r="H176" i="59"/>
  <c r="H168" i="59"/>
  <c r="H157" i="59"/>
  <c r="H148" i="59"/>
  <c r="H138" i="59"/>
  <c r="H129" i="59"/>
  <c r="H118" i="59"/>
  <c r="H107" i="59"/>
  <c r="H96" i="59"/>
  <c r="H85" i="59"/>
  <c r="H76" i="59"/>
  <c r="H68" i="59"/>
  <c r="H57" i="59"/>
  <c r="H49" i="59"/>
  <c r="H41" i="59"/>
  <c r="H33" i="59"/>
  <c r="H25" i="59"/>
  <c r="G215" i="59"/>
  <c r="M208" i="43"/>
  <c r="K12" i="43"/>
  <c r="H195" i="43"/>
  <c r="H187" i="43"/>
  <c r="H179" i="43"/>
  <c r="H171" i="43"/>
  <c r="H161" i="43"/>
  <c r="H153" i="43"/>
  <c r="H145" i="43"/>
  <c r="H135" i="43"/>
  <c r="H125" i="43"/>
  <c r="H111" i="43"/>
  <c r="H102" i="43"/>
  <c r="H93" i="43"/>
  <c r="H86" i="43"/>
  <c r="H75" i="43"/>
  <c r="H67" i="43"/>
  <c r="H58" i="43"/>
  <c r="H50" i="43"/>
  <c r="H42" i="43"/>
  <c r="H34" i="43"/>
  <c r="H26" i="43"/>
  <c r="H203" i="43"/>
  <c r="H194" i="43"/>
  <c r="H186" i="43"/>
  <c r="H178" i="43"/>
  <c r="H170" i="43"/>
  <c r="H159" i="43"/>
  <c r="H150" i="43"/>
  <c r="H141" i="43"/>
  <c r="H131" i="43"/>
  <c r="H119" i="43"/>
  <c r="H109" i="43"/>
  <c r="H98" i="43"/>
  <c r="H87" i="43"/>
  <c r="H78" i="43"/>
  <c r="H70" i="43"/>
  <c r="H59" i="43"/>
  <c r="H51" i="43"/>
  <c r="H43" i="43"/>
  <c r="H35" i="43"/>
  <c r="H27" i="43"/>
  <c r="H204" i="43"/>
  <c r="H193" i="43"/>
  <c r="H185" i="43"/>
  <c r="H177" i="43"/>
  <c r="H169" i="43"/>
  <c r="H160" i="43"/>
  <c r="H151" i="43"/>
  <c r="H142" i="43"/>
  <c r="H132" i="43"/>
  <c r="H123" i="43"/>
  <c r="H110" i="43"/>
  <c r="H101" i="43"/>
  <c r="H92" i="43"/>
  <c r="H84" i="43"/>
  <c r="H73" i="43"/>
  <c r="H65" i="43"/>
  <c r="H56" i="43"/>
  <c r="H48" i="43"/>
  <c r="H40" i="43"/>
  <c r="H32" i="43"/>
  <c r="H208" i="43"/>
  <c r="H201" i="43"/>
  <c r="H192" i="43"/>
  <c r="H184" i="43"/>
  <c r="H176" i="43"/>
  <c r="H168" i="43"/>
  <c r="H157" i="43"/>
  <c r="H148" i="43"/>
  <c r="H138" i="43"/>
  <c r="H129" i="43"/>
  <c r="H118" i="43"/>
  <c r="H107" i="43"/>
  <c r="H96" i="43"/>
  <c r="H85" i="43"/>
  <c r="H76" i="43"/>
  <c r="H68" i="43"/>
  <c r="H57" i="43"/>
  <c r="H49" i="43"/>
  <c r="H41" i="43"/>
  <c r="H33" i="43"/>
  <c r="H25" i="43"/>
  <c r="H202" i="43"/>
  <c r="H191" i="43"/>
  <c r="H183" i="43"/>
  <c r="H175" i="43"/>
  <c r="H167" i="43"/>
  <c r="H158" i="43"/>
  <c r="H149" i="43"/>
  <c r="H140" i="43"/>
  <c r="H130" i="43"/>
  <c r="H117" i="43"/>
  <c r="H108" i="43"/>
  <c r="H99" i="43"/>
  <c r="H90" i="43"/>
  <c r="H82" i="43"/>
  <c r="H71" i="43"/>
  <c r="H61" i="43"/>
  <c r="H54" i="43"/>
  <c r="H46" i="43"/>
  <c r="H38" i="43"/>
  <c r="H30" i="43"/>
  <c r="H206" i="43"/>
  <c r="H197" i="43"/>
  <c r="H190" i="43"/>
  <c r="H182" i="43"/>
  <c r="H174" i="43"/>
  <c r="H166" i="43"/>
  <c r="H155" i="43"/>
  <c r="H146" i="43"/>
  <c r="H136" i="43"/>
  <c r="H126" i="43"/>
  <c r="H116" i="43"/>
  <c r="H105" i="43"/>
  <c r="H91" i="43"/>
  <c r="H83" i="43"/>
  <c r="H74" i="43"/>
  <c r="H66" i="43"/>
  <c r="H55" i="43"/>
  <c r="H47" i="43"/>
  <c r="H39" i="43"/>
  <c r="H31" i="43"/>
  <c r="H200" i="43"/>
  <c r="H189" i="43"/>
  <c r="H181" i="43"/>
  <c r="H173" i="43"/>
  <c r="H165" i="43"/>
  <c r="H156" i="43"/>
  <c r="H147" i="43"/>
  <c r="H137" i="43"/>
  <c r="H127" i="43"/>
  <c r="H115" i="43"/>
  <c r="H106" i="43"/>
  <c r="H97" i="43"/>
  <c r="H88" i="43"/>
  <c r="H77" i="43"/>
  <c r="H69" i="43"/>
  <c r="H60" i="43"/>
  <c r="H52" i="43"/>
  <c r="H44" i="43"/>
  <c r="H36" i="43"/>
  <c r="H28" i="43"/>
  <c r="H205" i="43"/>
  <c r="H196" i="43"/>
  <c r="H188" i="43"/>
  <c r="H180" i="43"/>
  <c r="H172" i="43"/>
  <c r="H164" i="43"/>
  <c r="H152" i="43"/>
  <c r="H143" i="43"/>
  <c r="H133" i="43"/>
  <c r="H124" i="43"/>
  <c r="H114" i="43"/>
  <c r="H100" i="43"/>
  <c r="H89" i="43"/>
  <c r="H79" i="43"/>
  <c r="H72" i="43"/>
  <c r="H64" i="43"/>
  <c r="H53" i="43"/>
  <c r="H45" i="43"/>
  <c r="H37" i="43"/>
  <c r="H29" i="43"/>
  <c r="M208" i="28"/>
  <c r="K12" i="28"/>
  <c r="H195" i="28"/>
  <c r="H187" i="28"/>
  <c r="H179" i="28"/>
  <c r="H171" i="28"/>
  <c r="H161" i="28"/>
  <c r="H153" i="28"/>
  <c r="H145" i="28"/>
  <c r="H135" i="28"/>
  <c r="H125" i="28"/>
  <c r="H111" i="28"/>
  <c r="H102" i="28"/>
  <c r="H93" i="28"/>
  <c r="H86" i="28"/>
  <c r="H75" i="28"/>
  <c r="H67" i="28"/>
  <c r="H58" i="28"/>
  <c r="H50" i="28"/>
  <c r="H42" i="28"/>
  <c r="H34" i="28"/>
  <c r="H26" i="28"/>
  <c r="H203" i="28"/>
  <c r="H194" i="28"/>
  <c r="H186" i="28"/>
  <c r="H178" i="28"/>
  <c r="H170" i="28"/>
  <c r="H159" i="28"/>
  <c r="H150" i="28"/>
  <c r="H141" i="28"/>
  <c r="H131" i="28"/>
  <c r="H119" i="28"/>
  <c r="H109" i="28"/>
  <c r="H98" i="28"/>
  <c r="H87" i="28"/>
  <c r="H78" i="28"/>
  <c r="H70" i="28"/>
  <c r="H59" i="28"/>
  <c r="H51" i="28"/>
  <c r="H43" i="28"/>
  <c r="H35" i="28"/>
  <c r="H27" i="28"/>
  <c r="H200" i="28"/>
  <c r="H189" i="28"/>
  <c r="H181" i="28"/>
  <c r="H173" i="28"/>
  <c r="H165" i="28"/>
  <c r="H156" i="28"/>
  <c r="H147" i="28"/>
  <c r="H137" i="28"/>
  <c r="H127" i="28"/>
  <c r="H115" i="28"/>
  <c r="H106" i="28"/>
  <c r="H97" i="28"/>
  <c r="H88" i="28"/>
  <c r="H77" i="28"/>
  <c r="H69" i="28"/>
  <c r="H60" i="28"/>
  <c r="H52" i="28"/>
  <c r="H44" i="28"/>
  <c r="H36" i="28"/>
  <c r="H28" i="28"/>
  <c r="H205" i="28"/>
  <c r="H196" i="28"/>
  <c r="H188" i="28"/>
  <c r="H180" i="28"/>
  <c r="H172" i="28"/>
  <c r="H164" i="28"/>
  <c r="H152" i="28"/>
  <c r="H143" i="28"/>
  <c r="H133" i="28"/>
  <c r="H124" i="28"/>
  <c r="H114" i="28"/>
  <c r="H100" i="28"/>
  <c r="H89" i="28"/>
  <c r="H79" i="28"/>
  <c r="H72" i="28"/>
  <c r="H64" i="28"/>
  <c r="H53" i="28"/>
  <c r="H45" i="28"/>
  <c r="H37" i="28"/>
  <c r="H29" i="28"/>
  <c r="H202" i="28"/>
  <c r="H191" i="28"/>
  <c r="H183" i="28"/>
  <c r="H175" i="28"/>
  <c r="H167" i="28"/>
  <c r="H158" i="28"/>
  <c r="H149" i="28"/>
  <c r="H140" i="28"/>
  <c r="H130" i="28"/>
  <c r="H117" i="28"/>
  <c r="H108" i="28"/>
  <c r="H99" i="28"/>
  <c r="H90" i="28"/>
  <c r="H82" i="28"/>
  <c r="H71" i="28"/>
  <c r="H61" i="28"/>
  <c r="H54" i="28"/>
  <c r="H46" i="28"/>
  <c r="H38" i="28"/>
  <c r="H30" i="28"/>
  <c r="H206" i="28"/>
  <c r="H197" i="28"/>
  <c r="H190" i="28"/>
  <c r="H182" i="28"/>
  <c r="H174" i="28"/>
  <c r="H166" i="28"/>
  <c r="H155" i="28"/>
  <c r="H146" i="28"/>
  <c r="H136" i="28"/>
  <c r="H126" i="28"/>
  <c r="H116" i="28"/>
  <c r="H105" i="28"/>
  <c r="H91" i="28"/>
  <c r="H83" i="28"/>
  <c r="H74" i="28"/>
  <c r="H66" i="28"/>
  <c r="H55" i="28"/>
  <c r="H47" i="28"/>
  <c r="H39" i="28"/>
  <c r="H31" i="28"/>
  <c r="H204" i="28"/>
  <c r="H193" i="28"/>
  <c r="H185" i="28"/>
  <c r="H177" i="28"/>
  <c r="H169" i="28"/>
  <c r="H160" i="28"/>
  <c r="H151" i="28"/>
  <c r="H142" i="28"/>
  <c r="H132" i="28"/>
  <c r="H123" i="28"/>
  <c r="H110" i="28"/>
  <c r="H101" i="28"/>
  <c r="H92" i="28"/>
  <c r="H84" i="28"/>
  <c r="H73" i="28"/>
  <c r="H65" i="28"/>
  <c r="H56" i="28"/>
  <c r="H48" i="28"/>
  <c r="H40" i="28"/>
  <c r="H32" i="28"/>
  <c r="H208" i="28"/>
  <c r="H201" i="28"/>
  <c r="H192" i="28"/>
  <c r="H184" i="28"/>
  <c r="H176" i="28"/>
  <c r="H168" i="28"/>
  <c r="H157" i="28"/>
  <c r="H148" i="28"/>
  <c r="H138" i="28"/>
  <c r="H129" i="28"/>
  <c r="H118" i="28"/>
  <c r="H107" i="28"/>
  <c r="H96" i="28"/>
  <c r="H85" i="28"/>
  <c r="H76" i="28"/>
  <c r="H68" i="28"/>
  <c r="H57" i="28"/>
  <c r="H49" i="28"/>
  <c r="H41" i="28"/>
  <c r="H33" i="28"/>
  <c r="H25" i="28"/>
  <c r="J22" i="97"/>
  <c r="N19" i="172" s="1"/>
  <c r="J18" i="97"/>
  <c r="N15" i="172" s="1"/>
  <c r="M208" i="118"/>
  <c r="K12" i="118"/>
  <c r="E238" i="42"/>
  <c r="M208" i="87"/>
  <c r="H193" i="87"/>
  <c r="H177" i="87"/>
  <c r="H160" i="87"/>
  <c r="H142" i="87"/>
  <c r="H123" i="87"/>
  <c r="H101" i="87"/>
  <c r="H84" i="87"/>
  <c r="H65" i="87"/>
  <c r="H48" i="87"/>
  <c r="H32" i="87"/>
  <c r="H201" i="87"/>
  <c r="H184" i="87"/>
  <c r="H168" i="87"/>
  <c r="H148" i="87"/>
  <c r="H129" i="87"/>
  <c r="H107" i="87"/>
  <c r="H85" i="87"/>
  <c r="H68" i="87"/>
  <c r="H49" i="87"/>
  <c r="H33" i="87"/>
  <c r="H202" i="87"/>
  <c r="H183" i="87"/>
  <c r="H167" i="87"/>
  <c r="H149" i="87"/>
  <c r="H130" i="87"/>
  <c r="H108" i="87"/>
  <c r="H90" i="87"/>
  <c r="H71" i="87"/>
  <c r="H54" i="87"/>
  <c r="H38" i="87"/>
  <c r="H206" i="87"/>
  <c r="H190" i="87"/>
  <c r="H174" i="87"/>
  <c r="H155" i="87"/>
  <c r="H136" i="87"/>
  <c r="H116" i="87"/>
  <c r="H91" i="87"/>
  <c r="H74" i="87"/>
  <c r="H55" i="87"/>
  <c r="H39" i="87"/>
  <c r="K12" i="87"/>
  <c r="H189" i="87"/>
  <c r="H173" i="87"/>
  <c r="H156" i="87"/>
  <c r="H137" i="87"/>
  <c r="H115" i="87"/>
  <c r="H97" i="87"/>
  <c r="H77" i="87"/>
  <c r="H60" i="87"/>
  <c r="H44" i="87"/>
  <c r="H28" i="87"/>
  <c r="H196" i="87"/>
  <c r="H180" i="87"/>
  <c r="H164" i="87"/>
  <c r="H143" i="87"/>
  <c r="H124" i="87"/>
  <c r="H100" i="87"/>
  <c r="H79" i="87"/>
  <c r="H64" i="87"/>
  <c r="H45" i="87"/>
  <c r="H29" i="87"/>
  <c r="H195" i="87"/>
  <c r="H179" i="87"/>
  <c r="H161" i="87"/>
  <c r="H145" i="87"/>
  <c r="H125" i="87"/>
  <c r="H102" i="87"/>
  <c r="H86" i="87"/>
  <c r="H67" i="87"/>
  <c r="H50" i="87"/>
  <c r="H34" i="87"/>
  <c r="H203" i="87"/>
  <c r="H186" i="87"/>
  <c r="H170" i="87"/>
  <c r="H150" i="87"/>
  <c r="H131" i="87"/>
  <c r="H109" i="87"/>
  <c r="H87" i="87"/>
  <c r="H70" i="87"/>
  <c r="H51" i="87"/>
  <c r="H35" i="87"/>
  <c r="H204" i="87"/>
  <c r="H185" i="87"/>
  <c r="H169" i="87"/>
  <c r="H151" i="87"/>
  <c r="H132" i="87"/>
  <c r="H110" i="87"/>
  <c r="H92" i="87"/>
  <c r="H73" i="87"/>
  <c r="H56" i="87"/>
  <c r="H40" i="87"/>
  <c r="H208" i="87"/>
  <c r="H192" i="87"/>
  <c r="H176" i="87"/>
  <c r="H157" i="87"/>
  <c r="H138" i="87"/>
  <c r="H118" i="87"/>
  <c r="H96" i="87"/>
  <c r="H76" i="87"/>
  <c r="H57" i="87"/>
  <c r="H41" i="87"/>
  <c r="H25" i="87"/>
  <c r="H191" i="87"/>
  <c r="H175" i="87"/>
  <c r="H158" i="87"/>
  <c r="H140" i="87"/>
  <c r="H117" i="87"/>
  <c r="H99" i="87"/>
  <c r="H82" i="87"/>
  <c r="H61" i="87"/>
  <c r="H46" i="87"/>
  <c r="H30" i="87"/>
  <c r="H197" i="87"/>
  <c r="H182" i="87"/>
  <c r="H166" i="87"/>
  <c r="H146" i="87"/>
  <c r="H126" i="87"/>
  <c r="H105" i="87"/>
  <c r="H83" i="87"/>
  <c r="H66" i="87"/>
  <c r="H47" i="87"/>
  <c r="H31" i="87"/>
  <c r="H200" i="87"/>
  <c r="H181" i="87"/>
  <c r="H165" i="87"/>
  <c r="H147" i="87"/>
  <c r="H127" i="87"/>
  <c r="H106" i="87"/>
  <c r="H88" i="87"/>
  <c r="H69" i="87"/>
  <c r="H52" i="87"/>
  <c r="H36" i="87"/>
  <c r="H205" i="87"/>
  <c r="H188" i="87"/>
  <c r="H172" i="87"/>
  <c r="H152" i="87"/>
  <c r="H133" i="87"/>
  <c r="H114" i="87"/>
  <c r="H89" i="87"/>
  <c r="H72" i="87"/>
  <c r="H53" i="87"/>
  <c r="H37" i="87"/>
  <c r="H187" i="87"/>
  <c r="H171" i="87"/>
  <c r="H153" i="87"/>
  <c r="H135" i="87"/>
  <c r="H111" i="87"/>
  <c r="H93" i="87"/>
  <c r="H75" i="87"/>
  <c r="H58" i="87"/>
  <c r="H42" i="87"/>
  <c r="H26" i="87"/>
  <c r="H194" i="87"/>
  <c r="H178" i="87"/>
  <c r="H159" i="87"/>
  <c r="H141" i="87"/>
  <c r="H119" i="87"/>
  <c r="H98" i="87"/>
  <c r="H78" i="87"/>
  <c r="H59" i="87"/>
  <c r="H43" i="87"/>
  <c r="H27" i="87"/>
  <c r="E238" i="91"/>
  <c r="E238" i="120"/>
  <c r="H200" i="133"/>
  <c r="H189" i="133"/>
  <c r="H181" i="133"/>
  <c r="H173" i="133"/>
  <c r="H165" i="133"/>
  <c r="H156" i="133"/>
  <c r="H147" i="133"/>
  <c r="H137" i="133"/>
  <c r="H127" i="133"/>
  <c r="H115" i="133"/>
  <c r="H106" i="133"/>
  <c r="H97" i="133"/>
  <c r="H88" i="133"/>
  <c r="H77" i="133"/>
  <c r="H69" i="133"/>
  <c r="H60" i="133"/>
  <c r="H52" i="133"/>
  <c r="H44" i="133"/>
  <c r="H36" i="133"/>
  <c r="H28" i="133"/>
  <c r="H205" i="133"/>
  <c r="H196" i="133"/>
  <c r="H188" i="133"/>
  <c r="H180" i="133"/>
  <c r="H172" i="133"/>
  <c r="H164" i="133"/>
  <c r="H152" i="133"/>
  <c r="H143" i="133"/>
  <c r="H133" i="133"/>
  <c r="H124" i="133"/>
  <c r="H114" i="133"/>
  <c r="H100" i="133"/>
  <c r="H89" i="133"/>
  <c r="H79" i="133"/>
  <c r="H72" i="133"/>
  <c r="H64" i="133"/>
  <c r="H53" i="133"/>
  <c r="H45" i="133"/>
  <c r="H37" i="133"/>
  <c r="H29" i="133"/>
  <c r="K12" i="133"/>
  <c r="H195" i="133"/>
  <c r="H187" i="133"/>
  <c r="H179" i="133"/>
  <c r="H171" i="133"/>
  <c r="H161" i="133"/>
  <c r="H153" i="133"/>
  <c r="H145" i="133"/>
  <c r="H135" i="133"/>
  <c r="H125" i="133"/>
  <c r="H111" i="133"/>
  <c r="H102" i="133"/>
  <c r="H93" i="133"/>
  <c r="H86" i="133"/>
  <c r="H75" i="133"/>
  <c r="H67" i="133"/>
  <c r="H58" i="133"/>
  <c r="H50" i="133"/>
  <c r="H42" i="133"/>
  <c r="H34" i="133"/>
  <c r="H26" i="133"/>
  <c r="H203" i="133"/>
  <c r="H194" i="133"/>
  <c r="H186" i="133"/>
  <c r="H178" i="133"/>
  <c r="H170" i="133"/>
  <c r="H159" i="133"/>
  <c r="H150" i="133"/>
  <c r="H141" i="133"/>
  <c r="H131" i="133"/>
  <c r="H119" i="133"/>
  <c r="H109" i="133"/>
  <c r="H98" i="133"/>
  <c r="H87" i="133"/>
  <c r="H78" i="133"/>
  <c r="H70" i="133"/>
  <c r="H59" i="133"/>
  <c r="H51" i="133"/>
  <c r="H43" i="133"/>
  <c r="H35" i="133"/>
  <c r="H27" i="133"/>
  <c r="H204" i="133"/>
  <c r="H193" i="133"/>
  <c r="H185" i="133"/>
  <c r="H177" i="133"/>
  <c r="H169" i="133"/>
  <c r="H160" i="133"/>
  <c r="H151" i="133"/>
  <c r="H142" i="133"/>
  <c r="H132" i="133"/>
  <c r="H123" i="133"/>
  <c r="H110" i="133"/>
  <c r="H101" i="133"/>
  <c r="H92" i="133"/>
  <c r="H84" i="133"/>
  <c r="H73" i="133"/>
  <c r="H65" i="133"/>
  <c r="H56" i="133"/>
  <c r="H48" i="133"/>
  <c r="H40" i="133"/>
  <c r="H32" i="133"/>
  <c r="H208" i="133"/>
  <c r="H201" i="133"/>
  <c r="H192" i="133"/>
  <c r="H184" i="133"/>
  <c r="H176" i="133"/>
  <c r="H168" i="133"/>
  <c r="H157" i="133"/>
  <c r="H148" i="133"/>
  <c r="H138" i="133"/>
  <c r="H129" i="133"/>
  <c r="H118" i="133"/>
  <c r="H107" i="133"/>
  <c r="H96" i="133"/>
  <c r="H85" i="133"/>
  <c r="H76" i="133"/>
  <c r="H68" i="133"/>
  <c r="H57" i="133"/>
  <c r="H49" i="133"/>
  <c r="H41" i="133"/>
  <c r="H33" i="133"/>
  <c r="H25" i="133"/>
  <c r="H202" i="133"/>
  <c r="H191" i="133"/>
  <c r="H183" i="133"/>
  <c r="H175" i="133"/>
  <c r="H167" i="133"/>
  <c r="H158" i="133"/>
  <c r="H149" i="133"/>
  <c r="H140" i="133"/>
  <c r="H130" i="133"/>
  <c r="H117" i="133"/>
  <c r="H108" i="133"/>
  <c r="H99" i="133"/>
  <c r="H90" i="133"/>
  <c r="H82" i="133"/>
  <c r="H71" i="133"/>
  <c r="H61" i="133"/>
  <c r="H54" i="133"/>
  <c r="H46" i="133"/>
  <c r="H38" i="133"/>
  <c r="H30" i="133"/>
  <c r="H206" i="133"/>
  <c r="H197" i="133"/>
  <c r="H190" i="133"/>
  <c r="H182" i="133"/>
  <c r="H174" i="133"/>
  <c r="H166" i="133"/>
  <c r="H155" i="133"/>
  <c r="H146" i="133"/>
  <c r="H136" i="133"/>
  <c r="H126" i="133"/>
  <c r="H116" i="133"/>
  <c r="H105" i="133"/>
  <c r="H91" i="133"/>
  <c r="H83" i="133"/>
  <c r="H74" i="133"/>
  <c r="H66" i="133"/>
  <c r="H55" i="133"/>
  <c r="H47" i="133"/>
  <c r="H39" i="133"/>
  <c r="H31" i="133"/>
  <c r="M208" i="133"/>
  <c r="E238" i="66"/>
  <c r="K15" i="85"/>
  <c r="H227" i="87"/>
  <c r="H219" i="87"/>
  <c r="H221" i="87"/>
  <c r="K13" i="87"/>
  <c r="H225" i="87"/>
  <c r="H222" i="87"/>
  <c r="H226" i="87"/>
  <c r="G236" i="87"/>
  <c r="H223" i="87"/>
  <c r="H220" i="87"/>
  <c r="H224" i="87"/>
  <c r="H228" i="87"/>
  <c r="M111" i="87"/>
  <c r="M58" i="87"/>
  <c r="M54" i="87"/>
  <c r="M50" i="87"/>
  <c r="M67" i="87"/>
  <c r="M71" i="87"/>
  <c r="M75" i="87"/>
  <c r="M82" i="87"/>
  <c r="M108" i="87"/>
  <c r="M158" i="87"/>
  <c r="M153" i="87"/>
  <c r="M149" i="87"/>
  <c r="M145" i="87"/>
  <c r="M140" i="87"/>
  <c r="M123" i="87"/>
  <c r="M196" i="87"/>
  <c r="M192" i="87"/>
  <c r="M188" i="87"/>
  <c r="M184" i="87"/>
  <c r="M205" i="87"/>
  <c r="M60" i="87"/>
  <c r="M56" i="87"/>
  <c r="M52" i="87"/>
  <c r="M69" i="87"/>
  <c r="M73" i="87"/>
  <c r="M77" i="87"/>
  <c r="M100" i="87"/>
  <c r="M110" i="87"/>
  <c r="M106" i="87"/>
  <c r="M160" i="87"/>
  <c r="M156" i="87"/>
  <c r="M151" i="87"/>
  <c r="M147" i="87"/>
  <c r="M142" i="87"/>
  <c r="M137" i="87"/>
  <c r="M194" i="87"/>
  <c r="M190" i="87"/>
  <c r="M186" i="87"/>
  <c r="M182" i="87"/>
  <c r="M59" i="87"/>
  <c r="M55" i="87"/>
  <c r="M51" i="87"/>
  <c r="M37" i="87"/>
  <c r="M68" i="87"/>
  <c r="M72" i="87"/>
  <c r="M76" i="87"/>
  <c r="M99" i="87"/>
  <c r="M109" i="87"/>
  <c r="M105" i="87"/>
  <c r="M191" i="87"/>
  <c r="M183" i="87"/>
  <c r="M57" i="87"/>
  <c r="M53" i="87"/>
  <c r="M49" i="87"/>
  <c r="M64" i="87"/>
  <c r="M70" i="87"/>
  <c r="M74" i="87"/>
  <c r="M78" i="87"/>
  <c r="M101" i="87"/>
  <c r="M107" i="87"/>
  <c r="M157" i="87"/>
  <c r="M152" i="87"/>
  <c r="M148" i="87"/>
  <c r="M143" i="87"/>
  <c r="M136" i="87"/>
  <c r="M193" i="87"/>
  <c r="M189" i="87"/>
  <c r="M185" i="87"/>
  <c r="M181" i="87"/>
  <c r="M159" i="87"/>
  <c r="M155" i="87"/>
  <c r="M150" i="87"/>
  <c r="M146" i="87"/>
  <c r="M141" i="87"/>
  <c r="M164" i="87"/>
  <c r="M195" i="87"/>
  <c r="M187" i="87"/>
  <c r="M203" i="87"/>
  <c r="M201" i="87"/>
  <c r="M138" i="87"/>
  <c r="M133" i="87"/>
  <c r="M131" i="87"/>
  <c r="M129" i="87"/>
  <c r="M126" i="87"/>
  <c r="M124" i="87"/>
  <c r="M98" i="87"/>
  <c r="M96" i="87"/>
  <c r="M135" i="87"/>
  <c r="M132" i="87"/>
  <c r="M130" i="87"/>
  <c r="M127" i="87"/>
  <c r="M125" i="87"/>
  <c r="M117" i="87"/>
  <c r="M115" i="87"/>
  <c r="M97" i="87"/>
  <c r="M91" i="87"/>
  <c r="M89" i="87"/>
  <c r="M87" i="87"/>
  <c r="M85" i="87"/>
  <c r="M83" i="87"/>
  <c r="M48" i="87"/>
  <c r="M46" i="87"/>
  <c r="M44" i="87"/>
  <c r="M42" i="87"/>
  <c r="M40" i="87"/>
  <c r="M38" i="87"/>
  <c r="M35" i="87"/>
  <c r="M33" i="87"/>
  <c r="M31" i="87"/>
  <c r="M29" i="87"/>
  <c r="M27" i="87"/>
  <c r="M25" i="87"/>
  <c r="M180" i="87"/>
  <c r="M178" i="87"/>
  <c r="M176" i="87"/>
  <c r="M174" i="87"/>
  <c r="M172" i="87"/>
  <c r="M170" i="87"/>
  <c r="M168" i="87"/>
  <c r="M166" i="87"/>
  <c r="M65" i="87"/>
  <c r="M47" i="87"/>
  <c r="M45" i="87"/>
  <c r="M43" i="87"/>
  <c r="M41" i="87"/>
  <c r="M39" i="87"/>
  <c r="M36" i="87"/>
  <c r="M34" i="87"/>
  <c r="M32" i="87"/>
  <c r="M30" i="87"/>
  <c r="M28" i="87"/>
  <c r="M26" i="87"/>
  <c r="M118" i="87"/>
  <c r="M116" i="87"/>
  <c r="M114" i="87"/>
  <c r="M92" i="87"/>
  <c r="M90" i="87"/>
  <c r="M88" i="87"/>
  <c r="M86" i="87"/>
  <c r="M84" i="87"/>
  <c r="M204" i="87"/>
  <c r="M202" i="87"/>
  <c r="M200" i="87"/>
  <c r="M66" i="87"/>
  <c r="M179" i="87"/>
  <c r="M177" i="87"/>
  <c r="M175" i="87"/>
  <c r="M173" i="87"/>
  <c r="M171" i="87"/>
  <c r="M169" i="87"/>
  <c r="M167" i="87"/>
  <c r="M165" i="87"/>
  <c r="K15" i="33"/>
  <c r="H223" i="113"/>
  <c r="H219" i="113"/>
  <c r="K13" i="113"/>
  <c r="H226" i="113"/>
  <c r="H221" i="113"/>
  <c r="H220" i="113"/>
  <c r="H224" i="113"/>
  <c r="H227" i="113"/>
  <c r="H222" i="113"/>
  <c r="H228" i="113"/>
  <c r="H225" i="113"/>
  <c r="G236" i="113"/>
  <c r="M102" i="113"/>
  <c r="M21" i="113"/>
  <c r="M57" i="113"/>
  <c r="M53" i="113"/>
  <c r="M49" i="113"/>
  <c r="M43" i="113"/>
  <c r="M37" i="113"/>
  <c r="M64" i="113"/>
  <c r="M74" i="113"/>
  <c r="M78" i="113"/>
  <c r="M89" i="113"/>
  <c r="M98" i="113"/>
  <c r="M110" i="113"/>
  <c r="M117" i="113"/>
  <c r="M159" i="113"/>
  <c r="M155" i="113"/>
  <c r="M150" i="113"/>
  <c r="M146" i="113"/>
  <c r="M141" i="113"/>
  <c r="M136" i="113"/>
  <c r="M131" i="113"/>
  <c r="M196" i="113"/>
  <c r="M192" i="113"/>
  <c r="M200" i="113"/>
  <c r="M204" i="113"/>
  <c r="M59" i="113"/>
  <c r="M55" i="113"/>
  <c r="M51" i="113"/>
  <c r="M47" i="113"/>
  <c r="M41" i="113"/>
  <c r="M70" i="113"/>
  <c r="M76" i="113"/>
  <c r="M82" i="113"/>
  <c r="M91" i="113"/>
  <c r="M85" i="113"/>
  <c r="M100" i="113"/>
  <c r="M96" i="113"/>
  <c r="M108" i="113"/>
  <c r="M115" i="113"/>
  <c r="M157" i="113"/>
  <c r="M152" i="113"/>
  <c r="M148" i="113"/>
  <c r="M143" i="113"/>
  <c r="M138" i="113"/>
  <c r="M133" i="113"/>
  <c r="M194" i="113"/>
  <c r="M202" i="113"/>
  <c r="M58" i="113"/>
  <c r="M54" i="113"/>
  <c r="M50" i="113"/>
  <c r="M46" i="113"/>
  <c r="M42" i="113"/>
  <c r="M69" i="113"/>
  <c r="M73" i="113"/>
  <c r="M77" i="113"/>
  <c r="M90" i="113"/>
  <c r="M86" i="113"/>
  <c r="M99" i="113"/>
  <c r="M60" i="113"/>
  <c r="M56" i="113"/>
  <c r="M52" i="113"/>
  <c r="M48" i="113"/>
  <c r="M44" i="113"/>
  <c r="M40" i="113"/>
  <c r="M71" i="113"/>
  <c r="M75" i="113"/>
  <c r="M92" i="113"/>
  <c r="M88" i="113"/>
  <c r="M84" i="113"/>
  <c r="M101" i="113"/>
  <c r="M97" i="113"/>
  <c r="M109" i="113"/>
  <c r="M118" i="113"/>
  <c r="M114" i="113"/>
  <c r="M158" i="113"/>
  <c r="M153" i="113"/>
  <c r="M149" i="113"/>
  <c r="M145" i="113"/>
  <c r="M140" i="113"/>
  <c r="M135" i="113"/>
  <c r="M130" i="113"/>
  <c r="M195" i="113"/>
  <c r="M191" i="113"/>
  <c r="M203" i="113"/>
  <c r="M116" i="113"/>
  <c r="M160" i="113"/>
  <c r="M156" i="113"/>
  <c r="M151" i="113"/>
  <c r="M147" i="113"/>
  <c r="M142" i="113"/>
  <c r="M137" i="113"/>
  <c r="M132" i="113"/>
  <c r="M123" i="113"/>
  <c r="M164" i="113"/>
  <c r="M193" i="113"/>
  <c r="M201" i="113"/>
  <c r="M205" i="113"/>
  <c r="M83" i="113"/>
  <c r="M25" i="113"/>
  <c r="M206" i="113"/>
  <c r="M124" i="113"/>
  <c r="M107" i="113"/>
  <c r="M105" i="113"/>
  <c r="M127" i="113"/>
  <c r="M125" i="113"/>
  <c r="M106" i="113"/>
  <c r="M68" i="113"/>
  <c r="M66" i="113"/>
  <c r="M45" i="113"/>
  <c r="M190" i="113"/>
  <c r="M188" i="113"/>
  <c r="M186" i="113"/>
  <c r="M184" i="113"/>
  <c r="M182" i="113"/>
  <c r="M180" i="113"/>
  <c r="M178" i="113"/>
  <c r="M176" i="113"/>
  <c r="M174" i="113"/>
  <c r="M172" i="113"/>
  <c r="M170" i="113"/>
  <c r="M168" i="113"/>
  <c r="M166" i="113"/>
  <c r="M39" i="113"/>
  <c r="M36" i="113"/>
  <c r="M34" i="113"/>
  <c r="M32" i="113"/>
  <c r="M30" i="113"/>
  <c r="M28" i="113"/>
  <c r="M26" i="113"/>
  <c r="M189" i="113"/>
  <c r="M187" i="113"/>
  <c r="M185" i="113"/>
  <c r="M183" i="113"/>
  <c r="M181" i="113"/>
  <c r="M179" i="113"/>
  <c r="M177" i="113"/>
  <c r="M175" i="113"/>
  <c r="M173" i="113"/>
  <c r="M171" i="113"/>
  <c r="M169" i="113"/>
  <c r="M167" i="113"/>
  <c r="M165" i="113"/>
  <c r="M72" i="113"/>
  <c r="M38" i="113"/>
  <c r="M35" i="113"/>
  <c r="M33" i="113"/>
  <c r="M31" i="113"/>
  <c r="M29" i="113"/>
  <c r="M27" i="113"/>
  <c r="M119" i="113"/>
  <c r="M129" i="113"/>
  <c r="M126" i="113"/>
  <c r="M87" i="113"/>
  <c r="M67" i="113"/>
  <c r="M65" i="113"/>
  <c r="H227" i="111"/>
  <c r="H225" i="111"/>
  <c r="H223" i="111"/>
  <c r="H221" i="111"/>
  <c r="H219" i="111"/>
  <c r="H228" i="111"/>
  <c r="H226" i="111"/>
  <c r="H224" i="111"/>
  <c r="H222" i="111"/>
  <c r="H220" i="111"/>
  <c r="G236" i="111"/>
  <c r="M111" i="111"/>
  <c r="M21" i="111"/>
  <c r="M25" i="111"/>
  <c r="M58" i="111"/>
  <c r="M54" i="111"/>
  <c r="M50" i="111"/>
  <c r="M69" i="111"/>
  <c r="M73" i="111"/>
  <c r="M77" i="111"/>
  <c r="M91" i="111"/>
  <c r="M87" i="111"/>
  <c r="M108" i="111"/>
  <c r="M158" i="111"/>
  <c r="M153" i="111"/>
  <c r="M149" i="111"/>
  <c r="M145" i="111"/>
  <c r="M140" i="111"/>
  <c r="M135" i="111"/>
  <c r="M196" i="111"/>
  <c r="M192" i="111"/>
  <c r="M188" i="111"/>
  <c r="M184" i="111"/>
  <c r="M203" i="111"/>
  <c r="M60" i="111"/>
  <c r="M56" i="111"/>
  <c r="M52" i="111"/>
  <c r="M48" i="111"/>
  <c r="M67" i="111"/>
  <c r="M71" i="111"/>
  <c r="M75" i="111"/>
  <c r="M82" i="111"/>
  <c r="M89" i="111"/>
  <c r="M98" i="111"/>
  <c r="M110" i="111"/>
  <c r="M106" i="111"/>
  <c r="M160" i="111"/>
  <c r="M156" i="111"/>
  <c r="M151" i="111"/>
  <c r="M147" i="111"/>
  <c r="M142" i="111"/>
  <c r="M137" i="111"/>
  <c r="M132" i="111"/>
  <c r="M194" i="111"/>
  <c r="M190" i="111"/>
  <c r="M186" i="111"/>
  <c r="M205" i="111"/>
  <c r="M57" i="111"/>
  <c r="M53" i="111"/>
  <c r="M49" i="111"/>
  <c r="M68" i="111"/>
  <c r="M72" i="111"/>
  <c r="M76" i="111"/>
  <c r="M90" i="111"/>
  <c r="M86" i="111"/>
  <c r="M101" i="111"/>
  <c r="M107" i="111"/>
  <c r="M191" i="111"/>
  <c r="M204" i="111"/>
  <c r="M59" i="111"/>
  <c r="M55" i="111"/>
  <c r="M51" i="111"/>
  <c r="M31" i="111"/>
  <c r="M64" i="111"/>
  <c r="M70" i="111"/>
  <c r="M74" i="111"/>
  <c r="M78" i="111"/>
  <c r="M92" i="111"/>
  <c r="M88" i="111"/>
  <c r="M99" i="111"/>
  <c r="M109" i="111"/>
  <c r="M105" i="111"/>
  <c r="M114" i="111"/>
  <c r="M157" i="111"/>
  <c r="M152" i="111"/>
  <c r="M146" i="111"/>
  <c r="M141" i="111"/>
  <c r="M133" i="111"/>
  <c r="M164" i="111"/>
  <c r="M193" i="111"/>
  <c r="M189" i="111"/>
  <c r="M185" i="111"/>
  <c r="M200" i="111"/>
  <c r="M159" i="111"/>
  <c r="M155" i="111"/>
  <c r="M150" i="111"/>
  <c r="M143" i="111"/>
  <c r="M138" i="111"/>
  <c r="M131" i="111"/>
  <c r="M195" i="111"/>
  <c r="M187" i="111"/>
  <c r="M182" i="111"/>
  <c r="M180" i="111"/>
  <c r="M178" i="111"/>
  <c r="M176" i="111"/>
  <c r="M174" i="111"/>
  <c r="M172" i="111"/>
  <c r="M170" i="111"/>
  <c r="M168" i="111"/>
  <c r="M166" i="111"/>
  <c r="M100" i="111"/>
  <c r="M84" i="111"/>
  <c r="M183" i="111"/>
  <c r="M181" i="111"/>
  <c r="M179" i="111"/>
  <c r="M177" i="111"/>
  <c r="M175" i="111"/>
  <c r="M173" i="111"/>
  <c r="M171" i="111"/>
  <c r="M169" i="111"/>
  <c r="M167" i="111"/>
  <c r="M165" i="111"/>
  <c r="M206" i="111"/>
  <c r="M79" i="111"/>
  <c r="M201" i="111"/>
  <c r="M202" i="111"/>
  <c r="M130" i="111"/>
  <c r="M123" i="111"/>
  <c r="M118" i="111"/>
  <c r="M116" i="111"/>
  <c r="M115" i="111"/>
  <c r="M97" i="111"/>
  <c r="M66" i="111"/>
  <c r="M46" i="111"/>
  <c r="M44" i="111"/>
  <c r="M42" i="111"/>
  <c r="M40" i="111"/>
  <c r="M38" i="111"/>
  <c r="M36" i="111"/>
  <c r="M34" i="111"/>
  <c r="M32" i="111"/>
  <c r="M29" i="111"/>
  <c r="M27" i="111"/>
  <c r="M148" i="111"/>
  <c r="M85" i="111"/>
  <c r="M83" i="111"/>
  <c r="M127" i="111"/>
  <c r="M125" i="111"/>
  <c r="M96" i="111"/>
  <c r="M65" i="111"/>
  <c r="M47" i="111"/>
  <c r="M45" i="111"/>
  <c r="M43" i="111"/>
  <c r="M41" i="111"/>
  <c r="M39" i="111"/>
  <c r="M37" i="111"/>
  <c r="M35" i="111"/>
  <c r="M33" i="111"/>
  <c r="M30" i="111"/>
  <c r="M28" i="111"/>
  <c r="M26" i="111"/>
  <c r="M136" i="111"/>
  <c r="M129" i="111"/>
  <c r="M126" i="111"/>
  <c r="M124" i="111"/>
  <c r="M117" i="111"/>
  <c r="E238" i="72"/>
  <c r="J19" i="97"/>
  <c r="N16" i="172" s="1"/>
  <c r="K13" i="1"/>
  <c r="H228" i="1"/>
  <c r="H224" i="1"/>
  <c r="H220" i="1"/>
  <c r="H221" i="1"/>
  <c r="H225" i="1"/>
  <c r="H226" i="1"/>
  <c r="H219" i="1"/>
  <c r="H227" i="1"/>
  <c r="H222" i="1"/>
  <c r="H223" i="1"/>
  <c r="G236" i="1"/>
  <c r="M93" i="1"/>
  <c r="M200" i="1"/>
  <c r="M111" i="1"/>
  <c r="M58" i="1"/>
  <c r="M54" i="1"/>
  <c r="M50" i="1"/>
  <c r="M46" i="1"/>
  <c r="M42" i="1"/>
  <c r="M38" i="1"/>
  <c r="M34" i="1"/>
  <c r="M30" i="1"/>
  <c r="M26" i="1"/>
  <c r="M91" i="1"/>
  <c r="M87" i="1"/>
  <c r="M83" i="1"/>
  <c r="M108" i="1"/>
  <c r="M116" i="1"/>
  <c r="M158" i="1"/>
  <c r="M153" i="1"/>
  <c r="M149" i="1"/>
  <c r="M145" i="1"/>
  <c r="M140" i="1"/>
  <c r="M135" i="1"/>
  <c r="M127" i="1"/>
  <c r="M60" i="1"/>
  <c r="M56" i="1"/>
  <c r="M52" i="1"/>
  <c r="M48" i="1"/>
  <c r="M44" i="1"/>
  <c r="M40" i="1"/>
  <c r="M36" i="1"/>
  <c r="M32" i="1"/>
  <c r="M28" i="1"/>
  <c r="M89" i="1"/>
  <c r="M85" i="1"/>
  <c r="M110" i="1"/>
  <c r="M106" i="1"/>
  <c r="M118" i="1"/>
  <c r="M114" i="1"/>
  <c r="M160" i="1"/>
  <c r="M156" i="1"/>
  <c r="M151" i="1"/>
  <c r="M147" i="1"/>
  <c r="M142" i="1"/>
  <c r="M137" i="1"/>
  <c r="M130" i="1"/>
  <c r="M125" i="1"/>
  <c r="M164" i="1"/>
  <c r="M25" i="1"/>
  <c r="M57" i="1"/>
  <c r="M53" i="1"/>
  <c r="M49" i="1"/>
  <c r="M43" i="1"/>
  <c r="M39" i="1"/>
  <c r="M35" i="1"/>
  <c r="M31" i="1"/>
  <c r="M27" i="1"/>
  <c r="M92" i="1"/>
  <c r="M88" i="1"/>
  <c r="M84" i="1"/>
  <c r="M109" i="1"/>
  <c r="M105" i="1"/>
  <c r="M21" i="1"/>
  <c r="M59" i="1"/>
  <c r="M55" i="1"/>
  <c r="M51" i="1"/>
  <c r="M47" i="1"/>
  <c r="M41" i="1"/>
  <c r="M37" i="1"/>
  <c r="M33" i="1"/>
  <c r="M29" i="1"/>
  <c r="M82" i="1"/>
  <c r="M90" i="1"/>
  <c r="M86" i="1"/>
  <c r="M107" i="1"/>
  <c r="M117" i="1"/>
  <c r="M157" i="1"/>
  <c r="M152" i="1"/>
  <c r="M148" i="1"/>
  <c r="M143" i="1"/>
  <c r="M138" i="1"/>
  <c r="M133" i="1"/>
  <c r="M129" i="1"/>
  <c r="M124" i="1"/>
  <c r="M115" i="1"/>
  <c r="M159" i="1"/>
  <c r="M155" i="1"/>
  <c r="M150" i="1"/>
  <c r="M146" i="1"/>
  <c r="M141" i="1"/>
  <c r="M136" i="1"/>
  <c r="M131" i="1"/>
  <c r="M126" i="1"/>
  <c r="M132" i="1"/>
  <c r="M78" i="1"/>
  <c r="M76" i="1"/>
  <c r="M74" i="1"/>
  <c r="M72" i="1"/>
  <c r="M70" i="1"/>
  <c r="M68" i="1"/>
  <c r="M66" i="1"/>
  <c r="M64" i="1"/>
  <c r="M196" i="1"/>
  <c r="M194" i="1"/>
  <c r="M192" i="1"/>
  <c r="M190" i="1"/>
  <c r="M188" i="1"/>
  <c r="M186" i="1"/>
  <c r="M184" i="1"/>
  <c r="M182" i="1"/>
  <c r="M180" i="1"/>
  <c r="M178" i="1"/>
  <c r="M176" i="1"/>
  <c r="M174" i="1"/>
  <c r="M172" i="1"/>
  <c r="M170" i="1"/>
  <c r="M168" i="1"/>
  <c r="M166" i="1"/>
  <c r="M204" i="1"/>
  <c r="M202" i="1"/>
  <c r="M195" i="1"/>
  <c r="M193" i="1"/>
  <c r="M191" i="1"/>
  <c r="M189" i="1"/>
  <c r="M187" i="1"/>
  <c r="M185" i="1"/>
  <c r="M183" i="1"/>
  <c r="M181" i="1"/>
  <c r="M179" i="1"/>
  <c r="M177" i="1"/>
  <c r="M175" i="1"/>
  <c r="M173" i="1"/>
  <c r="M171" i="1"/>
  <c r="M169" i="1"/>
  <c r="M167" i="1"/>
  <c r="M165" i="1"/>
  <c r="M100" i="1"/>
  <c r="M98" i="1"/>
  <c r="M96" i="1"/>
  <c r="M45" i="1"/>
  <c r="M205" i="1"/>
  <c r="M203" i="1"/>
  <c r="M201" i="1"/>
  <c r="M123" i="1"/>
  <c r="M101" i="1"/>
  <c r="M99" i="1"/>
  <c r="M97" i="1"/>
  <c r="M77" i="1"/>
  <c r="M75" i="1"/>
  <c r="M73" i="1"/>
  <c r="M71" i="1"/>
  <c r="M69" i="1"/>
  <c r="M67" i="1"/>
  <c r="M65" i="1"/>
  <c r="M119" i="1"/>
  <c r="K13" i="28"/>
  <c r="H226" i="28"/>
  <c r="H222" i="28"/>
  <c r="H219" i="28"/>
  <c r="H223" i="28"/>
  <c r="H227" i="28"/>
  <c r="H224" i="28"/>
  <c r="H221" i="28"/>
  <c r="G236" i="28"/>
  <c r="H228" i="28"/>
  <c r="H220" i="28"/>
  <c r="H225" i="28"/>
  <c r="M206" i="28"/>
  <c r="M59" i="28"/>
  <c r="M53" i="28"/>
  <c r="M47" i="28"/>
  <c r="M43" i="28"/>
  <c r="M37" i="28"/>
  <c r="M31" i="28"/>
  <c r="M27" i="28"/>
  <c r="M66" i="28"/>
  <c r="M72" i="28"/>
  <c r="M76" i="28"/>
  <c r="M82" i="28"/>
  <c r="M160" i="28"/>
  <c r="M156" i="28"/>
  <c r="M151" i="28"/>
  <c r="M147" i="28"/>
  <c r="M142" i="28"/>
  <c r="M137" i="28"/>
  <c r="M132" i="28"/>
  <c r="M127" i="28"/>
  <c r="M123" i="28"/>
  <c r="M203" i="28"/>
  <c r="M55" i="28"/>
  <c r="M51" i="28"/>
  <c r="M45" i="28"/>
  <c r="M39" i="28"/>
  <c r="M35" i="28"/>
  <c r="M29" i="28"/>
  <c r="M64" i="28"/>
  <c r="M68" i="28"/>
  <c r="M74" i="28"/>
  <c r="M78" i="28"/>
  <c r="M158" i="28"/>
  <c r="M153" i="28"/>
  <c r="M149" i="28"/>
  <c r="M145" i="28"/>
  <c r="M140" i="28"/>
  <c r="M135" i="28"/>
  <c r="M130" i="28"/>
  <c r="M125" i="28"/>
  <c r="M201" i="28"/>
  <c r="M205" i="28"/>
  <c r="M58" i="28"/>
  <c r="M54" i="28"/>
  <c r="M50" i="28"/>
  <c r="M46" i="28"/>
  <c r="M42" i="28"/>
  <c r="M38" i="28"/>
  <c r="M34" i="28"/>
  <c r="M30" i="28"/>
  <c r="M26" i="28"/>
  <c r="M65" i="28"/>
  <c r="M69" i="28"/>
  <c r="M73" i="28"/>
  <c r="M77" i="28"/>
  <c r="M60" i="28"/>
  <c r="M56" i="28"/>
  <c r="M52" i="28"/>
  <c r="M48" i="28"/>
  <c r="M44" i="28"/>
  <c r="M40" i="28"/>
  <c r="M36" i="28"/>
  <c r="M32" i="28"/>
  <c r="M28" i="28"/>
  <c r="M67" i="28"/>
  <c r="M71" i="28"/>
  <c r="M75" i="28"/>
  <c r="M87" i="28"/>
  <c r="M159" i="28"/>
  <c r="M152" i="28"/>
  <c r="M146" i="28"/>
  <c r="M141" i="28"/>
  <c r="M136" i="28"/>
  <c r="M131" i="28"/>
  <c r="M124" i="28"/>
  <c r="M164" i="28"/>
  <c r="M193" i="28"/>
  <c r="M169" i="28"/>
  <c r="M200" i="28"/>
  <c r="M204" i="28"/>
  <c r="M155" i="28"/>
  <c r="M150" i="28"/>
  <c r="M143" i="28"/>
  <c r="M138" i="28"/>
  <c r="M133" i="28"/>
  <c r="M126" i="28"/>
  <c r="M177" i="28"/>
  <c r="M202" i="28"/>
  <c r="M195" i="28"/>
  <c r="M192" i="28"/>
  <c r="M190" i="28"/>
  <c r="M188" i="28"/>
  <c r="M186" i="28"/>
  <c r="M184" i="28"/>
  <c r="M182" i="28"/>
  <c r="M180" i="28"/>
  <c r="M178" i="28"/>
  <c r="M175" i="28"/>
  <c r="M173" i="28"/>
  <c r="M171" i="28"/>
  <c r="M168" i="28"/>
  <c r="M166" i="28"/>
  <c r="M57" i="28"/>
  <c r="M41" i="28"/>
  <c r="M25" i="28"/>
  <c r="M157" i="28"/>
  <c r="M129" i="28"/>
  <c r="M109" i="28"/>
  <c r="M107" i="28"/>
  <c r="M105" i="28"/>
  <c r="M91" i="28"/>
  <c r="M89" i="28"/>
  <c r="M86" i="28"/>
  <c r="M84" i="28"/>
  <c r="M148" i="28"/>
  <c r="M117" i="28"/>
  <c r="M115" i="28"/>
  <c r="M110" i="28"/>
  <c r="M108" i="28"/>
  <c r="M106" i="28"/>
  <c r="M101" i="28"/>
  <c r="M99" i="28"/>
  <c r="M97" i="28"/>
  <c r="M92" i="28"/>
  <c r="M90" i="28"/>
  <c r="M88" i="28"/>
  <c r="M85" i="28"/>
  <c r="M83" i="28"/>
  <c r="M196" i="28"/>
  <c r="M194" i="28"/>
  <c r="M191" i="28"/>
  <c r="M189" i="28"/>
  <c r="M187" i="28"/>
  <c r="M185" i="28"/>
  <c r="M183" i="28"/>
  <c r="M181" i="28"/>
  <c r="M179" i="28"/>
  <c r="M176" i="28"/>
  <c r="M174" i="28"/>
  <c r="M172" i="28"/>
  <c r="M170" i="28"/>
  <c r="M167" i="28"/>
  <c r="M165" i="28"/>
  <c r="M118" i="28"/>
  <c r="M116" i="28"/>
  <c r="M114" i="28"/>
  <c r="M100" i="28"/>
  <c r="M98" i="28"/>
  <c r="M96" i="28"/>
  <c r="M70" i="28"/>
  <c r="M49" i="28"/>
  <c r="M33" i="28"/>
  <c r="K15" i="86"/>
  <c r="H225" i="60"/>
  <c r="K13" i="60"/>
  <c r="H221" i="60"/>
  <c r="H223" i="60"/>
  <c r="H220" i="60"/>
  <c r="H224" i="60"/>
  <c r="H228" i="60"/>
  <c r="H219" i="60"/>
  <c r="H227" i="60"/>
  <c r="H222" i="60"/>
  <c r="H226" i="60"/>
  <c r="G236" i="60"/>
  <c r="M119" i="60"/>
  <c r="M93" i="60"/>
  <c r="M197" i="60"/>
  <c r="M89" i="60"/>
  <c r="M85" i="60"/>
  <c r="M99" i="60"/>
  <c r="M116" i="60"/>
  <c r="M194" i="60"/>
  <c r="M190" i="60"/>
  <c r="M186" i="60"/>
  <c r="M182" i="60"/>
  <c r="M178" i="60"/>
  <c r="M174" i="60"/>
  <c r="M170" i="60"/>
  <c r="M166" i="60"/>
  <c r="M82" i="60"/>
  <c r="M91" i="60"/>
  <c r="M87" i="60"/>
  <c r="M83" i="60"/>
  <c r="M101" i="60"/>
  <c r="M97" i="60"/>
  <c r="M118" i="60"/>
  <c r="M114" i="60"/>
  <c r="M123" i="60"/>
  <c r="M196" i="60"/>
  <c r="M192" i="60"/>
  <c r="M188" i="60"/>
  <c r="M184" i="60"/>
  <c r="M180" i="60"/>
  <c r="M176" i="60"/>
  <c r="M172" i="60"/>
  <c r="M168" i="60"/>
  <c r="M92" i="60"/>
  <c r="M88" i="60"/>
  <c r="M84" i="60"/>
  <c r="M98" i="60"/>
  <c r="M195" i="60"/>
  <c r="M187" i="60"/>
  <c r="M183" i="60"/>
  <c r="M171" i="60"/>
  <c r="M167" i="60"/>
  <c r="M90" i="60"/>
  <c r="M86" i="60"/>
  <c r="M100" i="60"/>
  <c r="M96" i="60"/>
  <c r="M117" i="60"/>
  <c r="M157" i="60"/>
  <c r="M193" i="60"/>
  <c r="M189" i="60"/>
  <c r="M185" i="60"/>
  <c r="M181" i="60"/>
  <c r="M177" i="60"/>
  <c r="M173" i="60"/>
  <c r="M169" i="60"/>
  <c r="M165" i="60"/>
  <c r="M115" i="60"/>
  <c r="M164" i="60"/>
  <c r="M191" i="60"/>
  <c r="M179" i="60"/>
  <c r="M175" i="60"/>
  <c r="M159" i="60"/>
  <c r="M156" i="60"/>
  <c r="M153" i="60"/>
  <c r="M151" i="60"/>
  <c r="M149" i="60"/>
  <c r="M147" i="60"/>
  <c r="M145" i="60"/>
  <c r="M142" i="60"/>
  <c r="M140" i="60"/>
  <c r="M137" i="60"/>
  <c r="M135" i="60"/>
  <c r="M132" i="60"/>
  <c r="M130" i="60"/>
  <c r="M127" i="60"/>
  <c r="M125" i="60"/>
  <c r="M109" i="60"/>
  <c r="M107" i="60"/>
  <c r="M60" i="60"/>
  <c r="M58" i="60"/>
  <c r="M56" i="60"/>
  <c r="M54" i="60"/>
  <c r="M52" i="60"/>
  <c r="M50" i="60"/>
  <c r="M48" i="60"/>
  <c r="M46" i="60"/>
  <c r="M44" i="60"/>
  <c r="M42" i="60"/>
  <c r="M40" i="60"/>
  <c r="M38" i="60"/>
  <c r="M36" i="60"/>
  <c r="M34" i="60"/>
  <c r="M32" i="60"/>
  <c r="M30" i="60"/>
  <c r="M28" i="60"/>
  <c r="M26" i="60"/>
  <c r="M205" i="60"/>
  <c r="M203" i="60"/>
  <c r="M201" i="60"/>
  <c r="M160" i="60"/>
  <c r="M158" i="60"/>
  <c r="M155" i="60"/>
  <c r="M152" i="60"/>
  <c r="M150" i="60"/>
  <c r="M148" i="60"/>
  <c r="M146" i="60"/>
  <c r="M143" i="60"/>
  <c r="M141" i="60"/>
  <c r="M138" i="60"/>
  <c r="M136" i="60"/>
  <c r="M133" i="60"/>
  <c r="M131" i="60"/>
  <c r="M129" i="60"/>
  <c r="M126" i="60"/>
  <c r="M124" i="60"/>
  <c r="M102" i="60"/>
  <c r="M204" i="60"/>
  <c r="M202" i="60"/>
  <c r="M200" i="60"/>
  <c r="M105" i="60"/>
  <c r="M78" i="60"/>
  <c r="M76" i="60"/>
  <c r="M74" i="60"/>
  <c r="M72" i="60"/>
  <c r="M70" i="60"/>
  <c r="M68" i="60"/>
  <c r="M66" i="60"/>
  <c r="M64" i="60"/>
  <c r="M110" i="60"/>
  <c r="M108" i="60"/>
  <c r="M106" i="60"/>
  <c r="M77" i="60"/>
  <c r="M75" i="60"/>
  <c r="M73" i="60"/>
  <c r="M71" i="60"/>
  <c r="M69" i="60"/>
  <c r="M67" i="60"/>
  <c r="M65" i="60"/>
  <c r="M59" i="60"/>
  <c r="M57" i="60"/>
  <c r="M55" i="60"/>
  <c r="M53" i="60"/>
  <c r="M51" i="60"/>
  <c r="M49" i="60"/>
  <c r="M47" i="60"/>
  <c r="M45" i="60"/>
  <c r="M43" i="60"/>
  <c r="M41" i="60"/>
  <c r="M39" i="60"/>
  <c r="M37" i="60"/>
  <c r="M35" i="60"/>
  <c r="M33" i="60"/>
  <c r="M31" i="60"/>
  <c r="M29" i="60"/>
  <c r="M27" i="60"/>
  <c r="M25" i="60"/>
  <c r="K13" i="86"/>
  <c r="H227" i="86"/>
  <c r="H225" i="86"/>
  <c r="H223" i="86"/>
  <c r="H221" i="86"/>
  <c r="H219" i="86"/>
  <c r="M102" i="86"/>
  <c r="H226" i="86"/>
  <c r="H222" i="86"/>
  <c r="G236" i="86"/>
  <c r="H228" i="86"/>
  <c r="H224" i="86"/>
  <c r="H220" i="86"/>
  <c r="M200" i="86"/>
  <c r="M96" i="86"/>
  <c r="M61" i="86"/>
  <c r="M99" i="86"/>
  <c r="M93" i="86"/>
  <c r="M111" i="86"/>
  <c r="M59" i="86"/>
  <c r="M55" i="86"/>
  <c r="M51" i="86"/>
  <c r="M47" i="86"/>
  <c r="M43" i="86"/>
  <c r="M39" i="86"/>
  <c r="M35" i="86"/>
  <c r="M31" i="86"/>
  <c r="M27" i="86"/>
  <c r="M89" i="86"/>
  <c r="M85" i="86"/>
  <c r="M100" i="86"/>
  <c r="M108" i="86"/>
  <c r="M118" i="86"/>
  <c r="M114" i="86"/>
  <c r="M136" i="86"/>
  <c r="M131" i="86"/>
  <c r="M126" i="86"/>
  <c r="M164" i="86"/>
  <c r="M194" i="86"/>
  <c r="M190" i="86"/>
  <c r="M186" i="86"/>
  <c r="M182" i="86"/>
  <c r="M178" i="86"/>
  <c r="M174" i="86"/>
  <c r="M170" i="86"/>
  <c r="M166" i="86"/>
  <c r="M57" i="86"/>
  <c r="M53" i="86"/>
  <c r="M49" i="86"/>
  <c r="M45" i="86"/>
  <c r="M41" i="86"/>
  <c r="M37" i="86"/>
  <c r="M33" i="86"/>
  <c r="M29" i="86"/>
  <c r="M64" i="86"/>
  <c r="M91" i="86"/>
  <c r="M87" i="86"/>
  <c r="M83" i="86"/>
  <c r="M97" i="86"/>
  <c r="M110" i="86"/>
  <c r="M106" i="86"/>
  <c r="M116" i="86"/>
  <c r="M133" i="86"/>
  <c r="M129" i="86"/>
  <c r="M124" i="86"/>
  <c r="M196" i="86"/>
  <c r="M192" i="86"/>
  <c r="M188" i="86"/>
  <c r="M184" i="86"/>
  <c r="M180" i="86"/>
  <c r="M176" i="86"/>
  <c r="M172" i="86"/>
  <c r="M168" i="86"/>
  <c r="M58" i="86"/>
  <c r="M54" i="86"/>
  <c r="M50" i="86"/>
  <c r="M46" i="86"/>
  <c r="M42" i="86"/>
  <c r="M38" i="86"/>
  <c r="M34" i="86"/>
  <c r="M30" i="86"/>
  <c r="M26" i="86"/>
  <c r="M92" i="86"/>
  <c r="M88" i="86"/>
  <c r="M84" i="86"/>
  <c r="M98" i="86"/>
  <c r="M107" i="86"/>
  <c r="M189" i="86"/>
  <c r="M181" i="86"/>
  <c r="M173" i="86"/>
  <c r="M165" i="86"/>
  <c r="M25" i="86"/>
  <c r="M60" i="86"/>
  <c r="M56" i="86"/>
  <c r="M52" i="86"/>
  <c r="M48" i="86"/>
  <c r="M44" i="86"/>
  <c r="M40" i="86"/>
  <c r="M36" i="86"/>
  <c r="M32" i="86"/>
  <c r="M28" i="86"/>
  <c r="M75" i="86"/>
  <c r="M82" i="86"/>
  <c r="M90" i="86"/>
  <c r="M86" i="86"/>
  <c r="M101" i="86"/>
  <c r="M109" i="86"/>
  <c r="M105" i="86"/>
  <c r="M115" i="86"/>
  <c r="M135" i="86"/>
  <c r="M130" i="86"/>
  <c r="M125" i="86"/>
  <c r="M195" i="86"/>
  <c r="M191" i="86"/>
  <c r="M187" i="86"/>
  <c r="M183" i="86"/>
  <c r="M179" i="86"/>
  <c r="M175" i="86"/>
  <c r="M171" i="86"/>
  <c r="M167" i="86"/>
  <c r="M117" i="86"/>
  <c r="M132" i="86"/>
  <c r="M127" i="86"/>
  <c r="M123" i="86"/>
  <c r="M193" i="86"/>
  <c r="M185" i="86"/>
  <c r="M177" i="86"/>
  <c r="M169" i="86"/>
  <c r="M205" i="86"/>
  <c r="M203" i="86"/>
  <c r="M201" i="86"/>
  <c r="M197" i="86"/>
  <c r="M204" i="86"/>
  <c r="M202" i="86"/>
  <c r="M159" i="86"/>
  <c r="M157" i="86"/>
  <c r="M155" i="86"/>
  <c r="M152" i="86"/>
  <c r="M150" i="86"/>
  <c r="M148" i="86"/>
  <c r="M146" i="86"/>
  <c r="M143" i="86"/>
  <c r="M141" i="86"/>
  <c r="M138" i="86"/>
  <c r="M78" i="86"/>
  <c r="M76" i="86"/>
  <c r="M73" i="86"/>
  <c r="M71" i="86"/>
  <c r="M69" i="86"/>
  <c r="M67" i="86"/>
  <c r="M65" i="86"/>
  <c r="M160" i="86"/>
  <c r="M158" i="86"/>
  <c r="M156" i="86"/>
  <c r="M153" i="86"/>
  <c r="M151" i="86"/>
  <c r="M149" i="86"/>
  <c r="M147" i="86"/>
  <c r="M145" i="86"/>
  <c r="M142" i="86"/>
  <c r="M140" i="86"/>
  <c r="M137" i="86"/>
  <c r="M77" i="86"/>
  <c r="M74" i="86"/>
  <c r="M72" i="86"/>
  <c r="M70" i="86"/>
  <c r="M68" i="86"/>
  <c r="M66" i="86"/>
  <c r="M161" i="86"/>
  <c r="M119" i="86"/>
  <c r="K15" i="60"/>
  <c r="H228" i="39"/>
  <c r="H226" i="39"/>
  <c r="H224" i="39"/>
  <c r="H222" i="39"/>
  <c r="H220" i="39"/>
  <c r="K13" i="39"/>
  <c r="H227" i="39"/>
  <c r="H225" i="39"/>
  <c r="H223" i="39"/>
  <c r="H221" i="39"/>
  <c r="H219" i="39"/>
  <c r="G236" i="39"/>
  <c r="M119" i="39"/>
  <c r="M61" i="39"/>
  <c r="M60" i="39"/>
  <c r="M56" i="39"/>
  <c r="M52" i="39"/>
  <c r="M48" i="39"/>
  <c r="M44" i="39"/>
  <c r="M40" i="39"/>
  <c r="M36" i="39"/>
  <c r="M32" i="39"/>
  <c r="M28" i="39"/>
  <c r="M73" i="39"/>
  <c r="M77" i="39"/>
  <c r="M91" i="39"/>
  <c r="M87" i="39"/>
  <c r="M83" i="39"/>
  <c r="M100" i="39"/>
  <c r="M96" i="39"/>
  <c r="M108" i="39"/>
  <c r="M118" i="39"/>
  <c r="M114" i="39"/>
  <c r="M159" i="39"/>
  <c r="M155" i="39"/>
  <c r="M150" i="39"/>
  <c r="M146" i="39"/>
  <c r="M141" i="39"/>
  <c r="M136" i="39"/>
  <c r="M164" i="39"/>
  <c r="M194" i="39"/>
  <c r="M190" i="39"/>
  <c r="M186" i="39"/>
  <c r="M203" i="39"/>
  <c r="M58" i="39"/>
  <c r="M54" i="39"/>
  <c r="M50" i="39"/>
  <c r="M46" i="39"/>
  <c r="M42" i="39"/>
  <c r="M38" i="39"/>
  <c r="M34" i="39"/>
  <c r="M30" i="39"/>
  <c r="M26" i="39"/>
  <c r="M75" i="39"/>
  <c r="M89" i="39"/>
  <c r="M85" i="39"/>
  <c r="M98" i="39"/>
  <c r="M106" i="39"/>
  <c r="M116" i="39"/>
  <c r="M157" i="39"/>
  <c r="M152" i="39"/>
  <c r="M148" i="39"/>
  <c r="M143" i="39"/>
  <c r="M138" i="39"/>
  <c r="M196" i="39"/>
  <c r="M192" i="39"/>
  <c r="M188" i="39"/>
  <c r="M205" i="39"/>
  <c r="M25" i="39"/>
  <c r="M59" i="39"/>
  <c r="M55" i="39"/>
  <c r="M51" i="39"/>
  <c r="M47" i="39"/>
  <c r="M43" i="39"/>
  <c r="M39" i="39"/>
  <c r="M35" i="39"/>
  <c r="M31" i="39"/>
  <c r="M27" i="39"/>
  <c r="M72" i="39"/>
  <c r="M76" i="39"/>
  <c r="M82" i="39"/>
  <c r="M90" i="39"/>
  <c r="M86" i="39"/>
  <c r="M101" i="39"/>
  <c r="M97" i="39"/>
  <c r="M107" i="39"/>
  <c r="M160" i="39"/>
  <c r="M151" i="39"/>
  <c r="M142" i="39"/>
  <c r="M195" i="39"/>
  <c r="M187" i="39"/>
  <c r="M57" i="39"/>
  <c r="M53" i="39"/>
  <c r="M49" i="39"/>
  <c r="M45" i="39"/>
  <c r="M41" i="39"/>
  <c r="M37" i="39"/>
  <c r="M33" i="39"/>
  <c r="M29" i="39"/>
  <c r="M64" i="39"/>
  <c r="M74" i="39"/>
  <c r="M78" i="39"/>
  <c r="M92" i="39"/>
  <c r="M88" i="39"/>
  <c r="M84" i="39"/>
  <c r="M99" i="39"/>
  <c r="M109" i="39"/>
  <c r="M105" i="39"/>
  <c r="M115" i="39"/>
  <c r="M158" i="39"/>
  <c r="M153" i="39"/>
  <c r="M149" i="39"/>
  <c r="M145" i="39"/>
  <c r="M140" i="39"/>
  <c r="M123" i="39"/>
  <c r="M193" i="39"/>
  <c r="M189" i="39"/>
  <c r="M200" i="39"/>
  <c r="M117" i="39"/>
  <c r="M156" i="39"/>
  <c r="M147" i="39"/>
  <c r="M137" i="39"/>
  <c r="M191" i="39"/>
  <c r="M204" i="39"/>
  <c r="M185" i="39"/>
  <c r="M183" i="39"/>
  <c r="M181" i="39"/>
  <c r="M179" i="39"/>
  <c r="M177" i="39"/>
  <c r="M175" i="39"/>
  <c r="M173" i="39"/>
  <c r="M171" i="39"/>
  <c r="M169" i="39"/>
  <c r="M167" i="39"/>
  <c r="M165" i="39"/>
  <c r="M184" i="39"/>
  <c r="M182" i="39"/>
  <c r="M180" i="39"/>
  <c r="M178" i="39"/>
  <c r="M176" i="39"/>
  <c r="M174" i="39"/>
  <c r="M172" i="39"/>
  <c r="M170" i="39"/>
  <c r="M168" i="39"/>
  <c r="M166" i="39"/>
  <c r="M102" i="39"/>
  <c r="M202" i="39"/>
  <c r="M133" i="39"/>
  <c r="M131" i="39"/>
  <c r="M129" i="39"/>
  <c r="M126" i="39"/>
  <c r="M124" i="39"/>
  <c r="M71" i="39"/>
  <c r="M69" i="39"/>
  <c r="M67" i="39"/>
  <c r="M65" i="39"/>
  <c r="M93" i="39"/>
  <c r="M201" i="39"/>
  <c r="M135" i="39"/>
  <c r="M132" i="39"/>
  <c r="M130" i="39"/>
  <c r="M127" i="39"/>
  <c r="M125" i="39"/>
  <c r="M70" i="39"/>
  <c r="M68" i="39"/>
  <c r="M66" i="39"/>
  <c r="M110" i="39"/>
  <c r="K15" i="43"/>
  <c r="K13" i="59"/>
  <c r="H228" i="59"/>
  <c r="H226" i="59"/>
  <c r="H224" i="59"/>
  <c r="H222" i="59"/>
  <c r="H220" i="59"/>
  <c r="H227" i="59"/>
  <c r="H225" i="59"/>
  <c r="H223" i="59"/>
  <c r="H221" i="59"/>
  <c r="H219" i="59"/>
  <c r="G236" i="59"/>
  <c r="M114" i="59"/>
  <c r="M105" i="59"/>
  <c r="M21" i="59"/>
  <c r="M206" i="59"/>
  <c r="M96" i="59"/>
  <c r="M59" i="59"/>
  <c r="M55" i="59"/>
  <c r="M51" i="59"/>
  <c r="M70" i="59"/>
  <c r="M74" i="59"/>
  <c r="M82" i="59"/>
  <c r="M98" i="59"/>
  <c r="M110" i="59"/>
  <c r="M115" i="59"/>
  <c r="M195" i="59"/>
  <c r="M191" i="59"/>
  <c r="M187" i="59"/>
  <c r="M183" i="59"/>
  <c r="M201" i="59"/>
  <c r="M205" i="59"/>
  <c r="M25" i="59"/>
  <c r="M57" i="59"/>
  <c r="M53" i="59"/>
  <c r="M64" i="59"/>
  <c r="M72" i="59"/>
  <c r="M78" i="59"/>
  <c r="M92" i="59"/>
  <c r="M108" i="59"/>
  <c r="M117" i="59"/>
  <c r="M143" i="59"/>
  <c r="M193" i="59"/>
  <c r="M189" i="59"/>
  <c r="M185" i="59"/>
  <c r="M203" i="59"/>
  <c r="M60" i="59"/>
  <c r="M56" i="59"/>
  <c r="M52" i="59"/>
  <c r="M69" i="59"/>
  <c r="M73" i="59"/>
  <c r="M77" i="59"/>
  <c r="M91" i="59"/>
  <c r="M101" i="59"/>
  <c r="M97" i="59"/>
  <c r="M109" i="59"/>
  <c r="M123" i="59"/>
  <c r="M190" i="59"/>
  <c r="M170" i="59"/>
  <c r="M58" i="59"/>
  <c r="M54" i="59"/>
  <c r="M71" i="59"/>
  <c r="M75" i="59"/>
  <c r="M99" i="59"/>
  <c r="M107" i="59"/>
  <c r="M116" i="59"/>
  <c r="M196" i="59"/>
  <c r="M192" i="59"/>
  <c r="M188" i="59"/>
  <c r="M184" i="59"/>
  <c r="M200" i="59"/>
  <c r="M204" i="59"/>
  <c r="M194" i="59"/>
  <c r="M186" i="59"/>
  <c r="M202" i="59"/>
  <c r="M67" i="59"/>
  <c r="M65" i="59"/>
  <c r="M182" i="59"/>
  <c r="M180" i="59"/>
  <c r="M178" i="59"/>
  <c r="M176" i="59"/>
  <c r="M174" i="59"/>
  <c r="M172" i="59"/>
  <c r="M169" i="59"/>
  <c r="M167" i="59"/>
  <c r="M165" i="59"/>
  <c r="M160" i="59"/>
  <c r="M158" i="59"/>
  <c r="M156" i="59"/>
  <c r="M153" i="59"/>
  <c r="M151" i="59"/>
  <c r="M149" i="59"/>
  <c r="M147" i="59"/>
  <c r="M145" i="59"/>
  <c r="M141" i="59"/>
  <c r="M138" i="59"/>
  <c r="M136" i="59"/>
  <c r="M133" i="59"/>
  <c r="M131" i="59"/>
  <c r="M129" i="59"/>
  <c r="M126" i="59"/>
  <c r="M124" i="59"/>
  <c r="M90" i="59"/>
  <c r="M88" i="59"/>
  <c r="M86" i="59"/>
  <c r="M84" i="59"/>
  <c r="M181" i="59"/>
  <c r="M179" i="59"/>
  <c r="M177" i="59"/>
  <c r="M175" i="59"/>
  <c r="M173" i="59"/>
  <c r="M171" i="59"/>
  <c r="M168" i="59"/>
  <c r="M166" i="59"/>
  <c r="M164" i="59"/>
  <c r="M89" i="59"/>
  <c r="M87" i="59"/>
  <c r="M85" i="59"/>
  <c r="M83" i="59"/>
  <c r="M68" i="59"/>
  <c r="M66" i="59"/>
  <c r="M50" i="59"/>
  <c r="M48" i="59"/>
  <c r="M46" i="59"/>
  <c r="M44" i="59"/>
  <c r="M42" i="59"/>
  <c r="M40" i="59"/>
  <c r="M38" i="59"/>
  <c r="M36" i="59"/>
  <c r="M34" i="59"/>
  <c r="M32" i="59"/>
  <c r="M30" i="59"/>
  <c r="M28" i="59"/>
  <c r="M26" i="59"/>
  <c r="M106" i="59"/>
  <c r="M49" i="59"/>
  <c r="M47" i="59"/>
  <c r="M45" i="59"/>
  <c r="M43" i="59"/>
  <c r="M41" i="59"/>
  <c r="M39" i="59"/>
  <c r="M37" i="59"/>
  <c r="M35" i="59"/>
  <c r="M33" i="59"/>
  <c r="M31" i="59"/>
  <c r="M29" i="59"/>
  <c r="M27" i="59"/>
  <c r="M118" i="59"/>
  <c r="M159" i="59"/>
  <c r="M157" i="59"/>
  <c r="M155" i="59"/>
  <c r="M152" i="59"/>
  <c r="M150" i="59"/>
  <c r="M148" i="59"/>
  <c r="M146" i="59"/>
  <c r="M142" i="59"/>
  <c r="M140" i="59"/>
  <c r="M137" i="59"/>
  <c r="M135" i="59"/>
  <c r="M132" i="59"/>
  <c r="M130" i="59"/>
  <c r="M127" i="59"/>
  <c r="M125" i="59"/>
  <c r="M100" i="59"/>
  <c r="M76" i="59"/>
  <c r="K15" i="63"/>
  <c r="K13" i="45"/>
  <c r="H226" i="45"/>
  <c r="H222" i="45"/>
  <c r="H227" i="45"/>
  <c r="H223" i="45"/>
  <c r="H219" i="45"/>
  <c r="G236" i="45"/>
  <c r="H228" i="45"/>
  <c r="H224" i="45"/>
  <c r="H220" i="45"/>
  <c r="H225" i="45"/>
  <c r="H221" i="45"/>
  <c r="M114" i="45"/>
  <c r="M119" i="45"/>
  <c r="M21" i="45"/>
  <c r="M111" i="45"/>
  <c r="M72" i="45"/>
  <c r="M76" i="45"/>
  <c r="M82" i="45"/>
  <c r="M90" i="45"/>
  <c r="M100" i="45"/>
  <c r="M108" i="45"/>
  <c r="M117" i="45"/>
  <c r="M157" i="45"/>
  <c r="M193" i="45"/>
  <c r="M189" i="45"/>
  <c r="M185" i="45"/>
  <c r="M74" i="45"/>
  <c r="M78" i="45"/>
  <c r="M92" i="45"/>
  <c r="M88" i="45"/>
  <c r="M110" i="45"/>
  <c r="M106" i="45"/>
  <c r="M115" i="45"/>
  <c r="M159" i="45"/>
  <c r="M155" i="45"/>
  <c r="M195" i="45"/>
  <c r="M191" i="45"/>
  <c r="M187" i="45"/>
  <c r="M73" i="45"/>
  <c r="M77" i="45"/>
  <c r="M91" i="45"/>
  <c r="M87" i="45"/>
  <c r="M101" i="45"/>
  <c r="M109" i="45"/>
  <c r="M105" i="45"/>
  <c r="M123" i="45"/>
  <c r="M196" i="45"/>
  <c r="M184" i="45"/>
  <c r="M75" i="45"/>
  <c r="M89" i="45"/>
  <c r="M99" i="45"/>
  <c r="M107" i="45"/>
  <c r="M118" i="45"/>
  <c r="M160" i="45"/>
  <c r="M156" i="45"/>
  <c r="M164" i="45"/>
  <c r="M194" i="45"/>
  <c r="M190" i="45"/>
  <c r="M186" i="45"/>
  <c r="M180" i="45"/>
  <c r="M200" i="45"/>
  <c r="M116" i="45"/>
  <c r="M158" i="45"/>
  <c r="M192" i="45"/>
  <c r="M188" i="45"/>
  <c r="M172" i="45"/>
  <c r="M151" i="45"/>
  <c r="M149" i="45"/>
  <c r="M147" i="45"/>
  <c r="M145" i="45"/>
  <c r="M142" i="45"/>
  <c r="M140" i="45"/>
  <c r="M137" i="45"/>
  <c r="M135" i="45"/>
  <c r="M132" i="45"/>
  <c r="M130" i="45"/>
  <c r="M127" i="45"/>
  <c r="M125" i="45"/>
  <c r="M97" i="45"/>
  <c r="M71" i="45"/>
  <c r="M69" i="45"/>
  <c r="M67" i="45"/>
  <c r="M65" i="45"/>
  <c r="M60" i="45"/>
  <c r="M58" i="45"/>
  <c r="M56" i="45"/>
  <c r="M54" i="45"/>
  <c r="M52" i="45"/>
  <c r="M50" i="45"/>
  <c r="M48" i="45"/>
  <c r="M46" i="45"/>
  <c r="M44" i="45"/>
  <c r="M42" i="45"/>
  <c r="M40" i="45"/>
  <c r="M38" i="45"/>
  <c r="M36" i="45"/>
  <c r="M34" i="45"/>
  <c r="M32" i="45"/>
  <c r="M30" i="45"/>
  <c r="M28" i="45"/>
  <c r="M26" i="45"/>
  <c r="M182" i="45"/>
  <c r="M179" i="45"/>
  <c r="M177" i="45"/>
  <c r="M175" i="45"/>
  <c r="M173" i="45"/>
  <c r="M170" i="45"/>
  <c r="M168" i="45"/>
  <c r="M166" i="45"/>
  <c r="M153" i="45"/>
  <c r="M150" i="45"/>
  <c r="M148" i="45"/>
  <c r="M146" i="45"/>
  <c r="M143" i="45"/>
  <c r="M141" i="45"/>
  <c r="M138" i="45"/>
  <c r="M136" i="45"/>
  <c r="M133" i="45"/>
  <c r="M131" i="45"/>
  <c r="M129" i="45"/>
  <c r="M126" i="45"/>
  <c r="M124" i="45"/>
  <c r="M70" i="45"/>
  <c r="M68" i="45"/>
  <c r="M66" i="45"/>
  <c r="M64" i="45"/>
  <c r="M205" i="45"/>
  <c r="M203" i="45"/>
  <c r="M201" i="45"/>
  <c r="M183" i="45"/>
  <c r="M181" i="45"/>
  <c r="M178" i="45"/>
  <c r="M176" i="45"/>
  <c r="M174" i="45"/>
  <c r="M171" i="45"/>
  <c r="M169" i="45"/>
  <c r="M167" i="45"/>
  <c r="M165" i="45"/>
  <c r="M98" i="45"/>
  <c r="M96" i="45"/>
  <c r="M59" i="45"/>
  <c r="M57" i="45"/>
  <c r="M55" i="45"/>
  <c r="M53" i="45"/>
  <c r="M51" i="45"/>
  <c r="M49" i="45"/>
  <c r="M47" i="45"/>
  <c r="M45" i="45"/>
  <c r="M43" i="45"/>
  <c r="M41" i="45"/>
  <c r="M39" i="45"/>
  <c r="M37" i="45"/>
  <c r="M35" i="45"/>
  <c r="M33" i="45"/>
  <c r="M31" i="45"/>
  <c r="M29" i="45"/>
  <c r="M27" i="45"/>
  <c r="M25" i="45"/>
  <c r="M152" i="45"/>
  <c r="M85" i="45"/>
  <c r="M83" i="45"/>
  <c r="M204" i="45"/>
  <c r="M202" i="45"/>
  <c r="M86" i="45"/>
  <c r="M84" i="45"/>
  <c r="K15" i="32"/>
  <c r="K15" i="91"/>
  <c r="E238" i="89"/>
  <c r="E238" i="95"/>
  <c r="K15" i="98"/>
  <c r="G237" i="98"/>
  <c r="G236" i="98"/>
  <c r="E238" i="133"/>
  <c r="M208" i="89"/>
  <c r="K12" i="89"/>
  <c r="H200" i="89"/>
  <c r="H189" i="89"/>
  <c r="H181" i="89"/>
  <c r="H173" i="89"/>
  <c r="H165" i="89"/>
  <c r="H156" i="89"/>
  <c r="H147" i="89"/>
  <c r="H137" i="89"/>
  <c r="H127" i="89"/>
  <c r="H115" i="89"/>
  <c r="H106" i="89"/>
  <c r="H97" i="89"/>
  <c r="H88" i="89"/>
  <c r="H77" i="89"/>
  <c r="H69" i="89"/>
  <c r="H60" i="89"/>
  <c r="H52" i="89"/>
  <c r="H44" i="89"/>
  <c r="H36" i="89"/>
  <c r="H28" i="89"/>
  <c r="H205" i="89"/>
  <c r="H196" i="89"/>
  <c r="H188" i="89"/>
  <c r="H180" i="89"/>
  <c r="H172" i="89"/>
  <c r="H164" i="89"/>
  <c r="H152" i="89"/>
  <c r="H143" i="89"/>
  <c r="H133" i="89"/>
  <c r="H124" i="89"/>
  <c r="H114" i="89"/>
  <c r="H100" i="89"/>
  <c r="H89" i="89"/>
  <c r="H79" i="89"/>
  <c r="H72" i="89"/>
  <c r="H64" i="89"/>
  <c r="H53" i="89"/>
  <c r="H45" i="89"/>
  <c r="H37" i="89"/>
  <c r="H29" i="89"/>
  <c r="G215" i="89"/>
  <c r="H195" i="89"/>
  <c r="H187" i="89"/>
  <c r="H179" i="89"/>
  <c r="H171" i="89"/>
  <c r="H161" i="89"/>
  <c r="H153" i="89"/>
  <c r="H145" i="89"/>
  <c r="H135" i="89"/>
  <c r="H125" i="89"/>
  <c r="H111" i="89"/>
  <c r="H102" i="89"/>
  <c r="H93" i="89"/>
  <c r="H86" i="89"/>
  <c r="H75" i="89"/>
  <c r="H67" i="89"/>
  <c r="H58" i="89"/>
  <c r="H50" i="89"/>
  <c r="H42" i="89"/>
  <c r="H34" i="89"/>
  <c r="H26" i="89"/>
  <c r="H203" i="89"/>
  <c r="H194" i="89"/>
  <c r="H186" i="89"/>
  <c r="H178" i="89"/>
  <c r="H170" i="89"/>
  <c r="H159" i="89"/>
  <c r="H150" i="89"/>
  <c r="H141" i="89"/>
  <c r="H131" i="89"/>
  <c r="H119" i="89"/>
  <c r="H109" i="89"/>
  <c r="H98" i="89"/>
  <c r="H87" i="89"/>
  <c r="H78" i="89"/>
  <c r="H70" i="89"/>
  <c r="H59" i="89"/>
  <c r="H51" i="89"/>
  <c r="H43" i="89"/>
  <c r="H35" i="89"/>
  <c r="H27" i="89"/>
  <c r="H204" i="89"/>
  <c r="H193" i="89"/>
  <c r="H185" i="89"/>
  <c r="H177" i="89"/>
  <c r="H169" i="89"/>
  <c r="H160" i="89"/>
  <c r="H151" i="89"/>
  <c r="H142" i="89"/>
  <c r="H132" i="89"/>
  <c r="H123" i="89"/>
  <c r="H110" i="89"/>
  <c r="H101" i="89"/>
  <c r="H92" i="89"/>
  <c r="H84" i="89"/>
  <c r="H73" i="89"/>
  <c r="H65" i="89"/>
  <c r="H56" i="89"/>
  <c r="H48" i="89"/>
  <c r="H40" i="89"/>
  <c r="H32" i="89"/>
  <c r="H208" i="89"/>
  <c r="H201" i="89"/>
  <c r="H192" i="89"/>
  <c r="H184" i="89"/>
  <c r="H176" i="89"/>
  <c r="H168" i="89"/>
  <c r="H157" i="89"/>
  <c r="H148" i="89"/>
  <c r="H138" i="89"/>
  <c r="H129" i="89"/>
  <c r="H118" i="89"/>
  <c r="H107" i="89"/>
  <c r="H96" i="89"/>
  <c r="H85" i="89"/>
  <c r="H76" i="89"/>
  <c r="H68" i="89"/>
  <c r="H57" i="89"/>
  <c r="H49" i="89"/>
  <c r="H41" i="89"/>
  <c r="H33" i="89"/>
  <c r="H25" i="89"/>
  <c r="H202" i="89"/>
  <c r="H191" i="89"/>
  <c r="H183" i="89"/>
  <c r="H175" i="89"/>
  <c r="H167" i="89"/>
  <c r="H158" i="89"/>
  <c r="H149" i="89"/>
  <c r="H140" i="89"/>
  <c r="H130" i="89"/>
  <c r="H117" i="89"/>
  <c r="H108" i="89"/>
  <c r="H99" i="89"/>
  <c r="H90" i="89"/>
  <c r="H82" i="89"/>
  <c r="H71" i="89"/>
  <c r="H61" i="89"/>
  <c r="H54" i="89"/>
  <c r="H46" i="89"/>
  <c r="H38" i="89"/>
  <c r="H30" i="89"/>
  <c r="H206" i="89"/>
  <c r="H197" i="89"/>
  <c r="H190" i="89"/>
  <c r="H182" i="89"/>
  <c r="H174" i="89"/>
  <c r="H166" i="89"/>
  <c r="H155" i="89"/>
  <c r="H146" i="89"/>
  <c r="H136" i="89"/>
  <c r="H126" i="89"/>
  <c r="H116" i="89"/>
  <c r="H105" i="89"/>
  <c r="H91" i="89"/>
  <c r="H83" i="89"/>
  <c r="H74" i="89"/>
  <c r="H66" i="89"/>
  <c r="H55" i="89"/>
  <c r="H47" i="89"/>
  <c r="H39" i="89"/>
  <c r="H31" i="89"/>
  <c r="E238" i="63"/>
  <c r="H158" i="72"/>
  <c r="H173" i="72"/>
  <c r="H131" i="72"/>
  <c r="H87" i="72"/>
  <c r="H51" i="72"/>
  <c r="H205" i="72"/>
  <c r="H172" i="72"/>
  <c r="H127" i="72"/>
  <c r="H88" i="72"/>
  <c r="H52" i="72"/>
  <c r="H157" i="72"/>
  <c r="H179" i="72"/>
  <c r="H138" i="72"/>
  <c r="H96" i="72"/>
  <c r="H57" i="72"/>
  <c r="H25" i="72"/>
  <c r="H178" i="72"/>
  <c r="H135" i="72"/>
  <c r="H93" i="72"/>
  <c r="H58" i="72"/>
  <c r="H26" i="72"/>
  <c r="H185" i="72"/>
  <c r="H146" i="72"/>
  <c r="H105" i="72"/>
  <c r="H66" i="72"/>
  <c r="H31" i="72"/>
  <c r="H184" i="72"/>
  <c r="H142" i="72"/>
  <c r="H101" i="72"/>
  <c r="H65" i="72"/>
  <c r="H32" i="72"/>
  <c r="H191" i="72"/>
  <c r="H152" i="72"/>
  <c r="H114" i="72"/>
  <c r="H72" i="72"/>
  <c r="H37" i="72"/>
  <c r="H190" i="72"/>
  <c r="H149" i="72"/>
  <c r="H108" i="72"/>
  <c r="H71" i="72"/>
  <c r="H38" i="72"/>
  <c r="H181" i="72"/>
  <c r="H141" i="72"/>
  <c r="H98" i="72"/>
  <c r="H59" i="72"/>
  <c r="H27" i="72"/>
  <c r="H180" i="72"/>
  <c r="H137" i="72"/>
  <c r="H97" i="72"/>
  <c r="H60" i="72"/>
  <c r="H28" i="72"/>
  <c r="H187" i="72"/>
  <c r="H148" i="72"/>
  <c r="H107" i="72"/>
  <c r="H68" i="72"/>
  <c r="H33" i="72"/>
  <c r="H186" i="72"/>
  <c r="H145" i="72"/>
  <c r="H102" i="72"/>
  <c r="H67" i="72"/>
  <c r="H34" i="72"/>
  <c r="H193" i="72"/>
  <c r="H155" i="72"/>
  <c r="H116" i="72"/>
  <c r="H74" i="72"/>
  <c r="H39" i="72"/>
  <c r="H192" i="72"/>
  <c r="H151" i="72"/>
  <c r="H110" i="72"/>
  <c r="H73" i="72"/>
  <c r="H40" i="72"/>
  <c r="H202" i="72"/>
  <c r="H167" i="72"/>
  <c r="H124" i="72"/>
  <c r="H79" i="72"/>
  <c r="H45" i="72"/>
  <c r="H197" i="72"/>
  <c r="H166" i="72"/>
  <c r="H117" i="72"/>
  <c r="H82" i="72"/>
  <c r="H46" i="72"/>
  <c r="M208" i="72"/>
  <c r="H189" i="72"/>
  <c r="H150" i="72"/>
  <c r="H109" i="72"/>
  <c r="H70" i="72"/>
  <c r="H35" i="72"/>
  <c r="H188" i="72"/>
  <c r="H147" i="72"/>
  <c r="H106" i="72"/>
  <c r="H69" i="72"/>
  <c r="H36" i="72"/>
  <c r="H195" i="72"/>
  <c r="H161" i="72"/>
  <c r="H118" i="72"/>
  <c r="H76" i="72"/>
  <c r="H41" i="72"/>
  <c r="H194" i="72"/>
  <c r="H153" i="72"/>
  <c r="H111" i="72"/>
  <c r="H75" i="72"/>
  <c r="H42" i="72"/>
  <c r="H204" i="72"/>
  <c r="H169" i="72"/>
  <c r="H126" i="72"/>
  <c r="H83" i="72"/>
  <c r="H47" i="72"/>
  <c r="H201" i="72"/>
  <c r="H168" i="72"/>
  <c r="H123" i="72"/>
  <c r="H84" i="72"/>
  <c r="H48" i="72"/>
  <c r="H156" i="72"/>
  <c r="H175" i="72"/>
  <c r="H133" i="72"/>
  <c r="H89" i="72"/>
  <c r="H53" i="72"/>
  <c r="H206" i="72"/>
  <c r="H174" i="72"/>
  <c r="H130" i="72"/>
  <c r="H90" i="72"/>
  <c r="H54" i="72"/>
  <c r="H200" i="72"/>
  <c r="H165" i="72"/>
  <c r="H119" i="72"/>
  <c r="H78" i="72"/>
  <c r="H43" i="72"/>
  <c r="H196" i="72"/>
  <c r="H164" i="72"/>
  <c r="H115" i="72"/>
  <c r="H77" i="72"/>
  <c r="H44" i="72"/>
  <c r="H160" i="72"/>
  <c r="H171" i="72"/>
  <c r="H129" i="72"/>
  <c r="H85" i="72"/>
  <c r="H49" i="72"/>
  <c r="H203" i="72"/>
  <c r="H170" i="72"/>
  <c r="H125" i="72"/>
  <c r="H86" i="72"/>
  <c r="H50" i="72"/>
  <c r="H159" i="72"/>
  <c r="H177" i="72"/>
  <c r="H136" i="72"/>
  <c r="H91" i="72"/>
  <c r="H55" i="72"/>
  <c r="H208" i="72"/>
  <c r="H176" i="72"/>
  <c r="H132" i="72"/>
  <c r="H92" i="72"/>
  <c r="H56" i="72"/>
  <c r="K12" i="72"/>
  <c r="H183" i="72"/>
  <c r="H143" i="72"/>
  <c r="H100" i="72"/>
  <c r="H64" i="72"/>
  <c r="H29" i="72"/>
  <c r="H182" i="72"/>
  <c r="H140" i="72"/>
  <c r="H99" i="72"/>
  <c r="H61" i="72"/>
  <c r="H30" i="72"/>
  <c r="G215" i="72"/>
  <c r="M208" i="94"/>
  <c r="H204" i="94"/>
  <c r="H193" i="94"/>
  <c r="H185" i="94"/>
  <c r="H177" i="94"/>
  <c r="H169" i="94"/>
  <c r="H160" i="94"/>
  <c r="H151" i="94"/>
  <c r="H142" i="94"/>
  <c r="H132" i="94"/>
  <c r="H123" i="94"/>
  <c r="H110" i="94"/>
  <c r="H101" i="94"/>
  <c r="H92" i="94"/>
  <c r="H84" i="94"/>
  <c r="H73" i="94"/>
  <c r="H65" i="94"/>
  <c r="H56" i="94"/>
  <c r="H48" i="94"/>
  <c r="H40" i="94"/>
  <c r="H32" i="94"/>
  <c r="H208" i="94"/>
  <c r="H201" i="94"/>
  <c r="H192" i="94"/>
  <c r="H184" i="94"/>
  <c r="H176" i="94"/>
  <c r="H168" i="94"/>
  <c r="H157" i="94"/>
  <c r="H148" i="94"/>
  <c r="H138" i="94"/>
  <c r="H129" i="94"/>
  <c r="H118" i="94"/>
  <c r="H107" i="94"/>
  <c r="H96" i="94"/>
  <c r="H85" i="94"/>
  <c r="H76" i="94"/>
  <c r="H68" i="94"/>
  <c r="H57" i="94"/>
  <c r="H49" i="94"/>
  <c r="H41" i="94"/>
  <c r="H33" i="94"/>
  <c r="H25" i="94"/>
  <c r="H195" i="94"/>
  <c r="H187" i="94"/>
  <c r="H179" i="94"/>
  <c r="H171" i="94"/>
  <c r="H161" i="94"/>
  <c r="H153" i="94"/>
  <c r="H145" i="94"/>
  <c r="H135" i="94"/>
  <c r="H125" i="94"/>
  <c r="H111" i="94"/>
  <c r="H102" i="94"/>
  <c r="H93" i="94"/>
  <c r="H86" i="94"/>
  <c r="H75" i="94"/>
  <c r="H67" i="94"/>
  <c r="H58" i="94"/>
  <c r="H50" i="94"/>
  <c r="H42" i="94"/>
  <c r="H34" i="94"/>
  <c r="H26" i="94"/>
  <c r="H203" i="94"/>
  <c r="H194" i="94"/>
  <c r="H186" i="94"/>
  <c r="H178" i="94"/>
  <c r="H170" i="94"/>
  <c r="H159" i="94"/>
  <c r="H150" i="94"/>
  <c r="H141" i="94"/>
  <c r="H131" i="94"/>
  <c r="H119" i="94"/>
  <c r="H109" i="94"/>
  <c r="H98" i="94"/>
  <c r="H87" i="94"/>
  <c r="H78" i="94"/>
  <c r="H70" i="94"/>
  <c r="H59" i="94"/>
  <c r="H51" i="94"/>
  <c r="H43" i="94"/>
  <c r="H35" i="94"/>
  <c r="H27" i="94"/>
  <c r="K12" i="94"/>
  <c r="H200" i="94"/>
  <c r="H189" i="94"/>
  <c r="H181" i="94"/>
  <c r="H173" i="94"/>
  <c r="H165" i="94"/>
  <c r="H156" i="94"/>
  <c r="H147" i="94"/>
  <c r="H137" i="94"/>
  <c r="H127" i="94"/>
  <c r="H115" i="94"/>
  <c r="H106" i="94"/>
  <c r="H97" i="94"/>
  <c r="H88" i="94"/>
  <c r="H77" i="94"/>
  <c r="H69" i="94"/>
  <c r="H60" i="94"/>
  <c r="H52" i="94"/>
  <c r="H44" i="94"/>
  <c r="H36" i="94"/>
  <c r="H28" i="94"/>
  <c r="H205" i="94"/>
  <c r="H196" i="94"/>
  <c r="H188" i="94"/>
  <c r="H180" i="94"/>
  <c r="H172" i="94"/>
  <c r="H164" i="94"/>
  <c r="H152" i="94"/>
  <c r="H143" i="94"/>
  <c r="H133" i="94"/>
  <c r="H124" i="94"/>
  <c r="H114" i="94"/>
  <c r="H100" i="94"/>
  <c r="H89" i="94"/>
  <c r="H79" i="94"/>
  <c r="H72" i="94"/>
  <c r="H64" i="94"/>
  <c r="H53" i="94"/>
  <c r="H45" i="94"/>
  <c r="H37" i="94"/>
  <c r="H29" i="94"/>
  <c r="H202" i="94"/>
  <c r="H191" i="94"/>
  <c r="H183" i="94"/>
  <c r="H175" i="94"/>
  <c r="H167" i="94"/>
  <c r="H158" i="94"/>
  <c r="H149" i="94"/>
  <c r="H140" i="94"/>
  <c r="H130" i="94"/>
  <c r="H117" i="94"/>
  <c r="H108" i="94"/>
  <c r="H99" i="94"/>
  <c r="H90" i="94"/>
  <c r="H82" i="94"/>
  <c r="H71" i="94"/>
  <c r="H61" i="94"/>
  <c r="H54" i="94"/>
  <c r="H46" i="94"/>
  <c r="H38" i="94"/>
  <c r="H30" i="94"/>
  <c r="H206" i="94"/>
  <c r="H197" i="94"/>
  <c r="H190" i="94"/>
  <c r="H182" i="94"/>
  <c r="H174" i="94"/>
  <c r="H166" i="94"/>
  <c r="H155" i="94"/>
  <c r="H146" i="94"/>
  <c r="H136" i="94"/>
  <c r="H126" i="94"/>
  <c r="H116" i="94"/>
  <c r="H105" i="94"/>
  <c r="H91" i="94"/>
  <c r="H83" i="94"/>
  <c r="H74" i="94"/>
  <c r="H66" i="94"/>
  <c r="H55" i="94"/>
  <c r="H47" i="94"/>
  <c r="H39" i="94"/>
  <c r="H31" i="94"/>
  <c r="E238" i="60"/>
  <c r="K12" i="38"/>
  <c r="H200" i="38"/>
  <c r="H189" i="38"/>
  <c r="H181" i="38"/>
  <c r="H173" i="38"/>
  <c r="H165" i="38"/>
  <c r="H156" i="38"/>
  <c r="H147" i="38"/>
  <c r="H137" i="38"/>
  <c r="H127" i="38"/>
  <c r="H115" i="38"/>
  <c r="H106" i="38"/>
  <c r="H97" i="38"/>
  <c r="H88" i="38"/>
  <c r="H77" i="38"/>
  <c r="H69" i="38"/>
  <c r="H60" i="38"/>
  <c r="H52" i="38"/>
  <c r="H44" i="38"/>
  <c r="H36" i="38"/>
  <c r="H28" i="38"/>
  <c r="H205" i="38"/>
  <c r="H196" i="38"/>
  <c r="H188" i="38"/>
  <c r="H180" i="38"/>
  <c r="H172" i="38"/>
  <c r="H164" i="38"/>
  <c r="H152" i="38"/>
  <c r="H143" i="38"/>
  <c r="H133" i="38"/>
  <c r="H124" i="38"/>
  <c r="H114" i="38"/>
  <c r="H100" i="38"/>
  <c r="H89" i="38"/>
  <c r="H79" i="38"/>
  <c r="H72" i="38"/>
  <c r="H64" i="38"/>
  <c r="H53" i="38"/>
  <c r="H45" i="38"/>
  <c r="H37" i="38"/>
  <c r="H29" i="38"/>
  <c r="G215" i="38"/>
  <c r="H202" i="38"/>
  <c r="H191" i="38"/>
  <c r="H183" i="38"/>
  <c r="H175" i="38"/>
  <c r="H167" i="38"/>
  <c r="H158" i="38"/>
  <c r="H149" i="38"/>
  <c r="H140" i="38"/>
  <c r="H130" i="38"/>
  <c r="H117" i="38"/>
  <c r="H108" i="38"/>
  <c r="H99" i="38"/>
  <c r="H90" i="38"/>
  <c r="H82" i="38"/>
  <c r="H71" i="38"/>
  <c r="H61" i="38"/>
  <c r="H54" i="38"/>
  <c r="H46" i="38"/>
  <c r="H38" i="38"/>
  <c r="H30" i="38"/>
  <c r="H206" i="38"/>
  <c r="H197" i="38"/>
  <c r="H190" i="38"/>
  <c r="H182" i="38"/>
  <c r="H174" i="38"/>
  <c r="H166" i="38"/>
  <c r="H155" i="38"/>
  <c r="H146" i="38"/>
  <c r="H136" i="38"/>
  <c r="H126" i="38"/>
  <c r="H116" i="38"/>
  <c r="H105" i="38"/>
  <c r="H91" i="38"/>
  <c r="H83" i="38"/>
  <c r="H74" i="38"/>
  <c r="H66" i="38"/>
  <c r="H55" i="38"/>
  <c r="H47" i="38"/>
  <c r="H39" i="38"/>
  <c r="H31" i="38"/>
  <c r="H204" i="38"/>
  <c r="H193" i="38"/>
  <c r="H185" i="38"/>
  <c r="H177" i="38"/>
  <c r="H169" i="38"/>
  <c r="H160" i="38"/>
  <c r="H151" i="38"/>
  <c r="H142" i="38"/>
  <c r="H132" i="38"/>
  <c r="H123" i="38"/>
  <c r="H110" i="38"/>
  <c r="H101" i="38"/>
  <c r="H92" i="38"/>
  <c r="H84" i="38"/>
  <c r="H73" i="38"/>
  <c r="H65" i="38"/>
  <c r="H56" i="38"/>
  <c r="H48" i="38"/>
  <c r="H40" i="38"/>
  <c r="H32" i="38"/>
  <c r="H208" i="38"/>
  <c r="H201" i="38"/>
  <c r="H192" i="38"/>
  <c r="H184" i="38"/>
  <c r="H176" i="38"/>
  <c r="H168" i="38"/>
  <c r="H157" i="38"/>
  <c r="H148" i="38"/>
  <c r="H138" i="38"/>
  <c r="H129" i="38"/>
  <c r="H118" i="38"/>
  <c r="H107" i="38"/>
  <c r="H96" i="38"/>
  <c r="H85" i="38"/>
  <c r="H76" i="38"/>
  <c r="H68" i="38"/>
  <c r="H57" i="38"/>
  <c r="H49" i="38"/>
  <c r="H41" i="38"/>
  <c r="H33" i="38"/>
  <c r="H25" i="38"/>
  <c r="H195" i="38"/>
  <c r="H187" i="38"/>
  <c r="H179" i="38"/>
  <c r="H171" i="38"/>
  <c r="H161" i="38"/>
  <c r="H153" i="38"/>
  <c r="H145" i="38"/>
  <c r="H135" i="38"/>
  <c r="H125" i="38"/>
  <c r="H111" i="38"/>
  <c r="H102" i="38"/>
  <c r="H93" i="38"/>
  <c r="H86" i="38"/>
  <c r="H75" i="38"/>
  <c r="H67" i="38"/>
  <c r="H58" i="38"/>
  <c r="H50" i="38"/>
  <c r="H42" i="38"/>
  <c r="H34" i="38"/>
  <c r="H26" i="38"/>
  <c r="H203" i="38"/>
  <c r="H194" i="38"/>
  <c r="H186" i="38"/>
  <c r="H178" i="38"/>
  <c r="H170" i="38"/>
  <c r="H159" i="38"/>
  <c r="H150" i="38"/>
  <c r="H141" i="38"/>
  <c r="H131" i="38"/>
  <c r="H119" i="38"/>
  <c r="H109" i="38"/>
  <c r="H98" i="38"/>
  <c r="H87" i="38"/>
  <c r="H78" i="38"/>
  <c r="H70" i="38"/>
  <c r="H59" i="38"/>
  <c r="H51" i="38"/>
  <c r="H43" i="38"/>
  <c r="H35" i="38"/>
  <c r="H27" i="38"/>
  <c r="M208" i="38"/>
  <c r="M208" i="95"/>
  <c r="H204" i="95"/>
  <c r="H193" i="95"/>
  <c r="H185" i="95"/>
  <c r="H177" i="95"/>
  <c r="H169" i="95"/>
  <c r="H160" i="95"/>
  <c r="H151" i="95"/>
  <c r="H142" i="95"/>
  <c r="H132" i="95"/>
  <c r="H123" i="95"/>
  <c r="H110" i="95"/>
  <c r="H101" i="95"/>
  <c r="H92" i="95"/>
  <c r="H84" i="95"/>
  <c r="H73" i="95"/>
  <c r="H65" i="95"/>
  <c r="H56" i="95"/>
  <c r="H48" i="95"/>
  <c r="H40" i="95"/>
  <c r="H32" i="95"/>
  <c r="H208" i="95"/>
  <c r="H201" i="95"/>
  <c r="H192" i="95"/>
  <c r="H184" i="95"/>
  <c r="H176" i="95"/>
  <c r="H168" i="95"/>
  <c r="H157" i="95"/>
  <c r="H148" i="95"/>
  <c r="H138" i="95"/>
  <c r="H129" i="95"/>
  <c r="H118" i="95"/>
  <c r="H107" i="95"/>
  <c r="H96" i="95"/>
  <c r="H85" i="95"/>
  <c r="H76" i="95"/>
  <c r="H68" i="95"/>
  <c r="H57" i="95"/>
  <c r="H49" i="95"/>
  <c r="H41" i="95"/>
  <c r="H33" i="95"/>
  <c r="H25" i="95"/>
  <c r="H202" i="95"/>
  <c r="H191" i="95"/>
  <c r="H183" i="95"/>
  <c r="H175" i="95"/>
  <c r="H167" i="95"/>
  <c r="H158" i="95"/>
  <c r="H149" i="95"/>
  <c r="H140" i="95"/>
  <c r="H130" i="95"/>
  <c r="H117" i="95"/>
  <c r="H108" i="95"/>
  <c r="H99" i="95"/>
  <c r="H90" i="95"/>
  <c r="H82" i="95"/>
  <c r="H71" i="95"/>
  <c r="H61" i="95"/>
  <c r="H54" i="95"/>
  <c r="H46" i="95"/>
  <c r="H38" i="95"/>
  <c r="H30" i="95"/>
  <c r="H206" i="95"/>
  <c r="H197" i="95"/>
  <c r="H190" i="95"/>
  <c r="H182" i="95"/>
  <c r="H174" i="95"/>
  <c r="H166" i="95"/>
  <c r="H155" i="95"/>
  <c r="H146" i="95"/>
  <c r="H136" i="95"/>
  <c r="H126" i="95"/>
  <c r="H116" i="95"/>
  <c r="H105" i="95"/>
  <c r="H91" i="95"/>
  <c r="H83" i="95"/>
  <c r="H74" i="95"/>
  <c r="H66" i="95"/>
  <c r="H55" i="95"/>
  <c r="H47" i="95"/>
  <c r="H39" i="95"/>
  <c r="H31" i="95"/>
  <c r="K12" i="95"/>
  <c r="H200" i="95"/>
  <c r="H189" i="95"/>
  <c r="H181" i="95"/>
  <c r="H173" i="95"/>
  <c r="H165" i="95"/>
  <c r="H156" i="95"/>
  <c r="H147" i="95"/>
  <c r="H137" i="95"/>
  <c r="H127" i="95"/>
  <c r="H115" i="95"/>
  <c r="H106" i="95"/>
  <c r="H97" i="95"/>
  <c r="H88" i="95"/>
  <c r="H77" i="95"/>
  <c r="H69" i="95"/>
  <c r="H60" i="95"/>
  <c r="H52" i="95"/>
  <c r="H44" i="95"/>
  <c r="H36" i="95"/>
  <c r="H28" i="95"/>
  <c r="H205" i="95"/>
  <c r="H196" i="95"/>
  <c r="H188" i="95"/>
  <c r="H180" i="95"/>
  <c r="H172" i="95"/>
  <c r="H164" i="95"/>
  <c r="H152" i="95"/>
  <c r="H143" i="95"/>
  <c r="H133" i="95"/>
  <c r="H124" i="95"/>
  <c r="H114" i="95"/>
  <c r="H100" i="95"/>
  <c r="H89" i="95"/>
  <c r="H79" i="95"/>
  <c r="H72" i="95"/>
  <c r="H64" i="95"/>
  <c r="H53" i="95"/>
  <c r="H45" i="95"/>
  <c r="H37" i="95"/>
  <c r="H29" i="95"/>
  <c r="H195" i="95"/>
  <c r="H187" i="95"/>
  <c r="H179" i="95"/>
  <c r="H171" i="95"/>
  <c r="H161" i="95"/>
  <c r="H153" i="95"/>
  <c r="H145" i="95"/>
  <c r="H135" i="95"/>
  <c r="H125" i="95"/>
  <c r="H111" i="95"/>
  <c r="H102" i="95"/>
  <c r="H93" i="95"/>
  <c r="H86" i="95"/>
  <c r="H75" i="95"/>
  <c r="H67" i="95"/>
  <c r="H58" i="95"/>
  <c r="H50" i="95"/>
  <c r="H42" i="95"/>
  <c r="H34" i="95"/>
  <c r="H26" i="95"/>
  <c r="H203" i="95"/>
  <c r="H194" i="95"/>
  <c r="H186" i="95"/>
  <c r="H178" i="95"/>
  <c r="H170" i="95"/>
  <c r="H159" i="95"/>
  <c r="H150" i="95"/>
  <c r="H141" i="95"/>
  <c r="H131" i="95"/>
  <c r="H119" i="95"/>
  <c r="H109" i="95"/>
  <c r="H98" i="95"/>
  <c r="H87" i="95"/>
  <c r="H78" i="95"/>
  <c r="H70" i="95"/>
  <c r="H59" i="95"/>
  <c r="H51" i="95"/>
  <c r="H43" i="95"/>
  <c r="H35" i="95"/>
  <c r="H27" i="95"/>
  <c r="M208" i="120"/>
  <c r="K12" i="120"/>
  <c r="H200" i="120"/>
  <c r="H189" i="120"/>
  <c r="H181" i="120"/>
  <c r="H173" i="120"/>
  <c r="H165" i="120"/>
  <c r="H156" i="120"/>
  <c r="H147" i="120"/>
  <c r="H137" i="120"/>
  <c r="H127" i="120"/>
  <c r="H115" i="120"/>
  <c r="H106" i="120"/>
  <c r="H97" i="120"/>
  <c r="H88" i="120"/>
  <c r="H77" i="120"/>
  <c r="H69" i="120"/>
  <c r="H60" i="120"/>
  <c r="H52" i="120"/>
  <c r="H44" i="120"/>
  <c r="H36" i="120"/>
  <c r="H28" i="120"/>
  <c r="H205" i="120"/>
  <c r="H196" i="120"/>
  <c r="H188" i="120"/>
  <c r="H180" i="120"/>
  <c r="H172" i="120"/>
  <c r="H164" i="120"/>
  <c r="H152" i="120"/>
  <c r="H143" i="120"/>
  <c r="H133" i="120"/>
  <c r="H124" i="120"/>
  <c r="H114" i="120"/>
  <c r="H100" i="120"/>
  <c r="H89" i="120"/>
  <c r="H79" i="120"/>
  <c r="H72" i="120"/>
  <c r="H64" i="120"/>
  <c r="H53" i="120"/>
  <c r="H45" i="120"/>
  <c r="H37" i="120"/>
  <c r="H29" i="120"/>
  <c r="H195" i="120"/>
  <c r="H187" i="120"/>
  <c r="H179" i="120"/>
  <c r="H171" i="120"/>
  <c r="H161" i="120"/>
  <c r="H153" i="120"/>
  <c r="H145" i="120"/>
  <c r="H135" i="120"/>
  <c r="H125" i="120"/>
  <c r="H111" i="120"/>
  <c r="H102" i="120"/>
  <c r="H93" i="120"/>
  <c r="H86" i="120"/>
  <c r="H75" i="120"/>
  <c r="H67" i="120"/>
  <c r="H58" i="120"/>
  <c r="H50" i="120"/>
  <c r="H42" i="120"/>
  <c r="H34" i="120"/>
  <c r="H26" i="120"/>
  <c r="H203" i="120"/>
  <c r="H194" i="120"/>
  <c r="H186" i="120"/>
  <c r="H178" i="120"/>
  <c r="H170" i="120"/>
  <c r="H159" i="120"/>
  <c r="H150" i="120"/>
  <c r="H141" i="120"/>
  <c r="H131" i="120"/>
  <c r="H119" i="120"/>
  <c r="H109" i="120"/>
  <c r="H98" i="120"/>
  <c r="H87" i="120"/>
  <c r="H78" i="120"/>
  <c r="H70" i="120"/>
  <c r="H59" i="120"/>
  <c r="H51" i="120"/>
  <c r="H43" i="120"/>
  <c r="H35" i="120"/>
  <c r="H27" i="120"/>
  <c r="H204" i="120"/>
  <c r="H193" i="120"/>
  <c r="H185" i="120"/>
  <c r="H177" i="120"/>
  <c r="H169" i="120"/>
  <c r="H160" i="120"/>
  <c r="H151" i="120"/>
  <c r="H142" i="120"/>
  <c r="H132" i="120"/>
  <c r="H123" i="120"/>
  <c r="H110" i="120"/>
  <c r="H101" i="120"/>
  <c r="H92" i="120"/>
  <c r="H84" i="120"/>
  <c r="H73" i="120"/>
  <c r="H65" i="120"/>
  <c r="H56" i="120"/>
  <c r="H48" i="120"/>
  <c r="H40" i="120"/>
  <c r="H32" i="120"/>
  <c r="H208" i="120"/>
  <c r="H201" i="120"/>
  <c r="H192" i="120"/>
  <c r="H184" i="120"/>
  <c r="H176" i="120"/>
  <c r="H168" i="120"/>
  <c r="H157" i="120"/>
  <c r="H148" i="120"/>
  <c r="H138" i="120"/>
  <c r="H129" i="120"/>
  <c r="H118" i="120"/>
  <c r="H107" i="120"/>
  <c r="H96" i="120"/>
  <c r="H85" i="120"/>
  <c r="H76" i="120"/>
  <c r="H68" i="120"/>
  <c r="H57" i="120"/>
  <c r="H49" i="120"/>
  <c r="H41" i="120"/>
  <c r="H33" i="120"/>
  <c r="H25" i="120"/>
  <c r="H202" i="120"/>
  <c r="H191" i="120"/>
  <c r="H183" i="120"/>
  <c r="H175" i="120"/>
  <c r="H167" i="120"/>
  <c r="H158" i="120"/>
  <c r="H149" i="120"/>
  <c r="H140" i="120"/>
  <c r="H130" i="120"/>
  <c r="H117" i="120"/>
  <c r="H108" i="120"/>
  <c r="H99" i="120"/>
  <c r="H90" i="120"/>
  <c r="H82" i="120"/>
  <c r="H71" i="120"/>
  <c r="H61" i="120"/>
  <c r="H54" i="120"/>
  <c r="H46" i="120"/>
  <c r="H38" i="120"/>
  <c r="H30" i="120"/>
  <c r="H206" i="120"/>
  <c r="H197" i="120"/>
  <c r="H190" i="120"/>
  <c r="H182" i="120"/>
  <c r="H174" i="120"/>
  <c r="H166" i="120"/>
  <c r="H155" i="120"/>
  <c r="H146" i="120"/>
  <c r="H136" i="120"/>
  <c r="H126" i="120"/>
  <c r="H116" i="120"/>
  <c r="H105" i="120"/>
  <c r="H91" i="120"/>
  <c r="H83" i="120"/>
  <c r="H74" i="120"/>
  <c r="H66" i="120"/>
  <c r="H55" i="120"/>
  <c r="H47" i="120"/>
  <c r="H39" i="120"/>
  <c r="H31" i="120"/>
  <c r="E238" i="79"/>
  <c r="M208" i="71"/>
  <c r="H202" i="71"/>
  <c r="H191" i="71"/>
  <c r="H183" i="71"/>
  <c r="H175" i="71"/>
  <c r="H167" i="71"/>
  <c r="H158" i="71"/>
  <c r="H149" i="71"/>
  <c r="H140" i="71"/>
  <c r="H130" i="71"/>
  <c r="H117" i="71"/>
  <c r="H108" i="71"/>
  <c r="H99" i="71"/>
  <c r="H90" i="71"/>
  <c r="H82" i="71"/>
  <c r="H71" i="71"/>
  <c r="H61" i="71"/>
  <c r="H54" i="71"/>
  <c r="H46" i="71"/>
  <c r="H38" i="71"/>
  <c r="H30" i="71"/>
  <c r="H206" i="71"/>
  <c r="H197" i="71"/>
  <c r="H190" i="71"/>
  <c r="H182" i="71"/>
  <c r="H174" i="71"/>
  <c r="H166" i="71"/>
  <c r="H155" i="71"/>
  <c r="H146" i="71"/>
  <c r="H136" i="71"/>
  <c r="H126" i="71"/>
  <c r="H116" i="71"/>
  <c r="H105" i="71"/>
  <c r="H91" i="71"/>
  <c r="H83" i="71"/>
  <c r="H74" i="71"/>
  <c r="H66" i="71"/>
  <c r="H55" i="71"/>
  <c r="H47" i="71"/>
  <c r="H39" i="71"/>
  <c r="H31" i="71"/>
  <c r="H204" i="71"/>
  <c r="H193" i="71"/>
  <c r="H185" i="71"/>
  <c r="H177" i="71"/>
  <c r="H169" i="71"/>
  <c r="H160" i="71"/>
  <c r="H151" i="71"/>
  <c r="H142" i="71"/>
  <c r="H132" i="71"/>
  <c r="H123" i="71"/>
  <c r="H110" i="71"/>
  <c r="H101" i="71"/>
  <c r="H92" i="71"/>
  <c r="H84" i="71"/>
  <c r="H73" i="71"/>
  <c r="H65" i="71"/>
  <c r="H56" i="71"/>
  <c r="H48" i="71"/>
  <c r="H40" i="71"/>
  <c r="H32" i="71"/>
  <c r="H208" i="71"/>
  <c r="H201" i="71"/>
  <c r="H192" i="71"/>
  <c r="H184" i="71"/>
  <c r="H176" i="71"/>
  <c r="H168" i="71"/>
  <c r="H157" i="71"/>
  <c r="H148" i="71"/>
  <c r="H138" i="71"/>
  <c r="H129" i="71"/>
  <c r="H118" i="71"/>
  <c r="H107" i="71"/>
  <c r="H96" i="71"/>
  <c r="H85" i="71"/>
  <c r="H76" i="71"/>
  <c r="H68" i="71"/>
  <c r="H57" i="71"/>
  <c r="H49" i="71"/>
  <c r="H41" i="71"/>
  <c r="H33" i="71"/>
  <c r="H25" i="71"/>
  <c r="K12" i="71"/>
  <c r="H195" i="71"/>
  <c r="H187" i="71"/>
  <c r="H179" i="71"/>
  <c r="H171" i="71"/>
  <c r="H161" i="71"/>
  <c r="H153" i="71"/>
  <c r="H145" i="71"/>
  <c r="H135" i="71"/>
  <c r="H125" i="71"/>
  <c r="H111" i="71"/>
  <c r="H102" i="71"/>
  <c r="H93" i="71"/>
  <c r="H86" i="71"/>
  <c r="H75" i="71"/>
  <c r="H67" i="71"/>
  <c r="H58" i="71"/>
  <c r="H50" i="71"/>
  <c r="H42" i="71"/>
  <c r="H34" i="71"/>
  <c r="H26" i="71"/>
  <c r="H203" i="71"/>
  <c r="H194" i="71"/>
  <c r="H186" i="71"/>
  <c r="H178" i="71"/>
  <c r="H170" i="71"/>
  <c r="H159" i="71"/>
  <c r="H150" i="71"/>
  <c r="H141" i="71"/>
  <c r="H131" i="71"/>
  <c r="H119" i="71"/>
  <c r="H109" i="71"/>
  <c r="H98" i="71"/>
  <c r="H87" i="71"/>
  <c r="H78" i="71"/>
  <c r="H70" i="71"/>
  <c r="H59" i="71"/>
  <c r="H51" i="71"/>
  <c r="H43" i="71"/>
  <c r="H35" i="71"/>
  <c r="H27" i="71"/>
  <c r="H200" i="71"/>
  <c r="H189" i="71"/>
  <c r="H181" i="71"/>
  <c r="H173" i="71"/>
  <c r="H165" i="71"/>
  <c r="H156" i="71"/>
  <c r="H147" i="71"/>
  <c r="H137" i="71"/>
  <c r="H127" i="71"/>
  <c r="H115" i="71"/>
  <c r="H106" i="71"/>
  <c r="H97" i="71"/>
  <c r="H88" i="71"/>
  <c r="H77" i="71"/>
  <c r="H69" i="71"/>
  <c r="H60" i="71"/>
  <c r="H52" i="71"/>
  <c r="H44" i="71"/>
  <c r="H36" i="71"/>
  <c r="H28" i="71"/>
  <c r="H205" i="71"/>
  <c r="H196" i="71"/>
  <c r="H188" i="71"/>
  <c r="H180" i="71"/>
  <c r="H172" i="71"/>
  <c r="H164" i="71"/>
  <c r="H152" i="71"/>
  <c r="H143" i="71"/>
  <c r="H133" i="71"/>
  <c r="H124" i="71"/>
  <c r="H114" i="71"/>
  <c r="H100" i="71"/>
  <c r="H89" i="71"/>
  <c r="H79" i="71"/>
  <c r="H72" i="71"/>
  <c r="H64" i="71"/>
  <c r="H53" i="71"/>
  <c r="H45" i="71"/>
  <c r="H37" i="71"/>
  <c r="H29" i="71"/>
  <c r="H228" i="47"/>
  <c r="H226" i="47"/>
  <c r="H224" i="47"/>
  <c r="H222" i="47"/>
  <c r="H220" i="47"/>
  <c r="K13" i="47"/>
  <c r="H227" i="47"/>
  <c r="H225" i="47"/>
  <c r="H223" i="47"/>
  <c r="H221" i="47"/>
  <c r="H219" i="47"/>
  <c r="G236" i="47"/>
  <c r="M111" i="47"/>
  <c r="M206" i="47"/>
  <c r="M102" i="47"/>
  <c r="M25" i="47"/>
  <c r="M57" i="47"/>
  <c r="M53" i="47"/>
  <c r="M49" i="47"/>
  <c r="M68" i="47"/>
  <c r="M72" i="47"/>
  <c r="M76" i="47"/>
  <c r="M82" i="47"/>
  <c r="M92" i="47"/>
  <c r="M98" i="47"/>
  <c r="M110" i="47"/>
  <c r="M106" i="47"/>
  <c r="M193" i="47"/>
  <c r="M189" i="47"/>
  <c r="M203" i="47"/>
  <c r="M59" i="47"/>
  <c r="M55" i="47"/>
  <c r="M51" i="47"/>
  <c r="M64" i="47"/>
  <c r="M70" i="47"/>
  <c r="M74" i="47"/>
  <c r="M78" i="47"/>
  <c r="M90" i="47"/>
  <c r="M100" i="47"/>
  <c r="M96" i="47"/>
  <c r="M108" i="47"/>
  <c r="M195" i="47"/>
  <c r="M191" i="47"/>
  <c r="M201" i="47"/>
  <c r="M205" i="47"/>
  <c r="M60" i="47"/>
  <c r="M56" i="47"/>
  <c r="M52" i="47"/>
  <c r="M69" i="47"/>
  <c r="M73" i="47"/>
  <c r="M77" i="47"/>
  <c r="M91" i="47"/>
  <c r="M99" i="47"/>
  <c r="M107" i="47"/>
  <c r="M196" i="47"/>
  <c r="M188" i="47"/>
  <c r="M202" i="47"/>
  <c r="M58" i="47"/>
  <c r="M54" i="47"/>
  <c r="M50" i="47"/>
  <c r="M71" i="47"/>
  <c r="M75" i="47"/>
  <c r="M89" i="47"/>
  <c r="M101" i="47"/>
  <c r="M97" i="47"/>
  <c r="M109" i="47"/>
  <c r="M105" i="47"/>
  <c r="M114" i="47"/>
  <c r="M123" i="47"/>
  <c r="M164" i="47"/>
  <c r="M194" i="47"/>
  <c r="M190" i="47"/>
  <c r="M200" i="47"/>
  <c r="M204" i="47"/>
  <c r="M192" i="47"/>
  <c r="M87" i="47"/>
  <c r="M85" i="47"/>
  <c r="M83" i="47"/>
  <c r="M88" i="47"/>
  <c r="M86" i="47"/>
  <c r="M84" i="47"/>
  <c r="M159" i="47"/>
  <c r="M157" i="47"/>
  <c r="M155" i="47"/>
  <c r="M152" i="47"/>
  <c r="M150" i="47"/>
  <c r="M148" i="47"/>
  <c r="M146" i="47"/>
  <c r="M143" i="47"/>
  <c r="M141" i="47"/>
  <c r="M138" i="47"/>
  <c r="M136" i="47"/>
  <c r="M133" i="47"/>
  <c r="M131" i="47"/>
  <c r="M129" i="47"/>
  <c r="M126" i="47"/>
  <c r="M124" i="47"/>
  <c r="M118" i="47"/>
  <c r="M116" i="47"/>
  <c r="M66" i="47"/>
  <c r="M48" i="47"/>
  <c r="M46" i="47"/>
  <c r="M44" i="47"/>
  <c r="M42" i="47"/>
  <c r="M40" i="47"/>
  <c r="M38" i="47"/>
  <c r="M36" i="47"/>
  <c r="M34" i="47"/>
  <c r="M32" i="47"/>
  <c r="M30" i="47"/>
  <c r="M28" i="47"/>
  <c r="M26" i="47"/>
  <c r="M67" i="47"/>
  <c r="M65" i="47"/>
  <c r="M161" i="47"/>
  <c r="M187" i="47"/>
  <c r="M185" i="47"/>
  <c r="M183" i="47"/>
  <c r="M181" i="47"/>
  <c r="M179" i="47"/>
  <c r="M177" i="47"/>
  <c r="M175" i="47"/>
  <c r="M173" i="47"/>
  <c r="M171" i="47"/>
  <c r="M169" i="47"/>
  <c r="M167" i="47"/>
  <c r="M165" i="47"/>
  <c r="M186" i="47"/>
  <c r="M184" i="47"/>
  <c r="M182" i="47"/>
  <c r="M180" i="47"/>
  <c r="M178" i="47"/>
  <c r="M176" i="47"/>
  <c r="M174" i="47"/>
  <c r="M172" i="47"/>
  <c r="M170" i="47"/>
  <c r="M168" i="47"/>
  <c r="M166" i="47"/>
  <c r="M160" i="47"/>
  <c r="M158" i="47"/>
  <c r="M156" i="47"/>
  <c r="M153" i="47"/>
  <c r="M151" i="47"/>
  <c r="M149" i="47"/>
  <c r="M147" i="47"/>
  <c r="M145" i="47"/>
  <c r="M142" i="47"/>
  <c r="M140" i="47"/>
  <c r="M137" i="47"/>
  <c r="M135" i="47"/>
  <c r="M132" i="47"/>
  <c r="M130" i="47"/>
  <c r="M127" i="47"/>
  <c r="M125" i="47"/>
  <c r="M117" i="47"/>
  <c r="M115" i="47"/>
  <c r="M47" i="47"/>
  <c r="M45" i="47"/>
  <c r="M43" i="47"/>
  <c r="M41" i="47"/>
  <c r="M39" i="47"/>
  <c r="M37" i="47"/>
  <c r="M35" i="47"/>
  <c r="M33" i="47"/>
  <c r="M31" i="47"/>
  <c r="M29" i="47"/>
  <c r="M27" i="47"/>
  <c r="K13" i="37"/>
  <c r="H228" i="37"/>
  <c r="H226" i="37"/>
  <c r="H224" i="37"/>
  <c r="H222" i="37"/>
  <c r="H220" i="37"/>
  <c r="H227" i="37"/>
  <c r="H225" i="37"/>
  <c r="H223" i="37"/>
  <c r="H221" i="37"/>
  <c r="H219" i="37"/>
  <c r="G236" i="37"/>
  <c r="M123" i="37"/>
  <c r="M82" i="37"/>
  <c r="M64" i="37"/>
  <c r="M25" i="37"/>
  <c r="M43" i="37"/>
  <c r="M91" i="37"/>
  <c r="M110" i="37"/>
  <c r="M115" i="37"/>
  <c r="M160" i="37"/>
  <c r="M156" i="37"/>
  <c r="M151" i="37"/>
  <c r="M147" i="37"/>
  <c r="M194" i="37"/>
  <c r="M100" i="37"/>
  <c r="M106" i="37"/>
  <c r="M117" i="37"/>
  <c r="M158" i="37"/>
  <c r="M153" i="37"/>
  <c r="M149" i="37"/>
  <c r="M196" i="37"/>
  <c r="M192" i="37"/>
  <c r="M205" i="37"/>
  <c r="M90" i="37"/>
  <c r="M99" i="37"/>
  <c r="M109" i="37"/>
  <c r="M105" i="37"/>
  <c r="M157" i="37"/>
  <c r="M148" i="37"/>
  <c r="M187" i="37"/>
  <c r="M204" i="37"/>
  <c r="M92" i="37"/>
  <c r="M101" i="37"/>
  <c r="M107" i="37"/>
  <c r="M116" i="37"/>
  <c r="M159" i="37"/>
  <c r="M155" i="37"/>
  <c r="M150" i="37"/>
  <c r="M164" i="37"/>
  <c r="M193" i="37"/>
  <c r="M118" i="37"/>
  <c r="M114" i="37"/>
  <c r="M152" i="37"/>
  <c r="M190" i="37"/>
  <c r="M188" i="37"/>
  <c r="M185" i="37"/>
  <c r="M183" i="37"/>
  <c r="M181" i="37"/>
  <c r="M179" i="37"/>
  <c r="M177" i="37"/>
  <c r="M175" i="37"/>
  <c r="M173" i="37"/>
  <c r="M171" i="37"/>
  <c r="M169" i="37"/>
  <c r="M167" i="37"/>
  <c r="M165" i="37"/>
  <c r="M77" i="37"/>
  <c r="M75" i="37"/>
  <c r="M73" i="37"/>
  <c r="M71" i="37"/>
  <c r="M69" i="37"/>
  <c r="M67" i="37"/>
  <c r="M65" i="37"/>
  <c r="M119" i="37"/>
  <c r="M195" i="37"/>
  <c r="M145" i="37"/>
  <c r="M142" i="37"/>
  <c r="M140" i="37"/>
  <c r="M137" i="37"/>
  <c r="M135" i="37"/>
  <c r="M132" i="37"/>
  <c r="M130" i="37"/>
  <c r="M127" i="37"/>
  <c r="M125" i="37"/>
  <c r="M108" i="37"/>
  <c r="M98" i="37"/>
  <c r="M202" i="37"/>
  <c r="M200" i="37"/>
  <c r="M89" i="37"/>
  <c r="M87" i="37"/>
  <c r="M85" i="37"/>
  <c r="M83" i="37"/>
  <c r="M59" i="37"/>
  <c r="M57" i="37"/>
  <c r="M55" i="37"/>
  <c r="M53" i="37"/>
  <c r="M51" i="37"/>
  <c r="M49" i="37"/>
  <c r="M47" i="37"/>
  <c r="M45" i="37"/>
  <c r="M42" i="37"/>
  <c r="M40" i="37"/>
  <c r="M38" i="37"/>
  <c r="M36" i="37"/>
  <c r="M34" i="37"/>
  <c r="M32" i="37"/>
  <c r="M30" i="37"/>
  <c r="M28" i="37"/>
  <c r="M26" i="37"/>
  <c r="M203" i="37"/>
  <c r="M201" i="37"/>
  <c r="M191" i="37"/>
  <c r="M189" i="37"/>
  <c r="M186" i="37"/>
  <c r="M184" i="37"/>
  <c r="M182" i="37"/>
  <c r="M180" i="37"/>
  <c r="M178" i="37"/>
  <c r="M176" i="37"/>
  <c r="M174" i="37"/>
  <c r="M172" i="37"/>
  <c r="M170" i="37"/>
  <c r="M168" i="37"/>
  <c r="M166" i="37"/>
  <c r="M88" i="37"/>
  <c r="M86" i="37"/>
  <c r="M84" i="37"/>
  <c r="M78" i="37"/>
  <c r="M76" i="37"/>
  <c r="M74" i="37"/>
  <c r="M72" i="37"/>
  <c r="M70" i="37"/>
  <c r="M68" i="37"/>
  <c r="M66" i="37"/>
  <c r="M60" i="37"/>
  <c r="M58" i="37"/>
  <c r="M56" i="37"/>
  <c r="M54" i="37"/>
  <c r="M52" i="37"/>
  <c r="M50" i="37"/>
  <c r="M48" i="37"/>
  <c r="M46" i="37"/>
  <c r="M44" i="37"/>
  <c r="M41" i="37"/>
  <c r="M39" i="37"/>
  <c r="M37" i="37"/>
  <c r="M35" i="37"/>
  <c r="M33" i="37"/>
  <c r="M31" i="37"/>
  <c r="M29" i="37"/>
  <c r="M27" i="37"/>
  <c r="M97" i="37"/>
  <c r="M146" i="37"/>
  <c r="M143" i="37"/>
  <c r="M141" i="37"/>
  <c r="M138" i="37"/>
  <c r="M136" i="37"/>
  <c r="M133" i="37"/>
  <c r="M131" i="37"/>
  <c r="M129" i="37"/>
  <c r="M126" i="37"/>
  <c r="M124" i="37"/>
  <c r="M96" i="37"/>
  <c r="K13" i="104"/>
  <c r="H225" i="104"/>
  <c r="H221" i="104"/>
  <c r="H219" i="104"/>
  <c r="H227" i="104"/>
  <c r="H220" i="104"/>
  <c r="H224" i="104"/>
  <c r="H228" i="104"/>
  <c r="H223" i="104"/>
  <c r="G236" i="104"/>
  <c r="H222" i="104"/>
  <c r="H226" i="104"/>
  <c r="M111" i="104"/>
  <c r="M206" i="104"/>
  <c r="M25" i="104"/>
  <c r="M57" i="104"/>
  <c r="M53" i="104"/>
  <c r="M49" i="104"/>
  <c r="M64" i="104"/>
  <c r="M68" i="104"/>
  <c r="M72" i="104"/>
  <c r="M76" i="104"/>
  <c r="M92" i="104"/>
  <c r="M88" i="104"/>
  <c r="M110" i="104"/>
  <c r="M106" i="104"/>
  <c r="M159" i="104"/>
  <c r="M152" i="104"/>
  <c r="M148" i="104"/>
  <c r="M143" i="104"/>
  <c r="M138" i="104"/>
  <c r="M193" i="104"/>
  <c r="M203" i="104"/>
  <c r="M59" i="104"/>
  <c r="M55" i="104"/>
  <c r="M51" i="104"/>
  <c r="M66" i="104"/>
  <c r="M70" i="104"/>
  <c r="M74" i="104"/>
  <c r="M78" i="104"/>
  <c r="M90" i="104"/>
  <c r="M100" i="104"/>
  <c r="M108" i="104"/>
  <c r="M155" i="104"/>
  <c r="M150" i="104"/>
  <c r="M146" i="104"/>
  <c r="M141" i="104"/>
  <c r="M136" i="104"/>
  <c r="M195" i="104"/>
  <c r="M191" i="104"/>
  <c r="M201" i="104"/>
  <c r="M205" i="104"/>
  <c r="M60" i="104"/>
  <c r="M56" i="104"/>
  <c r="M52" i="104"/>
  <c r="M65" i="104"/>
  <c r="M71" i="104"/>
  <c r="M75" i="104"/>
  <c r="M91" i="104"/>
  <c r="M87" i="104"/>
  <c r="M107" i="104"/>
  <c r="M160" i="104"/>
  <c r="M156" i="104"/>
  <c r="M147" i="104"/>
  <c r="M142" i="104"/>
  <c r="M192" i="104"/>
  <c r="M204" i="104"/>
  <c r="M58" i="104"/>
  <c r="M54" i="104"/>
  <c r="M50" i="104"/>
  <c r="M67" i="104"/>
  <c r="M73" i="104"/>
  <c r="M77" i="104"/>
  <c r="M89" i="104"/>
  <c r="M101" i="104"/>
  <c r="M109" i="104"/>
  <c r="M105" i="104"/>
  <c r="M158" i="104"/>
  <c r="M153" i="104"/>
  <c r="M149" i="104"/>
  <c r="M145" i="104"/>
  <c r="M140" i="104"/>
  <c r="M135" i="104"/>
  <c r="M194" i="104"/>
  <c r="M168" i="104"/>
  <c r="M202" i="104"/>
  <c r="M114" i="104"/>
  <c r="M151" i="104"/>
  <c r="M137" i="104"/>
  <c r="M196" i="104"/>
  <c r="M200" i="104"/>
  <c r="M133" i="104"/>
  <c r="M131" i="104"/>
  <c r="M129" i="104"/>
  <c r="M126" i="104"/>
  <c r="M124" i="104"/>
  <c r="M118" i="104"/>
  <c r="M116" i="104"/>
  <c r="M99" i="104"/>
  <c r="M97" i="104"/>
  <c r="M48" i="104"/>
  <c r="M46" i="104"/>
  <c r="M44" i="104"/>
  <c r="M42" i="104"/>
  <c r="M40" i="104"/>
  <c r="M38" i="104"/>
  <c r="M36" i="104"/>
  <c r="M34" i="104"/>
  <c r="M32" i="104"/>
  <c r="M30" i="104"/>
  <c r="M28" i="104"/>
  <c r="M26" i="104"/>
  <c r="M132" i="104"/>
  <c r="M130" i="104"/>
  <c r="M127" i="104"/>
  <c r="M125" i="104"/>
  <c r="M123" i="104"/>
  <c r="M98" i="104"/>
  <c r="M96" i="104"/>
  <c r="M190" i="104"/>
  <c r="M188" i="104"/>
  <c r="M186" i="104"/>
  <c r="M184" i="104"/>
  <c r="M182" i="104"/>
  <c r="M180" i="104"/>
  <c r="M178" i="104"/>
  <c r="M176" i="104"/>
  <c r="M174" i="104"/>
  <c r="M172" i="104"/>
  <c r="M170" i="104"/>
  <c r="M167" i="104"/>
  <c r="M165" i="104"/>
  <c r="M157" i="104"/>
  <c r="M85" i="104"/>
  <c r="M83" i="104"/>
  <c r="M69" i="104"/>
  <c r="M86" i="104"/>
  <c r="M84" i="104"/>
  <c r="M82" i="104"/>
  <c r="M117" i="104"/>
  <c r="M115" i="104"/>
  <c r="M47" i="104"/>
  <c r="M45" i="104"/>
  <c r="M43" i="104"/>
  <c r="M41" i="104"/>
  <c r="M39" i="104"/>
  <c r="M37" i="104"/>
  <c r="M35" i="104"/>
  <c r="M33" i="104"/>
  <c r="M31" i="104"/>
  <c r="M29" i="104"/>
  <c r="M27" i="104"/>
  <c r="M79" i="104"/>
  <c r="M189" i="104"/>
  <c r="M187" i="104"/>
  <c r="M185" i="104"/>
  <c r="M183" i="104"/>
  <c r="M181" i="104"/>
  <c r="M179" i="104"/>
  <c r="M177" i="104"/>
  <c r="M175" i="104"/>
  <c r="M173" i="104"/>
  <c r="M171" i="104"/>
  <c r="M169" i="104"/>
  <c r="M166" i="104"/>
  <c r="M164" i="104"/>
  <c r="K15" i="87"/>
  <c r="K13" i="103"/>
  <c r="G231" i="97"/>
  <c r="M79" i="103"/>
  <c r="M119" i="103"/>
  <c r="M102" i="103"/>
  <c r="M57" i="103"/>
  <c r="M53" i="103"/>
  <c r="M49" i="103"/>
  <c r="M66" i="103"/>
  <c r="M70" i="103"/>
  <c r="M74" i="103"/>
  <c r="M78" i="103"/>
  <c r="M91" i="103"/>
  <c r="M100" i="103"/>
  <c r="M96" i="103"/>
  <c r="M110" i="103"/>
  <c r="M117" i="103"/>
  <c r="M157" i="103"/>
  <c r="M152" i="103"/>
  <c r="M148" i="103"/>
  <c r="M143" i="103"/>
  <c r="M138" i="103"/>
  <c r="M196" i="103"/>
  <c r="M192" i="103"/>
  <c r="M202" i="103"/>
  <c r="M25" i="103"/>
  <c r="M59" i="103"/>
  <c r="M55" i="103"/>
  <c r="M51" i="103"/>
  <c r="M47" i="103"/>
  <c r="M64" i="103"/>
  <c r="M68" i="103"/>
  <c r="M72" i="103"/>
  <c r="M76" i="103"/>
  <c r="M82" i="103"/>
  <c r="M89" i="103"/>
  <c r="M98" i="103"/>
  <c r="M108" i="103"/>
  <c r="M115" i="103"/>
  <c r="M159" i="103"/>
  <c r="M155" i="103"/>
  <c r="M150" i="103"/>
  <c r="M146" i="103"/>
  <c r="M141" i="103"/>
  <c r="M136" i="103"/>
  <c r="M194" i="103"/>
  <c r="M190" i="103"/>
  <c r="M204" i="103"/>
  <c r="M58" i="103"/>
  <c r="M54" i="103"/>
  <c r="M50" i="103"/>
  <c r="M67" i="103"/>
  <c r="M71" i="103"/>
  <c r="M75" i="103"/>
  <c r="M92" i="103"/>
  <c r="M101" i="103"/>
  <c r="M97" i="103"/>
  <c r="M109" i="103"/>
  <c r="M164" i="103"/>
  <c r="M193" i="103"/>
  <c r="M169" i="103"/>
  <c r="M60" i="103"/>
  <c r="M56" i="103"/>
  <c r="M52" i="103"/>
  <c r="M48" i="103"/>
  <c r="M65" i="103"/>
  <c r="M69" i="103"/>
  <c r="M73" i="103"/>
  <c r="M77" i="103"/>
  <c r="M90" i="103"/>
  <c r="M99" i="103"/>
  <c r="M118" i="103"/>
  <c r="M114" i="103"/>
  <c r="M160" i="103"/>
  <c r="M156" i="103"/>
  <c r="M151" i="103"/>
  <c r="M147" i="103"/>
  <c r="M142" i="103"/>
  <c r="M137" i="103"/>
  <c r="M195" i="103"/>
  <c r="M191" i="103"/>
  <c r="M179" i="103"/>
  <c r="M205" i="103"/>
  <c r="M116" i="103"/>
  <c r="M158" i="103"/>
  <c r="M153" i="103"/>
  <c r="M149" i="103"/>
  <c r="M145" i="103"/>
  <c r="M140" i="103"/>
  <c r="M123" i="103"/>
  <c r="M189" i="103"/>
  <c r="M203" i="103"/>
  <c r="M131" i="103"/>
  <c r="M86" i="103"/>
  <c r="M135" i="103"/>
  <c r="M130" i="103"/>
  <c r="M125" i="103"/>
  <c r="M83" i="103"/>
  <c r="M200" i="103"/>
  <c r="M187" i="103"/>
  <c r="M183" i="103"/>
  <c r="M178" i="103"/>
  <c r="M170" i="103"/>
  <c r="M165" i="103"/>
  <c r="M107" i="103"/>
  <c r="M44" i="103"/>
  <c r="M40" i="103"/>
  <c r="M36" i="103"/>
  <c r="M32" i="103"/>
  <c r="M28" i="103"/>
  <c r="M201" i="103"/>
  <c r="M188" i="103"/>
  <c r="M180" i="103"/>
  <c r="M177" i="103"/>
  <c r="M173" i="103"/>
  <c r="M168" i="103"/>
  <c r="M166" i="103"/>
  <c r="M41" i="103"/>
  <c r="M39" i="103"/>
  <c r="M35" i="103"/>
  <c r="M31" i="103"/>
  <c r="M27" i="103"/>
  <c r="M133" i="103"/>
  <c r="M129" i="103"/>
  <c r="M126" i="103"/>
  <c r="M124" i="103"/>
  <c r="M88" i="103"/>
  <c r="M84" i="103"/>
  <c r="M132" i="103"/>
  <c r="M127" i="103"/>
  <c r="M87" i="103"/>
  <c r="M85" i="103"/>
  <c r="M185" i="103"/>
  <c r="M181" i="103"/>
  <c r="M176" i="103"/>
  <c r="M174" i="103"/>
  <c r="M172" i="103"/>
  <c r="M167" i="103"/>
  <c r="M105" i="103"/>
  <c r="M46" i="103"/>
  <c r="M42" i="103"/>
  <c r="M38" i="103"/>
  <c r="M34" i="103"/>
  <c r="M30" i="103"/>
  <c r="M26" i="103"/>
  <c r="M186" i="103"/>
  <c r="M184" i="103"/>
  <c r="M182" i="103"/>
  <c r="M175" i="103"/>
  <c r="M171" i="103"/>
  <c r="M106" i="103"/>
  <c r="M45" i="103"/>
  <c r="M43" i="103"/>
  <c r="M37" i="103"/>
  <c r="M33" i="103"/>
  <c r="M29" i="103"/>
  <c r="K15" i="25"/>
  <c r="K15" i="142"/>
  <c r="K15" i="141"/>
  <c r="K13" i="118"/>
  <c r="M61" i="118"/>
  <c r="M58" i="118"/>
  <c r="M54" i="118"/>
  <c r="M50" i="118"/>
  <c r="M46" i="118"/>
  <c r="M42" i="118"/>
  <c r="M38" i="118"/>
  <c r="M34" i="118"/>
  <c r="M30" i="118"/>
  <c r="M26" i="118"/>
  <c r="M91" i="118"/>
  <c r="M101" i="118"/>
  <c r="M97" i="118"/>
  <c r="M159" i="118"/>
  <c r="M164" i="118"/>
  <c r="M194" i="118"/>
  <c r="M190" i="118"/>
  <c r="M186" i="118"/>
  <c r="M182" i="118"/>
  <c r="M178" i="118"/>
  <c r="M174" i="118"/>
  <c r="M170" i="118"/>
  <c r="M166" i="118"/>
  <c r="M60" i="118"/>
  <c r="M56" i="118"/>
  <c r="M52" i="118"/>
  <c r="M48" i="118"/>
  <c r="M44" i="118"/>
  <c r="M40" i="118"/>
  <c r="M36" i="118"/>
  <c r="M32" i="118"/>
  <c r="M28" i="118"/>
  <c r="M83" i="118"/>
  <c r="M99" i="118"/>
  <c r="M150" i="118"/>
  <c r="M196" i="118"/>
  <c r="M192" i="118"/>
  <c r="M188" i="118"/>
  <c r="M184" i="118"/>
  <c r="M180" i="118"/>
  <c r="M176" i="118"/>
  <c r="M172" i="118"/>
  <c r="M168" i="118"/>
  <c r="M57" i="118"/>
  <c r="M53" i="118"/>
  <c r="M49" i="118"/>
  <c r="M45" i="118"/>
  <c r="M41" i="118"/>
  <c r="M37" i="118"/>
  <c r="M33" i="118"/>
  <c r="M29" i="118"/>
  <c r="M100" i="118"/>
  <c r="M191" i="118"/>
  <c r="M183" i="118"/>
  <c r="M175" i="118"/>
  <c r="M167" i="118"/>
  <c r="M25" i="118"/>
  <c r="M59" i="118"/>
  <c r="M55" i="118"/>
  <c r="M51" i="118"/>
  <c r="M47" i="118"/>
  <c r="M43" i="118"/>
  <c r="M39" i="118"/>
  <c r="M35" i="118"/>
  <c r="M31" i="118"/>
  <c r="M27" i="118"/>
  <c r="M82" i="118"/>
  <c r="M96" i="118"/>
  <c r="M114" i="118"/>
  <c r="M193" i="118"/>
  <c r="M189" i="118"/>
  <c r="M185" i="118"/>
  <c r="M181" i="118"/>
  <c r="M177" i="118"/>
  <c r="M173" i="118"/>
  <c r="M169" i="118"/>
  <c r="M165" i="118"/>
  <c r="M123" i="118"/>
  <c r="M195" i="118"/>
  <c r="M187" i="118"/>
  <c r="M179" i="118"/>
  <c r="M171" i="118"/>
  <c r="M158" i="118"/>
  <c r="M156" i="118"/>
  <c r="M153" i="118"/>
  <c r="M151" i="118"/>
  <c r="M148" i="118"/>
  <c r="M146" i="118"/>
  <c r="M143" i="118"/>
  <c r="M118" i="118"/>
  <c r="M116" i="118"/>
  <c r="M109" i="118"/>
  <c r="M92" i="118"/>
  <c r="M87" i="118"/>
  <c r="M85" i="118"/>
  <c r="M77" i="118"/>
  <c r="M75" i="118"/>
  <c r="M73" i="118"/>
  <c r="M71" i="118"/>
  <c r="M69" i="118"/>
  <c r="M67" i="118"/>
  <c r="M65" i="118"/>
  <c r="M205" i="118"/>
  <c r="M203" i="118"/>
  <c r="M201" i="118"/>
  <c r="M160" i="118"/>
  <c r="M157" i="118"/>
  <c r="M155" i="118"/>
  <c r="M152" i="118"/>
  <c r="M149" i="118"/>
  <c r="M147" i="118"/>
  <c r="M145" i="118"/>
  <c r="M142" i="118"/>
  <c r="M140" i="118"/>
  <c r="M137" i="118"/>
  <c r="M135" i="118"/>
  <c r="M132" i="118"/>
  <c r="M130" i="118"/>
  <c r="M127" i="118"/>
  <c r="M125" i="118"/>
  <c r="M117" i="118"/>
  <c r="M108" i="118"/>
  <c r="M90" i="118"/>
  <c r="M78" i="118"/>
  <c r="M76" i="118"/>
  <c r="M74" i="118"/>
  <c r="M72" i="118"/>
  <c r="M70" i="118"/>
  <c r="M68" i="118"/>
  <c r="M66" i="118"/>
  <c r="M64" i="118"/>
  <c r="M197" i="118"/>
  <c r="M204" i="118"/>
  <c r="M202" i="118"/>
  <c r="M200" i="118"/>
  <c r="M141" i="118"/>
  <c r="M138" i="118"/>
  <c r="M136" i="118"/>
  <c r="M133" i="118"/>
  <c r="M131" i="118"/>
  <c r="M129" i="118"/>
  <c r="M126" i="118"/>
  <c r="M124" i="118"/>
  <c r="M107" i="118"/>
  <c r="M105" i="118"/>
  <c r="M89" i="118"/>
  <c r="M115" i="118"/>
  <c r="M110" i="118"/>
  <c r="M106" i="118"/>
  <c r="M98" i="118"/>
  <c r="M88" i="118"/>
  <c r="M86" i="118"/>
  <c r="M84" i="118"/>
  <c r="K13" i="49"/>
  <c r="H221" i="49"/>
  <c r="H224" i="49"/>
  <c r="H225" i="49"/>
  <c r="H228" i="49"/>
  <c r="H220" i="49"/>
  <c r="H222" i="49"/>
  <c r="H219" i="49"/>
  <c r="H227" i="49"/>
  <c r="M57" i="49"/>
  <c r="M58" i="49"/>
  <c r="M86" i="49"/>
  <c r="M56" i="49"/>
  <c r="M54" i="49"/>
  <c r="M52" i="49"/>
  <c r="M50" i="49"/>
  <c r="M35" i="49"/>
  <c r="M33" i="49"/>
  <c r="M64" i="49"/>
  <c r="M87" i="49"/>
  <c r="M117" i="49"/>
  <c r="M115" i="49"/>
  <c r="M158" i="49"/>
  <c r="M156" i="49"/>
  <c r="M153" i="49"/>
  <c r="M194" i="49"/>
  <c r="M192" i="49"/>
  <c r="M190" i="49"/>
  <c r="M188" i="49"/>
  <c r="M186" i="49"/>
  <c r="M184" i="49"/>
  <c r="M25" i="49"/>
  <c r="M59" i="49"/>
  <c r="M55" i="49"/>
  <c r="M53" i="49"/>
  <c r="M51" i="49"/>
  <c r="M49" i="49"/>
  <c r="M36" i="49"/>
  <c r="M34" i="49"/>
  <c r="M32" i="49"/>
  <c r="M75" i="49"/>
  <c r="M92" i="49"/>
  <c r="M118" i="49"/>
  <c r="M116" i="49"/>
  <c r="M114" i="49"/>
  <c r="M159" i="49"/>
  <c r="M157" i="49"/>
  <c r="M155" i="49"/>
  <c r="M123" i="49"/>
  <c r="M164" i="49"/>
  <c r="M193" i="49"/>
  <c r="M191" i="49"/>
  <c r="M189" i="49"/>
  <c r="M187" i="49"/>
  <c r="M185" i="49"/>
  <c r="M183" i="49"/>
  <c r="M152" i="49"/>
  <c r="M182" i="49"/>
  <c r="M85" i="49"/>
  <c r="M101" i="49"/>
  <c r="M66" i="49"/>
  <c r="G236" i="49"/>
  <c r="H226" i="49"/>
  <c r="H223" i="49"/>
  <c r="M67" i="49"/>
  <c r="M119" i="49"/>
  <c r="M31" i="49"/>
  <c r="M47" i="49"/>
  <c r="M27" i="49"/>
  <c r="M91" i="49"/>
  <c r="M200" i="49"/>
  <c r="M195" i="49"/>
  <c r="M180" i="49"/>
  <c r="M178" i="49"/>
  <c r="M176" i="49"/>
  <c r="M174" i="49"/>
  <c r="M172" i="49"/>
  <c r="M170" i="49"/>
  <c r="M168" i="49"/>
  <c r="M166" i="49"/>
  <c r="M160" i="49"/>
  <c r="M150" i="49"/>
  <c r="M148" i="49"/>
  <c r="M146" i="49"/>
  <c r="M143" i="49"/>
  <c r="M141" i="49"/>
  <c r="M138" i="49"/>
  <c r="M136" i="49"/>
  <c r="M133" i="49"/>
  <c r="M131" i="49"/>
  <c r="M129" i="49"/>
  <c r="M126" i="49"/>
  <c r="M100" i="49"/>
  <c r="M96" i="49"/>
  <c r="M89" i="49"/>
  <c r="M38" i="49"/>
  <c r="M203" i="49"/>
  <c r="M201" i="49"/>
  <c r="M196" i="49"/>
  <c r="M181" i="49"/>
  <c r="M179" i="49"/>
  <c r="M177" i="49"/>
  <c r="M175" i="49"/>
  <c r="M173" i="49"/>
  <c r="M171" i="49"/>
  <c r="M169" i="49"/>
  <c r="M167" i="49"/>
  <c r="M105" i="49"/>
  <c r="M99" i="49"/>
  <c r="M97" i="49"/>
  <c r="M90" i="49"/>
  <c r="M88" i="49"/>
  <c r="M78" i="49"/>
  <c r="M76" i="49"/>
  <c r="M73" i="49"/>
  <c r="M71" i="49"/>
  <c r="M69" i="49"/>
  <c r="M26" i="49"/>
  <c r="M204" i="49"/>
  <c r="M202" i="49"/>
  <c r="M124" i="49"/>
  <c r="M110" i="49"/>
  <c r="M108" i="49"/>
  <c r="M106" i="49"/>
  <c r="M98" i="49"/>
  <c r="M84" i="49"/>
  <c r="M82" i="49"/>
  <c r="M77" i="49"/>
  <c r="M74" i="49"/>
  <c r="M72" i="49"/>
  <c r="M70" i="49"/>
  <c r="M68" i="49"/>
  <c r="M60" i="49"/>
  <c r="M46" i="49"/>
  <c r="M44" i="49"/>
  <c r="M42" i="49"/>
  <c r="M40" i="49"/>
  <c r="M30" i="49"/>
  <c r="M28" i="49"/>
  <c r="M205" i="49"/>
  <c r="M165" i="49"/>
  <c r="M151" i="49"/>
  <c r="M149" i="49"/>
  <c r="M147" i="49"/>
  <c r="M145" i="49"/>
  <c r="M142" i="49"/>
  <c r="M140" i="49"/>
  <c r="M137" i="49"/>
  <c r="M135" i="49"/>
  <c r="M132" i="49"/>
  <c r="M130" i="49"/>
  <c r="M127" i="49"/>
  <c r="M125" i="49"/>
  <c r="M109" i="49"/>
  <c r="M107" i="49"/>
  <c r="M83" i="49"/>
  <c r="M65" i="49"/>
  <c r="M48" i="49"/>
  <c r="M45" i="49"/>
  <c r="M43" i="49"/>
  <c r="M41" i="49"/>
  <c r="M39" i="49"/>
  <c r="M37" i="49"/>
  <c r="M29" i="49"/>
  <c r="K15" i="1"/>
  <c r="H227" i="142"/>
  <c r="H223" i="142"/>
  <c r="H219" i="142"/>
  <c r="H222" i="142"/>
  <c r="H226" i="142"/>
  <c r="H225" i="142"/>
  <c r="G236" i="142"/>
  <c r="H224" i="142"/>
  <c r="K13" i="142"/>
  <c r="H221" i="142"/>
  <c r="H220" i="142"/>
  <c r="H228" i="142"/>
  <c r="M21" i="142"/>
  <c r="M206" i="142"/>
  <c r="M197" i="142"/>
  <c r="M65" i="142"/>
  <c r="M69" i="142"/>
  <c r="M73" i="142"/>
  <c r="M77" i="142"/>
  <c r="M117" i="142"/>
  <c r="M194" i="142"/>
  <c r="M190" i="142"/>
  <c r="M186" i="142"/>
  <c r="M182" i="142"/>
  <c r="M178" i="142"/>
  <c r="M174" i="142"/>
  <c r="M170" i="142"/>
  <c r="M166" i="142"/>
  <c r="M200" i="142"/>
  <c r="M204" i="142"/>
  <c r="M67" i="142"/>
  <c r="M71" i="142"/>
  <c r="M75" i="142"/>
  <c r="M82" i="142"/>
  <c r="M100" i="142"/>
  <c r="M115" i="142"/>
  <c r="M196" i="142"/>
  <c r="M192" i="142"/>
  <c r="M188" i="142"/>
  <c r="M184" i="142"/>
  <c r="M180" i="142"/>
  <c r="M176" i="142"/>
  <c r="M172" i="142"/>
  <c r="M168" i="142"/>
  <c r="M202" i="142"/>
  <c r="M66" i="142"/>
  <c r="M72" i="142"/>
  <c r="M76" i="142"/>
  <c r="M164" i="142"/>
  <c r="M193" i="142"/>
  <c r="M189" i="142"/>
  <c r="M181" i="142"/>
  <c r="M173" i="142"/>
  <c r="M165" i="142"/>
  <c r="M203" i="142"/>
  <c r="M64" i="142"/>
  <c r="M68" i="142"/>
  <c r="M74" i="142"/>
  <c r="M118" i="142"/>
  <c r="M114" i="142"/>
  <c r="M195" i="142"/>
  <c r="M191" i="142"/>
  <c r="M187" i="142"/>
  <c r="M183" i="142"/>
  <c r="M179" i="142"/>
  <c r="M175" i="142"/>
  <c r="M171" i="142"/>
  <c r="M167" i="142"/>
  <c r="M201" i="142"/>
  <c r="M205" i="142"/>
  <c r="M116" i="142"/>
  <c r="M123" i="142"/>
  <c r="M185" i="142"/>
  <c r="M177" i="142"/>
  <c r="M169" i="142"/>
  <c r="M25" i="142"/>
  <c r="M101" i="142"/>
  <c r="M98" i="142"/>
  <c r="M96" i="142"/>
  <c r="M60" i="142"/>
  <c r="M58" i="142"/>
  <c r="M56" i="142"/>
  <c r="M54" i="142"/>
  <c r="M52" i="142"/>
  <c r="M50" i="142"/>
  <c r="M48" i="142"/>
  <c r="M46" i="142"/>
  <c r="M44" i="142"/>
  <c r="M42" i="142"/>
  <c r="M40" i="142"/>
  <c r="M38" i="142"/>
  <c r="M36" i="142"/>
  <c r="M34" i="142"/>
  <c r="M32" i="142"/>
  <c r="M30" i="142"/>
  <c r="M28" i="142"/>
  <c r="M26" i="142"/>
  <c r="M93" i="142"/>
  <c r="M160" i="142"/>
  <c r="M158" i="142"/>
  <c r="M156" i="142"/>
  <c r="M153" i="142"/>
  <c r="M151" i="142"/>
  <c r="M149" i="142"/>
  <c r="M147" i="142"/>
  <c r="M145" i="142"/>
  <c r="M142" i="142"/>
  <c r="M140" i="142"/>
  <c r="M137" i="142"/>
  <c r="M135" i="142"/>
  <c r="M132" i="142"/>
  <c r="M130" i="142"/>
  <c r="M127" i="142"/>
  <c r="M125" i="142"/>
  <c r="M110" i="142"/>
  <c r="M108" i="142"/>
  <c r="M106" i="142"/>
  <c r="M99" i="142"/>
  <c r="M97" i="142"/>
  <c r="M91" i="142"/>
  <c r="M89" i="142"/>
  <c r="M87" i="142"/>
  <c r="M85" i="142"/>
  <c r="M83" i="142"/>
  <c r="M78" i="142"/>
  <c r="M59" i="142"/>
  <c r="M57" i="142"/>
  <c r="M55" i="142"/>
  <c r="M53" i="142"/>
  <c r="M51" i="142"/>
  <c r="M49" i="142"/>
  <c r="M47" i="142"/>
  <c r="M45" i="142"/>
  <c r="M43" i="142"/>
  <c r="M41" i="142"/>
  <c r="M39" i="142"/>
  <c r="M37" i="142"/>
  <c r="M35" i="142"/>
  <c r="M33" i="142"/>
  <c r="M31" i="142"/>
  <c r="M29" i="142"/>
  <c r="M27" i="142"/>
  <c r="M161" i="142"/>
  <c r="M159" i="142"/>
  <c r="M157" i="142"/>
  <c r="M155" i="142"/>
  <c r="M152" i="142"/>
  <c r="M150" i="142"/>
  <c r="M148" i="142"/>
  <c r="M146" i="142"/>
  <c r="M143" i="142"/>
  <c r="M141" i="142"/>
  <c r="M138" i="142"/>
  <c r="M136" i="142"/>
  <c r="M133" i="142"/>
  <c r="M131" i="142"/>
  <c r="M129" i="142"/>
  <c r="M126" i="142"/>
  <c r="M124" i="142"/>
  <c r="M109" i="142"/>
  <c r="M107" i="142"/>
  <c r="M105" i="142"/>
  <c r="M92" i="142"/>
  <c r="M90" i="142"/>
  <c r="M88" i="142"/>
  <c r="M86" i="142"/>
  <c r="M84" i="142"/>
  <c r="M70" i="142"/>
  <c r="M119" i="142"/>
  <c r="K13" i="141"/>
  <c r="H226" i="141"/>
  <c r="H222" i="141"/>
  <c r="H219" i="141"/>
  <c r="H223" i="141"/>
  <c r="H227" i="141"/>
  <c r="H228" i="141"/>
  <c r="H220" i="141"/>
  <c r="H221" i="141"/>
  <c r="H224" i="141"/>
  <c r="H225" i="141"/>
  <c r="G236" i="141"/>
  <c r="M114" i="141"/>
  <c r="M96" i="141"/>
  <c r="M21" i="141"/>
  <c r="M111" i="141"/>
  <c r="M79" i="141"/>
  <c r="M197" i="141"/>
  <c r="M64" i="141"/>
  <c r="M25" i="141"/>
  <c r="M59" i="141"/>
  <c r="M55" i="141"/>
  <c r="M51" i="141"/>
  <c r="M47" i="141"/>
  <c r="M43" i="141"/>
  <c r="M39" i="141"/>
  <c r="M33" i="141"/>
  <c r="M29" i="141"/>
  <c r="M68" i="141"/>
  <c r="M72" i="141"/>
  <c r="M76" i="141"/>
  <c r="M110" i="141"/>
  <c r="M106" i="141"/>
  <c r="M117" i="141"/>
  <c r="M123" i="141"/>
  <c r="M194" i="141"/>
  <c r="M190" i="141"/>
  <c r="M186" i="141"/>
  <c r="M182" i="141"/>
  <c r="M178" i="141"/>
  <c r="M174" i="141"/>
  <c r="M170" i="141"/>
  <c r="M166" i="141"/>
  <c r="M57" i="141"/>
  <c r="M53" i="141"/>
  <c r="M49" i="141"/>
  <c r="M45" i="141"/>
  <c r="M41" i="141"/>
  <c r="M37" i="141"/>
  <c r="M31" i="141"/>
  <c r="M27" i="141"/>
  <c r="M66" i="141"/>
  <c r="M70" i="141"/>
  <c r="M74" i="141"/>
  <c r="M78" i="141"/>
  <c r="M82" i="141"/>
  <c r="M98" i="141"/>
  <c r="M108" i="141"/>
  <c r="M115" i="141"/>
  <c r="M196" i="141"/>
  <c r="M192" i="141"/>
  <c r="M188" i="141"/>
  <c r="M184" i="141"/>
  <c r="M180" i="141"/>
  <c r="M176" i="141"/>
  <c r="M172" i="141"/>
  <c r="M168" i="141"/>
  <c r="M58" i="141"/>
  <c r="M54" i="141"/>
  <c r="M50" i="141"/>
  <c r="M46" i="141"/>
  <c r="M42" i="141"/>
  <c r="M38" i="141"/>
  <c r="M34" i="141"/>
  <c r="M30" i="141"/>
  <c r="M26" i="141"/>
  <c r="M67" i="141"/>
  <c r="M71" i="141"/>
  <c r="M75" i="141"/>
  <c r="M101" i="141"/>
  <c r="M97" i="141"/>
  <c r="M109" i="141"/>
  <c r="M105" i="141"/>
  <c r="M189" i="141"/>
  <c r="M181" i="141"/>
  <c r="M173" i="141"/>
  <c r="M60" i="141"/>
  <c r="M56" i="141"/>
  <c r="M52" i="141"/>
  <c r="M48" i="141"/>
  <c r="M44" i="141"/>
  <c r="M40" i="141"/>
  <c r="M36" i="141"/>
  <c r="M32" i="141"/>
  <c r="M28" i="141"/>
  <c r="M65" i="141"/>
  <c r="M69" i="141"/>
  <c r="M73" i="141"/>
  <c r="M77" i="141"/>
  <c r="M99" i="141"/>
  <c r="M107" i="141"/>
  <c r="M164" i="141"/>
  <c r="M195" i="141"/>
  <c r="M191" i="141"/>
  <c r="M187" i="141"/>
  <c r="M183" i="141"/>
  <c r="M179" i="141"/>
  <c r="M175" i="141"/>
  <c r="M171" i="141"/>
  <c r="M167" i="141"/>
  <c r="M116" i="141"/>
  <c r="M193" i="141"/>
  <c r="M185" i="141"/>
  <c r="M177" i="141"/>
  <c r="M169" i="141"/>
  <c r="M165" i="141"/>
  <c r="M92" i="141"/>
  <c r="M90" i="141"/>
  <c r="M88" i="141"/>
  <c r="M86" i="141"/>
  <c r="M84" i="141"/>
  <c r="M35" i="141"/>
  <c r="M204" i="141"/>
  <c r="M202" i="141"/>
  <c r="M200" i="141"/>
  <c r="M118" i="141"/>
  <c r="M61" i="141"/>
  <c r="M205" i="141"/>
  <c r="M203" i="141"/>
  <c r="M201" i="141"/>
  <c r="M160" i="141"/>
  <c r="M158" i="141"/>
  <c r="M156" i="141"/>
  <c r="M153" i="141"/>
  <c r="M151" i="141"/>
  <c r="M149" i="141"/>
  <c r="M147" i="141"/>
  <c r="M145" i="141"/>
  <c r="M142" i="141"/>
  <c r="M140" i="141"/>
  <c r="M137" i="141"/>
  <c r="M135" i="141"/>
  <c r="M132" i="141"/>
  <c r="M130" i="141"/>
  <c r="M127" i="141"/>
  <c r="M125" i="141"/>
  <c r="M100" i="141"/>
  <c r="M159" i="141"/>
  <c r="M157" i="141"/>
  <c r="M155" i="141"/>
  <c r="M152" i="141"/>
  <c r="M150" i="141"/>
  <c r="M148" i="141"/>
  <c r="M146" i="141"/>
  <c r="M143" i="141"/>
  <c r="M141" i="141"/>
  <c r="M138" i="141"/>
  <c r="M136" i="141"/>
  <c r="M133" i="141"/>
  <c r="M131" i="141"/>
  <c r="M129" i="141"/>
  <c r="M126" i="141"/>
  <c r="M124" i="141"/>
  <c r="M91" i="141"/>
  <c r="M89" i="141"/>
  <c r="M87" i="141"/>
  <c r="M85" i="141"/>
  <c r="M83" i="141"/>
  <c r="H227" i="100"/>
  <c r="H223" i="100"/>
  <c r="H219" i="100"/>
  <c r="H226" i="100"/>
  <c r="H222" i="100"/>
  <c r="G236" i="100"/>
  <c r="K13" i="100"/>
  <c r="H225" i="100"/>
  <c r="H221" i="100"/>
  <c r="H228" i="100"/>
  <c r="H224" i="100"/>
  <c r="H220" i="100"/>
  <c r="M114" i="100"/>
  <c r="M64" i="100"/>
  <c r="M111" i="100"/>
  <c r="M102" i="100"/>
  <c r="M21" i="100"/>
  <c r="M57" i="100"/>
  <c r="M53" i="100"/>
  <c r="M49" i="100"/>
  <c r="M45" i="100"/>
  <c r="M41" i="100"/>
  <c r="M68" i="100"/>
  <c r="M72" i="100"/>
  <c r="M76" i="100"/>
  <c r="M89" i="100"/>
  <c r="M85" i="100"/>
  <c r="M100" i="100"/>
  <c r="M96" i="100"/>
  <c r="M110" i="100"/>
  <c r="M106" i="100"/>
  <c r="M196" i="100"/>
  <c r="M192" i="100"/>
  <c r="M188" i="100"/>
  <c r="M184" i="100"/>
  <c r="M180" i="100"/>
  <c r="M176" i="100"/>
  <c r="M172" i="100"/>
  <c r="M168" i="100"/>
  <c r="M59" i="100"/>
  <c r="M55" i="100"/>
  <c r="M51" i="100"/>
  <c r="M47" i="100"/>
  <c r="M43" i="100"/>
  <c r="M70" i="100"/>
  <c r="M74" i="100"/>
  <c r="M78" i="100"/>
  <c r="M91" i="100"/>
  <c r="M87" i="100"/>
  <c r="M98" i="100"/>
  <c r="M108" i="100"/>
  <c r="M116" i="100"/>
  <c r="M164" i="100"/>
  <c r="M194" i="100"/>
  <c r="M190" i="100"/>
  <c r="M186" i="100"/>
  <c r="M182" i="100"/>
  <c r="M178" i="100"/>
  <c r="M174" i="100"/>
  <c r="M170" i="100"/>
  <c r="M166" i="100"/>
  <c r="M58" i="100"/>
  <c r="M54" i="100"/>
  <c r="M50" i="100"/>
  <c r="M46" i="100"/>
  <c r="M42" i="100"/>
  <c r="M65" i="100"/>
  <c r="M69" i="100"/>
  <c r="M73" i="100"/>
  <c r="M77" i="100"/>
  <c r="M90" i="100"/>
  <c r="M86" i="100"/>
  <c r="M99" i="100"/>
  <c r="M107" i="100"/>
  <c r="M195" i="100"/>
  <c r="M185" i="100"/>
  <c r="M177" i="100"/>
  <c r="M169" i="100"/>
  <c r="M60" i="100"/>
  <c r="M56" i="100"/>
  <c r="M52" i="100"/>
  <c r="M48" i="100"/>
  <c r="M44" i="100"/>
  <c r="M67" i="100"/>
  <c r="M71" i="100"/>
  <c r="M75" i="100"/>
  <c r="M82" i="100"/>
  <c r="M92" i="100"/>
  <c r="M88" i="100"/>
  <c r="M84" i="100"/>
  <c r="M101" i="100"/>
  <c r="M97" i="100"/>
  <c r="M109" i="100"/>
  <c r="M105" i="100"/>
  <c r="M115" i="100"/>
  <c r="M193" i="100"/>
  <c r="M187" i="100"/>
  <c r="M183" i="100"/>
  <c r="M179" i="100"/>
  <c r="M175" i="100"/>
  <c r="M171" i="100"/>
  <c r="M167" i="100"/>
  <c r="M123" i="100"/>
  <c r="M189" i="100"/>
  <c r="M181" i="100"/>
  <c r="M173" i="100"/>
  <c r="M165" i="100"/>
  <c r="M200" i="100"/>
  <c r="M191" i="100"/>
  <c r="M124" i="100"/>
  <c r="M118" i="100"/>
  <c r="M83" i="100"/>
  <c r="M39" i="100"/>
  <c r="M37" i="100"/>
  <c r="M35" i="100"/>
  <c r="M33" i="100"/>
  <c r="M31" i="100"/>
  <c r="M29" i="100"/>
  <c r="M27" i="100"/>
  <c r="M25" i="100"/>
  <c r="M204" i="100"/>
  <c r="M202" i="100"/>
  <c r="M160" i="100"/>
  <c r="M158" i="100"/>
  <c r="M156" i="100"/>
  <c r="M153" i="100"/>
  <c r="M151" i="100"/>
  <c r="M149" i="100"/>
  <c r="M147" i="100"/>
  <c r="M145" i="100"/>
  <c r="M142" i="100"/>
  <c r="M140" i="100"/>
  <c r="M137" i="100"/>
  <c r="M135" i="100"/>
  <c r="M132" i="100"/>
  <c r="M130" i="100"/>
  <c r="M127" i="100"/>
  <c r="M125" i="100"/>
  <c r="M117" i="100"/>
  <c r="M205" i="100"/>
  <c r="M203" i="100"/>
  <c r="M201" i="100"/>
  <c r="M159" i="100"/>
  <c r="M157" i="100"/>
  <c r="M155" i="100"/>
  <c r="M152" i="100"/>
  <c r="M150" i="100"/>
  <c r="M148" i="100"/>
  <c r="M146" i="100"/>
  <c r="M143" i="100"/>
  <c r="M141" i="100"/>
  <c r="M138" i="100"/>
  <c r="M136" i="100"/>
  <c r="M133" i="100"/>
  <c r="M131" i="100"/>
  <c r="M129" i="100"/>
  <c r="M126" i="100"/>
  <c r="M66" i="100"/>
  <c r="M40" i="100"/>
  <c r="M38" i="100"/>
  <c r="M36" i="100"/>
  <c r="M34" i="100"/>
  <c r="M32" i="100"/>
  <c r="M30" i="100"/>
  <c r="M28" i="100"/>
  <c r="M26" i="100"/>
  <c r="E238" i="14"/>
  <c r="K15" i="55"/>
  <c r="K15" i="20"/>
  <c r="H227" i="91"/>
  <c r="H225" i="91"/>
  <c r="H223" i="91"/>
  <c r="H221" i="91"/>
  <c r="H219" i="91"/>
  <c r="K13" i="91"/>
  <c r="H228" i="91"/>
  <c r="H226" i="91"/>
  <c r="H224" i="91"/>
  <c r="H222" i="91"/>
  <c r="H220" i="91"/>
  <c r="G236" i="91"/>
  <c r="M119" i="91"/>
  <c r="M59" i="91"/>
  <c r="M55" i="91"/>
  <c r="M49" i="91"/>
  <c r="M76" i="91"/>
  <c r="M91" i="91"/>
  <c r="M87" i="91"/>
  <c r="M110" i="91"/>
  <c r="M116" i="91"/>
  <c r="M194" i="91"/>
  <c r="M190" i="91"/>
  <c r="M57" i="91"/>
  <c r="M53" i="91"/>
  <c r="M47" i="91"/>
  <c r="M74" i="91"/>
  <c r="M78" i="91"/>
  <c r="M89" i="91"/>
  <c r="M118" i="91"/>
  <c r="M114" i="91"/>
  <c r="M123" i="91"/>
  <c r="M164" i="91"/>
  <c r="M196" i="91"/>
  <c r="M192" i="91"/>
  <c r="M21" i="91"/>
  <c r="M25" i="91"/>
  <c r="M58" i="91"/>
  <c r="M54" i="91"/>
  <c r="M50" i="91"/>
  <c r="M77" i="91"/>
  <c r="M92" i="91"/>
  <c r="M88" i="91"/>
  <c r="M109" i="91"/>
  <c r="M193" i="91"/>
  <c r="M60" i="91"/>
  <c r="M56" i="91"/>
  <c r="M52" i="91"/>
  <c r="M75" i="91"/>
  <c r="M90" i="91"/>
  <c r="M86" i="91"/>
  <c r="M117" i="91"/>
  <c r="M152" i="91"/>
  <c r="M195" i="91"/>
  <c r="M191" i="91"/>
  <c r="M115" i="91"/>
  <c r="M189" i="91"/>
  <c r="M101" i="91"/>
  <c r="M99" i="91"/>
  <c r="M97" i="91"/>
  <c r="M48" i="91"/>
  <c r="M45" i="91"/>
  <c r="M43" i="91"/>
  <c r="M41" i="91"/>
  <c r="M39" i="91"/>
  <c r="M37" i="91"/>
  <c r="M35" i="91"/>
  <c r="M33" i="91"/>
  <c r="M31" i="91"/>
  <c r="M29" i="91"/>
  <c r="M27" i="91"/>
  <c r="M160" i="91"/>
  <c r="M158" i="91"/>
  <c r="M156" i="91"/>
  <c r="M153" i="91"/>
  <c r="M150" i="91"/>
  <c r="M148" i="91"/>
  <c r="M146" i="91"/>
  <c r="M143" i="91"/>
  <c r="M141" i="91"/>
  <c r="M138" i="91"/>
  <c r="M136" i="91"/>
  <c r="M133" i="91"/>
  <c r="M131" i="91"/>
  <c r="M129" i="91"/>
  <c r="M126" i="91"/>
  <c r="M124" i="91"/>
  <c r="M96" i="91"/>
  <c r="M205" i="91"/>
  <c r="M203" i="91"/>
  <c r="M201" i="91"/>
  <c r="M85" i="91"/>
  <c r="M83" i="91"/>
  <c r="M73" i="91"/>
  <c r="M71" i="91"/>
  <c r="M69" i="91"/>
  <c r="M67" i="91"/>
  <c r="M65" i="91"/>
  <c r="M51" i="91"/>
  <c r="M200" i="91"/>
  <c r="M84" i="91"/>
  <c r="M82" i="91"/>
  <c r="M188" i="91"/>
  <c r="M186" i="91"/>
  <c r="M184" i="91"/>
  <c r="M182" i="91"/>
  <c r="M180" i="91"/>
  <c r="M178" i="91"/>
  <c r="M176" i="91"/>
  <c r="M174" i="91"/>
  <c r="M172" i="91"/>
  <c r="M170" i="91"/>
  <c r="M168" i="91"/>
  <c r="M166" i="91"/>
  <c r="M159" i="91"/>
  <c r="M157" i="91"/>
  <c r="M155" i="91"/>
  <c r="M151" i="91"/>
  <c r="M149" i="91"/>
  <c r="M147" i="91"/>
  <c r="M145" i="91"/>
  <c r="M142" i="91"/>
  <c r="M140" i="91"/>
  <c r="M137" i="91"/>
  <c r="M135" i="91"/>
  <c r="M132" i="91"/>
  <c r="M130" i="91"/>
  <c r="M127" i="91"/>
  <c r="M125" i="91"/>
  <c r="M107" i="91"/>
  <c r="M105" i="91"/>
  <c r="M187" i="91"/>
  <c r="M185" i="91"/>
  <c r="M183" i="91"/>
  <c r="M181" i="91"/>
  <c r="M179" i="91"/>
  <c r="M177" i="91"/>
  <c r="M175" i="91"/>
  <c r="M173" i="91"/>
  <c r="M171" i="91"/>
  <c r="M169" i="91"/>
  <c r="M167" i="91"/>
  <c r="M165" i="91"/>
  <c r="M108" i="91"/>
  <c r="M106" i="91"/>
  <c r="M100" i="91"/>
  <c r="M98" i="91"/>
  <c r="M46" i="91"/>
  <c r="M44" i="91"/>
  <c r="M42" i="91"/>
  <c r="M40" i="91"/>
  <c r="M38" i="91"/>
  <c r="M36" i="91"/>
  <c r="M34" i="91"/>
  <c r="M32" i="91"/>
  <c r="M30" i="91"/>
  <c r="M28" i="91"/>
  <c r="M26" i="91"/>
  <c r="M204" i="91"/>
  <c r="M202" i="91"/>
  <c r="M72" i="91"/>
  <c r="M70" i="91"/>
  <c r="M68" i="91"/>
  <c r="M66" i="91"/>
  <c r="M64" i="91"/>
  <c r="H228" i="27"/>
  <c r="H226" i="27"/>
  <c r="H224" i="27"/>
  <c r="H222" i="27"/>
  <c r="H220" i="27"/>
  <c r="K13" i="27"/>
  <c r="H227" i="27"/>
  <c r="H225" i="27"/>
  <c r="H223" i="27"/>
  <c r="H221" i="27"/>
  <c r="H219" i="27"/>
  <c r="G236" i="27"/>
  <c r="M206" i="27"/>
  <c r="M58" i="27"/>
  <c r="M54" i="27"/>
  <c r="M50" i="27"/>
  <c r="M69" i="27"/>
  <c r="M73" i="27"/>
  <c r="M77" i="27"/>
  <c r="M155" i="27"/>
  <c r="M150" i="27"/>
  <c r="M143" i="27"/>
  <c r="M138" i="27"/>
  <c r="M164" i="27"/>
  <c r="M194" i="27"/>
  <c r="M190" i="27"/>
  <c r="M201" i="27"/>
  <c r="M205" i="27"/>
  <c r="M60" i="27"/>
  <c r="M56" i="27"/>
  <c r="M52" i="27"/>
  <c r="M48" i="27"/>
  <c r="M71" i="27"/>
  <c r="M75" i="27"/>
  <c r="M88" i="27"/>
  <c r="M114" i="27"/>
  <c r="M159" i="27"/>
  <c r="M152" i="27"/>
  <c r="M146" i="27"/>
  <c r="M141" i="27"/>
  <c r="M136" i="27"/>
  <c r="M196" i="27"/>
  <c r="M192" i="27"/>
  <c r="M188" i="27"/>
  <c r="M203" i="27"/>
  <c r="M59" i="27"/>
  <c r="M55" i="27"/>
  <c r="M51" i="27"/>
  <c r="M47" i="27"/>
  <c r="M35" i="27"/>
  <c r="M68" i="27"/>
  <c r="M72" i="27"/>
  <c r="M76" i="27"/>
  <c r="M158" i="27"/>
  <c r="M191" i="27"/>
  <c r="M171" i="27"/>
  <c r="M204" i="27"/>
  <c r="M25" i="27"/>
  <c r="M57" i="27"/>
  <c r="M53" i="27"/>
  <c r="M49" i="27"/>
  <c r="M43" i="27"/>
  <c r="M64" i="27"/>
  <c r="M70" i="27"/>
  <c r="M74" i="27"/>
  <c r="M78" i="27"/>
  <c r="M160" i="27"/>
  <c r="M156" i="27"/>
  <c r="M151" i="27"/>
  <c r="M147" i="27"/>
  <c r="M142" i="27"/>
  <c r="M193" i="27"/>
  <c r="M189" i="27"/>
  <c r="M179" i="27"/>
  <c r="M202" i="27"/>
  <c r="M153" i="27"/>
  <c r="M149" i="27"/>
  <c r="M145" i="27"/>
  <c r="M137" i="27"/>
  <c r="M195" i="27"/>
  <c r="M187" i="27"/>
  <c r="M200" i="27"/>
  <c r="M135" i="27"/>
  <c r="M132" i="27"/>
  <c r="M130" i="27"/>
  <c r="M127" i="27"/>
  <c r="M125" i="27"/>
  <c r="M123" i="27"/>
  <c r="M110" i="27"/>
  <c r="M108" i="27"/>
  <c r="M106" i="27"/>
  <c r="M100" i="27"/>
  <c r="M98" i="27"/>
  <c r="M96" i="27"/>
  <c r="M101" i="27"/>
  <c r="M99" i="27"/>
  <c r="M97" i="27"/>
  <c r="M91" i="27"/>
  <c r="M89" i="27"/>
  <c r="M86" i="27"/>
  <c r="M84" i="27"/>
  <c r="M82" i="27"/>
  <c r="M157" i="27"/>
  <c r="M140" i="27"/>
  <c r="M66" i="27"/>
  <c r="M45" i="27"/>
  <c r="M42" i="27"/>
  <c r="M40" i="27"/>
  <c r="M38" i="27"/>
  <c r="M36" i="27"/>
  <c r="M33" i="27"/>
  <c r="M31" i="27"/>
  <c r="M29" i="27"/>
  <c r="M27" i="27"/>
  <c r="M46" i="27"/>
  <c r="M44" i="27"/>
  <c r="M41" i="27"/>
  <c r="M39" i="27"/>
  <c r="M37" i="27"/>
  <c r="M34" i="27"/>
  <c r="M32" i="27"/>
  <c r="M30" i="27"/>
  <c r="M28" i="27"/>
  <c r="M117" i="27"/>
  <c r="M115" i="27"/>
  <c r="M92" i="27"/>
  <c r="M90" i="27"/>
  <c r="M87" i="27"/>
  <c r="M85" i="27"/>
  <c r="M83" i="27"/>
  <c r="M133" i="27"/>
  <c r="M131" i="27"/>
  <c r="M129" i="27"/>
  <c r="M126" i="27"/>
  <c r="M124" i="27"/>
  <c r="M118" i="27"/>
  <c r="M116" i="27"/>
  <c r="M109" i="27"/>
  <c r="M107" i="27"/>
  <c r="M105" i="27"/>
  <c r="M185" i="27"/>
  <c r="M183" i="27"/>
  <c r="M181" i="27"/>
  <c r="M178" i="27"/>
  <c r="M176" i="27"/>
  <c r="M174" i="27"/>
  <c r="M172" i="27"/>
  <c r="M169" i="27"/>
  <c r="M167" i="27"/>
  <c r="M165" i="27"/>
  <c r="M186" i="27"/>
  <c r="M184" i="27"/>
  <c r="M182" i="27"/>
  <c r="M180" i="27"/>
  <c r="M177" i="27"/>
  <c r="M175" i="27"/>
  <c r="M173" i="27"/>
  <c r="M170" i="27"/>
  <c r="M168" i="27"/>
  <c r="M166" i="27"/>
  <c r="M148" i="27"/>
  <c r="M67" i="27"/>
  <c r="M65" i="27"/>
  <c r="M26" i="27"/>
  <c r="H228" i="135"/>
  <c r="H226" i="135"/>
  <c r="H224" i="135"/>
  <c r="H222" i="135"/>
  <c r="H220" i="135"/>
  <c r="K13" i="135"/>
  <c r="H227" i="135"/>
  <c r="H225" i="135"/>
  <c r="H223" i="135"/>
  <c r="H221" i="135"/>
  <c r="H219" i="135"/>
  <c r="G236" i="135"/>
  <c r="M161" i="135"/>
  <c r="M200" i="135"/>
  <c r="M59" i="135"/>
  <c r="M55" i="135"/>
  <c r="M51" i="135"/>
  <c r="M47" i="135"/>
  <c r="M43" i="135"/>
  <c r="M64" i="135"/>
  <c r="M89" i="135"/>
  <c r="M100" i="135"/>
  <c r="M110" i="135"/>
  <c r="M158" i="135"/>
  <c r="M153" i="135"/>
  <c r="M149" i="135"/>
  <c r="M145" i="135"/>
  <c r="M140" i="135"/>
  <c r="M135" i="135"/>
  <c r="M130" i="135"/>
  <c r="M125" i="135"/>
  <c r="M196" i="135"/>
  <c r="M192" i="135"/>
  <c r="M188" i="135"/>
  <c r="M184" i="135"/>
  <c r="M25" i="135"/>
  <c r="M57" i="135"/>
  <c r="M53" i="135"/>
  <c r="M49" i="135"/>
  <c r="M45" i="135"/>
  <c r="M41" i="135"/>
  <c r="M76" i="135"/>
  <c r="M82" i="135"/>
  <c r="M91" i="135"/>
  <c r="M87" i="135"/>
  <c r="M96" i="135"/>
  <c r="M108" i="135"/>
  <c r="M160" i="135"/>
  <c r="M156" i="135"/>
  <c r="M151" i="135"/>
  <c r="M147" i="135"/>
  <c r="M142" i="135"/>
  <c r="M137" i="135"/>
  <c r="M132" i="135"/>
  <c r="M127" i="135"/>
  <c r="M123" i="135"/>
  <c r="M194" i="135"/>
  <c r="M190" i="135"/>
  <c r="M186" i="135"/>
  <c r="M205" i="135"/>
  <c r="M58" i="135"/>
  <c r="M54" i="135"/>
  <c r="M50" i="135"/>
  <c r="M46" i="135"/>
  <c r="M42" i="135"/>
  <c r="M77" i="135"/>
  <c r="M90" i="135"/>
  <c r="M86" i="135"/>
  <c r="M99" i="135"/>
  <c r="M107" i="135"/>
  <c r="M155" i="135"/>
  <c r="M146" i="135"/>
  <c r="M141" i="135"/>
  <c r="M126" i="135"/>
  <c r="M164" i="135"/>
  <c r="M189" i="135"/>
  <c r="M204" i="135"/>
  <c r="M60" i="135"/>
  <c r="M56" i="135"/>
  <c r="M52" i="135"/>
  <c r="M48" i="135"/>
  <c r="M44" i="135"/>
  <c r="M40" i="135"/>
  <c r="M92" i="135"/>
  <c r="M88" i="135"/>
  <c r="M101" i="135"/>
  <c r="M97" i="135"/>
  <c r="M109" i="135"/>
  <c r="M114" i="135"/>
  <c r="M157" i="135"/>
  <c r="M152" i="135"/>
  <c r="M148" i="135"/>
  <c r="M143" i="135"/>
  <c r="M138" i="135"/>
  <c r="M133" i="135"/>
  <c r="M129" i="135"/>
  <c r="M124" i="135"/>
  <c r="M195" i="135"/>
  <c r="M191" i="135"/>
  <c r="M187" i="135"/>
  <c r="M183" i="135"/>
  <c r="M159" i="135"/>
  <c r="M150" i="135"/>
  <c r="M136" i="135"/>
  <c r="M131" i="135"/>
  <c r="M193" i="135"/>
  <c r="M185" i="135"/>
  <c r="M106" i="135"/>
  <c r="M98" i="135"/>
  <c r="M38" i="135"/>
  <c r="M36" i="135"/>
  <c r="M34" i="135"/>
  <c r="M32" i="135"/>
  <c r="M30" i="135"/>
  <c r="M28" i="135"/>
  <c r="M26" i="135"/>
  <c r="M105" i="135"/>
  <c r="M202" i="135"/>
  <c r="M181" i="135"/>
  <c r="M179" i="135"/>
  <c r="M177" i="135"/>
  <c r="M175" i="135"/>
  <c r="M173" i="135"/>
  <c r="M171" i="135"/>
  <c r="M169" i="135"/>
  <c r="M167" i="135"/>
  <c r="M165" i="135"/>
  <c r="M203" i="135"/>
  <c r="M201" i="135"/>
  <c r="M115" i="135"/>
  <c r="M85" i="135"/>
  <c r="M83" i="135"/>
  <c r="M78" i="135"/>
  <c r="M39" i="135"/>
  <c r="M37" i="135"/>
  <c r="M35" i="135"/>
  <c r="M33" i="135"/>
  <c r="M31" i="135"/>
  <c r="M29" i="135"/>
  <c r="M27" i="135"/>
  <c r="M118" i="135"/>
  <c r="M116" i="135"/>
  <c r="M84" i="135"/>
  <c r="M74" i="135"/>
  <c r="M72" i="135"/>
  <c r="M70" i="135"/>
  <c r="M68" i="135"/>
  <c r="M66" i="135"/>
  <c r="M182" i="135"/>
  <c r="M180" i="135"/>
  <c r="M178" i="135"/>
  <c r="M176" i="135"/>
  <c r="M174" i="135"/>
  <c r="M172" i="135"/>
  <c r="M170" i="135"/>
  <c r="M168" i="135"/>
  <c r="M166" i="135"/>
  <c r="M117" i="135"/>
  <c r="M75" i="135"/>
  <c r="M73" i="135"/>
  <c r="M71" i="135"/>
  <c r="M69" i="135"/>
  <c r="M67" i="135"/>
  <c r="M65" i="135"/>
  <c r="K15" i="45"/>
  <c r="H228" i="43"/>
  <c r="H226" i="43"/>
  <c r="H224" i="43"/>
  <c r="H222" i="43"/>
  <c r="H220" i="43"/>
  <c r="K13" i="43"/>
  <c r="H227" i="43"/>
  <c r="H225" i="43"/>
  <c r="H223" i="43"/>
  <c r="H221" i="43"/>
  <c r="H219" i="43"/>
  <c r="G236" i="43"/>
  <c r="M111" i="43"/>
  <c r="M61" i="43"/>
  <c r="M206" i="43"/>
  <c r="M57" i="43"/>
  <c r="M53" i="43"/>
  <c r="M49" i="43"/>
  <c r="M45" i="43"/>
  <c r="M41" i="43"/>
  <c r="M37" i="43"/>
  <c r="M33" i="43"/>
  <c r="M29" i="43"/>
  <c r="M67" i="43"/>
  <c r="M71" i="43"/>
  <c r="M75" i="43"/>
  <c r="M92" i="43"/>
  <c r="M88" i="43"/>
  <c r="M84" i="43"/>
  <c r="M100" i="43"/>
  <c r="M110" i="43"/>
  <c r="M106" i="43"/>
  <c r="M115" i="43"/>
  <c r="M195" i="43"/>
  <c r="M191" i="43"/>
  <c r="M185" i="43"/>
  <c r="M181" i="43"/>
  <c r="M177" i="43"/>
  <c r="M173" i="43"/>
  <c r="M169" i="43"/>
  <c r="M165" i="43"/>
  <c r="M203" i="43"/>
  <c r="M25" i="43"/>
  <c r="M59" i="43"/>
  <c r="M55" i="43"/>
  <c r="M51" i="43"/>
  <c r="M47" i="43"/>
  <c r="M43" i="43"/>
  <c r="M39" i="43"/>
  <c r="M35" i="43"/>
  <c r="M31" i="43"/>
  <c r="M27" i="43"/>
  <c r="M65" i="43"/>
  <c r="M69" i="43"/>
  <c r="M73" i="43"/>
  <c r="M77" i="43"/>
  <c r="M82" i="43"/>
  <c r="M90" i="43"/>
  <c r="M86" i="43"/>
  <c r="M98" i="43"/>
  <c r="M108" i="43"/>
  <c r="M117" i="43"/>
  <c r="M193" i="43"/>
  <c r="M189" i="43"/>
  <c r="M183" i="43"/>
  <c r="M179" i="43"/>
  <c r="M175" i="43"/>
  <c r="M171" i="43"/>
  <c r="M167" i="43"/>
  <c r="M201" i="43"/>
  <c r="M205" i="43"/>
  <c r="M60" i="43"/>
  <c r="M56" i="43"/>
  <c r="M52" i="43"/>
  <c r="M48" i="43"/>
  <c r="M44" i="43"/>
  <c r="M40" i="43"/>
  <c r="M36" i="43"/>
  <c r="M32" i="43"/>
  <c r="M28" i="43"/>
  <c r="M64" i="43"/>
  <c r="M68" i="43"/>
  <c r="M72" i="43"/>
  <c r="M76" i="43"/>
  <c r="M87" i="43"/>
  <c r="M83" i="43"/>
  <c r="M101" i="43"/>
  <c r="M107" i="43"/>
  <c r="M164" i="43"/>
  <c r="M190" i="43"/>
  <c r="M182" i="43"/>
  <c r="M174" i="43"/>
  <c r="M170" i="43"/>
  <c r="M200" i="43"/>
  <c r="M58" i="43"/>
  <c r="M54" i="43"/>
  <c r="M50" i="43"/>
  <c r="M46" i="43"/>
  <c r="M42" i="43"/>
  <c r="M38" i="43"/>
  <c r="M34" i="43"/>
  <c r="M30" i="43"/>
  <c r="M26" i="43"/>
  <c r="M66" i="43"/>
  <c r="M70" i="43"/>
  <c r="M74" i="43"/>
  <c r="M78" i="43"/>
  <c r="M89" i="43"/>
  <c r="M85" i="43"/>
  <c r="M99" i="43"/>
  <c r="M109" i="43"/>
  <c r="M105" i="43"/>
  <c r="M118" i="43"/>
  <c r="M114" i="43"/>
  <c r="M123" i="43"/>
  <c r="M196" i="43"/>
  <c r="M192" i="43"/>
  <c r="M188" i="43"/>
  <c r="M184" i="43"/>
  <c r="M180" i="43"/>
  <c r="M176" i="43"/>
  <c r="M172" i="43"/>
  <c r="M168" i="43"/>
  <c r="M202" i="43"/>
  <c r="M116" i="43"/>
  <c r="M194" i="43"/>
  <c r="M186" i="43"/>
  <c r="M178" i="43"/>
  <c r="M204" i="43"/>
  <c r="M197" i="43"/>
  <c r="M119" i="43"/>
  <c r="M187" i="43"/>
  <c r="M160" i="43"/>
  <c r="M158" i="43"/>
  <c r="M156" i="43"/>
  <c r="M153" i="43"/>
  <c r="M151" i="43"/>
  <c r="M149" i="43"/>
  <c r="M147" i="43"/>
  <c r="M145" i="43"/>
  <c r="M142" i="43"/>
  <c r="M140" i="43"/>
  <c r="M137" i="43"/>
  <c r="M135" i="43"/>
  <c r="M132" i="43"/>
  <c r="M130" i="43"/>
  <c r="M127" i="43"/>
  <c r="M125" i="43"/>
  <c r="M97" i="43"/>
  <c r="M96" i="43"/>
  <c r="M91" i="43"/>
  <c r="M79" i="43"/>
  <c r="M166" i="43"/>
  <c r="M159" i="43"/>
  <c r="M157" i="43"/>
  <c r="M155" i="43"/>
  <c r="M152" i="43"/>
  <c r="M150" i="43"/>
  <c r="M148" i="43"/>
  <c r="M146" i="43"/>
  <c r="M143" i="43"/>
  <c r="M141" i="43"/>
  <c r="M138" i="43"/>
  <c r="M136" i="43"/>
  <c r="M133" i="43"/>
  <c r="M131" i="43"/>
  <c r="M129" i="43"/>
  <c r="M126" i="43"/>
  <c r="M124" i="43"/>
  <c r="K15" i="135"/>
  <c r="K13" i="120"/>
  <c r="H228" i="120"/>
  <c r="H226" i="120"/>
  <c r="H224" i="120"/>
  <c r="H222" i="120"/>
  <c r="H220" i="120"/>
  <c r="G236" i="120"/>
  <c r="H227" i="120"/>
  <c r="H225" i="120"/>
  <c r="H223" i="120"/>
  <c r="H221" i="120"/>
  <c r="H219" i="120"/>
  <c r="M60" i="120"/>
  <c r="M56" i="120"/>
  <c r="M52" i="120"/>
  <c r="M48" i="120"/>
  <c r="M44" i="120"/>
  <c r="M34" i="120"/>
  <c r="M78" i="120"/>
  <c r="M89" i="120"/>
  <c r="M85" i="120"/>
  <c r="M100" i="120"/>
  <c r="M110" i="120"/>
  <c r="M118" i="120"/>
  <c r="M114" i="120"/>
  <c r="M159" i="120"/>
  <c r="M155" i="120"/>
  <c r="M150" i="120"/>
  <c r="M146" i="120"/>
  <c r="M141" i="120"/>
  <c r="M136" i="120"/>
  <c r="M131" i="120"/>
  <c r="M126" i="120"/>
  <c r="M164" i="120"/>
  <c r="M196" i="120"/>
  <c r="M192" i="120"/>
  <c r="M188" i="120"/>
  <c r="M184" i="120"/>
  <c r="M58" i="120"/>
  <c r="M54" i="120"/>
  <c r="M50" i="120"/>
  <c r="M46" i="120"/>
  <c r="M42" i="120"/>
  <c r="M26" i="120"/>
  <c r="M64" i="120"/>
  <c r="M91" i="120"/>
  <c r="M87" i="120"/>
  <c r="M83" i="120"/>
  <c r="M108" i="120"/>
  <c r="M116" i="120"/>
  <c r="M157" i="120"/>
  <c r="M152" i="120"/>
  <c r="M148" i="120"/>
  <c r="M143" i="120"/>
  <c r="M138" i="120"/>
  <c r="M133" i="120"/>
  <c r="M129" i="120"/>
  <c r="M124" i="120"/>
  <c r="M194" i="120"/>
  <c r="M190" i="120"/>
  <c r="M186" i="120"/>
  <c r="M57" i="120"/>
  <c r="M53" i="120"/>
  <c r="M49" i="120"/>
  <c r="M45" i="120"/>
  <c r="M41" i="120"/>
  <c r="M77" i="120"/>
  <c r="M82" i="120"/>
  <c r="M90" i="120"/>
  <c r="M86" i="120"/>
  <c r="M99" i="120"/>
  <c r="M109" i="120"/>
  <c r="M153" i="120"/>
  <c r="M137" i="120"/>
  <c r="M127" i="120"/>
  <c r="M193" i="120"/>
  <c r="M183" i="120"/>
  <c r="M25" i="120"/>
  <c r="M59" i="120"/>
  <c r="M55" i="120"/>
  <c r="M51" i="120"/>
  <c r="M47" i="120"/>
  <c r="M43" i="120"/>
  <c r="M88" i="120"/>
  <c r="M101" i="120"/>
  <c r="M107" i="120"/>
  <c r="M115" i="120"/>
  <c r="M160" i="120"/>
  <c r="M156" i="120"/>
  <c r="M151" i="120"/>
  <c r="M147" i="120"/>
  <c r="M140" i="120"/>
  <c r="M135" i="120"/>
  <c r="M130" i="120"/>
  <c r="M125" i="120"/>
  <c r="M195" i="120"/>
  <c r="M191" i="120"/>
  <c r="M185" i="120"/>
  <c r="M117" i="120"/>
  <c r="M158" i="120"/>
  <c r="M149" i="120"/>
  <c r="M145" i="120"/>
  <c r="M132" i="120"/>
  <c r="M123" i="120"/>
  <c r="M189" i="120"/>
  <c r="M84" i="120"/>
  <c r="M161" i="120"/>
  <c r="M181" i="120"/>
  <c r="M179" i="120"/>
  <c r="M177" i="120"/>
  <c r="M175" i="120"/>
  <c r="M173" i="120"/>
  <c r="M171" i="120"/>
  <c r="M169" i="120"/>
  <c r="M167" i="120"/>
  <c r="M165" i="120"/>
  <c r="M75" i="120"/>
  <c r="M73" i="120"/>
  <c r="M71" i="120"/>
  <c r="M69" i="120"/>
  <c r="M67" i="120"/>
  <c r="M65" i="120"/>
  <c r="M98" i="120"/>
  <c r="M96" i="120"/>
  <c r="M187" i="120"/>
  <c r="M97" i="120"/>
  <c r="M92" i="120"/>
  <c r="M119" i="120"/>
  <c r="M205" i="120"/>
  <c r="M203" i="120"/>
  <c r="M201" i="120"/>
  <c r="M182" i="120"/>
  <c r="M180" i="120"/>
  <c r="M178" i="120"/>
  <c r="M176" i="120"/>
  <c r="M174" i="120"/>
  <c r="M172" i="120"/>
  <c r="M170" i="120"/>
  <c r="M168" i="120"/>
  <c r="M166" i="120"/>
  <c r="M142" i="120"/>
  <c r="M106" i="120"/>
  <c r="M76" i="120"/>
  <c r="M74" i="120"/>
  <c r="M72" i="120"/>
  <c r="M70" i="120"/>
  <c r="M68" i="120"/>
  <c r="M66" i="120"/>
  <c r="M40" i="120"/>
  <c r="M38" i="120"/>
  <c r="M36" i="120"/>
  <c r="M33" i="120"/>
  <c r="M31" i="120"/>
  <c r="M29" i="120"/>
  <c r="M27" i="120"/>
  <c r="M204" i="120"/>
  <c r="M202" i="120"/>
  <c r="M200" i="120"/>
  <c r="M105" i="120"/>
  <c r="M39" i="120"/>
  <c r="M37" i="120"/>
  <c r="M35" i="120"/>
  <c r="M32" i="120"/>
  <c r="M30" i="120"/>
  <c r="M28" i="120"/>
  <c r="G237" i="19"/>
  <c r="K15" i="19"/>
  <c r="G236" i="19"/>
  <c r="K15" i="103"/>
  <c r="G238" i="97"/>
  <c r="M18" i="97" s="1"/>
  <c r="K15" i="102"/>
  <c r="K15" i="89"/>
  <c r="G236" i="89"/>
  <c r="G237" i="89"/>
  <c r="E238" i="67"/>
  <c r="K15" i="54"/>
  <c r="K15" i="95"/>
  <c r="G237" i="95"/>
  <c r="G236" i="95"/>
  <c r="E238" i="106"/>
  <c r="M21" i="32"/>
  <c r="E238" i="104"/>
  <c r="G215" i="135"/>
  <c r="E238" i="141"/>
  <c r="E238" i="16"/>
  <c r="G237" i="33"/>
  <c r="M21" i="102"/>
  <c r="M161" i="87"/>
  <c r="M61" i="55"/>
  <c r="M197" i="79"/>
  <c r="M197" i="32"/>
  <c r="M119" i="90"/>
  <c r="M93" i="113"/>
  <c r="M197" i="119"/>
  <c r="M161" i="45"/>
  <c r="M161" i="58"/>
  <c r="M79" i="102"/>
  <c r="M79" i="1"/>
  <c r="M61" i="28"/>
  <c r="M197" i="102"/>
  <c r="M111" i="28"/>
  <c r="M61" i="87"/>
  <c r="M197" i="20"/>
  <c r="M111" i="113"/>
  <c r="M79" i="20"/>
  <c r="M93" i="90"/>
  <c r="M93" i="55"/>
  <c r="M161" i="32"/>
  <c r="M102" i="33"/>
  <c r="M161" i="119"/>
  <c r="M61" i="136"/>
  <c r="M119" i="111"/>
  <c r="M161" i="33"/>
  <c r="M79" i="39"/>
  <c r="M93" i="59"/>
  <c r="M197" i="58"/>
  <c r="M111" i="102"/>
  <c r="G215" i="90"/>
  <c r="G215" i="136"/>
  <c r="E238" i="37"/>
  <c r="M21" i="79"/>
  <c r="G215" i="64"/>
  <c r="G237" i="63"/>
  <c r="G237" i="10"/>
  <c r="M21" i="28"/>
  <c r="M21" i="118"/>
  <c r="G215" i="60"/>
  <c r="G237" i="69"/>
  <c r="G237" i="25"/>
  <c r="M21" i="25"/>
  <c r="E238" i="86"/>
  <c r="M21" i="86"/>
  <c r="M21" i="94"/>
  <c r="M21" i="54"/>
  <c r="E238" i="100"/>
  <c r="G237" i="42"/>
  <c r="G215" i="87"/>
  <c r="G215" i="84"/>
  <c r="M21" i="20"/>
  <c r="E238" i="55"/>
  <c r="E238" i="27"/>
  <c r="M21" i="27"/>
  <c r="M21" i="39"/>
  <c r="G237" i="43"/>
  <c r="M208" i="31"/>
  <c r="M208" i="21"/>
  <c r="M206" i="103"/>
  <c r="M111" i="103"/>
  <c r="M61" i="103"/>
  <c r="G237" i="66"/>
  <c r="G215" i="133"/>
  <c r="C215" i="97"/>
  <c r="M21" i="103"/>
  <c r="M208" i="66"/>
  <c r="M208" i="24"/>
  <c r="M208" i="45"/>
  <c r="M208" i="69"/>
  <c r="M208" i="104"/>
  <c r="M208" i="37"/>
  <c r="M208" i="32"/>
  <c r="M208" i="142"/>
  <c r="M208" i="113"/>
  <c r="M208" i="111"/>
  <c r="M208" i="119"/>
  <c r="M208" i="102"/>
  <c r="J53" i="97" l="1"/>
  <c r="N50" i="172" s="1"/>
  <c r="J182" i="97"/>
  <c r="G238" i="24"/>
  <c r="G238" i="136"/>
  <c r="G238" i="32"/>
  <c r="G238" i="31"/>
  <c r="G238" i="20"/>
  <c r="G238" i="16"/>
  <c r="G238" i="55"/>
  <c r="G238" i="120"/>
  <c r="G238" i="106"/>
  <c r="G238" i="102"/>
  <c r="G238" i="86"/>
  <c r="G238" i="54"/>
  <c r="G238" i="135"/>
  <c r="G238" i="119"/>
  <c r="G238" i="85"/>
  <c r="N13" i="167"/>
  <c r="N17" i="167"/>
  <c r="N19" i="167"/>
  <c r="N15" i="167"/>
  <c r="N14" i="167"/>
  <c r="N16" i="167"/>
  <c r="N18" i="167"/>
  <c r="N14" i="164"/>
  <c r="N14" i="165"/>
  <c r="N16" i="164"/>
  <c r="N16" i="165"/>
  <c r="N18" i="164"/>
  <c r="N18" i="165"/>
  <c r="N15" i="164"/>
  <c r="N15" i="165"/>
  <c r="N19" i="164"/>
  <c r="N19" i="165"/>
  <c r="N13" i="164"/>
  <c r="N13" i="165"/>
  <c r="N17" i="164"/>
  <c r="N17" i="165"/>
  <c r="G238" i="94"/>
  <c r="N14" i="158"/>
  <c r="N14" i="159"/>
  <c r="N16" i="158"/>
  <c r="N16" i="159"/>
  <c r="N18" i="158"/>
  <c r="N18" i="159"/>
  <c r="N13" i="158"/>
  <c r="N13" i="159"/>
  <c r="N17" i="158"/>
  <c r="N17" i="159"/>
  <c r="N15" i="158"/>
  <c r="N15" i="159"/>
  <c r="N19" i="158"/>
  <c r="N19" i="159"/>
  <c r="N17" i="156"/>
  <c r="N17" i="157"/>
  <c r="N16" i="156"/>
  <c r="N16" i="157"/>
  <c r="N14" i="156"/>
  <c r="N14" i="157"/>
  <c r="N18" i="156"/>
  <c r="N18" i="157"/>
  <c r="N15" i="156"/>
  <c r="N15" i="157"/>
  <c r="N19" i="156"/>
  <c r="N19" i="157"/>
  <c r="N13" i="156"/>
  <c r="N13" i="157"/>
  <c r="N18" i="152"/>
  <c r="N18" i="155"/>
  <c r="N15" i="152"/>
  <c r="N15" i="155"/>
  <c r="N19" i="152"/>
  <c r="N19" i="155"/>
  <c r="N13" i="152"/>
  <c r="N13" i="155"/>
  <c r="N16" i="152"/>
  <c r="N16" i="155"/>
  <c r="N17" i="152"/>
  <c r="N17" i="155"/>
  <c r="N14" i="152"/>
  <c r="N14" i="155"/>
  <c r="N19" i="149"/>
  <c r="N19" i="150"/>
  <c r="N13" i="149"/>
  <c r="N13" i="150"/>
  <c r="N17" i="149"/>
  <c r="N17" i="150"/>
  <c r="N16" i="149"/>
  <c r="N16" i="150"/>
  <c r="N14" i="149"/>
  <c r="N14" i="150"/>
  <c r="N15" i="149"/>
  <c r="N15" i="150"/>
  <c r="N18" i="149"/>
  <c r="N18" i="150"/>
  <c r="J174" i="97"/>
  <c r="N171" i="172" s="1"/>
  <c r="J168" i="97"/>
  <c r="N165" i="172" s="1"/>
  <c r="J178" i="97"/>
  <c r="N175" i="172" s="1"/>
  <c r="J47" i="97"/>
  <c r="N44" i="172" s="1"/>
  <c r="J46" i="97"/>
  <c r="N43" i="172" s="1"/>
  <c r="G238" i="92"/>
  <c r="G238" i="53"/>
  <c r="G238" i="38"/>
  <c r="G238" i="58"/>
  <c r="G238" i="62"/>
  <c r="G238" i="46"/>
  <c r="G238" i="79"/>
  <c r="G238" i="15"/>
  <c r="G238" i="50"/>
  <c r="N16" i="143"/>
  <c r="N16" i="145"/>
  <c r="N15" i="143"/>
  <c r="N15" i="145"/>
  <c r="N19" i="143"/>
  <c r="N19" i="145"/>
  <c r="N12" i="143"/>
  <c r="N12" i="145"/>
  <c r="N14" i="143"/>
  <c r="N14" i="145"/>
  <c r="N18" i="143"/>
  <c r="N18" i="145"/>
  <c r="N11" i="143"/>
  <c r="N11" i="145"/>
  <c r="N13" i="143"/>
  <c r="N13" i="145"/>
  <c r="N17" i="143"/>
  <c r="N17" i="145"/>
  <c r="J122" i="97"/>
  <c r="J192" i="97"/>
  <c r="N189" i="172" s="1"/>
  <c r="J177" i="97"/>
  <c r="N174" i="172" s="1"/>
  <c r="J173" i="97"/>
  <c r="N170" i="172" s="1"/>
  <c r="J96" i="97"/>
  <c r="J82" i="97"/>
  <c r="G238" i="63"/>
  <c r="G238" i="33"/>
  <c r="G238" i="89"/>
  <c r="Q167" i="97"/>
  <c r="Q203" i="97"/>
  <c r="Q177" i="97"/>
  <c r="Q28" i="97"/>
  <c r="Q149" i="97"/>
  <c r="Q169" i="97"/>
  <c r="Q130" i="97"/>
  <c r="J24" i="97"/>
  <c r="N21" i="172" s="1"/>
  <c r="Q127" i="97"/>
  <c r="Q99" i="97"/>
  <c r="Q148" i="97"/>
  <c r="Q175" i="97"/>
  <c r="Q141" i="97"/>
  <c r="Q150" i="97"/>
  <c r="Q129" i="97"/>
  <c r="Q138" i="97"/>
  <c r="H231" i="97"/>
  <c r="G239" i="97"/>
  <c r="Q173" i="97"/>
  <c r="Q151" i="97"/>
  <c r="Q152" i="97"/>
  <c r="Q29" i="97"/>
  <c r="Q128" i="97"/>
  <c r="Q117" i="97"/>
  <c r="Q30" i="97"/>
  <c r="Q139" i="97"/>
  <c r="Q126" i="97"/>
  <c r="Q108" i="97"/>
  <c r="Q211" i="97"/>
  <c r="Q54" i="97"/>
  <c r="M16" i="97"/>
  <c r="Q85" i="97"/>
  <c r="Q171" i="97"/>
  <c r="Q140" i="97"/>
  <c r="J30" i="97"/>
  <c r="N27" i="172" s="1"/>
  <c r="J169" i="97"/>
  <c r="N166" i="172" s="1"/>
  <c r="J171" i="97"/>
  <c r="N168" i="172" s="1"/>
  <c r="J117" i="97"/>
  <c r="N114" i="172" s="1"/>
  <c r="J28" i="97"/>
  <c r="N25" i="172" s="1"/>
  <c r="J140" i="97"/>
  <c r="N137" i="172" s="1"/>
  <c r="J151" i="97"/>
  <c r="N148" i="172" s="1"/>
  <c r="J128" i="97"/>
  <c r="N125" i="172" s="1"/>
  <c r="J138" i="97"/>
  <c r="N135" i="172" s="1"/>
  <c r="J139" i="97"/>
  <c r="N136" i="172" s="1"/>
  <c r="J150" i="97"/>
  <c r="N147" i="172" s="1"/>
  <c r="J52" i="97"/>
  <c r="N49" i="172" s="1"/>
  <c r="J60" i="97"/>
  <c r="N57" i="172" s="1"/>
  <c r="J79" i="97"/>
  <c r="N76" i="172" s="1"/>
  <c r="J100" i="97"/>
  <c r="N97" i="172" s="1"/>
  <c r="J34" i="97"/>
  <c r="N31" i="172" s="1"/>
  <c r="J42" i="97"/>
  <c r="N39" i="172" s="1"/>
  <c r="J176" i="97"/>
  <c r="N173" i="172" s="1"/>
  <c r="J183" i="97"/>
  <c r="N180" i="172" s="1"/>
  <c r="J204" i="97"/>
  <c r="N201" i="172" s="1"/>
  <c r="J55" i="97"/>
  <c r="N52" i="172" s="1"/>
  <c r="J72" i="97"/>
  <c r="N69" i="172" s="1"/>
  <c r="J80" i="97"/>
  <c r="N77" i="172" s="1"/>
  <c r="J103" i="97"/>
  <c r="N100" i="172" s="1"/>
  <c r="J172" i="97"/>
  <c r="N169" i="172" s="1"/>
  <c r="J31" i="97"/>
  <c r="N28" i="172" s="1"/>
  <c r="J39" i="97"/>
  <c r="N36" i="172" s="1"/>
  <c r="J110" i="97"/>
  <c r="N107" i="172" s="1"/>
  <c r="J186" i="97"/>
  <c r="N183" i="172" s="1"/>
  <c r="J198" i="97"/>
  <c r="N195" i="172" s="1"/>
  <c r="J94" i="97"/>
  <c r="N91" i="172" s="1"/>
  <c r="J155" i="97"/>
  <c r="N152" i="172" s="1"/>
  <c r="J111" i="97"/>
  <c r="N108" i="172" s="1"/>
  <c r="J86" i="97"/>
  <c r="N83" i="172" s="1"/>
  <c r="J133" i="97"/>
  <c r="N130" i="172" s="1"/>
  <c r="J193" i="97"/>
  <c r="N190" i="172" s="1"/>
  <c r="J154" i="97"/>
  <c r="N151" i="172" s="1"/>
  <c r="J163" i="97"/>
  <c r="N160" i="172" s="1"/>
  <c r="J95" i="97"/>
  <c r="N92" i="172" s="1"/>
  <c r="J146" i="97"/>
  <c r="N143" i="172" s="1"/>
  <c r="J134" i="97"/>
  <c r="N131" i="172" s="1"/>
  <c r="J167" i="97"/>
  <c r="N164" i="172" s="1"/>
  <c r="J54" i="97"/>
  <c r="N51" i="172" s="1"/>
  <c r="J149" i="97"/>
  <c r="N146" i="172" s="1"/>
  <c r="J130" i="97"/>
  <c r="N127" i="172" s="1"/>
  <c r="J50" i="97"/>
  <c r="N47" i="172" s="1"/>
  <c r="J62" i="97"/>
  <c r="N59" i="172" s="1"/>
  <c r="J71" i="97"/>
  <c r="N68" i="172" s="1"/>
  <c r="J75" i="97"/>
  <c r="N72" i="172" s="1"/>
  <c r="J118" i="97"/>
  <c r="N115" i="172" s="1"/>
  <c r="J160" i="97"/>
  <c r="N157" i="172" s="1"/>
  <c r="J36" i="97"/>
  <c r="N33" i="172" s="1"/>
  <c r="J109" i="97"/>
  <c r="N106" i="172" s="1"/>
  <c r="J187" i="97"/>
  <c r="N184" i="172" s="1"/>
  <c r="J59" i="97"/>
  <c r="N56" i="172" s="1"/>
  <c r="J63" i="97"/>
  <c r="N60" i="172" s="1"/>
  <c r="J74" i="97"/>
  <c r="N71" i="172" s="1"/>
  <c r="J119" i="97"/>
  <c r="N116" i="172" s="1"/>
  <c r="J33" i="97"/>
  <c r="N30" i="172" s="1"/>
  <c r="J41" i="97"/>
  <c r="N38" i="172" s="1"/>
  <c r="J49" i="97"/>
  <c r="N46" i="172" s="1"/>
  <c r="J179" i="97"/>
  <c r="N176" i="172" s="1"/>
  <c r="J188" i="97"/>
  <c r="N185" i="172" s="1"/>
  <c r="J196" i="97"/>
  <c r="N193" i="172" s="1"/>
  <c r="J143" i="97"/>
  <c r="N140" i="172" s="1"/>
  <c r="J158" i="97"/>
  <c r="N155" i="172" s="1"/>
  <c r="J205" i="97"/>
  <c r="N202" i="172" s="1"/>
  <c r="J88" i="97"/>
  <c r="N85" i="172" s="1"/>
  <c r="J135" i="97"/>
  <c r="N132" i="172" s="1"/>
  <c r="J195" i="97"/>
  <c r="N192" i="172" s="1"/>
  <c r="J199" i="97"/>
  <c r="N196" i="172" s="1"/>
  <c r="J161" i="97"/>
  <c r="N158" i="172" s="1"/>
  <c r="J92" i="97"/>
  <c r="N89" i="172" s="1"/>
  <c r="J91" i="97"/>
  <c r="N88" i="172" s="1"/>
  <c r="J136" i="97"/>
  <c r="N133" i="172" s="1"/>
  <c r="J126" i="97"/>
  <c r="N123" i="172" s="1"/>
  <c r="J127" i="97"/>
  <c r="N124" i="172" s="1"/>
  <c r="J56" i="97"/>
  <c r="N53" i="172" s="1"/>
  <c r="J77" i="97"/>
  <c r="N74" i="172" s="1"/>
  <c r="J81" i="97"/>
  <c r="N78" i="172" s="1"/>
  <c r="J104" i="97"/>
  <c r="N101" i="172" s="1"/>
  <c r="J38" i="97"/>
  <c r="N35" i="172" s="1"/>
  <c r="J44" i="97"/>
  <c r="N41" i="172" s="1"/>
  <c r="J180" i="97"/>
  <c r="N177" i="172" s="1"/>
  <c r="J191" i="97"/>
  <c r="N188" i="172" s="1"/>
  <c r="J68" i="97"/>
  <c r="N65" i="172" s="1"/>
  <c r="J76" i="97"/>
  <c r="N73" i="172" s="1"/>
  <c r="J101" i="97"/>
  <c r="N98" i="172" s="1"/>
  <c r="J121" i="97"/>
  <c r="N118" i="172" s="1"/>
  <c r="J35" i="97"/>
  <c r="N32" i="172" s="1"/>
  <c r="J43" i="97"/>
  <c r="N40" i="172" s="1"/>
  <c r="J181" i="97"/>
  <c r="N178" i="172" s="1"/>
  <c r="J190" i="97"/>
  <c r="N187" i="172" s="1"/>
  <c r="J194" i="97"/>
  <c r="N191" i="172" s="1"/>
  <c r="J145" i="97"/>
  <c r="N142" i="172" s="1"/>
  <c r="J162" i="97"/>
  <c r="N159" i="172" s="1"/>
  <c r="J93" i="97"/>
  <c r="N90" i="172" s="1"/>
  <c r="J67" i="97"/>
  <c r="N64" i="172" s="1"/>
  <c r="J144" i="97"/>
  <c r="N141" i="172" s="1"/>
  <c r="J159" i="97"/>
  <c r="N156" i="172" s="1"/>
  <c r="J208" i="97"/>
  <c r="N205" i="172" s="1"/>
  <c r="J112" i="97"/>
  <c r="N109" i="172" s="1"/>
  <c r="J89" i="97"/>
  <c r="N86" i="172" s="1"/>
  <c r="J29" i="97"/>
  <c r="N26" i="172" s="1"/>
  <c r="J108" i="97"/>
  <c r="N105" i="172" s="1"/>
  <c r="J175" i="97"/>
  <c r="N172" i="172" s="1"/>
  <c r="J203" i="97"/>
  <c r="N200" i="172" s="1"/>
  <c r="J85" i="97"/>
  <c r="N82" i="172" s="1"/>
  <c r="J99" i="97"/>
  <c r="N96" i="172" s="1"/>
  <c r="J141" i="97"/>
  <c r="N138" i="172" s="1"/>
  <c r="J148" i="97"/>
  <c r="N145" i="172" s="1"/>
  <c r="J152" i="97"/>
  <c r="N149" i="172" s="1"/>
  <c r="J129" i="97"/>
  <c r="N126" i="172" s="1"/>
  <c r="J58" i="97"/>
  <c r="N55" i="172" s="1"/>
  <c r="J69" i="97"/>
  <c r="N66" i="172" s="1"/>
  <c r="J73" i="97"/>
  <c r="N70" i="172" s="1"/>
  <c r="J102" i="97"/>
  <c r="N99" i="172" s="1"/>
  <c r="J120" i="97"/>
  <c r="N117" i="172" s="1"/>
  <c r="J32" i="97"/>
  <c r="N29" i="172" s="1"/>
  <c r="J40" i="97"/>
  <c r="N37" i="172" s="1"/>
  <c r="J185" i="97"/>
  <c r="N182" i="172" s="1"/>
  <c r="J189" i="97"/>
  <c r="N186" i="172" s="1"/>
  <c r="J57" i="97"/>
  <c r="N54" i="172" s="1"/>
  <c r="J61" i="97"/>
  <c r="N58" i="172" s="1"/>
  <c r="J70" i="97"/>
  <c r="N67" i="172" s="1"/>
  <c r="J78" i="97"/>
  <c r="N75" i="172" s="1"/>
  <c r="J37" i="97"/>
  <c r="N34" i="172" s="1"/>
  <c r="J45" i="97"/>
  <c r="N42" i="172" s="1"/>
  <c r="J170" i="97"/>
  <c r="N167" i="172" s="1"/>
  <c r="J184" i="97"/>
  <c r="N181" i="172" s="1"/>
  <c r="J153" i="97"/>
  <c r="N150" i="172" s="1"/>
  <c r="J207" i="97"/>
  <c r="N204" i="172" s="1"/>
  <c r="J113" i="97"/>
  <c r="N110" i="172" s="1"/>
  <c r="J90" i="97"/>
  <c r="N87" i="172" s="1"/>
  <c r="J197" i="97"/>
  <c r="N194" i="172" s="1"/>
  <c r="J156" i="97"/>
  <c r="N153" i="172" s="1"/>
  <c r="J206" i="97"/>
  <c r="N203" i="172" s="1"/>
  <c r="J87" i="97"/>
  <c r="N84" i="172" s="1"/>
  <c r="J132" i="97"/>
  <c r="N129" i="172" s="1"/>
  <c r="N16" i="95"/>
  <c r="N16" i="1"/>
  <c r="N16" i="92"/>
  <c r="N16" i="91"/>
  <c r="N16" i="86"/>
  <c r="N16" i="69"/>
  <c r="N16" i="100"/>
  <c r="N16" i="55"/>
  <c r="N16" i="16"/>
  <c r="N16" i="25"/>
  <c r="N16" i="27"/>
  <c r="N16" i="64"/>
  <c r="N16" i="79"/>
  <c r="N16" i="33"/>
  <c r="N16" i="24"/>
  <c r="N16" i="120"/>
  <c r="N16" i="38"/>
  <c r="N16" i="39"/>
  <c r="N16" i="42"/>
  <c r="N16" i="15"/>
  <c r="N16" i="106"/>
  <c r="N16" i="103"/>
  <c r="N16" i="50"/>
  <c r="N16" i="113"/>
  <c r="N16" i="90"/>
  <c r="N16" i="142"/>
  <c r="N16" i="89"/>
  <c r="N16" i="87"/>
  <c r="N16" i="14"/>
  <c r="N16" i="111"/>
  <c r="N16" i="20"/>
  <c r="N16" i="65"/>
  <c r="N16" i="119"/>
  <c r="N16" i="28"/>
  <c r="N16" i="31"/>
  <c r="N16" i="32"/>
  <c r="N16" i="141"/>
  <c r="N16" i="37"/>
  <c r="N16" i="135"/>
  <c r="N16" i="71"/>
  <c r="N16" i="84"/>
  <c r="N16" i="43"/>
  <c r="N16" i="104"/>
  <c r="N16" i="45"/>
  <c r="N16" i="102"/>
  <c r="N16" i="46"/>
  <c r="N16" i="19"/>
  <c r="N16" i="118"/>
  <c r="N16" i="60"/>
  <c r="N16" i="133"/>
  <c r="N16" i="54"/>
  <c r="N16" i="94"/>
  <c r="N16" i="72"/>
  <c r="N16" i="85"/>
  <c r="N16" i="68"/>
  <c r="N16" i="67"/>
  <c r="N16" i="66"/>
  <c r="N16" i="63"/>
  <c r="N16" i="21"/>
  <c r="N16" i="62"/>
  <c r="N16" i="59"/>
  <c r="N16" i="58"/>
  <c r="N16" i="57"/>
  <c r="N16" i="136"/>
  <c r="N16" i="53"/>
  <c r="N16" i="98"/>
  <c r="N16" i="49"/>
  <c r="N16" i="83"/>
  <c r="N16" i="47"/>
  <c r="N16" i="10"/>
  <c r="G238" i="113"/>
  <c r="H164" i="97"/>
  <c r="H51" i="97"/>
  <c r="H163" i="97"/>
  <c r="H28" i="97"/>
  <c r="H206" i="97"/>
  <c r="H182" i="97"/>
  <c r="H47" i="97"/>
  <c r="H129" i="97"/>
  <c r="H40" i="97"/>
  <c r="H62" i="97"/>
  <c r="H211" i="97"/>
  <c r="H41" i="97"/>
  <c r="H100" i="97"/>
  <c r="H89" i="97"/>
  <c r="H101" i="97"/>
  <c r="H49" i="97"/>
  <c r="H55" i="97"/>
  <c r="H179" i="97"/>
  <c r="H133" i="97"/>
  <c r="H181" i="97"/>
  <c r="H68" i="97"/>
  <c r="H185" i="97"/>
  <c r="H92" i="97"/>
  <c r="H143" i="97"/>
  <c r="H93" i="97"/>
  <c r="H36" i="97"/>
  <c r="H44" i="97"/>
  <c r="H155" i="97"/>
  <c r="H85" i="97"/>
  <c r="H70" i="97"/>
  <c r="H178" i="97"/>
  <c r="H122" i="97"/>
  <c r="H176" i="97"/>
  <c r="H60" i="97"/>
  <c r="H79" i="97"/>
  <c r="H102" i="97"/>
  <c r="H95" i="97"/>
  <c r="H104" i="97"/>
  <c r="H126" i="97"/>
  <c r="H187" i="97"/>
  <c r="H121" i="97"/>
  <c r="H127" i="97"/>
  <c r="H31" i="97"/>
  <c r="H43" i="97"/>
  <c r="H72" i="97"/>
  <c r="H194" i="97"/>
  <c r="H198" i="97"/>
  <c r="H88" i="97"/>
  <c r="H153" i="97"/>
  <c r="H45" i="97"/>
  <c r="H196" i="97"/>
  <c r="H30" i="97"/>
  <c r="H146" i="97"/>
  <c r="H35" i="97"/>
  <c r="M15" i="97"/>
  <c r="H190" i="97"/>
  <c r="H204" i="97"/>
  <c r="H32" i="97"/>
  <c r="H192" i="97"/>
  <c r="H33" i="97"/>
  <c r="H186" i="97"/>
  <c r="H175" i="97"/>
  <c r="H120" i="97"/>
  <c r="H103" i="97"/>
  <c r="H161" i="97"/>
  <c r="H38" i="97"/>
  <c r="H195" i="97"/>
  <c r="H183" i="97"/>
  <c r="H128" i="97"/>
  <c r="H184" i="97"/>
  <c r="H52" i="97"/>
  <c r="H151" i="97"/>
  <c r="H171" i="97"/>
  <c r="H130" i="97"/>
  <c r="H138" i="97"/>
  <c r="H94" i="97"/>
  <c r="H203" i="97"/>
  <c r="H135" i="97"/>
  <c r="H42" i="97"/>
  <c r="H96" i="97"/>
  <c r="H132" i="97"/>
  <c r="H64" i="97"/>
  <c r="H205" i="97"/>
  <c r="H48" i="97"/>
  <c r="H71" i="97"/>
  <c r="H208" i="97"/>
  <c r="J211" i="97"/>
  <c r="N208" i="172" s="1"/>
  <c r="H99" i="97"/>
  <c r="H87" i="97"/>
  <c r="H180" i="97"/>
  <c r="H134" i="97"/>
  <c r="H189" i="97"/>
  <c r="H69" i="97"/>
  <c r="H118" i="97"/>
  <c r="H168" i="97"/>
  <c r="H150" i="97"/>
  <c r="H74" i="97"/>
  <c r="H160" i="97"/>
  <c r="H77" i="97"/>
  <c r="H53" i="97"/>
  <c r="H39" i="97"/>
  <c r="H117" i="97"/>
  <c r="H91" i="97"/>
  <c r="H156" i="97"/>
  <c r="H145" i="97"/>
  <c r="H172" i="97"/>
  <c r="H75" i="97"/>
  <c r="H112" i="97"/>
  <c r="H136" i="97"/>
  <c r="H169" i="97"/>
  <c r="H152" i="97"/>
  <c r="H159" i="97"/>
  <c r="H113" i="97"/>
  <c r="H90" i="97"/>
  <c r="H37" i="97"/>
  <c r="H162" i="97"/>
  <c r="H78" i="97"/>
  <c r="H139" i="97"/>
  <c r="H73" i="97"/>
  <c r="H188" i="97"/>
  <c r="H173" i="97"/>
  <c r="H81" i="97"/>
  <c r="H209" i="97"/>
  <c r="H114" i="97"/>
  <c r="H63" i="97"/>
  <c r="H59" i="97"/>
  <c r="H141" i="97"/>
  <c r="H119" i="97"/>
  <c r="H193" i="97"/>
  <c r="H80" i="97"/>
  <c r="H199" i="97"/>
  <c r="H158" i="97"/>
  <c r="H177" i="97"/>
  <c r="H140" i="97"/>
  <c r="H105" i="97"/>
  <c r="H34" i="97"/>
  <c r="O211" i="97"/>
  <c r="H111" i="97"/>
  <c r="H154" i="97"/>
  <c r="H50" i="97"/>
  <c r="H174" i="97"/>
  <c r="H56" i="97"/>
  <c r="H86" i="97"/>
  <c r="H29" i="97"/>
  <c r="H110" i="97"/>
  <c r="H54" i="97"/>
  <c r="H167" i="97"/>
  <c r="H149" i="97"/>
  <c r="H67" i="97"/>
  <c r="H200" i="97"/>
  <c r="H61" i="97"/>
  <c r="H57" i="97"/>
  <c r="H170" i="97"/>
  <c r="H207" i="97"/>
  <c r="H46" i="97"/>
  <c r="H148" i="97"/>
  <c r="H109" i="97"/>
  <c r="H144" i="97"/>
  <c r="H191" i="97"/>
  <c r="H58" i="97"/>
  <c r="H76" i="97"/>
  <c r="H197" i="97"/>
  <c r="H108" i="97"/>
  <c r="G238" i="71"/>
  <c r="N14" i="19"/>
  <c r="N14" i="10"/>
  <c r="N14" i="118"/>
  <c r="N14" i="60"/>
  <c r="N14" i="133"/>
  <c r="N14" i="54"/>
  <c r="N14" i="94"/>
  <c r="N14" i="72"/>
  <c r="N14" i="85"/>
  <c r="N14" i="68"/>
  <c r="N14" i="67"/>
  <c r="N14" i="66"/>
  <c r="N14" i="63"/>
  <c r="N14" i="21"/>
  <c r="N14" i="62"/>
  <c r="N14" i="59"/>
  <c r="N14" i="58"/>
  <c r="N14" i="57"/>
  <c r="N14" i="136"/>
  <c r="N14" i="53"/>
  <c r="N14" i="98"/>
  <c r="N14" i="49"/>
  <c r="N14" i="83"/>
  <c r="N14" i="47"/>
  <c r="N14" i="103"/>
  <c r="N14" i="95"/>
  <c r="N14" i="50"/>
  <c r="N14" i="1"/>
  <c r="N14" i="113"/>
  <c r="N14" i="92"/>
  <c r="N14" i="90"/>
  <c r="N14" i="91"/>
  <c r="N14" i="142"/>
  <c r="N14" i="86"/>
  <c r="N14" i="89"/>
  <c r="N14" i="69"/>
  <c r="N14" i="87"/>
  <c r="N14" i="100"/>
  <c r="N14" i="14"/>
  <c r="N14" i="55"/>
  <c r="N14" i="111"/>
  <c r="N14" i="16"/>
  <c r="N14" i="20"/>
  <c r="N14" i="65"/>
  <c r="N14" i="25"/>
  <c r="N14" i="119"/>
  <c r="N14" i="27"/>
  <c r="N14" i="28"/>
  <c r="N14" i="64"/>
  <c r="N14" i="31"/>
  <c r="N14" i="79"/>
  <c r="N14" i="32"/>
  <c r="N14" i="33"/>
  <c r="N14" i="141"/>
  <c r="N14" i="24"/>
  <c r="N14" i="120"/>
  <c r="N14" i="37"/>
  <c r="N14" i="38"/>
  <c r="N14" i="135"/>
  <c r="N14" i="39"/>
  <c r="N14" i="71"/>
  <c r="N14" i="84"/>
  <c r="N14" i="42"/>
  <c r="N14" i="43"/>
  <c r="N14" i="15"/>
  <c r="N14" i="104"/>
  <c r="N14" i="106"/>
  <c r="N14" i="45"/>
  <c r="N14" i="102"/>
  <c r="N14" i="46"/>
  <c r="N18" i="21"/>
  <c r="N18" i="57"/>
  <c r="N18" i="98"/>
  <c r="N18" i="103"/>
  <c r="N18" i="1"/>
  <c r="N18" i="91"/>
  <c r="N18" i="69"/>
  <c r="N18" i="55"/>
  <c r="N18" i="25"/>
  <c r="N18" i="64"/>
  <c r="N18" i="33"/>
  <c r="N18" i="120"/>
  <c r="N18" i="39"/>
  <c r="N18" i="42"/>
  <c r="N18" i="106"/>
  <c r="N18" i="66"/>
  <c r="N18" i="59"/>
  <c r="N18" i="136"/>
  <c r="N18" i="83"/>
  <c r="N18" i="95"/>
  <c r="N18" i="92"/>
  <c r="N18" i="86"/>
  <c r="N18" i="100"/>
  <c r="N18" i="16"/>
  <c r="N18" i="27"/>
  <c r="N18" i="79"/>
  <c r="N18" i="24"/>
  <c r="N18" i="38"/>
  <c r="N18" i="15"/>
  <c r="N18" i="102"/>
  <c r="N18" i="47"/>
  <c r="N18" i="72"/>
  <c r="N18" i="68"/>
  <c r="N18" i="133"/>
  <c r="N18" i="85"/>
  <c r="N18" i="67"/>
  <c r="N18" i="62"/>
  <c r="N18" i="49"/>
  <c r="N18" i="113"/>
  <c r="N18" i="142"/>
  <c r="N18" i="87"/>
  <c r="N18" i="111"/>
  <c r="N18" i="119"/>
  <c r="N18" i="31"/>
  <c r="N18" i="141"/>
  <c r="N18" i="37"/>
  <c r="N18" i="71"/>
  <c r="N18" i="43"/>
  <c r="N18" i="45"/>
  <c r="N18" i="10"/>
  <c r="N18" i="19"/>
  <c r="N18" i="54"/>
  <c r="N18" i="118"/>
  <c r="N18" i="94"/>
  <c r="N18" i="63"/>
  <c r="N18" i="58"/>
  <c r="N18" i="53"/>
  <c r="N18" i="50"/>
  <c r="N18" i="90"/>
  <c r="N18" i="89"/>
  <c r="N18" i="14"/>
  <c r="N18" i="20"/>
  <c r="N18" i="65"/>
  <c r="N18" i="28"/>
  <c r="N18" i="32"/>
  <c r="N18" i="135"/>
  <c r="N18" i="84"/>
  <c r="N18" i="104"/>
  <c r="N18" i="46"/>
  <c r="N18" i="60"/>
  <c r="G238" i="67"/>
  <c r="N13" i="133"/>
  <c r="N13" i="67"/>
  <c r="N13" i="62"/>
  <c r="N13" i="49"/>
  <c r="N13" i="46"/>
  <c r="N13" i="104"/>
  <c r="N13" i="54"/>
  <c r="N13" i="66"/>
  <c r="N13" i="59"/>
  <c r="N13" i="136"/>
  <c r="N13" i="83"/>
  <c r="N13" i="102"/>
  <c r="N13" i="15"/>
  <c r="N13" i="118"/>
  <c r="N13" i="94"/>
  <c r="N13" i="63"/>
  <c r="N13" i="58"/>
  <c r="N13" i="53"/>
  <c r="N13" i="47"/>
  <c r="N13" i="45"/>
  <c r="N13" i="43"/>
  <c r="N13" i="84"/>
  <c r="N13" i="71"/>
  <c r="N13" i="135"/>
  <c r="N13" i="37"/>
  <c r="N13" i="141"/>
  <c r="N13" i="19"/>
  <c r="N13" i="60"/>
  <c r="N13" i="72"/>
  <c r="N13" i="68"/>
  <c r="N13" i="21"/>
  <c r="N13" i="57"/>
  <c r="N13" i="98"/>
  <c r="N13" i="106"/>
  <c r="N13" i="42"/>
  <c r="N13" i="39"/>
  <c r="N13" i="38"/>
  <c r="N13" i="120"/>
  <c r="N13" i="24"/>
  <c r="N13" i="33"/>
  <c r="N13" i="79"/>
  <c r="N13" i="64"/>
  <c r="N13" i="27"/>
  <c r="N13" i="25"/>
  <c r="N13" i="16"/>
  <c r="N13" i="55"/>
  <c r="N13" i="100"/>
  <c r="N13" i="69"/>
  <c r="N13" i="86"/>
  <c r="N13" i="91"/>
  <c r="N13" i="92"/>
  <c r="N13" i="1"/>
  <c r="N13" i="95"/>
  <c r="N13" i="10"/>
  <c r="N13" i="85"/>
  <c r="N13" i="32"/>
  <c r="N13" i="31"/>
  <c r="N13" i="28"/>
  <c r="N13" i="119"/>
  <c r="N13" i="65"/>
  <c r="N13" i="20"/>
  <c r="N13" i="111"/>
  <c r="N13" i="14"/>
  <c r="N13" i="87"/>
  <c r="N13" i="89"/>
  <c r="N13" i="142"/>
  <c r="N13" i="90"/>
  <c r="N13" i="113"/>
  <c r="N13" i="50"/>
  <c r="N13" i="103"/>
  <c r="N17" i="19"/>
  <c r="N17" i="10"/>
  <c r="N17" i="118"/>
  <c r="N17" i="60"/>
  <c r="N17" i="133"/>
  <c r="N17" i="54"/>
  <c r="N17" i="94"/>
  <c r="N17" i="72"/>
  <c r="N17" i="85"/>
  <c r="N17" i="68"/>
  <c r="N17" i="67"/>
  <c r="N17" i="66"/>
  <c r="N17" i="63"/>
  <c r="N17" i="21"/>
  <c r="N17" i="62"/>
  <c r="N17" i="59"/>
  <c r="N17" i="58"/>
  <c r="N17" i="57"/>
  <c r="N17" i="136"/>
  <c r="N17" i="53"/>
  <c r="N17" i="98"/>
  <c r="N17" i="49"/>
  <c r="N17" i="83"/>
  <c r="N17" i="103"/>
  <c r="N17" i="95"/>
  <c r="N17" i="50"/>
  <c r="N17" i="1"/>
  <c r="N17" i="113"/>
  <c r="N17" i="92"/>
  <c r="N17" i="90"/>
  <c r="N17" i="91"/>
  <c r="N17" i="142"/>
  <c r="N17" i="86"/>
  <c r="N17" i="89"/>
  <c r="N17" i="69"/>
  <c r="N17" i="87"/>
  <c r="N17" i="100"/>
  <c r="N17" i="14"/>
  <c r="N17" i="55"/>
  <c r="N17" i="111"/>
  <c r="N17" i="16"/>
  <c r="N17" i="20"/>
  <c r="N17" i="65"/>
  <c r="N17" i="25"/>
  <c r="N17" i="119"/>
  <c r="N17" i="27"/>
  <c r="N17" i="28"/>
  <c r="N17" i="64"/>
  <c r="N17" i="31"/>
  <c r="N17" i="79"/>
  <c r="N17" i="32"/>
  <c r="N17" i="33"/>
  <c r="N17" i="141"/>
  <c r="N17" i="24"/>
  <c r="N17" i="120"/>
  <c r="N17" i="37"/>
  <c r="N17" i="38"/>
  <c r="N17" i="135"/>
  <c r="N17" i="39"/>
  <c r="N17" i="71"/>
  <c r="N17" i="84"/>
  <c r="N17" i="42"/>
  <c r="N17" i="43"/>
  <c r="N17" i="15"/>
  <c r="N17" i="104"/>
  <c r="N17" i="106"/>
  <c r="N17" i="45"/>
  <c r="N17" i="102"/>
  <c r="N17" i="46"/>
  <c r="N17" i="47"/>
  <c r="H226" i="97"/>
  <c r="H230" i="97"/>
  <c r="J114" i="97"/>
  <c r="J105" i="97"/>
  <c r="G238" i="100"/>
  <c r="H223" i="97"/>
  <c r="H222" i="97"/>
  <c r="G238" i="47"/>
  <c r="G238" i="45"/>
  <c r="G238" i="28"/>
  <c r="G238" i="111"/>
  <c r="G238" i="66"/>
  <c r="G238" i="43"/>
  <c r="G238" i="42"/>
  <c r="G238" i="25"/>
  <c r="G238" i="69"/>
  <c r="G238" i="10"/>
  <c r="G238" i="95"/>
  <c r="G238" i="19"/>
  <c r="G238" i="98"/>
  <c r="N15" i="85"/>
  <c r="N15" i="49"/>
  <c r="N15" i="135"/>
  <c r="N15" i="65"/>
  <c r="N15" i="90"/>
  <c r="N15" i="68"/>
  <c r="N15" i="120"/>
  <c r="N15" i="1"/>
  <c r="N15" i="47"/>
  <c r="N15" i="37"/>
  <c r="N15" i="113"/>
  <c r="N15" i="54"/>
  <c r="N15" i="136"/>
  <c r="N15" i="27"/>
  <c r="N15" i="86"/>
  <c r="N15" i="133"/>
  <c r="N15" i="84"/>
  <c r="N15" i="28"/>
  <c r="N15" i="89"/>
  <c r="N15" i="72"/>
  <c r="N15" i="98"/>
  <c r="N15" i="39"/>
  <c r="N15" i="25"/>
  <c r="N15" i="91"/>
  <c r="N15" i="94"/>
  <c r="N15" i="53"/>
  <c r="N15" i="62"/>
  <c r="N15" i="104"/>
  <c r="N15" i="32"/>
  <c r="N15" i="14"/>
  <c r="N15" i="60"/>
  <c r="N15" i="57"/>
  <c r="N15" i="42"/>
  <c r="N15" i="64"/>
  <c r="N15" i="69"/>
  <c r="N15" i="118"/>
  <c r="N15" i="58"/>
  <c r="N15" i="43"/>
  <c r="N15" i="31"/>
  <c r="N15" i="87"/>
  <c r="N15" i="19"/>
  <c r="N15" i="66"/>
  <c r="N15" i="102"/>
  <c r="N15" i="24"/>
  <c r="N15" i="16"/>
  <c r="N15" i="95"/>
  <c r="N15" i="67"/>
  <c r="N15" i="46"/>
  <c r="N15" i="20"/>
  <c r="N15" i="50"/>
  <c r="N15" i="21"/>
  <c r="N15" i="106"/>
  <c r="N15" i="33"/>
  <c r="N15" i="55"/>
  <c r="N15" i="10"/>
  <c r="N15" i="63"/>
  <c r="N15" i="45"/>
  <c r="N15" i="71"/>
  <c r="N15" i="141"/>
  <c r="N15" i="119"/>
  <c r="N15" i="111"/>
  <c r="N15" i="142"/>
  <c r="N15" i="103"/>
  <c r="N15" i="59"/>
  <c r="N15" i="83"/>
  <c r="N15" i="15"/>
  <c r="N15" i="38"/>
  <c r="N15" i="79"/>
  <c r="N15" i="100"/>
  <c r="N15" i="92"/>
  <c r="N19" i="10"/>
  <c r="N19" i="95"/>
  <c r="N19" i="50"/>
  <c r="N19" i="19"/>
  <c r="N19" i="118"/>
  <c r="N19" i="60"/>
  <c r="N19" i="133"/>
  <c r="N19" i="54"/>
  <c r="N19" i="94"/>
  <c r="N19" i="72"/>
  <c r="N19" i="85"/>
  <c r="N19" i="68"/>
  <c r="N19" i="67"/>
  <c r="N19" i="66"/>
  <c r="N19" i="63"/>
  <c r="N19" i="21"/>
  <c r="N19" i="62"/>
  <c r="N19" i="59"/>
  <c r="N19" i="58"/>
  <c r="N19" i="57"/>
  <c r="N19" i="136"/>
  <c r="N19" i="53"/>
  <c r="N19" i="98"/>
  <c r="N19" i="49"/>
  <c r="N19" i="83"/>
  <c r="N19" i="103"/>
  <c r="N19" i="1"/>
  <c r="N19" i="113"/>
  <c r="N19" i="92"/>
  <c r="N19" i="90"/>
  <c r="N19" i="91"/>
  <c r="N19" i="142"/>
  <c r="N19" i="86"/>
  <c r="N19" i="89"/>
  <c r="N19" i="69"/>
  <c r="N19" i="87"/>
  <c r="N19" i="100"/>
  <c r="N19" i="14"/>
  <c r="N19" i="55"/>
  <c r="N19" i="111"/>
  <c r="N19" i="16"/>
  <c r="N19" i="20"/>
  <c r="N19" i="65"/>
  <c r="N19" i="25"/>
  <c r="N19" i="119"/>
  <c r="N19" i="27"/>
  <c r="N19" i="28"/>
  <c r="N19" i="64"/>
  <c r="N19" i="31"/>
  <c r="N19" i="79"/>
  <c r="N19" i="32"/>
  <c r="N19" i="33"/>
  <c r="N19" i="141"/>
  <c r="N19" i="24"/>
  <c r="N19" i="120"/>
  <c r="N19" i="37"/>
  <c r="N19" i="38"/>
  <c r="N19" i="135"/>
  <c r="N19" i="39"/>
  <c r="N19" i="71"/>
  <c r="N19" i="84"/>
  <c r="N19" i="42"/>
  <c r="N19" i="43"/>
  <c r="N19" i="15"/>
  <c r="N19" i="104"/>
  <c r="N19" i="106"/>
  <c r="N19" i="45"/>
  <c r="N19" i="102"/>
  <c r="N19" i="46"/>
  <c r="N19" i="47"/>
  <c r="G238" i="84"/>
  <c r="G238" i="21"/>
  <c r="N12" i="102"/>
  <c r="N12" i="83"/>
  <c r="N12" i="47"/>
  <c r="N12" i="142"/>
  <c r="N12" i="111"/>
  <c r="N12" i="119"/>
  <c r="N12" i="141"/>
  <c r="N12" i="71"/>
  <c r="N12" i="45"/>
  <c r="N12" i="68"/>
  <c r="N12" i="103"/>
  <c r="N12" i="62"/>
  <c r="N12" i="1"/>
  <c r="N12" i="91"/>
  <c r="N12" i="69"/>
  <c r="N12" i="55"/>
  <c r="N12" i="25"/>
  <c r="N12" i="64"/>
  <c r="N12" i="33"/>
  <c r="N12" i="120"/>
  <c r="N12" i="39"/>
  <c r="N12" i="42"/>
  <c r="N12" i="106"/>
  <c r="N12" i="19"/>
  <c r="N12" i="66"/>
  <c r="N12" i="136"/>
  <c r="N12" i="10"/>
  <c r="N12" i="85"/>
  <c r="N12" i="49"/>
  <c r="N12" i="54"/>
  <c r="N12" i="94"/>
  <c r="N12" i="63"/>
  <c r="N12" i="53"/>
  <c r="N12" i="50"/>
  <c r="N12" i="90"/>
  <c r="N12" i="89"/>
  <c r="N12" i="14"/>
  <c r="N12" i="20"/>
  <c r="N12" i="65"/>
  <c r="N12" i="28"/>
  <c r="N12" i="32"/>
  <c r="N12" i="135"/>
  <c r="N12" i="84"/>
  <c r="N12" i="104"/>
  <c r="N12" i="46"/>
  <c r="N12" i="72"/>
  <c r="N12" i="21"/>
  <c r="N12" i="98"/>
  <c r="N12" i="118"/>
  <c r="N12" i="58"/>
  <c r="N12" i="113"/>
  <c r="N12" i="87"/>
  <c r="N12" i="31"/>
  <c r="N12" i="37"/>
  <c r="N12" i="43"/>
  <c r="N12" i="60"/>
  <c r="N12" i="57"/>
  <c r="N12" i="95"/>
  <c r="N12" i="67"/>
  <c r="N12" i="100"/>
  <c r="N12" i="79"/>
  <c r="N12" i="38"/>
  <c r="N12" i="59"/>
  <c r="N12" i="92"/>
  <c r="N12" i="86"/>
  <c r="N12" i="16"/>
  <c r="N12" i="27"/>
  <c r="N12" i="24"/>
  <c r="N12" i="133"/>
  <c r="N12" i="15"/>
  <c r="N11" i="118"/>
  <c r="N11" i="58"/>
  <c r="N11" i="47"/>
  <c r="N11" i="43"/>
  <c r="N11" i="71"/>
  <c r="N11" i="37"/>
  <c r="N11" i="141"/>
  <c r="N11" i="31"/>
  <c r="N11" i="119"/>
  <c r="N11" i="111"/>
  <c r="N11" i="87"/>
  <c r="N11" i="142"/>
  <c r="N11" i="113"/>
  <c r="N11" i="103"/>
  <c r="N11" i="72"/>
  <c r="N11" i="59"/>
  <c r="N11" i="83"/>
  <c r="N11" i="15"/>
  <c r="N11" i="133"/>
  <c r="N11" i="67"/>
  <c r="N11" i="46"/>
  <c r="N11" i="84"/>
  <c r="N11" i="135"/>
  <c r="N11" i="32"/>
  <c r="N11" i="28"/>
  <c r="N11" i="65"/>
  <c r="N11" i="20"/>
  <c r="N11" i="14"/>
  <c r="N11" i="89"/>
  <c r="N11" i="90"/>
  <c r="N11" i="50"/>
  <c r="N11" i="19"/>
  <c r="N11" i="21"/>
  <c r="N11" i="98"/>
  <c r="N11" i="106"/>
  <c r="N11" i="94"/>
  <c r="N11" i="63"/>
  <c r="N11" i="53"/>
  <c r="N11" i="45"/>
  <c r="N11" i="54"/>
  <c r="N11" i="66"/>
  <c r="N11" i="136"/>
  <c r="N11" i="102"/>
  <c r="N11" i="38"/>
  <c r="N11" i="24"/>
  <c r="N11" i="79"/>
  <c r="N11" i="27"/>
  <c r="N11" i="16"/>
  <c r="N11" i="100"/>
  <c r="N11" i="86"/>
  <c r="N11" i="92"/>
  <c r="N11" i="95"/>
  <c r="N11" i="10"/>
  <c r="N11" i="85"/>
  <c r="N11" i="62"/>
  <c r="N11" i="49"/>
  <c r="N11" i="104"/>
  <c r="N11" i="60"/>
  <c r="N11" i="68"/>
  <c r="N11" i="57"/>
  <c r="N11" i="42"/>
  <c r="N11" i="39"/>
  <c r="N11" i="120"/>
  <c r="N11" i="33"/>
  <c r="N11" i="64"/>
  <c r="N11" i="25"/>
  <c r="N11" i="55"/>
  <c r="N11" i="69"/>
  <c r="N11" i="91"/>
  <c r="N11" i="1"/>
  <c r="G238" i="72"/>
  <c r="G238" i="14"/>
  <c r="G238" i="133"/>
  <c r="G238" i="90"/>
  <c r="G218" i="97"/>
  <c r="H227" i="97"/>
  <c r="J64" i="97"/>
  <c r="N61" i="172" s="1"/>
  <c r="J209" i="97"/>
  <c r="J200" i="97"/>
  <c r="J164" i="97"/>
  <c r="G238" i="27"/>
  <c r="G238" i="49"/>
  <c r="H225" i="97"/>
  <c r="H229" i="97"/>
  <c r="G240" i="97"/>
  <c r="G238" i="104"/>
  <c r="G238" i="37"/>
  <c r="G238" i="59"/>
  <c r="G238" i="39"/>
  <c r="G238" i="60"/>
  <c r="G238" i="1"/>
  <c r="G238" i="87"/>
  <c r="H224" i="97"/>
  <c r="H228" i="97"/>
  <c r="G238" i="91"/>
  <c r="G238" i="141"/>
  <c r="G238" i="142"/>
  <c r="N50" i="1" l="1"/>
  <c r="N50" i="87"/>
  <c r="N50" i="68"/>
  <c r="N50" i="155"/>
  <c r="N50" i="164"/>
  <c r="N50" i="142"/>
  <c r="N50" i="10"/>
  <c r="N50" i="158"/>
  <c r="N50" i="33"/>
  <c r="N50" i="159"/>
  <c r="N50" i="38"/>
  <c r="N50" i="21"/>
  <c r="N50" i="102"/>
  <c r="N50" i="32"/>
  <c r="N50" i="20"/>
  <c r="N50" i="120"/>
  <c r="N50" i="143"/>
  <c r="N50" i="16"/>
  <c r="N50" i="111"/>
  <c r="N50" i="94"/>
  <c r="N50" i="43"/>
  <c r="N50" i="85"/>
  <c r="N50" i="50"/>
  <c r="N50" i="67"/>
  <c r="N50" i="103"/>
  <c r="N50" i="119"/>
  <c r="N50" i="91"/>
  <c r="N50" i="27"/>
  <c r="N50" i="113"/>
  <c r="N50" i="72"/>
  <c r="N50" i="92"/>
  <c r="N50" i="100"/>
  <c r="N50" i="69"/>
  <c r="N50" i="37"/>
  <c r="N50" i="83"/>
  <c r="N50" i="149"/>
  <c r="N50" i="71"/>
  <c r="N50" i="136"/>
  <c r="N50" i="167"/>
  <c r="N50" i="133"/>
  <c r="N50" i="53"/>
  <c r="N50" i="63"/>
  <c r="N50" i="54"/>
  <c r="N50" i="156"/>
  <c r="N50" i="84"/>
  <c r="N50" i="47"/>
  <c r="N50" i="55"/>
  <c r="N50" i="28"/>
  <c r="N50" i="59"/>
  <c r="N50" i="42"/>
  <c r="N50" i="14"/>
  <c r="N50" i="46"/>
  <c r="N50" i="165"/>
  <c r="N50" i="65"/>
  <c r="N50" i="60"/>
  <c r="N50" i="145"/>
  <c r="N50" i="86"/>
  <c r="N50" i="152"/>
  <c r="N50" i="25"/>
  <c r="N50" i="106"/>
  <c r="N50" i="62"/>
  <c r="N50" i="90"/>
  <c r="N50" i="45"/>
  <c r="N50" i="24"/>
  <c r="N50" i="31"/>
  <c r="N50" i="135"/>
  <c r="N50" i="150"/>
  <c r="N50" i="98"/>
  <c r="N50" i="19"/>
  <c r="N50" i="104"/>
  <c r="N50" i="64"/>
  <c r="N50" i="57"/>
  <c r="N50" i="15"/>
  <c r="N50" i="95"/>
  <c r="N50" i="39"/>
  <c r="N50" i="141"/>
  <c r="N50" i="157"/>
  <c r="N50" i="49"/>
  <c r="N50" i="118"/>
  <c r="N50" i="66"/>
  <c r="N50" i="79"/>
  <c r="N50" i="89"/>
  <c r="N50" i="58"/>
  <c r="N179" i="172"/>
  <c r="N179" i="63"/>
  <c r="N179" i="91"/>
  <c r="N179" i="133"/>
  <c r="N179" i="62"/>
  <c r="N179" i="42"/>
  <c r="N179" i="31"/>
  <c r="N179" i="16"/>
  <c r="N179" i="84"/>
  <c r="N179" i="103"/>
  <c r="N179" i="49"/>
  <c r="N179" i="119"/>
  <c r="N179" i="32"/>
  <c r="N179" i="19"/>
  <c r="N179" i="85"/>
  <c r="N179" i="92"/>
  <c r="N179" i="66"/>
  <c r="N179" i="14"/>
  <c r="N179" i="94"/>
  <c r="N179" i="156"/>
  <c r="N179" i="39"/>
  <c r="N179" i="43"/>
  <c r="N179" i="45"/>
  <c r="N179" i="141"/>
  <c r="N179" i="106"/>
  <c r="N179" i="100"/>
  <c r="N179" i="57"/>
  <c r="N179" i="37"/>
  <c r="N179" i="59"/>
  <c r="N179" i="111"/>
  <c r="N179" i="143"/>
  <c r="N179" i="54"/>
  <c r="N179" i="10"/>
  <c r="N179" i="104"/>
  <c r="N179" i="46"/>
  <c r="N179" i="120"/>
  <c r="N179" i="87"/>
  <c r="N179" i="86"/>
  <c r="N179" i="28"/>
  <c r="N179" i="102"/>
  <c r="N179" i="68"/>
  <c r="N179" i="33"/>
  <c r="N179" i="72"/>
  <c r="N179" i="79"/>
  <c r="N179" i="90"/>
  <c r="N179" i="24"/>
  <c r="N179" i="157"/>
  <c r="N179" i="155"/>
  <c r="N179" i="25"/>
  <c r="N179" i="27"/>
  <c r="N179" i="164"/>
  <c r="N179" i="158"/>
  <c r="N179" i="145"/>
  <c r="N179" i="15"/>
  <c r="N179" i="71"/>
  <c r="N179" i="60"/>
  <c r="N179" i="135"/>
  <c r="N179" i="64"/>
  <c r="N179" i="113"/>
  <c r="N179" i="95"/>
  <c r="N179" i="89"/>
  <c r="N179" i="38"/>
  <c r="N179" i="165"/>
  <c r="N179" i="159"/>
  <c r="N179" i="69"/>
  <c r="N179" i="50"/>
  <c r="N179" i="118"/>
  <c r="N179" i="47"/>
  <c r="N179" i="152"/>
  <c r="N179" i="53"/>
  <c r="N179" i="149"/>
  <c r="N179" i="20"/>
  <c r="N179" i="142"/>
  <c r="N179" i="98"/>
  <c r="N179" i="65"/>
  <c r="N179" i="1"/>
  <c r="N179" i="136"/>
  <c r="N179" i="21"/>
  <c r="N179" i="55"/>
  <c r="N179" i="67"/>
  <c r="N179" i="150"/>
  <c r="N179" i="58"/>
  <c r="N179" i="167"/>
  <c r="N179" i="83"/>
  <c r="N119" i="172"/>
  <c r="N111" i="172"/>
  <c r="N161" i="172"/>
  <c r="N79" i="172"/>
  <c r="N206" i="172"/>
  <c r="N93" i="172"/>
  <c r="N102" i="172"/>
  <c r="N197" i="172"/>
  <c r="N61" i="103"/>
  <c r="N61" i="156"/>
  <c r="N61" i="15"/>
  <c r="N61" i="66"/>
  <c r="N61" i="83"/>
  <c r="N61" i="57"/>
  <c r="N61" i="152"/>
  <c r="N61" i="79"/>
  <c r="N61" i="111"/>
  <c r="N61" i="87"/>
  <c r="N61" i="47"/>
  <c r="N61" i="10"/>
  <c r="N61" i="158"/>
  <c r="N61" i="62"/>
  <c r="N61" i="46"/>
  <c r="N61" i="37"/>
  <c r="N61" i="64"/>
  <c r="N61" i="20"/>
  <c r="N61" i="55"/>
  <c r="N61" i="69"/>
  <c r="N61" i="50"/>
  <c r="N61" i="118"/>
  <c r="N61" i="94"/>
  <c r="N61" i="68"/>
  <c r="N61" i="58"/>
  <c r="N61" i="102"/>
  <c r="N61" i="71"/>
  <c r="N61" i="90"/>
  <c r="N61" i="72"/>
  <c r="N61" i="21"/>
  <c r="N61" i="86"/>
  <c r="N61" i="95"/>
  <c r="N61" i="150"/>
  <c r="N61" i="42"/>
  <c r="N61" i="165"/>
  <c r="N61" i="60"/>
  <c r="N61" i="145"/>
  <c r="N61" i="100"/>
  <c r="N61" i="136"/>
  <c r="N61" i="45"/>
  <c r="N61" i="167"/>
  <c r="N61" i="24"/>
  <c r="N61" i="28"/>
  <c r="N61" i="159"/>
  <c r="N61" i="14"/>
  <c r="N61" i="89"/>
  <c r="N61" i="19"/>
  <c r="N61" i="59"/>
  <c r="N61" i="106"/>
  <c r="N61" i="33"/>
  <c r="N61" i="16"/>
  <c r="N61" i="91"/>
  <c r="N61" i="49"/>
  <c r="N61" i="38"/>
  <c r="N61" i="32"/>
  <c r="N61" i="27"/>
  <c r="N61" i="113"/>
  <c r="N61" i="63"/>
  <c r="N61" i="31"/>
  <c r="N61" i="1"/>
  <c r="N61" i="133"/>
  <c r="N61" i="164"/>
  <c r="N61" i="67"/>
  <c r="N61" i="53"/>
  <c r="N61" i="104"/>
  <c r="N61" i="39"/>
  <c r="N61" i="141"/>
  <c r="N61" i="65"/>
  <c r="N61" i="85"/>
  <c r="N61" i="142"/>
  <c r="N61" i="54"/>
  <c r="N61" i="98"/>
  <c r="N61" i="135"/>
  <c r="N61" i="119"/>
  <c r="N61" i="149"/>
  <c r="N61" i="155"/>
  <c r="N61" i="84"/>
  <c r="N61" i="43"/>
  <c r="N61" i="25"/>
  <c r="N61" i="143"/>
  <c r="N61" i="92"/>
  <c r="N61" i="157"/>
  <c r="N61" i="120"/>
  <c r="N84" i="167"/>
  <c r="N181" i="167"/>
  <c r="N186" i="167"/>
  <c r="N55" i="167"/>
  <c r="N172" i="167"/>
  <c r="N64" i="167"/>
  <c r="N32" i="167"/>
  <c r="N35" i="167"/>
  <c r="N88" i="167"/>
  <c r="N155" i="167"/>
  <c r="N116" i="167"/>
  <c r="N115" i="167"/>
  <c r="N164" i="167"/>
  <c r="N83" i="167"/>
  <c r="N28" i="167"/>
  <c r="N173" i="167"/>
  <c r="N136" i="167"/>
  <c r="N166" i="167"/>
  <c r="N93" i="167"/>
  <c r="N165" i="167"/>
  <c r="N197" i="167"/>
  <c r="N203" i="167"/>
  <c r="N167" i="167"/>
  <c r="N182" i="167"/>
  <c r="N126" i="167"/>
  <c r="N105" i="167"/>
  <c r="N90" i="167"/>
  <c r="N118" i="167"/>
  <c r="N101" i="167"/>
  <c r="N89" i="167"/>
  <c r="N140" i="167"/>
  <c r="N71" i="167"/>
  <c r="N72" i="167"/>
  <c r="N131" i="167"/>
  <c r="N108" i="167"/>
  <c r="N169" i="167"/>
  <c r="N39" i="167"/>
  <c r="N135" i="167"/>
  <c r="N27" i="167"/>
  <c r="N170" i="167"/>
  <c r="N171" i="167"/>
  <c r="N153" i="167"/>
  <c r="N42" i="167"/>
  <c r="N37" i="167"/>
  <c r="N149" i="167"/>
  <c r="N26" i="167"/>
  <c r="N159" i="167"/>
  <c r="N98" i="167"/>
  <c r="N78" i="167"/>
  <c r="N158" i="167"/>
  <c r="N193" i="167"/>
  <c r="N60" i="167"/>
  <c r="N68" i="167"/>
  <c r="N143" i="167"/>
  <c r="N152" i="167"/>
  <c r="N100" i="167"/>
  <c r="N31" i="167"/>
  <c r="N125" i="167"/>
  <c r="N174" i="167"/>
  <c r="N194" i="167"/>
  <c r="N34" i="167"/>
  <c r="N29" i="167"/>
  <c r="N145" i="167"/>
  <c r="N86" i="167"/>
  <c r="N142" i="167"/>
  <c r="N73" i="167"/>
  <c r="N74" i="167"/>
  <c r="N196" i="167"/>
  <c r="N185" i="167"/>
  <c r="N56" i="167"/>
  <c r="N59" i="167"/>
  <c r="N92" i="167"/>
  <c r="N91" i="167"/>
  <c r="N77" i="167"/>
  <c r="N97" i="167"/>
  <c r="N148" i="167"/>
  <c r="N189" i="167"/>
  <c r="N87" i="167"/>
  <c r="N138" i="167"/>
  <c r="N65" i="167"/>
  <c r="N192" i="167"/>
  <c r="N47" i="167"/>
  <c r="N69" i="167"/>
  <c r="N111" i="167"/>
  <c r="N208" i="167"/>
  <c r="N110" i="167"/>
  <c r="N67" i="167"/>
  <c r="N99" i="167"/>
  <c r="N96" i="167"/>
  <c r="N205" i="167"/>
  <c r="N187" i="167"/>
  <c r="N188" i="167"/>
  <c r="N124" i="167"/>
  <c r="N132" i="167"/>
  <c r="N46" i="167"/>
  <c r="N106" i="167"/>
  <c r="N127" i="167"/>
  <c r="N151" i="167"/>
  <c r="N183" i="167"/>
  <c r="N52" i="167"/>
  <c r="N57" i="167"/>
  <c r="N25" i="167"/>
  <c r="N43" i="167"/>
  <c r="N102" i="167"/>
  <c r="N204" i="167"/>
  <c r="N58" i="167"/>
  <c r="N70" i="167"/>
  <c r="N82" i="167"/>
  <c r="N156" i="167"/>
  <c r="N178" i="167"/>
  <c r="N177" i="167"/>
  <c r="N123" i="167"/>
  <c r="N85" i="167"/>
  <c r="N38" i="167"/>
  <c r="N33" i="167"/>
  <c r="N146" i="167"/>
  <c r="N190" i="167"/>
  <c r="N107" i="167"/>
  <c r="N201" i="167"/>
  <c r="N49" i="167"/>
  <c r="N114" i="167"/>
  <c r="N44" i="167"/>
  <c r="N161" i="167"/>
  <c r="N206" i="167"/>
  <c r="N75" i="167"/>
  <c r="N117" i="167"/>
  <c r="N109" i="167"/>
  <c r="N191" i="167"/>
  <c r="N53" i="167"/>
  <c r="N176" i="167"/>
  <c r="N184" i="167"/>
  <c r="N160" i="167"/>
  <c r="N195" i="167"/>
  <c r="N76" i="167"/>
  <c r="N137" i="167"/>
  <c r="N21" i="167"/>
  <c r="N119" i="167"/>
  <c r="N129" i="167"/>
  <c r="N150" i="167"/>
  <c r="N54" i="167"/>
  <c r="N66" i="167"/>
  <c r="N200" i="167"/>
  <c r="N141" i="167"/>
  <c r="N40" i="167"/>
  <c r="N41" i="167"/>
  <c r="N133" i="167"/>
  <c r="N202" i="167"/>
  <c r="N30" i="167"/>
  <c r="N157" i="167"/>
  <c r="N51" i="167"/>
  <c r="N130" i="167"/>
  <c r="N36" i="167"/>
  <c r="N180" i="167"/>
  <c r="N147" i="167"/>
  <c r="N168" i="167"/>
  <c r="N79" i="167"/>
  <c r="N175" i="167"/>
  <c r="N149" i="164"/>
  <c r="N149" i="165"/>
  <c r="N98" i="164"/>
  <c r="N98" i="165"/>
  <c r="N60" i="164"/>
  <c r="N60" i="165"/>
  <c r="N152" i="164"/>
  <c r="N152" i="165"/>
  <c r="N125" i="164"/>
  <c r="N125" i="165"/>
  <c r="N194" i="164"/>
  <c r="N194" i="165"/>
  <c r="N34" i="164"/>
  <c r="N34" i="165"/>
  <c r="N29" i="164"/>
  <c r="N29" i="165"/>
  <c r="N145" i="164"/>
  <c r="N145" i="165"/>
  <c r="N86" i="164"/>
  <c r="N86" i="165"/>
  <c r="N142" i="164"/>
  <c r="N142" i="165"/>
  <c r="N73" i="164"/>
  <c r="N73" i="165"/>
  <c r="N74" i="164"/>
  <c r="N74" i="165"/>
  <c r="N196" i="164"/>
  <c r="N196" i="165"/>
  <c r="N185" i="164"/>
  <c r="N185" i="165"/>
  <c r="N56" i="164"/>
  <c r="N56" i="165"/>
  <c r="N59" i="164"/>
  <c r="N59" i="165"/>
  <c r="N92" i="164"/>
  <c r="N92" i="165"/>
  <c r="N91" i="164"/>
  <c r="N91" i="165"/>
  <c r="N77" i="164"/>
  <c r="N77" i="165"/>
  <c r="N97" i="164"/>
  <c r="N97" i="165"/>
  <c r="N148" i="164"/>
  <c r="N148" i="165"/>
  <c r="N189" i="164"/>
  <c r="N189" i="165"/>
  <c r="N102" i="164"/>
  <c r="N102" i="165"/>
  <c r="N87" i="164"/>
  <c r="N87" i="165"/>
  <c r="N75" i="164"/>
  <c r="N75" i="165"/>
  <c r="N117" i="164"/>
  <c r="N117" i="165"/>
  <c r="N138" i="164"/>
  <c r="N138" i="165"/>
  <c r="N109" i="164"/>
  <c r="N109" i="165"/>
  <c r="N191" i="164"/>
  <c r="N191" i="165"/>
  <c r="N65" i="164"/>
  <c r="N65" i="165"/>
  <c r="N53" i="164"/>
  <c r="N53" i="165"/>
  <c r="N192" i="164"/>
  <c r="N192" i="165"/>
  <c r="N176" i="164"/>
  <c r="N176" i="165"/>
  <c r="N184" i="164"/>
  <c r="N184" i="165"/>
  <c r="N47" i="164"/>
  <c r="N47" i="165"/>
  <c r="N160" i="164"/>
  <c r="N160" i="165"/>
  <c r="N195" i="164"/>
  <c r="N195" i="165"/>
  <c r="N69" i="164"/>
  <c r="N69" i="165"/>
  <c r="N76" i="164"/>
  <c r="N76" i="165"/>
  <c r="N137" i="164"/>
  <c r="N137" i="165"/>
  <c r="N21" i="164"/>
  <c r="N21" i="165"/>
  <c r="N119" i="164"/>
  <c r="N119" i="165"/>
  <c r="N206" i="164"/>
  <c r="N206" i="165"/>
  <c r="N42" i="164"/>
  <c r="N42" i="165"/>
  <c r="N111" i="164"/>
  <c r="N111" i="165"/>
  <c r="N208" i="164"/>
  <c r="N208" i="165"/>
  <c r="N110" i="164"/>
  <c r="N110" i="165"/>
  <c r="N205" i="164"/>
  <c r="N205" i="165"/>
  <c r="N124" i="164"/>
  <c r="N124" i="165"/>
  <c r="N106" i="164"/>
  <c r="N106" i="165"/>
  <c r="N151" i="164"/>
  <c r="N151" i="165"/>
  <c r="N57" i="164"/>
  <c r="N57" i="165"/>
  <c r="N70" i="164"/>
  <c r="N70" i="165"/>
  <c r="N178" i="164"/>
  <c r="N178" i="165"/>
  <c r="N85" i="164"/>
  <c r="N85" i="165"/>
  <c r="N146" i="164"/>
  <c r="N146" i="165"/>
  <c r="N201" i="164"/>
  <c r="N201" i="165"/>
  <c r="N129" i="164"/>
  <c r="N129" i="165"/>
  <c r="N150" i="164"/>
  <c r="N150" i="165"/>
  <c r="N54" i="164"/>
  <c r="N54" i="165"/>
  <c r="N66" i="164"/>
  <c r="N66" i="165"/>
  <c r="N200" i="164"/>
  <c r="N200" i="165"/>
  <c r="N141" i="164"/>
  <c r="N141" i="165"/>
  <c r="N40" i="164"/>
  <c r="N40" i="165"/>
  <c r="N41" i="164"/>
  <c r="N41" i="165"/>
  <c r="N133" i="164"/>
  <c r="N133" i="165"/>
  <c r="N202" i="164"/>
  <c r="N202" i="165"/>
  <c r="N30" i="164"/>
  <c r="N30" i="165"/>
  <c r="N157" i="164"/>
  <c r="N157" i="165"/>
  <c r="N51" i="164"/>
  <c r="N51" i="165"/>
  <c r="N130" i="164"/>
  <c r="N130" i="165"/>
  <c r="N36" i="164"/>
  <c r="N36" i="165"/>
  <c r="N180" i="164"/>
  <c r="N180" i="165"/>
  <c r="N147" i="164"/>
  <c r="N147" i="165"/>
  <c r="N168" i="164"/>
  <c r="N168" i="165"/>
  <c r="N79" i="164"/>
  <c r="N79" i="165"/>
  <c r="N175" i="164"/>
  <c r="N175" i="165"/>
  <c r="N37" i="164"/>
  <c r="N37" i="165"/>
  <c r="N159" i="164"/>
  <c r="N159" i="165"/>
  <c r="N158" i="164"/>
  <c r="N158" i="165"/>
  <c r="N68" i="164"/>
  <c r="N68" i="165"/>
  <c r="N100" i="164"/>
  <c r="N100" i="165"/>
  <c r="N67" i="164"/>
  <c r="N67" i="165"/>
  <c r="N96" i="164"/>
  <c r="N96" i="165"/>
  <c r="N188" i="164"/>
  <c r="N188" i="165"/>
  <c r="N46" i="164"/>
  <c r="N46" i="165"/>
  <c r="N183" i="164"/>
  <c r="N183" i="165"/>
  <c r="N43" i="164"/>
  <c r="N43" i="165"/>
  <c r="N58" i="164"/>
  <c r="N58" i="165"/>
  <c r="N156" i="164"/>
  <c r="N156" i="165"/>
  <c r="N177" i="164"/>
  <c r="N177" i="165"/>
  <c r="N38" i="164"/>
  <c r="N38" i="165"/>
  <c r="N190" i="164"/>
  <c r="N190" i="165"/>
  <c r="N49" i="164"/>
  <c r="N49" i="165"/>
  <c r="N161" i="164"/>
  <c r="N161" i="165"/>
  <c r="N84" i="164"/>
  <c r="N84" i="165"/>
  <c r="N181" i="164"/>
  <c r="N181" i="165"/>
  <c r="N186" i="164"/>
  <c r="N186" i="165"/>
  <c r="N55" i="164"/>
  <c r="N55" i="165"/>
  <c r="N172" i="164"/>
  <c r="N172" i="165"/>
  <c r="N64" i="164"/>
  <c r="N64" i="165"/>
  <c r="N32" i="164"/>
  <c r="N32" i="165"/>
  <c r="N35" i="164"/>
  <c r="N35" i="165"/>
  <c r="N88" i="164"/>
  <c r="N88" i="165"/>
  <c r="N155" i="164"/>
  <c r="N155" i="165"/>
  <c r="N116" i="164"/>
  <c r="N116" i="165"/>
  <c r="N115" i="164"/>
  <c r="N115" i="165"/>
  <c r="N164" i="164"/>
  <c r="N164" i="165"/>
  <c r="N83" i="164"/>
  <c r="N83" i="165"/>
  <c r="N28" i="164"/>
  <c r="N28" i="165"/>
  <c r="N173" i="164"/>
  <c r="N173" i="165"/>
  <c r="N136" i="164"/>
  <c r="N136" i="165"/>
  <c r="N166" i="164"/>
  <c r="N166" i="165"/>
  <c r="N93" i="164"/>
  <c r="N93" i="165"/>
  <c r="N165" i="164"/>
  <c r="N165" i="165"/>
  <c r="N153" i="164"/>
  <c r="N153" i="165"/>
  <c r="N26" i="164"/>
  <c r="N26" i="165"/>
  <c r="N78" i="164"/>
  <c r="N78" i="165"/>
  <c r="N193" i="164"/>
  <c r="N193" i="165"/>
  <c r="N143" i="164"/>
  <c r="N143" i="165"/>
  <c r="N31" i="164"/>
  <c r="N31" i="165"/>
  <c r="N174" i="164"/>
  <c r="N174" i="165"/>
  <c r="N99" i="164"/>
  <c r="N99" i="165"/>
  <c r="N187" i="164"/>
  <c r="N187" i="165"/>
  <c r="N132" i="164"/>
  <c r="N132" i="165"/>
  <c r="N127" i="164"/>
  <c r="N127" i="165"/>
  <c r="N52" i="164"/>
  <c r="N52" i="165"/>
  <c r="N25" i="164"/>
  <c r="N25" i="165"/>
  <c r="N204" i="164"/>
  <c r="N204" i="165"/>
  <c r="N82" i="164"/>
  <c r="N82" i="165"/>
  <c r="N123" i="164"/>
  <c r="N123" i="165"/>
  <c r="N33" i="164"/>
  <c r="N33" i="165"/>
  <c r="N107" i="164"/>
  <c r="N107" i="165"/>
  <c r="N114" i="164"/>
  <c r="N114" i="165"/>
  <c r="N44" i="164"/>
  <c r="N44" i="165"/>
  <c r="N197" i="164"/>
  <c r="N197" i="165"/>
  <c r="N203" i="164"/>
  <c r="N203" i="165"/>
  <c r="N167" i="164"/>
  <c r="N167" i="165"/>
  <c r="N182" i="164"/>
  <c r="N182" i="165"/>
  <c r="N126" i="164"/>
  <c r="N126" i="165"/>
  <c r="N105" i="164"/>
  <c r="N105" i="165"/>
  <c r="N90" i="164"/>
  <c r="N90" i="165"/>
  <c r="N118" i="164"/>
  <c r="N118" i="165"/>
  <c r="N101" i="164"/>
  <c r="N101" i="165"/>
  <c r="N89" i="164"/>
  <c r="N89" i="165"/>
  <c r="N140" i="164"/>
  <c r="N140" i="165"/>
  <c r="N71" i="164"/>
  <c r="N71" i="165"/>
  <c r="N72" i="164"/>
  <c r="N72" i="165"/>
  <c r="N131" i="164"/>
  <c r="N131" i="165"/>
  <c r="N108" i="164"/>
  <c r="N108" i="165"/>
  <c r="N169" i="164"/>
  <c r="N169" i="165"/>
  <c r="N39" i="164"/>
  <c r="N39" i="165"/>
  <c r="N135" i="164"/>
  <c r="N135" i="165"/>
  <c r="N27" i="164"/>
  <c r="N27" i="165"/>
  <c r="N170" i="164"/>
  <c r="N170" i="165"/>
  <c r="N171" i="164"/>
  <c r="N171" i="165"/>
  <c r="N119" i="159"/>
  <c r="N79" i="159"/>
  <c r="N175" i="159"/>
  <c r="N93" i="159"/>
  <c r="N170" i="159"/>
  <c r="N174" i="159"/>
  <c r="N37" i="158"/>
  <c r="N37" i="159"/>
  <c r="N98" i="158"/>
  <c r="N98" i="159"/>
  <c r="N193" i="158"/>
  <c r="N193" i="159"/>
  <c r="N68" i="158"/>
  <c r="N68" i="159"/>
  <c r="N31" i="158"/>
  <c r="N31" i="159"/>
  <c r="N145" i="158"/>
  <c r="N145" i="159"/>
  <c r="N73" i="158"/>
  <c r="N73" i="159"/>
  <c r="N185" i="158"/>
  <c r="N185" i="159"/>
  <c r="N91" i="158"/>
  <c r="N91" i="159"/>
  <c r="N102" i="158"/>
  <c r="N102" i="159"/>
  <c r="N87" i="158"/>
  <c r="N87" i="159"/>
  <c r="N75" i="158"/>
  <c r="N75" i="159"/>
  <c r="N117" i="158"/>
  <c r="N117" i="159"/>
  <c r="N138" i="158"/>
  <c r="N138" i="159"/>
  <c r="N109" i="158"/>
  <c r="N109" i="159"/>
  <c r="N191" i="158"/>
  <c r="N191" i="159"/>
  <c r="N65" i="158"/>
  <c r="N65" i="159"/>
  <c r="N53" i="158"/>
  <c r="N53" i="159"/>
  <c r="N192" i="158"/>
  <c r="N192" i="159"/>
  <c r="N176" i="158"/>
  <c r="N176" i="159"/>
  <c r="N184" i="158"/>
  <c r="N184" i="159"/>
  <c r="N47" i="158"/>
  <c r="N47" i="159"/>
  <c r="N160" i="158"/>
  <c r="N160" i="159"/>
  <c r="N195" i="158"/>
  <c r="N195" i="159"/>
  <c r="N69" i="158"/>
  <c r="N69" i="159"/>
  <c r="N76" i="158"/>
  <c r="N76" i="159"/>
  <c r="N137" i="158"/>
  <c r="N137" i="159"/>
  <c r="N21" i="158"/>
  <c r="N21" i="159"/>
  <c r="N111" i="158"/>
  <c r="N111" i="159"/>
  <c r="N208" i="158"/>
  <c r="N208" i="159"/>
  <c r="N110" i="158"/>
  <c r="N110" i="159"/>
  <c r="N67" i="158"/>
  <c r="N67" i="159"/>
  <c r="N99" i="158"/>
  <c r="N99" i="159"/>
  <c r="N96" i="158"/>
  <c r="N96" i="159"/>
  <c r="N205" i="158"/>
  <c r="N205" i="159"/>
  <c r="N187" i="158"/>
  <c r="N187" i="159"/>
  <c r="N188" i="158"/>
  <c r="N188" i="159"/>
  <c r="N124" i="158"/>
  <c r="N124" i="159"/>
  <c r="N132" i="158"/>
  <c r="N132" i="159"/>
  <c r="N46" i="158"/>
  <c r="N46" i="159"/>
  <c r="N106" i="158"/>
  <c r="N106" i="159"/>
  <c r="N127" i="158"/>
  <c r="N127" i="159"/>
  <c r="N151" i="158"/>
  <c r="N151" i="159"/>
  <c r="N183" i="158"/>
  <c r="N183" i="159"/>
  <c r="N52" i="158"/>
  <c r="N52" i="159"/>
  <c r="N57" i="158"/>
  <c r="N57" i="159"/>
  <c r="N25" i="158"/>
  <c r="N25" i="159"/>
  <c r="N43" i="158"/>
  <c r="N43" i="159"/>
  <c r="N153" i="158"/>
  <c r="N153" i="159"/>
  <c r="N26" i="158"/>
  <c r="N26" i="159"/>
  <c r="N158" i="158"/>
  <c r="N158" i="159"/>
  <c r="N152" i="158"/>
  <c r="N152" i="159"/>
  <c r="N34" i="158"/>
  <c r="N34" i="159"/>
  <c r="N86" i="158"/>
  <c r="N86" i="159"/>
  <c r="N196" i="158"/>
  <c r="N196" i="159"/>
  <c r="N92" i="158"/>
  <c r="N92" i="159"/>
  <c r="N148" i="158"/>
  <c r="N148" i="159"/>
  <c r="N58" i="158"/>
  <c r="N58" i="159"/>
  <c r="N82" i="158"/>
  <c r="N82" i="159"/>
  <c r="N178" i="158"/>
  <c r="N178" i="159"/>
  <c r="N85" i="158"/>
  <c r="N85" i="159"/>
  <c r="N146" i="158"/>
  <c r="N146" i="159"/>
  <c r="N201" i="158"/>
  <c r="N201" i="159"/>
  <c r="N129" i="158"/>
  <c r="N129" i="159"/>
  <c r="N150" i="158"/>
  <c r="N150" i="159"/>
  <c r="N54" i="158"/>
  <c r="N54" i="159"/>
  <c r="N66" i="158"/>
  <c r="N66" i="159"/>
  <c r="N200" i="158"/>
  <c r="N200" i="159"/>
  <c r="N141" i="158"/>
  <c r="N141" i="159"/>
  <c r="N40" i="158"/>
  <c r="N40" i="159"/>
  <c r="N41" i="158"/>
  <c r="N41" i="159"/>
  <c r="N133" i="158"/>
  <c r="N133" i="159"/>
  <c r="N202" i="158"/>
  <c r="N202" i="159"/>
  <c r="N30" i="158"/>
  <c r="N30" i="159"/>
  <c r="N157" i="158"/>
  <c r="N157" i="159"/>
  <c r="N51" i="158"/>
  <c r="N51" i="159"/>
  <c r="N130" i="158"/>
  <c r="N130" i="159"/>
  <c r="N36" i="158"/>
  <c r="N36" i="159"/>
  <c r="N180" i="158"/>
  <c r="N180" i="159"/>
  <c r="N147" i="158"/>
  <c r="N147" i="159"/>
  <c r="N168" i="158"/>
  <c r="N168" i="159"/>
  <c r="N206" i="158"/>
  <c r="N206" i="159"/>
  <c r="N42" i="158"/>
  <c r="N42" i="159"/>
  <c r="N159" i="158"/>
  <c r="N159" i="159"/>
  <c r="N60" i="158"/>
  <c r="N60" i="159"/>
  <c r="N100" i="158"/>
  <c r="N100" i="159"/>
  <c r="N194" i="158"/>
  <c r="N194" i="159"/>
  <c r="N142" i="158"/>
  <c r="N142" i="159"/>
  <c r="N56" i="158"/>
  <c r="N56" i="159"/>
  <c r="N77" i="158"/>
  <c r="N77" i="159"/>
  <c r="N189" i="158"/>
  <c r="N189" i="159"/>
  <c r="N70" i="158"/>
  <c r="N70" i="159"/>
  <c r="N177" i="158"/>
  <c r="N177" i="159"/>
  <c r="N38" i="158"/>
  <c r="N38" i="159"/>
  <c r="N107" i="158"/>
  <c r="N107" i="159"/>
  <c r="N114" i="158"/>
  <c r="N114" i="159"/>
  <c r="N44" i="158"/>
  <c r="N44" i="159"/>
  <c r="N161" i="158"/>
  <c r="N161" i="159"/>
  <c r="N84" i="158"/>
  <c r="N84" i="159"/>
  <c r="N181" i="158"/>
  <c r="N181" i="159"/>
  <c r="N186" i="158"/>
  <c r="N186" i="159"/>
  <c r="N55" i="158"/>
  <c r="N55" i="159"/>
  <c r="N172" i="158"/>
  <c r="N172" i="159"/>
  <c r="N64" i="158"/>
  <c r="N64" i="159"/>
  <c r="N32" i="158"/>
  <c r="N32" i="159"/>
  <c r="N35" i="158"/>
  <c r="N35" i="159"/>
  <c r="N88" i="158"/>
  <c r="N88" i="159"/>
  <c r="N155" i="158"/>
  <c r="N155" i="159"/>
  <c r="N116" i="158"/>
  <c r="N116" i="159"/>
  <c r="N115" i="158"/>
  <c r="N115" i="159"/>
  <c r="N164" i="158"/>
  <c r="N164" i="159"/>
  <c r="N83" i="158"/>
  <c r="N83" i="159"/>
  <c r="N28" i="158"/>
  <c r="N28" i="159"/>
  <c r="N173" i="158"/>
  <c r="N173" i="159"/>
  <c r="N136" i="158"/>
  <c r="N136" i="159"/>
  <c r="N166" i="158"/>
  <c r="N166" i="159"/>
  <c r="N165" i="158"/>
  <c r="N165" i="159"/>
  <c r="N149" i="158"/>
  <c r="N149" i="159"/>
  <c r="N78" i="158"/>
  <c r="N78" i="159"/>
  <c r="N143" i="158"/>
  <c r="N143" i="159"/>
  <c r="N125" i="158"/>
  <c r="N125" i="159"/>
  <c r="N29" i="158"/>
  <c r="N29" i="159"/>
  <c r="N74" i="158"/>
  <c r="N74" i="159"/>
  <c r="N59" i="158"/>
  <c r="N59" i="159"/>
  <c r="N97" i="158"/>
  <c r="N97" i="159"/>
  <c r="N204" i="158"/>
  <c r="N204" i="159"/>
  <c r="N156" i="158"/>
  <c r="N156" i="159"/>
  <c r="N123" i="158"/>
  <c r="N123" i="159"/>
  <c r="N33" i="158"/>
  <c r="N33" i="159"/>
  <c r="N190" i="158"/>
  <c r="N190" i="159"/>
  <c r="N49" i="158"/>
  <c r="N49" i="159"/>
  <c r="N197" i="158"/>
  <c r="N197" i="159"/>
  <c r="N203" i="158"/>
  <c r="N203" i="159"/>
  <c r="N167" i="158"/>
  <c r="N167" i="159"/>
  <c r="N182" i="158"/>
  <c r="N182" i="159"/>
  <c r="N126" i="158"/>
  <c r="N126" i="159"/>
  <c r="N105" i="158"/>
  <c r="N105" i="159"/>
  <c r="N90" i="158"/>
  <c r="N90" i="159"/>
  <c r="N118" i="158"/>
  <c r="N118" i="159"/>
  <c r="N101" i="158"/>
  <c r="N101" i="159"/>
  <c r="N89" i="158"/>
  <c r="N89" i="159"/>
  <c r="N140" i="158"/>
  <c r="N140" i="159"/>
  <c r="N71" i="158"/>
  <c r="N71" i="159"/>
  <c r="N72" i="158"/>
  <c r="N72" i="159"/>
  <c r="N131" i="158"/>
  <c r="N131" i="159"/>
  <c r="N108" i="158"/>
  <c r="N108" i="159"/>
  <c r="N169" i="158"/>
  <c r="N169" i="159"/>
  <c r="N39" i="158"/>
  <c r="N39" i="159"/>
  <c r="N135" i="158"/>
  <c r="N135" i="159"/>
  <c r="N27" i="158"/>
  <c r="N27" i="159"/>
  <c r="N171" i="158"/>
  <c r="N171" i="159"/>
  <c r="N170" i="157"/>
  <c r="N170" i="158"/>
  <c r="N119" i="157"/>
  <c r="N119" i="158"/>
  <c r="N79" i="157"/>
  <c r="N79" i="158"/>
  <c r="N174" i="157"/>
  <c r="N174" i="158"/>
  <c r="N175" i="157"/>
  <c r="N175" i="158"/>
  <c r="N93" i="157"/>
  <c r="N93" i="158"/>
  <c r="N87" i="156"/>
  <c r="N87" i="157"/>
  <c r="N117" i="156"/>
  <c r="N117" i="157"/>
  <c r="N65" i="156"/>
  <c r="N65" i="157"/>
  <c r="N192" i="156"/>
  <c r="N192" i="157"/>
  <c r="N47" i="156"/>
  <c r="N47" i="157"/>
  <c r="N195" i="156"/>
  <c r="N195" i="157"/>
  <c r="N69" i="156"/>
  <c r="N69" i="157"/>
  <c r="N111" i="156"/>
  <c r="N111" i="157"/>
  <c r="N208" i="156"/>
  <c r="N208" i="157"/>
  <c r="N67" i="156"/>
  <c r="N67" i="157"/>
  <c r="N96" i="156"/>
  <c r="N96" i="157"/>
  <c r="N188" i="156"/>
  <c r="N188" i="157"/>
  <c r="N132" i="156"/>
  <c r="N132" i="157"/>
  <c r="N106" i="156"/>
  <c r="N106" i="157"/>
  <c r="N151" i="156"/>
  <c r="N151" i="157"/>
  <c r="N52" i="156"/>
  <c r="N52" i="157"/>
  <c r="N25" i="156"/>
  <c r="N25" i="157"/>
  <c r="N204" i="156"/>
  <c r="N204" i="157"/>
  <c r="N58" i="156"/>
  <c r="N58" i="157"/>
  <c r="N70" i="156"/>
  <c r="N70" i="157"/>
  <c r="N82" i="156"/>
  <c r="N82" i="157"/>
  <c r="N156" i="156"/>
  <c r="N156" i="157"/>
  <c r="N178" i="156"/>
  <c r="N178" i="157"/>
  <c r="N177" i="156"/>
  <c r="N177" i="157"/>
  <c r="N123" i="156"/>
  <c r="N123" i="157"/>
  <c r="N85" i="156"/>
  <c r="N85" i="157"/>
  <c r="N38" i="156"/>
  <c r="N38" i="157"/>
  <c r="N33" i="156"/>
  <c r="N33" i="157"/>
  <c r="N146" i="156"/>
  <c r="N146" i="157"/>
  <c r="N190" i="156"/>
  <c r="N190" i="157"/>
  <c r="N107" i="156"/>
  <c r="N107" i="157"/>
  <c r="N201" i="156"/>
  <c r="N201" i="157"/>
  <c r="N49" i="156"/>
  <c r="N49" i="157"/>
  <c r="N114" i="156"/>
  <c r="N114" i="157"/>
  <c r="N44" i="156"/>
  <c r="N44" i="157"/>
  <c r="N75" i="156"/>
  <c r="N75" i="157"/>
  <c r="N191" i="156"/>
  <c r="N191" i="157"/>
  <c r="N53" i="156"/>
  <c r="N53" i="157"/>
  <c r="N176" i="156"/>
  <c r="N176" i="157"/>
  <c r="N160" i="156"/>
  <c r="N160" i="157"/>
  <c r="N76" i="156"/>
  <c r="N76" i="157"/>
  <c r="N21" i="156"/>
  <c r="N21" i="157"/>
  <c r="N110" i="156"/>
  <c r="N110" i="157"/>
  <c r="N99" i="156"/>
  <c r="N99" i="157"/>
  <c r="N205" i="156"/>
  <c r="N205" i="157"/>
  <c r="N187" i="156"/>
  <c r="N187" i="157"/>
  <c r="N124" i="156"/>
  <c r="N124" i="157"/>
  <c r="N46" i="156"/>
  <c r="N46" i="157"/>
  <c r="N127" i="156"/>
  <c r="N127" i="157"/>
  <c r="N183" i="156"/>
  <c r="N183" i="157"/>
  <c r="N57" i="156"/>
  <c r="N57" i="157"/>
  <c r="N43" i="156"/>
  <c r="N43" i="157"/>
  <c r="N161" i="156"/>
  <c r="N161" i="157"/>
  <c r="N129" i="156"/>
  <c r="N129" i="157"/>
  <c r="N150" i="156"/>
  <c r="N150" i="157"/>
  <c r="N54" i="156"/>
  <c r="N54" i="157"/>
  <c r="N66" i="156"/>
  <c r="N66" i="157"/>
  <c r="N200" i="156"/>
  <c r="N200" i="157"/>
  <c r="N141" i="156"/>
  <c r="N141" i="157"/>
  <c r="N40" i="156"/>
  <c r="N40" i="157"/>
  <c r="N41" i="156"/>
  <c r="N41" i="157"/>
  <c r="N133" i="156"/>
  <c r="N133" i="157"/>
  <c r="N202" i="156"/>
  <c r="N202" i="157"/>
  <c r="N30" i="156"/>
  <c r="N30" i="157"/>
  <c r="N157" i="156"/>
  <c r="N157" i="157"/>
  <c r="N51" i="156"/>
  <c r="N51" i="157"/>
  <c r="N130" i="156"/>
  <c r="N130" i="157"/>
  <c r="N36" i="156"/>
  <c r="N36" i="157"/>
  <c r="N180" i="156"/>
  <c r="N180" i="157"/>
  <c r="N147" i="156"/>
  <c r="N147" i="157"/>
  <c r="N168" i="156"/>
  <c r="N168" i="157"/>
  <c r="N109" i="156"/>
  <c r="N109" i="157"/>
  <c r="N197" i="156"/>
  <c r="N197" i="157"/>
  <c r="N84" i="156"/>
  <c r="N84" i="157"/>
  <c r="N181" i="156"/>
  <c r="N181" i="157"/>
  <c r="N186" i="156"/>
  <c r="N186" i="157"/>
  <c r="N55" i="156"/>
  <c r="N55" i="157"/>
  <c r="N172" i="156"/>
  <c r="N172" i="157"/>
  <c r="N64" i="156"/>
  <c r="N64" i="157"/>
  <c r="N32" i="156"/>
  <c r="N32" i="157"/>
  <c r="N35" i="156"/>
  <c r="N35" i="157"/>
  <c r="N88" i="156"/>
  <c r="N88" i="157"/>
  <c r="N155" i="156"/>
  <c r="N155" i="157"/>
  <c r="N116" i="156"/>
  <c r="N116" i="157"/>
  <c r="N115" i="156"/>
  <c r="N115" i="157"/>
  <c r="N164" i="156"/>
  <c r="N164" i="157"/>
  <c r="N83" i="156"/>
  <c r="N83" i="157"/>
  <c r="N28" i="156"/>
  <c r="N28" i="157"/>
  <c r="N173" i="156"/>
  <c r="N173" i="157"/>
  <c r="N136" i="156"/>
  <c r="N136" i="157"/>
  <c r="N166" i="156"/>
  <c r="N166" i="157"/>
  <c r="N165" i="156"/>
  <c r="N165" i="157"/>
  <c r="N102" i="156"/>
  <c r="N102" i="157"/>
  <c r="N138" i="156"/>
  <c r="N138" i="157"/>
  <c r="N184" i="156"/>
  <c r="N184" i="157"/>
  <c r="N137" i="156"/>
  <c r="N137" i="157"/>
  <c r="N206" i="156"/>
  <c r="N206" i="157"/>
  <c r="N203" i="156"/>
  <c r="N203" i="157"/>
  <c r="N167" i="156"/>
  <c r="N167" i="157"/>
  <c r="N182" i="156"/>
  <c r="N182" i="157"/>
  <c r="N126" i="156"/>
  <c r="N126" i="157"/>
  <c r="N105" i="156"/>
  <c r="N105" i="157"/>
  <c r="N90" i="156"/>
  <c r="N90" i="157"/>
  <c r="N118" i="156"/>
  <c r="N118" i="157"/>
  <c r="N101" i="156"/>
  <c r="N101" i="157"/>
  <c r="N89" i="156"/>
  <c r="N89" i="157"/>
  <c r="N140" i="156"/>
  <c r="N140" i="157"/>
  <c r="N71" i="156"/>
  <c r="N71" i="157"/>
  <c r="N72" i="156"/>
  <c r="N72" i="157"/>
  <c r="N131" i="156"/>
  <c r="N131" i="157"/>
  <c r="N108" i="156"/>
  <c r="N108" i="157"/>
  <c r="N169" i="156"/>
  <c r="N169" i="157"/>
  <c r="N39" i="156"/>
  <c r="N39" i="157"/>
  <c r="N135" i="156"/>
  <c r="N135" i="157"/>
  <c r="N27" i="156"/>
  <c r="N27" i="157"/>
  <c r="N171" i="156"/>
  <c r="N171" i="157"/>
  <c r="N153" i="156"/>
  <c r="N153" i="157"/>
  <c r="N42" i="156"/>
  <c r="N42" i="157"/>
  <c r="N37" i="156"/>
  <c r="N37" i="157"/>
  <c r="N149" i="156"/>
  <c r="N149" i="157"/>
  <c r="N26" i="156"/>
  <c r="N26" i="157"/>
  <c r="N159" i="156"/>
  <c r="N159" i="157"/>
  <c r="N98" i="156"/>
  <c r="N98" i="157"/>
  <c r="N78" i="156"/>
  <c r="N78" i="157"/>
  <c r="N158" i="156"/>
  <c r="N158" i="157"/>
  <c r="N193" i="156"/>
  <c r="N193" i="157"/>
  <c r="N60" i="156"/>
  <c r="N60" i="157"/>
  <c r="N68" i="156"/>
  <c r="N68" i="157"/>
  <c r="N143" i="156"/>
  <c r="N143" i="157"/>
  <c r="N152" i="156"/>
  <c r="N152" i="157"/>
  <c r="N100" i="156"/>
  <c r="N100" i="157"/>
  <c r="N31" i="156"/>
  <c r="N31" i="157"/>
  <c r="N125" i="156"/>
  <c r="N125" i="157"/>
  <c r="N194" i="156"/>
  <c r="N194" i="157"/>
  <c r="N34" i="156"/>
  <c r="N34" i="157"/>
  <c r="N29" i="156"/>
  <c r="N29" i="157"/>
  <c r="N145" i="156"/>
  <c r="N145" i="157"/>
  <c r="N86" i="156"/>
  <c r="N86" i="157"/>
  <c r="N142" i="156"/>
  <c r="N142" i="157"/>
  <c r="N73" i="156"/>
  <c r="N73" i="157"/>
  <c r="N74" i="156"/>
  <c r="N74" i="157"/>
  <c r="N196" i="156"/>
  <c r="N196" i="157"/>
  <c r="N185" i="156"/>
  <c r="N185" i="157"/>
  <c r="N56" i="156"/>
  <c r="N56" i="157"/>
  <c r="N59" i="156"/>
  <c r="N59" i="157"/>
  <c r="N92" i="156"/>
  <c r="N92" i="157"/>
  <c r="N91" i="156"/>
  <c r="N91" i="157"/>
  <c r="N77" i="156"/>
  <c r="N77" i="157"/>
  <c r="N97" i="156"/>
  <c r="N97" i="157"/>
  <c r="N148" i="156"/>
  <c r="N148" i="157"/>
  <c r="N189" i="156"/>
  <c r="N189" i="157"/>
  <c r="N79" i="155"/>
  <c r="N79" i="156"/>
  <c r="N175" i="155"/>
  <c r="N175" i="156"/>
  <c r="N93" i="155"/>
  <c r="N93" i="156"/>
  <c r="N170" i="155"/>
  <c r="N170" i="156"/>
  <c r="N119" i="155"/>
  <c r="N119" i="156"/>
  <c r="N174" i="155"/>
  <c r="N174" i="156"/>
  <c r="N204" i="152"/>
  <c r="N204" i="155"/>
  <c r="N58" i="152"/>
  <c r="N58" i="155"/>
  <c r="N70" i="152"/>
  <c r="N70" i="155"/>
  <c r="N82" i="152"/>
  <c r="N82" i="155"/>
  <c r="N156" i="152"/>
  <c r="N156" i="155"/>
  <c r="N178" i="152"/>
  <c r="N178" i="155"/>
  <c r="N177" i="152"/>
  <c r="N177" i="155"/>
  <c r="N123" i="152"/>
  <c r="N123" i="155"/>
  <c r="N85" i="152"/>
  <c r="N85" i="155"/>
  <c r="N38" i="152"/>
  <c r="N38" i="155"/>
  <c r="N33" i="152"/>
  <c r="N33" i="155"/>
  <c r="N146" i="152"/>
  <c r="N146" i="155"/>
  <c r="N190" i="152"/>
  <c r="N190" i="155"/>
  <c r="N107" i="152"/>
  <c r="N107" i="155"/>
  <c r="N201" i="152"/>
  <c r="N201" i="155"/>
  <c r="N49" i="152"/>
  <c r="N49" i="155"/>
  <c r="N114" i="152"/>
  <c r="N114" i="155"/>
  <c r="N161" i="152"/>
  <c r="N161" i="155"/>
  <c r="N129" i="152"/>
  <c r="N129" i="155"/>
  <c r="N150" i="152"/>
  <c r="N150" i="155"/>
  <c r="N54" i="152"/>
  <c r="N54" i="155"/>
  <c r="N66" i="152"/>
  <c r="N66" i="155"/>
  <c r="N200" i="152"/>
  <c r="N200" i="155"/>
  <c r="N141" i="152"/>
  <c r="N141" i="155"/>
  <c r="N40" i="152"/>
  <c r="N40" i="155"/>
  <c r="N41" i="152"/>
  <c r="N41" i="155"/>
  <c r="N133" i="152"/>
  <c r="N133" i="155"/>
  <c r="N202" i="152"/>
  <c r="N202" i="155"/>
  <c r="N30" i="152"/>
  <c r="N30" i="155"/>
  <c r="N157" i="152"/>
  <c r="N157" i="155"/>
  <c r="N51" i="152"/>
  <c r="N51" i="155"/>
  <c r="N130" i="152"/>
  <c r="N130" i="155"/>
  <c r="N36" i="152"/>
  <c r="N36" i="155"/>
  <c r="N180" i="152"/>
  <c r="N180" i="155"/>
  <c r="N147" i="152"/>
  <c r="N147" i="155"/>
  <c r="N168" i="152"/>
  <c r="N168" i="155"/>
  <c r="N197" i="152"/>
  <c r="N197" i="155"/>
  <c r="N84" i="152"/>
  <c r="N84" i="155"/>
  <c r="N181" i="152"/>
  <c r="N181" i="155"/>
  <c r="N186" i="152"/>
  <c r="N186" i="155"/>
  <c r="N55" i="152"/>
  <c r="N55" i="155"/>
  <c r="N172" i="152"/>
  <c r="N172" i="155"/>
  <c r="N64" i="152"/>
  <c r="N64" i="155"/>
  <c r="N32" i="152"/>
  <c r="N32" i="155"/>
  <c r="N35" i="152"/>
  <c r="N35" i="155"/>
  <c r="N88" i="152"/>
  <c r="N88" i="155"/>
  <c r="N155" i="152"/>
  <c r="N155" i="155"/>
  <c r="N116" i="152"/>
  <c r="N116" i="155"/>
  <c r="N115" i="152"/>
  <c r="N115" i="155"/>
  <c r="N164" i="152"/>
  <c r="N164" i="155"/>
  <c r="N83" i="152"/>
  <c r="N83" i="155"/>
  <c r="N28" i="152"/>
  <c r="N28" i="155"/>
  <c r="N173" i="152"/>
  <c r="N173" i="155"/>
  <c r="N136" i="152"/>
  <c r="N136" i="155"/>
  <c r="N166" i="152"/>
  <c r="N166" i="155"/>
  <c r="N165" i="152"/>
  <c r="N165" i="155"/>
  <c r="N44" i="152"/>
  <c r="N44" i="155"/>
  <c r="N167" i="152"/>
  <c r="N167" i="155"/>
  <c r="N118" i="152"/>
  <c r="N118" i="155"/>
  <c r="N140" i="152"/>
  <c r="N140" i="155"/>
  <c r="N131" i="152"/>
  <c r="N131" i="155"/>
  <c r="N39" i="152"/>
  <c r="N39" i="155"/>
  <c r="N153" i="152"/>
  <c r="N153" i="155"/>
  <c r="N37" i="152"/>
  <c r="N37" i="155"/>
  <c r="N159" i="152"/>
  <c r="N159" i="155"/>
  <c r="N78" i="152"/>
  <c r="N78" i="155"/>
  <c r="N193" i="152"/>
  <c r="N193" i="155"/>
  <c r="N143" i="152"/>
  <c r="N143" i="155"/>
  <c r="N100" i="152"/>
  <c r="N100" i="155"/>
  <c r="N125" i="152"/>
  <c r="N125" i="155"/>
  <c r="N194" i="152"/>
  <c r="N194" i="155"/>
  <c r="N34" i="152"/>
  <c r="N34" i="155"/>
  <c r="N29" i="152"/>
  <c r="N29" i="155"/>
  <c r="N145" i="152"/>
  <c r="N145" i="155"/>
  <c r="N86" i="152"/>
  <c r="N86" i="155"/>
  <c r="N142" i="152"/>
  <c r="N142" i="155"/>
  <c r="N73" i="152"/>
  <c r="N73" i="155"/>
  <c r="N74" i="152"/>
  <c r="N74" i="155"/>
  <c r="N196" i="152"/>
  <c r="N196" i="155"/>
  <c r="N185" i="152"/>
  <c r="N185" i="155"/>
  <c r="N56" i="152"/>
  <c r="N56" i="155"/>
  <c r="N59" i="152"/>
  <c r="N59" i="155"/>
  <c r="N92" i="152"/>
  <c r="N92" i="155"/>
  <c r="N91" i="152"/>
  <c r="N91" i="155"/>
  <c r="N77" i="152"/>
  <c r="N77" i="155"/>
  <c r="N97" i="152"/>
  <c r="N97" i="155"/>
  <c r="N148" i="152"/>
  <c r="N148" i="155"/>
  <c r="N189" i="152"/>
  <c r="N189" i="155"/>
  <c r="N182" i="152"/>
  <c r="N182" i="155"/>
  <c r="N90" i="152"/>
  <c r="N90" i="155"/>
  <c r="N89" i="152"/>
  <c r="N89" i="155"/>
  <c r="N72" i="152"/>
  <c r="N72" i="155"/>
  <c r="N169" i="152"/>
  <c r="N169" i="155"/>
  <c r="N27" i="152"/>
  <c r="N27" i="155"/>
  <c r="N102" i="152"/>
  <c r="N102" i="155"/>
  <c r="N87" i="152"/>
  <c r="N87" i="155"/>
  <c r="N75" i="152"/>
  <c r="N75" i="155"/>
  <c r="N117" i="152"/>
  <c r="N117" i="155"/>
  <c r="N138" i="152"/>
  <c r="N138" i="155"/>
  <c r="N109" i="152"/>
  <c r="N109" i="155"/>
  <c r="N191" i="152"/>
  <c r="N191" i="155"/>
  <c r="N65" i="152"/>
  <c r="N65" i="155"/>
  <c r="N53" i="152"/>
  <c r="N53" i="155"/>
  <c r="N192" i="152"/>
  <c r="N192" i="155"/>
  <c r="N176" i="152"/>
  <c r="N176" i="155"/>
  <c r="N184" i="152"/>
  <c r="N184" i="155"/>
  <c r="N47" i="152"/>
  <c r="N47" i="155"/>
  <c r="N160" i="152"/>
  <c r="N160" i="155"/>
  <c r="N195" i="152"/>
  <c r="N195" i="155"/>
  <c r="N69" i="152"/>
  <c r="N69" i="155"/>
  <c r="N76" i="152"/>
  <c r="N76" i="155"/>
  <c r="N137" i="152"/>
  <c r="N137" i="155"/>
  <c r="N21" i="152"/>
  <c r="N21" i="155"/>
  <c r="N206" i="152"/>
  <c r="N206" i="155"/>
  <c r="N203" i="152"/>
  <c r="N203" i="155"/>
  <c r="N126" i="152"/>
  <c r="N126" i="155"/>
  <c r="N105" i="152"/>
  <c r="N105" i="155"/>
  <c r="N101" i="152"/>
  <c r="N101" i="155"/>
  <c r="N71" i="152"/>
  <c r="N71" i="155"/>
  <c r="N108" i="152"/>
  <c r="N108" i="155"/>
  <c r="N135" i="152"/>
  <c r="N135" i="155"/>
  <c r="N171" i="152"/>
  <c r="N171" i="155"/>
  <c r="N42" i="152"/>
  <c r="N42" i="155"/>
  <c r="N149" i="152"/>
  <c r="N149" i="155"/>
  <c r="N26" i="152"/>
  <c r="N26" i="155"/>
  <c r="N98" i="152"/>
  <c r="N98" i="155"/>
  <c r="N158" i="152"/>
  <c r="N158" i="155"/>
  <c r="N60" i="152"/>
  <c r="N60" i="155"/>
  <c r="N68" i="152"/>
  <c r="N68" i="155"/>
  <c r="N152" i="152"/>
  <c r="N152" i="155"/>
  <c r="N31" i="152"/>
  <c r="N31" i="155"/>
  <c r="N111" i="152"/>
  <c r="N111" i="155"/>
  <c r="N208" i="152"/>
  <c r="N208" i="155"/>
  <c r="N110" i="152"/>
  <c r="N110" i="155"/>
  <c r="N67" i="152"/>
  <c r="N67" i="155"/>
  <c r="N99" i="152"/>
  <c r="N99" i="155"/>
  <c r="N96" i="152"/>
  <c r="N96" i="155"/>
  <c r="N205" i="152"/>
  <c r="N205" i="155"/>
  <c r="N187" i="152"/>
  <c r="N187" i="155"/>
  <c r="N188" i="152"/>
  <c r="N188" i="155"/>
  <c r="N124" i="152"/>
  <c r="N124" i="155"/>
  <c r="N132" i="152"/>
  <c r="N132" i="155"/>
  <c r="N46" i="152"/>
  <c r="N46" i="155"/>
  <c r="N106" i="152"/>
  <c r="N106" i="155"/>
  <c r="N127" i="152"/>
  <c r="N127" i="155"/>
  <c r="N151" i="152"/>
  <c r="N151" i="155"/>
  <c r="N183" i="152"/>
  <c r="N183" i="155"/>
  <c r="N52" i="152"/>
  <c r="N52" i="155"/>
  <c r="N57" i="152"/>
  <c r="N57" i="155"/>
  <c r="N25" i="152"/>
  <c r="N25" i="155"/>
  <c r="N43" i="152"/>
  <c r="N43" i="155"/>
  <c r="N170" i="150"/>
  <c r="N170" i="152"/>
  <c r="N174" i="150"/>
  <c r="N174" i="152"/>
  <c r="N119" i="150"/>
  <c r="N119" i="152"/>
  <c r="N93" i="150"/>
  <c r="N93" i="152"/>
  <c r="N79" i="150"/>
  <c r="N79" i="152"/>
  <c r="N175" i="150"/>
  <c r="N175" i="152"/>
  <c r="N153" i="149"/>
  <c r="N153" i="150"/>
  <c r="N26" i="149"/>
  <c r="N26" i="150"/>
  <c r="N158" i="149"/>
  <c r="N158" i="150"/>
  <c r="N143" i="149"/>
  <c r="N143" i="150"/>
  <c r="N125" i="149"/>
  <c r="N125" i="150"/>
  <c r="N194" i="149"/>
  <c r="N194" i="150"/>
  <c r="N34" i="149"/>
  <c r="N34" i="150"/>
  <c r="N29" i="149"/>
  <c r="N29" i="150"/>
  <c r="N145" i="149"/>
  <c r="N145" i="150"/>
  <c r="N86" i="149"/>
  <c r="N86" i="150"/>
  <c r="N142" i="149"/>
  <c r="N142" i="150"/>
  <c r="N73" i="149"/>
  <c r="N73" i="150"/>
  <c r="N74" i="149"/>
  <c r="N74" i="150"/>
  <c r="N196" i="149"/>
  <c r="N196" i="150"/>
  <c r="N185" i="149"/>
  <c r="N185" i="150"/>
  <c r="N56" i="149"/>
  <c r="N56" i="150"/>
  <c r="N59" i="149"/>
  <c r="N59" i="150"/>
  <c r="N92" i="149"/>
  <c r="N92" i="150"/>
  <c r="N91" i="149"/>
  <c r="N91" i="150"/>
  <c r="N77" i="149"/>
  <c r="N77" i="150"/>
  <c r="N97" i="149"/>
  <c r="N97" i="150"/>
  <c r="N148" i="149"/>
  <c r="N148" i="150"/>
  <c r="N189" i="149"/>
  <c r="N189" i="150"/>
  <c r="N171" i="149"/>
  <c r="N171" i="150"/>
  <c r="N102" i="149"/>
  <c r="N102" i="150"/>
  <c r="N87" i="149"/>
  <c r="N87" i="150"/>
  <c r="N75" i="149"/>
  <c r="N75" i="150"/>
  <c r="N117" i="149"/>
  <c r="N117" i="150"/>
  <c r="N138" i="149"/>
  <c r="N138" i="150"/>
  <c r="N109" i="149"/>
  <c r="N109" i="150"/>
  <c r="N191" i="149"/>
  <c r="N191" i="150"/>
  <c r="N65" i="149"/>
  <c r="N65" i="150"/>
  <c r="N53" i="149"/>
  <c r="N53" i="150"/>
  <c r="N192" i="149"/>
  <c r="N192" i="150"/>
  <c r="N176" i="149"/>
  <c r="N176" i="150"/>
  <c r="N184" i="149"/>
  <c r="N184" i="150"/>
  <c r="N47" i="149"/>
  <c r="N47" i="150"/>
  <c r="N160" i="149"/>
  <c r="N160" i="150"/>
  <c r="N195" i="149"/>
  <c r="N195" i="150"/>
  <c r="N69" i="149"/>
  <c r="N69" i="150"/>
  <c r="N76" i="149"/>
  <c r="N76" i="150"/>
  <c r="N137" i="149"/>
  <c r="N137" i="150"/>
  <c r="N21" i="149"/>
  <c r="N21" i="150"/>
  <c r="N37" i="149"/>
  <c r="N37" i="150"/>
  <c r="N78" i="149"/>
  <c r="N78" i="150"/>
  <c r="N100" i="149"/>
  <c r="N100" i="150"/>
  <c r="N110" i="149"/>
  <c r="N110" i="150"/>
  <c r="N188" i="149"/>
  <c r="N188" i="150"/>
  <c r="N127" i="149"/>
  <c r="N127" i="150"/>
  <c r="N25" i="149"/>
  <c r="N25" i="150"/>
  <c r="N204" i="149"/>
  <c r="N204" i="150"/>
  <c r="N58" i="149"/>
  <c r="N58" i="150"/>
  <c r="N70" i="149"/>
  <c r="N70" i="150"/>
  <c r="N82" i="149"/>
  <c r="N82" i="150"/>
  <c r="N156" i="149"/>
  <c r="N156" i="150"/>
  <c r="N178" i="149"/>
  <c r="N178" i="150"/>
  <c r="N177" i="149"/>
  <c r="N177" i="150"/>
  <c r="N123" i="149"/>
  <c r="N123" i="150"/>
  <c r="N85" i="149"/>
  <c r="N85" i="150"/>
  <c r="N38" i="149"/>
  <c r="N38" i="150"/>
  <c r="N33" i="149"/>
  <c r="N33" i="150"/>
  <c r="N146" i="149"/>
  <c r="N146" i="150"/>
  <c r="N190" i="149"/>
  <c r="N190" i="150"/>
  <c r="N107" i="149"/>
  <c r="N107" i="150"/>
  <c r="N201" i="149"/>
  <c r="N201" i="150"/>
  <c r="N49" i="149"/>
  <c r="N49" i="150"/>
  <c r="N114" i="149"/>
  <c r="N114" i="150"/>
  <c r="N149" i="149"/>
  <c r="N149" i="150"/>
  <c r="N193" i="149"/>
  <c r="N193" i="150"/>
  <c r="N31" i="149"/>
  <c r="N31" i="150"/>
  <c r="N205" i="149"/>
  <c r="N205" i="150"/>
  <c r="N46" i="149"/>
  <c r="N46" i="150"/>
  <c r="N52" i="149"/>
  <c r="N52" i="150"/>
  <c r="N129" i="149"/>
  <c r="N129" i="150"/>
  <c r="N150" i="149"/>
  <c r="N150" i="150"/>
  <c r="N54" i="149"/>
  <c r="N54" i="150"/>
  <c r="N66" i="149"/>
  <c r="N66" i="150"/>
  <c r="N200" i="149"/>
  <c r="N200" i="150"/>
  <c r="N141" i="149"/>
  <c r="N141" i="150"/>
  <c r="N40" i="149"/>
  <c r="N40" i="150"/>
  <c r="N41" i="149"/>
  <c r="N41" i="150"/>
  <c r="N133" i="149"/>
  <c r="N133" i="150"/>
  <c r="N202" i="149"/>
  <c r="N202" i="150"/>
  <c r="N30" i="149"/>
  <c r="N30" i="150"/>
  <c r="N157" i="149"/>
  <c r="N157" i="150"/>
  <c r="N51" i="149"/>
  <c r="N51" i="150"/>
  <c r="N130" i="149"/>
  <c r="N130" i="150"/>
  <c r="N36" i="149"/>
  <c r="N36" i="150"/>
  <c r="N180" i="149"/>
  <c r="N180" i="150"/>
  <c r="N147" i="149"/>
  <c r="N147" i="150"/>
  <c r="N168" i="149"/>
  <c r="N168" i="150"/>
  <c r="N43" i="149"/>
  <c r="N43" i="150"/>
  <c r="N42" i="149"/>
  <c r="N42" i="150"/>
  <c r="N98" i="149"/>
  <c r="N98" i="150"/>
  <c r="N60" i="149"/>
  <c r="N60" i="150"/>
  <c r="N152" i="149"/>
  <c r="N152" i="150"/>
  <c r="N165" i="149"/>
  <c r="N165" i="150"/>
  <c r="N99" i="149"/>
  <c r="N99" i="150"/>
  <c r="N187" i="149"/>
  <c r="N187" i="150"/>
  <c r="N132" i="149"/>
  <c r="N132" i="150"/>
  <c r="N151" i="149"/>
  <c r="N151" i="150"/>
  <c r="N183" i="149"/>
  <c r="N183" i="150"/>
  <c r="N197" i="149"/>
  <c r="N197" i="150"/>
  <c r="N84" i="149"/>
  <c r="N84" i="150"/>
  <c r="N181" i="149"/>
  <c r="N181" i="150"/>
  <c r="N186" i="149"/>
  <c r="N186" i="150"/>
  <c r="N55" i="149"/>
  <c r="N55" i="150"/>
  <c r="N172" i="149"/>
  <c r="N172" i="150"/>
  <c r="N64" i="149"/>
  <c r="N64" i="150"/>
  <c r="N32" i="149"/>
  <c r="N32" i="150"/>
  <c r="N35" i="149"/>
  <c r="N35" i="150"/>
  <c r="N88" i="149"/>
  <c r="N88" i="150"/>
  <c r="N155" i="149"/>
  <c r="N155" i="150"/>
  <c r="N116" i="149"/>
  <c r="N116" i="150"/>
  <c r="N115" i="149"/>
  <c r="N115" i="150"/>
  <c r="N164" i="149"/>
  <c r="N164" i="150"/>
  <c r="N83" i="149"/>
  <c r="N83" i="150"/>
  <c r="N28" i="149"/>
  <c r="N28" i="150"/>
  <c r="N173" i="149"/>
  <c r="N173" i="150"/>
  <c r="N136" i="149"/>
  <c r="N136" i="150"/>
  <c r="N166" i="149"/>
  <c r="N166" i="150"/>
  <c r="N44" i="149"/>
  <c r="N44" i="150"/>
  <c r="N159" i="149"/>
  <c r="N159" i="150"/>
  <c r="N68" i="149"/>
  <c r="N68" i="150"/>
  <c r="N111" i="149"/>
  <c r="N111" i="150"/>
  <c r="N208" i="149"/>
  <c r="N208" i="150"/>
  <c r="N67" i="149"/>
  <c r="N67" i="150"/>
  <c r="N96" i="149"/>
  <c r="N96" i="150"/>
  <c r="N124" i="149"/>
  <c r="N124" i="150"/>
  <c r="N106" i="149"/>
  <c r="N106" i="150"/>
  <c r="N57" i="149"/>
  <c r="N57" i="150"/>
  <c r="N161" i="149"/>
  <c r="N161" i="150"/>
  <c r="N206" i="149"/>
  <c r="N206" i="150"/>
  <c r="N203" i="149"/>
  <c r="N203" i="150"/>
  <c r="N167" i="149"/>
  <c r="N167" i="150"/>
  <c r="N182" i="149"/>
  <c r="N182" i="150"/>
  <c r="N126" i="149"/>
  <c r="N126" i="150"/>
  <c r="N105" i="149"/>
  <c r="N105" i="150"/>
  <c r="N90" i="149"/>
  <c r="N90" i="150"/>
  <c r="N118" i="149"/>
  <c r="N118" i="150"/>
  <c r="N101" i="149"/>
  <c r="N101" i="150"/>
  <c r="N89" i="149"/>
  <c r="N89" i="150"/>
  <c r="N140" i="149"/>
  <c r="N140" i="150"/>
  <c r="N71" i="149"/>
  <c r="N71" i="150"/>
  <c r="N72" i="149"/>
  <c r="N72" i="150"/>
  <c r="N131" i="149"/>
  <c r="N131" i="150"/>
  <c r="N108" i="149"/>
  <c r="N108" i="150"/>
  <c r="N169" i="149"/>
  <c r="N169" i="150"/>
  <c r="N39" i="149"/>
  <c r="N39" i="150"/>
  <c r="N135" i="149"/>
  <c r="N135" i="150"/>
  <c r="N27" i="149"/>
  <c r="N27" i="150"/>
  <c r="N119" i="118"/>
  <c r="N119" i="149"/>
  <c r="N79" i="71"/>
  <c r="N79" i="149"/>
  <c r="N93" i="100"/>
  <c r="N93" i="149"/>
  <c r="N170" i="145"/>
  <c r="N170" i="149"/>
  <c r="N174" i="145"/>
  <c r="N174" i="149"/>
  <c r="N175" i="145"/>
  <c r="N175" i="149"/>
  <c r="N165" i="85"/>
  <c r="N165" i="83"/>
  <c r="N165" i="47"/>
  <c r="N165" i="71"/>
  <c r="N165" i="141"/>
  <c r="N165" i="119"/>
  <c r="N165" i="111"/>
  <c r="N165" i="142"/>
  <c r="N165" i="103"/>
  <c r="N165" i="19"/>
  <c r="N165" i="21"/>
  <c r="N165" i="143"/>
  <c r="N165" i="60"/>
  <c r="N165" i="102"/>
  <c r="N165" i="68"/>
  <c r="N165" i="46"/>
  <c r="N165" i="39"/>
  <c r="N165" i="33"/>
  <c r="N165" i="25"/>
  <c r="N165" i="55"/>
  <c r="N165" i="91"/>
  <c r="N165" i="15"/>
  <c r="N165" i="104"/>
  <c r="N165" i="79"/>
  <c r="N165" i="92"/>
  <c r="N165" i="10"/>
  <c r="N165" i="43"/>
  <c r="N165" i="31"/>
  <c r="N165" i="87"/>
  <c r="N165" i="42"/>
  <c r="N165" i="67"/>
  <c r="N165" i="106"/>
  <c r="N165" i="66"/>
  <c r="N165" i="45"/>
  <c r="N165" i="135"/>
  <c r="N165" i="32"/>
  <c r="N165" i="65"/>
  <c r="N165" i="14"/>
  <c r="N165" i="90"/>
  <c r="N165" i="63"/>
  <c r="N165" i="38"/>
  <c r="N165" i="100"/>
  <c r="N165" i="62"/>
  <c r="N165" i="59"/>
  <c r="N165" i="37"/>
  <c r="N165" i="113"/>
  <c r="N165" i="118"/>
  <c r="N165" i="57"/>
  <c r="N165" i="64"/>
  <c r="N165" i="1"/>
  <c r="N165" i="145"/>
  <c r="N165" i="133"/>
  <c r="N165" i="53"/>
  <c r="N165" i="54"/>
  <c r="N165" i="136"/>
  <c r="N165" i="84"/>
  <c r="N165" i="28"/>
  <c r="N165" i="20"/>
  <c r="N165" i="89"/>
  <c r="N165" i="50"/>
  <c r="N165" i="94"/>
  <c r="N165" i="49"/>
  <c r="N165" i="72"/>
  <c r="N165" i="98"/>
  <c r="N165" i="24"/>
  <c r="N165" i="27"/>
  <c r="N165" i="16"/>
  <c r="N165" i="86"/>
  <c r="N165" i="95"/>
  <c r="N165" i="58"/>
  <c r="N165" i="120"/>
  <c r="N165" i="69"/>
  <c r="N171" i="145"/>
  <c r="N171" i="133"/>
  <c r="N171" i="47"/>
  <c r="N171" i="141"/>
  <c r="N171" i="111"/>
  <c r="N171" i="103"/>
  <c r="N171" i="15"/>
  <c r="N171" i="104"/>
  <c r="N171" i="42"/>
  <c r="N171" i="64"/>
  <c r="N171" i="69"/>
  <c r="N171" i="28"/>
  <c r="N171" i="120"/>
  <c r="N171" i="67"/>
  <c r="N171" i="45"/>
  <c r="N171" i="32"/>
  <c r="N171" i="14"/>
  <c r="N171" i="54"/>
  <c r="N171" i="118"/>
  <c r="N171" i="19"/>
  <c r="N171" i="27"/>
  <c r="N171" i="86"/>
  <c r="N171" i="60"/>
  <c r="N171" i="89"/>
  <c r="N171" i="68"/>
  <c r="N171" i="92"/>
  <c r="N171" i="90"/>
  <c r="N171" i="24"/>
  <c r="N171" i="43"/>
  <c r="N171" i="31"/>
  <c r="N171" i="87"/>
  <c r="N171" i="94"/>
  <c r="N171" i="72"/>
  <c r="N171" i="39"/>
  <c r="N171" i="25"/>
  <c r="N171" i="91"/>
  <c r="N171" i="84"/>
  <c r="N171" i="66"/>
  <c r="N171" i="38"/>
  <c r="N171" i="119"/>
  <c r="N171" i="63"/>
  <c r="N171" i="1"/>
  <c r="N171" i="85"/>
  <c r="N171" i="65"/>
  <c r="N171" i="136"/>
  <c r="N171" i="57"/>
  <c r="N171" i="95"/>
  <c r="N171" i="62"/>
  <c r="N171" i="37"/>
  <c r="N171" i="113"/>
  <c r="N171" i="83"/>
  <c r="N171" i="53"/>
  <c r="N171" i="98"/>
  <c r="N171" i="33"/>
  <c r="N171" i="55"/>
  <c r="N171" i="143"/>
  <c r="N171" i="49"/>
  <c r="N171" i="20"/>
  <c r="N171" i="50"/>
  <c r="N171" i="102"/>
  <c r="N171" i="46"/>
  <c r="N171" i="106"/>
  <c r="N171" i="79"/>
  <c r="N171" i="100"/>
  <c r="N171" i="10"/>
  <c r="N171" i="71"/>
  <c r="N171" i="142"/>
  <c r="N171" i="59"/>
  <c r="N171" i="21"/>
  <c r="N171" i="135"/>
  <c r="N171" i="58"/>
  <c r="N171" i="16"/>
  <c r="N175" i="102"/>
  <c r="N175" i="46"/>
  <c r="N175" i="59"/>
  <c r="N175" i="142"/>
  <c r="N175" i="143"/>
  <c r="N175" i="10"/>
  <c r="N175" i="47"/>
  <c r="N175" i="104"/>
  <c r="N175" i="58"/>
  <c r="N175" i="118"/>
  <c r="N175" i="69"/>
  <c r="N175" i="89"/>
  <c r="N175" i="33"/>
  <c r="N175" i="54"/>
  <c r="N175" i="71"/>
  <c r="N175" i="14"/>
  <c r="N175" i="55"/>
  <c r="N175" i="133"/>
  <c r="N175" i="72"/>
  <c r="N175" i="119"/>
  <c r="N175" i="21"/>
  <c r="N175" i="92"/>
  <c r="N175" i="37"/>
  <c r="N175" i="42"/>
  <c r="N175" i="62"/>
  <c r="N175" i="87"/>
  <c r="N175" i="1"/>
  <c r="N175" i="90"/>
  <c r="N175" i="86"/>
  <c r="N175" i="45"/>
  <c r="N175" i="39"/>
  <c r="N175" i="32"/>
  <c r="N175" i="38"/>
  <c r="N175" i="111"/>
  <c r="N175" i="94"/>
  <c r="N175" i="106"/>
  <c r="N175" i="135"/>
  <c r="N175" i="24"/>
  <c r="N175" i="113"/>
  <c r="N175" i="43"/>
  <c r="N175" i="91"/>
  <c r="N175" i="57"/>
  <c r="N175" i="65"/>
  <c r="N175" i="95"/>
  <c r="N175" i="15"/>
  <c r="N175" i="53"/>
  <c r="N175" i="25"/>
  <c r="N175" i="19"/>
  <c r="N175" i="84"/>
  <c r="N175" i="100"/>
  <c r="N175" i="31"/>
  <c r="N175" i="64"/>
  <c r="N175" i="68"/>
  <c r="N175" i="20"/>
  <c r="N175" i="49"/>
  <c r="N175" i="16"/>
  <c r="N175" i="83"/>
  <c r="N175" i="120"/>
  <c r="N175" i="60"/>
  <c r="N175" i="28"/>
  <c r="N175" i="67"/>
  <c r="N175" i="79"/>
  <c r="N175" i="66"/>
  <c r="N175" i="103"/>
  <c r="N175" i="141"/>
  <c r="N175" i="63"/>
  <c r="N175" i="98"/>
  <c r="N175" i="50"/>
  <c r="N175" i="85"/>
  <c r="N175" i="27"/>
  <c r="N175" i="136"/>
  <c r="N43" i="64"/>
  <c r="N43" i="135"/>
  <c r="N43" i="83"/>
  <c r="N43" i="113"/>
  <c r="N43" i="55"/>
  <c r="N43" i="141"/>
  <c r="N43" i="46"/>
  <c r="N43" i="66"/>
  <c r="N43" i="95"/>
  <c r="N43" i="14"/>
  <c r="N43" i="94"/>
  <c r="N43" i="28"/>
  <c r="N43" i="68"/>
  <c r="N43" i="85"/>
  <c r="N43" i="90"/>
  <c r="N43" i="37"/>
  <c r="N43" i="106"/>
  <c r="N43" i="63"/>
  <c r="N43" i="103"/>
  <c r="N43" i="20"/>
  <c r="N43" i="24"/>
  <c r="N43" i="104"/>
  <c r="N43" i="59"/>
  <c r="N43" i="118"/>
  <c r="N43" i="25"/>
  <c r="N43" i="71"/>
  <c r="N43" i="54"/>
  <c r="N43" i="86"/>
  <c r="N43" i="32"/>
  <c r="N43" i="15"/>
  <c r="N43" i="58"/>
  <c r="N43" i="72"/>
  <c r="N43" i="91"/>
  <c r="N43" i="119"/>
  <c r="N43" i="84"/>
  <c r="N43" i="136"/>
  <c r="N43" i="60"/>
  <c r="N43" i="1"/>
  <c r="N43" i="79"/>
  <c r="N43" i="43"/>
  <c r="N43" i="98"/>
  <c r="N43" i="142"/>
  <c r="N43" i="42"/>
  <c r="N43" i="49"/>
  <c r="N43" i="92"/>
  <c r="N43" i="33"/>
  <c r="N43" i="45"/>
  <c r="N43" i="133"/>
  <c r="N43" i="50"/>
  <c r="N43" i="16"/>
  <c r="N43" i="120"/>
  <c r="N43" i="87"/>
  <c r="N43" i="67"/>
  <c r="N43" i="69"/>
  <c r="N43" i="65"/>
  <c r="N43" i="38"/>
  <c r="N43" i="47"/>
  <c r="N43" i="21"/>
  <c r="N43" i="10"/>
  <c r="N43" i="111"/>
  <c r="N43" i="102"/>
  <c r="N43" i="143"/>
  <c r="N43" i="57"/>
  <c r="N43" i="62"/>
  <c r="N43" i="100"/>
  <c r="N43" i="31"/>
  <c r="N43" i="39"/>
  <c r="N43" i="53"/>
  <c r="N43" i="19"/>
  <c r="N43" i="89"/>
  <c r="N43" i="27"/>
  <c r="N43" i="145"/>
  <c r="N44" i="145"/>
  <c r="N44" i="83"/>
  <c r="N44" i="10"/>
  <c r="N44" i="111"/>
  <c r="N44" i="135"/>
  <c r="N44" i="43"/>
  <c r="N44" i="38"/>
  <c r="N44" i="67"/>
  <c r="N44" i="24"/>
  <c r="N44" i="42"/>
  <c r="N44" i="104"/>
  <c r="N44" i="39"/>
  <c r="N44" i="14"/>
  <c r="N44" i="94"/>
  <c r="N44" i="33"/>
  <c r="N44" i="45"/>
  <c r="N44" i="90"/>
  <c r="N44" i="72"/>
  <c r="N44" i="68"/>
  <c r="N44" i="58"/>
  <c r="N44" i="142"/>
  <c r="N44" i="79"/>
  <c r="N44" i="27"/>
  <c r="N44" i="49"/>
  <c r="N44" i="84"/>
  <c r="N44" i="119"/>
  <c r="N44" i="32"/>
  <c r="N44" i="47"/>
  <c r="N44" i="15"/>
  <c r="N44" i="46"/>
  <c r="N44" i="120"/>
  <c r="N44" i="113"/>
  <c r="N44" i="71"/>
  <c r="N44" i="20"/>
  <c r="N44" i="92"/>
  <c r="N44" i="95"/>
  <c r="N44" i="69"/>
  <c r="N44" i="19"/>
  <c r="N44" i="55"/>
  <c r="N44" i="50"/>
  <c r="N44" i="136"/>
  <c r="N44" i="31"/>
  <c r="N44" i="106"/>
  <c r="N44" i="16"/>
  <c r="N44" i="60"/>
  <c r="N44" i="85"/>
  <c r="N44" i="91"/>
  <c r="N44" i="37"/>
  <c r="N44" i="133"/>
  <c r="N44" i="57"/>
  <c r="N44" i="98"/>
  <c r="N44" i="141"/>
  <c r="N44" i="65"/>
  <c r="N44" i="59"/>
  <c r="N44" i="53"/>
  <c r="N44" i="102"/>
  <c r="N44" i="64"/>
  <c r="N44" i="87"/>
  <c r="N44" i="28"/>
  <c r="N44" i="118"/>
  <c r="N44" i="66"/>
  <c r="N44" i="143"/>
  <c r="N44" i="54"/>
  <c r="N44" i="25"/>
  <c r="N44" i="89"/>
  <c r="N44" i="63"/>
  <c r="N44" i="103"/>
  <c r="N44" i="100"/>
  <c r="N44" i="21"/>
  <c r="N44" i="86"/>
  <c r="N44" i="62"/>
  <c r="N44" i="1"/>
  <c r="N79" i="38"/>
  <c r="N79" i="59"/>
  <c r="N79" i="15"/>
  <c r="N119" i="57"/>
  <c r="N119" i="89"/>
  <c r="N119" i="1"/>
  <c r="N119" i="83"/>
  <c r="N119" i="24"/>
  <c r="N119" i="58"/>
  <c r="N119" i="66"/>
  <c r="N119" i="63"/>
  <c r="N119" i="16"/>
  <c r="N119" i="135"/>
  <c r="N119" i="15"/>
  <c r="N119" i="98"/>
  <c r="N119" i="43"/>
  <c r="N119" i="69"/>
  <c r="N119" i="133"/>
  <c r="N119" i="59"/>
  <c r="N119" i="49"/>
  <c r="N119" i="14"/>
  <c r="N119" i="31"/>
  <c r="N119" i="85"/>
  <c r="N119" i="27"/>
  <c r="N119" i="32"/>
  <c r="N119" i="90"/>
  <c r="N119" i="94"/>
  <c r="N119" i="25"/>
  <c r="N119" i="104"/>
  <c r="N119" i="20"/>
  <c r="N79" i="85"/>
  <c r="N119" i="64"/>
  <c r="N119" i="45"/>
  <c r="N119" i="79"/>
  <c r="N119" i="53"/>
  <c r="N119" i="46"/>
  <c r="N119" i="136"/>
  <c r="N119" i="84"/>
  <c r="N79" i="60"/>
  <c r="N119" i="67"/>
  <c r="N119" i="68"/>
  <c r="N119" i="119"/>
  <c r="N119" i="10"/>
  <c r="N119" i="72"/>
  <c r="N119" i="19"/>
  <c r="N79" i="31"/>
  <c r="N119" i="95"/>
  <c r="N119" i="103"/>
  <c r="N119" i="91"/>
  <c r="N119" i="113"/>
  <c r="N119" i="60"/>
  <c r="N119" i="141"/>
  <c r="N119" i="28"/>
  <c r="N119" i="100"/>
  <c r="N119" i="86"/>
  <c r="N119" i="102"/>
  <c r="N119" i="42"/>
  <c r="N119" i="142"/>
  <c r="N119" i="92"/>
  <c r="N161" i="143"/>
  <c r="N161" i="145"/>
  <c r="N197" i="143"/>
  <c r="N197" i="145"/>
  <c r="N206" i="143"/>
  <c r="N206" i="145"/>
  <c r="N102" i="143"/>
  <c r="N102" i="145"/>
  <c r="N111" i="143"/>
  <c r="N111" i="145"/>
  <c r="N208" i="143"/>
  <c r="N208" i="145"/>
  <c r="N129" i="143"/>
  <c r="N129" i="145"/>
  <c r="N84" i="143"/>
  <c r="N84" i="145"/>
  <c r="N203" i="143"/>
  <c r="N203" i="145"/>
  <c r="N153" i="143"/>
  <c r="N153" i="145"/>
  <c r="N194" i="143"/>
  <c r="N194" i="145"/>
  <c r="N87" i="143"/>
  <c r="N87" i="145"/>
  <c r="N110" i="143"/>
  <c r="N110" i="145"/>
  <c r="N204" i="143"/>
  <c r="N204" i="145"/>
  <c r="N150" i="143"/>
  <c r="N150" i="145"/>
  <c r="N181" i="143"/>
  <c r="N181" i="145"/>
  <c r="N167" i="143"/>
  <c r="N167" i="145"/>
  <c r="N42" i="143"/>
  <c r="N42" i="145"/>
  <c r="N34" i="143"/>
  <c r="N34" i="145"/>
  <c r="N75" i="143"/>
  <c r="N75" i="145"/>
  <c r="N67" i="143"/>
  <c r="N67" i="145"/>
  <c r="N58" i="143"/>
  <c r="N58" i="145"/>
  <c r="N54" i="143"/>
  <c r="N54" i="145"/>
  <c r="N186" i="143"/>
  <c r="N186" i="145"/>
  <c r="N182" i="143"/>
  <c r="N182" i="145"/>
  <c r="N37" i="143"/>
  <c r="N37" i="145"/>
  <c r="N29" i="143"/>
  <c r="N29" i="145"/>
  <c r="N117" i="143"/>
  <c r="N117" i="145"/>
  <c r="N99" i="143"/>
  <c r="N99" i="145"/>
  <c r="N70" i="143"/>
  <c r="N70" i="145"/>
  <c r="N66" i="143"/>
  <c r="N66" i="145"/>
  <c r="N55" i="143"/>
  <c r="N55" i="145"/>
  <c r="N126" i="143"/>
  <c r="N126" i="145"/>
  <c r="N149" i="143"/>
  <c r="N149" i="145"/>
  <c r="N145" i="143"/>
  <c r="N145" i="145"/>
  <c r="N138" i="143"/>
  <c r="N138" i="145"/>
  <c r="N96" i="143"/>
  <c r="N96" i="145"/>
  <c r="N82" i="143"/>
  <c r="N82" i="145"/>
  <c r="N200" i="143"/>
  <c r="N200" i="145"/>
  <c r="N172" i="143"/>
  <c r="N172" i="145"/>
  <c r="N105" i="143"/>
  <c r="N105" i="145"/>
  <c r="N26" i="143"/>
  <c r="N26" i="145"/>
  <c r="N86" i="143"/>
  <c r="N86" i="145"/>
  <c r="N109" i="143"/>
  <c r="N109" i="145"/>
  <c r="N205" i="143"/>
  <c r="N205" i="145"/>
  <c r="N156" i="143"/>
  <c r="N156" i="145"/>
  <c r="N141" i="143"/>
  <c r="N141" i="145"/>
  <c r="N64" i="143"/>
  <c r="N64" i="145"/>
  <c r="N90" i="143"/>
  <c r="N90" i="145"/>
  <c r="N159" i="143"/>
  <c r="N159" i="145"/>
  <c r="N142" i="143"/>
  <c r="N142" i="145"/>
  <c r="N191" i="143"/>
  <c r="N191" i="145"/>
  <c r="N187" i="143"/>
  <c r="N187" i="145"/>
  <c r="N178" i="143"/>
  <c r="N178" i="145"/>
  <c r="N40" i="143"/>
  <c r="N40" i="145"/>
  <c r="N32" i="143"/>
  <c r="N32" i="145"/>
  <c r="N118" i="143"/>
  <c r="N118" i="145"/>
  <c r="N98" i="143"/>
  <c r="N98" i="145"/>
  <c r="N73" i="143"/>
  <c r="N73" i="145"/>
  <c r="N65" i="143"/>
  <c r="N65" i="145"/>
  <c r="N188" i="143"/>
  <c r="N188" i="145"/>
  <c r="N177" i="143"/>
  <c r="N177" i="145"/>
  <c r="N41" i="143"/>
  <c r="N41" i="145"/>
  <c r="N35" i="143"/>
  <c r="N35" i="145"/>
  <c r="N101" i="143"/>
  <c r="N101" i="145"/>
  <c r="N78" i="143"/>
  <c r="N78" i="145"/>
  <c r="N74" i="143"/>
  <c r="N74" i="145"/>
  <c r="N53" i="143"/>
  <c r="N53" i="145"/>
  <c r="N124" i="143"/>
  <c r="N124" i="145"/>
  <c r="N123" i="143"/>
  <c r="N123" i="145"/>
  <c r="N133" i="143"/>
  <c r="N133" i="145"/>
  <c r="N88" i="143"/>
  <c r="N88" i="145"/>
  <c r="N89" i="143"/>
  <c r="N89" i="145"/>
  <c r="N158" i="143"/>
  <c r="N158" i="145"/>
  <c r="N196" i="143"/>
  <c r="N196" i="145"/>
  <c r="N192" i="143"/>
  <c r="N192" i="145"/>
  <c r="N132" i="143"/>
  <c r="N132" i="145"/>
  <c r="N85" i="143"/>
  <c r="N85" i="145"/>
  <c r="N202" i="143"/>
  <c r="N202" i="145"/>
  <c r="N155" i="143"/>
  <c r="N155" i="145"/>
  <c r="N140" i="143"/>
  <c r="N140" i="145"/>
  <c r="N193" i="143"/>
  <c r="N193" i="145"/>
  <c r="N185" i="143"/>
  <c r="N185" i="145"/>
  <c r="N176" i="143"/>
  <c r="N176" i="145"/>
  <c r="N46" i="143"/>
  <c r="N46" i="145"/>
  <c r="N38" i="143"/>
  <c r="N38" i="145"/>
  <c r="N30" i="143"/>
  <c r="N30" i="145"/>
  <c r="N116" i="143"/>
  <c r="N116" i="145"/>
  <c r="N71" i="143"/>
  <c r="N71" i="145"/>
  <c r="N60" i="143"/>
  <c r="N60" i="145"/>
  <c r="N56" i="143"/>
  <c r="N56" i="145"/>
  <c r="N184" i="143"/>
  <c r="N184" i="145"/>
  <c r="N106" i="143"/>
  <c r="N106" i="145"/>
  <c r="N33" i="143"/>
  <c r="N33" i="145"/>
  <c r="N157" i="143"/>
  <c r="N157" i="145"/>
  <c r="N115" i="143"/>
  <c r="N115" i="145"/>
  <c r="N72" i="143"/>
  <c r="N72" i="145"/>
  <c r="N68" i="143"/>
  <c r="N68" i="145"/>
  <c r="N59" i="143"/>
  <c r="N59" i="145"/>
  <c r="N47" i="143"/>
  <c r="N47" i="145"/>
  <c r="N127" i="143"/>
  <c r="N127" i="145"/>
  <c r="N146" i="143"/>
  <c r="N146" i="145"/>
  <c r="N51" i="143"/>
  <c r="N51" i="145"/>
  <c r="N164" i="143"/>
  <c r="N164" i="145"/>
  <c r="N131" i="143"/>
  <c r="N131" i="145"/>
  <c r="N143" i="143"/>
  <c r="N143" i="145"/>
  <c r="N92" i="143"/>
  <c r="N92" i="145"/>
  <c r="N160" i="143"/>
  <c r="N160" i="145"/>
  <c r="N151" i="143"/>
  <c r="N151" i="145"/>
  <c r="N190" i="143"/>
  <c r="N190" i="145"/>
  <c r="N130" i="143"/>
  <c r="N130" i="145"/>
  <c r="N83" i="143"/>
  <c r="N83" i="145"/>
  <c r="N108" i="143"/>
  <c r="N108" i="145"/>
  <c r="N152" i="143"/>
  <c r="N152" i="145"/>
  <c r="N91" i="143"/>
  <c r="N91" i="145"/>
  <c r="N195" i="143"/>
  <c r="N195" i="145"/>
  <c r="N183" i="143"/>
  <c r="N183" i="145"/>
  <c r="N107" i="143"/>
  <c r="N107" i="145"/>
  <c r="N36" i="143"/>
  <c r="N36" i="145"/>
  <c r="N28" i="143"/>
  <c r="N28" i="145"/>
  <c r="N169" i="143"/>
  <c r="N169" i="145"/>
  <c r="N100" i="143"/>
  <c r="N100" i="145"/>
  <c r="N77" i="143"/>
  <c r="N77" i="145"/>
  <c r="N69" i="143"/>
  <c r="N69" i="145"/>
  <c r="N52" i="143"/>
  <c r="N52" i="145"/>
  <c r="N201" i="143"/>
  <c r="N201" i="145"/>
  <c r="N180" i="143"/>
  <c r="N180" i="145"/>
  <c r="N173" i="143"/>
  <c r="N173" i="145"/>
  <c r="N39" i="143"/>
  <c r="N39" i="145"/>
  <c r="N31" i="143"/>
  <c r="N31" i="145"/>
  <c r="N97" i="143"/>
  <c r="N97" i="145"/>
  <c r="N76" i="143"/>
  <c r="N76" i="145"/>
  <c r="N57" i="143"/>
  <c r="N57" i="145"/>
  <c r="N49" i="143"/>
  <c r="N49" i="145"/>
  <c r="N147" i="143"/>
  <c r="N147" i="145"/>
  <c r="N136" i="143"/>
  <c r="N136" i="145"/>
  <c r="N135" i="143"/>
  <c r="N135" i="145"/>
  <c r="N125" i="143"/>
  <c r="N125" i="145"/>
  <c r="N148" i="143"/>
  <c r="N148" i="145"/>
  <c r="N137" i="143"/>
  <c r="N137" i="145"/>
  <c r="N25" i="143"/>
  <c r="N25" i="145"/>
  <c r="N114" i="143"/>
  <c r="N114" i="145"/>
  <c r="N168" i="143"/>
  <c r="N168" i="145"/>
  <c r="N166" i="143"/>
  <c r="N166" i="145"/>
  <c r="N27" i="143"/>
  <c r="N27" i="145"/>
  <c r="N21" i="143"/>
  <c r="N21" i="145"/>
  <c r="N79" i="143"/>
  <c r="N79" i="145"/>
  <c r="N93" i="143"/>
  <c r="N93" i="145"/>
  <c r="N189" i="143"/>
  <c r="N189" i="145"/>
  <c r="N119" i="143"/>
  <c r="N119" i="145"/>
  <c r="N79" i="50"/>
  <c r="N79" i="68"/>
  <c r="N79" i="54"/>
  <c r="N79" i="43"/>
  <c r="N79" i="141"/>
  <c r="N119" i="37"/>
  <c r="N119" i="50"/>
  <c r="N119" i="54"/>
  <c r="N119" i="21"/>
  <c r="N119" i="71"/>
  <c r="N119" i="106"/>
  <c r="N119" i="120"/>
  <c r="N119" i="39"/>
  <c r="N79" i="106"/>
  <c r="N79" i="87"/>
  <c r="N79" i="98"/>
  <c r="N79" i="118"/>
  <c r="N79" i="63"/>
  <c r="N79" i="25"/>
  <c r="N79" i="142"/>
  <c r="N79" i="20"/>
  <c r="N79" i="90"/>
  <c r="N79" i="79"/>
  <c r="N79" i="49"/>
  <c r="N79" i="86"/>
  <c r="N79" i="120"/>
  <c r="N79" i="46"/>
  <c r="N79" i="135"/>
  <c r="N79" i="69"/>
  <c r="N93" i="71"/>
  <c r="N93" i="45"/>
  <c r="N119" i="65"/>
  <c r="N119" i="62"/>
  <c r="N119" i="38"/>
  <c r="N119" i="111"/>
  <c r="N119" i="47"/>
  <c r="N119" i="33"/>
  <c r="N119" i="55"/>
  <c r="N119" i="87"/>
  <c r="N93" i="72"/>
  <c r="N93" i="47"/>
  <c r="N93" i="24"/>
  <c r="N93" i="42"/>
  <c r="N93" i="84"/>
  <c r="N93" i="15"/>
  <c r="N93" i="89"/>
  <c r="N79" i="33"/>
  <c r="N79" i="16"/>
  <c r="N79" i="57"/>
  <c r="N79" i="95"/>
  <c r="N79" i="14"/>
  <c r="N79" i="83"/>
  <c r="N79" i="55"/>
  <c r="N79" i="58"/>
  <c r="N79" i="1"/>
  <c r="N79" i="53"/>
  <c r="N79" i="66"/>
  <c r="N79" i="104"/>
  <c r="N79" i="39"/>
  <c r="N79" i="64"/>
  <c r="N79" i="67"/>
  <c r="N79" i="19"/>
  <c r="N79" i="119"/>
  <c r="N79" i="102"/>
  <c r="N79" i="47"/>
  <c r="N79" i="10"/>
  <c r="N79" i="89"/>
  <c r="N79" i="113"/>
  <c r="N79" i="24"/>
  <c r="N79" i="32"/>
  <c r="N79" i="91"/>
  <c r="N79" i="100"/>
  <c r="N79" i="94"/>
  <c r="N79" i="92"/>
  <c r="N79" i="111"/>
  <c r="N79" i="136"/>
  <c r="N79" i="84"/>
  <c r="N79" i="37"/>
  <c r="N79" i="62"/>
  <c r="N79" i="72"/>
  <c r="N79" i="21"/>
  <c r="N79" i="65"/>
  <c r="N79" i="45"/>
  <c r="N79" i="42"/>
  <c r="N79" i="133"/>
  <c r="N79" i="103"/>
  <c r="N79" i="27"/>
  <c r="N79" i="28"/>
  <c r="N93" i="86"/>
  <c r="N93" i="120"/>
  <c r="N93" i="67"/>
  <c r="N93" i="68"/>
  <c r="N93" i="135"/>
  <c r="N93" i="92"/>
  <c r="N93" i="38"/>
  <c r="N93" i="104"/>
  <c r="N93" i="62"/>
  <c r="N93" i="102"/>
  <c r="N189" i="83"/>
  <c r="N189" i="90"/>
  <c r="N189" i="67"/>
  <c r="N189" i="38"/>
  <c r="N189" i="65"/>
  <c r="N189" i="46"/>
  <c r="N189" i="95"/>
  <c r="N189" i="39"/>
  <c r="N189" i="84"/>
  <c r="N189" i="133"/>
  <c r="N189" i="16"/>
  <c r="N189" i="119"/>
  <c r="N189" i="72"/>
  <c r="N189" i="20"/>
  <c r="N189" i="91"/>
  <c r="N189" i="79"/>
  <c r="N189" i="15"/>
  <c r="N189" i="59"/>
  <c r="N189" i="14"/>
  <c r="N189" i="32"/>
  <c r="N189" i="135"/>
  <c r="N189" i="104"/>
  <c r="N189" i="49"/>
  <c r="N189" i="62"/>
  <c r="N189" i="85"/>
  <c r="N189" i="19"/>
  <c r="N189" i="86"/>
  <c r="N189" i="27"/>
  <c r="N189" i="98"/>
  <c r="N189" i="142"/>
  <c r="N189" i="136"/>
  <c r="N189" i="53"/>
  <c r="N189" i="92"/>
  <c r="N189" i="100"/>
  <c r="N189" i="33"/>
  <c r="N189" i="106"/>
  <c r="N189" i="21"/>
  <c r="N189" i="103"/>
  <c r="N189" i="111"/>
  <c r="N189" i="54"/>
  <c r="N189" i="71"/>
  <c r="N189" i="94"/>
  <c r="N189" i="25"/>
  <c r="N189" i="113"/>
  <c r="N189" i="24"/>
  <c r="N189" i="102"/>
  <c r="N189" i="66"/>
  <c r="N189" i="50"/>
  <c r="N189" i="141"/>
  <c r="N189" i="45"/>
  <c r="N189" i="63"/>
  <c r="N189" i="10"/>
  <c r="N189" i="55"/>
  <c r="N189" i="120"/>
  <c r="N189" i="68"/>
  <c r="N189" i="89"/>
  <c r="N189" i="28"/>
  <c r="N189" i="37"/>
  <c r="N189" i="43"/>
  <c r="N189" i="47"/>
  <c r="N189" i="58"/>
  <c r="N189" i="118"/>
  <c r="N189" i="1"/>
  <c r="N189" i="69"/>
  <c r="N189" i="64"/>
  <c r="N189" i="42"/>
  <c r="N189" i="57"/>
  <c r="N189" i="60"/>
  <c r="N189" i="87"/>
  <c r="N189" i="31"/>
  <c r="N93" i="50"/>
  <c r="N93" i="87"/>
  <c r="N93" i="16"/>
  <c r="N93" i="141"/>
  <c r="N93" i="32"/>
  <c r="N93" i="43"/>
  <c r="N93" i="1"/>
  <c r="N93" i="95"/>
  <c r="N93" i="98"/>
  <c r="N93" i="53"/>
  <c r="N93" i="27"/>
  <c r="N93" i="31"/>
  <c r="N93" i="63"/>
  <c r="N93" i="119"/>
  <c r="N93" i="60"/>
  <c r="N93" i="83"/>
  <c r="N170" i="143"/>
  <c r="N170" i="46"/>
  <c r="N170" i="20"/>
  <c r="N170" i="103"/>
  <c r="N170" i="72"/>
  <c r="N170" i="98"/>
  <c r="N170" i="39"/>
  <c r="N170" i="25"/>
  <c r="N170" i="92"/>
  <c r="N170" i="60"/>
  <c r="N170" i="57"/>
  <c r="N170" i="42"/>
  <c r="N170" i="64"/>
  <c r="N170" i="86"/>
  <c r="N170" i="118"/>
  <c r="N170" i="58"/>
  <c r="N170" i="43"/>
  <c r="N170" i="31"/>
  <c r="N170" i="89"/>
  <c r="N170" i="59"/>
  <c r="N170" i="15"/>
  <c r="N170" i="79"/>
  <c r="N170" i="69"/>
  <c r="N170" i="133"/>
  <c r="N170" i="45"/>
  <c r="N170" i="111"/>
  <c r="N170" i="54"/>
  <c r="N170" i="91"/>
  <c r="N170" i="49"/>
  <c r="N170" i="65"/>
  <c r="N170" i="53"/>
  <c r="N170" i="119"/>
  <c r="N170" i="10"/>
  <c r="N170" i="102"/>
  <c r="N170" i="16"/>
  <c r="N170" i="62"/>
  <c r="N170" i="32"/>
  <c r="N170" i="84"/>
  <c r="N170" i="28"/>
  <c r="N170" i="142"/>
  <c r="N170" i="55"/>
  <c r="N170" i="21"/>
  <c r="N170" i="106"/>
  <c r="N170" i="33"/>
  <c r="N170" i="14"/>
  <c r="N170" i="113"/>
  <c r="N170" i="68"/>
  <c r="N170" i="120"/>
  <c r="N170" i="95"/>
  <c r="N170" i="47"/>
  <c r="N170" i="37"/>
  <c r="N170" i="50"/>
  <c r="N170" i="83"/>
  <c r="N170" i="38"/>
  <c r="N170" i="1"/>
  <c r="N170" i="67"/>
  <c r="N170" i="63"/>
  <c r="N170" i="141"/>
  <c r="N170" i="19"/>
  <c r="N170" i="136"/>
  <c r="N170" i="27"/>
  <c r="N170" i="85"/>
  <c r="N170" i="135"/>
  <c r="N170" i="94"/>
  <c r="N170" i="71"/>
  <c r="N170" i="90"/>
  <c r="N170" i="66"/>
  <c r="N170" i="24"/>
  <c r="N170" i="100"/>
  <c r="N170" i="104"/>
  <c r="N170" i="87"/>
  <c r="N174" i="143"/>
  <c r="N174" i="57"/>
  <c r="N174" i="42"/>
  <c r="N174" i="37"/>
  <c r="N174" i="31"/>
  <c r="N174" i="89"/>
  <c r="N174" i="50"/>
  <c r="N174" i="68"/>
  <c r="N174" i="63"/>
  <c r="N174" i="53"/>
  <c r="N174" i="45"/>
  <c r="N174" i="24"/>
  <c r="N174" i="27"/>
  <c r="N174" i="16"/>
  <c r="N174" i="91"/>
  <c r="N174" i="100"/>
  <c r="N174" i="55"/>
  <c r="N174" i="66"/>
  <c r="N174" i="136"/>
  <c r="N174" i="102"/>
  <c r="N174" i="84"/>
  <c r="N174" i="28"/>
  <c r="N174" i="20"/>
  <c r="N174" i="142"/>
  <c r="N174" i="103"/>
  <c r="N174" i="60"/>
  <c r="N174" i="62"/>
  <c r="N174" i="49"/>
  <c r="N174" i="104"/>
  <c r="N174" i="39"/>
  <c r="N174" i="33"/>
  <c r="N174" i="25"/>
  <c r="N174" i="14"/>
  <c r="N174" i="92"/>
  <c r="N174" i="133"/>
  <c r="N174" i="10"/>
  <c r="N174" i="21"/>
  <c r="N174" i="98"/>
  <c r="N174" i="106"/>
  <c r="N174" i="71"/>
  <c r="N174" i="141"/>
  <c r="N174" i="119"/>
  <c r="N174" i="111"/>
  <c r="N174" i="90"/>
  <c r="N174" i="118"/>
  <c r="N174" i="85"/>
  <c r="N174" i="58"/>
  <c r="N174" i="47"/>
  <c r="N174" i="43"/>
  <c r="N174" i="38"/>
  <c r="N174" i="79"/>
  <c r="N174" i="69"/>
  <c r="N174" i="1"/>
  <c r="N174" i="54"/>
  <c r="N174" i="59"/>
  <c r="N174" i="83"/>
  <c r="N174" i="15"/>
  <c r="N174" i="135"/>
  <c r="N174" i="32"/>
  <c r="N174" i="65"/>
  <c r="N174" i="87"/>
  <c r="N174" i="113"/>
  <c r="N174" i="72"/>
  <c r="N174" i="67"/>
  <c r="N174" i="46"/>
  <c r="N174" i="94"/>
  <c r="N174" i="120"/>
  <c r="N174" i="64"/>
  <c r="N174" i="86"/>
  <c r="N174" i="95"/>
  <c r="N174" i="19"/>
  <c r="N93" i="57"/>
  <c r="N93" i="69"/>
  <c r="N93" i="19"/>
  <c r="N93" i="46"/>
  <c r="N93" i="103"/>
  <c r="N93" i="106"/>
  <c r="N93" i="91"/>
  <c r="N93" i="33"/>
  <c r="N93" i="118"/>
  <c r="N93" i="79"/>
  <c r="N93" i="59"/>
  <c r="N93" i="133"/>
  <c r="N93" i="55"/>
  <c r="N93" i="25"/>
  <c r="N93" i="14"/>
  <c r="N93" i="142"/>
  <c r="N93" i="111"/>
  <c r="N93" i="113"/>
  <c r="N93" i="136"/>
  <c r="N93" i="10"/>
  <c r="N93" i="64"/>
  <c r="N93" i="65"/>
  <c r="N93" i="94"/>
  <c r="N93" i="20"/>
  <c r="N93" i="28"/>
  <c r="N93" i="54"/>
  <c r="N93" i="90"/>
  <c r="N93" i="39"/>
  <c r="N93" i="37"/>
  <c r="N93" i="21"/>
  <c r="N93" i="49"/>
  <c r="N93" i="85"/>
  <c r="N93" i="66"/>
  <c r="N93" i="58"/>
  <c r="G241" i="97"/>
  <c r="N111" i="118"/>
  <c r="N111" i="133"/>
  <c r="N111" i="45"/>
  <c r="N111" i="104"/>
  <c r="N111" i="43"/>
  <c r="N111" i="84"/>
  <c r="N111" i="135"/>
  <c r="N111" i="32"/>
  <c r="N111" i="28"/>
  <c r="N111" i="20"/>
  <c r="N111" i="14"/>
  <c r="N111" i="113"/>
  <c r="N111" i="103"/>
  <c r="N111" i="54"/>
  <c r="N111" i="15"/>
  <c r="N111" i="25"/>
  <c r="N111" i="55"/>
  <c r="N111" i="91"/>
  <c r="N111" i="85"/>
  <c r="N111" i="63"/>
  <c r="N111" i="58"/>
  <c r="N111" i="53"/>
  <c r="N111" i="47"/>
  <c r="N111" i="119"/>
  <c r="N111" i="142"/>
  <c r="N111" i="66"/>
  <c r="N111" i="59"/>
  <c r="N111" i="136"/>
  <c r="N111" i="83"/>
  <c r="N111" i="120"/>
  <c r="N111" i="33"/>
  <c r="N111" i="64"/>
  <c r="N111" i="86"/>
  <c r="N111" i="95"/>
  <c r="N111" i="10"/>
  <c r="N111" i="94"/>
  <c r="N111" i="71"/>
  <c r="N111" i="37"/>
  <c r="N111" i="141"/>
  <c r="N111" i="31"/>
  <c r="N111" i="111"/>
  <c r="N111" i="87"/>
  <c r="N111" i="89"/>
  <c r="N111" i="50"/>
  <c r="N111" i="19"/>
  <c r="N111" i="72"/>
  <c r="N111" i="102"/>
  <c r="N111" i="106"/>
  <c r="N111" i="42"/>
  <c r="N111" i="39"/>
  <c r="N111" i="16"/>
  <c r="N111" i="100"/>
  <c r="N111" i="92"/>
  <c r="N111" i="67"/>
  <c r="N111" i="62"/>
  <c r="N111" i="49"/>
  <c r="N111" i="46"/>
  <c r="N111" i="65"/>
  <c r="N111" i="90"/>
  <c r="N111" i="60"/>
  <c r="N111" i="68"/>
  <c r="N111" i="21"/>
  <c r="N111" i="57"/>
  <c r="N111" i="98"/>
  <c r="N111" i="38"/>
  <c r="N111" i="24"/>
  <c r="N111" i="79"/>
  <c r="N111" i="27"/>
  <c r="N111" i="69"/>
  <c r="N111" i="1"/>
  <c r="N84" i="60"/>
  <c r="N84" i="72"/>
  <c r="N84" i="68"/>
  <c r="N84" i="21"/>
  <c r="N84" i="57"/>
  <c r="N84" i="98"/>
  <c r="N84" i="106"/>
  <c r="N84" i="42"/>
  <c r="N84" i="39"/>
  <c r="N84" i="120"/>
  <c r="N84" i="33"/>
  <c r="N84" i="64"/>
  <c r="N84" i="25"/>
  <c r="N84" i="55"/>
  <c r="N84" i="69"/>
  <c r="N84" i="91"/>
  <c r="N84" i="1"/>
  <c r="N84" i="10"/>
  <c r="N84" i="94"/>
  <c r="N84" i="63"/>
  <c r="N84" i="58"/>
  <c r="N84" i="53"/>
  <c r="N84" i="47"/>
  <c r="N84" i="45"/>
  <c r="N84" i="43"/>
  <c r="N84" i="71"/>
  <c r="N84" i="37"/>
  <c r="N84" i="141"/>
  <c r="N84" i="31"/>
  <c r="N84" i="119"/>
  <c r="N84" i="111"/>
  <c r="N84" i="87"/>
  <c r="N84" i="142"/>
  <c r="N84" i="113"/>
  <c r="N84" i="103"/>
  <c r="N84" i="19"/>
  <c r="N84" i="54"/>
  <c r="N84" i="66"/>
  <c r="N84" i="59"/>
  <c r="N84" i="136"/>
  <c r="N84" i="83"/>
  <c r="N84" i="102"/>
  <c r="N84" i="15"/>
  <c r="N84" i="38"/>
  <c r="N84" i="24"/>
  <c r="N84" i="79"/>
  <c r="N84" i="27"/>
  <c r="N84" i="16"/>
  <c r="N84" i="100"/>
  <c r="N84" i="86"/>
  <c r="N84" i="92"/>
  <c r="N84" i="95"/>
  <c r="N84" i="133"/>
  <c r="N84" i="85"/>
  <c r="N84" i="67"/>
  <c r="N84" i="62"/>
  <c r="N84" i="49"/>
  <c r="N84" i="46"/>
  <c r="N84" i="104"/>
  <c r="N84" i="84"/>
  <c r="N84" i="135"/>
  <c r="N84" i="32"/>
  <c r="N84" i="28"/>
  <c r="N84" i="65"/>
  <c r="N84" i="20"/>
  <c r="N84" i="14"/>
  <c r="N84" i="89"/>
  <c r="N84" i="90"/>
  <c r="N84" i="50"/>
  <c r="N84" i="118"/>
  <c r="N153" i="10"/>
  <c r="N153" i="118"/>
  <c r="N153" i="133"/>
  <c r="N153" i="94"/>
  <c r="N153" i="85"/>
  <c r="N153" i="67"/>
  <c r="N153" i="63"/>
  <c r="N153" i="62"/>
  <c r="N153" i="58"/>
  <c r="N153" i="53"/>
  <c r="N153" i="49"/>
  <c r="N153" i="47"/>
  <c r="N153" i="46"/>
  <c r="N153" i="45"/>
  <c r="N153" i="104"/>
  <c r="N153" i="43"/>
  <c r="N153" i="84"/>
  <c r="N153" i="71"/>
  <c r="N153" i="135"/>
  <c r="N153" i="37"/>
  <c r="N153" i="141"/>
  <c r="N153" i="32"/>
  <c r="N153" i="31"/>
  <c r="N153" i="28"/>
  <c r="N153" i="119"/>
  <c r="N153" i="65"/>
  <c r="N153" i="20"/>
  <c r="N153" i="111"/>
  <c r="N153" i="14"/>
  <c r="N153" i="87"/>
  <c r="N153" i="89"/>
  <c r="N153" i="142"/>
  <c r="N153" i="90"/>
  <c r="N153" i="113"/>
  <c r="N153" i="50"/>
  <c r="N153" i="103"/>
  <c r="N153" i="19"/>
  <c r="N153" i="60"/>
  <c r="N153" i="54"/>
  <c r="N153" i="72"/>
  <c r="N153" i="68"/>
  <c r="N153" i="66"/>
  <c r="N153" i="21"/>
  <c r="N153" i="59"/>
  <c r="N153" i="57"/>
  <c r="N153" i="136"/>
  <c r="N153" i="98"/>
  <c r="N153" i="83"/>
  <c r="N153" i="102"/>
  <c r="N153" i="106"/>
  <c r="N153" i="15"/>
  <c r="N153" i="42"/>
  <c r="N153" i="39"/>
  <c r="N153" i="38"/>
  <c r="N153" i="120"/>
  <c r="N153" i="24"/>
  <c r="N153" i="33"/>
  <c r="N153" i="79"/>
  <c r="N153" i="64"/>
  <c r="N153" i="27"/>
  <c r="N153" i="25"/>
  <c r="N153" i="16"/>
  <c r="N153" i="55"/>
  <c r="N153" i="100"/>
  <c r="N153" i="69"/>
  <c r="N153" i="86"/>
  <c r="N153" i="91"/>
  <c r="N153" i="92"/>
  <c r="N153" i="1"/>
  <c r="N153" i="95"/>
  <c r="N87" i="118"/>
  <c r="N87" i="94"/>
  <c r="N87" i="63"/>
  <c r="N87" i="58"/>
  <c r="N87" i="53"/>
  <c r="N87" i="47"/>
  <c r="N87" i="45"/>
  <c r="N87" i="43"/>
  <c r="N87" i="71"/>
  <c r="N87" i="37"/>
  <c r="N87" i="141"/>
  <c r="N87" i="31"/>
  <c r="N87" i="119"/>
  <c r="N87" i="111"/>
  <c r="N87" i="87"/>
  <c r="N87" i="142"/>
  <c r="N87" i="113"/>
  <c r="N87" i="103"/>
  <c r="N87" i="60"/>
  <c r="N87" i="72"/>
  <c r="N87" i="68"/>
  <c r="N87" i="21"/>
  <c r="N87" i="57"/>
  <c r="N87" i="98"/>
  <c r="N87" i="106"/>
  <c r="N87" i="42"/>
  <c r="N87" i="39"/>
  <c r="N87" i="120"/>
  <c r="N87" i="33"/>
  <c r="N87" i="64"/>
  <c r="N87" i="25"/>
  <c r="N87" i="55"/>
  <c r="N87" i="69"/>
  <c r="N87" i="91"/>
  <c r="N87" i="1"/>
  <c r="N87" i="10"/>
  <c r="N87" i="85"/>
  <c r="N87" i="67"/>
  <c r="N87" i="62"/>
  <c r="N87" i="49"/>
  <c r="N87" i="46"/>
  <c r="N87" i="104"/>
  <c r="N87" i="84"/>
  <c r="N87" i="135"/>
  <c r="N87" i="32"/>
  <c r="N87" i="28"/>
  <c r="N87" i="65"/>
  <c r="N87" i="20"/>
  <c r="N87" i="14"/>
  <c r="N87" i="89"/>
  <c r="N87" i="90"/>
  <c r="N87" i="50"/>
  <c r="N87" i="19"/>
  <c r="N87" i="54"/>
  <c r="N87" i="66"/>
  <c r="N87" i="59"/>
  <c r="N87" i="136"/>
  <c r="N87" i="83"/>
  <c r="N87" i="102"/>
  <c r="N87" i="15"/>
  <c r="N87" i="38"/>
  <c r="N87" i="24"/>
  <c r="N87" i="79"/>
  <c r="N87" i="27"/>
  <c r="N87" i="16"/>
  <c r="N87" i="100"/>
  <c r="N87" i="86"/>
  <c r="N87" i="92"/>
  <c r="N87" i="95"/>
  <c r="N87" i="133"/>
  <c r="N204" i="118"/>
  <c r="N204" i="94"/>
  <c r="N204" i="63"/>
  <c r="N204" i="58"/>
  <c r="N204" i="53"/>
  <c r="N204" i="47"/>
  <c r="N204" i="45"/>
  <c r="N204" i="43"/>
  <c r="N204" i="19"/>
  <c r="N204" i="54"/>
  <c r="N204" i="66"/>
  <c r="N204" i="59"/>
  <c r="N204" i="136"/>
  <c r="N204" i="83"/>
  <c r="N204" i="102"/>
  <c r="N204" i="15"/>
  <c r="N204" i="135"/>
  <c r="N204" i="32"/>
  <c r="N204" i="28"/>
  <c r="N204" i="65"/>
  <c r="N204" i="20"/>
  <c r="N204" i="14"/>
  <c r="N204" i="89"/>
  <c r="N204" i="90"/>
  <c r="N204" i="50"/>
  <c r="N204" i="38"/>
  <c r="N204" i="24"/>
  <c r="N204" i="79"/>
  <c r="N204" i="27"/>
  <c r="N204" i="16"/>
  <c r="N204" i="100"/>
  <c r="N204" i="86"/>
  <c r="N204" i="92"/>
  <c r="N204" i="95"/>
  <c r="N204" i="133"/>
  <c r="N204" i="85"/>
  <c r="N204" i="67"/>
  <c r="N204" i="62"/>
  <c r="N204" i="49"/>
  <c r="N204" i="46"/>
  <c r="N204" i="104"/>
  <c r="N204" i="84"/>
  <c r="N204" i="60"/>
  <c r="N204" i="72"/>
  <c r="N204" i="68"/>
  <c r="N204" i="21"/>
  <c r="N204" i="57"/>
  <c r="N204" i="98"/>
  <c r="N204" i="106"/>
  <c r="N204" i="42"/>
  <c r="N204" i="71"/>
  <c r="N204" i="37"/>
  <c r="N204" i="141"/>
  <c r="N204" i="31"/>
  <c r="N204" i="119"/>
  <c r="N204" i="111"/>
  <c r="N204" i="87"/>
  <c r="N204" i="142"/>
  <c r="N204" i="113"/>
  <c r="N204" i="103"/>
  <c r="N204" i="39"/>
  <c r="N204" i="120"/>
  <c r="N204" i="33"/>
  <c r="N204" i="64"/>
  <c r="N204" i="25"/>
  <c r="N204" i="55"/>
  <c r="N204" i="69"/>
  <c r="N204" i="91"/>
  <c r="N204" i="1"/>
  <c r="N204" i="10"/>
  <c r="N181" i="10"/>
  <c r="N181" i="118"/>
  <c r="N181" i="60"/>
  <c r="N181" i="133"/>
  <c r="N181" i="54"/>
  <c r="N181" i="94"/>
  <c r="N181" i="72"/>
  <c r="N181" i="85"/>
  <c r="N181" i="68"/>
  <c r="N181" i="67"/>
  <c r="N181" i="66"/>
  <c r="N181" i="63"/>
  <c r="N181" i="21"/>
  <c r="N181" i="62"/>
  <c r="N181" i="59"/>
  <c r="N181" i="58"/>
  <c r="N181" i="57"/>
  <c r="N181" i="136"/>
  <c r="N181" i="53"/>
  <c r="N181" i="98"/>
  <c r="N181" i="49"/>
  <c r="N181" i="83"/>
  <c r="N181" i="47"/>
  <c r="N181" i="46"/>
  <c r="N181" i="102"/>
  <c r="N181" i="45"/>
  <c r="N181" i="106"/>
  <c r="N181" i="104"/>
  <c r="N181" i="15"/>
  <c r="N181" i="43"/>
  <c r="N181" i="42"/>
  <c r="N181" i="84"/>
  <c r="N181" i="71"/>
  <c r="N181" i="39"/>
  <c r="N181" i="135"/>
  <c r="N181" i="38"/>
  <c r="N181" i="37"/>
  <c r="N181" i="120"/>
  <c r="N181" i="24"/>
  <c r="N181" i="141"/>
  <c r="N181" i="33"/>
  <c r="N181" i="32"/>
  <c r="N181" i="79"/>
  <c r="N181" i="31"/>
  <c r="N181" i="64"/>
  <c r="N181" i="28"/>
  <c r="N181" i="27"/>
  <c r="N181" i="119"/>
  <c r="N181" i="25"/>
  <c r="N181" i="65"/>
  <c r="N181" i="20"/>
  <c r="N181" i="16"/>
  <c r="N181" i="111"/>
  <c r="N181" i="55"/>
  <c r="N181" i="14"/>
  <c r="N181" i="100"/>
  <c r="N181" i="87"/>
  <c r="N181" i="69"/>
  <c r="N181" i="19"/>
  <c r="N181" i="89"/>
  <c r="N181" i="86"/>
  <c r="N181" i="142"/>
  <c r="N181" i="91"/>
  <c r="N181" i="90"/>
  <c r="N181" i="92"/>
  <c r="N181" i="113"/>
  <c r="N181" i="1"/>
  <c r="N181" i="50"/>
  <c r="N181" i="95"/>
  <c r="N181" i="103"/>
  <c r="N42" i="60"/>
  <c r="N42" i="66"/>
  <c r="N42" i="59"/>
  <c r="N42" i="136"/>
  <c r="N42" i="83"/>
  <c r="N42" i="102"/>
  <c r="N42" i="15"/>
  <c r="N42" i="38"/>
  <c r="N42" i="24"/>
  <c r="N42" i="79"/>
  <c r="N42" i="27"/>
  <c r="N42" i="16"/>
  <c r="N42" i="100"/>
  <c r="N42" i="86"/>
  <c r="N42" i="92"/>
  <c r="N42" i="95"/>
  <c r="N42" i="118"/>
  <c r="N42" i="94"/>
  <c r="N42" i="63"/>
  <c r="N42" i="58"/>
  <c r="N42" i="53"/>
  <c r="N42" i="49"/>
  <c r="N42" i="47"/>
  <c r="N42" i="46"/>
  <c r="N42" i="45"/>
  <c r="N42" i="104"/>
  <c r="N42" i="43"/>
  <c r="N42" i="84"/>
  <c r="N42" i="71"/>
  <c r="N42" i="135"/>
  <c r="N42" i="37"/>
  <c r="N42" i="141"/>
  <c r="N42" i="32"/>
  <c r="N42" i="31"/>
  <c r="N42" i="28"/>
  <c r="N42" i="119"/>
  <c r="N42" i="65"/>
  <c r="N42" i="20"/>
  <c r="N42" i="111"/>
  <c r="N42" i="14"/>
  <c r="N42" i="87"/>
  <c r="N42" i="89"/>
  <c r="N42" i="142"/>
  <c r="N42" i="90"/>
  <c r="N42" i="113"/>
  <c r="N42" i="50"/>
  <c r="N42" i="103"/>
  <c r="N42" i="19"/>
  <c r="N42" i="62"/>
  <c r="N42" i="85"/>
  <c r="N42" i="10"/>
  <c r="N42" i="91"/>
  <c r="N42" i="55"/>
  <c r="N42" i="25"/>
  <c r="N42" i="33"/>
  <c r="N42" i="39"/>
  <c r="N42" i="106"/>
  <c r="N42" i="98"/>
  <c r="N42" i="21"/>
  <c r="N42" i="72"/>
  <c r="N42" i="54"/>
  <c r="N42" i="67"/>
  <c r="N42" i="133"/>
  <c r="N42" i="1"/>
  <c r="N42" i="69"/>
  <c r="N42" i="64"/>
  <c r="N42" i="120"/>
  <c r="N42" i="42"/>
  <c r="N42" i="57"/>
  <c r="N42" i="68"/>
  <c r="N75" i="118"/>
  <c r="N75" i="94"/>
  <c r="N75" i="63"/>
  <c r="N75" i="58"/>
  <c r="N75" i="53"/>
  <c r="N75" i="47"/>
  <c r="N75" i="45"/>
  <c r="N75" i="43"/>
  <c r="N75" i="71"/>
  <c r="N75" i="37"/>
  <c r="N75" i="54"/>
  <c r="N75" i="66"/>
  <c r="N75" i="21"/>
  <c r="N75" i="59"/>
  <c r="N75" i="57"/>
  <c r="N75" i="136"/>
  <c r="N75" i="98"/>
  <c r="N75" i="83"/>
  <c r="N75" i="102"/>
  <c r="N75" i="106"/>
  <c r="N75" i="15"/>
  <c r="N75" i="42"/>
  <c r="N75" i="39"/>
  <c r="N75" i="38"/>
  <c r="N75" i="120"/>
  <c r="N75" i="24"/>
  <c r="N75" i="33"/>
  <c r="N75" i="79"/>
  <c r="N75" i="64"/>
  <c r="N75" i="27"/>
  <c r="N75" i="25"/>
  <c r="N75" i="16"/>
  <c r="N75" i="55"/>
  <c r="N75" i="100"/>
  <c r="N75" i="69"/>
  <c r="N75" i="86"/>
  <c r="N75" i="91"/>
  <c r="N75" i="92"/>
  <c r="N75" i="1"/>
  <c r="N75" i="95"/>
  <c r="N75" i="19"/>
  <c r="N75" i="133"/>
  <c r="N75" i="85"/>
  <c r="N75" i="67"/>
  <c r="N75" i="62"/>
  <c r="N75" i="49"/>
  <c r="N75" i="46"/>
  <c r="N75" i="104"/>
  <c r="N75" i="84"/>
  <c r="N75" i="135"/>
  <c r="N75" i="141"/>
  <c r="N75" i="32"/>
  <c r="N75" i="31"/>
  <c r="N75" i="28"/>
  <c r="N75" i="119"/>
  <c r="N75" i="65"/>
  <c r="N75" i="20"/>
  <c r="N75" i="111"/>
  <c r="N75" i="14"/>
  <c r="N75" i="87"/>
  <c r="N75" i="89"/>
  <c r="N75" i="142"/>
  <c r="N75" i="90"/>
  <c r="N75" i="113"/>
  <c r="N75" i="50"/>
  <c r="N75" i="103"/>
  <c r="N75" i="10"/>
  <c r="N75" i="60"/>
  <c r="N75" i="72"/>
  <c r="N75" i="68"/>
  <c r="N58" i="19"/>
  <c r="N58" i="60"/>
  <c r="N58" i="72"/>
  <c r="N58" i="68"/>
  <c r="N58" i="21"/>
  <c r="N58" i="57"/>
  <c r="N58" i="98"/>
  <c r="N58" i="106"/>
  <c r="N58" i="42"/>
  <c r="N58" i="39"/>
  <c r="N58" i="120"/>
  <c r="N58" i="33"/>
  <c r="N58" i="64"/>
  <c r="N58" i="25"/>
  <c r="N58" i="16"/>
  <c r="N58" i="55"/>
  <c r="N58" i="100"/>
  <c r="N58" i="69"/>
  <c r="N58" i="86"/>
  <c r="N58" i="91"/>
  <c r="N58" i="92"/>
  <c r="N58" i="1"/>
  <c r="N58" i="95"/>
  <c r="N58" i="118"/>
  <c r="N58" i="94"/>
  <c r="N58" i="54"/>
  <c r="N58" i="66"/>
  <c r="N58" i="59"/>
  <c r="N58" i="136"/>
  <c r="N58" i="83"/>
  <c r="N58" i="102"/>
  <c r="N58" i="15"/>
  <c r="N58" i="38"/>
  <c r="N58" i="24"/>
  <c r="N58" i="79"/>
  <c r="N58" i="27"/>
  <c r="N58" i="10"/>
  <c r="N58" i="133"/>
  <c r="N58" i="85"/>
  <c r="N58" i="67"/>
  <c r="N58" i="63"/>
  <c r="N58" i="62"/>
  <c r="N58" i="58"/>
  <c r="N58" i="53"/>
  <c r="N58" i="49"/>
  <c r="N58" i="47"/>
  <c r="N58" i="46"/>
  <c r="N58" i="45"/>
  <c r="N58" i="104"/>
  <c r="N58" i="43"/>
  <c r="N58" i="84"/>
  <c r="N58" i="71"/>
  <c r="N58" i="135"/>
  <c r="N58" i="37"/>
  <c r="N58" i="141"/>
  <c r="N58" i="32"/>
  <c r="N58" i="31"/>
  <c r="N58" i="28"/>
  <c r="N58" i="119"/>
  <c r="N58" i="65"/>
  <c r="N58" i="20"/>
  <c r="N58" i="111"/>
  <c r="N58" i="14"/>
  <c r="N58" i="87"/>
  <c r="N58" i="89"/>
  <c r="N58" i="142"/>
  <c r="N58" i="90"/>
  <c r="N58" i="113"/>
  <c r="N58" i="50"/>
  <c r="N58" i="103"/>
  <c r="N186" i="19"/>
  <c r="N186" i="60"/>
  <c r="N186" i="54"/>
  <c r="N186" i="85"/>
  <c r="N186" i="67"/>
  <c r="N186" i="63"/>
  <c r="N186" i="62"/>
  <c r="N186" i="58"/>
  <c r="N186" i="53"/>
  <c r="N186" i="49"/>
  <c r="N186" i="47"/>
  <c r="N186" i="46"/>
  <c r="N186" i="45"/>
  <c r="N186" i="104"/>
  <c r="N186" i="43"/>
  <c r="N186" i="94"/>
  <c r="N186" i="39"/>
  <c r="N186" i="38"/>
  <c r="N186" i="120"/>
  <c r="N186" i="24"/>
  <c r="N186" i="33"/>
  <c r="N186" i="79"/>
  <c r="N186" i="64"/>
  <c r="N186" i="27"/>
  <c r="N186" i="25"/>
  <c r="N186" i="16"/>
  <c r="N186" i="55"/>
  <c r="N186" i="10"/>
  <c r="N186" i="118"/>
  <c r="N186" i="133"/>
  <c r="N186" i="72"/>
  <c r="N186" i="68"/>
  <c r="N186" i="66"/>
  <c r="N186" i="21"/>
  <c r="N186" i="59"/>
  <c r="N186" i="57"/>
  <c r="N186" i="136"/>
  <c r="N186" i="98"/>
  <c r="N186" i="83"/>
  <c r="N186" i="102"/>
  <c r="N186" i="106"/>
  <c r="N186" i="15"/>
  <c r="N186" i="42"/>
  <c r="N186" i="84"/>
  <c r="N186" i="71"/>
  <c r="N186" i="135"/>
  <c r="N186" i="37"/>
  <c r="N186" i="141"/>
  <c r="N186" i="32"/>
  <c r="N186" i="31"/>
  <c r="N186" i="28"/>
  <c r="N186" i="119"/>
  <c r="N186" i="65"/>
  <c r="N186" i="20"/>
  <c r="N186" i="111"/>
  <c r="N186" i="14"/>
  <c r="N186" i="87"/>
  <c r="N186" i="69"/>
  <c r="N186" i="89"/>
  <c r="N186" i="86"/>
  <c r="N186" i="142"/>
  <c r="N186" i="91"/>
  <c r="N186" i="90"/>
  <c r="N186" i="92"/>
  <c r="N186" i="113"/>
  <c r="N186" i="1"/>
  <c r="N186" i="50"/>
  <c r="N186" i="95"/>
  <c r="N186" i="103"/>
  <c r="N186" i="100"/>
  <c r="N37" i="10"/>
  <c r="N37" i="94"/>
  <c r="N37" i="63"/>
  <c r="N37" i="53"/>
  <c r="N37" i="45"/>
  <c r="N37" i="71"/>
  <c r="N37" i="141"/>
  <c r="N37" i="119"/>
  <c r="N37" i="111"/>
  <c r="N37" i="142"/>
  <c r="N37" i="103"/>
  <c r="N37" i="118"/>
  <c r="N37" i="58"/>
  <c r="N37" i="47"/>
  <c r="N37" i="43"/>
  <c r="N37" i="37"/>
  <c r="N37" i="31"/>
  <c r="N37" i="87"/>
  <c r="N37" i="113"/>
  <c r="N37" i="19"/>
  <c r="N37" i="54"/>
  <c r="N37" i="66"/>
  <c r="N37" i="59"/>
  <c r="N37" i="136"/>
  <c r="N37" i="83"/>
  <c r="N37" i="102"/>
  <c r="N37" i="15"/>
  <c r="N37" i="38"/>
  <c r="N37" i="24"/>
  <c r="N37" i="79"/>
  <c r="N37" i="27"/>
  <c r="N37" i="16"/>
  <c r="N37" i="100"/>
  <c r="N37" i="86"/>
  <c r="N37" i="92"/>
  <c r="N37" i="95"/>
  <c r="N37" i="133"/>
  <c r="N37" i="85"/>
  <c r="N37" i="67"/>
  <c r="N37" i="62"/>
  <c r="N37" i="49"/>
  <c r="N37" i="46"/>
  <c r="N37" i="104"/>
  <c r="N37" i="84"/>
  <c r="N37" i="135"/>
  <c r="N37" i="32"/>
  <c r="N37" i="28"/>
  <c r="N37" i="65"/>
  <c r="N37" i="20"/>
  <c r="N37" i="14"/>
  <c r="N37" i="89"/>
  <c r="N37" i="90"/>
  <c r="N37" i="50"/>
  <c r="N37" i="60"/>
  <c r="N37" i="72"/>
  <c r="N37" i="68"/>
  <c r="N37" i="21"/>
  <c r="N37" i="57"/>
  <c r="N37" i="98"/>
  <c r="N37" i="106"/>
  <c r="N37" i="42"/>
  <c r="N37" i="39"/>
  <c r="N37" i="120"/>
  <c r="N37" i="33"/>
  <c r="N37" i="64"/>
  <c r="N37" i="25"/>
  <c r="N37" i="55"/>
  <c r="N37" i="69"/>
  <c r="N37" i="91"/>
  <c r="N37" i="1"/>
  <c r="N117" i="10"/>
  <c r="N117" i="118"/>
  <c r="N117" i="133"/>
  <c r="N117" i="94"/>
  <c r="N117" i="85"/>
  <c r="N117" i="67"/>
  <c r="N117" i="63"/>
  <c r="N117" i="62"/>
  <c r="N117" i="58"/>
  <c r="N117" i="53"/>
  <c r="N117" i="49"/>
  <c r="N117" i="47"/>
  <c r="N117" i="46"/>
  <c r="N117" i="45"/>
  <c r="N117" i="104"/>
  <c r="N117" i="43"/>
  <c r="N117" i="84"/>
  <c r="N117" i="71"/>
  <c r="N117" i="135"/>
  <c r="N117" i="37"/>
  <c r="N117" i="141"/>
  <c r="N117" i="32"/>
  <c r="N117" i="31"/>
  <c r="N117" i="28"/>
  <c r="N117" i="119"/>
  <c r="N117" i="65"/>
  <c r="N117" i="20"/>
  <c r="N117" i="111"/>
  <c r="N117" i="14"/>
  <c r="N117" i="87"/>
  <c r="N117" i="19"/>
  <c r="N117" i="60"/>
  <c r="N117" i="54"/>
  <c r="N117" i="72"/>
  <c r="N117" i="68"/>
  <c r="N117" i="66"/>
  <c r="N117" i="21"/>
  <c r="N117" i="59"/>
  <c r="N117" i="57"/>
  <c r="N117" i="136"/>
  <c r="N117" i="98"/>
  <c r="N117" i="83"/>
  <c r="N117" i="102"/>
  <c r="N117" i="106"/>
  <c r="N117" i="15"/>
  <c r="N117" i="42"/>
  <c r="N117" i="39"/>
  <c r="N117" i="38"/>
  <c r="N117" i="120"/>
  <c r="N117" i="24"/>
  <c r="N117" i="33"/>
  <c r="N117" i="79"/>
  <c r="N117" i="64"/>
  <c r="N117" i="27"/>
  <c r="N117" i="25"/>
  <c r="N117" i="16"/>
  <c r="N117" i="55"/>
  <c r="N117" i="100"/>
  <c r="N117" i="69"/>
  <c r="N117" i="89"/>
  <c r="N117" i="86"/>
  <c r="N117" i="142"/>
  <c r="N117" i="91"/>
  <c r="N117" i="90"/>
  <c r="N117" i="92"/>
  <c r="N117" i="113"/>
  <c r="N117" i="1"/>
  <c r="N117" i="50"/>
  <c r="N117" i="95"/>
  <c r="N117" i="103"/>
  <c r="N70" i="10"/>
  <c r="N70" i="19"/>
  <c r="N70" i="60"/>
  <c r="N70" i="54"/>
  <c r="N70" i="72"/>
  <c r="N70" i="68"/>
  <c r="N70" i="66"/>
  <c r="N70" i="21"/>
  <c r="N70" i="59"/>
  <c r="N70" i="57"/>
  <c r="N70" i="136"/>
  <c r="N70" i="98"/>
  <c r="N70" i="83"/>
  <c r="N70" i="102"/>
  <c r="N70" i="106"/>
  <c r="N70" i="15"/>
  <c r="N70" i="42"/>
  <c r="N70" i="39"/>
  <c r="N70" i="38"/>
  <c r="N70" i="120"/>
  <c r="N70" i="24"/>
  <c r="N70" i="33"/>
  <c r="N70" i="79"/>
  <c r="N70" i="64"/>
  <c r="N70" i="27"/>
  <c r="N70" i="25"/>
  <c r="N70" i="16"/>
  <c r="N70" i="55"/>
  <c r="N70" i="100"/>
  <c r="N70" i="69"/>
  <c r="N70" i="86"/>
  <c r="N70" i="91"/>
  <c r="N70" i="92"/>
  <c r="N70" i="1"/>
  <c r="N70" i="95"/>
  <c r="N70" i="118"/>
  <c r="N70" i="133"/>
  <c r="N70" i="94"/>
  <c r="N70" i="85"/>
  <c r="N70" i="67"/>
  <c r="N70" i="63"/>
  <c r="N70" i="62"/>
  <c r="N70" i="58"/>
  <c r="N70" i="53"/>
  <c r="N70" i="49"/>
  <c r="N70" i="47"/>
  <c r="N70" i="46"/>
  <c r="N70" i="45"/>
  <c r="N70" i="104"/>
  <c r="N70" i="43"/>
  <c r="N70" i="84"/>
  <c r="N70" i="71"/>
  <c r="N70" i="135"/>
  <c r="N70" i="37"/>
  <c r="N70" i="141"/>
  <c r="N70" i="32"/>
  <c r="N70" i="31"/>
  <c r="N70" i="28"/>
  <c r="N70" i="119"/>
  <c r="N70" i="65"/>
  <c r="N70" i="20"/>
  <c r="N70" i="111"/>
  <c r="N70" i="14"/>
  <c r="N70" i="87"/>
  <c r="N70" i="89"/>
  <c r="N70" i="142"/>
  <c r="N70" i="90"/>
  <c r="N70" i="113"/>
  <c r="N70" i="50"/>
  <c r="N70" i="103"/>
  <c r="N55" i="10"/>
  <c r="N55" i="94"/>
  <c r="N55" i="63"/>
  <c r="N55" i="53"/>
  <c r="N55" i="45"/>
  <c r="N55" i="71"/>
  <c r="N55" i="118"/>
  <c r="N55" i="58"/>
  <c r="N55" i="47"/>
  <c r="N55" i="43"/>
  <c r="N55" i="37"/>
  <c r="N55" i="141"/>
  <c r="N55" i="31"/>
  <c r="N55" i="119"/>
  <c r="N55" i="111"/>
  <c r="N55" i="87"/>
  <c r="N55" i="142"/>
  <c r="N55" i="113"/>
  <c r="N55" i="103"/>
  <c r="N55" i="19"/>
  <c r="N55" i="54"/>
  <c r="N55" i="66"/>
  <c r="N55" i="59"/>
  <c r="N55" i="136"/>
  <c r="N55" i="83"/>
  <c r="N55" i="102"/>
  <c r="N55" i="15"/>
  <c r="N55" i="38"/>
  <c r="N55" i="24"/>
  <c r="N55" i="79"/>
  <c r="N55" i="27"/>
  <c r="N55" i="16"/>
  <c r="N55" i="100"/>
  <c r="N55" i="86"/>
  <c r="N55" i="92"/>
  <c r="N55" i="95"/>
  <c r="N55" i="133"/>
  <c r="N55" i="85"/>
  <c r="N55" i="67"/>
  <c r="N55" i="62"/>
  <c r="N55" i="49"/>
  <c r="N55" i="46"/>
  <c r="N55" i="104"/>
  <c r="N55" i="84"/>
  <c r="N55" i="135"/>
  <c r="N55" i="32"/>
  <c r="N55" i="28"/>
  <c r="N55" i="65"/>
  <c r="N55" i="20"/>
  <c r="N55" i="14"/>
  <c r="N55" i="89"/>
  <c r="N55" i="90"/>
  <c r="N55" i="50"/>
  <c r="N55" i="60"/>
  <c r="N55" i="72"/>
  <c r="N55" i="68"/>
  <c r="N55" i="21"/>
  <c r="N55" i="57"/>
  <c r="N55" i="98"/>
  <c r="N55" i="106"/>
  <c r="N55" i="42"/>
  <c r="N55" i="39"/>
  <c r="N55" i="120"/>
  <c r="N55" i="33"/>
  <c r="N55" i="64"/>
  <c r="N55" i="25"/>
  <c r="N55" i="55"/>
  <c r="N55" i="69"/>
  <c r="N55" i="91"/>
  <c r="N55" i="1"/>
  <c r="N149" i="10"/>
  <c r="N149" i="118"/>
  <c r="N149" i="94"/>
  <c r="N149" i="63"/>
  <c r="N149" i="58"/>
  <c r="N149" i="53"/>
  <c r="N149" i="47"/>
  <c r="N149" i="45"/>
  <c r="N149" i="43"/>
  <c r="N149" i="71"/>
  <c r="N149" i="37"/>
  <c r="N149" i="141"/>
  <c r="N149" i="31"/>
  <c r="N149" i="119"/>
  <c r="N149" i="111"/>
  <c r="N149" i="87"/>
  <c r="N149" i="142"/>
  <c r="N149" i="113"/>
  <c r="N149" i="103"/>
  <c r="N149" i="19"/>
  <c r="N149" i="54"/>
  <c r="N149" i="66"/>
  <c r="N149" i="59"/>
  <c r="N149" i="136"/>
  <c r="N149" i="83"/>
  <c r="N149" i="102"/>
  <c r="N149" i="15"/>
  <c r="N149" i="38"/>
  <c r="N149" i="24"/>
  <c r="N149" i="79"/>
  <c r="N149" i="27"/>
  <c r="N149" i="16"/>
  <c r="N149" i="100"/>
  <c r="N149" i="86"/>
  <c r="N149" i="92"/>
  <c r="N149" i="95"/>
  <c r="N149" i="133"/>
  <c r="N149" i="85"/>
  <c r="N149" i="67"/>
  <c r="N149" i="62"/>
  <c r="N149" i="49"/>
  <c r="N149" i="46"/>
  <c r="N149" i="104"/>
  <c r="N149" i="84"/>
  <c r="N149" i="135"/>
  <c r="N149" i="32"/>
  <c r="N149" i="28"/>
  <c r="N149" i="65"/>
  <c r="N149" i="20"/>
  <c r="N149" i="14"/>
  <c r="N149" i="89"/>
  <c r="N149" i="90"/>
  <c r="N149" i="50"/>
  <c r="N149" i="60"/>
  <c r="N149" i="72"/>
  <c r="N149" i="68"/>
  <c r="N149" i="21"/>
  <c r="N149" i="57"/>
  <c r="N149" i="98"/>
  <c r="N149" i="106"/>
  <c r="N149" i="42"/>
  <c r="N149" i="39"/>
  <c r="N149" i="120"/>
  <c r="N149" i="33"/>
  <c r="N149" i="64"/>
  <c r="N149" i="25"/>
  <c r="N149" i="55"/>
  <c r="N149" i="69"/>
  <c r="N149" i="91"/>
  <c r="N149" i="1"/>
  <c r="N138" i="19"/>
  <c r="N138" i="10"/>
  <c r="N138" i="118"/>
  <c r="N138" i="60"/>
  <c r="N138" i="133"/>
  <c r="N138" i="54"/>
  <c r="N138" i="94"/>
  <c r="N138" i="72"/>
  <c r="N138" i="85"/>
  <c r="N138" i="68"/>
  <c r="N138" i="67"/>
  <c r="N138" i="66"/>
  <c r="N138" i="63"/>
  <c r="N138" i="21"/>
  <c r="N138" i="62"/>
  <c r="N138" i="59"/>
  <c r="N138" i="58"/>
  <c r="N138" i="57"/>
  <c r="N138" i="136"/>
  <c r="N138" i="53"/>
  <c r="N138" i="98"/>
  <c r="N138" i="49"/>
  <c r="N138" i="83"/>
  <c r="N138" i="47"/>
  <c r="N138" i="46"/>
  <c r="N138" i="102"/>
  <c r="N138" i="45"/>
  <c r="N138" i="106"/>
  <c r="N138" i="104"/>
  <c r="N138" i="15"/>
  <c r="N138" i="43"/>
  <c r="N138" i="42"/>
  <c r="N138" i="84"/>
  <c r="N138" i="71"/>
  <c r="N138" i="39"/>
  <c r="N138" i="135"/>
  <c r="N138" i="38"/>
  <c r="N138" i="37"/>
  <c r="N138" i="120"/>
  <c r="N138" i="24"/>
  <c r="N138" i="141"/>
  <c r="N138" i="33"/>
  <c r="N138" i="32"/>
  <c r="N138" i="79"/>
  <c r="N138" i="31"/>
  <c r="N138" i="64"/>
  <c r="N138" i="28"/>
  <c r="N138" i="27"/>
  <c r="N138" i="119"/>
  <c r="N138" i="25"/>
  <c r="N138" i="65"/>
  <c r="N138" i="20"/>
  <c r="N138" i="16"/>
  <c r="N138" i="111"/>
  <c r="N138" i="55"/>
  <c r="N138" i="14"/>
  <c r="N138" i="100"/>
  <c r="N138" i="87"/>
  <c r="N138" i="69"/>
  <c r="N138" i="89"/>
  <c r="N138" i="86"/>
  <c r="N138" i="142"/>
  <c r="N138" i="91"/>
  <c r="N138" i="90"/>
  <c r="N138" i="92"/>
  <c r="N138" i="113"/>
  <c r="N138" i="1"/>
  <c r="N138" i="50"/>
  <c r="N138" i="95"/>
  <c r="N138" i="103"/>
  <c r="N82" i="94"/>
  <c r="N82" i="53"/>
  <c r="N82" i="10"/>
  <c r="N82" i="63"/>
  <c r="N82" i="45"/>
  <c r="N82" i="71"/>
  <c r="N82" i="141"/>
  <c r="N82" i="119"/>
  <c r="N82" i="111"/>
  <c r="N82" i="142"/>
  <c r="N82" i="103"/>
  <c r="N82" i="54"/>
  <c r="N82" i="66"/>
  <c r="N82" i="59"/>
  <c r="N82" i="136"/>
  <c r="N82" i="83"/>
  <c r="N82" i="102"/>
  <c r="N82" i="15"/>
  <c r="N82" i="38"/>
  <c r="N82" i="24"/>
  <c r="N82" i="79"/>
  <c r="N82" i="27"/>
  <c r="N82" i="16"/>
  <c r="N82" i="100"/>
  <c r="N82" i="86"/>
  <c r="N82" i="92"/>
  <c r="N82" i="95"/>
  <c r="N82" i="133"/>
  <c r="N82" i="67"/>
  <c r="N82" i="46"/>
  <c r="N82" i="84"/>
  <c r="N82" i="28"/>
  <c r="N82" i="20"/>
  <c r="N82" i="89"/>
  <c r="N82" i="50"/>
  <c r="N82" i="21"/>
  <c r="N82" i="106"/>
  <c r="N82" i="33"/>
  <c r="N82" i="55"/>
  <c r="N82" i="85"/>
  <c r="N82" i="49"/>
  <c r="N82" i="135"/>
  <c r="N82" i="65"/>
  <c r="N82" i="90"/>
  <c r="N82" i="68"/>
  <c r="N82" i="120"/>
  <c r="N82" i="1"/>
  <c r="N82" i="118"/>
  <c r="N82" i="58"/>
  <c r="N82" i="47"/>
  <c r="N82" i="43"/>
  <c r="N82" i="37"/>
  <c r="N82" i="31"/>
  <c r="N82" i="87"/>
  <c r="N82" i="113"/>
  <c r="N82" i="19"/>
  <c r="N82" i="72"/>
  <c r="N82" i="98"/>
  <c r="N82" i="39"/>
  <c r="N82" i="25"/>
  <c r="N82" i="91"/>
  <c r="N82" i="62"/>
  <c r="N82" i="104"/>
  <c r="N82" i="32"/>
  <c r="N82" i="14"/>
  <c r="N82" i="60"/>
  <c r="N82" i="57"/>
  <c r="N82" i="42"/>
  <c r="N82" i="64"/>
  <c r="N82" i="69"/>
  <c r="N172" i="118"/>
  <c r="N172" i="133"/>
  <c r="N172" i="72"/>
  <c r="N172" i="68"/>
  <c r="N172" i="66"/>
  <c r="N172" i="21"/>
  <c r="N172" i="59"/>
  <c r="N172" i="57"/>
  <c r="N172" i="136"/>
  <c r="N172" i="98"/>
  <c r="N172" i="83"/>
  <c r="N172" i="102"/>
  <c r="N172" i="106"/>
  <c r="N172" i="15"/>
  <c r="N172" i="42"/>
  <c r="N172" i="84"/>
  <c r="N172" i="71"/>
  <c r="N172" i="135"/>
  <c r="N172" i="37"/>
  <c r="N172" i="141"/>
  <c r="N172" i="32"/>
  <c r="N172" i="31"/>
  <c r="N172" i="28"/>
  <c r="N172" i="119"/>
  <c r="N172" i="65"/>
  <c r="N172" i="20"/>
  <c r="N172" i="55"/>
  <c r="N172" i="87"/>
  <c r="N172" i="89"/>
  <c r="N172" i="142"/>
  <c r="N172" i="90"/>
  <c r="N172" i="113"/>
  <c r="N172" i="50"/>
  <c r="N172" i="103"/>
  <c r="N172" i="111"/>
  <c r="N172" i="19"/>
  <c r="N172" i="60"/>
  <c r="N172" i="94"/>
  <c r="N172" i="85"/>
  <c r="N172" i="67"/>
  <c r="N172" i="63"/>
  <c r="N172" i="62"/>
  <c r="N172" i="58"/>
  <c r="N172" i="53"/>
  <c r="N172" i="49"/>
  <c r="N172" i="47"/>
  <c r="N172" i="46"/>
  <c r="N172" i="45"/>
  <c r="N172" i="104"/>
  <c r="N172" i="43"/>
  <c r="N172" i="54"/>
  <c r="N172" i="39"/>
  <c r="N172" i="38"/>
  <c r="N172" i="120"/>
  <c r="N172" i="24"/>
  <c r="N172" i="33"/>
  <c r="N172" i="79"/>
  <c r="N172" i="64"/>
  <c r="N172" i="27"/>
  <c r="N172" i="25"/>
  <c r="N172" i="16"/>
  <c r="N172" i="100"/>
  <c r="N172" i="69"/>
  <c r="N172" i="86"/>
  <c r="N172" i="91"/>
  <c r="N172" i="92"/>
  <c r="N172" i="1"/>
  <c r="N172" i="95"/>
  <c r="N172" i="14"/>
  <c r="N172" i="10"/>
  <c r="N26" i="19"/>
  <c r="N26" i="60"/>
  <c r="N26" i="54"/>
  <c r="N26" i="72"/>
  <c r="N26" i="68"/>
  <c r="N26" i="66"/>
  <c r="N26" i="21"/>
  <c r="N26" i="59"/>
  <c r="N26" i="57"/>
  <c r="N26" i="136"/>
  <c r="N26" i="98"/>
  <c r="N26" i="83"/>
  <c r="N26" i="102"/>
  <c r="N26" i="106"/>
  <c r="N26" i="15"/>
  <c r="N26" i="42"/>
  <c r="N26" i="39"/>
  <c r="N26" i="38"/>
  <c r="N26" i="120"/>
  <c r="N26" i="24"/>
  <c r="N26" i="33"/>
  <c r="N26" i="79"/>
  <c r="N26" i="64"/>
  <c r="N26" i="27"/>
  <c r="N26" i="25"/>
  <c r="N26" i="16"/>
  <c r="N26" i="55"/>
  <c r="N26" i="100"/>
  <c r="N26" i="69"/>
  <c r="N26" i="86"/>
  <c r="N26" i="91"/>
  <c r="N26" i="92"/>
  <c r="N26" i="1"/>
  <c r="N26" i="95"/>
  <c r="N26" i="10"/>
  <c r="N26" i="118"/>
  <c r="N26" i="133"/>
  <c r="N26" i="94"/>
  <c r="N26" i="85"/>
  <c r="N26" i="67"/>
  <c r="N26" i="63"/>
  <c r="N26" i="62"/>
  <c r="N26" i="58"/>
  <c r="N26" i="53"/>
  <c r="N26" i="49"/>
  <c r="N26" i="47"/>
  <c r="N26" i="46"/>
  <c r="N26" i="45"/>
  <c r="N26" i="104"/>
  <c r="N26" i="43"/>
  <c r="N26" i="84"/>
  <c r="N26" i="71"/>
  <c r="N26" i="135"/>
  <c r="N26" i="37"/>
  <c r="N26" i="141"/>
  <c r="N26" i="32"/>
  <c r="N26" i="31"/>
  <c r="N26" i="28"/>
  <c r="N26" i="119"/>
  <c r="N26" i="65"/>
  <c r="N26" i="20"/>
  <c r="N26" i="111"/>
  <c r="N26" i="14"/>
  <c r="N26" i="87"/>
  <c r="N26" i="89"/>
  <c r="N26" i="142"/>
  <c r="N26" i="90"/>
  <c r="N26" i="113"/>
  <c r="N26" i="50"/>
  <c r="N26" i="103"/>
  <c r="N109" i="10"/>
  <c r="N109" i="118"/>
  <c r="N109" i="133"/>
  <c r="N109" i="94"/>
  <c r="N109" i="85"/>
  <c r="N109" i="67"/>
  <c r="N109" i="63"/>
  <c r="N109" i="62"/>
  <c r="N109" i="58"/>
  <c r="N109" i="53"/>
  <c r="N109" i="49"/>
  <c r="N109" i="47"/>
  <c r="N109" i="46"/>
  <c r="N109" i="45"/>
  <c r="N109" i="104"/>
  <c r="N109" i="43"/>
  <c r="N109" i="84"/>
  <c r="N109" i="71"/>
  <c r="N109" i="135"/>
  <c r="N109" i="37"/>
  <c r="N109" i="141"/>
  <c r="N109" i="32"/>
  <c r="N109" i="31"/>
  <c r="N109" i="28"/>
  <c r="N109" i="119"/>
  <c r="N109" i="65"/>
  <c r="N109" i="20"/>
  <c r="N109" i="111"/>
  <c r="N109" i="14"/>
  <c r="N109" i="87"/>
  <c r="N109" i="89"/>
  <c r="N109" i="142"/>
  <c r="N109" i="90"/>
  <c r="N109" i="113"/>
  <c r="N109" i="50"/>
  <c r="N109" i="103"/>
  <c r="N109" i="19"/>
  <c r="N109" i="60"/>
  <c r="N109" i="54"/>
  <c r="N109" i="72"/>
  <c r="N109" i="68"/>
  <c r="N109" i="66"/>
  <c r="N109" i="21"/>
  <c r="N109" i="59"/>
  <c r="N109" i="57"/>
  <c r="N109" i="136"/>
  <c r="N109" i="98"/>
  <c r="N109" i="83"/>
  <c r="N109" i="102"/>
  <c r="N109" i="106"/>
  <c r="N109" i="15"/>
  <c r="N109" i="42"/>
  <c r="N109" i="39"/>
  <c r="N109" i="38"/>
  <c r="N109" i="120"/>
  <c r="N109" i="24"/>
  <c r="N109" i="33"/>
  <c r="N109" i="79"/>
  <c r="N109" i="64"/>
  <c r="N109" i="27"/>
  <c r="N109" i="25"/>
  <c r="N109" i="16"/>
  <c r="N109" i="55"/>
  <c r="N109" i="100"/>
  <c r="N109" i="69"/>
  <c r="N109" i="86"/>
  <c r="N109" i="91"/>
  <c r="N109" i="92"/>
  <c r="N109" i="1"/>
  <c r="N109" i="95"/>
  <c r="N156" i="19"/>
  <c r="N156" i="60"/>
  <c r="N156" i="54"/>
  <c r="N156" i="72"/>
  <c r="N156" i="68"/>
  <c r="N156" i="66"/>
  <c r="N156" i="21"/>
  <c r="N156" i="59"/>
  <c r="N156" i="57"/>
  <c r="N156" i="136"/>
  <c r="N156" i="98"/>
  <c r="N156" i="83"/>
  <c r="N156" i="102"/>
  <c r="N156" i="106"/>
  <c r="N156" i="15"/>
  <c r="N156" i="42"/>
  <c r="N156" i="39"/>
  <c r="N156" i="38"/>
  <c r="N156" i="120"/>
  <c r="N156" i="24"/>
  <c r="N156" i="33"/>
  <c r="N156" i="79"/>
  <c r="N156" i="64"/>
  <c r="N156" i="27"/>
  <c r="N156" i="25"/>
  <c r="N156" i="16"/>
  <c r="N156" i="55"/>
  <c r="N156" i="100"/>
  <c r="N156" i="69"/>
  <c r="N156" i="86"/>
  <c r="N156" i="91"/>
  <c r="N156" i="92"/>
  <c r="N156" i="1"/>
  <c r="N156" i="95"/>
  <c r="N156" i="10"/>
  <c r="N156" i="118"/>
  <c r="N156" i="133"/>
  <c r="N156" i="94"/>
  <c r="N156" i="85"/>
  <c r="N156" i="67"/>
  <c r="N156" i="63"/>
  <c r="N156" i="62"/>
  <c r="N156" i="58"/>
  <c r="N156" i="53"/>
  <c r="N156" i="49"/>
  <c r="N156" i="47"/>
  <c r="N156" i="46"/>
  <c r="N156" i="45"/>
  <c r="N156" i="104"/>
  <c r="N156" i="43"/>
  <c r="N156" i="84"/>
  <c r="N156" i="71"/>
  <c r="N156" i="135"/>
  <c r="N156" i="37"/>
  <c r="N156" i="141"/>
  <c r="N156" i="32"/>
  <c r="N156" i="31"/>
  <c r="N156" i="28"/>
  <c r="N156" i="119"/>
  <c r="N156" i="65"/>
  <c r="N156" i="20"/>
  <c r="N156" i="111"/>
  <c r="N156" i="14"/>
  <c r="N156" i="87"/>
  <c r="N156" i="89"/>
  <c r="N156" i="142"/>
  <c r="N156" i="90"/>
  <c r="N156" i="113"/>
  <c r="N156" i="50"/>
  <c r="N156" i="103"/>
  <c r="N64" i="60"/>
  <c r="N64" i="72"/>
  <c r="N64" i="68"/>
  <c r="N64" i="21"/>
  <c r="N64" i="57"/>
  <c r="N64" i="98"/>
  <c r="N64" i="106"/>
  <c r="N64" i="42"/>
  <c r="N64" i="39"/>
  <c r="N64" i="120"/>
  <c r="N64" i="33"/>
  <c r="N64" i="64"/>
  <c r="N64" i="25"/>
  <c r="N64" i="55"/>
  <c r="N64" i="69"/>
  <c r="N64" i="118"/>
  <c r="N64" i="133"/>
  <c r="N64" i="67"/>
  <c r="N64" i="46"/>
  <c r="N64" i="84"/>
  <c r="N64" i="28"/>
  <c r="N64" i="20"/>
  <c r="N64" i="89"/>
  <c r="N64" i="113"/>
  <c r="N64" i="103"/>
  <c r="N64" i="54"/>
  <c r="N64" i="66"/>
  <c r="N64" i="59"/>
  <c r="N64" i="136"/>
  <c r="N64" i="83"/>
  <c r="N64" i="102"/>
  <c r="N64" i="15"/>
  <c r="N64" i="38"/>
  <c r="N64" i="24"/>
  <c r="N64" i="79"/>
  <c r="N64" i="27"/>
  <c r="N64" i="16"/>
  <c r="N64" i="100"/>
  <c r="N64" i="86"/>
  <c r="N64" i="91"/>
  <c r="N64" i="19"/>
  <c r="N64" i="94"/>
  <c r="N64" i="63"/>
  <c r="N64" i="58"/>
  <c r="N64" i="53"/>
  <c r="N64" i="47"/>
  <c r="N64" i="45"/>
  <c r="N64" i="43"/>
  <c r="N64" i="71"/>
  <c r="N64" i="37"/>
  <c r="N64" i="141"/>
  <c r="N64" i="31"/>
  <c r="N64" i="119"/>
  <c r="N64" i="111"/>
  <c r="N64" i="87"/>
  <c r="N64" i="142"/>
  <c r="N64" i="92"/>
  <c r="N64" i="1"/>
  <c r="N64" i="95"/>
  <c r="N64" i="10"/>
  <c r="N64" i="85"/>
  <c r="N64" i="62"/>
  <c r="N64" i="49"/>
  <c r="N64" i="104"/>
  <c r="N64" i="135"/>
  <c r="N64" i="32"/>
  <c r="N64" i="65"/>
  <c r="N64" i="14"/>
  <c r="N64" i="90"/>
  <c r="N64" i="50"/>
  <c r="N159" i="10"/>
  <c r="N159" i="118"/>
  <c r="N159" i="133"/>
  <c r="N159" i="94"/>
  <c r="N159" i="85"/>
  <c r="N159" i="67"/>
  <c r="N159" i="63"/>
  <c r="N159" i="62"/>
  <c r="N159" i="58"/>
  <c r="N159" i="53"/>
  <c r="N159" i="49"/>
  <c r="N159" i="47"/>
  <c r="N159" i="46"/>
  <c r="N159" i="45"/>
  <c r="N159" i="104"/>
  <c r="N159" i="43"/>
  <c r="N159" i="84"/>
  <c r="N159" i="71"/>
  <c r="N159" i="135"/>
  <c r="N159" i="37"/>
  <c r="N159" i="32"/>
  <c r="N159" i="31"/>
  <c r="N159" i="28"/>
  <c r="N159" i="119"/>
  <c r="N159" i="65"/>
  <c r="N159" i="20"/>
  <c r="N159" i="111"/>
  <c r="N159" i="14"/>
  <c r="N159" i="87"/>
  <c r="N159" i="89"/>
  <c r="N159" i="142"/>
  <c r="N159" i="90"/>
  <c r="N159" i="113"/>
  <c r="N159" i="50"/>
  <c r="N159" i="103"/>
  <c r="N159" i="60"/>
  <c r="N159" i="54"/>
  <c r="N159" i="72"/>
  <c r="N159" i="68"/>
  <c r="N159" i="66"/>
  <c r="N159" i="21"/>
  <c r="N159" i="59"/>
  <c r="N159" i="57"/>
  <c r="N159" i="136"/>
  <c r="N159" i="98"/>
  <c r="N159" i="83"/>
  <c r="N159" i="102"/>
  <c r="N159" i="106"/>
  <c r="N159" i="15"/>
  <c r="N159" i="42"/>
  <c r="N159" i="39"/>
  <c r="N159" i="38"/>
  <c r="N159" i="120"/>
  <c r="N159" i="24"/>
  <c r="N159" i="33"/>
  <c r="N159" i="79"/>
  <c r="N159" i="64"/>
  <c r="N159" i="27"/>
  <c r="N159" i="25"/>
  <c r="N159" i="16"/>
  <c r="N159" i="55"/>
  <c r="N159" i="100"/>
  <c r="N159" i="69"/>
  <c r="N159" i="86"/>
  <c r="N159" i="91"/>
  <c r="N159" i="92"/>
  <c r="N159" i="1"/>
  <c r="N159" i="95"/>
  <c r="N159" i="141"/>
  <c r="N159" i="19"/>
  <c r="N191" i="60"/>
  <c r="N191" i="54"/>
  <c r="N191" i="72"/>
  <c r="N191" i="68"/>
  <c r="N191" i="66"/>
  <c r="N191" i="21"/>
  <c r="N191" i="59"/>
  <c r="N191" i="57"/>
  <c r="N191" i="136"/>
  <c r="N191" i="98"/>
  <c r="N191" i="83"/>
  <c r="N191" i="102"/>
  <c r="N191" i="106"/>
  <c r="N191" i="15"/>
  <c r="N191" i="42"/>
  <c r="N191" i="39"/>
  <c r="N191" i="38"/>
  <c r="N191" i="120"/>
  <c r="N191" i="24"/>
  <c r="N191" i="33"/>
  <c r="N191" i="79"/>
  <c r="N191" i="64"/>
  <c r="N191" i="27"/>
  <c r="N191" i="25"/>
  <c r="N191" i="16"/>
  <c r="N191" i="55"/>
  <c r="N191" i="100"/>
  <c r="N191" i="69"/>
  <c r="N191" i="86"/>
  <c r="N191" i="91"/>
  <c r="N191" i="92"/>
  <c r="N191" i="1"/>
  <c r="N191" i="95"/>
  <c r="N191" i="19"/>
  <c r="N191" i="118"/>
  <c r="N191" i="133"/>
  <c r="N191" i="94"/>
  <c r="N191" i="85"/>
  <c r="N191" i="67"/>
  <c r="N191" i="63"/>
  <c r="N191" i="62"/>
  <c r="N191" i="58"/>
  <c r="N191" i="53"/>
  <c r="N191" i="49"/>
  <c r="N191" i="47"/>
  <c r="N191" i="46"/>
  <c r="N191" i="45"/>
  <c r="N191" i="104"/>
  <c r="N191" i="43"/>
  <c r="N191" i="84"/>
  <c r="N191" i="71"/>
  <c r="N191" i="135"/>
  <c r="N191" i="37"/>
  <c r="N191" i="141"/>
  <c r="N191" i="32"/>
  <c r="N191" i="31"/>
  <c r="N191" i="28"/>
  <c r="N191" i="119"/>
  <c r="N191" i="65"/>
  <c r="N191" i="20"/>
  <c r="N191" i="111"/>
  <c r="N191" i="14"/>
  <c r="N191" i="87"/>
  <c r="N191" i="89"/>
  <c r="N191" i="142"/>
  <c r="N191" i="90"/>
  <c r="N191" i="113"/>
  <c r="N191" i="50"/>
  <c r="N191" i="103"/>
  <c r="N191" i="10"/>
  <c r="N178" i="10"/>
  <c r="N178" i="60"/>
  <c r="N178" i="54"/>
  <c r="N178" i="85"/>
  <c r="N178" i="67"/>
  <c r="N178" i="63"/>
  <c r="N178" i="62"/>
  <c r="N178" i="58"/>
  <c r="N178" i="53"/>
  <c r="N178" i="49"/>
  <c r="N178" i="47"/>
  <c r="N178" i="46"/>
  <c r="N178" i="45"/>
  <c r="N178" i="104"/>
  <c r="N178" i="43"/>
  <c r="N178" i="94"/>
  <c r="N178" i="39"/>
  <c r="N178" i="38"/>
  <c r="N178" i="120"/>
  <c r="N178" i="24"/>
  <c r="N178" i="33"/>
  <c r="N178" i="79"/>
  <c r="N178" i="64"/>
  <c r="N178" i="27"/>
  <c r="N178" i="25"/>
  <c r="N178" i="16"/>
  <c r="N178" i="14"/>
  <c r="N178" i="69"/>
  <c r="N178" i="86"/>
  <c r="N178" i="91"/>
  <c r="N178" i="92"/>
  <c r="N178" i="1"/>
  <c r="N178" i="95"/>
  <c r="N178" i="100"/>
  <c r="N178" i="19"/>
  <c r="N178" i="133"/>
  <c r="N178" i="66"/>
  <c r="N178" i="59"/>
  <c r="N178" i="136"/>
  <c r="N178" i="98"/>
  <c r="N178" i="83"/>
  <c r="N178" i="102"/>
  <c r="N178" i="106"/>
  <c r="N178" i="15"/>
  <c r="N178" i="42"/>
  <c r="N178" i="84"/>
  <c r="N178" i="71"/>
  <c r="N178" i="135"/>
  <c r="N178" i="37"/>
  <c r="N178" i="141"/>
  <c r="N178" i="32"/>
  <c r="N178" i="31"/>
  <c r="N178" i="28"/>
  <c r="N178" i="119"/>
  <c r="N178" i="65"/>
  <c r="N178" i="20"/>
  <c r="N178" i="111"/>
  <c r="N178" i="87"/>
  <c r="N178" i="89"/>
  <c r="N178" i="142"/>
  <c r="N178" i="90"/>
  <c r="N178" i="113"/>
  <c r="N178" i="50"/>
  <c r="N178" i="103"/>
  <c r="N178" i="55"/>
  <c r="N178" i="118"/>
  <c r="N178" i="72"/>
  <c r="N178" i="68"/>
  <c r="N178" i="21"/>
  <c r="N178" i="57"/>
  <c r="N32" i="19"/>
  <c r="N32" i="60"/>
  <c r="N32" i="54"/>
  <c r="N32" i="72"/>
  <c r="N32" i="68"/>
  <c r="N32" i="66"/>
  <c r="N32" i="21"/>
  <c r="N32" i="59"/>
  <c r="N32" i="57"/>
  <c r="N32" i="136"/>
  <c r="N32" i="98"/>
  <c r="N32" i="83"/>
  <c r="N32" i="102"/>
  <c r="N32" i="106"/>
  <c r="N32" i="15"/>
  <c r="N32" i="42"/>
  <c r="N32" i="39"/>
  <c r="N32" i="38"/>
  <c r="N32" i="120"/>
  <c r="N32" i="24"/>
  <c r="N32" i="33"/>
  <c r="N32" i="79"/>
  <c r="N32" i="64"/>
  <c r="N32" i="27"/>
  <c r="N32" i="25"/>
  <c r="N32" i="16"/>
  <c r="N32" i="55"/>
  <c r="N32" i="100"/>
  <c r="N32" i="69"/>
  <c r="N32" i="86"/>
  <c r="N32" i="91"/>
  <c r="N32" i="92"/>
  <c r="N32" i="1"/>
  <c r="N32" i="95"/>
  <c r="N32" i="10"/>
  <c r="N32" i="118"/>
  <c r="N32" i="133"/>
  <c r="N32" i="94"/>
  <c r="N32" i="85"/>
  <c r="N32" i="67"/>
  <c r="N32" i="63"/>
  <c r="N32" i="62"/>
  <c r="N32" i="58"/>
  <c r="N32" i="53"/>
  <c r="N32" i="49"/>
  <c r="N32" i="47"/>
  <c r="N32" i="46"/>
  <c r="N32" i="45"/>
  <c r="N32" i="104"/>
  <c r="N32" i="43"/>
  <c r="N32" i="84"/>
  <c r="N32" i="71"/>
  <c r="N32" i="135"/>
  <c r="N32" i="37"/>
  <c r="N32" i="141"/>
  <c r="N32" i="32"/>
  <c r="N32" i="31"/>
  <c r="N32" i="28"/>
  <c r="N32" i="119"/>
  <c r="N32" i="65"/>
  <c r="N32" i="20"/>
  <c r="N32" i="111"/>
  <c r="N32" i="14"/>
  <c r="N32" i="87"/>
  <c r="N32" i="89"/>
  <c r="N32" i="142"/>
  <c r="N32" i="90"/>
  <c r="N32" i="113"/>
  <c r="N32" i="50"/>
  <c r="N32" i="103"/>
  <c r="N98" i="60"/>
  <c r="N98" i="54"/>
  <c r="N98" i="72"/>
  <c r="N98" i="68"/>
  <c r="N98" i="66"/>
  <c r="N98" i="21"/>
  <c r="N98" i="59"/>
  <c r="N98" i="57"/>
  <c r="N98" i="136"/>
  <c r="N98" i="98"/>
  <c r="N98" i="83"/>
  <c r="N98" i="102"/>
  <c r="N98" i="106"/>
  <c r="N98" i="15"/>
  <c r="N98" i="42"/>
  <c r="N98" i="39"/>
  <c r="N98" i="38"/>
  <c r="N98" i="120"/>
  <c r="N98" i="24"/>
  <c r="N98" i="33"/>
  <c r="N98" i="79"/>
  <c r="N98" i="64"/>
  <c r="N98" i="27"/>
  <c r="N98" i="25"/>
  <c r="N98" i="16"/>
  <c r="N98" i="55"/>
  <c r="N98" i="100"/>
  <c r="N98" i="69"/>
  <c r="N98" i="86"/>
  <c r="N98" i="91"/>
  <c r="N98" i="92"/>
  <c r="N98" i="1"/>
  <c r="N98" i="95"/>
  <c r="N98" i="19"/>
  <c r="N98" i="118"/>
  <c r="N98" i="133"/>
  <c r="N98" i="94"/>
  <c r="N98" i="85"/>
  <c r="N98" i="67"/>
  <c r="N98" i="63"/>
  <c r="N98" i="62"/>
  <c r="N98" i="58"/>
  <c r="N98" i="53"/>
  <c r="N98" i="49"/>
  <c r="N98" i="47"/>
  <c r="N98" i="46"/>
  <c r="N98" i="45"/>
  <c r="N98" i="104"/>
  <c r="N98" i="43"/>
  <c r="N98" i="84"/>
  <c r="N98" i="71"/>
  <c r="N98" i="135"/>
  <c r="N98" i="37"/>
  <c r="N98" i="141"/>
  <c r="N98" i="32"/>
  <c r="N98" i="31"/>
  <c r="N98" i="28"/>
  <c r="N98" i="119"/>
  <c r="N98" i="65"/>
  <c r="N98" i="20"/>
  <c r="N98" i="111"/>
  <c r="N98" i="14"/>
  <c r="N98" i="87"/>
  <c r="N98" i="89"/>
  <c r="N98" i="142"/>
  <c r="N98" i="90"/>
  <c r="N98" i="113"/>
  <c r="N98" i="50"/>
  <c r="N98" i="103"/>
  <c r="N98" i="10"/>
  <c r="N65" i="19"/>
  <c r="N65" i="10"/>
  <c r="N65" i="118"/>
  <c r="N65" i="60"/>
  <c r="N65" i="133"/>
  <c r="N65" i="54"/>
  <c r="N65" i="94"/>
  <c r="N65" i="72"/>
  <c r="N65" i="85"/>
  <c r="N65" i="68"/>
  <c r="N65" i="67"/>
  <c r="N65" i="66"/>
  <c r="N65" i="63"/>
  <c r="N65" i="21"/>
  <c r="N65" i="62"/>
  <c r="N65" i="59"/>
  <c r="N65" i="58"/>
  <c r="N65" i="57"/>
  <c r="N65" i="136"/>
  <c r="N65" i="53"/>
  <c r="N65" i="98"/>
  <c r="N65" i="49"/>
  <c r="N65" i="83"/>
  <c r="N65" i="47"/>
  <c r="N65" i="46"/>
  <c r="N65" i="102"/>
  <c r="N65" i="45"/>
  <c r="N65" i="106"/>
  <c r="N65" i="104"/>
  <c r="N65" i="15"/>
  <c r="N65" i="43"/>
  <c r="N65" i="42"/>
  <c r="N65" i="84"/>
  <c r="N65" i="71"/>
  <c r="N65" i="39"/>
  <c r="N65" i="135"/>
  <c r="N65" i="38"/>
  <c r="N65" i="37"/>
  <c r="N65" i="120"/>
  <c r="N65" i="24"/>
  <c r="N65" i="141"/>
  <c r="N65" i="33"/>
  <c r="N65" i="32"/>
  <c r="N65" i="79"/>
  <c r="N65" i="31"/>
  <c r="N65" i="64"/>
  <c r="N65" i="28"/>
  <c r="N65" i="27"/>
  <c r="N65" i="119"/>
  <c r="N65" i="25"/>
  <c r="N65" i="65"/>
  <c r="N65" i="20"/>
  <c r="N65" i="16"/>
  <c r="N65" i="111"/>
  <c r="N65" i="55"/>
  <c r="N65" i="14"/>
  <c r="N65" i="100"/>
  <c r="N65" i="87"/>
  <c r="N65" i="69"/>
  <c r="N65" i="89"/>
  <c r="N65" i="86"/>
  <c r="N65" i="142"/>
  <c r="N65" i="91"/>
  <c r="N65" i="90"/>
  <c r="N65" i="92"/>
  <c r="N65" i="113"/>
  <c r="N65" i="1"/>
  <c r="N65" i="50"/>
  <c r="N65" i="95"/>
  <c r="N65" i="103"/>
  <c r="N177" i="19"/>
  <c r="N177" i="60"/>
  <c r="N177" i="54"/>
  <c r="N177" i="72"/>
  <c r="N177" i="68"/>
  <c r="N177" i="66"/>
  <c r="N177" i="21"/>
  <c r="N177" i="59"/>
  <c r="N177" i="57"/>
  <c r="N177" i="136"/>
  <c r="N177" i="98"/>
  <c r="N177" i="83"/>
  <c r="N177" i="102"/>
  <c r="N177" i="106"/>
  <c r="N177" i="15"/>
  <c r="N177" i="42"/>
  <c r="N177" i="39"/>
  <c r="N177" i="38"/>
  <c r="N177" i="120"/>
  <c r="N177" i="24"/>
  <c r="N177" i="33"/>
  <c r="N177" i="79"/>
  <c r="N177" i="64"/>
  <c r="N177" i="27"/>
  <c r="N177" i="25"/>
  <c r="N177" i="16"/>
  <c r="N177" i="55"/>
  <c r="N177" i="100"/>
  <c r="N177" i="69"/>
  <c r="N177" i="86"/>
  <c r="N177" i="91"/>
  <c r="N177" i="92"/>
  <c r="N177" i="1"/>
  <c r="N177" i="95"/>
  <c r="N177" i="10"/>
  <c r="N177" i="133"/>
  <c r="N177" i="94"/>
  <c r="N177" i="85"/>
  <c r="N177" i="67"/>
  <c r="N177" i="63"/>
  <c r="N177" i="62"/>
  <c r="N177" i="58"/>
  <c r="N177" i="53"/>
  <c r="N177" i="49"/>
  <c r="N177" i="47"/>
  <c r="N177" i="46"/>
  <c r="N177" i="45"/>
  <c r="N177" i="104"/>
  <c r="N177" i="43"/>
  <c r="N177" i="84"/>
  <c r="N177" i="71"/>
  <c r="N177" i="135"/>
  <c r="N177" i="37"/>
  <c r="N177" i="141"/>
  <c r="N177" i="32"/>
  <c r="N177" i="31"/>
  <c r="N177" i="28"/>
  <c r="N177" i="119"/>
  <c r="N177" i="65"/>
  <c r="N177" i="20"/>
  <c r="N177" i="111"/>
  <c r="N177" i="14"/>
  <c r="N177" i="87"/>
  <c r="N177" i="89"/>
  <c r="N177" i="142"/>
  <c r="N177" i="90"/>
  <c r="N177" i="113"/>
  <c r="N177" i="50"/>
  <c r="N177" i="103"/>
  <c r="N177" i="118"/>
  <c r="N35" i="59"/>
  <c r="N35" i="38"/>
  <c r="N35" i="92"/>
  <c r="N35" i="47"/>
  <c r="N35" i="37"/>
  <c r="N35" i="113"/>
  <c r="N35" i="69"/>
  <c r="N35" i="120"/>
  <c r="N35" i="68"/>
  <c r="N35" i="60"/>
  <c r="N35" i="89"/>
  <c r="N35" i="28"/>
  <c r="N35" i="46"/>
  <c r="N35" i="67"/>
  <c r="N35" i="10"/>
  <c r="N35" i="54"/>
  <c r="N35" i="66"/>
  <c r="N35" i="136"/>
  <c r="N35" i="102"/>
  <c r="N35" i="24"/>
  <c r="N35" i="27"/>
  <c r="N35" i="16"/>
  <c r="N35" i="86"/>
  <c r="N35" i="95"/>
  <c r="N35" i="94"/>
  <c r="N35" i="63"/>
  <c r="N35" i="53"/>
  <c r="N35" i="45"/>
  <c r="N35" i="71"/>
  <c r="N35" i="141"/>
  <c r="N35" i="119"/>
  <c r="N35" i="111"/>
  <c r="N35" i="142"/>
  <c r="N35" i="103"/>
  <c r="N35" i="91"/>
  <c r="N35" i="55"/>
  <c r="N35" i="25"/>
  <c r="N35" i="33"/>
  <c r="N35" i="39"/>
  <c r="N35" i="106"/>
  <c r="N35" i="98"/>
  <c r="N35" i="21"/>
  <c r="N35" i="72"/>
  <c r="N35" i="19"/>
  <c r="N35" i="90"/>
  <c r="N35" i="14"/>
  <c r="N35" i="65"/>
  <c r="N35" i="32"/>
  <c r="N35" i="135"/>
  <c r="N35" i="104"/>
  <c r="N35" i="49"/>
  <c r="N35" i="62"/>
  <c r="N35" i="85"/>
  <c r="N35" i="83"/>
  <c r="N35" i="15"/>
  <c r="N35" i="79"/>
  <c r="N35" i="100"/>
  <c r="N35" i="118"/>
  <c r="N35" i="58"/>
  <c r="N35" i="43"/>
  <c r="N35" i="31"/>
  <c r="N35" i="87"/>
  <c r="N35" i="1"/>
  <c r="N35" i="64"/>
  <c r="N35" i="42"/>
  <c r="N35" i="57"/>
  <c r="N35" i="50"/>
  <c r="N35" i="20"/>
  <c r="N35" i="84"/>
  <c r="N35" i="133"/>
  <c r="N78" i="15"/>
  <c r="N78" i="38"/>
  <c r="N78" i="24"/>
  <c r="N78" i="79"/>
  <c r="N78" i="27"/>
  <c r="N78" i="16"/>
  <c r="N78" i="100"/>
  <c r="N78" i="86"/>
  <c r="N78" i="91"/>
  <c r="N78" i="92"/>
  <c r="N78" i="1"/>
  <c r="N78" i="95"/>
  <c r="N78" i="42"/>
  <c r="N78" i="120"/>
  <c r="N78" i="64"/>
  <c r="N78" i="69"/>
  <c r="N78" i="39"/>
  <c r="N78" i="33"/>
  <c r="N78" i="25"/>
  <c r="N78" i="55"/>
  <c r="N78" i="103"/>
  <c r="N78" i="50"/>
  <c r="N78" i="113"/>
  <c r="N78" i="90"/>
  <c r="N78" i="142"/>
  <c r="N78" i="89"/>
  <c r="N78" i="87"/>
  <c r="N78" i="14"/>
  <c r="N78" i="111"/>
  <c r="N78" i="20"/>
  <c r="N78" i="65"/>
  <c r="N78" i="119"/>
  <c r="N78" i="28"/>
  <c r="N78" i="31"/>
  <c r="N78" i="32"/>
  <c r="N78" i="141"/>
  <c r="N78" i="37"/>
  <c r="N78" i="135"/>
  <c r="N78" i="71"/>
  <c r="N78" i="84"/>
  <c r="N78" i="43"/>
  <c r="N78" i="104"/>
  <c r="N78" i="45"/>
  <c r="N78" i="46"/>
  <c r="N78" i="47"/>
  <c r="N78" i="49"/>
  <c r="N78" i="53"/>
  <c r="N78" i="58"/>
  <c r="N78" i="62"/>
  <c r="N78" i="63"/>
  <c r="N78" i="67"/>
  <c r="N78" i="85"/>
  <c r="N78" i="94"/>
  <c r="N78" i="133"/>
  <c r="N78" i="118"/>
  <c r="N78" i="10"/>
  <c r="N78" i="19"/>
  <c r="N78" i="60"/>
  <c r="N78" i="54"/>
  <c r="N78" i="72"/>
  <c r="N78" i="68"/>
  <c r="N78" i="66"/>
  <c r="N78" i="21"/>
  <c r="N78" i="59"/>
  <c r="N78" i="57"/>
  <c r="N78" i="136"/>
  <c r="N78" i="98"/>
  <c r="N78" i="83"/>
  <c r="N78" i="102"/>
  <c r="N78" i="106"/>
  <c r="N53" i="10"/>
  <c r="N53" i="118"/>
  <c r="N53" i="133"/>
  <c r="N53" i="94"/>
  <c r="N53" i="85"/>
  <c r="N53" i="67"/>
  <c r="N53" i="63"/>
  <c r="N53" i="62"/>
  <c r="N53" i="58"/>
  <c r="N53" i="53"/>
  <c r="N53" i="49"/>
  <c r="N53" i="47"/>
  <c r="N53" i="46"/>
  <c r="N53" i="45"/>
  <c r="N53" i="104"/>
  <c r="N53" i="43"/>
  <c r="N53" i="84"/>
  <c r="N53" i="71"/>
  <c r="N53" i="135"/>
  <c r="N53" i="37"/>
  <c r="N53" i="141"/>
  <c r="N53" i="32"/>
  <c r="N53" i="31"/>
  <c r="N53" i="28"/>
  <c r="N53" i="119"/>
  <c r="N53" i="65"/>
  <c r="N53" i="20"/>
  <c r="N53" i="111"/>
  <c r="N53" i="14"/>
  <c r="N53" i="87"/>
  <c r="N53" i="89"/>
  <c r="N53" i="142"/>
  <c r="N53" i="90"/>
  <c r="N53" i="113"/>
  <c r="N53" i="50"/>
  <c r="N53" i="103"/>
  <c r="N53" i="19"/>
  <c r="N53" i="60"/>
  <c r="N53" i="54"/>
  <c r="N53" i="72"/>
  <c r="N53" i="68"/>
  <c r="N53" i="66"/>
  <c r="N53" i="21"/>
  <c r="N53" i="59"/>
  <c r="N53" i="57"/>
  <c r="N53" i="136"/>
  <c r="N53" i="98"/>
  <c r="N53" i="83"/>
  <c r="N53" i="102"/>
  <c r="N53" i="106"/>
  <c r="N53" i="15"/>
  <c r="N53" i="42"/>
  <c r="N53" i="39"/>
  <c r="N53" i="38"/>
  <c r="N53" i="120"/>
  <c r="N53" i="24"/>
  <c r="N53" i="33"/>
  <c r="N53" i="79"/>
  <c r="N53" i="64"/>
  <c r="N53" i="27"/>
  <c r="N53" i="25"/>
  <c r="N53" i="16"/>
  <c r="N53" i="55"/>
  <c r="N53" i="100"/>
  <c r="N53" i="69"/>
  <c r="N53" i="86"/>
  <c r="N53" i="91"/>
  <c r="N53" i="92"/>
  <c r="N53" i="1"/>
  <c r="N53" i="95"/>
  <c r="N123" i="10"/>
  <c r="N123" i="118"/>
  <c r="N123" i="133"/>
  <c r="N123" i="94"/>
  <c r="N123" i="85"/>
  <c r="N123" i="67"/>
  <c r="N123" i="63"/>
  <c r="N123" i="62"/>
  <c r="N123" i="58"/>
  <c r="N123" i="53"/>
  <c r="N123" i="49"/>
  <c r="N123" i="47"/>
  <c r="N123" i="46"/>
  <c r="N123" i="45"/>
  <c r="N123" i="104"/>
  <c r="N123" i="43"/>
  <c r="N123" i="84"/>
  <c r="N123" i="71"/>
  <c r="N123" i="135"/>
  <c r="N123" i="37"/>
  <c r="N123" i="141"/>
  <c r="N123" i="32"/>
  <c r="N123" i="31"/>
  <c r="N123" i="28"/>
  <c r="N123" i="119"/>
  <c r="N123" i="65"/>
  <c r="N123" i="20"/>
  <c r="N123" i="111"/>
  <c r="N123" i="14"/>
  <c r="N123" i="87"/>
  <c r="N123" i="89"/>
  <c r="N123" i="142"/>
  <c r="N123" i="90"/>
  <c r="N123" i="113"/>
  <c r="N123" i="50"/>
  <c r="N123" i="103"/>
  <c r="N123" i="19"/>
  <c r="N123" i="60"/>
  <c r="N123" i="54"/>
  <c r="N123" i="72"/>
  <c r="N123" i="68"/>
  <c r="N123" i="66"/>
  <c r="N123" i="21"/>
  <c r="N123" i="59"/>
  <c r="N123" i="57"/>
  <c r="N123" i="136"/>
  <c r="N123" i="98"/>
  <c r="N123" i="83"/>
  <c r="N123" i="102"/>
  <c r="N123" i="106"/>
  <c r="N123" i="15"/>
  <c r="N123" i="42"/>
  <c r="N123" i="39"/>
  <c r="N123" i="38"/>
  <c r="N123" i="120"/>
  <c r="N123" i="24"/>
  <c r="N123" i="33"/>
  <c r="N123" i="79"/>
  <c r="N123" i="64"/>
  <c r="N123" i="27"/>
  <c r="N123" i="25"/>
  <c r="N123" i="16"/>
  <c r="N123" i="55"/>
  <c r="N123" i="100"/>
  <c r="N123" i="69"/>
  <c r="N123" i="86"/>
  <c r="N123" i="91"/>
  <c r="N123" i="92"/>
  <c r="N123" i="1"/>
  <c r="N123" i="95"/>
  <c r="N88" i="60"/>
  <c r="N88" i="72"/>
  <c r="N88" i="68"/>
  <c r="N88" i="21"/>
  <c r="N88" i="57"/>
  <c r="N88" i="98"/>
  <c r="N88" i="106"/>
  <c r="N88" i="42"/>
  <c r="N88" i="39"/>
  <c r="N88" i="120"/>
  <c r="N88" i="33"/>
  <c r="N88" i="64"/>
  <c r="N88" i="25"/>
  <c r="N88" i="55"/>
  <c r="N88" i="69"/>
  <c r="N88" i="91"/>
  <c r="N88" i="1"/>
  <c r="N88" i="10"/>
  <c r="N88" i="94"/>
  <c r="N88" i="63"/>
  <c r="N88" i="53"/>
  <c r="N88" i="47"/>
  <c r="N88" i="45"/>
  <c r="N88" i="43"/>
  <c r="N88" i="71"/>
  <c r="N88" i="37"/>
  <c r="N88" i="141"/>
  <c r="N88" i="31"/>
  <c r="N88" i="119"/>
  <c r="N88" i="111"/>
  <c r="N88" i="87"/>
  <c r="N88" i="142"/>
  <c r="N88" i="113"/>
  <c r="N88" i="103"/>
  <c r="N88" i="54"/>
  <c r="N88" i="66"/>
  <c r="N88" i="59"/>
  <c r="N88" i="136"/>
  <c r="N88" i="83"/>
  <c r="N88" i="102"/>
  <c r="N88" i="15"/>
  <c r="N88" i="38"/>
  <c r="N88" i="24"/>
  <c r="N88" i="79"/>
  <c r="N88" i="27"/>
  <c r="N88" i="16"/>
  <c r="N88" i="100"/>
  <c r="N88" i="86"/>
  <c r="N88" i="92"/>
  <c r="N88" i="95"/>
  <c r="N88" i="133"/>
  <c r="N88" i="85"/>
  <c r="N88" i="67"/>
  <c r="N88" i="62"/>
  <c r="N88" i="49"/>
  <c r="N88" i="46"/>
  <c r="N88" i="104"/>
  <c r="N88" i="84"/>
  <c r="N88" i="135"/>
  <c r="N88" i="32"/>
  <c r="N88" i="28"/>
  <c r="N88" i="65"/>
  <c r="N88" i="20"/>
  <c r="N88" i="14"/>
  <c r="N88" i="89"/>
  <c r="N88" i="90"/>
  <c r="N88" i="50"/>
  <c r="N88" i="19"/>
  <c r="N88" i="118"/>
  <c r="N88" i="58"/>
  <c r="N158" i="19"/>
  <c r="N158" i="60"/>
  <c r="N158" i="72"/>
  <c r="N158" i="68"/>
  <c r="N158" i="21"/>
  <c r="N158" i="57"/>
  <c r="N158" i="98"/>
  <c r="N158" i="106"/>
  <c r="N158" i="42"/>
  <c r="N158" i="39"/>
  <c r="N158" i="38"/>
  <c r="N158" i="120"/>
  <c r="N158" i="24"/>
  <c r="N158" i="33"/>
  <c r="N158" i="79"/>
  <c r="N158" i="64"/>
  <c r="N158" i="27"/>
  <c r="N158" i="25"/>
  <c r="N158" i="16"/>
  <c r="N158" i="55"/>
  <c r="N158" i="100"/>
  <c r="N158" i="69"/>
  <c r="N158" i="86"/>
  <c r="N158" i="91"/>
  <c r="N158" i="92"/>
  <c r="N158" i="1"/>
  <c r="N158" i="95"/>
  <c r="N158" i="10"/>
  <c r="N158" i="118"/>
  <c r="N158" i="133"/>
  <c r="N158" i="94"/>
  <c r="N158" i="85"/>
  <c r="N158" i="67"/>
  <c r="N158" i="63"/>
  <c r="N158" i="62"/>
  <c r="N158" i="58"/>
  <c r="N158" i="53"/>
  <c r="N158" i="49"/>
  <c r="N158" i="47"/>
  <c r="N158" i="46"/>
  <c r="N158" i="45"/>
  <c r="N158" i="104"/>
  <c r="N158" i="43"/>
  <c r="N158" i="84"/>
  <c r="N158" i="71"/>
  <c r="N158" i="135"/>
  <c r="N158" i="37"/>
  <c r="N158" i="141"/>
  <c r="N158" i="32"/>
  <c r="N158" i="31"/>
  <c r="N158" i="28"/>
  <c r="N158" i="119"/>
  <c r="N158" i="65"/>
  <c r="N158" i="20"/>
  <c r="N158" i="111"/>
  <c r="N158" i="14"/>
  <c r="N158" i="87"/>
  <c r="N158" i="89"/>
  <c r="N158" i="142"/>
  <c r="N158" i="90"/>
  <c r="N158" i="113"/>
  <c r="N158" i="50"/>
  <c r="N158" i="103"/>
  <c r="N158" i="54"/>
  <c r="N158" i="66"/>
  <c r="N158" i="59"/>
  <c r="N158" i="136"/>
  <c r="N158" i="83"/>
  <c r="N158" i="102"/>
  <c r="N158" i="15"/>
  <c r="N192" i="19"/>
  <c r="N192" i="118"/>
  <c r="N192" i="133"/>
  <c r="N192" i="94"/>
  <c r="N192" i="85"/>
  <c r="N192" i="67"/>
  <c r="N192" i="63"/>
  <c r="N192" i="62"/>
  <c r="N192" i="58"/>
  <c r="N192" i="53"/>
  <c r="N192" i="49"/>
  <c r="N192" i="47"/>
  <c r="N192" i="46"/>
  <c r="N192" i="45"/>
  <c r="N192" i="104"/>
  <c r="N192" i="43"/>
  <c r="N192" i="84"/>
  <c r="N192" i="71"/>
  <c r="N192" i="135"/>
  <c r="N192" i="37"/>
  <c r="N192" i="141"/>
  <c r="N192" i="32"/>
  <c r="N192" i="31"/>
  <c r="N192" i="28"/>
  <c r="N192" i="119"/>
  <c r="N192" i="65"/>
  <c r="N192" i="20"/>
  <c r="N192" i="111"/>
  <c r="N192" i="100"/>
  <c r="N192" i="89"/>
  <c r="N192" i="142"/>
  <c r="N192" i="90"/>
  <c r="N192" i="113"/>
  <c r="N192" i="50"/>
  <c r="N192" i="103"/>
  <c r="N192" i="14"/>
  <c r="N192" i="60"/>
  <c r="N192" i="54"/>
  <c r="N192" i="72"/>
  <c r="N192" i="68"/>
  <c r="N192" i="66"/>
  <c r="N192" i="21"/>
  <c r="N192" i="59"/>
  <c r="N192" i="57"/>
  <c r="N192" i="136"/>
  <c r="N192" i="98"/>
  <c r="N192" i="83"/>
  <c r="N192" i="102"/>
  <c r="N192" i="106"/>
  <c r="N192" i="15"/>
  <c r="N192" i="42"/>
  <c r="N192" i="39"/>
  <c r="N192" i="38"/>
  <c r="N192" i="120"/>
  <c r="N192" i="24"/>
  <c r="N192" i="33"/>
  <c r="N192" i="79"/>
  <c r="N192" i="64"/>
  <c r="N192" i="27"/>
  <c r="N192" i="25"/>
  <c r="N192" i="16"/>
  <c r="N192" i="55"/>
  <c r="N192" i="69"/>
  <c r="N192" i="86"/>
  <c r="N192" i="91"/>
  <c r="N192" i="92"/>
  <c r="N192" i="1"/>
  <c r="N192" i="95"/>
  <c r="N192" i="87"/>
  <c r="N192" i="10"/>
  <c r="N85" i="10"/>
  <c r="N85" i="133"/>
  <c r="N85" i="85"/>
  <c r="N85" i="67"/>
  <c r="N85" i="62"/>
  <c r="N85" i="49"/>
  <c r="N85" i="46"/>
  <c r="N85" i="104"/>
  <c r="N85" i="84"/>
  <c r="N85" i="135"/>
  <c r="N85" i="32"/>
  <c r="N85" i="28"/>
  <c r="N85" i="65"/>
  <c r="N85" i="20"/>
  <c r="N85" i="14"/>
  <c r="N85" i="89"/>
  <c r="N85" i="90"/>
  <c r="N85" i="50"/>
  <c r="N85" i="19"/>
  <c r="N85" i="60"/>
  <c r="N85" i="72"/>
  <c r="N85" i="68"/>
  <c r="N85" i="21"/>
  <c r="N85" i="57"/>
  <c r="N85" i="98"/>
  <c r="N85" i="106"/>
  <c r="N85" i="42"/>
  <c r="N85" i="39"/>
  <c r="N85" i="120"/>
  <c r="N85" i="33"/>
  <c r="N85" i="64"/>
  <c r="N85" i="25"/>
  <c r="N85" i="55"/>
  <c r="N85" i="69"/>
  <c r="N85" i="91"/>
  <c r="N85" i="1"/>
  <c r="N85" i="118"/>
  <c r="N85" i="94"/>
  <c r="N85" i="63"/>
  <c r="N85" i="58"/>
  <c r="N85" i="53"/>
  <c r="N85" i="47"/>
  <c r="N85" i="45"/>
  <c r="N85" i="43"/>
  <c r="N85" i="71"/>
  <c r="N85" i="37"/>
  <c r="N85" i="141"/>
  <c r="N85" i="31"/>
  <c r="N85" i="119"/>
  <c r="N85" i="111"/>
  <c r="N85" i="87"/>
  <c r="N85" i="142"/>
  <c r="N85" i="113"/>
  <c r="N85" i="103"/>
  <c r="N85" i="54"/>
  <c r="N85" i="66"/>
  <c r="N85" i="59"/>
  <c r="N85" i="136"/>
  <c r="N85" i="83"/>
  <c r="N85" i="102"/>
  <c r="N85" i="15"/>
  <c r="N85" i="38"/>
  <c r="N85" i="24"/>
  <c r="N85" i="79"/>
  <c r="N85" i="27"/>
  <c r="N85" i="16"/>
  <c r="N85" i="100"/>
  <c r="N85" i="86"/>
  <c r="N85" i="92"/>
  <c r="N85" i="95"/>
  <c r="N155" i="10"/>
  <c r="N155" i="118"/>
  <c r="N155" i="133"/>
  <c r="N155" i="94"/>
  <c r="N155" i="85"/>
  <c r="N155" i="67"/>
  <c r="N155" i="63"/>
  <c r="N155" i="62"/>
  <c r="N155" i="58"/>
  <c r="N155" i="53"/>
  <c r="N155" i="49"/>
  <c r="N155" i="47"/>
  <c r="N155" i="46"/>
  <c r="N155" i="45"/>
  <c r="N155" i="104"/>
  <c r="N155" i="43"/>
  <c r="N155" i="84"/>
  <c r="N155" i="71"/>
  <c r="N155" i="135"/>
  <c r="N155" i="37"/>
  <c r="N155" i="141"/>
  <c r="N155" i="32"/>
  <c r="N155" i="31"/>
  <c r="N155" i="28"/>
  <c r="N155" i="119"/>
  <c r="N155" i="65"/>
  <c r="N155" i="20"/>
  <c r="N155" i="111"/>
  <c r="N155" i="14"/>
  <c r="N155" i="87"/>
  <c r="N155" i="89"/>
  <c r="N155" i="142"/>
  <c r="N155" i="90"/>
  <c r="N155" i="113"/>
  <c r="N155" i="50"/>
  <c r="N155" i="103"/>
  <c r="N155" i="19"/>
  <c r="N155" i="60"/>
  <c r="N155" i="72"/>
  <c r="N155" i="68"/>
  <c r="N155" i="21"/>
  <c r="N155" i="57"/>
  <c r="N155" i="98"/>
  <c r="N155" i="106"/>
  <c r="N155" i="42"/>
  <c r="N155" i="39"/>
  <c r="N155" i="120"/>
  <c r="N155" i="33"/>
  <c r="N155" i="64"/>
  <c r="N155" i="54"/>
  <c r="N155" i="66"/>
  <c r="N155" i="59"/>
  <c r="N155" i="136"/>
  <c r="N155" i="83"/>
  <c r="N155" i="102"/>
  <c r="N155" i="15"/>
  <c r="N155" i="38"/>
  <c r="N155" i="24"/>
  <c r="N155" i="79"/>
  <c r="N155" i="27"/>
  <c r="N155" i="16"/>
  <c r="N155" i="100"/>
  <c r="N155" i="86"/>
  <c r="N155" i="25"/>
  <c r="N155" i="55"/>
  <c r="N155" i="91"/>
  <c r="N155" i="1"/>
  <c r="N155" i="69"/>
  <c r="N155" i="92"/>
  <c r="N155" i="95"/>
  <c r="N193" i="10"/>
  <c r="N193" i="118"/>
  <c r="N193" i="133"/>
  <c r="N193" i="94"/>
  <c r="N193" i="85"/>
  <c r="N193" i="67"/>
  <c r="N193" i="63"/>
  <c r="N193" i="62"/>
  <c r="N193" i="58"/>
  <c r="N193" i="53"/>
  <c r="N193" i="19"/>
  <c r="N193" i="60"/>
  <c r="N193" i="72"/>
  <c r="N193" i="68"/>
  <c r="N193" i="21"/>
  <c r="N193" i="57"/>
  <c r="N193" i="98"/>
  <c r="N193" i="83"/>
  <c r="N193" i="102"/>
  <c r="N193" i="106"/>
  <c r="N193" i="15"/>
  <c r="N193" i="42"/>
  <c r="N193" i="39"/>
  <c r="N193" i="38"/>
  <c r="N193" i="120"/>
  <c r="N193" i="24"/>
  <c r="N193" i="33"/>
  <c r="N193" i="79"/>
  <c r="N193" i="64"/>
  <c r="N193" i="27"/>
  <c r="N193" i="25"/>
  <c r="N193" i="16"/>
  <c r="N193" i="55"/>
  <c r="N193" i="100"/>
  <c r="N193" i="69"/>
  <c r="N193" i="86"/>
  <c r="N193" i="91"/>
  <c r="N193" i="92"/>
  <c r="N193" i="1"/>
  <c r="N193" i="95"/>
  <c r="N193" i="54"/>
  <c r="N193" i="66"/>
  <c r="N193" i="59"/>
  <c r="N193" i="136"/>
  <c r="N193" i="49"/>
  <c r="N193" i="47"/>
  <c r="N193" i="46"/>
  <c r="N193" i="45"/>
  <c r="N193" i="104"/>
  <c r="N193" i="43"/>
  <c r="N193" i="84"/>
  <c r="N193" i="71"/>
  <c r="N193" i="135"/>
  <c r="N193" i="37"/>
  <c r="N193" i="141"/>
  <c r="N193" i="32"/>
  <c r="N193" i="31"/>
  <c r="N193" i="28"/>
  <c r="N193" i="119"/>
  <c r="N193" i="65"/>
  <c r="N193" i="20"/>
  <c r="N193" i="111"/>
  <c r="N193" i="14"/>
  <c r="N193" i="87"/>
  <c r="N193" i="89"/>
  <c r="N193" i="142"/>
  <c r="N193" i="90"/>
  <c r="N193" i="113"/>
  <c r="N193" i="50"/>
  <c r="N193" i="103"/>
  <c r="N176" i="111"/>
  <c r="N176" i="10"/>
  <c r="N176" i="118"/>
  <c r="N176" i="133"/>
  <c r="N176" i="72"/>
  <c r="N176" i="68"/>
  <c r="N176" i="66"/>
  <c r="N176" i="21"/>
  <c r="N176" i="59"/>
  <c r="N176" i="57"/>
  <c r="N176" i="136"/>
  <c r="N176" i="98"/>
  <c r="N176" i="83"/>
  <c r="N176" i="102"/>
  <c r="N176" i="106"/>
  <c r="N176" i="15"/>
  <c r="N176" i="42"/>
  <c r="N176" i="84"/>
  <c r="N176" i="71"/>
  <c r="N176" i="135"/>
  <c r="N176" i="37"/>
  <c r="N176" i="141"/>
  <c r="N176" i="32"/>
  <c r="N176" i="31"/>
  <c r="N176" i="28"/>
  <c r="N176" i="119"/>
  <c r="N176" i="65"/>
  <c r="N176" i="20"/>
  <c r="N176" i="55"/>
  <c r="N176" i="87"/>
  <c r="N176" i="89"/>
  <c r="N176" i="142"/>
  <c r="N176" i="90"/>
  <c r="N176" i="113"/>
  <c r="N176" i="50"/>
  <c r="N176" i="103"/>
  <c r="N176" i="19"/>
  <c r="N176" i="60"/>
  <c r="N176" i="94"/>
  <c r="N176" i="85"/>
  <c r="N176" i="67"/>
  <c r="N176" i="63"/>
  <c r="N176" i="62"/>
  <c r="N176" i="58"/>
  <c r="N176" i="53"/>
  <c r="N176" i="49"/>
  <c r="N176" i="47"/>
  <c r="N176" i="46"/>
  <c r="N176" i="45"/>
  <c r="N176" i="104"/>
  <c r="N176" i="43"/>
  <c r="N176" i="54"/>
  <c r="N176" i="39"/>
  <c r="N176" i="38"/>
  <c r="N176" i="120"/>
  <c r="N176" i="24"/>
  <c r="N176" i="33"/>
  <c r="N176" i="79"/>
  <c r="N176" i="64"/>
  <c r="N176" i="27"/>
  <c r="N176" i="25"/>
  <c r="N176" i="16"/>
  <c r="N176" i="100"/>
  <c r="N176" i="69"/>
  <c r="N176" i="86"/>
  <c r="N176" i="91"/>
  <c r="N176" i="92"/>
  <c r="N176" i="1"/>
  <c r="N176" i="95"/>
  <c r="N176" i="14"/>
  <c r="N38" i="19"/>
  <c r="N38" i="60"/>
  <c r="N38" i="54"/>
  <c r="N38" i="72"/>
  <c r="N38" i="68"/>
  <c r="N38" i="66"/>
  <c r="N38" i="21"/>
  <c r="N38" i="59"/>
  <c r="N38" i="57"/>
  <c r="N38" i="136"/>
  <c r="N38" i="98"/>
  <c r="N38" i="83"/>
  <c r="N38" i="102"/>
  <c r="N38" i="106"/>
  <c r="N38" i="15"/>
  <c r="N38" i="42"/>
  <c r="N38" i="39"/>
  <c r="N38" i="38"/>
  <c r="N38" i="120"/>
  <c r="N38" i="24"/>
  <c r="N38" i="33"/>
  <c r="N38" i="79"/>
  <c r="N38" i="64"/>
  <c r="N38" i="27"/>
  <c r="N38" i="25"/>
  <c r="N38" i="16"/>
  <c r="N38" i="55"/>
  <c r="N38" i="100"/>
  <c r="N38" i="69"/>
  <c r="N38" i="86"/>
  <c r="N38" i="91"/>
  <c r="N38" i="92"/>
  <c r="N38" i="1"/>
  <c r="N38" i="95"/>
  <c r="N38" i="10"/>
  <c r="N38" i="118"/>
  <c r="N38" i="133"/>
  <c r="N38" i="94"/>
  <c r="N38" i="85"/>
  <c r="N38" i="67"/>
  <c r="N38" i="63"/>
  <c r="N38" i="62"/>
  <c r="N38" i="58"/>
  <c r="N38" i="53"/>
  <c r="N38" i="49"/>
  <c r="N38" i="47"/>
  <c r="N38" i="46"/>
  <c r="N38" i="45"/>
  <c r="N38" i="104"/>
  <c r="N38" i="43"/>
  <c r="N38" i="84"/>
  <c r="N38" i="71"/>
  <c r="N38" i="135"/>
  <c r="N38" i="37"/>
  <c r="N38" i="141"/>
  <c r="N38" i="32"/>
  <c r="N38" i="31"/>
  <c r="N38" i="28"/>
  <c r="N38" i="119"/>
  <c r="N38" i="65"/>
  <c r="N38" i="20"/>
  <c r="N38" i="111"/>
  <c r="N38" i="14"/>
  <c r="N38" i="87"/>
  <c r="N38" i="89"/>
  <c r="N38" i="142"/>
  <c r="N38" i="90"/>
  <c r="N38" i="113"/>
  <c r="N38" i="50"/>
  <c r="N38" i="103"/>
  <c r="N116" i="60"/>
  <c r="N116" i="72"/>
  <c r="N116" i="68"/>
  <c r="N116" i="21"/>
  <c r="N116" i="57"/>
  <c r="N116" i="98"/>
  <c r="N116" i="106"/>
  <c r="N116" i="42"/>
  <c r="N116" i="39"/>
  <c r="N116" i="38"/>
  <c r="N116" i="120"/>
  <c r="N116" i="24"/>
  <c r="N116" i="33"/>
  <c r="N116" i="79"/>
  <c r="N116" i="64"/>
  <c r="N116" i="27"/>
  <c r="N116" i="25"/>
  <c r="N116" i="16"/>
  <c r="N116" i="55"/>
  <c r="N116" i="100"/>
  <c r="N116" i="69"/>
  <c r="N116" i="86"/>
  <c r="N116" i="91"/>
  <c r="N116" i="92"/>
  <c r="N116" i="1"/>
  <c r="N116" i="95"/>
  <c r="N116" i="10"/>
  <c r="N116" i="54"/>
  <c r="N116" i="66"/>
  <c r="N116" i="59"/>
  <c r="N116" i="136"/>
  <c r="N116" i="83"/>
  <c r="N116" i="102"/>
  <c r="N116" i="15"/>
  <c r="N116" i="133"/>
  <c r="N116" i="85"/>
  <c r="N116" i="67"/>
  <c r="N116" i="62"/>
  <c r="N116" i="49"/>
  <c r="N116" i="47"/>
  <c r="N116" i="45"/>
  <c r="N116" i="43"/>
  <c r="N116" i="84"/>
  <c r="N116" i="71"/>
  <c r="N116" i="135"/>
  <c r="N116" i="37"/>
  <c r="N116" i="141"/>
  <c r="N116" i="32"/>
  <c r="N116" i="31"/>
  <c r="N116" i="28"/>
  <c r="N116" i="119"/>
  <c r="N116" i="65"/>
  <c r="N116" i="20"/>
  <c r="N116" i="111"/>
  <c r="N116" i="14"/>
  <c r="N116" i="87"/>
  <c r="N116" i="89"/>
  <c r="N116" i="142"/>
  <c r="N116" i="90"/>
  <c r="N116" i="113"/>
  <c r="N116" i="50"/>
  <c r="N116" i="103"/>
  <c r="N116" i="118"/>
  <c r="N116" i="94"/>
  <c r="N116" i="63"/>
  <c r="N116" i="58"/>
  <c r="N116" i="53"/>
  <c r="N116" i="46"/>
  <c r="N116" i="104"/>
  <c r="N116" i="19"/>
  <c r="N60" i="118"/>
  <c r="N60" i="45"/>
  <c r="N60" i="71"/>
  <c r="N60" i="141"/>
  <c r="N60" i="119"/>
  <c r="N60" i="111"/>
  <c r="N60" i="142"/>
  <c r="N60" i="103"/>
  <c r="N60" i="54"/>
  <c r="N60" i="66"/>
  <c r="N60" i="59"/>
  <c r="N60" i="136"/>
  <c r="N60" i="83"/>
  <c r="N60" i="102"/>
  <c r="N60" i="15"/>
  <c r="N60" i="38"/>
  <c r="N60" i="24"/>
  <c r="N60" i="79"/>
  <c r="N60" i="27"/>
  <c r="N60" i="16"/>
  <c r="N60" i="100"/>
  <c r="N60" i="86"/>
  <c r="N60" i="92"/>
  <c r="N60" i="95"/>
  <c r="N60" i="133"/>
  <c r="N60" i="85"/>
  <c r="N60" i="67"/>
  <c r="N60" i="62"/>
  <c r="N60" i="49"/>
  <c r="N60" i="46"/>
  <c r="N60" i="104"/>
  <c r="N60" i="84"/>
  <c r="N60" i="135"/>
  <c r="N60" i="32"/>
  <c r="N60" i="28"/>
  <c r="N60" i="65"/>
  <c r="N60" i="20"/>
  <c r="N60" i="14"/>
  <c r="N60" i="89"/>
  <c r="N60" i="90"/>
  <c r="N60" i="50"/>
  <c r="N60" i="19"/>
  <c r="N60" i="60"/>
  <c r="N60" i="72"/>
  <c r="N60" i="68"/>
  <c r="N60" i="21"/>
  <c r="N60" i="57"/>
  <c r="N60" i="98"/>
  <c r="N60" i="106"/>
  <c r="N60" i="42"/>
  <c r="N60" i="39"/>
  <c r="N60" i="120"/>
  <c r="N60" i="33"/>
  <c r="N60" i="64"/>
  <c r="N60" i="25"/>
  <c r="N60" i="55"/>
  <c r="N60" i="69"/>
  <c r="N60" i="91"/>
  <c r="N60" i="1"/>
  <c r="N60" i="10"/>
  <c r="N60" i="94"/>
  <c r="N60" i="63"/>
  <c r="N60" i="58"/>
  <c r="N60" i="53"/>
  <c r="N60" i="47"/>
  <c r="N60" i="43"/>
  <c r="N60" i="37"/>
  <c r="N60" i="31"/>
  <c r="N60" i="87"/>
  <c r="N60" i="113"/>
  <c r="N184" i="10"/>
  <c r="N184" i="19"/>
  <c r="N184" i="60"/>
  <c r="N184" i="54"/>
  <c r="N184" i="72"/>
  <c r="N184" i="68"/>
  <c r="N184" i="66"/>
  <c r="N184" i="21"/>
  <c r="N184" i="59"/>
  <c r="N184" i="57"/>
  <c r="N184" i="136"/>
  <c r="N184" i="98"/>
  <c r="N184" i="83"/>
  <c r="N184" i="102"/>
  <c r="N184" i="106"/>
  <c r="N184" i="15"/>
  <c r="N184" i="42"/>
  <c r="N184" i="39"/>
  <c r="N184" i="38"/>
  <c r="N184" i="120"/>
  <c r="N184" i="24"/>
  <c r="N184" i="33"/>
  <c r="N184" i="79"/>
  <c r="N184" i="64"/>
  <c r="N184" i="27"/>
  <c r="N184" i="25"/>
  <c r="N184" i="16"/>
  <c r="N184" i="55"/>
  <c r="N184" i="87"/>
  <c r="N184" i="89"/>
  <c r="N184" i="142"/>
  <c r="N184" i="90"/>
  <c r="N184" i="113"/>
  <c r="N184" i="50"/>
  <c r="N184" i="103"/>
  <c r="N184" i="14"/>
  <c r="N184" i="118"/>
  <c r="N184" i="133"/>
  <c r="N184" i="94"/>
  <c r="N184" i="85"/>
  <c r="N184" i="67"/>
  <c r="N184" i="63"/>
  <c r="N184" i="62"/>
  <c r="N184" i="58"/>
  <c r="N184" i="53"/>
  <c r="N184" i="49"/>
  <c r="N184" i="47"/>
  <c r="N184" i="46"/>
  <c r="N184" i="45"/>
  <c r="N184" i="104"/>
  <c r="N184" i="43"/>
  <c r="N184" i="84"/>
  <c r="N184" i="71"/>
  <c r="N184" i="135"/>
  <c r="N184" i="37"/>
  <c r="N184" i="141"/>
  <c r="N184" i="32"/>
  <c r="N184" i="31"/>
  <c r="N184" i="28"/>
  <c r="N184" i="119"/>
  <c r="N184" i="65"/>
  <c r="N184" i="20"/>
  <c r="N184" i="111"/>
  <c r="N184" i="100"/>
  <c r="N184" i="69"/>
  <c r="N184" i="86"/>
  <c r="N184" i="91"/>
  <c r="N184" i="92"/>
  <c r="N184" i="1"/>
  <c r="N184" i="95"/>
  <c r="N33" i="55"/>
  <c r="N33" i="91"/>
  <c r="N33" i="19"/>
  <c r="N33" i="94"/>
  <c r="N33" i="63"/>
  <c r="N33" i="58"/>
  <c r="N33" i="47"/>
  <c r="N33" i="71"/>
  <c r="N33" i="141"/>
  <c r="N33" i="119"/>
  <c r="N33" i="111"/>
  <c r="N33" i="142"/>
  <c r="N33" i="60"/>
  <c r="N33" i="68"/>
  <c r="N33" i="57"/>
  <c r="N33" i="98"/>
  <c r="N33" i="42"/>
  <c r="N33" i="120"/>
  <c r="N33" i="64"/>
  <c r="N33" i="25"/>
  <c r="N33" i="16"/>
  <c r="N33" i="100"/>
  <c r="N33" i="86"/>
  <c r="N33" i="92"/>
  <c r="N33" i="95"/>
  <c r="N33" i="10"/>
  <c r="N33" i="133"/>
  <c r="N33" i="85"/>
  <c r="N33" i="67"/>
  <c r="N33" i="62"/>
  <c r="N33" i="49"/>
  <c r="N33" i="46"/>
  <c r="N33" i="104"/>
  <c r="N33" i="84"/>
  <c r="N33" i="135"/>
  <c r="N33" i="32"/>
  <c r="N33" i="28"/>
  <c r="N33" i="65"/>
  <c r="N33" i="20"/>
  <c r="N33" i="14"/>
  <c r="N33" i="89"/>
  <c r="N33" i="90"/>
  <c r="N33" i="50"/>
  <c r="N33" i="54"/>
  <c r="N33" i="66"/>
  <c r="N33" i="59"/>
  <c r="N33" i="136"/>
  <c r="N33" i="83"/>
  <c r="N33" i="102"/>
  <c r="N33" i="15"/>
  <c r="N33" i="38"/>
  <c r="N33" i="24"/>
  <c r="N33" i="79"/>
  <c r="N33" i="27"/>
  <c r="N33" i="69"/>
  <c r="N33" i="1"/>
  <c r="N33" i="118"/>
  <c r="N33" i="53"/>
  <c r="N33" i="45"/>
  <c r="N33" i="43"/>
  <c r="N33" i="37"/>
  <c r="N33" i="31"/>
  <c r="N33" i="87"/>
  <c r="N33" i="113"/>
  <c r="N33" i="103"/>
  <c r="N33" i="72"/>
  <c r="N33" i="21"/>
  <c r="N33" i="106"/>
  <c r="N33" i="39"/>
  <c r="N33" i="33"/>
  <c r="N115" i="10"/>
  <c r="N115" i="19"/>
  <c r="N115" i="118"/>
  <c r="N115" i="60"/>
  <c r="N115" i="133"/>
  <c r="N115" i="54"/>
  <c r="N115" i="94"/>
  <c r="N115" i="72"/>
  <c r="N115" i="85"/>
  <c r="N115" i="68"/>
  <c r="N115" i="67"/>
  <c r="N115" i="66"/>
  <c r="N115" i="63"/>
  <c r="N115" i="21"/>
  <c r="N115" i="62"/>
  <c r="N115" i="59"/>
  <c r="N115" i="58"/>
  <c r="N115" i="57"/>
  <c r="N115" i="136"/>
  <c r="N115" i="53"/>
  <c r="N115" i="98"/>
  <c r="N115" i="49"/>
  <c r="N115" i="83"/>
  <c r="N115" i="47"/>
  <c r="N115" i="46"/>
  <c r="N115" i="102"/>
  <c r="N115" i="45"/>
  <c r="N115" i="106"/>
  <c r="N115" i="104"/>
  <c r="N115" i="15"/>
  <c r="N115" i="43"/>
  <c r="N115" i="42"/>
  <c r="N115" i="84"/>
  <c r="N115" i="71"/>
  <c r="N115" i="39"/>
  <c r="N115" i="135"/>
  <c r="N115" i="38"/>
  <c r="N115" i="37"/>
  <c r="N115" i="120"/>
  <c r="N115" i="24"/>
  <c r="N115" i="141"/>
  <c r="N115" i="33"/>
  <c r="N115" i="32"/>
  <c r="N115" i="79"/>
  <c r="N115" i="31"/>
  <c r="N115" i="64"/>
  <c r="N115" i="28"/>
  <c r="N115" i="27"/>
  <c r="N115" i="119"/>
  <c r="N115" i="25"/>
  <c r="N115" i="65"/>
  <c r="N115" i="20"/>
  <c r="N115" i="16"/>
  <c r="N115" i="111"/>
  <c r="N115" i="55"/>
  <c r="N115" i="14"/>
  <c r="N115" i="100"/>
  <c r="N115" i="87"/>
  <c r="N115" i="69"/>
  <c r="N115" i="89"/>
  <c r="N115" i="86"/>
  <c r="N115" i="142"/>
  <c r="N115" i="91"/>
  <c r="N115" i="90"/>
  <c r="N115" i="92"/>
  <c r="N115" i="113"/>
  <c r="N115" i="1"/>
  <c r="N115" i="50"/>
  <c r="N115" i="95"/>
  <c r="N115" i="103"/>
  <c r="N68" i="19"/>
  <c r="N68" i="118"/>
  <c r="N68" i="60"/>
  <c r="N68" i="133"/>
  <c r="N68" i="54"/>
  <c r="N68" i="94"/>
  <c r="N68" i="72"/>
  <c r="N68" i="85"/>
  <c r="N68" i="68"/>
  <c r="N68" i="67"/>
  <c r="N68" i="66"/>
  <c r="N68" i="63"/>
  <c r="N68" i="21"/>
  <c r="N68" i="62"/>
  <c r="N68" i="59"/>
  <c r="N68" i="58"/>
  <c r="N68" i="57"/>
  <c r="N68" i="136"/>
  <c r="N68" i="53"/>
  <c r="N68" i="98"/>
  <c r="N68" i="49"/>
  <c r="N68" i="83"/>
  <c r="N68" i="47"/>
  <c r="N68" i="46"/>
  <c r="N68" i="102"/>
  <c r="N68" i="45"/>
  <c r="N68" i="106"/>
  <c r="N68" i="104"/>
  <c r="N68" i="15"/>
  <c r="N68" i="43"/>
  <c r="N68" i="42"/>
  <c r="N68" i="84"/>
  <c r="N68" i="71"/>
  <c r="N68" i="39"/>
  <c r="N68" i="135"/>
  <c r="N68" i="38"/>
  <c r="N68" i="37"/>
  <c r="N68" i="120"/>
  <c r="N68" i="24"/>
  <c r="N68" i="141"/>
  <c r="N68" i="33"/>
  <c r="N68" i="32"/>
  <c r="N68" i="79"/>
  <c r="N68" i="31"/>
  <c r="N68" i="64"/>
  <c r="N68" i="28"/>
  <c r="N68" i="27"/>
  <c r="N68" i="119"/>
  <c r="N68" i="25"/>
  <c r="N68" i="65"/>
  <c r="N68" i="20"/>
  <c r="N68" i="16"/>
  <c r="N68" i="111"/>
  <c r="N68" i="55"/>
  <c r="N68" i="14"/>
  <c r="N68" i="100"/>
  <c r="N68" i="87"/>
  <c r="N68" i="69"/>
  <c r="N68" i="89"/>
  <c r="N68" i="86"/>
  <c r="N68" i="142"/>
  <c r="N68" i="91"/>
  <c r="N68" i="90"/>
  <c r="N68" i="92"/>
  <c r="N68" i="113"/>
  <c r="N68" i="1"/>
  <c r="N68" i="50"/>
  <c r="N68" i="95"/>
  <c r="N68" i="103"/>
  <c r="N68" i="10"/>
  <c r="N47" i="118"/>
  <c r="N47" i="94"/>
  <c r="N47" i="63"/>
  <c r="N47" i="58"/>
  <c r="N47" i="53"/>
  <c r="N47" i="47"/>
  <c r="N47" i="45"/>
  <c r="N47" i="43"/>
  <c r="N47" i="71"/>
  <c r="N47" i="37"/>
  <c r="N47" i="141"/>
  <c r="N47" i="31"/>
  <c r="N47" i="119"/>
  <c r="N47" i="111"/>
  <c r="N47" i="87"/>
  <c r="N47" i="142"/>
  <c r="N47" i="113"/>
  <c r="N47" i="103"/>
  <c r="N47" i="19"/>
  <c r="N47" i="54"/>
  <c r="N47" i="66"/>
  <c r="N47" i="59"/>
  <c r="N47" i="136"/>
  <c r="N47" i="83"/>
  <c r="N47" i="102"/>
  <c r="N47" i="15"/>
  <c r="N47" i="38"/>
  <c r="N47" i="24"/>
  <c r="N47" i="79"/>
  <c r="N47" i="27"/>
  <c r="N47" i="16"/>
  <c r="N47" i="100"/>
  <c r="N47" i="86"/>
  <c r="N47" i="92"/>
  <c r="N47" i="95"/>
  <c r="N47" i="133"/>
  <c r="N47" i="85"/>
  <c r="N47" i="67"/>
  <c r="N47" i="62"/>
  <c r="N47" i="49"/>
  <c r="N47" i="46"/>
  <c r="N47" i="104"/>
  <c r="N47" i="84"/>
  <c r="N47" i="135"/>
  <c r="N47" i="32"/>
  <c r="N47" i="28"/>
  <c r="N47" i="65"/>
  <c r="N47" i="20"/>
  <c r="N47" i="14"/>
  <c r="N47" i="89"/>
  <c r="N47" i="90"/>
  <c r="N47" i="50"/>
  <c r="N47" i="60"/>
  <c r="N47" i="72"/>
  <c r="N47" i="68"/>
  <c r="N47" i="21"/>
  <c r="N47" i="57"/>
  <c r="N47" i="98"/>
  <c r="N47" i="106"/>
  <c r="N47" i="42"/>
  <c r="N47" i="39"/>
  <c r="N47" i="120"/>
  <c r="N47" i="33"/>
  <c r="N47" i="64"/>
  <c r="N47" i="25"/>
  <c r="N47" i="55"/>
  <c r="N47" i="69"/>
  <c r="N47" i="91"/>
  <c r="N47" i="1"/>
  <c r="N47" i="10"/>
  <c r="N146" i="19"/>
  <c r="N146" i="60"/>
  <c r="N146" i="72"/>
  <c r="N146" i="68"/>
  <c r="N146" i="21"/>
  <c r="N146" i="57"/>
  <c r="N146" i="98"/>
  <c r="N146" i="106"/>
  <c r="N146" i="42"/>
  <c r="N146" i="39"/>
  <c r="N146" i="120"/>
  <c r="N146" i="33"/>
  <c r="N146" i="64"/>
  <c r="N146" i="25"/>
  <c r="N146" i="55"/>
  <c r="N146" i="69"/>
  <c r="N146" i="91"/>
  <c r="N146" i="1"/>
  <c r="N146" i="10"/>
  <c r="N146" i="133"/>
  <c r="N146" i="85"/>
  <c r="N146" i="67"/>
  <c r="N146" i="62"/>
  <c r="N146" i="49"/>
  <c r="N146" i="46"/>
  <c r="N146" i="104"/>
  <c r="N146" i="84"/>
  <c r="N146" i="135"/>
  <c r="N146" i="32"/>
  <c r="N146" i="28"/>
  <c r="N146" i="65"/>
  <c r="N146" i="20"/>
  <c r="N146" i="14"/>
  <c r="N146" i="89"/>
  <c r="N146" i="90"/>
  <c r="N146" i="50"/>
  <c r="N146" i="103"/>
  <c r="N146" i="113"/>
  <c r="N146" i="142"/>
  <c r="N146" i="87"/>
  <c r="N146" i="111"/>
  <c r="N146" i="119"/>
  <c r="N146" i="31"/>
  <c r="N146" i="141"/>
  <c r="N146" i="37"/>
  <c r="N146" i="71"/>
  <c r="N146" i="43"/>
  <c r="N146" i="45"/>
  <c r="N146" i="47"/>
  <c r="N146" i="53"/>
  <c r="N146" i="58"/>
  <c r="N146" i="63"/>
  <c r="N146" i="94"/>
  <c r="N146" i="118"/>
  <c r="N146" i="95"/>
  <c r="N146" i="92"/>
  <c r="N146" i="86"/>
  <c r="N146" i="100"/>
  <c r="N146" i="16"/>
  <c r="N146" i="27"/>
  <c r="N146" i="79"/>
  <c r="N146" i="24"/>
  <c r="N146" i="38"/>
  <c r="N146" i="15"/>
  <c r="N146" i="102"/>
  <c r="N146" i="83"/>
  <c r="N146" i="136"/>
  <c r="N146" i="59"/>
  <c r="N146" i="66"/>
  <c r="N146" i="54"/>
  <c r="N164" i="10"/>
  <c r="N164" i="19"/>
  <c r="N164" i="118"/>
  <c r="N164" i="60"/>
  <c r="N164" i="133"/>
  <c r="N164" i="94"/>
  <c r="N164" i="72"/>
  <c r="N164" i="85"/>
  <c r="N164" i="68"/>
  <c r="N164" i="67"/>
  <c r="N164" i="66"/>
  <c r="N164" i="63"/>
  <c r="N164" i="21"/>
  <c r="N164" i="62"/>
  <c r="N164" i="59"/>
  <c r="N164" i="58"/>
  <c r="N164" i="57"/>
  <c r="N164" i="136"/>
  <c r="N164" i="53"/>
  <c r="N164" i="98"/>
  <c r="N164" i="49"/>
  <c r="N164" i="83"/>
  <c r="N164" i="47"/>
  <c r="N164" i="46"/>
  <c r="N164" i="102"/>
  <c r="N164" i="45"/>
  <c r="N164" i="106"/>
  <c r="N164" i="104"/>
  <c r="N164" i="15"/>
  <c r="N164" i="43"/>
  <c r="N164" i="42"/>
  <c r="N164" i="54"/>
  <c r="N164" i="84"/>
  <c r="N164" i="71"/>
  <c r="N164" i="39"/>
  <c r="N164" i="135"/>
  <c r="N164" i="38"/>
  <c r="N164" i="37"/>
  <c r="N164" i="120"/>
  <c r="N164" i="24"/>
  <c r="N164" i="141"/>
  <c r="N164" i="33"/>
  <c r="N164" i="32"/>
  <c r="N164" i="79"/>
  <c r="N164" i="31"/>
  <c r="N164" i="64"/>
  <c r="N164" i="28"/>
  <c r="N164" i="27"/>
  <c r="N164" i="119"/>
  <c r="N164" i="25"/>
  <c r="N164" i="65"/>
  <c r="N164" i="20"/>
  <c r="N164" i="16"/>
  <c r="N164" i="55"/>
  <c r="N164" i="100"/>
  <c r="N164" i="87"/>
  <c r="N164" i="69"/>
  <c r="N164" i="89"/>
  <c r="N164" i="86"/>
  <c r="N164" i="142"/>
  <c r="N164" i="91"/>
  <c r="N164" i="90"/>
  <c r="N164" i="92"/>
  <c r="N164" i="113"/>
  <c r="N164" i="1"/>
  <c r="N164" i="50"/>
  <c r="N164" i="95"/>
  <c r="N164" i="103"/>
  <c r="N164" i="111"/>
  <c r="N164" i="14"/>
  <c r="N143" i="86"/>
  <c r="N143" i="91"/>
  <c r="N143" i="92"/>
  <c r="N143" i="1"/>
  <c r="N143" i="95"/>
  <c r="N143" i="10"/>
  <c r="N143" i="68"/>
  <c r="N143" i="67"/>
  <c r="N143" i="66"/>
  <c r="N143" i="63"/>
  <c r="N143" i="21"/>
  <c r="N143" i="62"/>
  <c r="N143" i="59"/>
  <c r="N143" i="58"/>
  <c r="N143" i="57"/>
  <c r="N143" i="136"/>
  <c r="N143" i="53"/>
  <c r="N143" i="98"/>
  <c r="N143" i="49"/>
  <c r="N143" i="83"/>
  <c r="N143" i="47"/>
  <c r="N143" i="46"/>
  <c r="N143" i="102"/>
  <c r="N143" i="45"/>
  <c r="N143" i="106"/>
  <c r="N143" i="104"/>
  <c r="N143" i="15"/>
  <c r="N143" i="43"/>
  <c r="N143" i="42"/>
  <c r="N143" i="84"/>
  <c r="N143" i="71"/>
  <c r="N143" i="39"/>
  <c r="N143" i="135"/>
  <c r="N143" i="38"/>
  <c r="N143" i="37"/>
  <c r="N143" i="120"/>
  <c r="N143" i="24"/>
  <c r="N143" i="141"/>
  <c r="N143" i="33"/>
  <c r="N143" i="32"/>
  <c r="N143" i="79"/>
  <c r="N143" i="31"/>
  <c r="N143" i="64"/>
  <c r="N143" i="28"/>
  <c r="N143" i="27"/>
  <c r="N143" i="119"/>
  <c r="N143" i="25"/>
  <c r="N143" i="65"/>
  <c r="N143" i="20"/>
  <c r="N143" i="16"/>
  <c r="N143" i="111"/>
  <c r="N143" i="55"/>
  <c r="N143" i="14"/>
  <c r="N143" i="100"/>
  <c r="N143" i="87"/>
  <c r="N143" i="69"/>
  <c r="N143" i="89"/>
  <c r="N143" i="142"/>
  <c r="N143" i="90"/>
  <c r="N143" i="113"/>
  <c r="N143" i="50"/>
  <c r="N143" i="103"/>
  <c r="N143" i="19"/>
  <c r="N143" i="118"/>
  <c r="N143" i="60"/>
  <c r="N143" i="133"/>
  <c r="N143" i="54"/>
  <c r="N143" i="94"/>
  <c r="N143" i="72"/>
  <c r="N143" i="85"/>
  <c r="N160" i="60"/>
  <c r="N160" i="68"/>
  <c r="N160" i="57"/>
  <c r="N160" i="42"/>
  <c r="N160" i="120"/>
  <c r="N160" i="64"/>
  <c r="N160" i="118"/>
  <c r="N160" i="58"/>
  <c r="N160" i="47"/>
  <c r="N160" i="43"/>
  <c r="N160" i="37"/>
  <c r="N160" i="31"/>
  <c r="N160" i="87"/>
  <c r="N160" i="113"/>
  <c r="N160" i="54"/>
  <c r="N160" i="66"/>
  <c r="N160" i="59"/>
  <c r="N160" i="136"/>
  <c r="N160" i="83"/>
  <c r="N160" i="102"/>
  <c r="N160" i="15"/>
  <c r="N160" i="38"/>
  <c r="N160" i="24"/>
  <c r="N160" i="79"/>
  <c r="N160" i="27"/>
  <c r="N160" i="16"/>
  <c r="N160" i="100"/>
  <c r="N160" i="86"/>
  <c r="N160" i="92"/>
  <c r="N160" i="95"/>
  <c r="N160" i="19"/>
  <c r="N160" i="72"/>
  <c r="N160" i="21"/>
  <c r="N160" i="98"/>
  <c r="N160" i="106"/>
  <c r="N160" i="39"/>
  <c r="N160" i="33"/>
  <c r="N160" i="25"/>
  <c r="N160" i="55"/>
  <c r="N160" i="69"/>
  <c r="N160" i="91"/>
  <c r="N160" i="1"/>
  <c r="N160" i="133"/>
  <c r="N160" i="85"/>
  <c r="N160" i="67"/>
  <c r="N160" i="62"/>
  <c r="N160" i="49"/>
  <c r="N160" i="46"/>
  <c r="N160" i="104"/>
  <c r="N160" i="84"/>
  <c r="N160" i="135"/>
  <c r="N160" i="32"/>
  <c r="N160" i="28"/>
  <c r="N160" i="65"/>
  <c r="N160" i="20"/>
  <c r="N160" i="14"/>
  <c r="N160" i="89"/>
  <c r="N160" i="90"/>
  <c r="N160" i="50"/>
  <c r="N160" i="10"/>
  <c r="N160" i="94"/>
  <c r="N160" i="63"/>
  <c r="N160" i="53"/>
  <c r="N160" i="45"/>
  <c r="N160" i="71"/>
  <c r="N160" i="141"/>
  <c r="N160" i="119"/>
  <c r="N160" i="111"/>
  <c r="N160" i="142"/>
  <c r="N160" i="103"/>
  <c r="N190" i="19"/>
  <c r="N190" i="60"/>
  <c r="N190" i="54"/>
  <c r="N190" i="85"/>
  <c r="N190" i="67"/>
  <c r="N190" i="63"/>
  <c r="N190" i="62"/>
  <c r="N190" i="58"/>
  <c r="N190" i="53"/>
  <c r="N190" i="49"/>
  <c r="N190" i="47"/>
  <c r="N190" i="46"/>
  <c r="N190" i="45"/>
  <c r="N190" i="104"/>
  <c r="N190" i="43"/>
  <c r="N190" i="84"/>
  <c r="N190" i="39"/>
  <c r="N190" i="38"/>
  <c r="N190" i="120"/>
  <c r="N190" i="24"/>
  <c r="N190" i="33"/>
  <c r="N190" i="79"/>
  <c r="N190" i="64"/>
  <c r="N190" i="27"/>
  <c r="N190" i="25"/>
  <c r="N190" i="16"/>
  <c r="N190" i="14"/>
  <c r="N190" i="69"/>
  <c r="N190" i="86"/>
  <c r="N190" i="91"/>
  <c r="N190" i="92"/>
  <c r="N190" i="1"/>
  <c r="N190" i="95"/>
  <c r="N190" i="100"/>
  <c r="N190" i="118"/>
  <c r="N190" i="133"/>
  <c r="N190" i="72"/>
  <c r="N190" i="68"/>
  <c r="N190" i="66"/>
  <c r="N190" i="21"/>
  <c r="N190" i="59"/>
  <c r="N190" i="57"/>
  <c r="N190" i="136"/>
  <c r="N190" i="98"/>
  <c r="N190" i="83"/>
  <c r="N190" i="102"/>
  <c r="N190" i="106"/>
  <c r="N190" i="15"/>
  <c r="N190" i="42"/>
  <c r="N190" i="94"/>
  <c r="N190" i="71"/>
  <c r="N190" i="135"/>
  <c r="N190" i="37"/>
  <c r="N190" i="141"/>
  <c r="N190" i="32"/>
  <c r="N190" i="31"/>
  <c r="N190" i="28"/>
  <c r="N190" i="119"/>
  <c r="N190" i="65"/>
  <c r="N190" i="20"/>
  <c r="N190" i="111"/>
  <c r="N190" i="87"/>
  <c r="N190" i="89"/>
  <c r="N190" i="142"/>
  <c r="N190" i="90"/>
  <c r="N190" i="113"/>
  <c r="N190" i="50"/>
  <c r="N190" i="103"/>
  <c r="N190" i="55"/>
  <c r="N190" i="10"/>
  <c r="N83" i="133"/>
  <c r="N83" i="10"/>
  <c r="N83" i="54"/>
  <c r="N83" i="66"/>
  <c r="N83" i="59"/>
  <c r="N83" i="136"/>
  <c r="N83" i="83"/>
  <c r="N83" i="102"/>
  <c r="N83" i="15"/>
  <c r="N83" i="38"/>
  <c r="N83" i="24"/>
  <c r="N83" i="79"/>
  <c r="N83" i="27"/>
  <c r="N83" i="16"/>
  <c r="N83" i="100"/>
  <c r="N83" i="86"/>
  <c r="N83" i="92"/>
  <c r="N83" i="95"/>
  <c r="N83" i="103"/>
  <c r="N83" i="142"/>
  <c r="N83" i="111"/>
  <c r="N83" i="119"/>
  <c r="N83" i="141"/>
  <c r="N83" i="71"/>
  <c r="N83" i="45"/>
  <c r="N83" i="53"/>
  <c r="N83" i="63"/>
  <c r="N83" i="94"/>
  <c r="N83" i="1"/>
  <c r="N83" i="69"/>
  <c r="N83" i="64"/>
  <c r="N83" i="120"/>
  <c r="N83" i="42"/>
  <c r="N83" i="57"/>
  <c r="N83" i="68"/>
  <c r="N83" i="60"/>
  <c r="N83" i="90"/>
  <c r="N83" i="14"/>
  <c r="N83" i="65"/>
  <c r="N83" i="32"/>
  <c r="N83" i="135"/>
  <c r="N83" i="104"/>
  <c r="N83" i="49"/>
  <c r="N83" i="62"/>
  <c r="N83" i="19"/>
  <c r="N83" i="113"/>
  <c r="N83" i="87"/>
  <c r="N83" i="31"/>
  <c r="N83" i="37"/>
  <c r="N83" i="43"/>
  <c r="N83" i="47"/>
  <c r="N83" i="58"/>
  <c r="N83" i="118"/>
  <c r="N83" i="91"/>
  <c r="N83" i="55"/>
  <c r="N83" i="25"/>
  <c r="N83" i="33"/>
  <c r="N83" i="39"/>
  <c r="N83" i="106"/>
  <c r="N83" i="98"/>
  <c r="N83" i="21"/>
  <c r="N83" i="72"/>
  <c r="N83" i="50"/>
  <c r="N83" i="89"/>
  <c r="N83" i="20"/>
  <c r="N83" i="28"/>
  <c r="N83" i="84"/>
  <c r="N83" i="46"/>
  <c r="N83" i="67"/>
  <c r="N83" i="85"/>
  <c r="N152" i="19"/>
  <c r="N152" i="54"/>
  <c r="N152" i="66"/>
  <c r="N152" i="136"/>
  <c r="N152" i="102"/>
  <c r="N152" i="24"/>
  <c r="N152" i="27"/>
  <c r="N152" i="16"/>
  <c r="N152" i="100"/>
  <c r="N152" i="86"/>
  <c r="N152" i="92"/>
  <c r="N152" i="95"/>
  <c r="N152" i="133"/>
  <c r="N152" i="85"/>
  <c r="N152" i="67"/>
  <c r="N152" i="62"/>
  <c r="N152" i="49"/>
  <c r="N152" i="46"/>
  <c r="N152" i="104"/>
  <c r="N152" i="84"/>
  <c r="N152" i="135"/>
  <c r="N152" i="32"/>
  <c r="N152" i="28"/>
  <c r="N152" i="65"/>
  <c r="N152" i="20"/>
  <c r="N152" i="14"/>
  <c r="N152" i="89"/>
  <c r="N152" i="90"/>
  <c r="N152" i="50"/>
  <c r="N152" i="60"/>
  <c r="N152" i="72"/>
  <c r="N152" i="68"/>
  <c r="N152" i="21"/>
  <c r="N152" i="57"/>
  <c r="N152" i="98"/>
  <c r="N152" i="106"/>
  <c r="N152" i="42"/>
  <c r="N152" i="39"/>
  <c r="N152" i="120"/>
  <c r="N152" i="33"/>
  <c r="N152" i="64"/>
  <c r="N152" i="25"/>
  <c r="N152" i="55"/>
  <c r="N152" i="69"/>
  <c r="N152" i="91"/>
  <c r="N152" i="1"/>
  <c r="N152" i="10"/>
  <c r="N152" i="94"/>
  <c r="N152" i="63"/>
  <c r="N152" i="58"/>
  <c r="N152" i="53"/>
  <c r="N152" i="47"/>
  <c r="N152" i="45"/>
  <c r="N152" i="43"/>
  <c r="N152" i="71"/>
  <c r="N152" i="37"/>
  <c r="N152" i="141"/>
  <c r="N152" i="31"/>
  <c r="N152" i="119"/>
  <c r="N152" i="111"/>
  <c r="N152" i="87"/>
  <c r="N152" i="142"/>
  <c r="N152" i="113"/>
  <c r="N152" i="103"/>
  <c r="N152" i="59"/>
  <c r="N152" i="83"/>
  <c r="N152" i="15"/>
  <c r="N152" i="38"/>
  <c r="N152" i="79"/>
  <c r="N152" i="118"/>
  <c r="N195" i="10"/>
  <c r="N195" i="118"/>
  <c r="N195" i="133"/>
  <c r="N195" i="94"/>
  <c r="N195" i="85"/>
  <c r="N195" i="67"/>
  <c r="N195" i="63"/>
  <c r="N195" i="62"/>
  <c r="N195" i="58"/>
  <c r="N195" i="53"/>
  <c r="N195" i="49"/>
  <c r="N195" i="47"/>
  <c r="N195" i="46"/>
  <c r="N195" i="45"/>
  <c r="N195" i="104"/>
  <c r="N195" i="43"/>
  <c r="N195" i="84"/>
  <c r="N195" i="71"/>
  <c r="N195" i="135"/>
  <c r="N195" i="37"/>
  <c r="N195" i="141"/>
  <c r="N195" i="32"/>
  <c r="N195" i="31"/>
  <c r="N195" i="28"/>
  <c r="N195" i="119"/>
  <c r="N195" i="65"/>
  <c r="N195" i="20"/>
  <c r="N195" i="111"/>
  <c r="N195" i="14"/>
  <c r="N195" i="87"/>
  <c r="N195" i="89"/>
  <c r="N195" i="142"/>
  <c r="N195" i="90"/>
  <c r="N195" i="113"/>
  <c r="N195" i="50"/>
  <c r="N195" i="103"/>
  <c r="N195" i="19"/>
  <c r="N195" i="60"/>
  <c r="N195" i="54"/>
  <c r="N195" i="72"/>
  <c r="N195" i="68"/>
  <c r="N195" i="66"/>
  <c r="N195" i="21"/>
  <c r="N195" i="59"/>
  <c r="N195" i="57"/>
  <c r="N195" i="136"/>
  <c r="N195" i="98"/>
  <c r="N195" i="83"/>
  <c r="N195" i="102"/>
  <c r="N195" i="106"/>
  <c r="N195" i="15"/>
  <c r="N195" i="42"/>
  <c r="N195" i="39"/>
  <c r="N195" i="38"/>
  <c r="N195" i="120"/>
  <c r="N195" i="24"/>
  <c r="N195" i="33"/>
  <c r="N195" i="79"/>
  <c r="N195" i="64"/>
  <c r="N195" i="27"/>
  <c r="N195" i="25"/>
  <c r="N195" i="16"/>
  <c r="N195" i="55"/>
  <c r="N195" i="100"/>
  <c r="N195" i="69"/>
  <c r="N195" i="86"/>
  <c r="N195" i="91"/>
  <c r="N195" i="92"/>
  <c r="N195" i="1"/>
  <c r="N195" i="95"/>
  <c r="N107" i="133"/>
  <c r="N107" i="67"/>
  <c r="N107" i="46"/>
  <c r="N107" i="84"/>
  <c r="N107" i="28"/>
  <c r="N107" i="118"/>
  <c r="N107" i="58"/>
  <c r="N107" i="85"/>
  <c r="N107" i="62"/>
  <c r="N107" i="49"/>
  <c r="N107" i="104"/>
  <c r="N107" i="135"/>
  <c r="N107" i="32"/>
  <c r="N107" i="65"/>
  <c r="N107" i="20"/>
  <c r="N107" i="14"/>
  <c r="N107" i="89"/>
  <c r="N107" i="90"/>
  <c r="N107" i="50"/>
  <c r="N107" i="60"/>
  <c r="N107" i="72"/>
  <c r="N107" i="68"/>
  <c r="N107" i="21"/>
  <c r="N107" i="57"/>
  <c r="N107" i="98"/>
  <c r="N107" i="106"/>
  <c r="N107" i="42"/>
  <c r="N107" i="39"/>
  <c r="N107" i="120"/>
  <c r="N107" i="33"/>
  <c r="N107" i="64"/>
  <c r="N107" i="25"/>
  <c r="N107" i="55"/>
  <c r="N107" i="69"/>
  <c r="N107" i="91"/>
  <c r="N107" i="1"/>
  <c r="N107" i="10"/>
  <c r="N107" i="94"/>
  <c r="N107" i="63"/>
  <c r="N107" i="53"/>
  <c r="N107" i="47"/>
  <c r="N107" i="45"/>
  <c r="N107" i="43"/>
  <c r="N107" i="71"/>
  <c r="N107" i="37"/>
  <c r="N107" i="141"/>
  <c r="N107" i="31"/>
  <c r="N107" i="119"/>
  <c r="N107" i="111"/>
  <c r="N107" i="87"/>
  <c r="N107" i="142"/>
  <c r="N107" i="113"/>
  <c r="N107" i="103"/>
  <c r="N107" i="19"/>
  <c r="N107" i="54"/>
  <c r="N107" i="66"/>
  <c r="N107" i="59"/>
  <c r="N107" i="136"/>
  <c r="N107" i="83"/>
  <c r="N107" i="102"/>
  <c r="N107" i="15"/>
  <c r="N107" i="38"/>
  <c r="N107" i="24"/>
  <c r="N107" i="79"/>
  <c r="N107" i="27"/>
  <c r="N107" i="16"/>
  <c r="N107" i="100"/>
  <c r="N107" i="86"/>
  <c r="N107" i="92"/>
  <c r="N107" i="95"/>
  <c r="N28" i="118"/>
  <c r="N28" i="54"/>
  <c r="N28" i="66"/>
  <c r="N28" i="59"/>
  <c r="N28" i="136"/>
  <c r="N28" i="83"/>
  <c r="N28" i="102"/>
  <c r="N28" i="15"/>
  <c r="N28" i="38"/>
  <c r="N28" i="24"/>
  <c r="N28" i="79"/>
  <c r="N28" i="27"/>
  <c r="N28" i="16"/>
  <c r="N28" i="100"/>
  <c r="N28" i="86"/>
  <c r="N28" i="92"/>
  <c r="N28" i="95"/>
  <c r="N28" i="133"/>
  <c r="N28" i="85"/>
  <c r="N28" i="67"/>
  <c r="N28" i="62"/>
  <c r="N28" i="49"/>
  <c r="N28" i="46"/>
  <c r="N28" i="104"/>
  <c r="N28" i="84"/>
  <c r="N28" i="135"/>
  <c r="N28" i="32"/>
  <c r="N28" i="28"/>
  <c r="N28" i="65"/>
  <c r="N28" i="20"/>
  <c r="N28" i="14"/>
  <c r="N28" i="89"/>
  <c r="N28" i="90"/>
  <c r="N28" i="50"/>
  <c r="N28" i="60"/>
  <c r="N28" i="72"/>
  <c r="N28" i="68"/>
  <c r="N28" i="21"/>
  <c r="N28" i="57"/>
  <c r="N28" i="98"/>
  <c r="N28" i="106"/>
  <c r="N28" i="42"/>
  <c r="N28" i="39"/>
  <c r="N28" i="120"/>
  <c r="N28" i="33"/>
  <c r="N28" i="64"/>
  <c r="N28" i="25"/>
  <c r="N28" i="55"/>
  <c r="N28" i="69"/>
  <c r="N28" i="91"/>
  <c r="N28" i="1"/>
  <c r="N28" i="10"/>
  <c r="N28" i="94"/>
  <c r="N28" i="63"/>
  <c r="N28" i="58"/>
  <c r="N28" i="53"/>
  <c r="N28" i="47"/>
  <c r="N28" i="45"/>
  <c r="N28" i="43"/>
  <c r="N28" i="71"/>
  <c r="N28" i="37"/>
  <c r="N28" i="141"/>
  <c r="N28" i="31"/>
  <c r="N28" i="119"/>
  <c r="N28" i="111"/>
  <c r="N28" i="87"/>
  <c r="N28" i="142"/>
  <c r="N28" i="113"/>
  <c r="N28" i="103"/>
  <c r="N28" i="19"/>
  <c r="N100" i="19"/>
  <c r="N100" i="83"/>
  <c r="N100" i="102"/>
  <c r="N100" i="106"/>
  <c r="N100" i="15"/>
  <c r="N100" i="42"/>
  <c r="N100" i="39"/>
  <c r="N100" i="38"/>
  <c r="N100" i="50"/>
  <c r="N100" i="103"/>
  <c r="N100" i="10"/>
  <c r="N100" i="118"/>
  <c r="N100" i="60"/>
  <c r="N100" i="133"/>
  <c r="N100" i="54"/>
  <c r="N100" i="94"/>
  <c r="N100" i="72"/>
  <c r="N100" i="85"/>
  <c r="N100" i="68"/>
  <c r="N100" i="67"/>
  <c r="N100" i="66"/>
  <c r="N100" i="63"/>
  <c r="N100" i="21"/>
  <c r="N100" i="62"/>
  <c r="N100" i="59"/>
  <c r="N100" i="58"/>
  <c r="N100" i="57"/>
  <c r="N100" i="136"/>
  <c r="N100" i="53"/>
  <c r="N100" i="98"/>
  <c r="N100" i="49"/>
  <c r="N100" i="47"/>
  <c r="N100" i="46"/>
  <c r="N100" i="45"/>
  <c r="N100" i="104"/>
  <c r="N100" i="43"/>
  <c r="N100" i="84"/>
  <c r="N100" i="71"/>
  <c r="N100" i="135"/>
  <c r="N100" i="37"/>
  <c r="N100" i="120"/>
  <c r="N100" i="24"/>
  <c r="N100" i="141"/>
  <c r="N100" i="33"/>
  <c r="N100" i="32"/>
  <c r="N100" i="79"/>
  <c r="N100" i="31"/>
  <c r="N100" i="64"/>
  <c r="N100" i="28"/>
  <c r="N100" i="27"/>
  <c r="N100" i="119"/>
  <c r="N100" i="25"/>
  <c r="N100" i="65"/>
  <c r="N100" i="20"/>
  <c r="N100" i="16"/>
  <c r="N100" i="111"/>
  <c r="N100" i="55"/>
  <c r="N100" i="14"/>
  <c r="N100" i="100"/>
  <c r="N100" i="87"/>
  <c r="N100" i="69"/>
  <c r="N100" i="89"/>
  <c r="N100" i="86"/>
  <c r="N100" i="142"/>
  <c r="N100" i="91"/>
  <c r="N100" i="90"/>
  <c r="N100" i="92"/>
  <c r="N100" i="113"/>
  <c r="N100" i="1"/>
  <c r="N100" i="95"/>
  <c r="N69" i="19"/>
  <c r="N69" i="118"/>
  <c r="N69" i="60"/>
  <c r="N69" i="133"/>
  <c r="N69" i="54"/>
  <c r="N69" i="94"/>
  <c r="N69" i="72"/>
  <c r="N69" i="85"/>
  <c r="N69" i="68"/>
  <c r="N69" i="67"/>
  <c r="N69" i="66"/>
  <c r="N69" i="63"/>
  <c r="N69" i="21"/>
  <c r="N69" i="62"/>
  <c r="N69" i="59"/>
  <c r="N69" i="58"/>
  <c r="N69" i="57"/>
  <c r="N69" i="136"/>
  <c r="N69" i="53"/>
  <c r="N69" i="98"/>
  <c r="N69" i="49"/>
  <c r="N69" i="83"/>
  <c r="N69" i="47"/>
  <c r="N69" i="46"/>
  <c r="N69" i="102"/>
  <c r="N69" i="45"/>
  <c r="N69" i="106"/>
  <c r="N69" i="104"/>
  <c r="N69" i="15"/>
  <c r="N69" i="43"/>
  <c r="N69" i="42"/>
  <c r="N69" i="84"/>
  <c r="N69" i="71"/>
  <c r="N69" i="39"/>
  <c r="N69" i="135"/>
  <c r="N69" i="38"/>
  <c r="N69" i="37"/>
  <c r="N69" i="120"/>
  <c r="N69" i="24"/>
  <c r="N69" i="141"/>
  <c r="N69" i="33"/>
  <c r="N69" i="32"/>
  <c r="N69" i="79"/>
  <c r="N69" i="31"/>
  <c r="N69" i="64"/>
  <c r="N69" i="28"/>
  <c r="N69" i="27"/>
  <c r="N69" i="119"/>
  <c r="N69" i="25"/>
  <c r="N69" i="65"/>
  <c r="N69" i="20"/>
  <c r="N69" i="16"/>
  <c r="N69" i="111"/>
  <c r="N69" i="55"/>
  <c r="N69" i="14"/>
  <c r="N69" i="100"/>
  <c r="N69" i="87"/>
  <c r="N69" i="69"/>
  <c r="N69" i="89"/>
  <c r="N69" i="86"/>
  <c r="N69" i="142"/>
  <c r="N69" i="91"/>
  <c r="N69" i="90"/>
  <c r="N69" i="92"/>
  <c r="N69" i="113"/>
  <c r="N69" i="1"/>
  <c r="N69" i="50"/>
  <c r="N69" i="95"/>
  <c r="N69" i="103"/>
  <c r="N69" i="10"/>
  <c r="N201" i="60"/>
  <c r="N201" i="68"/>
  <c r="N201" i="57"/>
  <c r="N201" i="42"/>
  <c r="N201" i="85"/>
  <c r="N201" i="62"/>
  <c r="N201" i="49"/>
  <c r="N201" i="104"/>
  <c r="N201" i="118"/>
  <c r="N201" i="58"/>
  <c r="N201" i="47"/>
  <c r="N201" i="43"/>
  <c r="N201" i="38"/>
  <c r="N201" i="24"/>
  <c r="N201" i="79"/>
  <c r="N201" i="27"/>
  <c r="N201" i="16"/>
  <c r="N201" i="100"/>
  <c r="N201" i="86"/>
  <c r="N201" i="92"/>
  <c r="N201" i="95"/>
  <c r="N201" i="135"/>
  <c r="N201" i="32"/>
  <c r="N201" i="28"/>
  <c r="N201" i="65"/>
  <c r="N201" i="20"/>
  <c r="N201" i="14"/>
  <c r="N201" i="89"/>
  <c r="N201" i="90"/>
  <c r="N201" i="50"/>
  <c r="N201" i="19"/>
  <c r="N201" i="72"/>
  <c r="N201" i="21"/>
  <c r="N201" i="98"/>
  <c r="N201" i="106"/>
  <c r="N201" i="133"/>
  <c r="N201" i="67"/>
  <c r="N201" i="46"/>
  <c r="N201" i="84"/>
  <c r="N201" i="39"/>
  <c r="N201" i="120"/>
  <c r="N201" i="33"/>
  <c r="N201" i="64"/>
  <c r="N201" i="25"/>
  <c r="N201" i="55"/>
  <c r="N201" i="69"/>
  <c r="N201" i="91"/>
  <c r="N201" i="1"/>
  <c r="N201" i="71"/>
  <c r="N201" i="37"/>
  <c r="N201" i="141"/>
  <c r="N201" i="31"/>
  <c r="N201" i="119"/>
  <c r="N201" i="111"/>
  <c r="N201" i="87"/>
  <c r="N201" i="142"/>
  <c r="N201" i="113"/>
  <c r="N201" i="103"/>
  <c r="N201" i="54"/>
  <c r="N201" i="66"/>
  <c r="N201" i="59"/>
  <c r="N201" i="136"/>
  <c r="N201" i="83"/>
  <c r="N201" i="102"/>
  <c r="N201" i="15"/>
  <c r="N201" i="10"/>
  <c r="N201" i="94"/>
  <c r="N201" i="63"/>
  <c r="N201" i="53"/>
  <c r="N201" i="45"/>
  <c r="N173" i="19"/>
  <c r="N173" i="133"/>
  <c r="N173" i="85"/>
  <c r="N173" i="67"/>
  <c r="N173" i="62"/>
  <c r="N173" i="49"/>
  <c r="N173" i="46"/>
  <c r="N173" i="104"/>
  <c r="N173" i="84"/>
  <c r="N173" i="135"/>
  <c r="N173" i="10"/>
  <c r="N173" i="118"/>
  <c r="N173" i="94"/>
  <c r="N173" i="63"/>
  <c r="N173" i="58"/>
  <c r="N173" i="53"/>
  <c r="N173" i="47"/>
  <c r="N173" i="45"/>
  <c r="N173" i="43"/>
  <c r="N173" i="71"/>
  <c r="N173" i="37"/>
  <c r="N173" i="141"/>
  <c r="N173" i="32"/>
  <c r="N173" i="31"/>
  <c r="N173" i="28"/>
  <c r="N173" i="119"/>
  <c r="N173" i="65"/>
  <c r="N173" i="20"/>
  <c r="N173" i="111"/>
  <c r="N173" i="14"/>
  <c r="N173" i="87"/>
  <c r="N173" i="89"/>
  <c r="N173" i="142"/>
  <c r="N173" i="90"/>
  <c r="N173" i="113"/>
  <c r="N173" i="50"/>
  <c r="N173" i="103"/>
  <c r="N173" i="60"/>
  <c r="N173" i="54"/>
  <c r="N173" i="72"/>
  <c r="N173" i="68"/>
  <c r="N173" i="66"/>
  <c r="N173" i="21"/>
  <c r="N173" i="59"/>
  <c r="N173" i="57"/>
  <c r="N173" i="136"/>
  <c r="N173" i="98"/>
  <c r="N173" i="83"/>
  <c r="N173" i="102"/>
  <c r="N173" i="106"/>
  <c r="N173" i="15"/>
  <c r="N173" i="42"/>
  <c r="N173" i="39"/>
  <c r="N173" i="38"/>
  <c r="N173" i="120"/>
  <c r="N173" i="24"/>
  <c r="N173" i="33"/>
  <c r="N173" i="79"/>
  <c r="N173" i="64"/>
  <c r="N173" i="27"/>
  <c r="N173" i="25"/>
  <c r="N173" i="16"/>
  <c r="N173" i="55"/>
  <c r="N173" i="100"/>
  <c r="N173" i="69"/>
  <c r="N173" i="86"/>
  <c r="N173" i="91"/>
  <c r="N173" i="92"/>
  <c r="N173" i="1"/>
  <c r="N173" i="95"/>
  <c r="N31" i="42"/>
  <c r="N31" i="64"/>
  <c r="N31" i="69"/>
  <c r="N31" i="94"/>
  <c r="N31" i="53"/>
  <c r="N31" i="43"/>
  <c r="N31" i="37"/>
  <c r="N31" i="31"/>
  <c r="N31" i="87"/>
  <c r="N31" i="113"/>
  <c r="N31" i="19"/>
  <c r="N31" i="54"/>
  <c r="N31" i="136"/>
  <c r="N31" i="27"/>
  <c r="N31" i="86"/>
  <c r="N31" i="59"/>
  <c r="N31" i="15"/>
  <c r="N31" i="79"/>
  <c r="N31" i="100"/>
  <c r="N31" i="120"/>
  <c r="N31" i="1"/>
  <c r="N31" i="63"/>
  <c r="N31" i="45"/>
  <c r="N31" i="71"/>
  <c r="N31" i="141"/>
  <c r="N31" i="119"/>
  <c r="N31" i="111"/>
  <c r="N31" i="142"/>
  <c r="N31" i="103"/>
  <c r="N31" i="133"/>
  <c r="N31" i="66"/>
  <c r="N31" i="102"/>
  <c r="N31" i="24"/>
  <c r="N31" i="16"/>
  <c r="N31" i="95"/>
  <c r="N31" i="83"/>
  <c r="N31" i="38"/>
  <c r="N31" i="92"/>
  <c r="N31" i="28"/>
  <c r="N31" i="72"/>
  <c r="N31" i="39"/>
  <c r="N31" i="91"/>
  <c r="N31" i="47"/>
  <c r="N31" i="104"/>
  <c r="N31" i="32"/>
  <c r="N31" i="60"/>
  <c r="N31" i="67"/>
  <c r="N31" i="46"/>
  <c r="N31" i="20"/>
  <c r="N31" i="50"/>
  <c r="N31" i="21"/>
  <c r="N31" i="106"/>
  <c r="N31" i="33"/>
  <c r="N31" i="55"/>
  <c r="N31" i="118"/>
  <c r="N31" i="58"/>
  <c r="N31" i="85"/>
  <c r="N31" i="49"/>
  <c r="N31" i="135"/>
  <c r="N31" i="65"/>
  <c r="N31" i="90"/>
  <c r="N31" i="68"/>
  <c r="N31" i="10"/>
  <c r="N31" i="84"/>
  <c r="N31" i="89"/>
  <c r="N31" i="98"/>
  <c r="N31" i="25"/>
  <c r="N31" i="62"/>
  <c r="N31" i="14"/>
  <c r="N31" i="57"/>
  <c r="N76" i="19"/>
  <c r="N76" i="10"/>
  <c r="N76" i="118"/>
  <c r="N76" i="60"/>
  <c r="N76" i="133"/>
  <c r="N76" i="54"/>
  <c r="N76" i="94"/>
  <c r="N76" i="72"/>
  <c r="N76" i="85"/>
  <c r="N76" i="68"/>
  <c r="N76" i="67"/>
  <c r="N76" i="66"/>
  <c r="N76" i="63"/>
  <c r="N76" i="21"/>
  <c r="N76" i="62"/>
  <c r="N76" i="59"/>
  <c r="N76" i="58"/>
  <c r="N76" i="57"/>
  <c r="N76" i="136"/>
  <c r="N76" i="53"/>
  <c r="N76" i="98"/>
  <c r="N76" i="49"/>
  <c r="N76" i="83"/>
  <c r="N76" i="47"/>
  <c r="N76" i="46"/>
  <c r="N76" i="102"/>
  <c r="N76" i="45"/>
  <c r="N76" i="106"/>
  <c r="N76" i="104"/>
  <c r="N76" i="15"/>
  <c r="N76" i="43"/>
  <c r="N76" i="42"/>
  <c r="N76" i="84"/>
  <c r="N76" i="71"/>
  <c r="N76" i="39"/>
  <c r="N76" i="135"/>
  <c r="N76" i="38"/>
  <c r="N76" i="37"/>
  <c r="N76" i="120"/>
  <c r="N76" i="24"/>
  <c r="N76" i="141"/>
  <c r="N76" i="33"/>
  <c r="N76" i="32"/>
  <c r="N76" i="79"/>
  <c r="N76" i="31"/>
  <c r="N76" i="64"/>
  <c r="N76" i="28"/>
  <c r="N76" i="27"/>
  <c r="N76" i="119"/>
  <c r="N76" i="25"/>
  <c r="N76" i="65"/>
  <c r="N76" i="20"/>
  <c r="N76" i="16"/>
  <c r="N76" i="111"/>
  <c r="N76" i="55"/>
  <c r="N76" i="14"/>
  <c r="N76" i="100"/>
  <c r="N76" i="87"/>
  <c r="N76" i="69"/>
  <c r="N76" i="89"/>
  <c r="N76" i="86"/>
  <c r="N76" i="142"/>
  <c r="N76" i="91"/>
  <c r="N76" i="90"/>
  <c r="N76" i="92"/>
  <c r="N76" i="113"/>
  <c r="N76" i="1"/>
  <c r="N76" i="50"/>
  <c r="N76" i="95"/>
  <c r="N76" i="103"/>
  <c r="N49" i="133"/>
  <c r="N49" i="19"/>
  <c r="N49" i="118"/>
  <c r="N49" i="94"/>
  <c r="N49" i="63"/>
  <c r="N49" i="58"/>
  <c r="N49" i="53"/>
  <c r="N49" i="47"/>
  <c r="N49" i="45"/>
  <c r="N49" i="43"/>
  <c r="N49" i="71"/>
  <c r="N49" i="37"/>
  <c r="N49" i="141"/>
  <c r="N49" i="31"/>
  <c r="N49" i="119"/>
  <c r="N49" i="111"/>
  <c r="N49" i="87"/>
  <c r="N49" i="142"/>
  <c r="N49" i="113"/>
  <c r="N49" i="103"/>
  <c r="N49" i="92"/>
  <c r="N49" i="100"/>
  <c r="N49" i="79"/>
  <c r="N49" i="38"/>
  <c r="N49" i="15"/>
  <c r="N49" i="83"/>
  <c r="N49" i="59"/>
  <c r="N49" i="1"/>
  <c r="N49" i="69"/>
  <c r="N49" i="95"/>
  <c r="N49" i="86"/>
  <c r="N49" i="16"/>
  <c r="N49" i="27"/>
  <c r="N49" i="24"/>
  <c r="N49" i="102"/>
  <c r="N49" i="136"/>
  <c r="N49" i="66"/>
  <c r="N49" i="54"/>
  <c r="N49" i="10"/>
  <c r="N49" i="91"/>
  <c r="N49" i="55"/>
  <c r="N49" i="25"/>
  <c r="N49" i="64"/>
  <c r="N49" i="33"/>
  <c r="N49" i="120"/>
  <c r="N49" i="39"/>
  <c r="N49" i="42"/>
  <c r="N49" i="106"/>
  <c r="N49" i="98"/>
  <c r="N49" i="57"/>
  <c r="N49" i="21"/>
  <c r="N49" i="68"/>
  <c r="N49" i="72"/>
  <c r="N49" i="60"/>
  <c r="N49" i="50"/>
  <c r="N49" i="90"/>
  <c r="N49" i="89"/>
  <c r="N49" i="14"/>
  <c r="N49" i="20"/>
  <c r="N49" i="65"/>
  <c r="N49" i="28"/>
  <c r="N49" i="32"/>
  <c r="N49" i="135"/>
  <c r="N49" i="84"/>
  <c r="N49" i="104"/>
  <c r="N49" i="46"/>
  <c r="N49" i="49"/>
  <c r="N49" i="62"/>
  <c r="N49" i="67"/>
  <c r="N49" i="85"/>
  <c r="N136" i="118"/>
  <c r="N136" i="94"/>
  <c r="N136" i="63"/>
  <c r="N136" i="58"/>
  <c r="N136" i="53"/>
  <c r="N136" i="47"/>
  <c r="N136" i="45"/>
  <c r="N136" i="43"/>
  <c r="N136" i="71"/>
  <c r="N136" i="37"/>
  <c r="N136" i="141"/>
  <c r="N136" i="31"/>
  <c r="N136" i="119"/>
  <c r="N136" i="111"/>
  <c r="N136" i="87"/>
  <c r="N136" i="142"/>
  <c r="N136" i="113"/>
  <c r="N136" i="103"/>
  <c r="N136" i="54"/>
  <c r="N136" i="66"/>
  <c r="N136" i="59"/>
  <c r="N136" i="136"/>
  <c r="N136" i="83"/>
  <c r="N136" i="102"/>
  <c r="N136" i="15"/>
  <c r="N136" i="38"/>
  <c r="N136" i="24"/>
  <c r="N136" i="79"/>
  <c r="N136" i="27"/>
  <c r="N136" i="16"/>
  <c r="N136" i="100"/>
  <c r="N136" i="86"/>
  <c r="N136" i="92"/>
  <c r="N136" i="95"/>
  <c r="N136" i="10"/>
  <c r="N136" i="133"/>
  <c r="N136" i="85"/>
  <c r="N136" i="67"/>
  <c r="N136" i="62"/>
  <c r="N136" i="49"/>
  <c r="N136" i="46"/>
  <c r="N136" i="104"/>
  <c r="N136" i="84"/>
  <c r="N136" i="135"/>
  <c r="N136" i="32"/>
  <c r="N136" i="28"/>
  <c r="N136" i="65"/>
  <c r="N136" i="20"/>
  <c r="N136" i="14"/>
  <c r="N136" i="89"/>
  <c r="N136" i="90"/>
  <c r="N136" i="50"/>
  <c r="N136" i="19"/>
  <c r="N136" i="60"/>
  <c r="N136" i="72"/>
  <c r="N136" i="68"/>
  <c r="N136" i="21"/>
  <c r="N136" i="57"/>
  <c r="N136" i="98"/>
  <c r="N136" i="106"/>
  <c r="N136" i="42"/>
  <c r="N136" i="39"/>
  <c r="N136" i="120"/>
  <c r="N136" i="33"/>
  <c r="N136" i="64"/>
  <c r="N136" i="25"/>
  <c r="N136" i="55"/>
  <c r="N136" i="69"/>
  <c r="N136" i="91"/>
  <c r="N136" i="1"/>
  <c r="N125" i="19"/>
  <c r="N125" i="60"/>
  <c r="N125" i="54"/>
  <c r="N125" i="72"/>
  <c r="N125" i="68"/>
  <c r="N125" i="66"/>
  <c r="N125" i="21"/>
  <c r="N125" i="59"/>
  <c r="N125" i="57"/>
  <c r="N125" i="136"/>
  <c r="N125" i="98"/>
  <c r="N125" i="83"/>
  <c r="N125" i="102"/>
  <c r="N125" i="106"/>
  <c r="N125" i="15"/>
  <c r="N125" i="42"/>
  <c r="N125" i="39"/>
  <c r="N125" i="38"/>
  <c r="N125" i="120"/>
  <c r="N125" i="24"/>
  <c r="N125" i="33"/>
  <c r="N125" i="79"/>
  <c r="N125" i="64"/>
  <c r="N125" i="27"/>
  <c r="N125" i="25"/>
  <c r="N125" i="16"/>
  <c r="N125" i="55"/>
  <c r="N125" i="100"/>
  <c r="N125" i="69"/>
  <c r="N125" i="86"/>
  <c r="N125" i="91"/>
  <c r="N125" i="92"/>
  <c r="N125" i="1"/>
  <c r="N125" i="95"/>
  <c r="N125" i="10"/>
  <c r="N125" i="118"/>
  <c r="N125" i="133"/>
  <c r="N125" i="94"/>
  <c r="N125" i="85"/>
  <c r="N125" i="67"/>
  <c r="N125" i="63"/>
  <c r="N125" i="62"/>
  <c r="N125" i="58"/>
  <c r="N125" i="53"/>
  <c r="N125" i="49"/>
  <c r="N125" i="47"/>
  <c r="N125" i="46"/>
  <c r="N125" i="45"/>
  <c r="N125" i="104"/>
  <c r="N125" i="43"/>
  <c r="N125" i="84"/>
  <c r="N125" i="71"/>
  <c r="N125" i="135"/>
  <c r="N125" i="37"/>
  <c r="N125" i="141"/>
  <c r="N125" i="32"/>
  <c r="N125" i="31"/>
  <c r="N125" i="28"/>
  <c r="N125" i="119"/>
  <c r="N125" i="65"/>
  <c r="N125" i="20"/>
  <c r="N125" i="111"/>
  <c r="N125" i="14"/>
  <c r="N125" i="87"/>
  <c r="N125" i="89"/>
  <c r="N125" i="142"/>
  <c r="N125" i="90"/>
  <c r="N125" i="113"/>
  <c r="N125" i="50"/>
  <c r="N125" i="103"/>
  <c r="N137" i="118"/>
  <c r="N137" i="133"/>
  <c r="N137" i="94"/>
  <c r="N137" i="85"/>
  <c r="N137" i="67"/>
  <c r="N137" i="63"/>
  <c r="N137" i="62"/>
  <c r="N137" i="58"/>
  <c r="N137" i="53"/>
  <c r="N137" i="49"/>
  <c r="N137" i="47"/>
  <c r="N137" i="46"/>
  <c r="N137" i="45"/>
  <c r="N137" i="104"/>
  <c r="N137" i="43"/>
  <c r="N137" i="84"/>
  <c r="N137" i="71"/>
  <c r="N137" i="135"/>
  <c r="N137" i="37"/>
  <c r="N137" i="141"/>
  <c r="N137" i="32"/>
  <c r="N137" i="31"/>
  <c r="N137" i="28"/>
  <c r="N137" i="119"/>
  <c r="N137" i="65"/>
  <c r="N137" i="20"/>
  <c r="N137" i="111"/>
  <c r="N137" i="14"/>
  <c r="N137" i="87"/>
  <c r="N137" i="89"/>
  <c r="N137" i="142"/>
  <c r="N137" i="90"/>
  <c r="N137" i="113"/>
  <c r="N137" i="50"/>
  <c r="N137" i="103"/>
  <c r="N137" i="10"/>
  <c r="N137" i="60"/>
  <c r="N137" i="72"/>
  <c r="N137" i="68"/>
  <c r="N137" i="66"/>
  <c r="N137" i="21"/>
  <c r="N137" i="59"/>
  <c r="N137" i="57"/>
  <c r="N137" i="136"/>
  <c r="N137" i="98"/>
  <c r="N137" i="83"/>
  <c r="N137" i="102"/>
  <c r="N137" i="106"/>
  <c r="N137" i="15"/>
  <c r="N137" i="42"/>
  <c r="N137" i="39"/>
  <c r="N137" i="38"/>
  <c r="N137" i="120"/>
  <c r="N137" i="24"/>
  <c r="N137" i="33"/>
  <c r="N137" i="79"/>
  <c r="N137" i="64"/>
  <c r="N137" i="27"/>
  <c r="N137" i="25"/>
  <c r="N137" i="16"/>
  <c r="N137" i="55"/>
  <c r="N137" i="100"/>
  <c r="N137" i="69"/>
  <c r="N137" i="86"/>
  <c r="N137" i="91"/>
  <c r="N137" i="92"/>
  <c r="N137" i="1"/>
  <c r="N137" i="95"/>
  <c r="N137" i="19"/>
  <c r="N137" i="54"/>
  <c r="N114" i="118"/>
  <c r="N114" i="133"/>
  <c r="N114" i="94"/>
  <c r="N114" i="85"/>
  <c r="N114" i="67"/>
  <c r="N114" i="63"/>
  <c r="N114" i="62"/>
  <c r="N114" i="58"/>
  <c r="N114" i="53"/>
  <c r="N114" i="49"/>
  <c r="N114" i="47"/>
  <c r="N114" i="46"/>
  <c r="N114" i="45"/>
  <c r="N114" i="104"/>
  <c r="N114" i="43"/>
  <c r="N114" i="84"/>
  <c r="N114" i="71"/>
  <c r="N114" i="135"/>
  <c r="N114" i="37"/>
  <c r="N114" i="141"/>
  <c r="N114" i="32"/>
  <c r="N114" i="31"/>
  <c r="N114" i="28"/>
  <c r="N114" i="119"/>
  <c r="N114" i="65"/>
  <c r="N114" i="20"/>
  <c r="N114" i="111"/>
  <c r="N114" i="14"/>
  <c r="N114" i="87"/>
  <c r="N114" i="89"/>
  <c r="N114" i="142"/>
  <c r="N114" i="90"/>
  <c r="N114" i="113"/>
  <c r="N114" i="50"/>
  <c r="N114" i="103"/>
  <c r="N114" i="19"/>
  <c r="N114" i="60"/>
  <c r="N114" i="54"/>
  <c r="N114" i="72"/>
  <c r="N114" i="68"/>
  <c r="N114" i="66"/>
  <c r="N114" i="21"/>
  <c r="N114" i="59"/>
  <c r="N114" i="57"/>
  <c r="N114" i="136"/>
  <c r="N114" i="98"/>
  <c r="N114" i="83"/>
  <c r="N114" i="102"/>
  <c r="N114" i="106"/>
  <c r="N114" i="15"/>
  <c r="N114" i="42"/>
  <c r="N114" i="39"/>
  <c r="N114" i="38"/>
  <c r="N114" i="120"/>
  <c r="N114" i="24"/>
  <c r="N114" i="33"/>
  <c r="N114" i="79"/>
  <c r="N114" i="64"/>
  <c r="N114" i="27"/>
  <c r="N114" i="25"/>
  <c r="N114" i="16"/>
  <c r="N114" i="55"/>
  <c r="N114" i="100"/>
  <c r="N114" i="69"/>
  <c r="N114" i="86"/>
  <c r="N114" i="91"/>
  <c r="N114" i="92"/>
  <c r="N114" i="1"/>
  <c r="N114" i="95"/>
  <c r="N114" i="10"/>
  <c r="N166" i="118"/>
  <c r="N166" i="10"/>
  <c r="N166" i="60"/>
  <c r="N166" i="54"/>
  <c r="N166" i="72"/>
  <c r="N166" i="68"/>
  <c r="N166" i="66"/>
  <c r="N166" i="21"/>
  <c r="N166" i="59"/>
  <c r="N166" i="57"/>
  <c r="N166" i="136"/>
  <c r="N166" i="98"/>
  <c r="N166" i="83"/>
  <c r="N166" i="102"/>
  <c r="N166" i="106"/>
  <c r="N166" i="15"/>
  <c r="N166" i="42"/>
  <c r="N166" i="39"/>
  <c r="N166" i="38"/>
  <c r="N166" i="120"/>
  <c r="N166" i="24"/>
  <c r="N166" i="33"/>
  <c r="N166" i="79"/>
  <c r="N166" i="64"/>
  <c r="N166" i="27"/>
  <c r="N166" i="25"/>
  <c r="N166" i="16"/>
  <c r="N166" i="14"/>
  <c r="N166" i="69"/>
  <c r="N166" i="86"/>
  <c r="N166" i="91"/>
  <c r="N166" i="92"/>
  <c r="N166" i="1"/>
  <c r="N166" i="95"/>
  <c r="N166" i="100"/>
  <c r="N166" i="19"/>
  <c r="N166" i="133"/>
  <c r="N166" i="94"/>
  <c r="N166" i="85"/>
  <c r="N166" i="67"/>
  <c r="N166" i="63"/>
  <c r="N166" i="62"/>
  <c r="N166" i="58"/>
  <c r="N166" i="53"/>
  <c r="N166" i="49"/>
  <c r="N166" i="47"/>
  <c r="N166" i="46"/>
  <c r="N166" i="45"/>
  <c r="N166" i="104"/>
  <c r="N166" i="43"/>
  <c r="N166" i="84"/>
  <c r="N166" i="71"/>
  <c r="N166" i="135"/>
  <c r="N166" i="37"/>
  <c r="N166" i="141"/>
  <c r="N166" i="32"/>
  <c r="N166" i="31"/>
  <c r="N166" i="28"/>
  <c r="N166" i="119"/>
  <c r="N166" i="65"/>
  <c r="N166" i="20"/>
  <c r="N166" i="111"/>
  <c r="N166" i="87"/>
  <c r="N166" i="89"/>
  <c r="N166" i="142"/>
  <c r="N166" i="90"/>
  <c r="N166" i="113"/>
  <c r="N166" i="50"/>
  <c r="N166" i="103"/>
  <c r="N166" i="55"/>
  <c r="N21" i="19"/>
  <c r="N21" i="54"/>
  <c r="N21" i="66"/>
  <c r="N21" i="59"/>
  <c r="N21" i="136"/>
  <c r="N21" i="83"/>
  <c r="N21" i="102"/>
  <c r="N21" i="15"/>
  <c r="N21" i="38"/>
  <c r="N21" i="24"/>
  <c r="N21" i="79"/>
  <c r="N21" i="27"/>
  <c r="N21" i="16"/>
  <c r="N21" i="100"/>
  <c r="N21" i="86"/>
  <c r="N21" i="92"/>
  <c r="N21" i="95"/>
  <c r="N21" i="133"/>
  <c r="N21" i="85"/>
  <c r="N21" i="67"/>
  <c r="N21" i="62"/>
  <c r="N21" i="49"/>
  <c r="N21" i="46"/>
  <c r="N21" i="104"/>
  <c r="N21" i="84"/>
  <c r="N21" i="135"/>
  <c r="N21" i="32"/>
  <c r="N21" i="28"/>
  <c r="N21" i="65"/>
  <c r="N21" i="20"/>
  <c r="N21" i="14"/>
  <c r="N21" i="89"/>
  <c r="N21" i="90"/>
  <c r="N21" i="50"/>
  <c r="N21" i="118"/>
  <c r="N21" i="58"/>
  <c r="N21" i="47"/>
  <c r="N21" i="43"/>
  <c r="N21" i="60"/>
  <c r="N21" i="72"/>
  <c r="N21" i="68"/>
  <c r="N21" i="21"/>
  <c r="N21" i="57"/>
  <c r="N21" i="98"/>
  <c r="N21" i="106"/>
  <c r="N21" i="42"/>
  <c r="N21" i="39"/>
  <c r="N21" i="120"/>
  <c r="N21" i="33"/>
  <c r="N21" i="64"/>
  <c r="N21" i="25"/>
  <c r="N21" i="55"/>
  <c r="N21" i="69"/>
  <c r="N21" i="91"/>
  <c r="N21" i="1"/>
  <c r="N21" i="10"/>
  <c r="N21" i="94"/>
  <c r="N21" i="63"/>
  <c r="N21" i="53"/>
  <c r="N21" i="45"/>
  <c r="N21" i="71"/>
  <c r="N21" i="37"/>
  <c r="N21" i="141"/>
  <c r="N21" i="31"/>
  <c r="N21" i="119"/>
  <c r="N21" i="111"/>
  <c r="N21" i="87"/>
  <c r="N21" i="142"/>
  <c r="N21" i="113"/>
  <c r="N21" i="103"/>
  <c r="N197" i="118"/>
  <c r="N197" i="60"/>
  <c r="N197" i="68"/>
  <c r="N197" i="58"/>
  <c r="N197" i="57"/>
  <c r="N197" i="136"/>
  <c r="N197" i="98"/>
  <c r="N197" i="15"/>
  <c r="N197" i="38"/>
  <c r="N197" i="120"/>
  <c r="N197" i="33"/>
  <c r="N197" i="79"/>
  <c r="N197" i="16"/>
  <c r="N197" i="90"/>
  <c r="N197" i="113"/>
  <c r="N197" i="50"/>
  <c r="N197" i="19"/>
  <c r="N197" i="133"/>
  <c r="N197" i="85"/>
  <c r="N197" i="67"/>
  <c r="N197" i="66"/>
  <c r="N197" i="62"/>
  <c r="N197" i="59"/>
  <c r="N197" i="49"/>
  <c r="N197" i="46"/>
  <c r="N197" i="45"/>
  <c r="N197" i="106"/>
  <c r="N197" i="42"/>
  <c r="N197" i="84"/>
  <c r="N197" i="39"/>
  <c r="N197" i="24"/>
  <c r="N197" i="31"/>
  <c r="N197" i="28"/>
  <c r="N197" i="27"/>
  <c r="N197" i="119"/>
  <c r="N197" i="25"/>
  <c r="N197" i="111"/>
  <c r="N197" i="14"/>
  <c r="N197" i="87"/>
  <c r="N197" i="89"/>
  <c r="N197" i="142"/>
  <c r="N197" i="94"/>
  <c r="N197" i="72"/>
  <c r="N197" i="63"/>
  <c r="N197" i="21"/>
  <c r="N197" i="53"/>
  <c r="N197" i="47"/>
  <c r="N197" i="104"/>
  <c r="N197" i="43"/>
  <c r="N197" i="71"/>
  <c r="N197" i="37"/>
  <c r="N197" i="32"/>
  <c r="N197" i="65"/>
  <c r="N197" i="20"/>
  <c r="N197" i="91"/>
  <c r="N197" i="92"/>
  <c r="N197" i="1"/>
  <c r="N197" i="95"/>
  <c r="N197" i="10"/>
  <c r="N197" i="54"/>
  <c r="N197" i="83"/>
  <c r="N197" i="102"/>
  <c r="N197" i="135"/>
  <c r="N197" i="141"/>
  <c r="N197" i="64"/>
  <c r="N197" i="55"/>
  <c r="N197" i="100"/>
  <c r="N197" i="69"/>
  <c r="N197" i="86"/>
  <c r="N197" i="103"/>
  <c r="N161" i="92"/>
  <c r="N161" i="37"/>
  <c r="N161" i="72"/>
  <c r="N161" i="120"/>
  <c r="N161" i="84"/>
  <c r="N161" i="1"/>
  <c r="N161" i="54"/>
  <c r="N161" i="10"/>
  <c r="N161" i="38"/>
  <c r="N161" i="85"/>
  <c r="N161" i="141"/>
  <c r="N161" i="91"/>
  <c r="N161" i="59"/>
  <c r="N161" i="135"/>
  <c r="N161" i="69"/>
  <c r="N161" i="106"/>
  <c r="N161" i="43"/>
  <c r="N161" i="103"/>
  <c r="N161" i="62"/>
  <c r="N161" i="45"/>
  <c r="N161" i="113"/>
  <c r="N161" i="14"/>
  <c r="N161" i="94"/>
  <c r="N161" i="83"/>
  <c r="N161" i="15"/>
  <c r="N161" i="25"/>
  <c r="N161" i="71"/>
  <c r="N161" i="86"/>
  <c r="N161" i="102"/>
  <c r="N161" i="55"/>
  <c r="N161" i="20"/>
  <c r="N161" i="100"/>
  <c r="N161" i="60"/>
  <c r="N161" i="95"/>
  <c r="N161" i="111"/>
  <c r="N161" i="90"/>
  <c r="N161" i="63"/>
  <c r="N161" i="31"/>
  <c r="N161" i="79"/>
  <c r="N161" i="142"/>
  <c r="N161" i="49"/>
  <c r="N161" i="16"/>
  <c r="N161" i="119"/>
  <c r="N161" i="24"/>
  <c r="N161" i="89"/>
  <c r="N161" i="58"/>
  <c r="N161" i="64"/>
  <c r="N161" i="46"/>
  <c r="N161" i="66"/>
  <c r="N161" i="39"/>
  <c r="N161" i="33"/>
  <c r="N161" i="53"/>
  <c r="N161" i="28"/>
  <c r="N161" i="57"/>
  <c r="N161" i="50"/>
  <c r="N161" i="67"/>
  <c r="N161" i="42"/>
  <c r="N161" i="104"/>
  <c r="N161" i="21"/>
  <c r="N161" i="19"/>
  <c r="N161" i="47"/>
  <c r="N161" i="136"/>
  <c r="N161" i="87"/>
  <c r="N161" i="118"/>
  <c r="N161" i="27"/>
  <c r="N161" i="68"/>
  <c r="N161" i="32"/>
  <c r="N161" i="65"/>
  <c r="N161" i="133"/>
  <c r="N161" i="98"/>
  <c r="N206" i="47"/>
  <c r="N206" i="72"/>
  <c r="N206" i="25"/>
  <c r="N206" i="65"/>
  <c r="N206" i="53"/>
  <c r="N206" i="83"/>
  <c r="N206" i="64"/>
  <c r="N206" i="28"/>
  <c r="N206" i="59"/>
  <c r="N206" i="120"/>
  <c r="N206" i="135"/>
  <c r="N206" i="104"/>
  <c r="N206" i="71"/>
  <c r="N206" i="45"/>
  <c r="N206" i="39"/>
  <c r="N206" i="84"/>
  <c r="N206" i="98"/>
  <c r="N206" i="19"/>
  <c r="N206" i="87"/>
  <c r="N206" i="20"/>
  <c r="N206" i="16"/>
  <c r="N206" i="111"/>
  <c r="N206" i="113"/>
  <c r="N206" i="69"/>
  <c r="N206" i="86"/>
  <c r="N206" i="118"/>
  <c r="N206" i="136"/>
  <c r="N206" i="133"/>
  <c r="N206" i="94"/>
  <c r="N206" i="10"/>
  <c r="N206" i="57"/>
  <c r="N206" i="1"/>
  <c r="N206" i="50"/>
  <c r="N206" i="95"/>
  <c r="N206" i="103"/>
  <c r="N206" i="102"/>
  <c r="N206" i="67"/>
  <c r="N206" i="49"/>
  <c r="N206" i="63"/>
  <c r="N206" i="54"/>
  <c r="N206" i="85"/>
  <c r="N206" i="27"/>
  <c r="N206" i="43"/>
  <c r="N206" i="91"/>
  <c r="N206" i="90"/>
  <c r="N206" i="106"/>
  <c r="N206" i="37"/>
  <c r="N206" i="38"/>
  <c r="N206" i="142"/>
  <c r="N206" i="68"/>
  <c r="N206" i="55"/>
  <c r="N206" i="14"/>
  <c r="N206" i="100"/>
  <c r="N206" i="46"/>
  <c r="N206" i="15"/>
  <c r="N206" i="62"/>
  <c r="N206" i="21"/>
  <c r="N206" i="58"/>
  <c r="N206" i="92"/>
  <c r="N206" i="66"/>
  <c r="N206" i="89"/>
  <c r="N206" i="119"/>
  <c r="N206" i="60"/>
  <c r="N206" i="33"/>
  <c r="N206" i="32"/>
  <c r="N206" i="79"/>
  <c r="N206" i="31"/>
  <c r="N206" i="24"/>
  <c r="N206" i="42"/>
  <c r="N206" i="141"/>
  <c r="N102" i="62"/>
  <c r="N102" i="49"/>
  <c r="N102" i="135"/>
  <c r="N102" i="65"/>
  <c r="N102" i="90"/>
  <c r="N102" i="59"/>
  <c r="N102" i="83"/>
  <c r="N102" i="38"/>
  <c r="N102" i="92"/>
  <c r="N102" i="94"/>
  <c r="N102" i="53"/>
  <c r="N102" i="47"/>
  <c r="N102" i="37"/>
  <c r="N102" i="141"/>
  <c r="N102" i="111"/>
  <c r="N102" i="142"/>
  <c r="N102" i="21"/>
  <c r="N102" i="57"/>
  <c r="N102" i="69"/>
  <c r="N102" i="10"/>
  <c r="N102" i="85"/>
  <c r="N102" i="104"/>
  <c r="N102" i="32"/>
  <c r="N102" i="14"/>
  <c r="N102" i="15"/>
  <c r="N102" i="79"/>
  <c r="N102" i="100"/>
  <c r="N102" i="113"/>
  <c r="N102" i="103"/>
  <c r="N102" i="63"/>
  <c r="N102" i="45"/>
  <c r="N102" i="71"/>
  <c r="N102" i="119"/>
  <c r="N102" i="19"/>
  <c r="N102" i="72"/>
  <c r="N102" i="42"/>
  <c r="N102" i="120"/>
  <c r="N102" i="64"/>
  <c r="N102" i="1"/>
  <c r="N102" i="67"/>
  <c r="N102" i="84"/>
  <c r="N102" i="28"/>
  <c r="N102" i="89"/>
  <c r="N102" i="54"/>
  <c r="N102" i="136"/>
  <c r="N102" i="27"/>
  <c r="N102" i="86"/>
  <c r="N102" i="118"/>
  <c r="N102" i="58"/>
  <c r="N102" i="31"/>
  <c r="N102" i="87"/>
  <c r="N102" i="68"/>
  <c r="N102" i="106"/>
  <c r="N102" i="33"/>
  <c r="N102" i="55"/>
  <c r="N102" i="50"/>
  <c r="N102" i="133"/>
  <c r="N102" i="46"/>
  <c r="N102" i="20"/>
  <c r="N102" i="66"/>
  <c r="N102" i="102"/>
  <c r="N102" i="24"/>
  <c r="N102" i="16"/>
  <c r="N102" i="95"/>
  <c r="N102" i="43"/>
  <c r="N102" i="60"/>
  <c r="N102" i="98"/>
  <c r="N102" i="39"/>
  <c r="N102" i="25"/>
  <c r="N102" i="91"/>
  <c r="N208" i="49"/>
  <c r="N208" i="39"/>
  <c r="N208" i="91"/>
  <c r="N208" i="24"/>
  <c r="N208" i="57"/>
  <c r="N208" i="86"/>
  <c r="N208" i="10"/>
  <c r="N208" i="63"/>
  <c r="N208" i="45"/>
  <c r="N208" i="141"/>
  <c r="N208" i="111"/>
  <c r="N208" i="103"/>
  <c r="N208" i="83"/>
  <c r="N208" i="38"/>
  <c r="N208" i="92"/>
  <c r="N208" i="67"/>
  <c r="N208" i="46"/>
  <c r="N208" i="20"/>
  <c r="N208" i="50"/>
  <c r="N208" i="21"/>
  <c r="N208" i="42"/>
  <c r="N208" i="120"/>
  <c r="N208" i="64"/>
  <c r="N208" i="69"/>
  <c r="N208" i="1"/>
  <c r="N208" i="58"/>
  <c r="N208" i="31"/>
  <c r="N208" i="19"/>
  <c r="N208" i="102"/>
  <c r="N208" i="16"/>
  <c r="N208" i="62"/>
  <c r="N208" i="32"/>
  <c r="N208" i="60"/>
  <c r="N208" i="37"/>
  <c r="N208" i="113"/>
  <c r="N208" i="136"/>
  <c r="N208" i="27"/>
  <c r="N208" i="85"/>
  <c r="N208" i="135"/>
  <c r="N208" i="90"/>
  <c r="N208" i="94"/>
  <c r="N208" i="53"/>
  <c r="N208" i="71"/>
  <c r="N208" i="119"/>
  <c r="N208" i="142"/>
  <c r="N208" i="59"/>
  <c r="N208" i="15"/>
  <c r="N208" i="79"/>
  <c r="N208" i="100"/>
  <c r="N208" i="133"/>
  <c r="N208" i="84"/>
  <c r="N208" i="28"/>
  <c r="N208" i="89"/>
  <c r="N208" i="98"/>
  <c r="N208" i="106"/>
  <c r="N208" i="33"/>
  <c r="N208" i="55"/>
  <c r="N208" i="118"/>
  <c r="N208" i="43"/>
  <c r="N208" i="66"/>
  <c r="N208" i="95"/>
  <c r="N208" i="14"/>
  <c r="N208" i="47"/>
  <c r="N208" i="65"/>
  <c r="N208" i="72"/>
  <c r="N208" i="25"/>
  <c r="N208" i="87"/>
  <c r="N208" i="104"/>
  <c r="N208" i="54"/>
  <c r="N208" i="68"/>
  <c r="N129" i="118"/>
  <c r="N129" i="59"/>
  <c r="N129" i="83"/>
  <c r="N129" i="15"/>
  <c r="N129" i="38"/>
  <c r="N129" i="79"/>
  <c r="N129" i="32"/>
  <c r="N129" i="28"/>
  <c r="N129" i="65"/>
  <c r="N129" i="20"/>
  <c r="N129" i="14"/>
  <c r="N129" i="89"/>
  <c r="N129" i="90"/>
  <c r="N129" i="50"/>
  <c r="N129" i="60"/>
  <c r="N129" i="72"/>
  <c r="N129" i="68"/>
  <c r="N129" i="21"/>
  <c r="N129" i="57"/>
  <c r="N129" i="98"/>
  <c r="N129" i="106"/>
  <c r="N129" i="42"/>
  <c r="N129" i="39"/>
  <c r="N129" i="120"/>
  <c r="N129" i="33"/>
  <c r="N129" i="64"/>
  <c r="N129" i="25"/>
  <c r="N129" i="55"/>
  <c r="N129" i="69"/>
  <c r="N129" i="91"/>
  <c r="N129" i="1"/>
  <c r="N129" i="10"/>
  <c r="N129" i="94"/>
  <c r="N129" i="63"/>
  <c r="N129" i="58"/>
  <c r="N129" i="53"/>
  <c r="N129" i="47"/>
  <c r="N129" i="45"/>
  <c r="N129" i="43"/>
  <c r="N129" i="71"/>
  <c r="N129" i="37"/>
  <c r="N129" i="141"/>
  <c r="N129" i="31"/>
  <c r="N129" i="119"/>
  <c r="N129" i="111"/>
  <c r="N129" i="87"/>
  <c r="N129" i="142"/>
  <c r="N129" i="113"/>
  <c r="N129" i="103"/>
  <c r="N129" i="19"/>
  <c r="N129" i="54"/>
  <c r="N129" i="66"/>
  <c r="N129" i="136"/>
  <c r="N129" i="102"/>
  <c r="N129" i="24"/>
  <c r="N129" i="27"/>
  <c r="N129" i="16"/>
  <c r="N129" i="100"/>
  <c r="N129" i="86"/>
  <c r="N129" i="92"/>
  <c r="N129" i="95"/>
  <c r="N129" i="133"/>
  <c r="N129" i="85"/>
  <c r="N129" i="67"/>
  <c r="N129" i="62"/>
  <c r="N129" i="49"/>
  <c r="N129" i="46"/>
  <c r="N129" i="104"/>
  <c r="N129" i="84"/>
  <c r="N129" i="135"/>
  <c r="N203" i="19"/>
  <c r="N203" i="60"/>
  <c r="N203" i="54"/>
  <c r="N203" i="72"/>
  <c r="N203" i="68"/>
  <c r="N203" i="66"/>
  <c r="N203" i="21"/>
  <c r="N203" i="59"/>
  <c r="N203" i="57"/>
  <c r="N203" i="136"/>
  <c r="N203" i="98"/>
  <c r="N203" i="83"/>
  <c r="N203" i="102"/>
  <c r="N203" i="106"/>
  <c r="N203" i="15"/>
  <c r="N203" i="42"/>
  <c r="N203" i="10"/>
  <c r="N203" i="118"/>
  <c r="N203" i="133"/>
  <c r="N203" i="94"/>
  <c r="N203" i="85"/>
  <c r="N203" i="67"/>
  <c r="N203" i="63"/>
  <c r="N203" i="62"/>
  <c r="N203" i="58"/>
  <c r="N203" i="53"/>
  <c r="N203" i="49"/>
  <c r="N203" i="47"/>
  <c r="N203" i="46"/>
  <c r="N203" i="45"/>
  <c r="N203" i="104"/>
  <c r="N203" i="43"/>
  <c r="N203" i="84"/>
  <c r="N203" i="39"/>
  <c r="N203" i="38"/>
  <c r="N203" i="120"/>
  <c r="N203" i="24"/>
  <c r="N203" i="33"/>
  <c r="N203" i="79"/>
  <c r="N203" i="64"/>
  <c r="N203" i="27"/>
  <c r="N203" i="25"/>
  <c r="N203" i="16"/>
  <c r="N203" i="55"/>
  <c r="N203" i="100"/>
  <c r="N203" i="69"/>
  <c r="N203" i="86"/>
  <c r="N203" i="91"/>
  <c r="N203" i="92"/>
  <c r="N203" i="1"/>
  <c r="N203" i="95"/>
  <c r="N203" i="71"/>
  <c r="N203" i="135"/>
  <c r="N203" i="37"/>
  <c r="N203" i="141"/>
  <c r="N203" i="32"/>
  <c r="N203" i="31"/>
  <c r="N203" i="28"/>
  <c r="N203" i="119"/>
  <c r="N203" i="65"/>
  <c r="N203" i="20"/>
  <c r="N203" i="111"/>
  <c r="N203" i="14"/>
  <c r="N203" i="87"/>
  <c r="N203" i="89"/>
  <c r="N203" i="142"/>
  <c r="N203" i="90"/>
  <c r="N203" i="113"/>
  <c r="N203" i="50"/>
  <c r="N203" i="103"/>
  <c r="N194" i="19"/>
  <c r="N194" i="118"/>
  <c r="N194" i="60"/>
  <c r="N194" i="133"/>
  <c r="N194" i="54"/>
  <c r="N194" i="72"/>
  <c r="N194" i="85"/>
  <c r="N194" i="68"/>
  <c r="N194" i="67"/>
  <c r="N194" i="66"/>
  <c r="N194" i="63"/>
  <c r="N194" i="21"/>
  <c r="N194" i="62"/>
  <c r="N194" i="59"/>
  <c r="N194" i="58"/>
  <c r="N194" i="57"/>
  <c r="N194" i="136"/>
  <c r="N194" i="53"/>
  <c r="N194" i="98"/>
  <c r="N194" i="49"/>
  <c r="N194" i="83"/>
  <c r="N194" i="47"/>
  <c r="N194" i="46"/>
  <c r="N194" i="102"/>
  <c r="N194" i="45"/>
  <c r="N194" i="106"/>
  <c r="N194" i="104"/>
  <c r="N194" i="15"/>
  <c r="N194" i="43"/>
  <c r="N194" i="42"/>
  <c r="N194" i="84"/>
  <c r="N194" i="94"/>
  <c r="N194" i="71"/>
  <c r="N194" i="39"/>
  <c r="N194" i="135"/>
  <c r="N194" i="38"/>
  <c r="N194" i="37"/>
  <c r="N194" i="120"/>
  <c r="N194" i="24"/>
  <c r="N194" i="141"/>
  <c r="N194" i="33"/>
  <c r="N194" i="32"/>
  <c r="N194" i="79"/>
  <c r="N194" i="31"/>
  <c r="N194" i="64"/>
  <c r="N194" i="28"/>
  <c r="N194" i="27"/>
  <c r="N194" i="119"/>
  <c r="N194" i="25"/>
  <c r="N194" i="65"/>
  <c r="N194" i="20"/>
  <c r="N194" i="16"/>
  <c r="N194" i="111"/>
  <c r="N194" i="14"/>
  <c r="N194" i="87"/>
  <c r="N194" i="69"/>
  <c r="N194" i="89"/>
  <c r="N194" i="86"/>
  <c r="N194" i="142"/>
  <c r="N194" i="91"/>
  <c r="N194" i="90"/>
  <c r="N194" i="92"/>
  <c r="N194" i="113"/>
  <c r="N194" i="1"/>
  <c r="N194" i="50"/>
  <c r="N194" i="95"/>
  <c r="N194" i="103"/>
  <c r="N194" i="10"/>
  <c r="N194" i="55"/>
  <c r="N194" i="100"/>
  <c r="N110" i="19"/>
  <c r="N110" i="118"/>
  <c r="N110" i="94"/>
  <c r="N110" i="63"/>
  <c r="N110" i="58"/>
  <c r="N110" i="53"/>
  <c r="N110" i="47"/>
  <c r="N110" i="45"/>
  <c r="N110" i="43"/>
  <c r="N110" i="71"/>
  <c r="N110" i="37"/>
  <c r="N110" i="141"/>
  <c r="N110" i="31"/>
  <c r="N110" i="119"/>
  <c r="N110" i="111"/>
  <c r="N110" i="87"/>
  <c r="N110" i="142"/>
  <c r="N110" i="113"/>
  <c r="N110" i="103"/>
  <c r="N110" i="54"/>
  <c r="N110" i="66"/>
  <c r="N110" i="59"/>
  <c r="N110" i="136"/>
  <c r="N110" i="83"/>
  <c r="N110" i="102"/>
  <c r="N110" i="15"/>
  <c r="N110" i="38"/>
  <c r="N110" i="24"/>
  <c r="N110" i="79"/>
  <c r="N110" i="27"/>
  <c r="N110" i="16"/>
  <c r="N110" i="100"/>
  <c r="N110" i="86"/>
  <c r="N110" i="92"/>
  <c r="N110" i="95"/>
  <c r="N110" i="133"/>
  <c r="N110" i="85"/>
  <c r="N110" i="60"/>
  <c r="N110" i="72"/>
  <c r="N110" i="68"/>
  <c r="N110" i="21"/>
  <c r="N110" i="57"/>
  <c r="N110" i="98"/>
  <c r="N110" i="106"/>
  <c r="N110" i="42"/>
  <c r="N110" i="39"/>
  <c r="N110" i="120"/>
  <c r="N110" i="33"/>
  <c r="N110" i="64"/>
  <c r="N110" i="25"/>
  <c r="N110" i="55"/>
  <c r="N110" i="69"/>
  <c r="N110" i="91"/>
  <c r="N110" i="1"/>
  <c r="N110" i="10"/>
  <c r="N110" i="67"/>
  <c r="N110" i="62"/>
  <c r="N110" i="49"/>
  <c r="N110" i="46"/>
  <c r="N110" i="104"/>
  <c r="N110" i="84"/>
  <c r="N110" i="135"/>
  <c r="N110" i="32"/>
  <c r="N110" i="28"/>
  <c r="N110" i="65"/>
  <c r="N110" i="20"/>
  <c r="N110" i="14"/>
  <c r="N110" i="89"/>
  <c r="N110" i="90"/>
  <c r="N110" i="50"/>
  <c r="N150" i="60"/>
  <c r="N150" i="54"/>
  <c r="N150" i="72"/>
  <c r="N150" i="68"/>
  <c r="N150" i="66"/>
  <c r="N150" i="21"/>
  <c r="N150" i="59"/>
  <c r="N150" i="57"/>
  <c r="N150" i="136"/>
  <c r="N150" i="98"/>
  <c r="N150" i="83"/>
  <c r="N150" i="102"/>
  <c r="N150" i="106"/>
  <c r="N150" i="15"/>
  <c r="N150" i="42"/>
  <c r="N150" i="39"/>
  <c r="N150" i="38"/>
  <c r="N150" i="120"/>
  <c r="N150" i="24"/>
  <c r="N150" i="33"/>
  <c r="N150" i="79"/>
  <c r="N150" i="64"/>
  <c r="N150" i="27"/>
  <c r="N150" i="25"/>
  <c r="N150" i="16"/>
  <c r="N150" i="55"/>
  <c r="N150" i="100"/>
  <c r="N150" i="69"/>
  <c r="N150" i="86"/>
  <c r="N150" i="91"/>
  <c r="N150" i="92"/>
  <c r="N150" i="1"/>
  <c r="N150" i="95"/>
  <c r="N150" i="10"/>
  <c r="N150" i="118"/>
  <c r="N150" i="133"/>
  <c r="N150" i="94"/>
  <c r="N150" i="85"/>
  <c r="N150" i="67"/>
  <c r="N150" i="63"/>
  <c r="N150" i="62"/>
  <c r="N150" i="58"/>
  <c r="N150" i="53"/>
  <c r="N150" i="49"/>
  <c r="N150" i="47"/>
  <c r="N150" i="46"/>
  <c r="N150" i="45"/>
  <c r="N150" i="104"/>
  <c r="N150" i="43"/>
  <c r="N150" i="84"/>
  <c r="N150" i="71"/>
  <c r="N150" i="135"/>
  <c r="N150" i="37"/>
  <c r="N150" i="141"/>
  <c r="N150" i="32"/>
  <c r="N150" i="31"/>
  <c r="N150" i="28"/>
  <c r="N150" i="119"/>
  <c r="N150" i="65"/>
  <c r="N150" i="20"/>
  <c r="N150" i="111"/>
  <c r="N150" i="14"/>
  <c r="N150" i="87"/>
  <c r="N150" i="89"/>
  <c r="N150" i="142"/>
  <c r="N150" i="90"/>
  <c r="N150" i="113"/>
  <c r="N150" i="50"/>
  <c r="N150" i="103"/>
  <c r="N150" i="19"/>
  <c r="N167" i="19"/>
  <c r="N167" i="10"/>
  <c r="N167" i="118"/>
  <c r="N167" i="60"/>
  <c r="N167" i="133"/>
  <c r="N167" i="54"/>
  <c r="N167" i="94"/>
  <c r="N167" i="72"/>
  <c r="N167" i="85"/>
  <c r="N167" i="68"/>
  <c r="N167" i="67"/>
  <c r="N167" i="66"/>
  <c r="N167" i="63"/>
  <c r="N167" i="21"/>
  <c r="N167" i="62"/>
  <c r="N167" i="59"/>
  <c r="N167" i="58"/>
  <c r="N167" i="57"/>
  <c r="N167" i="136"/>
  <c r="N167" i="53"/>
  <c r="N167" i="98"/>
  <c r="N167" i="49"/>
  <c r="N167" i="83"/>
  <c r="N167" i="47"/>
  <c r="N167" i="46"/>
  <c r="N167" i="102"/>
  <c r="N167" i="45"/>
  <c r="N167" i="106"/>
  <c r="N167" i="104"/>
  <c r="N167" i="15"/>
  <c r="N167" i="43"/>
  <c r="N167" i="42"/>
  <c r="N167" i="84"/>
  <c r="N167" i="71"/>
  <c r="N167" i="39"/>
  <c r="N167" i="135"/>
  <c r="N167" i="38"/>
  <c r="N167" i="37"/>
  <c r="N167" i="120"/>
  <c r="N167" i="24"/>
  <c r="N167" i="141"/>
  <c r="N167" i="33"/>
  <c r="N167" i="32"/>
  <c r="N167" i="79"/>
  <c r="N167" i="31"/>
  <c r="N167" i="64"/>
  <c r="N167" i="28"/>
  <c r="N167" i="27"/>
  <c r="N167" i="119"/>
  <c r="N167" i="25"/>
  <c r="N167" i="65"/>
  <c r="N167" i="20"/>
  <c r="N167" i="16"/>
  <c r="N167" i="111"/>
  <c r="N167" i="55"/>
  <c r="N167" i="14"/>
  <c r="N167" i="100"/>
  <c r="N167" i="87"/>
  <c r="N167" i="69"/>
  <c r="N167" i="89"/>
  <c r="N167" i="86"/>
  <c r="N167" i="142"/>
  <c r="N167" i="91"/>
  <c r="N167" i="90"/>
  <c r="N167" i="92"/>
  <c r="N167" i="113"/>
  <c r="N167" i="1"/>
  <c r="N167" i="50"/>
  <c r="N167" i="95"/>
  <c r="N167" i="103"/>
  <c r="N34" i="19"/>
  <c r="N34" i="60"/>
  <c r="N34" i="54"/>
  <c r="N34" i="72"/>
  <c r="N34" i="68"/>
  <c r="N34" i="66"/>
  <c r="N34" i="21"/>
  <c r="N34" i="59"/>
  <c r="N34" i="57"/>
  <c r="N34" i="136"/>
  <c r="N34" i="98"/>
  <c r="N34" i="83"/>
  <c r="N34" i="102"/>
  <c r="N34" i="106"/>
  <c r="N34" i="15"/>
  <c r="N34" i="42"/>
  <c r="N34" i="39"/>
  <c r="N34" i="38"/>
  <c r="N34" i="120"/>
  <c r="N34" i="24"/>
  <c r="N34" i="33"/>
  <c r="N34" i="79"/>
  <c r="N34" i="64"/>
  <c r="N34" i="27"/>
  <c r="N34" i="25"/>
  <c r="N34" i="16"/>
  <c r="N34" i="55"/>
  <c r="N34" i="100"/>
  <c r="N34" i="69"/>
  <c r="N34" i="86"/>
  <c r="N34" i="91"/>
  <c r="N34" i="92"/>
  <c r="N34" i="1"/>
  <c r="N34" i="95"/>
  <c r="N34" i="10"/>
  <c r="N34" i="118"/>
  <c r="N34" i="133"/>
  <c r="N34" i="94"/>
  <c r="N34" i="85"/>
  <c r="N34" i="67"/>
  <c r="N34" i="63"/>
  <c r="N34" i="62"/>
  <c r="N34" i="58"/>
  <c r="N34" i="53"/>
  <c r="N34" i="49"/>
  <c r="N34" i="47"/>
  <c r="N34" i="46"/>
  <c r="N34" i="45"/>
  <c r="N34" i="104"/>
  <c r="N34" i="43"/>
  <c r="N34" i="84"/>
  <c r="N34" i="71"/>
  <c r="N34" i="135"/>
  <c r="N34" i="37"/>
  <c r="N34" i="141"/>
  <c r="N34" i="32"/>
  <c r="N34" i="31"/>
  <c r="N34" i="28"/>
  <c r="N34" i="119"/>
  <c r="N34" i="65"/>
  <c r="N34" i="20"/>
  <c r="N34" i="111"/>
  <c r="N34" i="14"/>
  <c r="N34" i="87"/>
  <c r="N34" i="89"/>
  <c r="N34" i="142"/>
  <c r="N34" i="90"/>
  <c r="N34" i="113"/>
  <c r="N34" i="50"/>
  <c r="N34" i="103"/>
  <c r="N67" i="136"/>
  <c r="N67" i="19"/>
  <c r="N67" i="10"/>
  <c r="N67" i="118"/>
  <c r="N67" i="60"/>
  <c r="N67" i="133"/>
  <c r="N67" i="54"/>
  <c r="N67" i="94"/>
  <c r="N67" i="72"/>
  <c r="N67" i="85"/>
  <c r="N67" i="68"/>
  <c r="N67" i="67"/>
  <c r="N67" i="66"/>
  <c r="N67" i="63"/>
  <c r="N67" i="21"/>
  <c r="N67" i="62"/>
  <c r="N67" i="59"/>
  <c r="N67" i="58"/>
  <c r="N67" i="57"/>
  <c r="N67" i="53"/>
  <c r="N67" i="98"/>
  <c r="N67" i="49"/>
  <c r="N67" i="83"/>
  <c r="N67" i="47"/>
  <c r="N67" i="46"/>
  <c r="N67" i="102"/>
  <c r="N67" i="45"/>
  <c r="N67" i="106"/>
  <c r="N67" i="104"/>
  <c r="N67" i="15"/>
  <c r="N67" i="43"/>
  <c r="N67" i="42"/>
  <c r="N67" i="84"/>
  <c r="N67" i="71"/>
  <c r="N67" i="39"/>
  <c r="N67" i="135"/>
  <c r="N67" i="38"/>
  <c r="N67" i="37"/>
  <c r="N67" i="120"/>
  <c r="N67" i="24"/>
  <c r="N67" i="141"/>
  <c r="N67" i="33"/>
  <c r="N67" i="32"/>
  <c r="N67" i="79"/>
  <c r="N67" i="31"/>
  <c r="N67" i="64"/>
  <c r="N67" i="28"/>
  <c r="N67" i="27"/>
  <c r="N67" i="119"/>
  <c r="N67" i="25"/>
  <c r="N67" i="65"/>
  <c r="N67" i="20"/>
  <c r="N67" i="16"/>
  <c r="N67" i="111"/>
  <c r="N67" i="55"/>
  <c r="N67" i="14"/>
  <c r="N67" i="100"/>
  <c r="N67" i="87"/>
  <c r="N67" i="69"/>
  <c r="N67" i="89"/>
  <c r="N67" i="86"/>
  <c r="N67" i="142"/>
  <c r="N67" i="91"/>
  <c r="N67" i="90"/>
  <c r="N67" i="92"/>
  <c r="N67" i="113"/>
  <c r="N67" i="1"/>
  <c r="N67" i="50"/>
  <c r="N67" i="95"/>
  <c r="N67" i="103"/>
  <c r="N54" i="19"/>
  <c r="N54" i="72"/>
  <c r="N54" i="68"/>
  <c r="N54" i="21"/>
  <c r="N54" i="57"/>
  <c r="N54" i="98"/>
  <c r="N54" i="106"/>
  <c r="N54" i="42"/>
  <c r="N54" i="39"/>
  <c r="N54" i="120"/>
  <c r="N54" i="33"/>
  <c r="N54" i="64"/>
  <c r="N54" i="25"/>
  <c r="N54" i="55"/>
  <c r="N54" i="69"/>
  <c r="N54" i="91"/>
  <c r="N54" i="1"/>
  <c r="N54" i="10"/>
  <c r="N54" i="60"/>
  <c r="N54" i="118"/>
  <c r="N54" i="94"/>
  <c r="N54" i="63"/>
  <c r="N54" i="58"/>
  <c r="N54" i="53"/>
  <c r="N54" i="47"/>
  <c r="N54" i="45"/>
  <c r="N54" i="43"/>
  <c r="N54" i="71"/>
  <c r="N54" i="37"/>
  <c r="N54" i="141"/>
  <c r="N54" i="31"/>
  <c r="N54" i="119"/>
  <c r="N54" i="111"/>
  <c r="N54" i="87"/>
  <c r="N54" i="142"/>
  <c r="N54" i="113"/>
  <c r="N54" i="103"/>
  <c r="N54" i="54"/>
  <c r="N54" i="66"/>
  <c r="N54" i="59"/>
  <c r="N54" i="136"/>
  <c r="N54" i="83"/>
  <c r="N54" i="102"/>
  <c r="N54" i="15"/>
  <c r="N54" i="38"/>
  <c r="N54" i="24"/>
  <c r="N54" i="79"/>
  <c r="N54" i="27"/>
  <c r="N54" i="16"/>
  <c r="N54" i="100"/>
  <c r="N54" i="86"/>
  <c r="N54" i="92"/>
  <c r="N54" i="95"/>
  <c r="N54" i="133"/>
  <c r="N54" i="85"/>
  <c r="N54" i="67"/>
  <c r="N54" i="62"/>
  <c r="N54" i="49"/>
  <c r="N54" i="46"/>
  <c r="N54" i="104"/>
  <c r="N54" i="84"/>
  <c r="N54" i="135"/>
  <c r="N54" i="32"/>
  <c r="N54" i="28"/>
  <c r="N54" i="65"/>
  <c r="N54" i="20"/>
  <c r="N54" i="14"/>
  <c r="N54" i="89"/>
  <c r="N54" i="90"/>
  <c r="N54" i="50"/>
  <c r="N182" i="100"/>
  <c r="N182" i="103"/>
  <c r="N182" i="50"/>
  <c r="N182" i="113"/>
  <c r="N182" i="90"/>
  <c r="N182" i="142"/>
  <c r="N182" i="89"/>
  <c r="N182" i="87"/>
  <c r="N182" i="111"/>
  <c r="N182" i="20"/>
  <c r="N182" i="65"/>
  <c r="N182" i="119"/>
  <c r="N182" i="28"/>
  <c r="N182" i="31"/>
  <c r="N182" i="32"/>
  <c r="N182" i="141"/>
  <c r="N182" i="37"/>
  <c r="N182" i="135"/>
  <c r="N182" i="71"/>
  <c r="N182" i="84"/>
  <c r="N182" i="42"/>
  <c r="N182" i="15"/>
  <c r="N182" i="106"/>
  <c r="N182" i="102"/>
  <c r="N182" i="83"/>
  <c r="N182" i="98"/>
  <c r="N182" i="136"/>
  <c r="N182" i="57"/>
  <c r="N182" i="59"/>
  <c r="N182" i="21"/>
  <c r="N182" i="66"/>
  <c r="N182" i="68"/>
  <c r="N182" i="72"/>
  <c r="N182" i="133"/>
  <c r="N182" i="118"/>
  <c r="N182" i="10"/>
  <c r="N182" i="19"/>
  <c r="N182" i="60"/>
  <c r="N182" i="54"/>
  <c r="N182" i="85"/>
  <c r="N182" i="67"/>
  <c r="N182" i="63"/>
  <c r="N182" i="62"/>
  <c r="N182" i="58"/>
  <c r="N182" i="53"/>
  <c r="N182" i="49"/>
  <c r="N182" i="47"/>
  <c r="N182" i="46"/>
  <c r="N182" i="45"/>
  <c r="N182" i="104"/>
  <c r="N182" i="43"/>
  <c r="N182" i="94"/>
  <c r="N182" i="39"/>
  <c r="N182" i="38"/>
  <c r="N182" i="120"/>
  <c r="N182" i="24"/>
  <c r="N182" i="33"/>
  <c r="N182" i="79"/>
  <c r="N182" i="64"/>
  <c r="N182" i="27"/>
  <c r="N182" i="25"/>
  <c r="N182" i="16"/>
  <c r="N182" i="14"/>
  <c r="N182" i="69"/>
  <c r="N182" i="86"/>
  <c r="N182" i="91"/>
  <c r="N182" i="92"/>
  <c r="N182" i="1"/>
  <c r="N182" i="95"/>
  <c r="N182" i="55"/>
  <c r="N29" i="10"/>
  <c r="N29" i="94"/>
  <c r="N29" i="63"/>
  <c r="N29" i="58"/>
  <c r="N29" i="53"/>
  <c r="N29" i="47"/>
  <c r="N29" i="45"/>
  <c r="N29" i="43"/>
  <c r="N29" i="71"/>
  <c r="N29" i="37"/>
  <c r="N29" i="141"/>
  <c r="N29" i="31"/>
  <c r="N29" i="119"/>
  <c r="N29" i="111"/>
  <c r="N29" i="87"/>
  <c r="N29" i="142"/>
  <c r="N29" i="113"/>
  <c r="N29" i="103"/>
  <c r="N29" i="19"/>
  <c r="N29" i="54"/>
  <c r="N29" i="66"/>
  <c r="N29" i="59"/>
  <c r="N29" i="136"/>
  <c r="N29" i="83"/>
  <c r="N29" i="102"/>
  <c r="N29" i="15"/>
  <c r="N29" i="38"/>
  <c r="N29" i="24"/>
  <c r="N29" i="79"/>
  <c r="N29" i="27"/>
  <c r="N29" i="16"/>
  <c r="N29" i="100"/>
  <c r="N29" i="86"/>
  <c r="N29" i="92"/>
  <c r="N29" i="95"/>
  <c r="N29" i="133"/>
  <c r="N29" i="85"/>
  <c r="N29" i="67"/>
  <c r="N29" i="62"/>
  <c r="N29" i="49"/>
  <c r="N29" i="46"/>
  <c r="N29" i="104"/>
  <c r="N29" i="84"/>
  <c r="N29" i="135"/>
  <c r="N29" i="32"/>
  <c r="N29" i="28"/>
  <c r="N29" i="65"/>
  <c r="N29" i="20"/>
  <c r="N29" i="14"/>
  <c r="N29" i="89"/>
  <c r="N29" i="90"/>
  <c r="N29" i="50"/>
  <c r="N29" i="60"/>
  <c r="N29" i="72"/>
  <c r="N29" i="68"/>
  <c r="N29" i="21"/>
  <c r="N29" i="57"/>
  <c r="N29" i="98"/>
  <c r="N29" i="106"/>
  <c r="N29" i="42"/>
  <c r="N29" i="39"/>
  <c r="N29" i="120"/>
  <c r="N29" i="33"/>
  <c r="N29" i="64"/>
  <c r="N29" i="25"/>
  <c r="N29" i="55"/>
  <c r="N29" i="69"/>
  <c r="N29" i="91"/>
  <c r="N29" i="1"/>
  <c r="N29" i="118"/>
  <c r="N99" i="60"/>
  <c r="N99" i="54"/>
  <c r="N99" i="72"/>
  <c r="N99" i="68"/>
  <c r="N99" i="66"/>
  <c r="N99" i="21"/>
  <c r="N99" i="59"/>
  <c r="N99" i="57"/>
  <c r="N99" i="136"/>
  <c r="N99" i="98"/>
  <c r="N99" i="83"/>
  <c r="N99" i="102"/>
  <c r="N99" i="106"/>
  <c r="N99" i="15"/>
  <c r="N99" i="42"/>
  <c r="N99" i="39"/>
  <c r="N99" i="38"/>
  <c r="N99" i="120"/>
  <c r="N99" i="24"/>
  <c r="N99" i="33"/>
  <c r="N99" i="79"/>
  <c r="N99" i="64"/>
  <c r="N99" i="27"/>
  <c r="N99" i="25"/>
  <c r="N99" i="16"/>
  <c r="N99" i="55"/>
  <c r="N99" i="100"/>
  <c r="N99" i="69"/>
  <c r="N99" i="86"/>
  <c r="N99" i="91"/>
  <c r="N99" i="92"/>
  <c r="N99" i="1"/>
  <c r="N99" i="95"/>
  <c r="N99" i="19"/>
  <c r="N99" i="118"/>
  <c r="N99" i="133"/>
  <c r="N99" i="94"/>
  <c r="N99" i="85"/>
  <c r="N99" i="67"/>
  <c r="N99" i="63"/>
  <c r="N99" i="62"/>
  <c r="N99" i="58"/>
  <c r="N99" i="53"/>
  <c r="N99" i="49"/>
  <c r="N99" i="47"/>
  <c r="N99" i="46"/>
  <c r="N99" i="45"/>
  <c r="N99" i="104"/>
  <c r="N99" i="43"/>
  <c r="N99" i="84"/>
  <c r="N99" i="71"/>
  <c r="N99" i="135"/>
  <c r="N99" i="37"/>
  <c r="N99" i="141"/>
  <c r="N99" i="32"/>
  <c r="N99" i="31"/>
  <c r="N99" i="28"/>
  <c r="N99" i="119"/>
  <c r="N99" i="65"/>
  <c r="N99" i="20"/>
  <c r="N99" i="111"/>
  <c r="N99" i="14"/>
  <c r="N99" i="87"/>
  <c r="N99" i="89"/>
  <c r="N99" i="142"/>
  <c r="N99" i="90"/>
  <c r="N99" i="113"/>
  <c r="N99" i="50"/>
  <c r="N99" i="103"/>
  <c r="N99" i="10"/>
  <c r="N66" i="10"/>
  <c r="N66" i="24"/>
  <c r="N66" i="33"/>
  <c r="N66" i="79"/>
  <c r="N66" i="64"/>
  <c r="N66" i="27"/>
  <c r="N66" i="25"/>
  <c r="N66" i="16"/>
  <c r="N66" i="55"/>
  <c r="N66" i="19"/>
  <c r="N66" i="118"/>
  <c r="N66" i="60"/>
  <c r="N66" i="133"/>
  <c r="N66" i="54"/>
  <c r="N66" i="94"/>
  <c r="N66" i="72"/>
  <c r="N66" i="85"/>
  <c r="N66" i="68"/>
  <c r="N66" i="67"/>
  <c r="N66" i="66"/>
  <c r="N66" i="63"/>
  <c r="N66" i="21"/>
  <c r="N66" i="62"/>
  <c r="N66" i="59"/>
  <c r="N66" i="58"/>
  <c r="N66" i="57"/>
  <c r="N66" i="136"/>
  <c r="N66" i="53"/>
  <c r="N66" i="98"/>
  <c r="N66" i="49"/>
  <c r="N66" i="83"/>
  <c r="N66" i="47"/>
  <c r="N66" i="46"/>
  <c r="N66" i="102"/>
  <c r="N66" i="45"/>
  <c r="N66" i="106"/>
  <c r="N66" i="104"/>
  <c r="N66" i="15"/>
  <c r="N66" i="43"/>
  <c r="N66" i="42"/>
  <c r="N66" i="84"/>
  <c r="N66" i="71"/>
  <c r="N66" i="39"/>
  <c r="N66" i="135"/>
  <c r="N66" i="38"/>
  <c r="N66" i="37"/>
  <c r="N66" i="120"/>
  <c r="N66" i="141"/>
  <c r="N66" i="32"/>
  <c r="N66" i="31"/>
  <c r="N66" i="28"/>
  <c r="N66" i="119"/>
  <c r="N66" i="65"/>
  <c r="N66" i="20"/>
  <c r="N66" i="111"/>
  <c r="N66" i="14"/>
  <c r="N66" i="100"/>
  <c r="N66" i="87"/>
  <c r="N66" i="69"/>
  <c r="N66" i="89"/>
  <c r="N66" i="86"/>
  <c r="N66" i="142"/>
  <c r="N66" i="91"/>
  <c r="N66" i="90"/>
  <c r="N66" i="92"/>
  <c r="N66" i="113"/>
  <c r="N66" i="1"/>
  <c r="N66" i="50"/>
  <c r="N66" i="95"/>
  <c r="N66" i="103"/>
  <c r="N126" i="19"/>
  <c r="N126" i="60"/>
  <c r="N126" i="54"/>
  <c r="N126" i="72"/>
  <c r="N126" i="68"/>
  <c r="N126" i="66"/>
  <c r="N126" i="21"/>
  <c r="N126" i="59"/>
  <c r="N126" i="57"/>
  <c r="N126" i="136"/>
  <c r="N126" i="98"/>
  <c r="N126" i="83"/>
  <c r="N126" i="102"/>
  <c r="N126" i="106"/>
  <c r="N126" i="15"/>
  <c r="N126" i="42"/>
  <c r="N126" i="39"/>
  <c r="N126" i="38"/>
  <c r="N126" i="120"/>
  <c r="N126" i="24"/>
  <c r="N126" i="33"/>
  <c r="N126" i="79"/>
  <c r="N126" i="64"/>
  <c r="N126" i="27"/>
  <c r="N126" i="25"/>
  <c r="N126" i="16"/>
  <c r="N126" i="55"/>
  <c r="N126" i="100"/>
  <c r="N126" i="69"/>
  <c r="N126" i="86"/>
  <c r="N126" i="91"/>
  <c r="N126" i="92"/>
  <c r="N126" i="1"/>
  <c r="N126" i="95"/>
  <c r="N126" i="10"/>
  <c r="N126" i="118"/>
  <c r="N126" i="133"/>
  <c r="N126" i="94"/>
  <c r="N126" i="85"/>
  <c r="N126" i="67"/>
  <c r="N126" i="63"/>
  <c r="N126" i="62"/>
  <c r="N126" i="58"/>
  <c r="N126" i="53"/>
  <c r="N126" i="49"/>
  <c r="N126" i="47"/>
  <c r="N126" i="46"/>
  <c r="N126" i="45"/>
  <c r="N126" i="104"/>
  <c r="N126" i="43"/>
  <c r="N126" i="84"/>
  <c r="N126" i="71"/>
  <c r="N126" i="135"/>
  <c r="N126" i="37"/>
  <c r="N126" i="141"/>
  <c r="N126" i="32"/>
  <c r="N126" i="31"/>
  <c r="N126" i="28"/>
  <c r="N126" i="119"/>
  <c r="N126" i="65"/>
  <c r="N126" i="20"/>
  <c r="N126" i="111"/>
  <c r="N126" i="14"/>
  <c r="N126" i="87"/>
  <c r="N126" i="89"/>
  <c r="N126" i="142"/>
  <c r="N126" i="90"/>
  <c r="N126" i="113"/>
  <c r="N126" i="50"/>
  <c r="N126" i="103"/>
  <c r="N145" i="10"/>
  <c r="N145" i="118"/>
  <c r="N145" i="94"/>
  <c r="N145" i="63"/>
  <c r="N145" i="58"/>
  <c r="N145" i="53"/>
  <c r="N145" i="47"/>
  <c r="N145" i="45"/>
  <c r="N145" i="43"/>
  <c r="N145" i="71"/>
  <c r="N145" i="37"/>
  <c r="N145" i="141"/>
  <c r="N145" i="31"/>
  <c r="N145" i="119"/>
  <c r="N145" i="111"/>
  <c r="N145" i="87"/>
  <c r="N145" i="142"/>
  <c r="N145" i="113"/>
  <c r="N145" i="103"/>
  <c r="N145" i="19"/>
  <c r="N145" i="54"/>
  <c r="N145" i="66"/>
  <c r="N145" i="59"/>
  <c r="N145" i="136"/>
  <c r="N145" i="83"/>
  <c r="N145" i="102"/>
  <c r="N145" i="15"/>
  <c r="N145" i="38"/>
  <c r="N145" i="24"/>
  <c r="N145" i="79"/>
  <c r="N145" i="27"/>
  <c r="N145" i="16"/>
  <c r="N145" i="100"/>
  <c r="N145" i="86"/>
  <c r="N145" i="92"/>
  <c r="N145" i="95"/>
  <c r="N145" i="133"/>
  <c r="N145" i="85"/>
  <c r="N145" i="67"/>
  <c r="N145" i="62"/>
  <c r="N145" i="49"/>
  <c r="N145" i="46"/>
  <c r="N145" i="104"/>
  <c r="N145" i="84"/>
  <c r="N145" i="135"/>
  <c r="N145" i="32"/>
  <c r="N145" i="28"/>
  <c r="N145" i="65"/>
  <c r="N145" i="20"/>
  <c r="N145" i="14"/>
  <c r="N145" i="89"/>
  <c r="N145" i="90"/>
  <c r="N145" i="50"/>
  <c r="N145" i="60"/>
  <c r="N145" i="72"/>
  <c r="N145" i="68"/>
  <c r="N145" i="21"/>
  <c r="N145" i="57"/>
  <c r="N145" i="98"/>
  <c r="N145" i="106"/>
  <c r="N145" i="42"/>
  <c r="N145" i="39"/>
  <c r="N145" i="120"/>
  <c r="N145" i="33"/>
  <c r="N145" i="64"/>
  <c r="N145" i="25"/>
  <c r="N145" i="55"/>
  <c r="N145" i="69"/>
  <c r="N145" i="91"/>
  <c r="N145" i="1"/>
  <c r="N96" i="60"/>
  <c r="N96" i="68"/>
  <c r="N96" i="57"/>
  <c r="N96" i="42"/>
  <c r="N96" i="120"/>
  <c r="N96" i="64"/>
  <c r="N96" i="69"/>
  <c r="N96" i="1"/>
  <c r="N96" i="85"/>
  <c r="N96" i="62"/>
  <c r="N96" i="49"/>
  <c r="N96" i="104"/>
  <c r="N96" i="135"/>
  <c r="N96" i="32"/>
  <c r="N96" i="65"/>
  <c r="N96" i="14"/>
  <c r="N96" i="90"/>
  <c r="N96" i="19"/>
  <c r="N96" i="59"/>
  <c r="N96" i="83"/>
  <c r="N96" i="118"/>
  <c r="N96" i="10"/>
  <c r="N96" i="94"/>
  <c r="N96" i="63"/>
  <c r="N96" i="58"/>
  <c r="N96" i="53"/>
  <c r="N96" i="47"/>
  <c r="N96" i="45"/>
  <c r="N96" i="43"/>
  <c r="N96" i="71"/>
  <c r="N96" i="37"/>
  <c r="N96" i="141"/>
  <c r="N96" i="31"/>
  <c r="N96" i="119"/>
  <c r="N96" i="111"/>
  <c r="N96" i="87"/>
  <c r="N96" i="142"/>
  <c r="N96" i="113"/>
  <c r="N96" i="103"/>
  <c r="N96" i="72"/>
  <c r="N96" i="21"/>
  <c r="N96" i="98"/>
  <c r="N96" i="106"/>
  <c r="N96" i="39"/>
  <c r="N96" i="33"/>
  <c r="N96" i="25"/>
  <c r="N96" i="55"/>
  <c r="N96" i="91"/>
  <c r="N96" i="133"/>
  <c r="N96" i="67"/>
  <c r="N96" i="46"/>
  <c r="N96" i="84"/>
  <c r="N96" i="28"/>
  <c r="N96" i="20"/>
  <c r="N96" i="89"/>
  <c r="N96" i="50"/>
  <c r="N96" i="54"/>
  <c r="N96" i="66"/>
  <c r="N96" i="136"/>
  <c r="N96" i="102"/>
  <c r="N96" i="15"/>
  <c r="N96" i="38"/>
  <c r="N96" i="24"/>
  <c r="N96" i="79"/>
  <c r="N96" i="27"/>
  <c r="N96" i="16"/>
  <c r="N96" i="100"/>
  <c r="N96" i="86"/>
  <c r="N96" i="92"/>
  <c r="N96" i="95"/>
  <c r="N200" i="118"/>
  <c r="N200" i="94"/>
  <c r="N200" i="63"/>
  <c r="N200" i="58"/>
  <c r="N200" i="53"/>
  <c r="N200" i="47"/>
  <c r="N200" i="45"/>
  <c r="N200" i="43"/>
  <c r="N200" i="19"/>
  <c r="N200" i="133"/>
  <c r="N200" i="85"/>
  <c r="N200" i="67"/>
  <c r="N200" i="62"/>
  <c r="N200" i="49"/>
  <c r="N200" i="46"/>
  <c r="N200" i="104"/>
  <c r="N200" i="84"/>
  <c r="N200" i="60"/>
  <c r="N200" i="72"/>
  <c r="N200" i="68"/>
  <c r="N200" i="21"/>
  <c r="N200" i="57"/>
  <c r="N200" i="98"/>
  <c r="N200" i="106"/>
  <c r="N200" i="42"/>
  <c r="N200" i="135"/>
  <c r="N200" i="32"/>
  <c r="N200" i="28"/>
  <c r="N200" i="65"/>
  <c r="N200" i="20"/>
  <c r="N200" i="14"/>
  <c r="N200" i="89"/>
  <c r="N200" i="90"/>
  <c r="N200" i="50"/>
  <c r="N200" i="39"/>
  <c r="N200" i="120"/>
  <c r="N200" i="33"/>
  <c r="N200" i="64"/>
  <c r="N200" i="25"/>
  <c r="N200" i="55"/>
  <c r="N200" i="69"/>
  <c r="N200" i="91"/>
  <c r="N200" i="1"/>
  <c r="N200" i="10"/>
  <c r="N200" i="54"/>
  <c r="N200" i="66"/>
  <c r="N200" i="59"/>
  <c r="N200" i="136"/>
  <c r="N200" i="83"/>
  <c r="N200" i="102"/>
  <c r="N200" i="15"/>
  <c r="N200" i="71"/>
  <c r="N200" i="37"/>
  <c r="N200" i="141"/>
  <c r="N200" i="31"/>
  <c r="N200" i="119"/>
  <c r="N200" i="111"/>
  <c r="N200" i="87"/>
  <c r="N200" i="142"/>
  <c r="N200" i="113"/>
  <c r="N200" i="103"/>
  <c r="N200" i="38"/>
  <c r="N200" i="24"/>
  <c r="N200" i="79"/>
  <c r="N200" i="27"/>
  <c r="N200" i="16"/>
  <c r="N200" i="100"/>
  <c r="N200" i="86"/>
  <c r="N200" i="92"/>
  <c r="N200" i="95"/>
  <c r="N105" i="85"/>
  <c r="N105" i="62"/>
  <c r="N105" i="49"/>
  <c r="N105" i="104"/>
  <c r="N105" i="135"/>
  <c r="N105" i="32"/>
  <c r="N105" i="65"/>
  <c r="N105" i="14"/>
  <c r="N105" i="90"/>
  <c r="N105" i="60"/>
  <c r="N105" i="68"/>
  <c r="N105" i="57"/>
  <c r="N105" i="42"/>
  <c r="N105" i="120"/>
  <c r="N105" i="64"/>
  <c r="N105" i="69"/>
  <c r="N105" i="1"/>
  <c r="N105" i="118"/>
  <c r="N105" i="133"/>
  <c r="N105" i="67"/>
  <c r="N105" i="46"/>
  <c r="N105" i="84"/>
  <c r="N105" i="28"/>
  <c r="N105" i="20"/>
  <c r="N105" i="89"/>
  <c r="N105" i="50"/>
  <c r="N105" i="72"/>
  <c r="N105" i="21"/>
  <c r="N105" i="98"/>
  <c r="N105" i="106"/>
  <c r="N105" i="39"/>
  <c r="N105" i="33"/>
  <c r="N105" i="25"/>
  <c r="N105" i="55"/>
  <c r="N105" i="91"/>
  <c r="N105" i="10"/>
  <c r="N105" i="94"/>
  <c r="N105" i="63"/>
  <c r="N105" i="58"/>
  <c r="N105" i="53"/>
  <c r="N105" i="47"/>
  <c r="N105" i="45"/>
  <c r="N105" i="43"/>
  <c r="N105" i="71"/>
  <c r="N105" i="37"/>
  <c r="N105" i="141"/>
  <c r="N105" i="31"/>
  <c r="N105" i="119"/>
  <c r="N105" i="111"/>
  <c r="N105" i="87"/>
  <c r="N105" i="142"/>
  <c r="N105" i="113"/>
  <c r="N105" i="103"/>
  <c r="N105" i="19"/>
  <c r="N105" i="54"/>
  <c r="N105" i="66"/>
  <c r="N105" i="59"/>
  <c r="N105" i="136"/>
  <c r="N105" i="83"/>
  <c r="N105" i="102"/>
  <c r="N105" i="15"/>
  <c r="N105" i="38"/>
  <c r="N105" i="24"/>
  <c r="N105" i="79"/>
  <c r="N105" i="27"/>
  <c r="N105" i="16"/>
  <c r="N105" i="100"/>
  <c r="N105" i="86"/>
  <c r="N105" i="92"/>
  <c r="N105" i="95"/>
  <c r="N86" i="19"/>
  <c r="N86" i="54"/>
  <c r="N86" i="66"/>
  <c r="N86" i="136"/>
  <c r="N86" i="102"/>
  <c r="N86" i="24"/>
  <c r="N86" i="27"/>
  <c r="N86" i="16"/>
  <c r="N86" i="86"/>
  <c r="N86" i="95"/>
  <c r="N86" i="85"/>
  <c r="N86" i="62"/>
  <c r="N86" i="49"/>
  <c r="N86" i="46"/>
  <c r="N86" i="104"/>
  <c r="N86" i="84"/>
  <c r="N86" i="135"/>
  <c r="N86" i="32"/>
  <c r="N86" i="28"/>
  <c r="N86" i="65"/>
  <c r="N86" i="20"/>
  <c r="N86" i="14"/>
  <c r="N86" i="89"/>
  <c r="N86" i="90"/>
  <c r="N86" i="50"/>
  <c r="N86" i="60"/>
  <c r="N86" i="72"/>
  <c r="N86" i="68"/>
  <c r="N86" i="21"/>
  <c r="N86" i="57"/>
  <c r="N86" i="98"/>
  <c r="N86" i="106"/>
  <c r="N86" i="42"/>
  <c r="N86" i="39"/>
  <c r="N86" i="120"/>
  <c r="N86" i="33"/>
  <c r="N86" i="64"/>
  <c r="N86" i="25"/>
  <c r="N86" i="55"/>
  <c r="N86" i="69"/>
  <c r="N86" i="91"/>
  <c r="N86" i="1"/>
  <c r="N86" i="10"/>
  <c r="N86" i="94"/>
  <c r="N86" i="63"/>
  <c r="N86" i="58"/>
  <c r="N86" i="53"/>
  <c r="N86" i="47"/>
  <c r="N86" i="45"/>
  <c r="N86" i="43"/>
  <c r="N86" i="71"/>
  <c r="N86" i="37"/>
  <c r="N86" i="141"/>
  <c r="N86" i="31"/>
  <c r="N86" i="119"/>
  <c r="N86" i="111"/>
  <c r="N86" i="87"/>
  <c r="N86" i="142"/>
  <c r="N86" i="113"/>
  <c r="N86" i="103"/>
  <c r="N86" i="59"/>
  <c r="N86" i="83"/>
  <c r="N86" i="15"/>
  <c r="N86" i="38"/>
  <c r="N86" i="79"/>
  <c r="N86" i="100"/>
  <c r="N86" i="92"/>
  <c r="N86" i="133"/>
  <c r="N86" i="67"/>
  <c r="N86" i="118"/>
  <c r="N205" i="60"/>
  <c r="N205" i="68"/>
  <c r="N205" i="57"/>
  <c r="N205" i="42"/>
  <c r="N205" i="118"/>
  <c r="N205" i="28"/>
  <c r="N205" i="20"/>
  <c r="N205" i="89"/>
  <c r="N205" i="50"/>
  <c r="N205" i="19"/>
  <c r="N205" i="72"/>
  <c r="N205" i="21"/>
  <c r="N205" i="98"/>
  <c r="N205" i="106"/>
  <c r="N205" i="10"/>
  <c r="N205" i="94"/>
  <c r="N205" i="63"/>
  <c r="N205" i="58"/>
  <c r="N205" i="53"/>
  <c r="N205" i="47"/>
  <c r="N205" i="45"/>
  <c r="N205" i="43"/>
  <c r="N205" i="39"/>
  <c r="N205" i="120"/>
  <c r="N205" i="33"/>
  <c r="N205" i="64"/>
  <c r="N205" i="25"/>
  <c r="N205" i="55"/>
  <c r="N205" i="69"/>
  <c r="N205" i="91"/>
  <c r="N205" i="1"/>
  <c r="N205" i="71"/>
  <c r="N205" i="37"/>
  <c r="N205" i="141"/>
  <c r="N205" i="31"/>
  <c r="N205" i="119"/>
  <c r="N205" i="111"/>
  <c r="N205" i="87"/>
  <c r="N205" i="142"/>
  <c r="N205" i="113"/>
  <c r="N205" i="103"/>
  <c r="N205" i="54"/>
  <c r="N205" i="66"/>
  <c r="N205" i="59"/>
  <c r="N205" i="136"/>
  <c r="N205" i="83"/>
  <c r="N205" i="102"/>
  <c r="N205" i="15"/>
  <c r="N205" i="133"/>
  <c r="N205" i="85"/>
  <c r="N205" i="67"/>
  <c r="N205" i="62"/>
  <c r="N205" i="49"/>
  <c r="N205" i="46"/>
  <c r="N205" i="104"/>
  <c r="N205" i="84"/>
  <c r="N205" i="38"/>
  <c r="N205" i="24"/>
  <c r="N205" i="79"/>
  <c r="N205" i="27"/>
  <c r="N205" i="16"/>
  <c r="N205" i="100"/>
  <c r="N205" i="86"/>
  <c r="N205" i="92"/>
  <c r="N205" i="95"/>
  <c r="N205" i="135"/>
  <c r="N205" i="32"/>
  <c r="N205" i="65"/>
  <c r="N205" i="14"/>
  <c r="N205" i="90"/>
  <c r="N141" i="19"/>
  <c r="N141" i="60"/>
  <c r="N141" i="54"/>
  <c r="N141" i="72"/>
  <c r="N141" i="68"/>
  <c r="N141" i="66"/>
  <c r="N141" i="21"/>
  <c r="N141" i="59"/>
  <c r="N141" i="57"/>
  <c r="N141" i="136"/>
  <c r="N141" i="98"/>
  <c r="N141" i="83"/>
  <c r="N141" i="102"/>
  <c r="N141" i="106"/>
  <c r="N141" i="15"/>
  <c r="N141" i="42"/>
  <c r="N141" i="39"/>
  <c r="N141" i="38"/>
  <c r="N141" i="120"/>
  <c r="N141" i="24"/>
  <c r="N141" i="33"/>
  <c r="N141" i="79"/>
  <c r="N141" i="64"/>
  <c r="N141" i="27"/>
  <c r="N141" i="25"/>
  <c r="N141" i="16"/>
  <c r="N141" i="55"/>
  <c r="N141" i="100"/>
  <c r="N141" i="69"/>
  <c r="N141" i="86"/>
  <c r="N141" i="91"/>
  <c r="N141" i="92"/>
  <c r="N141" i="1"/>
  <c r="N141" i="95"/>
  <c r="N141" i="10"/>
  <c r="N141" i="118"/>
  <c r="N141" i="133"/>
  <c r="N141" i="94"/>
  <c r="N141" i="85"/>
  <c r="N141" i="67"/>
  <c r="N141" i="63"/>
  <c r="N141" i="62"/>
  <c r="N141" i="58"/>
  <c r="N141" i="53"/>
  <c r="N141" i="49"/>
  <c r="N141" i="47"/>
  <c r="N141" i="46"/>
  <c r="N141" i="45"/>
  <c r="N141" i="104"/>
  <c r="N141" i="43"/>
  <c r="N141" i="84"/>
  <c r="N141" i="71"/>
  <c r="N141" i="135"/>
  <c r="N141" i="37"/>
  <c r="N141" i="141"/>
  <c r="N141" i="32"/>
  <c r="N141" i="31"/>
  <c r="N141" i="28"/>
  <c r="N141" i="119"/>
  <c r="N141" i="65"/>
  <c r="N141" i="20"/>
  <c r="N141" i="111"/>
  <c r="N141" i="14"/>
  <c r="N141" i="87"/>
  <c r="N141" i="89"/>
  <c r="N141" i="142"/>
  <c r="N141" i="90"/>
  <c r="N141" i="113"/>
  <c r="N141" i="50"/>
  <c r="N141" i="103"/>
  <c r="N90" i="54"/>
  <c r="N90" i="72"/>
  <c r="N90" i="68"/>
  <c r="N90" i="66"/>
  <c r="N90" i="21"/>
  <c r="N90" i="59"/>
  <c r="N90" i="57"/>
  <c r="N90" i="136"/>
  <c r="N90" i="98"/>
  <c r="N90" i="83"/>
  <c r="N90" i="102"/>
  <c r="N90" i="106"/>
  <c r="N90" i="15"/>
  <c r="N90" i="42"/>
  <c r="N90" i="39"/>
  <c r="N90" i="38"/>
  <c r="N90" i="120"/>
  <c r="N90" i="24"/>
  <c r="N90" i="33"/>
  <c r="N90" i="79"/>
  <c r="N90" i="64"/>
  <c r="N90" i="27"/>
  <c r="N90" i="25"/>
  <c r="N90" i="16"/>
  <c r="N90" i="55"/>
  <c r="N90" i="100"/>
  <c r="N90" i="69"/>
  <c r="N90" i="86"/>
  <c r="N90" i="91"/>
  <c r="N90" i="92"/>
  <c r="N90" i="1"/>
  <c r="N90" i="95"/>
  <c r="N90" i="10"/>
  <c r="N90" i="118"/>
  <c r="N90" i="133"/>
  <c r="N90" i="94"/>
  <c r="N90" i="85"/>
  <c r="N90" i="67"/>
  <c r="N90" i="63"/>
  <c r="N90" i="62"/>
  <c r="N90" i="58"/>
  <c r="N90" i="53"/>
  <c r="N90" i="49"/>
  <c r="N90" i="47"/>
  <c r="N90" i="46"/>
  <c r="N90" i="45"/>
  <c r="N90" i="104"/>
  <c r="N90" i="43"/>
  <c r="N90" i="84"/>
  <c r="N90" i="71"/>
  <c r="N90" i="135"/>
  <c r="N90" i="37"/>
  <c r="N90" i="141"/>
  <c r="N90" i="32"/>
  <c r="N90" i="31"/>
  <c r="N90" i="28"/>
  <c r="N90" i="119"/>
  <c r="N90" i="65"/>
  <c r="N90" i="20"/>
  <c r="N90" i="111"/>
  <c r="N90" i="14"/>
  <c r="N90" i="87"/>
  <c r="N90" i="89"/>
  <c r="N90" i="142"/>
  <c r="N90" i="90"/>
  <c r="N90" i="113"/>
  <c r="N90" i="50"/>
  <c r="N90" i="103"/>
  <c r="N90" i="19"/>
  <c r="N90" i="60"/>
  <c r="N142" i="19"/>
  <c r="N142" i="10"/>
  <c r="N142" i="118"/>
  <c r="N142" i="60"/>
  <c r="N142" i="133"/>
  <c r="N142" i="54"/>
  <c r="N142" i="94"/>
  <c r="N142" i="72"/>
  <c r="N142" i="85"/>
  <c r="N142" i="68"/>
  <c r="N142" i="67"/>
  <c r="N142" i="66"/>
  <c r="N142" i="63"/>
  <c r="N142" i="21"/>
  <c r="N142" i="62"/>
  <c r="N142" i="59"/>
  <c r="N142" i="58"/>
  <c r="N142" i="57"/>
  <c r="N142" i="136"/>
  <c r="N142" i="53"/>
  <c r="N142" i="98"/>
  <c r="N142" i="49"/>
  <c r="N142" i="83"/>
  <c r="N142" i="47"/>
  <c r="N142" i="46"/>
  <c r="N142" i="102"/>
  <c r="N142" i="45"/>
  <c r="N142" i="106"/>
  <c r="N142" i="104"/>
  <c r="N142" i="15"/>
  <c r="N142" i="43"/>
  <c r="N142" i="42"/>
  <c r="N142" i="84"/>
  <c r="N142" i="71"/>
  <c r="N142" i="39"/>
  <c r="N142" i="135"/>
  <c r="N142" i="38"/>
  <c r="N142" i="37"/>
  <c r="N142" i="120"/>
  <c r="N142" i="24"/>
  <c r="N142" i="141"/>
  <c r="N142" i="33"/>
  <c r="N142" i="32"/>
  <c r="N142" i="79"/>
  <c r="N142" i="31"/>
  <c r="N142" i="64"/>
  <c r="N142" i="28"/>
  <c r="N142" i="27"/>
  <c r="N142" i="119"/>
  <c r="N142" i="25"/>
  <c r="N142" i="65"/>
  <c r="N142" i="20"/>
  <c r="N142" i="16"/>
  <c r="N142" i="111"/>
  <c r="N142" i="55"/>
  <c r="N142" i="14"/>
  <c r="N142" i="100"/>
  <c r="N142" i="87"/>
  <c r="N142" i="69"/>
  <c r="N142" i="89"/>
  <c r="N142" i="86"/>
  <c r="N142" i="142"/>
  <c r="N142" i="91"/>
  <c r="N142" i="90"/>
  <c r="N142" i="92"/>
  <c r="N142" i="113"/>
  <c r="N142" i="1"/>
  <c r="N142" i="50"/>
  <c r="N142" i="95"/>
  <c r="N142" i="103"/>
  <c r="N187" i="19"/>
  <c r="N187" i="118"/>
  <c r="N187" i="94"/>
  <c r="N187" i="63"/>
  <c r="N187" i="58"/>
  <c r="N187" i="53"/>
  <c r="N187" i="47"/>
  <c r="N187" i="45"/>
  <c r="N187" i="43"/>
  <c r="N187" i="71"/>
  <c r="N187" i="37"/>
  <c r="N187" i="141"/>
  <c r="N187" i="31"/>
  <c r="N187" i="119"/>
  <c r="N187" i="111"/>
  <c r="N187" i="87"/>
  <c r="N187" i="142"/>
  <c r="N187" i="113"/>
  <c r="N187" i="103"/>
  <c r="N187" i="60"/>
  <c r="N187" i="72"/>
  <c r="N187" i="68"/>
  <c r="N187" i="21"/>
  <c r="N187" i="57"/>
  <c r="N187" i="10"/>
  <c r="N187" i="133"/>
  <c r="N187" i="85"/>
  <c r="N187" i="67"/>
  <c r="N187" i="62"/>
  <c r="N187" i="49"/>
  <c r="N187" i="46"/>
  <c r="N187" i="104"/>
  <c r="N187" i="84"/>
  <c r="N187" i="135"/>
  <c r="N187" i="32"/>
  <c r="N187" i="28"/>
  <c r="N187" i="65"/>
  <c r="N187" i="20"/>
  <c r="N187" i="14"/>
  <c r="N187" i="89"/>
  <c r="N187" i="90"/>
  <c r="N187" i="50"/>
  <c r="N187" i="54"/>
  <c r="N187" i="66"/>
  <c r="N187" i="59"/>
  <c r="N187" i="136"/>
  <c r="N187" i="98"/>
  <c r="N187" i="83"/>
  <c r="N187" i="102"/>
  <c r="N187" i="106"/>
  <c r="N187" i="15"/>
  <c r="N187" i="42"/>
  <c r="N187" i="39"/>
  <c r="N187" i="38"/>
  <c r="N187" i="120"/>
  <c r="N187" i="24"/>
  <c r="N187" i="33"/>
  <c r="N187" i="79"/>
  <c r="N187" i="64"/>
  <c r="N187" i="27"/>
  <c r="N187" i="25"/>
  <c r="N187" i="16"/>
  <c r="N187" i="55"/>
  <c r="N187" i="100"/>
  <c r="N187" i="69"/>
  <c r="N187" i="86"/>
  <c r="N187" i="91"/>
  <c r="N187" i="92"/>
  <c r="N187" i="1"/>
  <c r="N187" i="95"/>
  <c r="N40" i="19"/>
  <c r="N40" i="60"/>
  <c r="N40" i="54"/>
  <c r="N40" i="72"/>
  <c r="N40" i="68"/>
  <c r="N40" i="66"/>
  <c r="N40" i="21"/>
  <c r="N40" i="59"/>
  <c r="N40" i="57"/>
  <c r="N40" i="136"/>
  <c r="N40" i="98"/>
  <c r="N40" i="83"/>
  <c r="N40" i="102"/>
  <c r="N40" i="106"/>
  <c r="N40" i="15"/>
  <c r="N40" i="42"/>
  <c r="N40" i="39"/>
  <c r="N40" i="38"/>
  <c r="N40" i="120"/>
  <c r="N40" i="24"/>
  <c r="N40" i="33"/>
  <c r="N40" i="79"/>
  <c r="N40" i="64"/>
  <c r="N40" i="27"/>
  <c r="N40" i="25"/>
  <c r="N40" i="16"/>
  <c r="N40" i="55"/>
  <c r="N40" i="100"/>
  <c r="N40" i="69"/>
  <c r="N40" i="86"/>
  <c r="N40" i="91"/>
  <c r="N40" i="92"/>
  <c r="N40" i="1"/>
  <c r="N40" i="95"/>
  <c r="N40" i="10"/>
  <c r="N40" i="118"/>
  <c r="N40" i="133"/>
  <c r="N40" i="94"/>
  <c r="N40" i="85"/>
  <c r="N40" i="67"/>
  <c r="N40" i="63"/>
  <c r="N40" i="62"/>
  <c r="N40" i="58"/>
  <c r="N40" i="53"/>
  <c r="N40" i="49"/>
  <c r="N40" i="47"/>
  <c r="N40" i="46"/>
  <c r="N40" i="45"/>
  <c r="N40" i="104"/>
  <c r="N40" i="43"/>
  <c r="N40" i="84"/>
  <c r="N40" i="71"/>
  <c r="N40" i="135"/>
  <c r="N40" i="37"/>
  <c r="N40" i="141"/>
  <c r="N40" i="32"/>
  <c r="N40" i="31"/>
  <c r="N40" i="28"/>
  <c r="N40" i="119"/>
  <c r="N40" i="65"/>
  <c r="N40" i="20"/>
  <c r="N40" i="111"/>
  <c r="N40" i="14"/>
  <c r="N40" i="87"/>
  <c r="N40" i="89"/>
  <c r="N40" i="142"/>
  <c r="N40" i="90"/>
  <c r="N40" i="113"/>
  <c r="N40" i="50"/>
  <c r="N40" i="103"/>
  <c r="N118" i="10"/>
  <c r="N118" i="133"/>
  <c r="N118" i="85"/>
  <c r="N118" i="67"/>
  <c r="N118" i="62"/>
  <c r="N118" i="49"/>
  <c r="N118" i="46"/>
  <c r="N118" i="104"/>
  <c r="N118" i="84"/>
  <c r="N118" i="135"/>
  <c r="N118" i="37"/>
  <c r="N118" i="141"/>
  <c r="N118" i="32"/>
  <c r="N118" i="31"/>
  <c r="N118" i="28"/>
  <c r="N118" i="119"/>
  <c r="N118" i="65"/>
  <c r="N118" i="20"/>
  <c r="N118" i="111"/>
  <c r="N118" i="14"/>
  <c r="N118" i="87"/>
  <c r="N118" i="89"/>
  <c r="N118" i="142"/>
  <c r="N118" i="90"/>
  <c r="N118" i="113"/>
  <c r="N118" i="50"/>
  <c r="N118" i="103"/>
  <c r="N118" i="60"/>
  <c r="N118" i="54"/>
  <c r="N118" i="72"/>
  <c r="N118" i="68"/>
  <c r="N118" i="66"/>
  <c r="N118" i="21"/>
  <c r="N118" i="59"/>
  <c r="N118" i="57"/>
  <c r="N118" i="136"/>
  <c r="N118" i="98"/>
  <c r="N118" i="83"/>
  <c r="N118" i="102"/>
  <c r="N118" i="106"/>
  <c r="N118" i="15"/>
  <c r="N118" i="42"/>
  <c r="N118" i="39"/>
  <c r="N118" i="38"/>
  <c r="N118" i="120"/>
  <c r="N118" i="24"/>
  <c r="N118" i="33"/>
  <c r="N118" i="79"/>
  <c r="N118" i="64"/>
  <c r="N118" i="27"/>
  <c r="N118" i="25"/>
  <c r="N118" i="16"/>
  <c r="N118" i="55"/>
  <c r="N118" i="100"/>
  <c r="N118" i="69"/>
  <c r="N118" i="86"/>
  <c r="N118" i="91"/>
  <c r="N118" i="92"/>
  <c r="N118" i="1"/>
  <c r="N118" i="95"/>
  <c r="N118" i="19"/>
  <c r="N118" i="118"/>
  <c r="N118" i="94"/>
  <c r="N118" i="63"/>
  <c r="N118" i="58"/>
  <c r="N118" i="53"/>
  <c r="N118" i="47"/>
  <c r="N118" i="45"/>
  <c r="N118" i="43"/>
  <c r="N118" i="71"/>
  <c r="N73" i="10"/>
  <c r="N73" i="60"/>
  <c r="N73" i="28"/>
  <c r="N73" i="27"/>
  <c r="N73" i="119"/>
  <c r="N73" i="25"/>
  <c r="N73" i="65"/>
  <c r="N73" i="20"/>
  <c r="N73" i="16"/>
  <c r="N73" i="111"/>
  <c r="N73" i="55"/>
  <c r="N73" i="14"/>
  <c r="N73" i="100"/>
  <c r="N73" i="87"/>
  <c r="N73" i="69"/>
  <c r="N73" i="89"/>
  <c r="N73" i="86"/>
  <c r="N73" i="142"/>
  <c r="N73" i="91"/>
  <c r="N73" i="90"/>
  <c r="N73" i="92"/>
  <c r="N73" i="113"/>
  <c r="N73" i="1"/>
  <c r="N73" i="50"/>
  <c r="N73" i="95"/>
  <c r="N73" i="103"/>
  <c r="N73" i="19"/>
  <c r="N73" i="118"/>
  <c r="N73" i="133"/>
  <c r="N73" i="54"/>
  <c r="N73" i="94"/>
  <c r="N73" i="72"/>
  <c r="N73" i="85"/>
  <c r="N73" i="68"/>
  <c r="N73" i="67"/>
  <c r="N73" i="66"/>
  <c r="N73" i="63"/>
  <c r="N73" i="21"/>
  <c r="N73" i="62"/>
  <c r="N73" i="59"/>
  <c r="N73" i="58"/>
  <c r="N73" i="57"/>
  <c r="N73" i="136"/>
  <c r="N73" i="53"/>
  <c r="N73" i="98"/>
  <c r="N73" i="49"/>
  <c r="N73" i="83"/>
  <c r="N73" i="47"/>
  <c r="N73" i="46"/>
  <c r="N73" i="102"/>
  <c r="N73" i="45"/>
  <c r="N73" i="106"/>
  <c r="N73" i="104"/>
  <c r="N73" i="15"/>
  <c r="N73" i="43"/>
  <c r="N73" i="42"/>
  <c r="N73" i="84"/>
  <c r="N73" i="71"/>
  <c r="N73" i="39"/>
  <c r="N73" i="135"/>
  <c r="N73" i="38"/>
  <c r="N73" i="37"/>
  <c r="N73" i="120"/>
  <c r="N73" i="24"/>
  <c r="N73" i="141"/>
  <c r="N73" i="33"/>
  <c r="N73" i="32"/>
  <c r="N73" i="79"/>
  <c r="N73" i="31"/>
  <c r="N73" i="64"/>
  <c r="N188" i="19"/>
  <c r="N188" i="118"/>
  <c r="N188" i="133"/>
  <c r="N188" i="94"/>
  <c r="N188" i="85"/>
  <c r="N188" i="67"/>
  <c r="N188" i="63"/>
  <c r="N188" i="62"/>
  <c r="N188" i="58"/>
  <c r="N188" i="53"/>
  <c r="N188" i="49"/>
  <c r="N188" i="47"/>
  <c r="N188" i="46"/>
  <c r="N188" i="45"/>
  <c r="N188" i="104"/>
  <c r="N188" i="43"/>
  <c r="N188" i="84"/>
  <c r="N188" i="71"/>
  <c r="N188" i="135"/>
  <c r="N188" i="37"/>
  <c r="N188" i="141"/>
  <c r="N188" i="32"/>
  <c r="N188" i="31"/>
  <c r="N188" i="28"/>
  <c r="N188" i="119"/>
  <c r="N188" i="65"/>
  <c r="N188" i="20"/>
  <c r="N188" i="111"/>
  <c r="N188" i="100"/>
  <c r="N188" i="89"/>
  <c r="N188" i="142"/>
  <c r="N188" i="90"/>
  <c r="N188" i="113"/>
  <c r="N188" i="50"/>
  <c r="N188" i="103"/>
  <c r="N188" i="14"/>
  <c r="N188" i="60"/>
  <c r="N188" i="54"/>
  <c r="N188" i="72"/>
  <c r="N188" i="68"/>
  <c r="N188" i="66"/>
  <c r="N188" i="21"/>
  <c r="N188" i="59"/>
  <c r="N188" i="57"/>
  <c r="N188" i="136"/>
  <c r="N188" i="98"/>
  <c r="N188" i="83"/>
  <c r="N188" i="102"/>
  <c r="N188" i="106"/>
  <c r="N188" i="15"/>
  <c r="N188" i="42"/>
  <c r="N188" i="39"/>
  <c r="N188" i="38"/>
  <c r="N188" i="120"/>
  <c r="N188" i="24"/>
  <c r="N188" i="33"/>
  <c r="N188" i="79"/>
  <c r="N188" i="64"/>
  <c r="N188" i="27"/>
  <c r="N188" i="25"/>
  <c r="N188" i="16"/>
  <c r="N188" i="55"/>
  <c r="N188" i="69"/>
  <c r="N188" i="86"/>
  <c r="N188" i="91"/>
  <c r="N188" i="92"/>
  <c r="N188" i="1"/>
  <c r="N188" i="95"/>
  <c r="N188" i="87"/>
  <c r="N188" i="10"/>
  <c r="N41" i="133"/>
  <c r="N41" i="85"/>
  <c r="N41" i="67"/>
  <c r="N41" i="62"/>
  <c r="N41" i="49"/>
  <c r="N41" i="46"/>
  <c r="N41" i="104"/>
  <c r="N41" i="84"/>
  <c r="N41" i="135"/>
  <c r="N41" i="32"/>
  <c r="N41" i="28"/>
  <c r="N41" i="65"/>
  <c r="N41" i="20"/>
  <c r="N41" i="14"/>
  <c r="N41" i="89"/>
  <c r="N41" i="90"/>
  <c r="N41" i="50"/>
  <c r="N41" i="60"/>
  <c r="N41" i="72"/>
  <c r="N41" i="68"/>
  <c r="N41" i="21"/>
  <c r="N41" i="57"/>
  <c r="N41" i="98"/>
  <c r="N41" i="106"/>
  <c r="N41" i="42"/>
  <c r="N41" i="39"/>
  <c r="N41" i="120"/>
  <c r="N41" i="33"/>
  <c r="N41" i="64"/>
  <c r="N41" i="25"/>
  <c r="N41" i="55"/>
  <c r="N41" i="69"/>
  <c r="N41" i="91"/>
  <c r="N41" i="1"/>
  <c r="N41" i="10"/>
  <c r="N41" i="94"/>
  <c r="N41" i="63"/>
  <c r="N41" i="58"/>
  <c r="N41" i="53"/>
  <c r="N41" i="47"/>
  <c r="N41" i="45"/>
  <c r="N41" i="43"/>
  <c r="N41" i="71"/>
  <c r="N41" i="37"/>
  <c r="N41" i="141"/>
  <c r="N41" i="31"/>
  <c r="N41" i="119"/>
  <c r="N41" i="111"/>
  <c r="N41" i="87"/>
  <c r="N41" i="142"/>
  <c r="N41" i="113"/>
  <c r="N41" i="103"/>
  <c r="N41" i="19"/>
  <c r="N41" i="54"/>
  <c r="N41" i="66"/>
  <c r="N41" i="118"/>
  <c r="N41" i="59"/>
  <c r="N41" i="136"/>
  <c r="N41" i="83"/>
  <c r="N41" i="102"/>
  <c r="N41" i="15"/>
  <c r="N41" i="38"/>
  <c r="N41" i="24"/>
  <c r="N41" i="79"/>
  <c r="N41" i="27"/>
  <c r="N41" i="16"/>
  <c r="N41" i="100"/>
  <c r="N41" i="86"/>
  <c r="N41" i="92"/>
  <c r="N41" i="95"/>
  <c r="N101" i="10"/>
  <c r="N101" i="118"/>
  <c r="N101" i="133"/>
  <c r="N101" i="94"/>
  <c r="N101" i="85"/>
  <c r="N101" i="67"/>
  <c r="N101" i="63"/>
  <c r="N101" i="62"/>
  <c r="N101" i="58"/>
  <c r="N101" i="53"/>
  <c r="N101" i="49"/>
  <c r="N101" i="47"/>
  <c r="N101" i="46"/>
  <c r="N101" i="45"/>
  <c r="N101" i="104"/>
  <c r="N101" i="43"/>
  <c r="N101" i="84"/>
  <c r="N101" i="71"/>
  <c r="N101" i="135"/>
  <c r="N101" i="37"/>
  <c r="N101" i="141"/>
  <c r="N101" i="32"/>
  <c r="N101" i="31"/>
  <c r="N101" i="28"/>
  <c r="N101" i="119"/>
  <c r="N101" i="65"/>
  <c r="N101" i="20"/>
  <c r="N101" i="111"/>
  <c r="N101" i="14"/>
  <c r="N101" i="87"/>
  <c r="N101" i="89"/>
  <c r="N101" i="142"/>
  <c r="N101" i="90"/>
  <c r="N101" i="113"/>
  <c r="N101" i="50"/>
  <c r="N101" i="103"/>
  <c r="N101" i="19"/>
  <c r="N101" i="60"/>
  <c r="N101" i="54"/>
  <c r="N101" i="72"/>
  <c r="N101" i="68"/>
  <c r="N101" i="66"/>
  <c r="N101" i="21"/>
  <c r="N101" i="59"/>
  <c r="N101" i="57"/>
  <c r="N101" i="136"/>
  <c r="N101" i="98"/>
  <c r="N101" i="83"/>
  <c r="N101" i="102"/>
  <c r="N101" i="106"/>
  <c r="N101" i="15"/>
  <c r="N101" i="42"/>
  <c r="N101" i="39"/>
  <c r="N101" i="38"/>
  <c r="N101" i="120"/>
  <c r="N101" i="24"/>
  <c r="N101" i="33"/>
  <c r="N101" i="79"/>
  <c r="N101" i="64"/>
  <c r="N101" i="27"/>
  <c r="N101" i="25"/>
  <c r="N101" i="16"/>
  <c r="N101" i="55"/>
  <c r="N101" i="100"/>
  <c r="N101" i="69"/>
  <c r="N101" i="86"/>
  <c r="N101" i="91"/>
  <c r="N101" i="92"/>
  <c r="N101" i="1"/>
  <c r="N101" i="95"/>
  <c r="N74" i="19"/>
  <c r="N74" i="10"/>
  <c r="N74" i="118"/>
  <c r="N74" i="133"/>
  <c r="N74" i="94"/>
  <c r="N74" i="85"/>
  <c r="N74" i="67"/>
  <c r="N74" i="63"/>
  <c r="N74" i="62"/>
  <c r="N74" i="58"/>
  <c r="N74" i="53"/>
  <c r="N74" i="49"/>
  <c r="N74" i="47"/>
  <c r="N74" i="46"/>
  <c r="N74" i="45"/>
  <c r="N74" i="104"/>
  <c r="N74" i="43"/>
  <c r="N74" i="42"/>
  <c r="N74" i="84"/>
  <c r="N74" i="71"/>
  <c r="N74" i="39"/>
  <c r="N74" i="135"/>
  <c r="N74" i="38"/>
  <c r="N74" i="37"/>
  <c r="N74" i="120"/>
  <c r="N74" i="24"/>
  <c r="N74" i="141"/>
  <c r="N74" i="33"/>
  <c r="N74" i="32"/>
  <c r="N74" i="79"/>
  <c r="N74" i="31"/>
  <c r="N74" i="64"/>
  <c r="N74" i="28"/>
  <c r="N74" i="27"/>
  <c r="N74" i="119"/>
  <c r="N74" i="25"/>
  <c r="N74" i="65"/>
  <c r="N74" i="20"/>
  <c r="N74" i="16"/>
  <c r="N74" i="111"/>
  <c r="N74" i="55"/>
  <c r="N74" i="14"/>
  <c r="N74" i="100"/>
  <c r="N74" i="87"/>
  <c r="N74" i="69"/>
  <c r="N74" i="89"/>
  <c r="N74" i="86"/>
  <c r="N74" i="142"/>
  <c r="N74" i="91"/>
  <c r="N74" i="90"/>
  <c r="N74" i="92"/>
  <c r="N74" i="113"/>
  <c r="N74" i="1"/>
  <c r="N74" i="50"/>
  <c r="N74" i="95"/>
  <c r="N74" i="103"/>
  <c r="N74" i="106"/>
  <c r="N74" i="98"/>
  <c r="N74" i="57"/>
  <c r="N74" i="21"/>
  <c r="N74" i="68"/>
  <c r="N74" i="72"/>
  <c r="N74" i="60"/>
  <c r="N74" i="15"/>
  <c r="N74" i="102"/>
  <c r="N74" i="83"/>
  <c r="N74" i="136"/>
  <c r="N74" i="59"/>
  <c r="N74" i="66"/>
  <c r="N74" i="54"/>
  <c r="N124" i="19"/>
  <c r="N124" i="72"/>
  <c r="N124" i="68"/>
  <c r="N124" i="21"/>
  <c r="N124" i="57"/>
  <c r="N124" i="98"/>
  <c r="N124" i="106"/>
  <c r="N124" i="42"/>
  <c r="N124" i="39"/>
  <c r="N124" i="120"/>
  <c r="N124" i="33"/>
  <c r="N124" i="64"/>
  <c r="N124" i="25"/>
  <c r="N124" i="55"/>
  <c r="N124" i="69"/>
  <c r="N124" i="91"/>
  <c r="N124" i="1"/>
  <c r="N124" i="10"/>
  <c r="N124" i="94"/>
  <c r="N124" i="63"/>
  <c r="N124" i="58"/>
  <c r="N124" i="53"/>
  <c r="N124" i="47"/>
  <c r="N124" i="45"/>
  <c r="N124" i="43"/>
  <c r="N124" i="71"/>
  <c r="N124" i="37"/>
  <c r="N124" i="141"/>
  <c r="N124" i="31"/>
  <c r="N124" i="119"/>
  <c r="N124" i="111"/>
  <c r="N124" i="87"/>
  <c r="N124" i="142"/>
  <c r="N124" i="113"/>
  <c r="N124" i="103"/>
  <c r="N124" i="54"/>
  <c r="N124" i="66"/>
  <c r="N124" i="59"/>
  <c r="N124" i="136"/>
  <c r="N124" i="83"/>
  <c r="N124" i="102"/>
  <c r="N124" i="15"/>
  <c r="N124" i="38"/>
  <c r="N124" i="24"/>
  <c r="N124" i="79"/>
  <c r="N124" i="27"/>
  <c r="N124" i="16"/>
  <c r="N124" i="100"/>
  <c r="N124" i="86"/>
  <c r="N124" i="92"/>
  <c r="N124" i="95"/>
  <c r="N124" i="133"/>
  <c r="N124" i="85"/>
  <c r="N124" i="67"/>
  <c r="N124" i="62"/>
  <c r="N124" i="49"/>
  <c r="N124" i="46"/>
  <c r="N124" i="104"/>
  <c r="N124" i="84"/>
  <c r="N124" i="135"/>
  <c r="N124" i="32"/>
  <c r="N124" i="28"/>
  <c r="N124" i="65"/>
  <c r="N124" i="20"/>
  <c r="N124" i="14"/>
  <c r="N124" i="89"/>
  <c r="N124" i="90"/>
  <c r="N124" i="50"/>
  <c r="N124" i="60"/>
  <c r="N124" i="118"/>
  <c r="N133" i="67"/>
  <c r="N133" i="46"/>
  <c r="N133" i="20"/>
  <c r="N133" i="50"/>
  <c r="N133" i="21"/>
  <c r="N133" i="106"/>
  <c r="N133" i="64"/>
  <c r="N133" i="69"/>
  <c r="N133" i="66"/>
  <c r="N133" i="102"/>
  <c r="N133" i="24"/>
  <c r="N133" i="16"/>
  <c r="N133" i="95"/>
  <c r="N133" i="94"/>
  <c r="N133" i="63"/>
  <c r="N133" i="53"/>
  <c r="N133" i="45"/>
  <c r="N133" i="71"/>
  <c r="N133" i="141"/>
  <c r="N133" i="119"/>
  <c r="N133" i="111"/>
  <c r="N133" i="142"/>
  <c r="N133" i="103"/>
  <c r="N133" i="85"/>
  <c r="N133" i="49"/>
  <c r="N133" i="135"/>
  <c r="N133" i="65"/>
  <c r="N133" i="90"/>
  <c r="N133" i="68"/>
  <c r="N133" i="120"/>
  <c r="N133" i="25"/>
  <c r="N133" i="91"/>
  <c r="N133" i="83"/>
  <c r="N133" i="38"/>
  <c r="N133" i="92"/>
  <c r="N133" i="133"/>
  <c r="N133" i="84"/>
  <c r="N133" i="28"/>
  <c r="N133" i="89"/>
  <c r="N133" i="72"/>
  <c r="N133" i="98"/>
  <c r="N133" i="39"/>
  <c r="N133" i="1"/>
  <c r="N133" i="54"/>
  <c r="N133" i="136"/>
  <c r="N133" i="27"/>
  <c r="N133" i="86"/>
  <c r="N133" i="118"/>
  <c r="N133" i="58"/>
  <c r="N133" i="47"/>
  <c r="N133" i="43"/>
  <c r="N133" i="37"/>
  <c r="N133" i="31"/>
  <c r="N133" i="87"/>
  <c r="N133" i="113"/>
  <c r="N133" i="19"/>
  <c r="N133" i="62"/>
  <c r="N133" i="104"/>
  <c r="N133" i="32"/>
  <c r="N133" i="14"/>
  <c r="N133" i="60"/>
  <c r="N133" i="57"/>
  <c r="N133" i="42"/>
  <c r="N133" i="33"/>
  <c r="N133" i="55"/>
  <c r="N133" i="10"/>
  <c r="N133" i="59"/>
  <c r="N133" i="15"/>
  <c r="N133" i="79"/>
  <c r="N133" i="100"/>
  <c r="N89" i="10"/>
  <c r="N89" i="118"/>
  <c r="N89" i="133"/>
  <c r="N89" i="94"/>
  <c r="N89" i="85"/>
  <c r="N89" i="67"/>
  <c r="N89" i="63"/>
  <c r="N89" i="62"/>
  <c r="N89" i="58"/>
  <c r="N89" i="53"/>
  <c r="N89" i="49"/>
  <c r="N89" i="47"/>
  <c r="N89" i="46"/>
  <c r="N89" i="45"/>
  <c r="N89" i="104"/>
  <c r="N89" i="43"/>
  <c r="N89" i="84"/>
  <c r="N89" i="71"/>
  <c r="N89" i="135"/>
  <c r="N89" i="37"/>
  <c r="N89" i="141"/>
  <c r="N89" i="32"/>
  <c r="N89" i="31"/>
  <c r="N89" i="28"/>
  <c r="N89" i="119"/>
  <c r="N89" i="65"/>
  <c r="N89" i="20"/>
  <c r="N89" i="111"/>
  <c r="N89" i="14"/>
  <c r="N89" i="87"/>
  <c r="N89" i="89"/>
  <c r="N89" i="142"/>
  <c r="N89" i="90"/>
  <c r="N89" i="113"/>
  <c r="N89" i="50"/>
  <c r="N89" i="103"/>
  <c r="N89" i="19"/>
  <c r="N89" i="60"/>
  <c r="N89" i="54"/>
  <c r="N89" i="72"/>
  <c r="N89" i="68"/>
  <c r="N89" i="66"/>
  <c r="N89" i="21"/>
  <c r="N89" i="59"/>
  <c r="N89" i="57"/>
  <c r="N89" i="136"/>
  <c r="N89" i="98"/>
  <c r="N89" i="83"/>
  <c r="N89" i="102"/>
  <c r="N89" i="106"/>
  <c r="N89" i="15"/>
  <c r="N89" i="42"/>
  <c r="N89" i="39"/>
  <c r="N89" i="38"/>
  <c r="N89" i="120"/>
  <c r="N89" i="24"/>
  <c r="N89" i="33"/>
  <c r="N89" i="79"/>
  <c r="N89" i="64"/>
  <c r="N89" i="27"/>
  <c r="N89" i="25"/>
  <c r="N89" i="16"/>
  <c r="N89" i="55"/>
  <c r="N89" i="100"/>
  <c r="N89" i="69"/>
  <c r="N89" i="86"/>
  <c r="N89" i="91"/>
  <c r="N89" i="92"/>
  <c r="N89" i="1"/>
  <c r="N89" i="95"/>
  <c r="N196" i="19"/>
  <c r="N196" i="133"/>
  <c r="N196" i="85"/>
  <c r="N196" i="67"/>
  <c r="N196" i="62"/>
  <c r="N196" i="49"/>
  <c r="N196" i="46"/>
  <c r="N196" i="104"/>
  <c r="N196" i="84"/>
  <c r="N196" i="135"/>
  <c r="N196" i="32"/>
  <c r="N196" i="28"/>
  <c r="N196" i="65"/>
  <c r="N196" i="20"/>
  <c r="N196" i="100"/>
  <c r="N196" i="142"/>
  <c r="N196" i="113"/>
  <c r="N196" i="103"/>
  <c r="N196" i="87"/>
  <c r="N196" i="95"/>
  <c r="N196" i="92"/>
  <c r="N196" i="86"/>
  <c r="N196" i="55"/>
  <c r="N196" i="25"/>
  <c r="N196" i="64"/>
  <c r="N196" i="33"/>
  <c r="N196" i="120"/>
  <c r="N196" i="39"/>
  <c r="N196" i="42"/>
  <c r="N196" i="106"/>
  <c r="N196" i="98"/>
  <c r="N196" i="57"/>
  <c r="N196" i="21"/>
  <c r="N196" i="68"/>
  <c r="N196" i="72"/>
  <c r="N196" i="60"/>
  <c r="N196" i="10"/>
  <c r="N196" i="94"/>
  <c r="N196" i="63"/>
  <c r="N196" i="58"/>
  <c r="N196" i="53"/>
  <c r="N196" i="47"/>
  <c r="N196" i="45"/>
  <c r="N196" i="43"/>
  <c r="N196" i="71"/>
  <c r="N196" i="37"/>
  <c r="N196" i="141"/>
  <c r="N196" i="31"/>
  <c r="N196" i="119"/>
  <c r="N196" i="111"/>
  <c r="N196" i="89"/>
  <c r="N196" i="90"/>
  <c r="N196" i="50"/>
  <c r="N196" i="118"/>
  <c r="N196" i="14"/>
  <c r="N196" i="1"/>
  <c r="N196" i="91"/>
  <c r="N196" i="69"/>
  <c r="N196" i="16"/>
  <c r="N196" i="27"/>
  <c r="N196" i="79"/>
  <c r="N196" i="24"/>
  <c r="N196" i="38"/>
  <c r="N196" i="15"/>
  <c r="N196" i="102"/>
  <c r="N196" i="83"/>
  <c r="N196" i="136"/>
  <c r="N196" i="59"/>
  <c r="N196" i="66"/>
  <c r="N196" i="54"/>
  <c r="N132" i="19"/>
  <c r="N132" i="60"/>
  <c r="N132" i="72"/>
  <c r="N132" i="68"/>
  <c r="N132" i="21"/>
  <c r="N132" i="57"/>
  <c r="N132" i="98"/>
  <c r="N132" i="106"/>
  <c r="N132" i="42"/>
  <c r="N132" i="39"/>
  <c r="N132" i="120"/>
  <c r="N132" i="33"/>
  <c r="N132" i="64"/>
  <c r="N132" i="25"/>
  <c r="N132" i="55"/>
  <c r="N132" i="69"/>
  <c r="N132" i="91"/>
  <c r="N132" i="1"/>
  <c r="N132" i="10"/>
  <c r="N132" i="90"/>
  <c r="N132" i="14"/>
  <c r="N132" i="65"/>
  <c r="N132" i="32"/>
  <c r="N132" i="135"/>
  <c r="N132" i="104"/>
  <c r="N132" i="49"/>
  <c r="N132" i="62"/>
  <c r="N132" i="85"/>
  <c r="N132" i="95"/>
  <c r="N132" i="86"/>
  <c r="N132" i="16"/>
  <c r="N132" i="27"/>
  <c r="N132" i="24"/>
  <c r="N132" i="102"/>
  <c r="N132" i="136"/>
  <c r="N132" i="66"/>
  <c r="N132" i="54"/>
  <c r="N132" i="103"/>
  <c r="N132" i="142"/>
  <c r="N132" i="111"/>
  <c r="N132" i="119"/>
  <c r="N132" i="141"/>
  <c r="N132" i="71"/>
  <c r="N132" i="45"/>
  <c r="N132" i="53"/>
  <c r="N132" i="63"/>
  <c r="N132" i="94"/>
  <c r="N132" i="50"/>
  <c r="N132" i="89"/>
  <c r="N132" i="20"/>
  <c r="N132" i="28"/>
  <c r="N132" i="84"/>
  <c r="N132" i="46"/>
  <c r="N132" i="67"/>
  <c r="N132" i="133"/>
  <c r="N132" i="92"/>
  <c r="N132" i="100"/>
  <c r="N132" i="79"/>
  <c r="N132" i="38"/>
  <c r="N132" i="15"/>
  <c r="N132" i="83"/>
  <c r="N132" i="59"/>
  <c r="N132" i="113"/>
  <c r="N132" i="87"/>
  <c r="N132" i="31"/>
  <c r="N132" i="37"/>
  <c r="N132" i="43"/>
  <c r="N132" i="47"/>
  <c r="N132" i="58"/>
  <c r="N132" i="118"/>
  <c r="N202" i="118"/>
  <c r="N202" i="66"/>
  <c r="N202" i="59"/>
  <c r="N202" i="136"/>
  <c r="N202" i="83"/>
  <c r="N202" i="102"/>
  <c r="N202" i="15"/>
  <c r="N202" i="135"/>
  <c r="N202" i="32"/>
  <c r="N202" i="28"/>
  <c r="N202" i="65"/>
  <c r="N202" i="20"/>
  <c r="N202" i="14"/>
  <c r="N202" i="89"/>
  <c r="N202" i="90"/>
  <c r="N202" i="50"/>
  <c r="N202" i="38"/>
  <c r="N202" i="24"/>
  <c r="N202" i="79"/>
  <c r="N202" i="27"/>
  <c r="N202" i="16"/>
  <c r="N202" i="100"/>
  <c r="N202" i="86"/>
  <c r="N202" i="92"/>
  <c r="N202" i="95"/>
  <c r="N202" i="133"/>
  <c r="N202" i="85"/>
  <c r="N202" i="67"/>
  <c r="N202" i="62"/>
  <c r="N202" i="49"/>
  <c r="N202" i="46"/>
  <c r="N202" i="104"/>
  <c r="N202" i="84"/>
  <c r="N202" i="60"/>
  <c r="N202" i="72"/>
  <c r="N202" i="68"/>
  <c r="N202" i="21"/>
  <c r="N202" i="57"/>
  <c r="N202" i="98"/>
  <c r="N202" i="106"/>
  <c r="N202" i="42"/>
  <c r="N202" i="71"/>
  <c r="N202" i="37"/>
  <c r="N202" i="141"/>
  <c r="N202" i="31"/>
  <c r="N202" i="119"/>
  <c r="N202" i="111"/>
  <c r="N202" i="87"/>
  <c r="N202" i="142"/>
  <c r="N202" i="113"/>
  <c r="N202" i="103"/>
  <c r="N202" i="39"/>
  <c r="N202" i="120"/>
  <c r="N202" i="33"/>
  <c r="N202" i="64"/>
  <c r="N202" i="25"/>
  <c r="N202" i="55"/>
  <c r="N202" i="69"/>
  <c r="N202" i="91"/>
  <c r="N202" i="1"/>
  <c r="N202" i="10"/>
  <c r="N202" i="94"/>
  <c r="N202" i="63"/>
  <c r="N202" i="58"/>
  <c r="N202" i="53"/>
  <c r="N202" i="47"/>
  <c r="N202" i="45"/>
  <c r="N202" i="43"/>
  <c r="N202" i="19"/>
  <c r="N202" i="54"/>
  <c r="N140" i="19"/>
  <c r="N140" i="60"/>
  <c r="N140" i="54"/>
  <c r="N140" i="72"/>
  <c r="N140" i="68"/>
  <c r="N140" i="66"/>
  <c r="N140" i="21"/>
  <c r="N140" i="59"/>
  <c r="N140" i="57"/>
  <c r="N140" i="136"/>
  <c r="N140" i="98"/>
  <c r="N140" i="83"/>
  <c r="N140" i="102"/>
  <c r="N140" i="106"/>
  <c r="N140" i="15"/>
  <c r="N140" i="42"/>
  <c r="N140" i="39"/>
  <c r="N140" i="38"/>
  <c r="N140" i="120"/>
  <c r="N140" i="24"/>
  <c r="N140" i="33"/>
  <c r="N140" i="79"/>
  <c r="N140" i="64"/>
  <c r="N140" i="27"/>
  <c r="N140" i="25"/>
  <c r="N140" i="16"/>
  <c r="N140" i="55"/>
  <c r="N140" i="100"/>
  <c r="N140" i="69"/>
  <c r="N140" i="86"/>
  <c r="N140" i="91"/>
  <c r="N140" i="92"/>
  <c r="N140" i="1"/>
  <c r="N140" i="95"/>
  <c r="N140" i="118"/>
  <c r="N140" i="133"/>
  <c r="N140" i="94"/>
  <c r="N140" i="85"/>
  <c r="N140" i="67"/>
  <c r="N140" i="63"/>
  <c r="N140" i="62"/>
  <c r="N140" i="58"/>
  <c r="N140" i="53"/>
  <c r="N140" i="49"/>
  <c r="N140" i="47"/>
  <c r="N140" i="46"/>
  <c r="N140" i="45"/>
  <c r="N140" i="104"/>
  <c r="N140" i="43"/>
  <c r="N140" i="84"/>
  <c r="N140" i="71"/>
  <c r="N140" i="135"/>
  <c r="N140" i="37"/>
  <c r="N140" i="141"/>
  <c r="N140" i="32"/>
  <c r="N140" i="31"/>
  <c r="N140" i="28"/>
  <c r="N140" i="119"/>
  <c r="N140" i="65"/>
  <c r="N140" i="20"/>
  <c r="N140" i="111"/>
  <c r="N140" i="14"/>
  <c r="N140" i="87"/>
  <c r="N140" i="89"/>
  <c r="N140" i="142"/>
  <c r="N140" i="90"/>
  <c r="N140" i="113"/>
  <c r="N140" i="50"/>
  <c r="N140" i="103"/>
  <c r="N140" i="10"/>
  <c r="N185" i="118"/>
  <c r="N185" i="94"/>
  <c r="N185" i="85"/>
  <c r="N185" i="67"/>
  <c r="N185" i="63"/>
  <c r="N185" i="62"/>
  <c r="N185" i="58"/>
  <c r="N185" i="53"/>
  <c r="N185" i="49"/>
  <c r="N185" i="47"/>
  <c r="N185" i="46"/>
  <c r="N185" i="45"/>
  <c r="N185" i="104"/>
  <c r="N185" i="43"/>
  <c r="N185" i="84"/>
  <c r="N185" i="71"/>
  <c r="N185" i="135"/>
  <c r="N185" i="37"/>
  <c r="N185" i="141"/>
  <c r="N185" i="32"/>
  <c r="N185" i="31"/>
  <c r="N185" i="28"/>
  <c r="N185" i="119"/>
  <c r="N185" i="65"/>
  <c r="N185" i="20"/>
  <c r="N185" i="111"/>
  <c r="N185" i="14"/>
  <c r="N185" i="87"/>
  <c r="N185" i="89"/>
  <c r="N185" i="142"/>
  <c r="N185" i="90"/>
  <c r="N185" i="113"/>
  <c r="N185" i="50"/>
  <c r="N185" i="103"/>
  <c r="N185" i="19"/>
  <c r="N185" i="60"/>
  <c r="N185" i="54"/>
  <c r="N185" i="72"/>
  <c r="N185" i="68"/>
  <c r="N185" i="66"/>
  <c r="N185" i="21"/>
  <c r="N185" i="59"/>
  <c r="N185" i="57"/>
  <c r="N185" i="136"/>
  <c r="N185" i="98"/>
  <c r="N185" i="83"/>
  <c r="N185" i="102"/>
  <c r="N185" i="106"/>
  <c r="N185" i="15"/>
  <c r="N185" i="42"/>
  <c r="N185" i="39"/>
  <c r="N185" i="38"/>
  <c r="N185" i="120"/>
  <c r="N185" i="24"/>
  <c r="N185" i="33"/>
  <c r="N185" i="79"/>
  <c r="N185" i="64"/>
  <c r="N185" i="27"/>
  <c r="N185" i="25"/>
  <c r="N185" i="16"/>
  <c r="N185" i="55"/>
  <c r="N185" i="100"/>
  <c r="N185" i="69"/>
  <c r="N185" i="86"/>
  <c r="N185" i="91"/>
  <c r="N185" i="92"/>
  <c r="N185" i="1"/>
  <c r="N185" i="95"/>
  <c r="N185" i="10"/>
  <c r="N185" i="133"/>
  <c r="N46" i="59"/>
  <c r="N46" i="83"/>
  <c r="N46" i="15"/>
  <c r="N46" i="38"/>
  <c r="N46" i="79"/>
  <c r="N46" i="100"/>
  <c r="N46" i="92"/>
  <c r="N46" i="133"/>
  <c r="N46" i="67"/>
  <c r="N46" i="46"/>
  <c r="N46" i="84"/>
  <c r="N46" i="28"/>
  <c r="N46" i="20"/>
  <c r="N46" i="89"/>
  <c r="N46" i="50"/>
  <c r="N46" i="72"/>
  <c r="N46" i="21"/>
  <c r="N46" i="98"/>
  <c r="N46" i="106"/>
  <c r="N46" i="39"/>
  <c r="N46" i="33"/>
  <c r="N46" i="25"/>
  <c r="N46" i="55"/>
  <c r="N46" i="91"/>
  <c r="N46" i="10"/>
  <c r="N46" i="94"/>
  <c r="N46" i="63"/>
  <c r="N46" i="53"/>
  <c r="N46" i="45"/>
  <c r="N46" i="71"/>
  <c r="N46" i="141"/>
  <c r="N46" i="119"/>
  <c r="N46" i="111"/>
  <c r="N46" i="142"/>
  <c r="N46" i="103"/>
  <c r="N46" i="19"/>
  <c r="N46" i="54"/>
  <c r="N46" i="66"/>
  <c r="N46" i="136"/>
  <c r="N46" i="102"/>
  <c r="N46" i="24"/>
  <c r="N46" i="27"/>
  <c r="N46" i="16"/>
  <c r="N46" i="86"/>
  <c r="N46" i="95"/>
  <c r="N46" i="85"/>
  <c r="N46" i="62"/>
  <c r="N46" i="49"/>
  <c r="N46" i="104"/>
  <c r="N46" i="135"/>
  <c r="N46" i="32"/>
  <c r="N46" i="65"/>
  <c r="N46" i="14"/>
  <c r="N46" i="90"/>
  <c r="N46" i="60"/>
  <c r="N46" i="68"/>
  <c r="N46" i="57"/>
  <c r="N46" i="42"/>
  <c r="N46" i="120"/>
  <c r="N46" i="64"/>
  <c r="N46" i="69"/>
  <c r="N46" i="1"/>
  <c r="N46" i="118"/>
  <c r="N46" i="58"/>
  <c r="N46" i="47"/>
  <c r="N46" i="43"/>
  <c r="N46" i="37"/>
  <c r="N46" i="31"/>
  <c r="N46" i="87"/>
  <c r="N46" i="113"/>
  <c r="N30" i="102"/>
  <c r="N30" i="106"/>
  <c r="N30" i="15"/>
  <c r="N30" i="42"/>
  <c r="N30" i="39"/>
  <c r="N30" i="38"/>
  <c r="N30" i="120"/>
  <c r="N30" i="24"/>
  <c r="N30" i="33"/>
  <c r="N30" i="79"/>
  <c r="N30" i="64"/>
  <c r="N30" i="27"/>
  <c r="N30" i="25"/>
  <c r="N30" i="16"/>
  <c r="N30" i="55"/>
  <c r="N30" i="100"/>
  <c r="N30" i="69"/>
  <c r="N30" i="86"/>
  <c r="N30" i="91"/>
  <c r="N30" i="92"/>
  <c r="N30" i="1"/>
  <c r="N30" i="95"/>
  <c r="N30" i="10"/>
  <c r="N30" i="118"/>
  <c r="N30" i="133"/>
  <c r="N30" i="94"/>
  <c r="N30" i="85"/>
  <c r="N30" i="67"/>
  <c r="N30" i="63"/>
  <c r="N30" i="62"/>
  <c r="N30" i="58"/>
  <c r="N30" i="53"/>
  <c r="N30" i="49"/>
  <c r="N30" i="47"/>
  <c r="N30" i="46"/>
  <c r="N30" i="45"/>
  <c r="N30" i="104"/>
  <c r="N30" i="43"/>
  <c r="N30" i="84"/>
  <c r="N30" i="71"/>
  <c r="N30" i="135"/>
  <c r="N30" i="37"/>
  <c r="N30" i="141"/>
  <c r="N30" i="31"/>
  <c r="N30" i="119"/>
  <c r="N30" i="111"/>
  <c r="N30" i="87"/>
  <c r="N30" i="142"/>
  <c r="N30" i="113"/>
  <c r="N30" i="103"/>
  <c r="N30" i="32"/>
  <c r="N30" i="28"/>
  <c r="N30" i="65"/>
  <c r="N30" i="20"/>
  <c r="N30" i="14"/>
  <c r="N30" i="89"/>
  <c r="N30" i="90"/>
  <c r="N30" i="50"/>
  <c r="N30" i="54"/>
  <c r="N30" i="59"/>
  <c r="N30" i="83"/>
  <c r="N30" i="19"/>
  <c r="N30" i="60"/>
  <c r="N30" i="72"/>
  <c r="N30" i="68"/>
  <c r="N30" i="21"/>
  <c r="N30" i="57"/>
  <c r="N30" i="98"/>
  <c r="N30" i="66"/>
  <c r="N30" i="136"/>
  <c r="N71" i="19"/>
  <c r="N71" i="10"/>
  <c r="N71" i="118"/>
  <c r="N71" i="60"/>
  <c r="N71" i="133"/>
  <c r="N71" i="54"/>
  <c r="N71" i="94"/>
  <c r="N71" i="72"/>
  <c r="N71" i="85"/>
  <c r="N71" i="68"/>
  <c r="N71" i="67"/>
  <c r="N71" i="66"/>
  <c r="N71" i="63"/>
  <c r="N71" i="21"/>
  <c r="N71" i="62"/>
  <c r="N71" i="59"/>
  <c r="N71" i="58"/>
  <c r="N71" i="57"/>
  <c r="N71" i="136"/>
  <c r="N71" i="53"/>
  <c r="N71" i="98"/>
  <c r="N71" i="49"/>
  <c r="N71" i="83"/>
  <c r="N71" i="47"/>
  <c r="N71" i="46"/>
  <c r="N71" i="102"/>
  <c r="N71" i="45"/>
  <c r="N71" i="106"/>
  <c r="N71" i="104"/>
  <c r="N71" i="15"/>
  <c r="N71" i="43"/>
  <c r="N71" i="42"/>
  <c r="N71" i="84"/>
  <c r="N71" i="71"/>
  <c r="N71" i="39"/>
  <c r="N71" i="135"/>
  <c r="N71" i="38"/>
  <c r="N71" i="37"/>
  <c r="N71" i="120"/>
  <c r="N71" i="24"/>
  <c r="N71" i="141"/>
  <c r="N71" i="33"/>
  <c r="N71" i="32"/>
  <c r="N71" i="79"/>
  <c r="N71" i="31"/>
  <c r="N71" i="64"/>
  <c r="N71" i="28"/>
  <c r="N71" i="27"/>
  <c r="N71" i="119"/>
  <c r="N71" i="25"/>
  <c r="N71" i="65"/>
  <c r="N71" i="20"/>
  <c r="N71" i="16"/>
  <c r="N71" i="111"/>
  <c r="N71" i="55"/>
  <c r="N71" i="14"/>
  <c r="N71" i="100"/>
  <c r="N71" i="87"/>
  <c r="N71" i="69"/>
  <c r="N71" i="89"/>
  <c r="N71" i="86"/>
  <c r="N71" i="142"/>
  <c r="N71" i="91"/>
  <c r="N71" i="90"/>
  <c r="N71" i="92"/>
  <c r="N71" i="113"/>
  <c r="N71" i="1"/>
  <c r="N71" i="50"/>
  <c r="N71" i="95"/>
  <c r="N71" i="103"/>
  <c r="N56" i="113"/>
  <c r="N56" i="87"/>
  <c r="N56" i="31"/>
  <c r="N56" i="37"/>
  <c r="N56" i="43"/>
  <c r="N56" i="47"/>
  <c r="N56" i="58"/>
  <c r="N56" i="118"/>
  <c r="N56" i="92"/>
  <c r="N56" i="100"/>
  <c r="N56" i="16"/>
  <c r="N56" i="27"/>
  <c r="N56" i="79"/>
  <c r="N56" i="24"/>
  <c r="N56" i="38"/>
  <c r="N56" i="15"/>
  <c r="N56" i="102"/>
  <c r="N56" i="83"/>
  <c r="N56" i="136"/>
  <c r="N56" i="59"/>
  <c r="N56" i="66"/>
  <c r="N56" i="54"/>
  <c r="N56" i="103"/>
  <c r="N56" i="142"/>
  <c r="N56" i="111"/>
  <c r="N56" i="119"/>
  <c r="N56" i="141"/>
  <c r="N56" i="71"/>
  <c r="N56" i="45"/>
  <c r="N56" i="53"/>
  <c r="N56" i="63"/>
  <c r="N56" i="94"/>
  <c r="N56" i="95"/>
  <c r="N56" i="86"/>
  <c r="N56" i="19"/>
  <c r="N56" i="72"/>
  <c r="N56" i="21"/>
  <c r="N56" i="98"/>
  <c r="N56" i="106"/>
  <c r="N56" i="39"/>
  <c r="N56" i="33"/>
  <c r="N56" i="25"/>
  <c r="N56" i="55"/>
  <c r="N56" i="91"/>
  <c r="N56" i="10"/>
  <c r="N56" i="85"/>
  <c r="N56" i="62"/>
  <c r="N56" i="49"/>
  <c r="N56" i="104"/>
  <c r="N56" i="135"/>
  <c r="N56" i="32"/>
  <c r="N56" i="65"/>
  <c r="N56" i="14"/>
  <c r="N56" i="90"/>
  <c r="N56" i="60"/>
  <c r="N56" i="68"/>
  <c r="N56" i="57"/>
  <c r="N56" i="42"/>
  <c r="N56" i="120"/>
  <c r="N56" i="64"/>
  <c r="N56" i="69"/>
  <c r="N56" i="1"/>
  <c r="N56" i="133"/>
  <c r="N56" i="67"/>
  <c r="N56" i="46"/>
  <c r="N56" i="84"/>
  <c r="N56" i="28"/>
  <c r="N56" i="20"/>
  <c r="N56" i="89"/>
  <c r="N56" i="50"/>
  <c r="N106" i="19"/>
  <c r="N106" i="60"/>
  <c r="N106" i="72"/>
  <c r="N106" i="68"/>
  <c r="N106" i="21"/>
  <c r="N106" i="57"/>
  <c r="N106" i="98"/>
  <c r="N106" i="106"/>
  <c r="N106" i="42"/>
  <c r="N106" i="39"/>
  <c r="N106" i="120"/>
  <c r="N106" i="33"/>
  <c r="N106" i="64"/>
  <c r="N106" i="25"/>
  <c r="N106" i="55"/>
  <c r="N106" i="69"/>
  <c r="N106" i="91"/>
  <c r="N106" i="1"/>
  <c r="N106" i="10"/>
  <c r="N106" i="133"/>
  <c r="N106" i="85"/>
  <c r="N106" i="67"/>
  <c r="N106" i="62"/>
  <c r="N106" i="49"/>
  <c r="N106" i="46"/>
  <c r="N106" i="104"/>
  <c r="N106" i="84"/>
  <c r="N106" i="135"/>
  <c r="N106" i="32"/>
  <c r="N106" i="28"/>
  <c r="N106" i="65"/>
  <c r="N106" i="20"/>
  <c r="N106" i="14"/>
  <c r="N106" i="89"/>
  <c r="N106" i="90"/>
  <c r="N106" i="50"/>
  <c r="N106" i="54"/>
  <c r="N106" i="66"/>
  <c r="N106" i="59"/>
  <c r="N106" i="136"/>
  <c r="N106" i="83"/>
  <c r="N106" i="102"/>
  <c r="N106" i="15"/>
  <c r="N106" i="38"/>
  <c r="N106" i="24"/>
  <c r="N106" i="79"/>
  <c r="N106" i="27"/>
  <c r="N106" i="16"/>
  <c r="N106" i="100"/>
  <c r="N106" i="86"/>
  <c r="N106" i="92"/>
  <c r="N106" i="95"/>
  <c r="N106" i="118"/>
  <c r="N106" i="94"/>
  <c r="N106" i="63"/>
  <c r="N106" i="58"/>
  <c r="N106" i="53"/>
  <c r="N106" i="47"/>
  <c r="N106" i="45"/>
  <c r="N106" i="43"/>
  <c r="N106" i="71"/>
  <c r="N106" i="37"/>
  <c r="N106" i="141"/>
  <c r="N106" i="31"/>
  <c r="N106" i="119"/>
  <c r="N106" i="111"/>
  <c r="N106" i="87"/>
  <c r="N106" i="142"/>
  <c r="N106" i="113"/>
  <c r="N106" i="103"/>
  <c r="N157" i="10"/>
  <c r="N157" i="60"/>
  <c r="N157" i="54"/>
  <c r="N157" i="72"/>
  <c r="N157" i="68"/>
  <c r="N157" i="66"/>
  <c r="N157" i="21"/>
  <c r="N157" i="59"/>
  <c r="N157" i="57"/>
  <c r="N157" i="136"/>
  <c r="N157" i="98"/>
  <c r="N157" i="83"/>
  <c r="N157" i="102"/>
  <c r="N157" i="106"/>
  <c r="N157" i="15"/>
  <c r="N157" i="42"/>
  <c r="N157" i="39"/>
  <c r="N157" i="38"/>
  <c r="N157" i="120"/>
  <c r="N157" i="24"/>
  <c r="N157" i="33"/>
  <c r="N157" i="79"/>
  <c r="N157" i="64"/>
  <c r="N157" i="27"/>
  <c r="N157" i="25"/>
  <c r="N157" i="16"/>
  <c r="N157" i="55"/>
  <c r="N157" i="100"/>
  <c r="N157" i="69"/>
  <c r="N157" i="86"/>
  <c r="N157" i="91"/>
  <c r="N157" i="92"/>
  <c r="N157" i="1"/>
  <c r="N157" i="95"/>
  <c r="N157" i="118"/>
  <c r="N157" i="133"/>
  <c r="N157" i="94"/>
  <c r="N157" i="85"/>
  <c r="N157" i="67"/>
  <c r="N157" i="63"/>
  <c r="N157" i="62"/>
  <c r="N157" i="58"/>
  <c r="N157" i="53"/>
  <c r="N157" i="49"/>
  <c r="N157" i="47"/>
  <c r="N157" i="46"/>
  <c r="N157" i="45"/>
  <c r="N157" i="104"/>
  <c r="N157" i="43"/>
  <c r="N157" i="84"/>
  <c r="N157" i="71"/>
  <c r="N157" i="135"/>
  <c r="N157" i="37"/>
  <c r="N157" i="141"/>
  <c r="N157" i="32"/>
  <c r="N157" i="31"/>
  <c r="N157" i="28"/>
  <c r="N157" i="119"/>
  <c r="N157" i="65"/>
  <c r="N157" i="20"/>
  <c r="N157" i="111"/>
  <c r="N157" i="14"/>
  <c r="N157" i="87"/>
  <c r="N157" i="89"/>
  <c r="N157" i="142"/>
  <c r="N157" i="90"/>
  <c r="N157" i="113"/>
  <c r="N157" i="50"/>
  <c r="N157" i="103"/>
  <c r="N157" i="19"/>
  <c r="N72" i="19"/>
  <c r="N72" i="118"/>
  <c r="N72" i="133"/>
  <c r="N72" i="94"/>
  <c r="N72" i="85"/>
  <c r="N72" i="67"/>
  <c r="N72" i="63"/>
  <c r="N72" i="62"/>
  <c r="N72" i="58"/>
  <c r="N72" i="53"/>
  <c r="N72" i="60"/>
  <c r="N72" i="54"/>
  <c r="N72" i="72"/>
  <c r="N72" i="68"/>
  <c r="N72" i="66"/>
  <c r="N72" i="21"/>
  <c r="N72" i="59"/>
  <c r="N72" i="57"/>
  <c r="N72" i="136"/>
  <c r="N72" i="49"/>
  <c r="N72" i="47"/>
  <c r="N72" i="46"/>
  <c r="N72" i="45"/>
  <c r="N72" i="104"/>
  <c r="N72" i="43"/>
  <c r="N72" i="84"/>
  <c r="N72" i="71"/>
  <c r="N72" i="135"/>
  <c r="N72" i="37"/>
  <c r="N72" i="141"/>
  <c r="N72" i="32"/>
  <c r="N72" i="31"/>
  <c r="N72" i="28"/>
  <c r="N72" i="119"/>
  <c r="N72" i="65"/>
  <c r="N72" i="20"/>
  <c r="N72" i="111"/>
  <c r="N72" i="14"/>
  <c r="N72" i="87"/>
  <c r="N72" i="89"/>
  <c r="N72" i="142"/>
  <c r="N72" i="90"/>
  <c r="N72" i="113"/>
  <c r="N72" i="50"/>
  <c r="N72" i="103"/>
  <c r="N72" i="98"/>
  <c r="N72" i="83"/>
  <c r="N72" i="102"/>
  <c r="N72" i="106"/>
  <c r="N72" i="15"/>
  <c r="N72" i="42"/>
  <c r="N72" i="39"/>
  <c r="N72" i="38"/>
  <c r="N72" i="120"/>
  <c r="N72" i="24"/>
  <c r="N72" i="33"/>
  <c r="N72" i="79"/>
  <c r="N72" i="64"/>
  <c r="N72" i="27"/>
  <c r="N72" i="25"/>
  <c r="N72" i="16"/>
  <c r="N72" i="55"/>
  <c r="N72" i="100"/>
  <c r="N72" i="69"/>
  <c r="N72" i="86"/>
  <c r="N72" i="91"/>
  <c r="N72" i="92"/>
  <c r="N72" i="1"/>
  <c r="N72" i="95"/>
  <c r="N72" i="10"/>
  <c r="N59" i="10"/>
  <c r="N59" i="94"/>
  <c r="N59" i="63"/>
  <c r="N59" i="58"/>
  <c r="N59" i="53"/>
  <c r="N59" i="47"/>
  <c r="N59" i="45"/>
  <c r="N59" i="43"/>
  <c r="N59" i="71"/>
  <c r="N59" i="37"/>
  <c r="N59" i="141"/>
  <c r="N59" i="31"/>
  <c r="N59" i="119"/>
  <c r="N59" i="111"/>
  <c r="N59" i="87"/>
  <c r="N59" i="142"/>
  <c r="N59" i="113"/>
  <c r="N59" i="103"/>
  <c r="N59" i="54"/>
  <c r="N59" i="66"/>
  <c r="N59" i="136"/>
  <c r="N59" i="102"/>
  <c r="N59" i="24"/>
  <c r="N59" i="27"/>
  <c r="N59" i="16"/>
  <c r="N59" i="86"/>
  <c r="N59" i="95"/>
  <c r="N59" i="19"/>
  <c r="N59" i="72"/>
  <c r="N59" i="21"/>
  <c r="N59" i="133"/>
  <c r="N59" i="85"/>
  <c r="N59" i="67"/>
  <c r="N59" i="62"/>
  <c r="N59" i="49"/>
  <c r="N59" i="46"/>
  <c r="N59" i="104"/>
  <c r="N59" i="84"/>
  <c r="N59" i="135"/>
  <c r="N59" i="32"/>
  <c r="N59" i="28"/>
  <c r="N59" i="65"/>
  <c r="N59" i="20"/>
  <c r="N59" i="14"/>
  <c r="N59" i="89"/>
  <c r="N59" i="90"/>
  <c r="N59" i="50"/>
  <c r="N59" i="59"/>
  <c r="N59" i="83"/>
  <c r="N59" i="15"/>
  <c r="N59" i="38"/>
  <c r="N59" i="79"/>
  <c r="N59" i="100"/>
  <c r="N59" i="92"/>
  <c r="N59" i="118"/>
  <c r="N59" i="60"/>
  <c r="N59" i="68"/>
  <c r="N59" i="57"/>
  <c r="N59" i="98"/>
  <c r="N59" i="106"/>
  <c r="N59" i="42"/>
  <c r="N59" i="39"/>
  <c r="N59" i="120"/>
  <c r="N59" i="33"/>
  <c r="N59" i="64"/>
  <c r="N59" i="25"/>
  <c r="N59" i="55"/>
  <c r="N59" i="69"/>
  <c r="N59" i="91"/>
  <c r="N59" i="1"/>
  <c r="N127" i="118"/>
  <c r="N127" i="94"/>
  <c r="N127" i="63"/>
  <c r="N127" i="58"/>
  <c r="N127" i="53"/>
  <c r="N127" i="47"/>
  <c r="N127" i="45"/>
  <c r="N127" i="43"/>
  <c r="N127" i="71"/>
  <c r="N127" i="37"/>
  <c r="N127" i="141"/>
  <c r="N127" i="31"/>
  <c r="N127" i="119"/>
  <c r="N127" i="111"/>
  <c r="N127" i="87"/>
  <c r="N127" i="142"/>
  <c r="N127" i="113"/>
  <c r="N127" i="103"/>
  <c r="N127" i="19"/>
  <c r="N127" i="54"/>
  <c r="N127" i="66"/>
  <c r="N127" i="59"/>
  <c r="N127" i="136"/>
  <c r="N127" i="83"/>
  <c r="N127" i="102"/>
  <c r="N127" i="15"/>
  <c r="N127" i="38"/>
  <c r="N127" i="24"/>
  <c r="N127" i="79"/>
  <c r="N127" i="27"/>
  <c r="N127" i="16"/>
  <c r="N127" i="100"/>
  <c r="N127" i="86"/>
  <c r="N127" i="92"/>
  <c r="N127" i="95"/>
  <c r="N127" i="10"/>
  <c r="N127" i="85"/>
  <c r="N127" i="62"/>
  <c r="N127" i="49"/>
  <c r="N127" i="46"/>
  <c r="N127" i="104"/>
  <c r="N127" i="84"/>
  <c r="N127" i="135"/>
  <c r="N127" i="32"/>
  <c r="N127" i="28"/>
  <c r="N127" i="65"/>
  <c r="N127" i="20"/>
  <c r="N127" i="14"/>
  <c r="N127" i="89"/>
  <c r="N127" i="90"/>
  <c r="N127" i="50"/>
  <c r="N127" i="60"/>
  <c r="N127" i="72"/>
  <c r="N127" i="68"/>
  <c r="N127" i="21"/>
  <c r="N127" i="57"/>
  <c r="N127" i="98"/>
  <c r="N127" i="106"/>
  <c r="N127" i="42"/>
  <c r="N127" i="39"/>
  <c r="N127" i="120"/>
  <c r="N127" i="33"/>
  <c r="N127" i="64"/>
  <c r="N127" i="25"/>
  <c r="N127" i="55"/>
  <c r="N127" i="69"/>
  <c r="N127" i="91"/>
  <c r="N127" i="1"/>
  <c r="N127" i="133"/>
  <c r="N127" i="67"/>
  <c r="N51" i="118"/>
  <c r="N51" i="133"/>
  <c r="N51" i="85"/>
  <c r="N51" i="67"/>
  <c r="N51" i="62"/>
  <c r="N51" i="49"/>
  <c r="N51" i="46"/>
  <c r="N51" i="104"/>
  <c r="N51" i="84"/>
  <c r="N51" i="135"/>
  <c r="N51" i="32"/>
  <c r="N51" i="28"/>
  <c r="N51" i="65"/>
  <c r="N51" i="20"/>
  <c r="N51" i="14"/>
  <c r="N51" i="89"/>
  <c r="N51" i="90"/>
  <c r="N51" i="50"/>
  <c r="N51" i="60"/>
  <c r="N51" i="72"/>
  <c r="N51" i="68"/>
  <c r="N51" i="21"/>
  <c r="N51" i="57"/>
  <c r="N51" i="98"/>
  <c r="N51" i="106"/>
  <c r="N51" i="42"/>
  <c r="N51" i="39"/>
  <c r="N51" i="120"/>
  <c r="N51" i="33"/>
  <c r="N51" i="64"/>
  <c r="N51" i="25"/>
  <c r="N51" i="55"/>
  <c r="N51" i="69"/>
  <c r="N51" i="91"/>
  <c r="N51" i="1"/>
  <c r="N51" i="10"/>
  <c r="N51" i="94"/>
  <c r="N51" i="63"/>
  <c r="N51" i="58"/>
  <c r="N51" i="53"/>
  <c r="N51" i="47"/>
  <c r="N51" i="45"/>
  <c r="N51" i="43"/>
  <c r="N51" i="71"/>
  <c r="N51" i="37"/>
  <c r="N51" i="141"/>
  <c r="N51" i="31"/>
  <c r="N51" i="119"/>
  <c r="N51" i="111"/>
  <c r="N51" i="87"/>
  <c r="N51" i="142"/>
  <c r="N51" i="113"/>
  <c r="N51" i="103"/>
  <c r="N51" i="19"/>
  <c r="N51" i="54"/>
  <c r="N51" i="66"/>
  <c r="N51" i="59"/>
  <c r="N51" i="136"/>
  <c r="N51" i="83"/>
  <c r="N51" i="102"/>
  <c r="N51" i="15"/>
  <c r="N51" i="38"/>
  <c r="N51" i="24"/>
  <c r="N51" i="79"/>
  <c r="N51" i="27"/>
  <c r="N51" i="16"/>
  <c r="N51" i="100"/>
  <c r="N51" i="86"/>
  <c r="N51" i="92"/>
  <c r="N51" i="95"/>
  <c r="N131" i="10"/>
  <c r="N131" i="118"/>
  <c r="N131" i="133"/>
  <c r="N131" i="94"/>
  <c r="N131" i="85"/>
  <c r="N131" i="67"/>
  <c r="N131" i="63"/>
  <c r="N131" i="62"/>
  <c r="N131" i="58"/>
  <c r="N131" i="53"/>
  <c r="N131" i="49"/>
  <c r="N131" i="47"/>
  <c r="N131" i="46"/>
  <c r="N131" i="45"/>
  <c r="N131" i="104"/>
  <c r="N131" i="43"/>
  <c r="N131" i="84"/>
  <c r="N131" i="71"/>
  <c r="N131" i="135"/>
  <c r="N131" i="37"/>
  <c r="N131" i="141"/>
  <c r="N131" i="32"/>
  <c r="N131" i="31"/>
  <c r="N131" i="28"/>
  <c r="N131" i="119"/>
  <c r="N131" i="65"/>
  <c r="N131" i="20"/>
  <c r="N131" i="111"/>
  <c r="N131" i="14"/>
  <c r="N131" i="87"/>
  <c r="N131" i="89"/>
  <c r="N131" i="142"/>
  <c r="N131" i="90"/>
  <c r="N131" i="113"/>
  <c r="N131" i="50"/>
  <c r="N131" i="103"/>
  <c r="N131" i="19"/>
  <c r="N131" i="60"/>
  <c r="N131" i="54"/>
  <c r="N131" i="72"/>
  <c r="N131" i="68"/>
  <c r="N131" i="66"/>
  <c r="N131" i="21"/>
  <c r="N131" i="59"/>
  <c r="N131" i="57"/>
  <c r="N131" i="136"/>
  <c r="N131" i="98"/>
  <c r="N131" i="83"/>
  <c r="N131" i="102"/>
  <c r="N131" i="106"/>
  <c r="N131" i="15"/>
  <c r="N131" i="42"/>
  <c r="N131" i="39"/>
  <c r="N131" i="38"/>
  <c r="N131" i="120"/>
  <c r="N131" i="24"/>
  <c r="N131" i="33"/>
  <c r="N131" i="79"/>
  <c r="N131" i="64"/>
  <c r="N131" i="27"/>
  <c r="N131" i="25"/>
  <c r="N131" i="16"/>
  <c r="N131" i="55"/>
  <c r="N131" i="100"/>
  <c r="N131" i="69"/>
  <c r="N131" i="86"/>
  <c r="N131" i="91"/>
  <c r="N131" i="92"/>
  <c r="N131" i="1"/>
  <c r="N131" i="95"/>
  <c r="N92" i="19"/>
  <c r="N92" i="54"/>
  <c r="N92" i="66"/>
  <c r="N92" i="59"/>
  <c r="N92" i="136"/>
  <c r="N92" i="83"/>
  <c r="N92" i="102"/>
  <c r="N92" i="15"/>
  <c r="N92" i="38"/>
  <c r="N92" i="24"/>
  <c r="N92" i="79"/>
  <c r="N92" i="27"/>
  <c r="N92" i="16"/>
  <c r="N92" i="100"/>
  <c r="N92" i="86"/>
  <c r="N92" i="92"/>
  <c r="N92" i="95"/>
  <c r="N92" i="133"/>
  <c r="N92" i="85"/>
  <c r="N92" i="67"/>
  <c r="N92" i="62"/>
  <c r="N92" i="49"/>
  <c r="N92" i="46"/>
  <c r="N92" i="104"/>
  <c r="N92" i="84"/>
  <c r="N92" i="135"/>
  <c r="N92" i="32"/>
  <c r="N92" i="28"/>
  <c r="N92" i="65"/>
  <c r="N92" i="20"/>
  <c r="N92" i="14"/>
  <c r="N92" i="89"/>
  <c r="N92" i="90"/>
  <c r="N92" i="50"/>
  <c r="N92" i="60"/>
  <c r="N92" i="72"/>
  <c r="N92" i="68"/>
  <c r="N92" i="21"/>
  <c r="N92" i="57"/>
  <c r="N92" i="98"/>
  <c r="N92" i="106"/>
  <c r="N92" i="42"/>
  <c r="N92" i="39"/>
  <c r="N92" i="120"/>
  <c r="N92" i="33"/>
  <c r="N92" i="64"/>
  <c r="N92" i="25"/>
  <c r="N92" i="55"/>
  <c r="N92" i="69"/>
  <c r="N92" i="91"/>
  <c r="N92" i="1"/>
  <c r="N92" i="10"/>
  <c r="N92" i="94"/>
  <c r="N92" i="63"/>
  <c r="N92" i="58"/>
  <c r="N92" i="53"/>
  <c r="N92" i="47"/>
  <c r="N92" i="45"/>
  <c r="N92" i="43"/>
  <c r="N92" i="71"/>
  <c r="N92" i="37"/>
  <c r="N92" i="141"/>
  <c r="N92" i="31"/>
  <c r="N92" i="119"/>
  <c r="N92" i="111"/>
  <c r="N92" i="87"/>
  <c r="N92" i="142"/>
  <c r="N92" i="113"/>
  <c r="N92" i="103"/>
  <c r="N92" i="118"/>
  <c r="N151" i="118"/>
  <c r="N151" i="94"/>
  <c r="N151" i="54"/>
  <c r="N151" i="10"/>
  <c r="N151" i="133"/>
  <c r="N151" i="85"/>
  <c r="N151" i="67"/>
  <c r="N151" i="63"/>
  <c r="N151" i="62"/>
  <c r="N151" i="58"/>
  <c r="N151" i="53"/>
  <c r="N151" i="49"/>
  <c r="N151" i="47"/>
  <c r="N151" i="46"/>
  <c r="N151" i="45"/>
  <c r="N151" i="104"/>
  <c r="N151" i="43"/>
  <c r="N151" i="84"/>
  <c r="N151" i="71"/>
  <c r="N151" i="135"/>
  <c r="N151" i="37"/>
  <c r="N151" i="141"/>
  <c r="N151" i="32"/>
  <c r="N151" i="31"/>
  <c r="N151" i="28"/>
  <c r="N151" i="119"/>
  <c r="N151" i="65"/>
  <c r="N151" i="20"/>
  <c r="N151" i="111"/>
  <c r="N151" i="14"/>
  <c r="N151" i="87"/>
  <c r="N151" i="89"/>
  <c r="N151" i="142"/>
  <c r="N151" i="90"/>
  <c r="N151" i="113"/>
  <c r="N151" i="50"/>
  <c r="N151" i="103"/>
  <c r="N151" i="19"/>
  <c r="N151" i="60"/>
  <c r="N151" i="72"/>
  <c r="N151" i="68"/>
  <c r="N151" i="66"/>
  <c r="N151" i="21"/>
  <c r="N151" i="59"/>
  <c r="N151" i="57"/>
  <c r="N151" i="136"/>
  <c r="N151" i="98"/>
  <c r="N151" i="83"/>
  <c r="N151" i="102"/>
  <c r="N151" i="106"/>
  <c r="N151" i="15"/>
  <c r="N151" i="42"/>
  <c r="N151" i="39"/>
  <c r="N151" i="38"/>
  <c r="N151" i="120"/>
  <c r="N151" i="24"/>
  <c r="N151" i="33"/>
  <c r="N151" i="79"/>
  <c r="N151" i="64"/>
  <c r="N151" i="27"/>
  <c r="N151" i="25"/>
  <c r="N151" i="16"/>
  <c r="N151" i="55"/>
  <c r="N151" i="100"/>
  <c r="N151" i="69"/>
  <c r="N151" i="86"/>
  <c r="N151" i="91"/>
  <c r="N151" i="92"/>
  <c r="N151" i="1"/>
  <c r="N151" i="95"/>
  <c r="N130" i="19"/>
  <c r="N130" i="54"/>
  <c r="N130" i="66"/>
  <c r="N130" i="59"/>
  <c r="N130" i="136"/>
  <c r="N130" i="83"/>
  <c r="N130" i="102"/>
  <c r="N130" i="15"/>
  <c r="N130" i="38"/>
  <c r="N130" i="24"/>
  <c r="N130" i="79"/>
  <c r="N130" i="27"/>
  <c r="N130" i="16"/>
  <c r="N130" i="100"/>
  <c r="N130" i="86"/>
  <c r="N130" i="92"/>
  <c r="N130" i="95"/>
  <c r="N130" i="133"/>
  <c r="N130" i="85"/>
  <c r="N130" i="67"/>
  <c r="N130" i="62"/>
  <c r="N130" i="49"/>
  <c r="N130" i="46"/>
  <c r="N130" i="104"/>
  <c r="N130" i="84"/>
  <c r="N130" i="135"/>
  <c r="N130" i="32"/>
  <c r="N130" i="28"/>
  <c r="N130" i="65"/>
  <c r="N130" i="20"/>
  <c r="N130" i="14"/>
  <c r="N130" i="89"/>
  <c r="N130" i="90"/>
  <c r="N130" i="50"/>
  <c r="N130" i="60"/>
  <c r="N130" i="72"/>
  <c r="N130" i="68"/>
  <c r="N130" i="21"/>
  <c r="N130" i="57"/>
  <c r="N130" i="98"/>
  <c r="N130" i="106"/>
  <c r="N130" i="42"/>
  <c r="N130" i="39"/>
  <c r="N130" i="120"/>
  <c r="N130" i="33"/>
  <c r="N130" i="64"/>
  <c r="N130" i="25"/>
  <c r="N130" i="55"/>
  <c r="N130" i="69"/>
  <c r="N130" i="91"/>
  <c r="N130" i="1"/>
  <c r="N130" i="10"/>
  <c r="N130" i="94"/>
  <c r="N130" i="63"/>
  <c r="N130" i="53"/>
  <c r="N130" i="45"/>
  <c r="N130" i="71"/>
  <c r="N130" i="141"/>
  <c r="N130" i="119"/>
  <c r="N130" i="111"/>
  <c r="N130" i="87"/>
  <c r="N130" i="142"/>
  <c r="N130" i="113"/>
  <c r="N130" i="103"/>
  <c r="N130" i="118"/>
  <c r="N130" i="58"/>
  <c r="N130" i="47"/>
  <c r="N130" i="43"/>
  <c r="N130" i="37"/>
  <c r="N130" i="31"/>
  <c r="N108" i="54"/>
  <c r="N108" i="66"/>
  <c r="N108" i="59"/>
  <c r="N108" i="136"/>
  <c r="N108" i="83"/>
  <c r="N108" i="102"/>
  <c r="N108" i="15"/>
  <c r="N108" i="38"/>
  <c r="N108" i="24"/>
  <c r="N108" i="79"/>
  <c r="N108" i="27"/>
  <c r="N108" i="16"/>
  <c r="N108" i="100"/>
  <c r="N108" i="86"/>
  <c r="N108" i="92"/>
  <c r="N108" i="95"/>
  <c r="N108" i="133"/>
  <c r="N108" i="85"/>
  <c r="N108" i="67"/>
  <c r="N108" i="62"/>
  <c r="N108" i="49"/>
  <c r="N108" i="46"/>
  <c r="N108" i="104"/>
  <c r="N108" i="84"/>
  <c r="N108" i="135"/>
  <c r="N108" i="32"/>
  <c r="N108" i="28"/>
  <c r="N108" i="65"/>
  <c r="N108" i="20"/>
  <c r="N108" i="14"/>
  <c r="N108" i="89"/>
  <c r="N108" i="90"/>
  <c r="N108" i="50"/>
  <c r="N108" i="19"/>
  <c r="N108" i="72"/>
  <c r="N108" i="21"/>
  <c r="N108" i="98"/>
  <c r="N108" i="118"/>
  <c r="N108" i="94"/>
  <c r="N108" i="63"/>
  <c r="N108" i="58"/>
  <c r="N108" i="53"/>
  <c r="N108" i="47"/>
  <c r="N108" i="45"/>
  <c r="N108" i="43"/>
  <c r="N108" i="71"/>
  <c r="N108" i="37"/>
  <c r="N108" i="141"/>
  <c r="N108" i="31"/>
  <c r="N108" i="119"/>
  <c r="N108" i="111"/>
  <c r="N108" i="87"/>
  <c r="N108" i="142"/>
  <c r="N108" i="113"/>
  <c r="N108" i="103"/>
  <c r="N108" i="60"/>
  <c r="N108" i="68"/>
  <c r="N108" i="57"/>
  <c r="N108" i="106"/>
  <c r="N108" i="42"/>
  <c r="N108" i="39"/>
  <c r="N108" i="120"/>
  <c r="N108" i="33"/>
  <c r="N108" i="64"/>
  <c r="N108" i="25"/>
  <c r="N108" i="55"/>
  <c r="N108" i="69"/>
  <c r="N108" i="91"/>
  <c r="N108" i="1"/>
  <c r="N108" i="10"/>
  <c r="N91" i="10"/>
  <c r="N91" i="118"/>
  <c r="N91" i="133"/>
  <c r="N91" i="94"/>
  <c r="N91" i="85"/>
  <c r="N91" i="67"/>
  <c r="N91" i="63"/>
  <c r="N91" i="62"/>
  <c r="N91" i="58"/>
  <c r="N91" i="53"/>
  <c r="N91" i="49"/>
  <c r="N91" i="47"/>
  <c r="N91" i="46"/>
  <c r="N91" i="45"/>
  <c r="N91" i="104"/>
  <c r="N91" i="43"/>
  <c r="N91" i="84"/>
  <c r="N91" i="71"/>
  <c r="N91" i="135"/>
  <c r="N91" i="37"/>
  <c r="N91" i="141"/>
  <c r="N91" i="32"/>
  <c r="N91" i="31"/>
  <c r="N91" i="28"/>
  <c r="N91" i="119"/>
  <c r="N91" i="65"/>
  <c r="N91" i="20"/>
  <c r="N91" i="111"/>
  <c r="N91" i="14"/>
  <c r="N91" i="87"/>
  <c r="N91" i="89"/>
  <c r="N91" i="142"/>
  <c r="N91" i="90"/>
  <c r="N91" i="113"/>
  <c r="N91" i="50"/>
  <c r="N91" i="103"/>
  <c r="N91" i="19"/>
  <c r="N91" i="60"/>
  <c r="N91" i="54"/>
  <c r="N91" i="72"/>
  <c r="N91" i="68"/>
  <c r="N91" i="66"/>
  <c r="N91" i="21"/>
  <c r="N91" i="59"/>
  <c r="N91" i="57"/>
  <c r="N91" i="136"/>
  <c r="N91" i="98"/>
  <c r="N91" i="83"/>
  <c r="N91" i="102"/>
  <c r="N91" i="106"/>
  <c r="N91" i="15"/>
  <c r="N91" i="42"/>
  <c r="N91" i="39"/>
  <c r="N91" i="38"/>
  <c r="N91" i="120"/>
  <c r="N91" i="24"/>
  <c r="N91" i="33"/>
  <c r="N91" i="79"/>
  <c r="N91" i="64"/>
  <c r="N91" i="27"/>
  <c r="N91" i="25"/>
  <c r="N91" i="16"/>
  <c r="N91" i="55"/>
  <c r="N91" i="100"/>
  <c r="N91" i="69"/>
  <c r="N91" i="86"/>
  <c r="N91" i="91"/>
  <c r="N91" i="92"/>
  <c r="N91" i="1"/>
  <c r="N91" i="95"/>
  <c r="N183" i="19"/>
  <c r="N183" i="118"/>
  <c r="N183" i="133"/>
  <c r="N183" i="94"/>
  <c r="N183" i="85"/>
  <c r="N183" i="67"/>
  <c r="N183" i="63"/>
  <c r="N183" i="62"/>
  <c r="N183" i="58"/>
  <c r="N183" i="53"/>
  <c r="N183" i="49"/>
  <c r="N183" i="47"/>
  <c r="N183" i="46"/>
  <c r="N183" i="45"/>
  <c r="N183" i="104"/>
  <c r="N183" i="43"/>
  <c r="N183" i="84"/>
  <c r="N183" i="71"/>
  <c r="N183" i="135"/>
  <c r="N183" i="37"/>
  <c r="N183" i="141"/>
  <c r="N183" i="32"/>
  <c r="N183" i="31"/>
  <c r="N183" i="28"/>
  <c r="N183" i="119"/>
  <c r="N183" i="65"/>
  <c r="N183" i="20"/>
  <c r="N183" i="111"/>
  <c r="N183" i="14"/>
  <c r="N183" i="87"/>
  <c r="N183" i="89"/>
  <c r="N183" i="142"/>
  <c r="N183" i="90"/>
  <c r="N183" i="113"/>
  <c r="N183" i="50"/>
  <c r="N183" i="103"/>
  <c r="N183" i="95"/>
  <c r="N183" i="1"/>
  <c r="N183" i="92"/>
  <c r="N183" i="91"/>
  <c r="N183" i="86"/>
  <c r="N183" i="69"/>
  <c r="N183" i="100"/>
  <c r="N183" i="55"/>
  <c r="N183" i="16"/>
  <c r="N183" i="25"/>
  <c r="N183" i="27"/>
  <c r="N183" i="64"/>
  <c r="N183" i="79"/>
  <c r="N183" i="33"/>
  <c r="N183" i="24"/>
  <c r="N183" i="120"/>
  <c r="N183" i="38"/>
  <c r="N183" i="39"/>
  <c r="N183" i="42"/>
  <c r="N183" i="15"/>
  <c r="N183" i="106"/>
  <c r="N183" i="102"/>
  <c r="N183" i="83"/>
  <c r="N183" i="98"/>
  <c r="N183" i="136"/>
  <c r="N183" i="57"/>
  <c r="N183" i="59"/>
  <c r="N183" i="21"/>
  <c r="N183" i="66"/>
  <c r="N183" i="68"/>
  <c r="N183" i="72"/>
  <c r="N183" i="54"/>
  <c r="N183" i="60"/>
  <c r="N183" i="10"/>
  <c r="N36" i="54"/>
  <c r="N36" i="59"/>
  <c r="N36" i="83"/>
  <c r="N36" i="15"/>
  <c r="N36" i="24"/>
  <c r="N36" i="27"/>
  <c r="N36" i="16"/>
  <c r="N36" i="86"/>
  <c r="N36" i="95"/>
  <c r="N36" i="94"/>
  <c r="N36" i="63"/>
  <c r="N36" i="53"/>
  <c r="N36" i="43"/>
  <c r="N36" i="37"/>
  <c r="N36" i="31"/>
  <c r="N36" i="87"/>
  <c r="N36" i="113"/>
  <c r="N36" i="60"/>
  <c r="N36" i="72"/>
  <c r="N36" i="68"/>
  <c r="N36" i="21"/>
  <c r="N36" i="57"/>
  <c r="N36" i="98"/>
  <c r="N36" i="106"/>
  <c r="N36" i="42"/>
  <c r="N36" i="39"/>
  <c r="N36" i="120"/>
  <c r="N36" i="33"/>
  <c r="N36" i="64"/>
  <c r="N36" i="25"/>
  <c r="N36" i="55"/>
  <c r="N36" i="69"/>
  <c r="N36" i="91"/>
  <c r="N36" i="1"/>
  <c r="N36" i="10"/>
  <c r="N36" i="133"/>
  <c r="N36" i="85"/>
  <c r="N36" i="67"/>
  <c r="N36" i="62"/>
  <c r="N36" i="49"/>
  <c r="N36" i="46"/>
  <c r="N36" i="104"/>
  <c r="N36" i="84"/>
  <c r="N36" i="135"/>
  <c r="N36" i="32"/>
  <c r="N36" i="28"/>
  <c r="N36" i="65"/>
  <c r="N36" i="20"/>
  <c r="N36" i="14"/>
  <c r="N36" i="89"/>
  <c r="N36" i="90"/>
  <c r="N36" i="50"/>
  <c r="N36" i="19"/>
  <c r="N36" i="66"/>
  <c r="N36" i="136"/>
  <c r="N36" i="102"/>
  <c r="N36" i="38"/>
  <c r="N36" i="79"/>
  <c r="N36" i="100"/>
  <c r="N36" i="92"/>
  <c r="N36" i="118"/>
  <c r="N36" i="58"/>
  <c r="N36" i="47"/>
  <c r="N36" i="45"/>
  <c r="N36" i="71"/>
  <c r="N36" i="141"/>
  <c r="N36" i="119"/>
  <c r="N36" i="111"/>
  <c r="N36" i="142"/>
  <c r="N36" i="103"/>
  <c r="N169" i="118"/>
  <c r="N169" i="10"/>
  <c r="N169" i="133"/>
  <c r="N169" i="94"/>
  <c r="N169" i="85"/>
  <c r="N169" i="67"/>
  <c r="N169" i="63"/>
  <c r="N169" i="62"/>
  <c r="N169" i="58"/>
  <c r="N169" i="53"/>
  <c r="N169" i="49"/>
  <c r="N169" i="47"/>
  <c r="N169" i="46"/>
  <c r="N169" i="45"/>
  <c r="N169" i="104"/>
  <c r="N169" i="43"/>
  <c r="N169" i="84"/>
  <c r="N169" i="71"/>
  <c r="N169" i="135"/>
  <c r="N169" i="37"/>
  <c r="N169" i="141"/>
  <c r="N169" i="32"/>
  <c r="N169" i="31"/>
  <c r="N169" i="28"/>
  <c r="N169" i="119"/>
  <c r="N169" i="65"/>
  <c r="N169" i="20"/>
  <c r="N169" i="111"/>
  <c r="N169" i="14"/>
  <c r="N169" i="87"/>
  <c r="N169" i="89"/>
  <c r="N169" i="142"/>
  <c r="N169" i="90"/>
  <c r="N169" i="113"/>
  <c r="N169" i="50"/>
  <c r="N169" i="103"/>
  <c r="N169" i="19"/>
  <c r="N169" i="60"/>
  <c r="N169" i="54"/>
  <c r="N169" i="72"/>
  <c r="N169" i="68"/>
  <c r="N169" i="66"/>
  <c r="N169" i="21"/>
  <c r="N169" i="59"/>
  <c r="N169" i="57"/>
  <c r="N169" i="136"/>
  <c r="N169" i="98"/>
  <c r="N169" i="83"/>
  <c r="N169" i="102"/>
  <c r="N169" i="106"/>
  <c r="N169" i="15"/>
  <c r="N169" i="42"/>
  <c r="N169" i="39"/>
  <c r="N169" i="38"/>
  <c r="N169" i="120"/>
  <c r="N169" i="24"/>
  <c r="N169" i="33"/>
  <c r="N169" i="79"/>
  <c r="N169" i="64"/>
  <c r="N169" i="27"/>
  <c r="N169" i="25"/>
  <c r="N169" i="16"/>
  <c r="N169" i="55"/>
  <c r="N169" i="100"/>
  <c r="N169" i="69"/>
  <c r="N169" i="86"/>
  <c r="N169" i="91"/>
  <c r="N169" i="92"/>
  <c r="N169" i="1"/>
  <c r="N169" i="95"/>
  <c r="N77" i="10"/>
  <c r="N77" i="133"/>
  <c r="N77" i="85"/>
  <c r="N77" i="67"/>
  <c r="N77" i="62"/>
  <c r="N77" i="118"/>
  <c r="N77" i="94"/>
  <c r="N77" i="63"/>
  <c r="N77" i="58"/>
  <c r="N77" i="53"/>
  <c r="N77" i="49"/>
  <c r="N77" i="47"/>
  <c r="N77" i="46"/>
  <c r="N77" i="45"/>
  <c r="N77" i="104"/>
  <c r="N77" i="43"/>
  <c r="N77" i="84"/>
  <c r="N77" i="71"/>
  <c r="N77" i="135"/>
  <c r="N77" i="37"/>
  <c r="N77" i="141"/>
  <c r="N77" i="32"/>
  <c r="N77" i="31"/>
  <c r="N77" i="28"/>
  <c r="N77" i="119"/>
  <c r="N77" i="65"/>
  <c r="N77" i="20"/>
  <c r="N77" i="111"/>
  <c r="N77" i="14"/>
  <c r="N77" i="87"/>
  <c r="N77" i="89"/>
  <c r="N77" i="142"/>
  <c r="N77" i="90"/>
  <c r="N77" i="113"/>
  <c r="N77" i="50"/>
  <c r="N77" i="103"/>
  <c r="N77" i="19"/>
  <c r="N77" i="60"/>
  <c r="N77" i="54"/>
  <c r="N77" i="72"/>
  <c r="N77" i="68"/>
  <c r="N77" i="66"/>
  <c r="N77" i="21"/>
  <c r="N77" i="59"/>
  <c r="N77" i="57"/>
  <c r="N77" i="136"/>
  <c r="N77" i="98"/>
  <c r="N77" i="83"/>
  <c r="N77" i="102"/>
  <c r="N77" i="106"/>
  <c r="N77" i="15"/>
  <c r="N77" i="42"/>
  <c r="N77" i="39"/>
  <c r="N77" i="38"/>
  <c r="N77" i="120"/>
  <c r="N77" i="24"/>
  <c r="N77" i="33"/>
  <c r="N77" i="79"/>
  <c r="N77" i="64"/>
  <c r="N77" i="27"/>
  <c r="N77" i="25"/>
  <c r="N77" i="16"/>
  <c r="N77" i="55"/>
  <c r="N77" i="100"/>
  <c r="N77" i="69"/>
  <c r="N77" i="86"/>
  <c r="N77" i="91"/>
  <c r="N77" i="92"/>
  <c r="N77" i="1"/>
  <c r="N77" i="95"/>
  <c r="N52" i="19"/>
  <c r="N52" i="60"/>
  <c r="N52" i="54"/>
  <c r="N52" i="72"/>
  <c r="N52" i="68"/>
  <c r="N52" i="66"/>
  <c r="N52" i="21"/>
  <c r="N52" i="59"/>
  <c r="N52" i="57"/>
  <c r="N52" i="136"/>
  <c r="N52" i="98"/>
  <c r="N52" i="83"/>
  <c r="N52" i="102"/>
  <c r="N52" i="106"/>
  <c r="N52" i="15"/>
  <c r="N52" i="42"/>
  <c r="N52" i="39"/>
  <c r="N52" i="38"/>
  <c r="N52" i="120"/>
  <c r="N52" i="24"/>
  <c r="N52" i="33"/>
  <c r="N52" i="79"/>
  <c r="N52" i="64"/>
  <c r="N52" i="27"/>
  <c r="N52" i="25"/>
  <c r="N52" i="16"/>
  <c r="N52" i="55"/>
  <c r="N52" i="100"/>
  <c r="N52" i="69"/>
  <c r="N52" i="86"/>
  <c r="N52" i="91"/>
  <c r="N52" i="92"/>
  <c r="N52" i="1"/>
  <c r="N52" i="95"/>
  <c r="N52" i="10"/>
  <c r="N52" i="118"/>
  <c r="N52" i="133"/>
  <c r="N52" i="94"/>
  <c r="N52" i="85"/>
  <c r="N52" i="67"/>
  <c r="N52" i="63"/>
  <c r="N52" i="62"/>
  <c r="N52" i="58"/>
  <c r="N52" i="53"/>
  <c r="N52" i="49"/>
  <c r="N52" i="47"/>
  <c r="N52" i="46"/>
  <c r="N52" i="45"/>
  <c r="N52" i="104"/>
  <c r="N52" i="43"/>
  <c r="N52" i="84"/>
  <c r="N52" i="71"/>
  <c r="N52" i="135"/>
  <c r="N52" i="37"/>
  <c r="N52" i="141"/>
  <c r="N52" i="32"/>
  <c r="N52" i="31"/>
  <c r="N52" i="28"/>
  <c r="N52" i="119"/>
  <c r="N52" i="65"/>
  <c r="N52" i="20"/>
  <c r="N52" i="111"/>
  <c r="N52" i="14"/>
  <c r="N52" i="87"/>
  <c r="N52" i="89"/>
  <c r="N52" i="142"/>
  <c r="N52" i="90"/>
  <c r="N52" i="113"/>
  <c r="N52" i="50"/>
  <c r="N52" i="103"/>
  <c r="N180" i="10"/>
  <c r="N180" i="118"/>
  <c r="N180" i="133"/>
  <c r="N180" i="94"/>
  <c r="N180" i="85"/>
  <c r="N180" i="67"/>
  <c r="N180" i="63"/>
  <c r="N180" i="62"/>
  <c r="N180" i="58"/>
  <c r="N180" i="53"/>
  <c r="N180" i="49"/>
  <c r="N180" i="47"/>
  <c r="N180" i="46"/>
  <c r="N180" i="45"/>
  <c r="N180" i="104"/>
  <c r="N180" i="43"/>
  <c r="N180" i="84"/>
  <c r="N180" i="71"/>
  <c r="N180" i="135"/>
  <c r="N180" i="37"/>
  <c r="N180" i="141"/>
  <c r="N180" i="32"/>
  <c r="N180" i="31"/>
  <c r="N180" i="28"/>
  <c r="N180" i="119"/>
  <c r="N180" i="65"/>
  <c r="N180" i="20"/>
  <c r="N180" i="55"/>
  <c r="N180" i="87"/>
  <c r="N180" i="89"/>
  <c r="N180" i="142"/>
  <c r="N180" i="90"/>
  <c r="N180" i="113"/>
  <c r="N180" i="50"/>
  <c r="N180" i="103"/>
  <c r="N180" i="111"/>
  <c r="N180" i="19"/>
  <c r="N180" i="60"/>
  <c r="N180" i="54"/>
  <c r="N180" i="72"/>
  <c r="N180" i="68"/>
  <c r="N180" i="66"/>
  <c r="N180" i="21"/>
  <c r="N180" i="59"/>
  <c r="N180" i="57"/>
  <c r="N180" i="136"/>
  <c r="N180" i="98"/>
  <c r="N180" i="83"/>
  <c r="N180" i="102"/>
  <c r="N180" i="106"/>
  <c r="N180" i="15"/>
  <c r="N180" i="42"/>
  <c r="N180" i="39"/>
  <c r="N180" i="38"/>
  <c r="N180" i="120"/>
  <c r="N180" i="24"/>
  <c r="N180" i="33"/>
  <c r="N180" i="79"/>
  <c r="N180" i="64"/>
  <c r="N180" i="27"/>
  <c r="N180" i="25"/>
  <c r="N180" i="16"/>
  <c r="N180" i="100"/>
  <c r="N180" i="69"/>
  <c r="N180" i="86"/>
  <c r="N180" i="91"/>
  <c r="N180" i="92"/>
  <c r="N180" i="1"/>
  <c r="N180" i="95"/>
  <c r="N180" i="14"/>
  <c r="N39" i="10"/>
  <c r="N39" i="118"/>
  <c r="N39" i="133"/>
  <c r="N39" i="94"/>
  <c r="N39" i="85"/>
  <c r="N39" i="67"/>
  <c r="N39" i="63"/>
  <c r="N39" i="62"/>
  <c r="N39" i="58"/>
  <c r="N39" i="53"/>
  <c r="N39" i="49"/>
  <c r="N39" i="47"/>
  <c r="N39" i="46"/>
  <c r="N39" i="45"/>
  <c r="N39" i="104"/>
  <c r="N39" i="43"/>
  <c r="N39" i="84"/>
  <c r="N39" i="71"/>
  <c r="N39" i="135"/>
  <c r="N39" i="37"/>
  <c r="N39" i="141"/>
  <c r="N39" i="32"/>
  <c r="N39" i="31"/>
  <c r="N39" i="28"/>
  <c r="N39" i="119"/>
  <c r="N39" i="65"/>
  <c r="N39" i="20"/>
  <c r="N39" i="111"/>
  <c r="N39" i="14"/>
  <c r="N39" i="87"/>
  <c r="N39" i="89"/>
  <c r="N39" i="142"/>
  <c r="N39" i="90"/>
  <c r="N39" i="113"/>
  <c r="N39" i="50"/>
  <c r="N39" i="103"/>
  <c r="N39" i="60"/>
  <c r="N39" i="54"/>
  <c r="N39" i="72"/>
  <c r="N39" i="68"/>
  <c r="N39" i="66"/>
  <c r="N39" i="21"/>
  <c r="N39" i="59"/>
  <c r="N39" i="57"/>
  <c r="N39" i="136"/>
  <c r="N39" i="98"/>
  <c r="N39" i="83"/>
  <c r="N39" i="102"/>
  <c r="N39" i="106"/>
  <c r="N39" i="15"/>
  <c r="N39" i="42"/>
  <c r="N39" i="39"/>
  <c r="N39" i="38"/>
  <c r="N39" i="120"/>
  <c r="N39" i="24"/>
  <c r="N39" i="33"/>
  <c r="N39" i="79"/>
  <c r="N39" i="64"/>
  <c r="N39" i="27"/>
  <c r="N39" i="25"/>
  <c r="N39" i="16"/>
  <c r="N39" i="55"/>
  <c r="N39" i="100"/>
  <c r="N39" i="69"/>
  <c r="N39" i="86"/>
  <c r="N39" i="91"/>
  <c r="N39" i="92"/>
  <c r="N39" i="1"/>
  <c r="N39" i="95"/>
  <c r="N39" i="19"/>
  <c r="N97" i="10"/>
  <c r="N97" i="19"/>
  <c r="N97" i="60"/>
  <c r="N97" i="54"/>
  <c r="N97" i="72"/>
  <c r="N97" i="68"/>
  <c r="N97" i="66"/>
  <c r="N97" i="21"/>
  <c r="N97" i="59"/>
  <c r="N97" i="57"/>
  <c r="N97" i="136"/>
  <c r="N97" i="98"/>
  <c r="N97" i="83"/>
  <c r="N97" i="102"/>
  <c r="N97" i="106"/>
  <c r="N97" i="15"/>
  <c r="N97" i="42"/>
  <c r="N97" i="39"/>
  <c r="N97" i="38"/>
  <c r="N97" i="120"/>
  <c r="N97" i="24"/>
  <c r="N97" i="33"/>
  <c r="N97" i="79"/>
  <c r="N97" i="64"/>
  <c r="N97" i="27"/>
  <c r="N97" i="25"/>
  <c r="N97" i="16"/>
  <c r="N97" i="55"/>
  <c r="N97" i="100"/>
  <c r="N97" i="69"/>
  <c r="N97" i="86"/>
  <c r="N97" i="91"/>
  <c r="N97" i="92"/>
  <c r="N97" i="1"/>
  <c r="N97" i="95"/>
  <c r="N97" i="118"/>
  <c r="N97" i="133"/>
  <c r="N97" i="94"/>
  <c r="N97" i="85"/>
  <c r="N97" i="67"/>
  <c r="N97" i="63"/>
  <c r="N97" i="62"/>
  <c r="N97" i="58"/>
  <c r="N97" i="53"/>
  <c r="N97" i="49"/>
  <c r="N97" i="47"/>
  <c r="N97" i="46"/>
  <c r="N97" i="45"/>
  <c r="N97" i="104"/>
  <c r="N97" i="43"/>
  <c r="N97" i="84"/>
  <c r="N97" i="71"/>
  <c r="N97" i="135"/>
  <c r="N97" i="37"/>
  <c r="N97" i="141"/>
  <c r="N97" i="32"/>
  <c r="N97" i="31"/>
  <c r="N97" i="28"/>
  <c r="N97" i="119"/>
  <c r="N97" i="65"/>
  <c r="N97" i="20"/>
  <c r="N97" i="111"/>
  <c r="N97" i="14"/>
  <c r="N97" i="87"/>
  <c r="N97" i="89"/>
  <c r="N97" i="142"/>
  <c r="N97" i="90"/>
  <c r="N97" i="113"/>
  <c r="N97" i="50"/>
  <c r="N97" i="103"/>
  <c r="N57" i="118"/>
  <c r="N57" i="133"/>
  <c r="N57" i="85"/>
  <c r="N57" i="67"/>
  <c r="N57" i="62"/>
  <c r="N57" i="49"/>
  <c r="N57" i="46"/>
  <c r="N57" i="104"/>
  <c r="N57" i="84"/>
  <c r="N57" i="135"/>
  <c r="N57" i="32"/>
  <c r="N57" i="28"/>
  <c r="N57" i="65"/>
  <c r="N57" i="20"/>
  <c r="N57" i="14"/>
  <c r="N57" i="89"/>
  <c r="N57" i="90"/>
  <c r="N57" i="50"/>
  <c r="N57" i="60"/>
  <c r="N57" i="72"/>
  <c r="N57" i="68"/>
  <c r="N57" i="21"/>
  <c r="N57" i="57"/>
  <c r="N57" i="98"/>
  <c r="N57" i="106"/>
  <c r="N57" i="42"/>
  <c r="N57" i="39"/>
  <c r="N57" i="120"/>
  <c r="N57" i="33"/>
  <c r="N57" i="64"/>
  <c r="N57" i="25"/>
  <c r="N57" i="55"/>
  <c r="N57" i="69"/>
  <c r="N57" i="91"/>
  <c r="N57" i="1"/>
  <c r="N57" i="10"/>
  <c r="N57" i="94"/>
  <c r="N57" i="63"/>
  <c r="N57" i="92"/>
  <c r="N57" i="100"/>
  <c r="N57" i="79"/>
  <c r="N57" i="38"/>
  <c r="N57" i="15"/>
  <c r="N57" i="83"/>
  <c r="N57" i="59"/>
  <c r="N57" i="19"/>
  <c r="N57" i="113"/>
  <c r="N57" i="142"/>
  <c r="N57" i="87"/>
  <c r="N57" i="111"/>
  <c r="N57" i="119"/>
  <c r="N57" i="31"/>
  <c r="N57" i="141"/>
  <c r="N57" i="37"/>
  <c r="N57" i="71"/>
  <c r="N57" i="43"/>
  <c r="N57" i="45"/>
  <c r="N57" i="47"/>
  <c r="N57" i="53"/>
  <c r="N57" i="58"/>
  <c r="N57" i="95"/>
  <c r="N57" i="86"/>
  <c r="N57" i="16"/>
  <c r="N57" i="27"/>
  <c r="N57" i="24"/>
  <c r="N57" i="102"/>
  <c r="N57" i="136"/>
  <c r="N57" i="66"/>
  <c r="N57" i="54"/>
  <c r="N57" i="103"/>
  <c r="N147" i="85"/>
  <c r="N147" i="62"/>
  <c r="N147" i="49"/>
  <c r="N147" i="104"/>
  <c r="N147" i="135"/>
  <c r="N147" i="32"/>
  <c r="N147" i="65"/>
  <c r="N147" i="14"/>
  <c r="N147" i="90"/>
  <c r="N147" i="60"/>
  <c r="N147" i="68"/>
  <c r="N147" i="57"/>
  <c r="N147" i="42"/>
  <c r="N147" i="120"/>
  <c r="N147" i="64"/>
  <c r="N147" i="69"/>
  <c r="N147" i="1"/>
  <c r="N147" i="118"/>
  <c r="N147" i="59"/>
  <c r="N147" i="83"/>
  <c r="N147" i="15"/>
  <c r="N147" i="38"/>
  <c r="N147" i="79"/>
  <c r="N147" i="100"/>
  <c r="N147" i="92"/>
  <c r="N147" i="133"/>
  <c r="N147" i="67"/>
  <c r="N147" i="46"/>
  <c r="N147" i="84"/>
  <c r="N147" i="28"/>
  <c r="N147" i="20"/>
  <c r="N147" i="89"/>
  <c r="N147" i="50"/>
  <c r="N147" i="72"/>
  <c r="N147" i="21"/>
  <c r="N147" i="98"/>
  <c r="N147" i="106"/>
  <c r="N147" i="39"/>
  <c r="N147" i="33"/>
  <c r="N147" i="25"/>
  <c r="N147" i="55"/>
  <c r="N147" i="91"/>
  <c r="N147" i="10"/>
  <c r="N147" i="94"/>
  <c r="N147" i="63"/>
  <c r="N147" i="58"/>
  <c r="N147" i="53"/>
  <c r="N147" i="47"/>
  <c r="N147" i="45"/>
  <c r="N147" i="43"/>
  <c r="N147" i="71"/>
  <c r="N147" i="37"/>
  <c r="N147" i="141"/>
  <c r="N147" i="31"/>
  <c r="N147" i="119"/>
  <c r="N147" i="111"/>
  <c r="N147" i="87"/>
  <c r="N147" i="142"/>
  <c r="N147" i="113"/>
  <c r="N147" i="103"/>
  <c r="N147" i="19"/>
  <c r="N147" i="54"/>
  <c r="N147" i="66"/>
  <c r="N147" i="136"/>
  <c r="N147" i="102"/>
  <c r="N147" i="24"/>
  <c r="N147" i="27"/>
  <c r="N147" i="16"/>
  <c r="N147" i="86"/>
  <c r="N147" i="95"/>
  <c r="N135" i="19"/>
  <c r="N135" i="10"/>
  <c r="N135" i="118"/>
  <c r="N135" i="60"/>
  <c r="N135" i="133"/>
  <c r="N135" i="54"/>
  <c r="N135" i="94"/>
  <c r="N135" i="72"/>
  <c r="N135" i="85"/>
  <c r="N135" i="68"/>
  <c r="N135" i="67"/>
  <c r="N135" i="66"/>
  <c r="N135" i="63"/>
  <c r="N135" i="21"/>
  <c r="N135" i="62"/>
  <c r="N135" i="59"/>
  <c r="N135" i="58"/>
  <c r="N135" i="57"/>
  <c r="N135" i="136"/>
  <c r="N135" i="53"/>
  <c r="N135" i="98"/>
  <c r="N135" i="49"/>
  <c r="N135" i="83"/>
  <c r="N135" i="47"/>
  <c r="N135" i="46"/>
  <c r="N135" i="102"/>
  <c r="N135" i="45"/>
  <c r="N135" i="106"/>
  <c r="N135" i="104"/>
  <c r="N135" i="15"/>
  <c r="N135" i="43"/>
  <c r="N135" i="42"/>
  <c r="N135" i="84"/>
  <c r="N135" i="71"/>
  <c r="N135" i="39"/>
  <c r="N135" i="135"/>
  <c r="N135" i="38"/>
  <c r="N135" i="37"/>
  <c r="N135" i="120"/>
  <c r="N135" i="24"/>
  <c r="N135" i="141"/>
  <c r="N135" i="33"/>
  <c r="N135" i="32"/>
  <c r="N135" i="79"/>
  <c r="N135" i="31"/>
  <c r="N135" i="64"/>
  <c r="N135" i="28"/>
  <c r="N135" i="27"/>
  <c r="N135" i="119"/>
  <c r="N135" i="25"/>
  <c r="N135" i="65"/>
  <c r="N135" i="20"/>
  <c r="N135" i="16"/>
  <c r="N135" i="111"/>
  <c r="N135" i="55"/>
  <c r="N135" i="14"/>
  <c r="N135" i="100"/>
  <c r="N135" i="87"/>
  <c r="N135" i="69"/>
  <c r="N135" i="89"/>
  <c r="N135" i="86"/>
  <c r="N135" i="142"/>
  <c r="N135" i="91"/>
  <c r="N135" i="90"/>
  <c r="N135" i="92"/>
  <c r="N135" i="113"/>
  <c r="N135" i="1"/>
  <c r="N135" i="50"/>
  <c r="N135" i="95"/>
  <c r="N135" i="103"/>
  <c r="N148" i="19"/>
  <c r="N148" i="60"/>
  <c r="N148" i="54"/>
  <c r="N148" i="72"/>
  <c r="N148" i="68"/>
  <c r="N148" i="66"/>
  <c r="N148" i="21"/>
  <c r="N148" i="59"/>
  <c r="N148" i="57"/>
  <c r="N148" i="136"/>
  <c r="N148" i="98"/>
  <c r="N148" i="83"/>
  <c r="N148" i="102"/>
  <c r="N148" i="106"/>
  <c r="N148" i="15"/>
  <c r="N148" i="42"/>
  <c r="N148" i="39"/>
  <c r="N148" i="38"/>
  <c r="N148" i="120"/>
  <c r="N148" i="24"/>
  <c r="N148" i="33"/>
  <c r="N148" i="79"/>
  <c r="N148" i="64"/>
  <c r="N148" i="27"/>
  <c r="N148" i="25"/>
  <c r="N148" i="16"/>
  <c r="N148" i="55"/>
  <c r="N148" i="100"/>
  <c r="N148" i="69"/>
  <c r="N148" i="86"/>
  <c r="N148" i="91"/>
  <c r="N148" i="92"/>
  <c r="N148" i="1"/>
  <c r="N148" i="95"/>
  <c r="N148" i="10"/>
  <c r="N148" i="118"/>
  <c r="N148" i="133"/>
  <c r="N148" i="94"/>
  <c r="N148" i="85"/>
  <c r="N148" i="67"/>
  <c r="N148" i="63"/>
  <c r="N148" i="62"/>
  <c r="N148" i="58"/>
  <c r="N148" i="53"/>
  <c r="N148" i="49"/>
  <c r="N148" i="47"/>
  <c r="N148" i="46"/>
  <c r="N148" i="45"/>
  <c r="N148" i="104"/>
  <c r="N148" i="43"/>
  <c r="N148" i="84"/>
  <c r="N148" i="71"/>
  <c r="N148" i="135"/>
  <c r="N148" i="37"/>
  <c r="N148" i="141"/>
  <c r="N148" i="32"/>
  <c r="N148" i="31"/>
  <c r="N148" i="28"/>
  <c r="N148" i="119"/>
  <c r="N148" i="65"/>
  <c r="N148" i="20"/>
  <c r="N148" i="111"/>
  <c r="N148" i="14"/>
  <c r="N148" i="87"/>
  <c r="N148" i="89"/>
  <c r="N148" i="142"/>
  <c r="N148" i="90"/>
  <c r="N148" i="113"/>
  <c r="N148" i="50"/>
  <c r="N148" i="103"/>
  <c r="N25" i="19"/>
  <c r="N25" i="60"/>
  <c r="N25" i="54"/>
  <c r="N25" i="72"/>
  <c r="N25" i="68"/>
  <c r="N25" i="66"/>
  <c r="N25" i="21"/>
  <c r="N25" i="59"/>
  <c r="N25" i="57"/>
  <c r="N25" i="136"/>
  <c r="N25" i="98"/>
  <c r="N25" i="83"/>
  <c r="N25" i="102"/>
  <c r="N25" i="106"/>
  <c r="N25" i="15"/>
  <c r="N25" i="42"/>
  <c r="N25" i="39"/>
  <c r="N25" i="38"/>
  <c r="N25" i="120"/>
  <c r="N25" i="24"/>
  <c r="N25" i="33"/>
  <c r="N25" i="79"/>
  <c r="N25" i="64"/>
  <c r="N25" i="27"/>
  <c r="N25" i="25"/>
  <c r="N25" i="16"/>
  <c r="N25" i="55"/>
  <c r="N25" i="100"/>
  <c r="N25" i="69"/>
  <c r="N25" i="86"/>
  <c r="N25" i="91"/>
  <c r="N25" i="92"/>
  <c r="N25" i="1"/>
  <c r="N25" i="95"/>
  <c r="N25" i="10"/>
  <c r="N25" i="118"/>
  <c r="N25" i="133"/>
  <c r="N25" i="94"/>
  <c r="N25" i="85"/>
  <c r="N25" i="67"/>
  <c r="N25" i="63"/>
  <c r="N25" i="62"/>
  <c r="N25" i="58"/>
  <c r="N25" i="53"/>
  <c r="N25" i="49"/>
  <c r="N25" i="47"/>
  <c r="N25" i="46"/>
  <c r="N25" i="45"/>
  <c r="N25" i="104"/>
  <c r="N25" i="43"/>
  <c r="N25" i="84"/>
  <c r="N25" i="71"/>
  <c r="N25" i="135"/>
  <c r="N25" i="37"/>
  <c r="N25" i="141"/>
  <c r="N25" i="32"/>
  <c r="N25" i="31"/>
  <c r="N25" i="28"/>
  <c r="N25" i="119"/>
  <c r="N25" i="65"/>
  <c r="N25" i="20"/>
  <c r="N25" i="111"/>
  <c r="N25" i="14"/>
  <c r="N25" i="87"/>
  <c r="N25" i="89"/>
  <c r="N25" i="142"/>
  <c r="N25" i="90"/>
  <c r="N25" i="113"/>
  <c r="N25" i="50"/>
  <c r="N25" i="103"/>
  <c r="N168" i="66"/>
  <c r="N168" i="102"/>
  <c r="N168" i="20"/>
  <c r="N168" i="103"/>
  <c r="N168" i="111"/>
  <c r="N168" i="95"/>
  <c r="N168" i="1"/>
  <c r="N168" i="92"/>
  <c r="N168" i="91"/>
  <c r="N168" i="86"/>
  <c r="N168" i="69"/>
  <c r="N168" i="100"/>
  <c r="N168" i="16"/>
  <c r="N168" i="25"/>
  <c r="N168" i="27"/>
  <c r="N168" i="64"/>
  <c r="N168" i="79"/>
  <c r="N168" i="33"/>
  <c r="N168" i="24"/>
  <c r="N168" i="120"/>
  <c r="N168" i="38"/>
  <c r="N168" i="39"/>
  <c r="N168" i="54"/>
  <c r="N168" i="43"/>
  <c r="N168" i="104"/>
  <c r="N168" i="45"/>
  <c r="N168" i="46"/>
  <c r="N168" i="47"/>
  <c r="N168" i="49"/>
  <c r="N168" i="53"/>
  <c r="N168" i="58"/>
  <c r="N168" i="62"/>
  <c r="N168" i="63"/>
  <c r="N168" i="67"/>
  <c r="N168" i="85"/>
  <c r="N168" i="94"/>
  <c r="N168" i="60"/>
  <c r="N168" i="10"/>
  <c r="N168" i="133"/>
  <c r="N168" i="136"/>
  <c r="N168" i="84"/>
  <c r="N168" i="28"/>
  <c r="N168" i="142"/>
  <c r="N168" i="19"/>
  <c r="N168" i="72"/>
  <c r="N168" i="21"/>
  <c r="N168" i="98"/>
  <c r="N168" i="106"/>
  <c r="N168" i="71"/>
  <c r="N168" i="141"/>
  <c r="N168" i="119"/>
  <c r="N168" i="55"/>
  <c r="N168" i="90"/>
  <c r="N168" i="14"/>
  <c r="N168" i="113"/>
  <c r="N168" i="87"/>
  <c r="N168" i="65"/>
  <c r="N168" i="32"/>
  <c r="N168" i="135"/>
  <c r="N168" i="15"/>
  <c r="N168" i="83"/>
  <c r="N168" i="59"/>
  <c r="N168" i="118"/>
  <c r="N168" i="68"/>
  <c r="N168" i="57"/>
  <c r="N168" i="42"/>
  <c r="N168" i="37"/>
  <c r="N168" i="31"/>
  <c r="N168" i="89"/>
  <c r="N168" i="50"/>
  <c r="N27" i="133"/>
  <c r="N27" i="85"/>
  <c r="N27" i="67"/>
  <c r="N27" i="62"/>
  <c r="N27" i="49"/>
  <c r="N27" i="46"/>
  <c r="N27" i="104"/>
  <c r="N27" i="84"/>
  <c r="N27" i="135"/>
  <c r="N27" i="32"/>
  <c r="N27" i="28"/>
  <c r="N27" i="65"/>
  <c r="N27" i="20"/>
  <c r="N27" i="14"/>
  <c r="N27" i="89"/>
  <c r="N27" i="90"/>
  <c r="N27" i="50"/>
  <c r="N27" i="60"/>
  <c r="N27" i="72"/>
  <c r="N27" i="68"/>
  <c r="N27" i="21"/>
  <c r="N27" i="57"/>
  <c r="N27" i="98"/>
  <c r="N27" i="106"/>
  <c r="N27" i="42"/>
  <c r="N27" i="39"/>
  <c r="N27" i="120"/>
  <c r="N27" i="33"/>
  <c r="N27" i="64"/>
  <c r="N27" i="25"/>
  <c r="N27" i="55"/>
  <c r="N27" i="69"/>
  <c r="N27" i="91"/>
  <c r="N27" i="1"/>
  <c r="N27" i="10"/>
  <c r="N27" i="94"/>
  <c r="N27" i="63"/>
  <c r="N27" i="58"/>
  <c r="N27" i="53"/>
  <c r="N27" i="47"/>
  <c r="N27" i="45"/>
  <c r="N27" i="43"/>
  <c r="N27" i="71"/>
  <c r="N27" i="37"/>
  <c r="N27" i="141"/>
  <c r="N27" i="31"/>
  <c r="N27" i="119"/>
  <c r="N27" i="111"/>
  <c r="N27" i="87"/>
  <c r="N27" i="142"/>
  <c r="N27" i="113"/>
  <c r="N27" i="103"/>
  <c r="N27" i="19"/>
  <c r="N27" i="54"/>
  <c r="N27" i="66"/>
  <c r="N27" i="59"/>
  <c r="N27" i="136"/>
  <c r="N27" i="83"/>
  <c r="N27" i="102"/>
  <c r="N27" i="15"/>
  <c r="N27" i="38"/>
  <c r="N27" i="24"/>
  <c r="N27" i="79"/>
  <c r="N27" i="27"/>
  <c r="N27" i="16"/>
  <c r="N27" i="100"/>
  <c r="N27" i="86"/>
  <c r="N27" i="92"/>
  <c r="N27" i="95"/>
  <c r="N27" i="118"/>
  <c r="H82" i="97"/>
  <c r="C238" i="97" l="1"/>
  <c r="C240" i="97" l="1"/>
  <c r="C239" i="97"/>
  <c r="C241" i="97" l="1"/>
</calcChain>
</file>

<file path=xl/sharedStrings.xml><?xml version="1.0" encoding="utf-8"?>
<sst xmlns="http://schemas.openxmlformats.org/spreadsheetml/2006/main" count="29317" uniqueCount="694">
  <si>
    <t>COST CAT</t>
  </si>
  <si>
    <t>FCP AS FILED</t>
  </si>
  <si>
    <t>FCP ADJ'S</t>
  </si>
  <si>
    <t>ADJ FCP</t>
  </si>
  <si>
    <t>AUDIT</t>
  </si>
  <si>
    <t>AUDITED FCP</t>
  </si>
  <si>
    <t>% TO</t>
  </si>
  <si>
    <t>&amp; ACCT</t>
  </si>
  <si>
    <t>(COL 1 + 2)</t>
  </si>
  <si>
    <t>ADJ'S</t>
  </si>
  <si>
    <t>(COL 3 + 4)</t>
  </si>
  <si>
    <t>TOTAL</t>
  </si>
  <si>
    <t>GENERAL ADMINISTRATIVE</t>
  </si>
  <si>
    <t>01</t>
  </si>
  <si>
    <t xml:space="preserve">Administrator Salary </t>
  </si>
  <si>
    <t>02</t>
  </si>
  <si>
    <t>03</t>
  </si>
  <si>
    <t>Office Salaries and Wages</t>
  </si>
  <si>
    <t>04</t>
  </si>
  <si>
    <t>05</t>
  </si>
  <si>
    <t>Director Fees</t>
  </si>
  <si>
    <t>06</t>
  </si>
  <si>
    <t>Management Services</t>
  </si>
  <si>
    <t>Advertising</t>
  </si>
  <si>
    <t>Telephone</t>
  </si>
  <si>
    <t>Dues, Subscriptions &amp; Licenses</t>
  </si>
  <si>
    <t>Office Supplies, Printing &amp; Postage</t>
  </si>
  <si>
    <t>Legal and Accounting</t>
  </si>
  <si>
    <t>Utilization Review</t>
  </si>
  <si>
    <t>Data Processing</t>
  </si>
  <si>
    <t>Amortization-Organization</t>
  </si>
  <si>
    <t>Patient Day Assessment</t>
  </si>
  <si>
    <t>Interest-Operating Loans</t>
  </si>
  <si>
    <t>Income Taxes</t>
  </si>
  <si>
    <t>Bad Debts</t>
  </si>
  <si>
    <t>Contributions</t>
  </si>
  <si>
    <t>Miscellaneous (Attach Schedule)</t>
  </si>
  <si>
    <t>1</t>
  </si>
  <si>
    <t>2</t>
  </si>
  <si>
    <t>3</t>
  </si>
  <si>
    <t>4</t>
  </si>
  <si>
    <t>5</t>
  </si>
  <si>
    <t>6</t>
  </si>
  <si>
    <t>PLANT OPERATION &amp; MAINTENANCE</t>
  </si>
  <si>
    <t>Salaries and Wages</t>
  </si>
  <si>
    <t>Payroll Taxes &amp; Emp Benefits</t>
  </si>
  <si>
    <t>Equipment Rental-Short Term</t>
  </si>
  <si>
    <t>Supplies</t>
  </si>
  <si>
    <t>Purchased Services</t>
  </si>
  <si>
    <t>Utilities</t>
  </si>
  <si>
    <t>TOTAL PLANT OPER &amp; MAINT</t>
  </si>
  <si>
    <t>DIETARY</t>
  </si>
  <si>
    <t>Food</t>
  </si>
  <si>
    <t>Food Supplies</t>
  </si>
  <si>
    <t>Purchased Services/Consultants</t>
  </si>
  <si>
    <t>TOTAL DIETARY</t>
  </si>
  <si>
    <t>LAUNDRY AND LINEN</t>
  </si>
  <si>
    <t>Linen and Bedding</t>
  </si>
  <si>
    <t>TOTAL LAUNDRY &amp; LINEN</t>
  </si>
  <si>
    <t>HOUSEKEEPING</t>
  </si>
  <si>
    <t>Purchased Service/Consultants</t>
  </si>
  <si>
    <t>TOTAL HOUSEKEEPING</t>
  </si>
  <si>
    <t>NURSING</t>
  </si>
  <si>
    <t>Nurse Admin Sal-Med Rec, In Ser</t>
  </si>
  <si>
    <t>Nurse Dir Care Salaries &amp; Wages</t>
  </si>
  <si>
    <t>Medical Supplies</t>
  </si>
  <si>
    <t>Oxygen Equipment and Rental</t>
  </si>
  <si>
    <t>Oxygen Gas</t>
  </si>
  <si>
    <t>RECREATIONAL ACTIVITIES &amp; SPECIAL SERVICES</t>
  </si>
  <si>
    <t>Salaries &amp; Wages</t>
  </si>
  <si>
    <t>Recreational Therapy</t>
  </si>
  <si>
    <t>Sheltered Workshops</t>
  </si>
  <si>
    <t>MEDICARE DAYS</t>
  </si>
  <si>
    <t>VETERANS DAYS</t>
  </si>
  <si>
    <t>PRIVATE DAYS</t>
  </si>
  <si>
    <t>TOTAL PATIENT DAYS</t>
  </si>
  <si>
    <t>CALENDAR DAYS IN PERIOD</t>
  </si>
  <si>
    <t xml:space="preserve">TOTAL REVENUE </t>
  </si>
  <si>
    <t>PROFIT / (LOSS) (REV - EXP)</t>
  </si>
  <si>
    <t>PERIOD BEGINNING --------------&gt;</t>
  </si>
  <si>
    <t>PERIOD ENDING  ------------------&gt;</t>
  </si>
  <si>
    <t>% TO TOTAL</t>
  </si>
  <si>
    <t>PROFIT/LOSS TO REVENUE</t>
  </si>
  <si>
    <t>010</t>
  </si>
  <si>
    <t>011</t>
  </si>
  <si>
    <t>012</t>
  </si>
  <si>
    <t>040</t>
  </si>
  <si>
    <t>050</t>
  </si>
  <si>
    <t>060</t>
  </si>
  <si>
    <t>070</t>
  </si>
  <si>
    <t>080</t>
  </si>
  <si>
    <t>090</t>
  </si>
  <si>
    <t>100</t>
  </si>
  <si>
    <t>110</t>
  </si>
  <si>
    <t>120</t>
  </si>
  <si>
    <t>013</t>
  </si>
  <si>
    <t>041</t>
  </si>
  <si>
    <t>Non Medical Supplies (Charts &amp; Forms)</t>
  </si>
  <si>
    <t>Purchased Nursing Services</t>
  </si>
  <si>
    <t>Respiration/Inhalation Therapy</t>
  </si>
  <si>
    <t>ANCILLARIES NOT IN MEDICAID DAILY RATE</t>
  </si>
  <si>
    <t>Nurs Aide Trg Costs (by formula from Sch D)</t>
  </si>
  <si>
    <t>Physician &amp; Psychiatrist-Staff Salaries</t>
  </si>
  <si>
    <t>Physician &amp; Psychiatrist Payroll tax &amp; Benefit</t>
  </si>
  <si>
    <t>Physical Therapy - Staff Salaries</t>
  </si>
  <si>
    <t>Physical Therapy Payroll tax &amp; Benefit</t>
  </si>
  <si>
    <t>Speech Therapy - Staff Salaries</t>
  </si>
  <si>
    <t>SpeechTherapy Payroll tax &amp; Benefit</t>
  </si>
  <si>
    <t>Audiology Therapy - Staff Salaries</t>
  </si>
  <si>
    <t>Audiology Therapy Payroll tax &amp; Benefit</t>
  </si>
  <si>
    <t>Occupational Therapy - Staff Salaries</t>
  </si>
  <si>
    <t>Occupational Therapy Payroll tax &amp; Benefits</t>
  </si>
  <si>
    <t>Laboratory &amp; Radiology - Staff Salaries</t>
  </si>
  <si>
    <t>Laboratory &amp; Radiology Payroll tax &amp; Benefit</t>
  </si>
  <si>
    <t>Physical Therapy - Supplies/Other</t>
  </si>
  <si>
    <t>Audiology Therapy -Supplies/Other</t>
  </si>
  <si>
    <t>Occupational Therapy - Supplies/Other</t>
  </si>
  <si>
    <t>Laboratory &amp; Radiology-Supplies/Other</t>
  </si>
  <si>
    <t>Purchased Physician &amp; Psychiatrist(non-emp)</t>
  </si>
  <si>
    <t>Purchased Physical Therapy (non-employee)</t>
  </si>
  <si>
    <t>Purch.Serv.-Speech Therapy (non-employee)</t>
  </si>
  <si>
    <t>Purch.Serv.-Occup.Therapy (non-employee)</t>
  </si>
  <si>
    <t>Laboratory &amp; Radiology Service</t>
  </si>
  <si>
    <t>014</t>
  </si>
  <si>
    <t>017</t>
  </si>
  <si>
    <t>042</t>
  </si>
  <si>
    <t>043</t>
  </si>
  <si>
    <t>044</t>
  </si>
  <si>
    <t>045</t>
  </si>
  <si>
    <t>046</t>
  </si>
  <si>
    <t>TOTAL ANCILLARIES NOT IN MEDICAID RATE</t>
  </si>
  <si>
    <t>Purch.Serv.-Audiology Therapy(non-employee)</t>
  </si>
  <si>
    <t>311</t>
  </si>
  <si>
    <t>312</t>
  </si>
  <si>
    <t>313</t>
  </si>
  <si>
    <t>314</t>
  </si>
  <si>
    <t>315</t>
  </si>
  <si>
    <t>316</t>
  </si>
  <si>
    <t>450</t>
  </si>
  <si>
    <t>460</t>
  </si>
  <si>
    <t>310</t>
  </si>
  <si>
    <t>470</t>
  </si>
  <si>
    <t>480</t>
  </si>
  <si>
    <t>490</t>
  </si>
  <si>
    <t>TOTAL REC ACT &amp; SOCIAL SERVICES</t>
  </si>
  <si>
    <t>TOTAL REPORTED EXPENSES PER FCP</t>
  </si>
  <si>
    <t>010-090</t>
  </si>
  <si>
    <t>FCP less G/L must = 0</t>
  </si>
  <si>
    <t>Home Office Charges</t>
  </si>
  <si>
    <t>Travel , Seminars, &amp; Admin Training</t>
  </si>
  <si>
    <t>TOTAL PROPERTY &amp; RELATED</t>
  </si>
  <si>
    <t>Payroll Taxes &amp; Benefits</t>
  </si>
  <si>
    <t>Nurse Admin Payroll Tax and Benefits</t>
  </si>
  <si>
    <t>Nurse Dir Care Payroll Tax &amp; Benefits</t>
  </si>
  <si>
    <t>Physician &amp; Psychiatrist-Supplies/Other</t>
  </si>
  <si>
    <t>Speech Therapy - Supplies/Other</t>
  </si>
  <si>
    <t>Hours Worked</t>
  </si>
  <si>
    <t>018</t>
  </si>
  <si>
    <t>019</t>
  </si>
  <si>
    <t>CENSUS (SCH D)</t>
  </si>
  <si>
    <t>OCCUPANCY (SCH D)</t>
  </si>
  <si>
    <t>010-000</t>
  </si>
  <si>
    <t>020-000</t>
  </si>
  <si>
    <t>030-000</t>
  </si>
  <si>
    <t>040-000</t>
  </si>
  <si>
    <t>050-000</t>
  </si>
  <si>
    <t>060-000</t>
  </si>
  <si>
    <t>070-000</t>
  </si>
  <si>
    <t>080-000</t>
  </si>
  <si>
    <t>090-000</t>
  </si>
  <si>
    <t>NET MEDICARE  REVENUE</t>
  </si>
  <si>
    <t>NET VETERANS  REVENUE</t>
  </si>
  <si>
    <t>NET PRIVATE  REVENUE</t>
  </si>
  <si>
    <t>NET OTHER  REVENUE</t>
  </si>
  <si>
    <t>8</t>
  </si>
  <si>
    <t>051</t>
  </si>
  <si>
    <t>Asst Administrator Salary</t>
  </si>
  <si>
    <t>TOTAL GENERAL ADMINISTRATIVE</t>
  </si>
  <si>
    <t>PROPERTY AND RELATED EXPENSES</t>
  </si>
  <si>
    <t>OTHER DAYS</t>
  </si>
  <si>
    <t>NET MISC INCOME</t>
  </si>
  <si>
    <t>TOTAL EXPENSES PER G/L</t>
  </si>
  <si>
    <t>9</t>
  </si>
  <si>
    <t>10</t>
  </si>
  <si>
    <t>Rate</t>
  </si>
  <si>
    <t>Hours Per</t>
  </si>
  <si>
    <t>Avg Hr</t>
  </si>
  <si>
    <t>Audited Days</t>
  </si>
  <si>
    <t>Col 8 / Aud Days</t>
  </si>
  <si>
    <t>Name of Nursing Facility</t>
  </si>
  <si>
    <t>Worker's compensation</t>
  </si>
  <si>
    <t>Professional/General Liability Insurance</t>
  </si>
  <si>
    <t>Gain/loss on asset disposition</t>
  </si>
  <si>
    <t>Col 5/8</t>
  </si>
  <si>
    <t>Registered Nurses</t>
  </si>
  <si>
    <t>Licensed Practical Nurses</t>
  </si>
  <si>
    <t>Certified Nursing Aides</t>
  </si>
  <si>
    <t>Others</t>
  </si>
  <si>
    <t xml:space="preserve"> </t>
  </si>
  <si>
    <t>DAYS</t>
  </si>
  <si>
    <t>n/a</t>
  </si>
  <si>
    <t>Civil Money Penalties (Medicare and Medicaid)</t>
  </si>
  <si>
    <t>Other Taxes (attach schedule)</t>
  </si>
  <si>
    <t>Other Penalties/Fines</t>
  </si>
  <si>
    <t>Transportation Salaries &amp; Wages</t>
  </si>
  <si>
    <t>Transportation Payroll Taxes &amp; Emp Benefits</t>
  </si>
  <si>
    <t>Gifts</t>
  </si>
  <si>
    <t>Bank/Service Charges</t>
  </si>
  <si>
    <t>Public Relations</t>
  </si>
  <si>
    <t>Recruiting Expense</t>
  </si>
  <si>
    <t>TV/Cable/Satellite Expense</t>
  </si>
  <si>
    <t>Beauty &amp; Barber Expense</t>
  </si>
  <si>
    <t>NET MEDICAID - NON UTAH</t>
  </si>
  <si>
    <t>NET MEDICAID REVENUE - UTAH</t>
  </si>
  <si>
    <t>NET MEDICAID REVENUE - NON UTAH</t>
  </si>
  <si>
    <t>07</t>
  </si>
  <si>
    <t>08</t>
  </si>
  <si>
    <t>MEDICAID DAYS - NON UTAH</t>
  </si>
  <si>
    <t>MEDICAID DAYS - UTAH</t>
  </si>
  <si>
    <t xml:space="preserve">TOTAL LICENSED BEDS </t>
  </si>
  <si>
    <t>TOTAL LICENSED BEDS</t>
  </si>
  <si>
    <t>REVENUE (SCH B)</t>
  </si>
  <si>
    <t>EXPENSES (SCH C)</t>
  </si>
  <si>
    <t>Evaluation Costs</t>
  </si>
  <si>
    <t>Instructor Costs</t>
  </si>
  <si>
    <t>Testing Costs</t>
  </si>
  <si>
    <t>Material Costs</t>
  </si>
  <si>
    <t>09</t>
  </si>
  <si>
    <t>NET HOSPICE REVENUE - MEDICAID</t>
  </si>
  <si>
    <t>NET HOSPICE REVENUE - NON MEDICAID</t>
  </si>
  <si>
    <t>NET OTHER REVENUE</t>
  </si>
  <si>
    <t>COST CAT &amp; ACCT</t>
  </si>
  <si>
    <t>Medical Director</t>
  </si>
  <si>
    <t>TOTAL NURSING</t>
  </si>
  <si>
    <t>PROFIT/LOSS TO EXPENSES</t>
  </si>
  <si>
    <t>HOSPICE DAYS - NON MEDICAID</t>
  </si>
  <si>
    <t>HOSPICE DAYS - MEDICAID</t>
  </si>
  <si>
    <r>
      <t xml:space="preserve">TOTAL PATIENT DAYS AVAILABLE </t>
    </r>
    <r>
      <rPr>
        <b/>
        <sz val="10"/>
        <color indexed="8"/>
        <rFont val="Times New Roman"/>
        <family val="1"/>
      </rPr>
      <t>(Total Licensed Beds*Calendar Days in Period)</t>
    </r>
  </si>
  <si>
    <r>
      <t xml:space="preserve">TOTAL OCCUPANCY </t>
    </r>
    <r>
      <rPr>
        <b/>
        <sz val="10"/>
        <color indexed="8"/>
        <rFont val="Times New Roman"/>
        <family val="1"/>
      </rPr>
      <t>(Total Patient Days/Total Patient Days Available)</t>
    </r>
  </si>
  <si>
    <r>
      <t xml:space="preserve">MEDICAID OCCUPANCY </t>
    </r>
    <r>
      <rPr>
        <b/>
        <sz val="10"/>
        <color indexed="8"/>
        <rFont val="Times New Roman"/>
        <family val="1"/>
      </rPr>
      <t>(Medicaid Days-Utah /Total Patient Days Available)</t>
    </r>
  </si>
  <si>
    <r>
      <t xml:space="preserve">MEDICAID OCCUPANCY AS A % OF TOTAL OCCUPANCY </t>
    </r>
    <r>
      <rPr>
        <b/>
        <sz val="10"/>
        <color indexed="8"/>
        <rFont val="Times New Roman"/>
        <family val="1"/>
      </rPr>
      <t>(Medicaid Occupancy/Total Occupancy)</t>
    </r>
  </si>
  <si>
    <t>TOTAL PATIENT DAYS AVAILABLE (Total Licensed Beds*Calendar Days in Period)</t>
  </si>
  <si>
    <t>TOTAL OCCUPANCY (Total Patient Days/Total Patient Days Available)</t>
  </si>
  <si>
    <t>MEDICAID OCCUPANCY (Medicaid Days-Utah /Total Patient Days Available)</t>
  </si>
  <si>
    <t>MEDICAID OCCUPANCY AS A % OF TOTAL OCCUPANCY (Medicaid Occupancy/Total Occupancy)</t>
  </si>
  <si>
    <t>REV  CAT</t>
  </si>
  <si>
    <t>REVENUE (INCL TPL)  (SCH B)</t>
  </si>
  <si>
    <t>Highland Care Center</t>
  </si>
  <si>
    <t>Crestwood Care Center</t>
  </si>
  <si>
    <t>INDUSTRY REVENUE</t>
  </si>
  <si>
    <t xml:space="preserve">OR COST PER/DAY </t>
  </si>
  <si>
    <t>(COL 5/AUDITED DAYS)</t>
  </si>
  <si>
    <t>Hours Paid</t>
  </si>
  <si>
    <t>Building Rent</t>
  </si>
  <si>
    <t>Building Depreciation</t>
  </si>
  <si>
    <t>Buidling Interest Expense</t>
  </si>
  <si>
    <t>"Real Property" Property Tax</t>
  </si>
  <si>
    <t>"Real Property" Property Insurance</t>
  </si>
  <si>
    <t>Vehicle Depreciation</t>
  </si>
  <si>
    <t>Vehicle Interest Expense</t>
  </si>
  <si>
    <t>Vehicle Property Tax</t>
  </si>
  <si>
    <t>Vehicle Insurance</t>
  </si>
  <si>
    <t>Equipment Leases (Operating Leases Only)</t>
  </si>
  <si>
    <t>Equipment Depreciation</t>
  </si>
  <si>
    <t>Equipment Interest Expense</t>
  </si>
  <si>
    <t>Personal Property Tax</t>
  </si>
  <si>
    <t>Miscellaneous</t>
  </si>
  <si>
    <t>Furniture &amp; Equipment less than Capitalization $ Threshold</t>
  </si>
  <si>
    <t>Repair &amp; Maintenance - Vehicles</t>
  </si>
  <si>
    <t>Repair &amp; Maintenance -  Equipment</t>
  </si>
  <si>
    <t>Repair &amp; Maintenance - Buidling &amp; Grounds</t>
  </si>
  <si>
    <t xml:space="preserve">Miscellaneous </t>
  </si>
  <si>
    <t>NET MEDICARE HMO REVENUE</t>
  </si>
  <si>
    <t>Total Hours Worked</t>
  </si>
  <si>
    <t>Total Hours Paid</t>
  </si>
  <si>
    <t>350</t>
  </si>
  <si>
    <t>Other Direct Care (i.e. psychologists, podiatrists, optometrists)</t>
  </si>
  <si>
    <t>360</t>
  </si>
  <si>
    <t>Dental Services</t>
  </si>
  <si>
    <t>370</t>
  </si>
  <si>
    <t>Emergency Ambulance</t>
  </si>
  <si>
    <t>380</t>
  </si>
  <si>
    <t>Eye Glasses, Dentures, Hearing Aids</t>
  </si>
  <si>
    <t>390</t>
  </si>
  <si>
    <t>Special Equipment Approved by Medicaid**</t>
  </si>
  <si>
    <t>400</t>
  </si>
  <si>
    <t>Prosthetic Devices***</t>
  </si>
  <si>
    <t>Prescription Drugs****</t>
  </si>
  <si>
    <t>TOTAL PLANT OPERATION &amp; MAINTENANCE</t>
  </si>
  <si>
    <t>MEDICARE HMO DAYS</t>
  </si>
  <si>
    <t>MEDICAID CERTIFIED BEDS</t>
  </si>
  <si>
    <t>HOURS WORKED</t>
  </si>
  <si>
    <t>HOURS PAID</t>
  </si>
  <si>
    <t>112</t>
  </si>
  <si>
    <t>113</t>
  </si>
  <si>
    <t>114</t>
  </si>
  <si>
    <t>115</t>
  </si>
  <si>
    <t>116</t>
  </si>
  <si>
    <t>117</t>
  </si>
  <si>
    <t>C</t>
  </si>
  <si>
    <t>Repair &amp; Maintenance - Vehicles (include vehicle fuel)</t>
  </si>
  <si>
    <t>Misc. Costs</t>
  </si>
  <si>
    <t>Nurs Aide Trg Costs</t>
  </si>
  <si>
    <t>Miscellaneous Nursing Costs</t>
  </si>
  <si>
    <t>NF - SUMMARY</t>
  </si>
  <si>
    <t>% OF</t>
  </si>
  <si>
    <t>NET MEDICARE-HMO  REVENUE</t>
  </si>
  <si>
    <t>Building Interest Expense</t>
  </si>
  <si>
    <t>"RealProperty" Property Tax*</t>
  </si>
  <si>
    <t>"Real Property" Property Insurance*</t>
  </si>
  <si>
    <t>Vechicle Insurance</t>
  </si>
  <si>
    <t xml:space="preserve">Personal Property Tax </t>
  </si>
  <si>
    <t>Miscellaneous (Attach Detail Schedule)</t>
  </si>
  <si>
    <t>Repair &amp; Maintenance - Building &amp; Grounds</t>
  </si>
  <si>
    <t>Repair &amp; Maintenance - Equipment</t>
  </si>
  <si>
    <t>Miscellaneous Nursing (Attach Detail Schedule)</t>
  </si>
  <si>
    <t>Speech Therapy-Staff Salaries</t>
  </si>
  <si>
    <t>Speech Therapy Payroll tax &amp; Benefit</t>
  </si>
  <si>
    <t>Audiology Therapy-Staff Salaries</t>
  </si>
  <si>
    <t>Occupational Therapy-Staff Salaries</t>
  </si>
  <si>
    <t>Laboratory &amp; Radiology-Staff Salaries</t>
  </si>
  <si>
    <t>Laboratory &amp; Radiology Payroll tax &amp; Benefits</t>
  </si>
  <si>
    <t>Physical Therapy -Supplies/Other</t>
  </si>
  <si>
    <t>Speech Therapy-Supplies/Other</t>
  </si>
  <si>
    <t>Audiology Therapy-Supplies/Other</t>
  </si>
  <si>
    <t>Occupational Therapy-Supplies/Other</t>
  </si>
  <si>
    <t>Purch. Serv.-Speech Therapy (non-employee)</t>
  </si>
  <si>
    <t>Purch. Serv.-Aud.Therapy(non-employee)</t>
  </si>
  <si>
    <t>Purch. Serv.-Occup.Therapy(non-employee)</t>
  </si>
  <si>
    <t>Other direct care (i.e. psychologists, podiatrists, optometrists)</t>
  </si>
  <si>
    <t>Special Equipment Approved by Medicaid</t>
  </si>
  <si>
    <t>Prosthetic Devices</t>
  </si>
  <si>
    <t>Prescription Drugs</t>
  </si>
  <si>
    <t>Miscellaneous (Attach Detail Schedule if greater than $100)</t>
  </si>
  <si>
    <t>MEDICARE-HMO DAYS</t>
  </si>
  <si>
    <r>
      <t xml:space="preserve">TOTAL PATIENT DAYS AVAILABLE </t>
    </r>
    <r>
      <rPr>
        <b/>
        <sz val="10"/>
        <color indexed="8"/>
        <rFont val="NewCenturySchlbk"/>
        <family val="1"/>
      </rPr>
      <t>(Total Licensed Beds*Calendar Days in Period)</t>
    </r>
  </si>
  <si>
    <r>
      <t xml:space="preserve">TOTAL OCCUPANCY </t>
    </r>
    <r>
      <rPr>
        <b/>
        <sz val="10"/>
        <color indexed="8"/>
        <rFont val="NewCenturySchlbk"/>
        <family val="1"/>
      </rPr>
      <t>(Total Patient Days/Total Patient Days Available)</t>
    </r>
  </si>
  <si>
    <r>
      <t xml:space="preserve">MEDICAID OCCUPANCY </t>
    </r>
    <r>
      <rPr>
        <b/>
        <sz val="10"/>
        <color indexed="8"/>
        <rFont val="NewCenturySchlbk"/>
        <family val="1"/>
      </rPr>
      <t>(Medicaid Days-Utah /Total Patient Days Available)</t>
    </r>
  </si>
  <si>
    <r>
      <t xml:space="preserve">MEDICAID OCCUPANCY AS A % OF TOTAL OCCUPANCY </t>
    </r>
    <r>
      <rPr>
        <b/>
        <sz val="10"/>
        <color indexed="8"/>
        <rFont val="NewCenturySchlbk"/>
        <family val="1"/>
      </rPr>
      <t>(Medicaid Occupancy/Total Occupancy)</t>
    </r>
  </si>
  <si>
    <t>Private Revenue Per Day</t>
  </si>
  <si>
    <t>Q1</t>
  </si>
  <si>
    <t>Q2</t>
  </si>
  <si>
    <t>Q3</t>
  </si>
  <si>
    <t>Q4</t>
  </si>
  <si>
    <t>Rev</t>
  </si>
  <si>
    <t>Exp</t>
  </si>
  <si>
    <t>Days</t>
  </si>
  <si>
    <t>Beds</t>
  </si>
  <si>
    <t>Total Days</t>
  </si>
  <si>
    <t>Repair &amp; Maintenance - Transportation Equipment</t>
  </si>
  <si>
    <t>Miscellaneous Nursing</t>
  </si>
  <si>
    <t>PER DAY</t>
  </si>
  <si>
    <t>AMOUNT</t>
  </si>
  <si>
    <t>INDUSTRY</t>
  </si>
  <si>
    <t>Canyon Rim Care Center</t>
  </si>
  <si>
    <t>Hillside Rehab Center</t>
  </si>
  <si>
    <t>Holladay Healthcare Center</t>
  </si>
  <si>
    <t>Millcreek Health Center</t>
  </si>
  <si>
    <t>North Canyon Care Center</t>
  </si>
  <si>
    <t>Pioneer Care Center</t>
  </si>
  <si>
    <t>Richfield Care Center</t>
  </si>
  <si>
    <t>Willow Wood Care Center</t>
  </si>
  <si>
    <t>ART CITY NURSING &amp; REHAB</t>
  </si>
  <si>
    <t>IRON COUNTY NURSING HOME</t>
  </si>
  <si>
    <t>MIDTOWN MANOR</t>
  </si>
  <si>
    <t>PARKWAY HEALTH CENTER</t>
  </si>
  <si>
    <t>UINTAH CARE CENTER</t>
  </si>
  <si>
    <t>DONE!</t>
  </si>
  <si>
    <t>Mt. Olympus Rehab Center</t>
  </si>
  <si>
    <t>???????</t>
  </si>
  <si>
    <t>As of June 21, 2011, Hazen has 26 Medicaid beds</t>
  </si>
  <si>
    <t>Hurricane (Zion's Health Care Complex)</t>
  </si>
  <si>
    <t>Avalon Valley Rehabilitation Center</t>
  </si>
  <si>
    <t>Canyonlands Care Center</t>
  </si>
  <si>
    <t>Copper Ridge Health Care</t>
  </si>
  <si>
    <t>Deseret Care Center, LLC</t>
  </si>
  <si>
    <t>Draper Rehabilitation and Care Center</t>
  </si>
  <si>
    <t>EMERY COUNTY NURSING HOME</t>
  </si>
  <si>
    <t>Hazen Nursing Home, INC</t>
  </si>
  <si>
    <t>Heritage Care Center</t>
  </si>
  <si>
    <t>Heritage Hills Health Care Center</t>
  </si>
  <si>
    <t>Heritage Park Care Center</t>
  </si>
  <si>
    <t>Kolob Care and Rehabilitation of St. George</t>
  </si>
  <si>
    <t>Kolob Regional Care - Cedar City</t>
  </si>
  <si>
    <t>LIFE CARE CENTER OF BOUNTIFUL</t>
  </si>
  <si>
    <t>MILLARD COUNTY CARE &amp; REHAB</t>
  </si>
  <si>
    <t>Mountain View Health Services</t>
  </si>
  <si>
    <t>MT OGDEN HEALTH &amp; REHABILITATION CENTER</t>
  </si>
  <si>
    <t>Orem Rehabilitation and Nursing Center</t>
  </si>
  <si>
    <t>Paramount Health and Rehabilitation</t>
  </si>
  <si>
    <t>Pinnacle Nursing and Rehabilitation</t>
  </si>
  <si>
    <t>Provo Rehabilitation and Nursing</t>
  </si>
  <si>
    <t>Rocky Mountain Care - Hunter Hollow</t>
  </si>
  <si>
    <t>South Davis Community Hospital</t>
  </si>
  <si>
    <t>Spanish Fork Nursing &amp; Rehab, Inc.</t>
  </si>
  <si>
    <t>Spring Creek Healthcare Center</t>
  </si>
  <si>
    <t>St. George Care and Rehabilitation Center</t>
  </si>
  <si>
    <t>(Kindred Nursing &amp; Rehab - St. George)</t>
  </si>
  <si>
    <t>St. Jospeh Villa</t>
  </si>
  <si>
    <t>Sunshine Terrace Foundation</t>
  </si>
  <si>
    <t>Uintah Basin Rehabilitation and Senior Villa</t>
  </si>
  <si>
    <t>Washington Terrace Care &amp; Rehabilitation Center</t>
  </si>
  <si>
    <t>Willow Glen Health &amp; Rehab, LLC</t>
  </si>
  <si>
    <t>Woodland Park Rehabilitation and Care Center</t>
  </si>
  <si>
    <t>Stonehenge of Richfield</t>
  </si>
  <si>
    <t>retainer</t>
  </si>
  <si>
    <t>NOTE: Notified facility 12/5/12 that</t>
  </si>
  <si>
    <t xml:space="preserve">     number of XIX beds is 156.</t>
  </si>
  <si>
    <t>SEE AUDIT ADJ NOTE 3</t>
  </si>
  <si>
    <r>
      <t xml:space="preserve">NET MEDICAID REVENUE - UTAH       </t>
    </r>
    <r>
      <rPr>
        <sz val="10"/>
        <color rgb="FFFF0000"/>
        <rFont val="NewCenturySchlbk"/>
      </rPr>
      <t>see Note 3, below</t>
    </r>
  </si>
  <si>
    <r>
      <t xml:space="preserve">NET HOSPICE REVENUE - MEDICAID    </t>
    </r>
    <r>
      <rPr>
        <sz val="10"/>
        <color rgb="FFFF0000"/>
        <rFont val="NewCenturySchlbk"/>
      </rPr>
      <t>see Note 3, below</t>
    </r>
  </si>
  <si>
    <r>
      <t xml:space="preserve">NET HOSPICE REVENUE - NON MEDICAID     </t>
    </r>
    <r>
      <rPr>
        <sz val="10"/>
        <color rgb="FFFF0000"/>
        <rFont val="NewCenturySchlbk"/>
      </rPr>
      <t>see Note 3</t>
    </r>
  </si>
  <si>
    <t>AUDIT ADJUSTMENT NOTES</t>
  </si>
  <si>
    <t>`</t>
  </si>
  <si>
    <t>Office Salaries and Wages            AUDIT ADJ.  NOTES, 1, 2</t>
  </si>
  <si>
    <r>
      <t xml:space="preserve">MEDICAID DAYS - UTAH        </t>
    </r>
    <r>
      <rPr>
        <sz val="10"/>
        <color rgb="FFFF0000"/>
        <rFont val="NewCenturySchlbk"/>
      </rPr>
      <t>See NOTE 1, below</t>
    </r>
  </si>
  <si>
    <r>
      <t xml:space="preserve">MEDICARE-HMO DAYS          </t>
    </r>
    <r>
      <rPr>
        <sz val="10"/>
        <color rgb="FFFF0000"/>
        <rFont val="NewCenturySchlbk"/>
      </rPr>
      <t>See NOTE 1, below</t>
    </r>
  </si>
  <si>
    <t>HOSPICE DAYS - MEDICAID           (1)</t>
  </si>
  <si>
    <t>HOSPICE DAYS - NON MEDICAID            (1)</t>
  </si>
  <si>
    <r>
      <t xml:space="preserve">  </t>
    </r>
    <r>
      <rPr>
        <i/>
        <sz val="10"/>
        <rFont val="NewCenturySchlbk"/>
      </rPr>
      <t xml:space="preserve">Contains audit adjustment   </t>
    </r>
    <r>
      <rPr>
        <sz val="10"/>
        <rFont val="NewCenturySchlbk"/>
        <family val="1"/>
      </rPr>
      <t>Registered Nurses</t>
    </r>
  </si>
  <si>
    <r>
      <rPr>
        <i/>
        <sz val="10"/>
        <rFont val="NewCenturySchlbk"/>
      </rPr>
      <t xml:space="preserve">  Contains audit adjustment  </t>
    </r>
    <r>
      <rPr>
        <sz val="10"/>
        <rFont val="NewCenturySchlbk"/>
        <family val="1"/>
      </rPr>
      <t xml:space="preserve"> Licensed Practical Nurses</t>
    </r>
  </si>
  <si>
    <r>
      <rPr>
        <i/>
        <sz val="10"/>
        <rFont val="NewCenturySchlbk"/>
      </rPr>
      <t xml:space="preserve">  Contains audit adjustment   </t>
    </r>
    <r>
      <rPr>
        <sz val="10"/>
        <rFont val="NewCenturySchlbk"/>
        <family val="1"/>
      </rPr>
      <t>Certified Nursing Aides</t>
    </r>
  </si>
  <si>
    <t xml:space="preserve">  AUDIT ADJ NOTE 1  &amp; Jason                                                 Others</t>
  </si>
  <si>
    <r>
      <rPr>
        <sz val="10"/>
        <color rgb="FFFF0000"/>
        <rFont val="NewCenturySchlbk"/>
      </rPr>
      <t xml:space="preserve">Jason  </t>
    </r>
    <r>
      <rPr>
        <sz val="10"/>
        <rFont val="NewCenturySchlbk"/>
        <family val="1"/>
      </rPr>
      <t>Others</t>
    </r>
  </si>
  <si>
    <t>Salaries &amp; Wages                        &amp; Jason    AUDIT ADJ NOTE 1</t>
  </si>
  <si>
    <r>
      <t xml:space="preserve">Payroll Taxes &amp; Emp Benefits </t>
    </r>
    <r>
      <rPr>
        <sz val="10"/>
        <color rgb="FFFF0000"/>
        <rFont val="NewCenturySchlbk"/>
      </rPr>
      <t>was 1,888; number is Jason's</t>
    </r>
  </si>
  <si>
    <t>Payroll Taxes &amp; Emp Benefits - number was 5,138; Now is Jason's</t>
  </si>
  <si>
    <t>Payroll Taxes &amp; Benefits AUDIT ADJ NOTE 1 was 2,196; now Jason's</t>
  </si>
  <si>
    <t>AUDIT ADJ NOTE 1 =17,969; Jason's is 29,847     Registered Nurses</t>
  </si>
  <si>
    <t xml:space="preserve">  AUDIT ADJ NOTE 1 =13,586; Jason's is 22,566    Certified Nursing Aides</t>
  </si>
  <si>
    <r>
      <t xml:space="preserve">Auditor's Note:  Most of the dollar amounts in Column 4 are due to facilities changing ownership during the reporting period.  The original facility's FCP figures are posted in Columns 1 &amp; 2 and the second owner's figures are posted in Column 4.  </t>
    </r>
    <r>
      <rPr>
        <b/>
        <sz val="10"/>
        <color rgb="FF0066CC"/>
        <rFont val="Times New Roman"/>
        <family val="1"/>
      </rPr>
      <t xml:space="preserve">Adjustments from </t>
    </r>
    <r>
      <rPr>
        <b/>
        <u/>
        <sz val="10"/>
        <color rgb="FF0066CC"/>
        <rFont val="Times New Roman"/>
        <family val="1"/>
      </rPr>
      <t>reviews</t>
    </r>
    <r>
      <rPr>
        <b/>
        <sz val="10"/>
        <color rgb="FF0066CC"/>
        <rFont val="Times New Roman"/>
        <family val="1"/>
      </rPr>
      <t xml:space="preserve"> are also found in Column 4; in the individual facility summary sheet, cells which include those adjustments </t>
    </r>
    <r>
      <rPr>
        <b/>
        <u/>
        <sz val="10"/>
        <color rgb="FF0066CC"/>
        <rFont val="Times New Roman"/>
        <family val="1"/>
      </rPr>
      <t>and the amounts from a second owner</t>
    </r>
    <r>
      <rPr>
        <b/>
        <sz val="10"/>
        <color rgb="FF0066CC"/>
        <rFont val="Times New Roman"/>
        <family val="1"/>
      </rPr>
      <t xml:space="preserve"> have a light blue background - the second number of the formula there is the adjustment by Carver Florek &amp; James (CFJ), CPAs.</t>
    </r>
  </si>
  <si>
    <t>per visit</t>
  </si>
  <si>
    <t>dba: Avalon West Health &amp; Rehabilitation</t>
  </si>
  <si>
    <t>Community Living Center</t>
  </si>
  <si>
    <t>AUDIT ADJ'S</t>
  </si>
  <si>
    <t xml:space="preserve">MEDICAID DAYS - NON UTAH                                      </t>
  </si>
  <si>
    <t xml:space="preserve">OTHER DAYS                                                            </t>
  </si>
  <si>
    <t>??</t>
  </si>
  <si>
    <t>monthly retainer</t>
  </si>
  <si>
    <t>Ogden Veteran's Home, George E. Wahlen V. H.</t>
  </si>
  <si>
    <t>Orchard Park Post-Acute Rehab</t>
  </si>
  <si>
    <t>SEASONS</t>
  </si>
  <si>
    <t>VA Salt Lake (William E Christofferson Salt Lake Veterans Home)</t>
  </si>
  <si>
    <t>Stonehenge of American Fork</t>
  </si>
  <si>
    <t>Country Life Care Center</t>
  </si>
  <si>
    <t>Avalon Care Center - Bountiful</t>
  </si>
  <si>
    <t>Alpine Valley Care Center</t>
  </si>
  <si>
    <t>TOOELE</t>
  </si>
  <si>
    <r>
      <rPr>
        <i/>
        <sz val="10"/>
        <rFont val="NewCenturySchlbk"/>
      </rPr>
      <t xml:space="preserve">  </t>
    </r>
    <r>
      <rPr>
        <sz val="10"/>
        <rFont val="NewCenturySchlbk"/>
        <family val="1"/>
      </rPr>
      <t xml:space="preserve">   Registered Nurses</t>
    </r>
  </si>
  <si>
    <t xml:space="preserve"> Licensed Practical Nurses</t>
  </si>
  <si>
    <t xml:space="preserve"> Certified Nursing Aides</t>
  </si>
  <si>
    <t>Original total in Col F for Deseret at Crosslands</t>
  </si>
  <si>
    <t>CHECK TOTAL</t>
  </si>
  <si>
    <t>Balance of Adjustments:</t>
  </si>
  <si>
    <t>Bennion dba Avalon West</t>
  </si>
  <si>
    <t>BVH-RMC CLEARFIELD</t>
  </si>
  <si>
    <t>BVH-RMC Cottage on Vine</t>
  </si>
  <si>
    <t>BVH-RMC Mountain View</t>
  </si>
  <si>
    <t>BVH-RMC Willow Springs</t>
  </si>
  <si>
    <t>Rocky Mountain Care - RIVERTON</t>
  </si>
  <si>
    <t>CENTRAL UTAH VETERANS HOME - PAYSON</t>
  </si>
  <si>
    <t>Southern Utah Veterans Home - Ivins</t>
  </si>
  <si>
    <t>Legal: Avalon Care Center - VA Ivins, LLC</t>
  </si>
  <si>
    <t>MEADOW BROOK</t>
  </si>
  <si>
    <t>DESERET H &amp; R at Crosslands</t>
  </si>
  <si>
    <t>Manor Care Health Services -South Ogden</t>
  </si>
  <si>
    <r>
      <t xml:space="preserve">SANDY REGIONAL CARE CENTER </t>
    </r>
    <r>
      <rPr>
        <sz val="14"/>
        <rFont val="Times New Roman"/>
        <family val="1"/>
      </rPr>
      <t>[SANDY HEALTH &amp; REHAB]</t>
    </r>
  </si>
  <si>
    <t>1)</t>
  </si>
  <si>
    <t>Audit Adjustment Notes:</t>
  </si>
  <si>
    <r>
      <t>1) Licensed beds are 30; only 8 beds are MEDICAID CERTIFIED</t>
    </r>
    <r>
      <rPr>
        <sz val="10"/>
        <rFont val="NewCenturySchlbk"/>
      </rPr>
      <t xml:space="preserve"> because of Medicaid bed moratium</t>
    </r>
  </si>
  <si>
    <t>1) Entry to Adjust Medicaid Beds to UDOH License records</t>
  </si>
  <si>
    <t>LIST OF ADJUSTMENTS</t>
  </si>
  <si>
    <t>1) to adjust Medicaid beds to UDOH Licensing records.</t>
  </si>
  <si>
    <t>3)</t>
  </si>
  <si>
    <t>Adjustment notes at bottom of Summary</t>
  </si>
  <si>
    <t>2)</t>
  </si>
  <si>
    <t>2) TO Recalssify $4,531 from 070-490 Nursing Misc. to 080-360 Ancillary Dental.  DM 10/24/14</t>
  </si>
  <si>
    <r>
      <t xml:space="preserve">3) To reclassify Private Insurance Refunds from </t>
    </r>
    <r>
      <rPr>
        <b/>
        <u/>
        <sz val="11"/>
        <rFont val="NewCenturySchlbk"/>
      </rPr>
      <t>06</t>
    </r>
    <r>
      <rPr>
        <b/>
        <sz val="11"/>
        <rFont val="NewCenturySchlbk"/>
      </rPr>
      <t xml:space="preserve">-01 "Private.." to Miscellaneous Revenue </t>
    </r>
    <r>
      <rPr>
        <b/>
        <u/>
        <sz val="11"/>
        <rFont val="NewCenturySchlbk"/>
      </rPr>
      <t>10</t>
    </r>
    <r>
      <rPr>
        <b/>
        <sz val="11"/>
        <rFont val="NewCenturySchlbk"/>
      </rPr>
      <t>-12</t>
    </r>
  </si>
  <si>
    <t>AT BOTTOM OF FORM</t>
  </si>
  <si>
    <t>AUDIT ADJUSTMENT NOTES:</t>
  </si>
  <si>
    <t>AUDIT ADJ NOTES</t>
  </si>
  <si>
    <t>1) To reclassify recreation supplies and recreation misc. expenses from 070-110 to 090-490</t>
  </si>
  <si>
    <t xml:space="preserve">     Recreation Miscellaneous [$4,264.42+$330].</t>
  </si>
  <si>
    <t>2) To reclassify Med Records and Supply Clerk wages and taxes/benefits from Admin CNA to Admin Others,</t>
  </si>
  <si>
    <t xml:space="preserve">     $60,670.44 ($58,180.49 + $2,489.95) and $8,861, respectively.</t>
  </si>
  <si>
    <t>NOTES FOR DESK REVIEW ADJUSTMENTS</t>
  </si>
  <si>
    <t>1) Moved Recreation Supplies [6,395.15] and Social Service Supplies [316.48] from 070-110 to 090-490.</t>
  </si>
  <si>
    <t>2) Moved Census days [22] from Hospice - Non Medicaid to Private.</t>
  </si>
  <si>
    <t>3) Moved the $875 revenue from Hospice- Non Medicaid to Hospice- Medicaid.</t>
  </si>
  <si>
    <t>Desk Review Notes</t>
  </si>
  <si>
    <t>at end of form.</t>
  </si>
  <si>
    <r>
      <rPr>
        <b/>
        <sz val="10"/>
        <rFont val="NewCenturySchlbk"/>
      </rPr>
      <t>UDOH RECORDS SHOW 61 BEDS</t>
    </r>
    <r>
      <rPr>
        <sz val="10"/>
        <rFont val="NewCenturySchlbk"/>
        <family val="1"/>
      </rPr>
      <t>, NOT 76!</t>
    </r>
  </si>
  <si>
    <t>DESK REVIEW ADJUSTMENT NOTES:</t>
  </si>
  <si>
    <r>
      <t xml:space="preserve">1) UDOH LICENSING RECORDS SHOW 61 BEDS, </t>
    </r>
    <r>
      <rPr>
        <sz val="10"/>
        <rFont val="NewCenturySchlbk"/>
      </rPr>
      <t xml:space="preserve">NOT 76!  </t>
    </r>
    <r>
      <rPr>
        <b/>
        <sz val="10"/>
        <rFont val="NewCenturySchlbk"/>
      </rPr>
      <t>ADJUSTED Licensed, Certified beds to match UDOH records.</t>
    </r>
  </si>
  <si>
    <t>1)    "          "</t>
  </si>
  <si>
    <t>1) UDOH Licensing shows only 78 Medicaid beds: Make Adjustment!</t>
  </si>
  <si>
    <t>Deseret Health and Rehab at Federal Heights, LLC</t>
  </si>
  <si>
    <t>RMC - HEBER</t>
  </si>
  <si>
    <t>Hrs Worked</t>
  </si>
  <si>
    <t>Hrs Paid</t>
  </si>
  <si>
    <t>Mountain View</t>
  </si>
  <si>
    <t>Heber</t>
  </si>
  <si>
    <t>BVH Clearfield</t>
  </si>
  <si>
    <t>RMC Clearfield</t>
  </si>
  <si>
    <t>HRS WORK</t>
  </si>
  <si>
    <t>HOURS PD</t>
  </si>
  <si>
    <t>WILLOW SPRINGS</t>
  </si>
  <si>
    <r>
      <t xml:space="preserve">City Creek Post Acute  </t>
    </r>
    <r>
      <rPr>
        <sz val="12"/>
        <rFont val="Times New Roman"/>
        <family val="1"/>
      </rPr>
      <t>(was ARLINGTON HILLS)</t>
    </r>
  </si>
  <si>
    <t xml:space="preserve">HOSPICE DAYS - NON MEDICAID    </t>
  </si>
  <si>
    <t xml:space="preserve">MEDICAID DAYS - UTAH   </t>
  </si>
  <si>
    <t xml:space="preserve"> Others</t>
  </si>
  <si>
    <t xml:space="preserve">NET HOSPICE REVENUE - NON MEDICAID   </t>
  </si>
  <si>
    <t xml:space="preserve">NET HOSPICE REVENUE - MEDICAID    </t>
  </si>
  <si>
    <t xml:space="preserve">NET MEDICAID REVENUE - UTAH       </t>
  </si>
  <si>
    <t>Mission at Community Living</t>
  </si>
  <si>
    <t xml:space="preserve">    AND NO AMENDED FCP WAS FILED, THOUGH PROVIDER SHOWED THIS AS AMENDED SCHEDULE C AND C-1 IN PBC DOCUMENTATION.</t>
  </si>
  <si>
    <t xml:space="preserve">    DM 12/3/2014</t>
  </si>
  <si>
    <t xml:space="preserve">2)  ACCOUNT 090-490: TO REMOVE UNALLOWABLE COSTS FOR TVs, DVD PLAYERS, &amp; DVD TAPES, PER PUB. 15-1 </t>
  </si>
  <si>
    <t xml:space="preserve">      SECTION 2106.  MIDTOWN MANOR WILL SHOW THIS AS A PROVIDER ADJUSTMENT - SEE DOCUMENTATION IN FILE.</t>
  </si>
  <si>
    <t xml:space="preserve">     SHOWN AS AN AUDIT ADJUSTMENT IN THIS SUMMARY FILE AS ADJUSTMENT MADE 12/3/14 AFTER ORIGINAL FCP FILED</t>
  </si>
  <si>
    <r>
      <t xml:space="preserve">Little Cottonwood   </t>
    </r>
    <r>
      <rPr>
        <sz val="12"/>
        <rFont val="Times New Roman"/>
        <family val="1"/>
      </rPr>
      <t>(7/1/13 - 12/12/13 was TRINITY CARE CENTER)</t>
    </r>
  </si>
  <si>
    <t>DM 12/17/14</t>
  </si>
  <si>
    <t>1) UDOH RECORDS SHOW 124 BEDS, NOT 46!</t>
  </si>
  <si>
    <t>DESK REVIEW AND AUDIT ADJUSTMENT NOTES:</t>
  </si>
  <si>
    <t>DESK REVIEW/AUDIT ADJUSTMENT NOTES</t>
  </si>
  <si>
    <r>
      <t>1)</t>
    </r>
    <r>
      <rPr>
        <sz val="10"/>
        <rFont val="NewCenturySchlbk"/>
      </rPr>
      <t xml:space="preserve"> TO SHOW REMOVAL OF RELATED PARTY RENT AND SUBSTITUTE RELATED LESSOR'S DEPRECIATION AND INTEREST EXPENSE;</t>
    </r>
  </si>
  <si>
    <t xml:space="preserve">AND TO SHOW REDISTRIBUTION OF RELATED PARTY EQUIPMENT DEPRECIATION ENTRY TO RELATED PARTY EXPENSE FOR EQUIPMENT </t>
  </si>
  <si>
    <t>[$1,268 + $4,466 = $5,734] AND TO VEHICLE DEPRECIATION [$1,940] FOR TRINITY OWNED VEHICLE.</t>
  </si>
  <si>
    <r>
      <t xml:space="preserve">     </t>
    </r>
    <r>
      <rPr>
        <b/>
        <sz val="10"/>
        <rFont val="NewCenturySchlbk"/>
      </rPr>
      <t>46 BEDS WAS A MISTAKE, CORRECTED 12/18/14.</t>
    </r>
  </si>
  <si>
    <t xml:space="preserve">     ALSO CORRECTED WAS THE CENSUS INFORMATION;</t>
  </si>
  <si>
    <t xml:space="preserve">     THEREFORE, THE CENSUS/OCCUPANCY/% </t>
  </si>
  <si>
    <r>
      <t xml:space="preserve">     INFORMATION IN EXCEL </t>
    </r>
    <r>
      <rPr>
        <b/>
        <u/>
        <sz val="10"/>
        <rFont val="NewCenturySchlbk"/>
      </rPr>
      <t>COL G</t>
    </r>
    <r>
      <rPr>
        <b/>
        <sz val="10"/>
        <rFont val="NewCenturySchlbk"/>
      </rPr>
      <t xml:space="preserve"> IS CORRECT!</t>
    </r>
  </si>
  <si>
    <t>COL. 4 INCLUDES CFJ AUDIT ADJUSTMENTS ALSO</t>
  </si>
  <si>
    <t>schedules revised 7/9/15</t>
  </si>
  <si>
    <t>Mission at Bear River- GVH</t>
  </si>
  <si>
    <t>Still DBA as BEAR RIVER VALLEY CARE CENTER</t>
  </si>
  <si>
    <t>DM note:  Canyonlands submitted ICF/ID, not NF; Must Redo! 10/8/15</t>
  </si>
  <si>
    <t xml:space="preserve">HOSPICE DAYS - NON MEDICAID </t>
  </si>
  <si>
    <t>FOUR CORNERS REGIONAL   &amp; BV(Beaver Valley)- Four Corners COL 4</t>
  </si>
  <si>
    <t>BV- Four Corners</t>
  </si>
  <si>
    <t>is in Col 4</t>
  </si>
  <si>
    <t>cells with this color</t>
  </si>
  <si>
    <t>contain Audiit Adjustments</t>
  </si>
  <si>
    <t>PINE CREEK REHAB &amp;  NURSING</t>
  </si>
  <si>
    <t>WAS WESTSIDE COMMUNITY NURSING CENTER UNTIL 1/14/15</t>
  </si>
  <si>
    <t>was Deseret Health &amp; Rehab at Ogden; CHOW 5/8/15</t>
  </si>
  <si>
    <t>LOMOND PEAK</t>
  </si>
  <si>
    <t>Logan Nursing &amp; Rehabilitation Center 7/1/14-12/31/14; RMC LOGAN 1/1/15-6/30/15</t>
  </si>
  <si>
    <t xml:space="preserve">RMC LOGAN </t>
  </si>
  <si>
    <t>COL 4</t>
  </si>
  <si>
    <t>cells with this color.</t>
  </si>
  <si>
    <t>"ADJ FCP" IN</t>
  </si>
  <si>
    <t>AUDIT ADJ's in</t>
  </si>
  <si>
    <t>Stonehenge of Ogden</t>
  </si>
  <si>
    <t>Licensing Records SHOW START DATE AS 1/21/2015</t>
  </si>
  <si>
    <t>&amp; St. George Rehabilitation - Ensign</t>
  </si>
  <si>
    <t>Col 4 has St. George-Ensign,</t>
  </si>
  <si>
    <t>from Col 3, "ADJ FCP"</t>
  </si>
  <si>
    <t>Audit Adj's are in</t>
  </si>
  <si>
    <t>5/1/2015 - 6/30/2015</t>
  </si>
  <si>
    <t xml:space="preserve">Col 4 contains Col 3 </t>
  </si>
  <si>
    <t xml:space="preserve">"ADJ FCP" from </t>
  </si>
  <si>
    <t>WASATCH - ENSIGN</t>
  </si>
  <si>
    <t>Cells with this color</t>
  </si>
  <si>
    <t>have Audit Adjs</t>
  </si>
  <si>
    <t>Wasatch Care Center  (KINDRED 7/1/14-4/30/15)  Wasatch Healthcare and Rehabilitation (ENSIGN 5/1/15-6/30/15)</t>
  </si>
  <si>
    <t>Cols 1, 2, &amp; 3 has St. George - Kindred, 7/1/14 - 4/30/15</t>
  </si>
  <si>
    <t>Composite of Kindred (4/1/ - 4/30) &amp; Ensign (5/1 - 6/30)</t>
  </si>
  <si>
    <t>Kindred for 4/1/15 - 4/30/15 = $233</t>
  </si>
  <si>
    <t>Ensign for 5/1/15 - 6/30/15 = $190</t>
  </si>
  <si>
    <t>Check Figure</t>
  </si>
  <si>
    <t>same as St. George - Kindred</t>
  </si>
  <si>
    <t xml:space="preserve">Hrs Worded/Hrs Paid is a cmposite of St. </t>
  </si>
  <si>
    <t>George - Kindred and St. George - Ensign</t>
  </si>
  <si>
    <t>Cols 1 and 2 have FCP data from WASATCH - KINDRED</t>
  </si>
  <si>
    <t>same as Kindred</t>
  </si>
  <si>
    <t>This is a composite of Wasatach Kindred (7/1/ - 4/30) &amp; Wasatch Ensign (5/1 - 6/30)</t>
  </si>
  <si>
    <t>Wasatach Kindred 4/1/15 - 4/30/15 = $327</t>
  </si>
  <si>
    <t>Wasatch Ensign 5115 - 6/30/15 = $246</t>
  </si>
  <si>
    <t xml:space="preserve">Hrs Worked/Hrs Paid is a composite of </t>
  </si>
  <si>
    <t>Wasatch - Kindred and Wasatch - Ensign</t>
  </si>
  <si>
    <t>Check Figures:</t>
  </si>
  <si>
    <t>Wastach - Kindred</t>
  </si>
  <si>
    <t>Wasatch - Ensign</t>
  </si>
  <si>
    <t>(MISSION AT HILLSIDE REHABILITATION)</t>
  </si>
  <si>
    <t>Submitted correct form 11/3/15.</t>
  </si>
  <si>
    <t>Licensing shows 120 beds, not 118.  dm 11/3/15</t>
  </si>
  <si>
    <t>CHECK FIGURES:</t>
  </si>
  <si>
    <t>Logan Rehab:</t>
  </si>
  <si>
    <t>RMC Logan:</t>
  </si>
  <si>
    <t>Need clarification on Hrs Worked/Hrs Paid</t>
  </si>
  <si>
    <r>
      <t xml:space="preserve">NEEDS TO FIX THE </t>
    </r>
    <r>
      <rPr>
        <b/>
        <u/>
        <sz val="10"/>
        <color rgb="FFFF0000"/>
        <rFont val="NewCenturySchlbk"/>
      </rPr>
      <t>END DATE!!!</t>
    </r>
  </si>
  <si>
    <t>Submitted Final Form 11/16/15.</t>
  </si>
  <si>
    <t>NEED END DATE CORRECTED so Sch D INFO WILL PROCESS CORRECTLY!!</t>
  </si>
  <si>
    <t>ADJ FCP Col 3</t>
  </si>
  <si>
    <t>BV Four Corners Reg has no Hrs except</t>
  </si>
  <si>
    <t>ARE FOUR CORNERS REG.</t>
  </si>
  <si>
    <t>Four Corners REG Med Director is Retainer</t>
  </si>
  <si>
    <t>Four Corners REG "Others" is per visit</t>
  </si>
  <si>
    <r>
      <rPr>
        <b/>
        <i/>
        <u/>
        <sz val="10"/>
        <color rgb="FFFF0000"/>
        <rFont val="NewCenturySchlbk"/>
      </rPr>
      <t>Purch. Nursing 070-050</t>
    </r>
    <r>
      <rPr>
        <b/>
        <sz val="10"/>
        <color rgb="FFFF0000"/>
        <rFont val="NewCenturySchlbk"/>
      </rPr>
      <t>; ALL OTHER HOURS</t>
    </r>
  </si>
  <si>
    <t>BV Four Corners Reg</t>
  </si>
  <si>
    <t>29 hs</t>
  </si>
  <si>
    <t>140 hrs</t>
  </si>
  <si>
    <t xml:space="preserve">Cells with this color contain </t>
  </si>
  <si>
    <t>Audit Adjustments</t>
  </si>
  <si>
    <t xml:space="preserve">Audit Adjustments they may be for </t>
  </si>
  <si>
    <t>Spring Creek or BV Speing Creek</t>
  </si>
  <si>
    <t>BV SPRING CREEK</t>
  </si>
  <si>
    <t>Col 3 ADJ FCP</t>
  </si>
  <si>
    <t>COMPOSITE OF SPRG CRK &amp; BV SPRG CRK</t>
  </si>
  <si>
    <t>RED CLIFFS REGIONAL HEALTH &amp; REHAB, &amp; BV- RED CLIFFS</t>
  </si>
  <si>
    <t>BV-RED CLIFFS</t>
  </si>
  <si>
    <t>from Col 3 ADJ FCP</t>
  </si>
  <si>
    <t>Cells with this color contain</t>
  </si>
  <si>
    <t>Audit adjsutments</t>
  </si>
  <si>
    <t>BV- RED CLIFFS</t>
  </si>
  <si>
    <t>BV RED CLIFFS PURCHASED NURS SVCS</t>
  </si>
  <si>
    <t>COMPOSITE OF SPRG CRK &amp; BV- SPRNG CRK</t>
  </si>
  <si>
    <t>BV- Sandy Health &amp; Rehab</t>
  </si>
  <si>
    <t>from Col. 3 ADJ FCP</t>
  </si>
  <si>
    <t>BV SANDY H &amp; R PURCH HRS</t>
  </si>
  <si>
    <t>COMPOSITE OF SANDY &amp; BV SANDY</t>
  </si>
  <si>
    <t>PARKDALE HEALTH &amp; REHAB, &amp; BV- PARKDALE</t>
  </si>
  <si>
    <t>Cells this color contain</t>
  </si>
  <si>
    <t>BV PARKDALE</t>
  </si>
  <si>
    <t>PARKDALE HRS</t>
  </si>
  <si>
    <t>BV Mt. Olympus</t>
  </si>
  <si>
    <t>558 hrs</t>
  </si>
  <si>
    <t>6 hrs/per visit</t>
  </si>
  <si>
    <t>COMPOSITE OF Mt. Olympus and BV Mt. Olymppus</t>
  </si>
  <si>
    <t>Mt. Olympus Purch Svcs</t>
  </si>
  <si>
    <t>&amp; BV SPRING CREEK</t>
  </si>
  <si>
    <t>FIXED!</t>
  </si>
  <si>
    <t>FIXED!!</t>
  </si>
  <si>
    <t>Trinity Mission Health &amp; Rehab of Provo, LLC  (now UTAH VALLEY HEALTH &amp; REHAB)</t>
  </si>
  <si>
    <t>from DESK REVIEW:</t>
  </si>
  <si>
    <t>DM adjusted 11/13/14 also</t>
  </si>
  <si>
    <t>DESK REVIEW ADJUSTMENT:</t>
  </si>
  <si>
    <t># OF BEDS</t>
  </si>
  <si>
    <t>ADJJUST # BEDS TO LICENSE.</t>
  </si>
  <si>
    <t>AUDIT ADJUSTMENT: ADD 10 BEDS TO MATCH LICENSE</t>
  </si>
  <si>
    <t>10 MCAID BEDS</t>
  </si>
  <si>
    <t>TO MATCH LICENSE</t>
  </si>
  <si>
    <t>DESK REVIEWAUDIT ADJ: ADDED</t>
  </si>
  <si>
    <t>AQUARIUM -2100;</t>
  </si>
  <si>
    <t>IN COLS I &amp; J</t>
  </si>
  <si>
    <t>DESK REVIEW</t>
  </si>
  <si>
    <t>2) RECLASS REV TO HOSP. MCAID</t>
  </si>
  <si>
    <t>3) RECLASS TAX/BENEFITS TO RN</t>
  </si>
  <si>
    <t>AUDIT ADJ'S: SEE EXPLAN</t>
  </si>
  <si>
    <t>COL F &amp; COL I</t>
  </si>
  <si>
    <t>3)RECLASS REV TO HOSP. NON-MCAID</t>
  </si>
  <si>
    <t>(1) TO ENTER HMO REV.;</t>
  </si>
  <si>
    <t>(2) TO ADJ. BEDS TO 95.</t>
  </si>
  <si>
    <t>(ALSO ADJUSTED FOR 2014)</t>
  </si>
  <si>
    <t>2) AJDUSTED 2/29/16 TO MEDICAID CERTIFIED BEDS!  dm</t>
  </si>
  <si>
    <t>DESK REVIEW ADJ: MCAID BEDS=12</t>
  </si>
  <si>
    <t>DESK REVIEW ADJ: MCAID BEDS = 12</t>
  </si>
  <si>
    <t>1) Audit Adj to remove Priv. Pay Refunds</t>
  </si>
  <si>
    <t xml:space="preserve">1) to add Exp of Priv Pay Refunds so FCP </t>
  </si>
  <si>
    <t xml:space="preserve">    matches P &amp; L Staement</t>
  </si>
  <si>
    <t>2) Audit Adj to # of Beds</t>
  </si>
  <si>
    <t>1) DM 3/25/16</t>
  </si>
  <si>
    <t>1) done 3/28/16, as well as in Nov. '14</t>
  </si>
  <si>
    <t xml:space="preserve">Col 4 has desk review </t>
  </si>
  <si>
    <t xml:space="preserve">adjustments, including </t>
  </si>
  <si>
    <t>BEDS TO 61, NOT 76!</t>
  </si>
  <si>
    <t>Desk Review Adj: Add $11,911 to Admin Sal. From 070-490</t>
  </si>
  <si>
    <t>Desk Review Adjs. Include # beds &amp; other Exps.</t>
  </si>
  <si>
    <t>Desk Rev. Adj:  Remove $11,911 Purch Svcs to Admin Sal</t>
  </si>
  <si>
    <t>B) to remove estimated contractual adj</t>
  </si>
  <si>
    <t>from Misc. Income and Misc. Admin</t>
  </si>
  <si>
    <t>B)</t>
  </si>
  <si>
    <t>For calculation see Sch B, SDCH</t>
  </si>
  <si>
    <r>
      <rPr>
        <b/>
        <sz val="10"/>
        <rFont val="NewCenturySchlbk"/>
      </rPr>
      <t>A)</t>
    </r>
    <r>
      <rPr>
        <sz val="10"/>
        <rFont val="NewCenturySchlbk"/>
        <family val="1"/>
      </rPr>
      <t xml:space="preserve"> Rev per day FROM CORRECTED TABLE, Sch B</t>
    </r>
  </si>
  <si>
    <t>Desk Review Adjs: 
A) to correct Private Rev Table</t>
  </si>
  <si>
    <t>DONE</t>
  </si>
  <si>
    <t>FY15 Nursing Facility Summary</t>
  </si>
  <si>
    <t>DESK REVIEW ADJ:</t>
  </si>
  <si>
    <t>MOVE UPPER PMT LIMIT REV.</t>
  </si>
  <si>
    <r>
      <t xml:space="preserve">Fairview Care Center East  - </t>
    </r>
    <r>
      <rPr>
        <sz val="14"/>
        <rFont val="NewCenturySchlbk"/>
      </rPr>
      <t>Robert Adams, New Owner 3/1/13</t>
    </r>
  </si>
  <si>
    <t>OR this color in Col 4</t>
  </si>
  <si>
    <t>The Adjustments ARE</t>
  </si>
  <si>
    <t>for BV - Four Corners</t>
  </si>
  <si>
    <t>AUDIT ADJ's in cells with this color</t>
  </si>
  <si>
    <t>may be LOGAN or RMC LOGAN</t>
  </si>
  <si>
    <t xml:space="preserve">2) ENTER AQUARIUM SVC COSTS </t>
  </si>
  <si>
    <t>1) MOVE RECREATION SUPPLIES TO 090-490</t>
  </si>
  <si>
    <t xml:space="preserve">1) &amp; 2): add REC SUPP 3861; remove </t>
  </si>
  <si>
    <t>NOTE THE START DATE!!!     NOTE 181 DAYS IN PERIOD</t>
  </si>
  <si>
    <t>1) Desk Review Adj:  # of MCAID Beds</t>
  </si>
  <si>
    <t>1) AUDIT ADJUSTMENT TO # OF CERTIFIED MCAID BEDS.</t>
  </si>
  <si>
    <t>.</t>
  </si>
  <si>
    <r>
      <t xml:space="preserve">1) ADJUST MEDICAID BEDS TO LICENSE, </t>
    </r>
    <r>
      <rPr>
        <b/>
        <u/>
        <sz val="10"/>
        <rFont val="NewCenturySchlbk"/>
      </rPr>
      <t>8.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</si>
</sst>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&quot;$&quot;#,##0.00"/>
    <numFmt numFmtId="166" formatCode="0.0000"/>
    <numFmt numFmtId="167" formatCode="#,##0.0_);[Red]\(#,##0.0\)"/>
    <numFmt numFmtId="168" formatCode="#,##0.0000000000_);\(#,##0.0000000000\)"/>
    <numFmt numFmtId="169" formatCode="0_);[Red]\(0\)"/>
    <numFmt numFmtId="170" formatCode="0_);\(0\)"/>
    <numFmt numFmtId="171" formatCode="\$#,##0_);[Red]&quot;($&quot;#,##0\)"/>
  </numFmts>
  <fonts count="82">
    <font>
      <sz val="12"/>
      <name val="NewCenturySchlbk"/>
    </font>
    <font>
      <sz val="12"/>
      <name val="NewCenturySchlbk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10"/>
      <color indexed="8"/>
      <name val="Times New Roman"/>
      <family val="1"/>
    </font>
    <font>
      <sz val="10"/>
      <color indexed="10"/>
      <name val="Times New Roman"/>
      <family val="1"/>
    </font>
    <font>
      <sz val="10"/>
      <name val="NewCenturySchlbk"/>
      <family val="1"/>
    </font>
    <font>
      <sz val="18"/>
      <name val="Times New Roman"/>
      <family val="1"/>
    </font>
    <font>
      <b/>
      <sz val="12"/>
      <name val="Times New Roman"/>
      <family val="1"/>
    </font>
    <font>
      <b/>
      <sz val="10"/>
      <name val="NewCenturySchlbk"/>
      <family val="1"/>
    </font>
    <font>
      <sz val="8"/>
      <name val="Times New Roman"/>
      <family val="1"/>
    </font>
    <font>
      <sz val="12"/>
      <name val="Times New Roman"/>
      <family val="1"/>
    </font>
    <font>
      <b/>
      <sz val="10"/>
      <color indexed="8"/>
      <name val="Times New Roman"/>
      <family val="1"/>
    </font>
    <font>
      <sz val="10"/>
      <name val="Arial"/>
      <family val="2"/>
    </font>
    <font>
      <b/>
      <sz val="18"/>
      <name val="Times New Roman"/>
      <family val="1"/>
    </font>
    <font>
      <sz val="10"/>
      <color indexed="8"/>
      <name val="Arial"/>
      <family val="2"/>
    </font>
    <font>
      <sz val="8"/>
      <name val="NewCenturySchlbk"/>
      <family val="1"/>
    </font>
    <font>
      <sz val="16"/>
      <name val="NewCenturySchlbk"/>
      <family val="1"/>
    </font>
    <font>
      <u/>
      <sz val="10"/>
      <name val="Times New Roman"/>
      <family val="1"/>
    </font>
    <font>
      <sz val="8"/>
      <name val="Helv"/>
    </font>
    <font>
      <sz val="18"/>
      <name val="NewCenturySchlbk"/>
      <family val="1"/>
    </font>
    <font>
      <sz val="10"/>
      <color indexed="8"/>
      <name val="NewCenturySchlbk"/>
      <family val="1"/>
    </font>
    <font>
      <sz val="10"/>
      <color indexed="9"/>
      <name val="NewCenturySchlbk"/>
      <family val="1"/>
    </font>
    <font>
      <u/>
      <sz val="9"/>
      <name val="NewCenturySchlbk"/>
      <family val="1"/>
    </font>
    <font>
      <sz val="10"/>
      <name val="Helv"/>
    </font>
    <font>
      <sz val="10"/>
      <color indexed="10"/>
      <name val="NewCenturySchlbk"/>
      <family val="1"/>
    </font>
    <font>
      <b/>
      <sz val="10"/>
      <color indexed="8"/>
      <name val="NewCenturySchlbk"/>
      <family val="1"/>
    </font>
    <font>
      <sz val="10"/>
      <name val="NewCenturySchlbk"/>
    </font>
    <font>
      <b/>
      <sz val="10"/>
      <name val="Times New Roman"/>
      <family val="1"/>
    </font>
    <font>
      <sz val="10"/>
      <name val="Arial"/>
      <family val="2"/>
    </font>
    <font>
      <sz val="10"/>
      <color indexed="8"/>
      <name val="NewCenturySchlbk"/>
    </font>
    <font>
      <sz val="10"/>
      <name val="Times New Roman"/>
      <family val="1"/>
    </font>
    <font>
      <sz val="10"/>
      <color indexed="8"/>
      <name val="Helv"/>
    </font>
    <font>
      <sz val="10"/>
      <color indexed="9"/>
      <name val="NewCenturySchlbk"/>
    </font>
    <font>
      <sz val="9"/>
      <name val="Helv"/>
    </font>
    <font>
      <sz val="12"/>
      <color indexed="10"/>
      <name val="NewCenturySchlbk"/>
      <family val="1"/>
    </font>
    <font>
      <b/>
      <sz val="10"/>
      <name val="NewCenturySchlbk"/>
    </font>
    <font>
      <b/>
      <sz val="12"/>
      <name val="NewCenturySchlbk"/>
    </font>
    <font>
      <b/>
      <sz val="14"/>
      <name val="NewCenturySchlbk"/>
    </font>
    <font>
      <sz val="10"/>
      <color rgb="FFFF0000"/>
      <name val="NewCenturySchlbk"/>
      <family val="1"/>
    </font>
    <font>
      <sz val="10"/>
      <color rgb="FFFF0000"/>
      <name val="Times New Roman"/>
      <family val="1"/>
    </font>
    <font>
      <sz val="10"/>
      <color theme="3" tint="-0.24994659260841701"/>
      <name val="Cambria"/>
      <family val="1"/>
    </font>
    <font>
      <sz val="12"/>
      <color theme="9" tint="-0.499984740745262"/>
      <name val="NewCenturySchlbk"/>
      <family val="1"/>
    </font>
    <font>
      <b/>
      <sz val="10"/>
      <color rgb="FFFF0000"/>
      <name val="NewCenturySchlbk"/>
    </font>
    <font>
      <b/>
      <sz val="12"/>
      <color rgb="FFFF0000"/>
      <name val="NewCenturySchlbk"/>
    </font>
    <font>
      <sz val="12"/>
      <color rgb="FFFF0000"/>
      <name val="NewCenturySchlbk"/>
      <family val="1"/>
    </font>
    <font>
      <sz val="20"/>
      <name val="NewCenturySchlbk"/>
      <family val="1"/>
    </font>
    <font>
      <sz val="16"/>
      <name val="Times New Roman"/>
      <family val="1"/>
    </font>
    <font>
      <sz val="10"/>
      <color rgb="FF000000"/>
      <name val="Times New Roman"/>
      <family val="1"/>
    </font>
    <font>
      <sz val="10"/>
      <name val="Cambria"/>
      <family val="1"/>
    </font>
    <font>
      <sz val="12"/>
      <name val="Cambria"/>
      <family val="1"/>
    </font>
    <font>
      <sz val="8"/>
      <color indexed="8"/>
      <name val="Helv"/>
    </font>
    <font>
      <b/>
      <u/>
      <sz val="10"/>
      <color rgb="FFFF0000"/>
      <name val="NewCenturySchlbk"/>
    </font>
    <font>
      <sz val="10"/>
      <color theme="5" tint="-0.499984740745262"/>
      <name val="Cambria"/>
      <family val="1"/>
    </font>
    <font>
      <b/>
      <sz val="10"/>
      <name val="Cambria"/>
      <family val="1"/>
    </font>
    <font>
      <u/>
      <sz val="10"/>
      <color rgb="FFFF0000"/>
      <name val="NewCenturySchlbk"/>
    </font>
    <font>
      <sz val="10"/>
      <color rgb="FFFF0000"/>
      <name val="NewCenturySchlbk"/>
    </font>
    <font>
      <b/>
      <u/>
      <sz val="10"/>
      <name val="NewCenturySchlbk"/>
    </font>
    <font>
      <sz val="12"/>
      <name val="Cambria"/>
      <family val="1"/>
      <scheme val="major"/>
    </font>
    <font>
      <sz val="10"/>
      <color rgb="FF003300"/>
      <name val="NewCenturySchlbk"/>
      <family val="1"/>
    </font>
    <font>
      <i/>
      <sz val="10"/>
      <name val="NewCenturySchlbk"/>
    </font>
    <font>
      <sz val="12"/>
      <color rgb="FFFF0000"/>
      <name val="Cambria"/>
      <family val="1"/>
      <scheme val="major"/>
    </font>
    <font>
      <b/>
      <sz val="10"/>
      <color rgb="FF0066CC"/>
      <name val="Times New Roman"/>
      <family val="1"/>
    </font>
    <font>
      <b/>
      <u/>
      <sz val="10"/>
      <color rgb="FF0066CC"/>
      <name val="Times New Roman"/>
      <family val="1"/>
    </font>
    <font>
      <sz val="14"/>
      <name val="Times New Roman"/>
      <family val="1"/>
    </font>
    <font>
      <sz val="14"/>
      <name val="NewCenturySchlbk"/>
    </font>
    <font>
      <b/>
      <sz val="10"/>
      <name val="Helv"/>
    </font>
    <font>
      <u/>
      <sz val="10"/>
      <name val="NewCenturySchlbk"/>
      <family val="1"/>
    </font>
    <font>
      <b/>
      <sz val="11"/>
      <name val="NewCenturySchlbk"/>
    </font>
    <font>
      <b/>
      <u/>
      <sz val="11"/>
      <name val="NewCenturySchlbk"/>
    </font>
    <font>
      <sz val="12"/>
      <name val="NewCenturySchlbk"/>
    </font>
    <font>
      <b/>
      <sz val="13"/>
      <name val="NewCenturySchlbk"/>
    </font>
    <font>
      <u val="double"/>
      <sz val="10"/>
      <name val="NewCenturySchlbk"/>
      <family val="1"/>
    </font>
    <font>
      <b/>
      <sz val="14"/>
      <color rgb="FFFF0000"/>
      <name val="NewCenturySchlbk"/>
    </font>
    <font>
      <sz val="14"/>
      <color rgb="FFFF0000"/>
      <name val="Times New Roman"/>
      <family val="1"/>
    </font>
    <font>
      <sz val="10"/>
      <name val="NewCenturySchlbk"/>
      <family val="1"/>
      <charset val="1"/>
    </font>
    <font>
      <b/>
      <i/>
      <u/>
      <sz val="10"/>
      <color rgb="FFFF0000"/>
      <name val="NewCenturySchlbk"/>
    </font>
    <font>
      <b/>
      <sz val="10"/>
      <color rgb="FFFF0000"/>
      <name val="Cambria"/>
      <family val="1"/>
    </font>
    <font>
      <b/>
      <sz val="12"/>
      <color rgb="FFFF0000"/>
      <name val="Cambria"/>
      <family val="1"/>
    </font>
    <font>
      <b/>
      <sz val="11"/>
      <color rgb="FFFF0000"/>
      <name val="Cambria"/>
      <family val="1"/>
    </font>
    <font>
      <b/>
      <sz val="9"/>
      <name val="NewCenturySchlbk"/>
    </font>
    <font>
      <b/>
      <sz val="18"/>
      <name val="NewCenturySchlbk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CFC9A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CFC9A"/>
        <bgColor rgb="FFFFFF99"/>
      </patternFill>
    </fill>
    <fill>
      <patternFill patternType="solid">
        <fgColor rgb="FFFFFFFF"/>
        <bgColor rgb="FFCCFFFF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Dashed">
        <color indexed="64"/>
      </left>
      <right/>
      <top style="mediumDashed">
        <color indexed="64"/>
      </top>
      <bottom/>
      <diagonal/>
    </border>
    <border>
      <left/>
      <right style="mediumDashed">
        <color indexed="64"/>
      </right>
      <top style="mediumDashed">
        <color indexed="64"/>
      </top>
      <bottom/>
      <diagonal/>
    </border>
    <border>
      <left style="mediumDashed">
        <color indexed="64"/>
      </left>
      <right/>
      <top/>
      <bottom/>
      <diagonal/>
    </border>
    <border>
      <left/>
      <right style="mediumDashed">
        <color indexed="64"/>
      </right>
      <top/>
      <bottom/>
      <diagonal/>
    </border>
    <border>
      <left style="mediumDashed">
        <color indexed="64"/>
      </left>
      <right/>
      <top/>
      <bottom style="mediumDashed">
        <color indexed="64"/>
      </bottom>
      <diagonal/>
    </border>
    <border>
      <left/>
      <right style="mediumDashed">
        <color indexed="64"/>
      </right>
      <top/>
      <bottom style="mediumDashed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</cellStyleXfs>
  <cellXfs count="687">
    <xf numFmtId="0" fontId="0" fillId="0" borderId="0" xfId="0"/>
    <xf numFmtId="0" fontId="2" fillId="0" borderId="0" xfId="0" applyFont="1" applyAlignment="1">
      <alignment horizontal="center"/>
    </xf>
    <xf numFmtId="0" fontId="4" fillId="2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0" fontId="2" fillId="2" borderId="0" xfId="0" applyFont="1" applyFill="1" applyAlignment="1">
      <alignment horizontal="center"/>
    </xf>
    <xf numFmtId="0" fontId="2" fillId="2" borderId="0" xfId="0" applyFont="1" applyFill="1"/>
    <xf numFmtId="0" fontId="11" fillId="0" borderId="1" xfId="0" applyFont="1" applyBorder="1" applyAlignment="1">
      <alignment horizontal="center"/>
    </xf>
    <xf numFmtId="0" fontId="10" fillId="3" borderId="0" xfId="0" applyFont="1" applyFill="1" applyBorder="1" applyAlignment="1">
      <alignment horizontal="center"/>
    </xf>
    <xf numFmtId="6" fontId="8" fillId="2" borderId="0" xfId="0" applyNumberFormat="1" applyFont="1" applyFill="1" applyBorder="1"/>
    <xf numFmtId="0" fontId="4" fillId="2" borderId="0" xfId="0" applyFont="1" applyFill="1" applyAlignment="1">
      <alignment horizontal="left" wrapText="1"/>
    </xf>
    <xf numFmtId="0" fontId="4" fillId="2" borderId="0" xfId="0" applyFont="1" applyFill="1" applyBorder="1" applyAlignment="1">
      <alignment horizontal="left"/>
    </xf>
    <xf numFmtId="7" fontId="11" fillId="0" borderId="0" xfId="0" applyNumberFormat="1" applyFont="1" applyBorder="1" applyAlignment="1">
      <alignment horizontal="center"/>
    </xf>
    <xf numFmtId="6" fontId="8" fillId="2" borderId="2" xfId="0" applyNumberFormat="1" applyFont="1" applyFill="1" applyBorder="1"/>
    <xf numFmtId="6" fontId="8" fillId="4" borderId="3" xfId="0" applyNumberFormat="1" applyFont="1" applyFill="1" applyBorder="1"/>
    <xf numFmtId="38" fontId="8" fillId="4" borderId="3" xfId="0" applyNumberFormat="1" applyFont="1" applyFill="1" applyBorder="1"/>
    <xf numFmtId="38" fontId="8" fillId="2" borderId="4" xfId="0" applyNumberFormat="1" applyFont="1" applyFill="1" applyBorder="1"/>
    <xf numFmtId="6" fontId="8" fillId="2" borderId="4" xfId="0" applyNumberFormat="1" applyFont="1" applyFill="1" applyBorder="1"/>
    <xf numFmtId="6" fontId="8" fillId="4" borderId="5" xfId="0" applyNumberFormat="1" applyFont="1" applyFill="1" applyBorder="1"/>
    <xf numFmtId="6" fontId="8" fillId="2" borderId="6" xfId="0" applyNumberFormat="1" applyFont="1" applyFill="1" applyBorder="1"/>
    <xf numFmtId="10" fontId="8" fillId="4" borderId="3" xfId="0" applyNumberFormat="1" applyFont="1" applyFill="1" applyBorder="1"/>
    <xf numFmtId="7" fontId="11" fillId="2" borderId="0" xfId="0" applyNumberFormat="1" applyFont="1" applyFill="1" applyBorder="1" applyAlignment="1">
      <alignment horizontal="center"/>
    </xf>
    <xf numFmtId="10" fontId="8" fillId="2" borderId="0" xfId="0" applyNumberFormat="1" applyFont="1" applyFill="1" applyBorder="1" applyAlignment="1">
      <alignment horizontal="center"/>
    </xf>
    <xf numFmtId="0" fontId="4" fillId="2" borderId="0" xfId="0" applyFont="1" applyFill="1" applyAlignment="1" applyProtection="1">
      <alignment horizontal="left"/>
    </xf>
    <xf numFmtId="0" fontId="3" fillId="2" borderId="0" xfId="0" applyFont="1" applyFill="1" applyAlignment="1">
      <alignment horizontal="left"/>
    </xf>
    <xf numFmtId="0" fontId="3" fillId="2" borderId="0" xfId="0" applyFont="1" applyFill="1"/>
    <xf numFmtId="10" fontId="11" fillId="4" borderId="3" xfId="0" applyNumberFormat="1" applyFont="1" applyFill="1" applyBorder="1"/>
    <xf numFmtId="7" fontId="3" fillId="3" borderId="0" xfId="0" applyNumberFormat="1" applyFont="1" applyFill="1" applyBorder="1" applyAlignment="1">
      <alignment horizontal="center"/>
    </xf>
    <xf numFmtId="37" fontId="8" fillId="4" borderId="3" xfId="1" applyNumberFormat="1" applyFont="1" applyFill="1" applyBorder="1"/>
    <xf numFmtId="14" fontId="3" fillId="0" borderId="0" xfId="0" applyNumberFormat="1" applyFont="1" applyAlignment="1" applyProtection="1">
      <alignment horizontal="right"/>
    </xf>
    <xf numFmtId="0" fontId="3" fillId="0" borderId="0" xfId="0" applyFont="1"/>
    <xf numFmtId="0" fontId="3" fillId="0" borderId="0" xfId="0" applyFont="1" applyAlignment="1">
      <alignment horizontal="left"/>
    </xf>
    <xf numFmtId="0" fontId="3" fillId="2" borderId="0" xfId="0" quotePrefix="1" applyFont="1" applyFill="1" applyAlignment="1">
      <alignment horizontal="right"/>
    </xf>
    <xf numFmtId="14" fontId="3" fillId="0" borderId="0" xfId="0" applyNumberFormat="1" applyFont="1" applyAlignment="1" applyProtection="1">
      <alignment horizontal="right" wrapText="1"/>
    </xf>
    <xf numFmtId="17" fontId="3" fillId="0" borderId="0" xfId="0" applyNumberFormat="1" applyFont="1" applyAlignment="1">
      <alignment horizontal="right"/>
    </xf>
    <xf numFmtId="0" fontId="3" fillId="2" borderId="0" xfId="0" applyFont="1" applyFill="1" applyAlignment="1">
      <alignment horizontal="right"/>
    </xf>
    <xf numFmtId="0" fontId="3" fillId="2" borderId="0" xfId="0" applyFont="1" applyFill="1" applyAlignment="1">
      <alignment horizontal="left" wrapText="1"/>
    </xf>
    <xf numFmtId="49" fontId="3" fillId="0" borderId="0" xfId="0" applyNumberFormat="1" applyFont="1" applyAlignment="1" applyProtection="1">
      <alignment horizontal="right"/>
    </xf>
    <xf numFmtId="0" fontId="3" fillId="0" borderId="0" xfId="0" applyFont="1" applyAlignment="1" applyProtection="1">
      <alignment horizontal="left"/>
    </xf>
    <xf numFmtId="0" fontId="4" fillId="0" borderId="0" xfId="0" applyFont="1" applyAlignment="1" applyProtection="1">
      <alignment horizontal="left"/>
    </xf>
    <xf numFmtId="0" fontId="2" fillId="2" borderId="0" xfId="0" applyFont="1" applyFill="1" applyAlignment="1">
      <alignment wrapText="1"/>
    </xf>
    <xf numFmtId="0" fontId="2" fillId="2" borderId="0" xfId="0" quotePrefix="1" applyFont="1" applyFill="1" applyAlignment="1">
      <alignment horizontal="right"/>
    </xf>
    <xf numFmtId="0" fontId="3" fillId="2" borderId="0" xfId="0" applyFont="1" applyFill="1" applyBorder="1" applyAlignment="1">
      <alignment horizontal="right"/>
    </xf>
    <xf numFmtId="6" fontId="3" fillId="0" borderId="0" xfId="0" applyNumberFormat="1" applyFont="1" applyAlignment="1">
      <alignment horizontal="centerContinuous"/>
    </xf>
    <xf numFmtId="10" fontId="3" fillId="0" borderId="0" xfId="0" applyNumberFormat="1" applyFont="1"/>
    <xf numFmtId="14" fontId="3" fillId="0" borderId="3" xfId="0" applyNumberFormat="1" applyFont="1" applyBorder="1" applyAlignment="1">
      <alignment horizontal="center"/>
    </xf>
    <xf numFmtId="6" fontId="3" fillId="0" borderId="0" xfId="0" applyNumberFormat="1" applyFont="1" applyAlignment="1" applyProtection="1">
      <alignment horizontal="centerContinuous"/>
    </xf>
    <xf numFmtId="0" fontId="3" fillId="0" borderId="0" xfId="0" quotePrefix="1" applyFont="1" applyAlignment="1">
      <alignment horizontal="center"/>
    </xf>
    <xf numFmtId="14" fontId="3" fillId="0" borderId="0" xfId="0" applyNumberFormat="1" applyFont="1" applyBorder="1" applyAlignment="1">
      <alignment horizontal="center"/>
    </xf>
    <xf numFmtId="14" fontId="3" fillId="0" borderId="0" xfId="0" applyNumberFormat="1" applyFont="1" applyAlignment="1">
      <alignment horizontal="center"/>
    </xf>
    <xf numFmtId="14" fontId="3" fillId="0" borderId="0" xfId="0" quotePrefix="1" applyNumberFormat="1" applyFont="1" applyAlignment="1">
      <alignment horizontal="center"/>
    </xf>
    <xf numFmtId="6" fontId="3" fillId="0" borderId="0" xfId="0" quotePrefix="1" applyNumberFormat="1" applyFont="1" applyAlignment="1" applyProtection="1">
      <alignment horizontal="centerContinuous"/>
    </xf>
    <xf numFmtId="6" fontId="3" fillId="0" borderId="0" xfId="0" quotePrefix="1" applyNumberFormat="1" applyFont="1" applyAlignment="1" applyProtection="1">
      <alignment horizontal="center"/>
    </xf>
    <xf numFmtId="6" fontId="3" fillId="0" borderId="0" xfId="0" quotePrefix="1" applyNumberFormat="1" applyFont="1" applyAlignment="1">
      <alignment horizontal="centerContinuous"/>
    </xf>
    <xf numFmtId="0" fontId="3" fillId="0" borderId="0" xfId="0" applyFont="1" applyAlignment="1">
      <alignment horizontal="right"/>
    </xf>
    <xf numFmtId="14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0" xfId="0" applyFont="1" applyBorder="1"/>
    <xf numFmtId="0" fontId="11" fillId="0" borderId="0" xfId="0" applyFont="1"/>
    <xf numFmtId="14" fontId="3" fillId="0" borderId="9" xfId="0" applyNumberFormat="1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11" fillId="0" borderId="9" xfId="0" applyFont="1" applyBorder="1" applyAlignment="1">
      <alignment horizontal="center"/>
    </xf>
    <xf numFmtId="6" fontId="3" fillId="2" borderId="0" xfId="0" applyNumberFormat="1" applyFont="1" applyFill="1"/>
    <xf numFmtId="6" fontId="3" fillId="2" borderId="0" xfId="0" applyNumberFormat="1" applyFont="1" applyFill="1" applyProtection="1"/>
    <xf numFmtId="7" fontId="11" fillId="0" borderId="0" xfId="0" applyNumberFormat="1" applyFont="1" applyBorder="1"/>
    <xf numFmtId="6" fontId="3" fillId="2" borderId="0" xfId="0" applyNumberFormat="1" applyFont="1" applyFill="1" applyBorder="1"/>
    <xf numFmtId="0" fontId="3" fillId="2" borderId="0" xfId="0" applyFont="1" applyFill="1" applyBorder="1"/>
    <xf numFmtId="7" fontId="11" fillId="2" borderId="0" xfId="2" applyNumberFormat="1" applyFont="1" applyFill="1" applyBorder="1"/>
    <xf numFmtId="0" fontId="11" fillId="2" borderId="0" xfId="0" applyFont="1" applyFill="1" applyBorder="1"/>
    <xf numFmtId="8" fontId="11" fillId="2" borderId="0" xfId="2" applyNumberFormat="1" applyFont="1" applyFill="1" applyBorder="1"/>
    <xf numFmtId="10" fontId="11" fillId="2" borderId="0" xfId="2" applyNumberFormat="1" applyFont="1" applyFill="1" applyBorder="1"/>
    <xf numFmtId="0" fontId="18" fillId="2" borderId="0" xfId="0" applyFont="1" applyFill="1" applyAlignment="1">
      <alignment horizontal="left"/>
    </xf>
    <xf numFmtId="10" fontId="11" fillId="2" borderId="2" xfId="2" applyNumberFormat="1" applyFont="1" applyFill="1" applyBorder="1"/>
    <xf numFmtId="6" fontId="3" fillId="2" borderId="6" xfId="0" applyNumberFormat="1" applyFont="1" applyFill="1" applyBorder="1"/>
    <xf numFmtId="6" fontId="3" fillId="2" borderId="6" xfId="0" applyNumberFormat="1" applyFont="1" applyFill="1" applyBorder="1" applyProtection="1"/>
    <xf numFmtId="0" fontId="11" fillId="0" borderId="0" xfId="0" quotePrefix="1" applyFont="1" applyBorder="1" applyAlignment="1">
      <alignment horizontal="center"/>
    </xf>
    <xf numFmtId="6" fontId="3" fillId="0" borderId="0" xfId="0" applyNumberFormat="1" applyFont="1" applyFill="1" applyBorder="1"/>
    <xf numFmtId="37" fontId="3" fillId="2" borderId="0" xfId="1" applyNumberFormat="1" applyFont="1" applyFill="1"/>
    <xf numFmtId="37" fontId="3" fillId="2" borderId="0" xfId="0" applyNumberFormat="1" applyFont="1" applyFill="1"/>
    <xf numFmtId="37" fontId="3" fillId="2" borderId="0" xfId="0" applyNumberFormat="1" applyFont="1" applyFill="1" applyProtection="1"/>
    <xf numFmtId="37" fontId="3" fillId="2" borderId="0" xfId="0" applyNumberFormat="1" applyFont="1" applyFill="1" applyBorder="1"/>
    <xf numFmtId="37" fontId="3" fillId="2" borderId="0" xfId="0" applyNumberFormat="1" applyFont="1" applyFill="1" applyBorder="1" applyProtection="1"/>
    <xf numFmtId="37" fontId="3" fillId="2" borderId="4" xfId="1" applyNumberFormat="1" applyFont="1" applyFill="1" applyBorder="1"/>
    <xf numFmtId="10" fontId="3" fillId="2" borderId="0" xfId="0" applyNumberFormat="1" applyFont="1" applyFill="1" applyBorder="1" applyProtection="1"/>
    <xf numFmtId="7" fontId="11" fillId="0" borderId="0" xfId="0" quotePrefix="1" applyNumberFormat="1" applyFont="1" applyAlignment="1">
      <alignment horizontal="center"/>
    </xf>
    <xf numFmtId="0" fontId="11" fillId="0" borderId="0" xfId="0" quotePrefix="1" applyFont="1" applyAlignment="1">
      <alignment horizontal="center"/>
    </xf>
    <xf numFmtId="167" fontId="3" fillId="0" borderId="0" xfId="0" applyNumberFormat="1" applyFont="1" applyAlignment="1">
      <alignment horizontal="centerContinuous"/>
    </xf>
    <xf numFmtId="10" fontId="3" fillId="2" borderId="0" xfId="0" applyNumberFormat="1" applyFont="1" applyFill="1" applyBorder="1"/>
    <xf numFmtId="7" fontId="11" fillId="3" borderId="0" xfId="2" applyNumberFormat="1" applyFont="1" applyFill="1" applyBorder="1"/>
    <xf numFmtId="7" fontId="11" fillId="3" borderId="0" xfId="2" applyNumberFormat="1" applyFont="1" applyFill="1" applyBorder="1" applyAlignment="1">
      <alignment horizontal="center"/>
    </xf>
    <xf numFmtId="10" fontId="11" fillId="4" borderId="3" xfId="2" applyNumberFormat="1" applyFont="1" applyFill="1" applyBorder="1"/>
    <xf numFmtId="0" fontId="3" fillId="3" borderId="0" xfId="0" applyFont="1" applyFill="1" applyBorder="1"/>
    <xf numFmtId="10" fontId="11" fillId="2" borderId="0" xfId="0" applyNumberFormat="1" applyFont="1" applyFill="1" applyBorder="1"/>
    <xf numFmtId="0" fontId="3" fillId="3" borderId="0" xfId="0" applyFont="1" applyFill="1" applyBorder="1" applyAlignment="1"/>
    <xf numFmtId="3" fontId="11" fillId="2" borderId="0" xfId="2" applyNumberFormat="1" applyFont="1" applyFill="1" applyBorder="1"/>
    <xf numFmtId="168" fontId="11" fillId="3" borderId="0" xfId="2" applyNumberFormat="1" applyFont="1" applyFill="1" applyBorder="1" applyAlignment="1">
      <alignment horizontal="left"/>
    </xf>
    <xf numFmtId="0" fontId="11" fillId="2" borderId="0" xfId="0" applyFont="1" applyFill="1"/>
    <xf numFmtId="7" fontId="11" fillId="3" borderId="0" xfId="0" applyNumberFormat="1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/>
    </xf>
    <xf numFmtId="37" fontId="11" fillId="2" borderId="4" xfId="0" applyNumberFormat="1" applyFont="1" applyFill="1" applyBorder="1"/>
    <xf numFmtId="6" fontId="11" fillId="2" borderId="0" xfId="0" applyNumberFormat="1" applyFont="1" applyFill="1"/>
    <xf numFmtId="7" fontId="3" fillId="0" borderId="0" xfId="0" applyNumberFormat="1" applyFont="1"/>
    <xf numFmtId="3" fontId="3" fillId="0" borderId="0" xfId="0" applyNumberFormat="1" applyFont="1"/>
    <xf numFmtId="3" fontId="3" fillId="0" borderId="0" xfId="0" applyNumberFormat="1" applyFont="1" applyAlignment="1">
      <alignment horizontal="center"/>
    </xf>
    <xf numFmtId="7" fontId="11" fillId="2" borderId="0" xfId="0" quotePrefix="1" applyNumberFormat="1" applyFont="1" applyFill="1" applyBorder="1" applyAlignment="1">
      <alignment horizontal="center"/>
    </xf>
    <xf numFmtId="3" fontId="2" fillId="0" borderId="1" xfId="0" applyNumberFormat="1" applyFont="1" applyBorder="1"/>
    <xf numFmtId="7" fontId="11" fillId="2" borderId="10" xfId="0" applyNumberFormat="1" applyFont="1" applyFill="1" applyBorder="1" applyAlignment="1">
      <alignment horizontal="center" wrapText="1"/>
    </xf>
    <xf numFmtId="3" fontId="2" fillId="0" borderId="10" xfId="0" quotePrefix="1" applyNumberFormat="1" applyFont="1" applyBorder="1" applyAlignment="1">
      <alignment horizontal="center"/>
    </xf>
    <xf numFmtId="3" fontId="2" fillId="0" borderId="9" xfId="0" applyNumberFormat="1" applyFont="1" applyBorder="1"/>
    <xf numFmtId="165" fontId="11" fillId="4" borderId="3" xfId="0" applyNumberFormat="1" applyFont="1" applyFill="1" applyBorder="1"/>
    <xf numFmtId="8" fontId="11" fillId="3" borderId="0" xfId="2" applyNumberFormat="1" applyFont="1" applyFill="1" applyBorder="1"/>
    <xf numFmtId="0" fontId="11" fillId="3" borderId="0" xfId="0" applyFont="1" applyFill="1" applyBorder="1"/>
    <xf numFmtId="165" fontId="11" fillId="4" borderId="3" xfId="0" applyNumberFormat="1" applyFont="1" applyFill="1" applyBorder="1" applyAlignment="1">
      <alignment horizontal="right"/>
    </xf>
    <xf numFmtId="3" fontId="8" fillId="0" borderId="0" xfId="0" applyNumberFormat="1" applyFont="1" applyBorder="1"/>
    <xf numFmtId="3" fontId="11" fillId="0" borderId="0" xfId="0" applyNumberFormat="1" applyFont="1" applyBorder="1"/>
    <xf numFmtId="7" fontId="11" fillId="2" borderId="0" xfId="0" applyNumberFormat="1" applyFont="1" applyFill="1" applyBorder="1"/>
    <xf numFmtId="3" fontId="11" fillId="4" borderId="3" xfId="2" applyNumberFormat="1" applyFont="1" applyFill="1" applyBorder="1"/>
    <xf numFmtId="3" fontId="11" fillId="2" borderId="10" xfId="2" applyNumberFormat="1" applyFont="1" applyFill="1" applyBorder="1"/>
    <xf numFmtId="165" fontId="11" fillId="4" borderId="3" xfId="2" applyNumberFormat="1" applyFont="1" applyFill="1" applyBorder="1"/>
    <xf numFmtId="2" fontId="11" fillId="4" borderId="3" xfId="2" applyNumberFormat="1" applyFont="1" applyFill="1" applyBorder="1"/>
    <xf numFmtId="2" fontId="11" fillId="2" borderId="0" xfId="2" applyNumberFormat="1" applyFont="1" applyFill="1" applyBorder="1"/>
    <xf numFmtId="3" fontId="11" fillId="2" borderId="0" xfId="0" applyNumberFormat="1" applyFont="1" applyFill="1" applyBorder="1"/>
    <xf numFmtId="2" fontId="3" fillId="2" borderId="0" xfId="0" applyNumberFormat="1" applyFont="1" applyFill="1"/>
    <xf numFmtId="2" fontId="11" fillId="3" borderId="0" xfId="2" applyNumberFormat="1" applyFont="1" applyFill="1" applyBorder="1"/>
    <xf numFmtId="2" fontId="3" fillId="3" borderId="0" xfId="0" applyNumberFormat="1" applyFont="1" applyFill="1" applyBorder="1"/>
    <xf numFmtId="165" fontId="11" fillId="2" borderId="0" xfId="0" applyNumberFormat="1" applyFont="1" applyFill="1" applyBorder="1"/>
    <xf numFmtId="166" fontId="11" fillId="2" borderId="0" xfId="2" applyNumberFormat="1" applyFont="1" applyFill="1" applyBorder="1"/>
    <xf numFmtId="165" fontId="11" fillId="2" borderId="2" xfId="0" applyNumberFormat="1" applyFont="1" applyFill="1" applyBorder="1"/>
    <xf numFmtId="165" fontId="11" fillId="3" borderId="0" xfId="2" applyNumberFormat="1" applyFont="1" applyFill="1" applyBorder="1"/>
    <xf numFmtId="10" fontId="11" fillId="4" borderId="5" xfId="2" applyNumberFormat="1" applyFont="1" applyFill="1" applyBorder="1"/>
    <xf numFmtId="3" fontId="11" fillId="4" borderId="3" xfId="2" applyNumberFormat="1" applyFont="1" applyFill="1" applyBorder="1" applyAlignment="1">
      <alignment horizontal="right"/>
    </xf>
    <xf numFmtId="0" fontId="11" fillId="3" borderId="0" xfId="0" applyFont="1" applyFill="1" applyBorder="1" applyAlignment="1">
      <alignment horizontal="center"/>
    </xf>
    <xf numFmtId="3" fontId="11" fillId="2" borderId="0" xfId="0" applyNumberFormat="1" applyFont="1" applyFill="1"/>
    <xf numFmtId="3" fontId="3" fillId="2" borderId="0" xfId="0" applyNumberFormat="1" applyFont="1" applyFill="1"/>
    <xf numFmtId="3" fontId="3" fillId="2" borderId="0" xfId="0" applyNumberFormat="1" applyFont="1" applyFill="1" applyBorder="1"/>
    <xf numFmtId="3" fontId="3" fillId="3" borderId="0" xfId="0" applyNumberFormat="1" applyFont="1" applyFill="1" applyBorder="1"/>
    <xf numFmtId="0" fontId="19" fillId="0" borderId="0" xfId="0" applyFont="1" applyAlignment="1" applyProtection="1">
      <alignment horizontal="left" vertical="center" wrapText="1"/>
    </xf>
    <xf numFmtId="0" fontId="20" fillId="0" borderId="0" xfId="0" applyFont="1" applyProtection="1"/>
    <xf numFmtId="0" fontId="6" fillId="0" borderId="0" xfId="0" applyFont="1" applyProtection="1"/>
    <xf numFmtId="38" fontId="6" fillId="0" borderId="0" xfId="0" applyNumberFormat="1" applyFont="1" applyProtection="1"/>
    <xf numFmtId="0" fontId="6" fillId="0" borderId="0" xfId="0" applyFont="1" applyAlignment="1" applyProtection="1">
      <alignment horizontal="right"/>
    </xf>
    <xf numFmtId="0" fontId="2" fillId="0" borderId="0" xfId="0" applyFont="1" applyAlignment="1" applyProtection="1">
      <alignment horizontal="left"/>
    </xf>
    <xf numFmtId="6" fontId="6" fillId="0" borderId="0" xfId="0" applyNumberFormat="1" applyFont="1" applyAlignment="1" applyProtection="1">
      <alignment horizontal="centerContinuous"/>
    </xf>
    <xf numFmtId="14" fontId="6" fillId="0" borderId="0" xfId="0" applyNumberFormat="1" applyFont="1" applyAlignment="1" applyProtection="1">
      <alignment horizontal="right"/>
    </xf>
    <xf numFmtId="14" fontId="6" fillId="0" borderId="3" xfId="0" applyNumberFormat="1" applyFont="1" applyBorder="1" applyAlignment="1" applyProtection="1">
      <alignment horizontal="center"/>
    </xf>
    <xf numFmtId="0" fontId="6" fillId="0" borderId="0" xfId="0" applyFont="1" applyAlignment="1" applyProtection="1">
      <alignment horizontal="center"/>
    </xf>
    <xf numFmtId="0" fontId="6" fillId="0" borderId="0" xfId="0" applyFont="1" applyAlignment="1" applyProtection="1">
      <alignment horizontal="left"/>
    </xf>
    <xf numFmtId="0" fontId="6" fillId="0" borderId="0" xfId="0" quotePrefix="1" applyFont="1" applyAlignment="1" applyProtection="1">
      <alignment horizontal="center"/>
    </xf>
    <xf numFmtId="164" fontId="6" fillId="0" borderId="0" xfId="0" applyNumberFormat="1" applyFont="1" applyProtection="1"/>
    <xf numFmtId="14" fontId="6" fillId="0" borderId="0" xfId="0" applyNumberFormat="1" applyFont="1" applyAlignment="1" applyProtection="1">
      <alignment horizontal="center"/>
    </xf>
    <xf numFmtId="14" fontId="6" fillId="0" borderId="0" xfId="0" quotePrefix="1" applyNumberFormat="1" applyFont="1" applyAlignment="1" applyProtection="1">
      <alignment horizontal="center"/>
    </xf>
    <xf numFmtId="6" fontId="6" fillId="0" borderId="0" xfId="0" quotePrefix="1" applyNumberFormat="1" applyFont="1" applyAlignment="1" applyProtection="1">
      <alignment horizontal="centerContinuous"/>
    </xf>
    <xf numFmtId="6" fontId="6" fillId="0" borderId="0" xfId="0" quotePrefix="1" applyNumberFormat="1" applyFont="1" applyAlignment="1" applyProtection="1">
      <alignment horizontal="center"/>
    </xf>
    <xf numFmtId="38" fontId="6" fillId="0" borderId="0" xfId="0" applyNumberFormat="1" applyFont="1" applyAlignment="1" applyProtection="1">
      <alignment horizontal="center"/>
    </xf>
    <xf numFmtId="14" fontId="6" fillId="0" borderId="1" xfId="0" applyNumberFormat="1" applyFont="1" applyBorder="1" applyAlignment="1" applyProtection="1">
      <alignment horizontal="center"/>
    </xf>
    <xf numFmtId="0" fontId="6" fillId="0" borderId="1" xfId="0" applyFont="1" applyBorder="1" applyAlignment="1" applyProtection="1">
      <alignment horizontal="center"/>
    </xf>
    <xf numFmtId="38" fontId="6" fillId="0" borderId="1" xfId="0" applyNumberFormat="1" applyFont="1" applyBorder="1" applyProtection="1"/>
    <xf numFmtId="38" fontId="6" fillId="0" borderId="1" xfId="0" applyNumberFormat="1" applyFont="1" applyBorder="1" applyAlignment="1" applyProtection="1">
      <alignment horizontal="center"/>
    </xf>
    <xf numFmtId="14" fontId="6" fillId="0" borderId="9" xfId="0" applyNumberFormat="1" applyFont="1" applyBorder="1" applyAlignment="1" applyProtection="1">
      <alignment horizontal="center"/>
    </xf>
    <xf numFmtId="0" fontId="6" fillId="0" borderId="9" xfId="0" applyFont="1" applyBorder="1" applyAlignment="1" applyProtection="1">
      <alignment horizontal="center"/>
    </xf>
    <xf numFmtId="38" fontId="6" fillId="0" borderId="9" xfId="0" applyNumberFormat="1" applyFont="1" applyBorder="1" applyAlignment="1" applyProtection="1">
      <alignment horizontal="center"/>
    </xf>
    <xf numFmtId="0" fontId="6" fillId="2" borderId="0" xfId="0" applyFont="1" applyFill="1" applyAlignment="1" applyProtection="1">
      <alignment horizontal="right"/>
    </xf>
    <xf numFmtId="0" fontId="2" fillId="2" borderId="0" xfId="0" applyFont="1" applyFill="1" applyAlignment="1" applyProtection="1">
      <alignment horizontal="center"/>
    </xf>
    <xf numFmtId="6" fontId="6" fillId="2" borderId="0" xfId="0" applyNumberFormat="1" applyFont="1" applyFill="1" applyProtection="1"/>
    <xf numFmtId="0" fontId="6" fillId="2" borderId="0" xfId="0" applyFont="1" applyFill="1" applyAlignment="1" applyProtection="1">
      <alignment horizontal="center"/>
    </xf>
    <xf numFmtId="0" fontId="6" fillId="2" borderId="0" xfId="0" applyFont="1" applyFill="1" applyProtection="1"/>
    <xf numFmtId="38" fontId="6" fillId="2" borderId="0" xfId="0" applyNumberFormat="1" applyFont="1" applyFill="1" applyProtection="1"/>
    <xf numFmtId="0" fontId="6" fillId="2" borderId="0" xfId="0" quotePrefix="1" applyFont="1" applyFill="1" applyAlignment="1" applyProtection="1">
      <alignment horizontal="right"/>
    </xf>
    <xf numFmtId="0" fontId="6" fillId="2" borderId="0" xfId="0" applyFont="1" applyFill="1" applyAlignment="1" applyProtection="1">
      <alignment horizontal="left"/>
    </xf>
    <xf numFmtId="6" fontId="6" fillId="5" borderId="3" xfId="0" applyNumberFormat="1" applyFont="1" applyFill="1" applyBorder="1" applyProtection="1"/>
    <xf numFmtId="10" fontId="6" fillId="5" borderId="3" xfId="2" applyNumberFormat="1" applyFont="1" applyFill="1" applyBorder="1" applyProtection="1"/>
    <xf numFmtId="0" fontId="21" fillId="2" borderId="0" xfId="0" quotePrefix="1" applyFont="1" applyFill="1" applyAlignment="1" applyProtection="1">
      <alignment horizontal="right"/>
    </xf>
    <xf numFmtId="0" fontId="21" fillId="2" borderId="0" xfId="0" quotePrefix="1" applyFont="1" applyFill="1" applyAlignment="1" applyProtection="1">
      <alignment horizontal="left"/>
    </xf>
    <xf numFmtId="6" fontId="21" fillId="5" borderId="3" xfId="0" applyNumberFormat="1" applyFont="1" applyFill="1" applyBorder="1" applyProtection="1"/>
    <xf numFmtId="10" fontId="21" fillId="5" borderId="3" xfId="2" applyNumberFormat="1" applyFont="1" applyFill="1" applyBorder="1" applyProtection="1"/>
    <xf numFmtId="0" fontId="3" fillId="2" borderId="0" xfId="0" applyFont="1" applyFill="1" applyAlignment="1" applyProtection="1">
      <alignment horizontal="left"/>
    </xf>
    <xf numFmtId="0" fontId="2" fillId="2" borderId="0" xfId="0" applyFont="1" applyFill="1" applyAlignment="1" applyProtection="1">
      <alignment horizontal="left"/>
    </xf>
    <xf numFmtId="0" fontId="2" fillId="0" borderId="0" xfId="0" applyFont="1" applyAlignment="1" applyProtection="1">
      <alignment horizontal="center"/>
    </xf>
    <xf numFmtId="14" fontId="6" fillId="0" borderId="0" xfId="0" applyNumberFormat="1" applyFont="1" applyAlignment="1" applyProtection="1">
      <alignment horizontal="right" wrapText="1"/>
    </xf>
    <xf numFmtId="17" fontId="6" fillId="0" borderId="0" xfId="0" applyNumberFormat="1" applyFont="1" applyAlignment="1" applyProtection="1">
      <alignment horizontal="right"/>
    </xf>
    <xf numFmtId="6" fontId="6" fillId="5" borderId="8" xfId="0" applyNumberFormat="1" applyFont="1" applyFill="1" applyBorder="1" applyProtection="1"/>
    <xf numFmtId="38" fontId="6" fillId="5" borderId="3" xfId="0" applyNumberFormat="1" applyFont="1" applyFill="1" applyBorder="1" applyProtection="1"/>
    <xf numFmtId="10" fontId="6" fillId="5" borderId="9" xfId="2" applyNumberFormat="1" applyFont="1" applyFill="1" applyBorder="1" applyProtection="1"/>
    <xf numFmtId="38" fontId="6" fillId="5" borderId="9" xfId="0" applyNumberFormat="1" applyFont="1" applyFill="1" applyBorder="1" applyProtection="1"/>
    <xf numFmtId="10" fontId="3" fillId="5" borderId="3" xfId="2" applyNumberFormat="1" applyFont="1" applyFill="1" applyBorder="1" applyProtection="1"/>
    <xf numFmtId="10" fontId="2" fillId="2" borderId="0" xfId="0" applyNumberFormat="1" applyFont="1" applyFill="1" applyAlignment="1" applyProtection="1">
      <alignment horizontal="center"/>
    </xf>
    <xf numFmtId="0" fontId="6" fillId="0" borderId="0" xfId="0" quotePrefix="1" applyFont="1" applyAlignment="1" applyProtection="1">
      <alignment horizontal="right"/>
    </xf>
    <xf numFmtId="0" fontId="21" fillId="0" borderId="0" xfId="0" applyFont="1" applyBorder="1" applyAlignment="1" applyProtection="1">
      <alignment horizontal="left"/>
    </xf>
    <xf numFmtId="0" fontId="15" fillId="0" borderId="0" xfId="0" applyFont="1" applyBorder="1" applyAlignment="1" applyProtection="1">
      <alignment horizontal="left"/>
    </xf>
    <xf numFmtId="0" fontId="6" fillId="0" borderId="0" xfId="0" quotePrefix="1" applyFont="1" applyBorder="1" applyAlignment="1" applyProtection="1">
      <alignment horizontal="right"/>
    </xf>
    <xf numFmtId="0" fontId="21" fillId="0" borderId="0" xfId="0" quotePrefix="1" applyFont="1" applyBorder="1" applyAlignment="1" applyProtection="1">
      <alignment horizontal="left"/>
    </xf>
    <xf numFmtId="0" fontId="15" fillId="0" borderId="0" xfId="0" quotePrefix="1" applyFont="1" applyBorder="1" applyAlignment="1" applyProtection="1">
      <alignment horizontal="left"/>
    </xf>
    <xf numFmtId="0" fontId="21" fillId="0" borderId="0" xfId="0" applyFont="1" applyAlignment="1" applyProtection="1">
      <alignment horizontal="left"/>
    </xf>
    <xf numFmtId="0" fontId="15" fillId="0" borderId="0" xfId="0" applyFont="1" applyAlignment="1" applyProtection="1">
      <alignment horizontal="left"/>
    </xf>
    <xf numFmtId="6" fontId="6" fillId="2" borderId="0" xfId="0" applyNumberFormat="1" applyFont="1" applyFill="1" applyBorder="1" applyProtection="1"/>
    <xf numFmtId="10" fontId="6" fillId="2" borderId="0" xfId="2" applyNumberFormat="1" applyFont="1" applyFill="1" applyBorder="1" applyProtection="1"/>
    <xf numFmtId="10" fontId="6" fillId="2" borderId="0" xfId="0" applyNumberFormat="1" applyFont="1" applyFill="1" applyProtection="1"/>
    <xf numFmtId="0" fontId="6" fillId="0" borderId="0" xfId="0" applyFont="1" applyBorder="1" applyAlignment="1" applyProtection="1">
      <alignment horizontal="left"/>
    </xf>
    <xf numFmtId="0" fontId="21" fillId="0" borderId="0" xfId="0" quotePrefix="1" applyFont="1" applyAlignment="1" applyProtection="1">
      <alignment horizontal="left"/>
    </xf>
    <xf numFmtId="0" fontId="6" fillId="0" borderId="0" xfId="0" quotePrefix="1" applyFont="1" applyBorder="1" applyAlignment="1" applyProtection="1">
      <alignment horizontal="left"/>
    </xf>
    <xf numFmtId="0" fontId="21" fillId="2" borderId="0" xfId="0" applyFont="1" applyFill="1" applyAlignment="1" applyProtection="1">
      <alignment horizontal="left"/>
    </xf>
    <xf numFmtId="3" fontId="6" fillId="2" borderId="0" xfId="0" applyNumberFormat="1" applyFont="1" applyFill="1" applyBorder="1" applyAlignment="1" applyProtection="1">
      <alignment horizontal="center"/>
    </xf>
    <xf numFmtId="38" fontId="6" fillId="2" borderId="0" xfId="0" applyNumberFormat="1" applyFont="1" applyFill="1" applyBorder="1" applyProtection="1"/>
    <xf numFmtId="6" fontId="22" fillId="2" borderId="0" xfId="0" applyNumberFormat="1" applyFont="1" applyFill="1" applyBorder="1" applyProtection="1"/>
    <xf numFmtId="10" fontId="22" fillId="2" borderId="0" xfId="2" applyNumberFormat="1" applyFont="1" applyFill="1" applyBorder="1" applyProtection="1"/>
    <xf numFmtId="38" fontId="22" fillId="2" borderId="0" xfId="0" applyNumberFormat="1" applyFont="1" applyFill="1" applyBorder="1" applyProtection="1"/>
    <xf numFmtId="38" fontId="6" fillId="2" borderId="4" xfId="0" applyNumberFormat="1" applyFont="1" applyFill="1" applyBorder="1" applyProtection="1"/>
    <xf numFmtId="0" fontId="23" fillId="2" borderId="0" xfId="0" applyFont="1" applyFill="1" applyAlignment="1" applyProtection="1">
      <alignment horizontal="left"/>
    </xf>
    <xf numFmtId="6" fontId="6" fillId="2" borderId="2" xfId="0" applyNumberFormat="1" applyFont="1" applyFill="1" applyBorder="1" applyProtection="1"/>
    <xf numFmtId="10" fontId="6" fillId="2" borderId="2" xfId="2" applyNumberFormat="1" applyFont="1" applyFill="1" applyBorder="1" applyProtection="1"/>
    <xf numFmtId="0" fontId="6" fillId="2" borderId="0" xfId="0" applyFont="1" applyFill="1" applyAlignment="1" applyProtection="1">
      <alignment horizontal="left" wrapText="1"/>
    </xf>
    <xf numFmtId="6" fontId="6" fillId="2" borderId="6" xfId="0" applyNumberFormat="1" applyFont="1" applyFill="1" applyBorder="1" applyProtection="1"/>
    <xf numFmtId="10" fontId="6" fillId="2" borderId="6" xfId="2" applyNumberFormat="1" applyFont="1" applyFill="1" applyBorder="1" applyProtection="1"/>
    <xf numFmtId="49" fontId="6" fillId="0" borderId="0" xfId="0" quotePrefix="1" applyNumberFormat="1" applyFont="1" applyAlignment="1" applyProtection="1">
      <alignment horizontal="right"/>
    </xf>
    <xf numFmtId="5" fontId="24" fillId="5" borderId="3" xfId="0" applyNumberFormat="1" applyFont="1" applyFill="1" applyBorder="1" applyProtection="1"/>
    <xf numFmtId="37" fontId="24" fillId="5" borderId="3" xfId="0" applyNumberFormat="1" applyFont="1" applyFill="1" applyBorder="1" applyAlignment="1" applyProtection="1">
      <alignment horizontal="right"/>
    </xf>
    <xf numFmtId="5" fontId="24" fillId="0" borderId="0" xfId="0" applyNumberFormat="1" applyFont="1" applyFill="1" applyBorder="1" applyProtection="1"/>
    <xf numFmtId="0" fontId="24" fillId="0" borderId="0" xfId="0" applyFont="1" applyBorder="1" applyProtection="1"/>
    <xf numFmtId="0" fontId="24" fillId="0" borderId="0" xfId="0" applyFont="1" applyProtection="1"/>
    <xf numFmtId="0" fontId="13" fillId="0" borderId="0" xfId="0" applyFont="1" applyProtection="1"/>
    <xf numFmtId="37" fontId="24" fillId="0" borderId="0" xfId="0" applyNumberFormat="1" applyFont="1" applyFill="1" applyBorder="1" applyAlignment="1" applyProtection="1">
      <alignment horizontal="right"/>
    </xf>
    <xf numFmtId="5" fontId="24" fillId="0" borderId="0" xfId="0" applyNumberFormat="1" applyFont="1" applyFill="1" applyBorder="1" applyAlignment="1" applyProtection="1">
      <alignment horizontal="center"/>
    </xf>
    <xf numFmtId="49" fontId="6" fillId="0" borderId="0" xfId="0" applyNumberFormat="1" applyFont="1" applyAlignment="1" applyProtection="1">
      <alignment horizontal="right"/>
    </xf>
    <xf numFmtId="49" fontId="6" fillId="0" borderId="0" xfId="0" applyNumberFormat="1" applyFont="1" applyAlignment="1">
      <alignment horizontal="right"/>
    </xf>
    <xf numFmtId="0" fontId="6" fillId="0" borderId="0" xfId="0" applyFont="1" applyAlignment="1">
      <alignment horizontal="left"/>
    </xf>
    <xf numFmtId="0" fontId="9" fillId="2" borderId="0" xfId="0" quotePrefix="1" applyFont="1" applyFill="1" applyAlignment="1" applyProtection="1">
      <alignment horizontal="right"/>
    </xf>
    <xf numFmtId="0" fontId="9" fillId="2" borderId="0" xfId="0" applyFont="1" applyFill="1" applyAlignment="1" applyProtection="1">
      <alignment horizontal="left"/>
    </xf>
    <xf numFmtId="6" fontId="6" fillId="0" borderId="0" xfId="0" applyNumberFormat="1" applyFont="1" applyFill="1" applyBorder="1" applyProtection="1"/>
    <xf numFmtId="0" fontId="25" fillId="2" borderId="0" xfId="0" applyFont="1" applyFill="1" applyAlignment="1" applyProtection="1">
      <alignment horizontal="left"/>
    </xf>
    <xf numFmtId="37" fontId="6" fillId="2" borderId="0" xfId="1" applyNumberFormat="1" applyFont="1" applyFill="1" applyProtection="1"/>
    <xf numFmtId="37" fontId="6" fillId="2" borderId="0" xfId="0" applyNumberFormat="1" applyFont="1" applyFill="1" applyProtection="1"/>
    <xf numFmtId="0" fontId="9" fillId="2" borderId="0" xfId="0" applyFont="1" applyFill="1" applyAlignment="1" applyProtection="1">
      <alignment horizontal="center"/>
    </xf>
    <xf numFmtId="37" fontId="6" fillId="5" borderId="3" xfId="1" applyNumberFormat="1" applyFont="1" applyFill="1" applyBorder="1" applyProtection="1"/>
    <xf numFmtId="37" fontId="6" fillId="5" borderId="3" xfId="0" applyNumberFormat="1" applyFont="1" applyFill="1" applyBorder="1" applyProtection="1"/>
    <xf numFmtId="0" fontId="9" fillId="2" borderId="0" xfId="0" applyFont="1" applyFill="1" applyProtection="1"/>
    <xf numFmtId="3" fontId="6" fillId="5" borderId="5" xfId="1" applyNumberFormat="1" applyFont="1" applyFill="1" applyBorder="1" applyProtection="1"/>
    <xf numFmtId="0" fontId="6" fillId="2" borderId="0" xfId="1" applyNumberFormat="1" applyFont="1" applyFill="1" applyProtection="1"/>
    <xf numFmtId="1" fontId="6" fillId="2" borderId="0" xfId="0" applyNumberFormat="1" applyFont="1" applyFill="1" applyProtection="1"/>
    <xf numFmtId="37" fontId="6" fillId="2" borderId="0" xfId="0" applyNumberFormat="1" applyFont="1" applyFill="1" applyBorder="1" applyProtection="1"/>
    <xf numFmtId="0" fontId="26" fillId="2" borderId="0" xfId="0" applyFont="1" applyFill="1" applyAlignment="1" applyProtection="1">
      <alignment horizontal="center"/>
    </xf>
    <xf numFmtId="37" fontId="6" fillId="2" borderId="6" xfId="1" applyNumberFormat="1" applyFont="1" applyFill="1" applyBorder="1" applyProtection="1"/>
    <xf numFmtId="37" fontId="6" fillId="2" borderId="6" xfId="0" applyNumberFormat="1" applyFont="1" applyFill="1" applyBorder="1" applyProtection="1"/>
    <xf numFmtId="0" fontId="21" fillId="2" borderId="0" xfId="0" applyFont="1" applyFill="1" applyAlignment="1" applyProtection="1">
      <alignment horizontal="left" wrapText="1"/>
    </xf>
    <xf numFmtId="10" fontId="6" fillId="5" borderId="3" xfId="1" applyNumberFormat="1" applyFont="1" applyFill="1" applyBorder="1" applyAlignment="1" applyProtection="1">
      <alignment horizontal="right"/>
    </xf>
    <xf numFmtId="10" fontId="6" fillId="2" borderId="0" xfId="0" applyNumberFormat="1" applyFont="1" applyFill="1" applyBorder="1" applyProtection="1"/>
    <xf numFmtId="38" fontId="7" fillId="0" borderId="0" xfId="0" applyNumberFormat="1" applyFont="1" applyAlignment="1" applyProtection="1">
      <alignment horizontal="left"/>
    </xf>
    <xf numFmtId="38" fontId="6" fillId="2" borderId="0" xfId="0" applyNumberFormat="1" applyFont="1" applyFill="1" applyAlignment="1" applyProtection="1">
      <alignment horizontal="right"/>
    </xf>
    <xf numFmtId="6" fontId="27" fillId="5" borderId="3" xfId="0" applyNumberFormat="1" applyFont="1" applyFill="1" applyBorder="1" applyProtection="1"/>
    <xf numFmtId="0" fontId="27" fillId="0" borderId="0" xfId="0" applyFont="1" applyProtection="1"/>
    <xf numFmtId="38" fontId="27" fillId="0" borderId="0" xfId="0" applyNumberFormat="1" applyFont="1" applyProtection="1"/>
    <xf numFmtId="0" fontId="27" fillId="0" borderId="0" xfId="0" applyFont="1" applyAlignment="1" applyProtection="1">
      <alignment horizontal="right"/>
    </xf>
    <xf numFmtId="0" fontId="28" fillId="0" borderId="0" xfId="0" applyFont="1" applyAlignment="1" applyProtection="1">
      <alignment horizontal="left"/>
    </xf>
    <xf numFmtId="6" fontId="27" fillId="0" borderId="0" xfId="0" applyNumberFormat="1" applyFont="1" applyAlignment="1" applyProtection="1">
      <alignment horizontal="centerContinuous"/>
    </xf>
    <xf numFmtId="14" fontId="27" fillId="0" borderId="0" xfId="0" applyNumberFormat="1" applyFont="1" applyAlignment="1" applyProtection="1">
      <alignment horizontal="right"/>
    </xf>
    <xf numFmtId="0" fontId="27" fillId="0" borderId="0" xfId="0" applyFont="1" applyAlignment="1" applyProtection="1">
      <alignment horizontal="center"/>
    </xf>
    <xf numFmtId="0" fontId="27" fillId="0" borderId="0" xfId="0" applyFont="1" applyAlignment="1" applyProtection="1">
      <alignment horizontal="left"/>
    </xf>
    <xf numFmtId="0" fontId="27" fillId="0" borderId="0" xfId="0" quotePrefix="1" applyFont="1" applyAlignment="1" applyProtection="1">
      <alignment horizontal="center"/>
    </xf>
    <xf numFmtId="164" fontId="27" fillId="0" borderId="0" xfId="0" applyNumberFormat="1" applyFont="1" applyProtection="1"/>
    <xf numFmtId="14" fontId="27" fillId="0" borderId="0" xfId="0" applyNumberFormat="1" applyFont="1" applyAlignment="1" applyProtection="1">
      <alignment horizontal="center"/>
    </xf>
    <xf numFmtId="14" fontId="27" fillId="0" borderId="0" xfId="0" quotePrefix="1" applyNumberFormat="1" applyFont="1" applyAlignment="1" applyProtection="1">
      <alignment horizontal="center"/>
    </xf>
    <xf numFmtId="6" fontId="27" fillId="0" borderId="0" xfId="0" quotePrefix="1" applyNumberFormat="1" applyFont="1" applyAlignment="1" applyProtection="1">
      <alignment horizontal="centerContinuous"/>
    </xf>
    <xf numFmtId="6" fontId="27" fillId="0" borderId="0" xfId="0" quotePrefix="1" applyNumberFormat="1" applyFont="1" applyAlignment="1" applyProtection="1">
      <alignment horizontal="center"/>
    </xf>
    <xf numFmtId="38" fontId="27" fillId="0" borderId="0" xfId="0" applyNumberFormat="1" applyFont="1" applyAlignment="1" applyProtection="1">
      <alignment horizontal="center"/>
    </xf>
    <xf numFmtId="14" fontId="27" fillId="0" borderId="1" xfId="0" applyNumberFormat="1" applyFont="1" applyBorder="1" applyAlignment="1" applyProtection="1">
      <alignment horizontal="center"/>
    </xf>
    <xf numFmtId="0" fontId="27" fillId="0" borderId="1" xfId="0" applyFont="1" applyBorder="1" applyAlignment="1" applyProtection="1">
      <alignment horizontal="center"/>
    </xf>
    <xf numFmtId="38" fontId="27" fillId="0" borderId="1" xfId="0" applyNumberFormat="1" applyFont="1" applyBorder="1" applyProtection="1"/>
    <xf numFmtId="38" fontId="27" fillId="0" borderId="1" xfId="0" applyNumberFormat="1" applyFont="1" applyBorder="1" applyAlignment="1" applyProtection="1">
      <alignment horizontal="center"/>
    </xf>
    <xf numFmtId="14" fontId="27" fillId="0" borderId="9" xfId="0" applyNumberFormat="1" applyFont="1" applyBorder="1" applyAlignment="1" applyProtection="1">
      <alignment horizontal="center"/>
    </xf>
    <xf numFmtId="0" fontId="27" fillId="0" borderId="9" xfId="0" applyFont="1" applyBorder="1" applyAlignment="1" applyProtection="1">
      <alignment horizontal="center"/>
    </xf>
    <xf numFmtId="38" fontId="27" fillId="0" borderId="9" xfId="0" applyNumberFormat="1" applyFont="1" applyBorder="1" applyAlignment="1" applyProtection="1">
      <alignment horizontal="center"/>
    </xf>
    <xf numFmtId="0" fontId="27" fillId="2" borderId="0" xfId="0" applyFont="1" applyFill="1" applyAlignment="1" applyProtection="1">
      <alignment horizontal="right"/>
    </xf>
    <xf numFmtId="0" fontId="28" fillId="2" borderId="0" xfId="0" applyFont="1" applyFill="1" applyAlignment="1" applyProtection="1">
      <alignment horizontal="center"/>
    </xf>
    <xf numFmtId="6" fontId="27" fillId="2" borderId="0" xfId="0" applyNumberFormat="1" applyFont="1" applyFill="1" applyProtection="1"/>
    <xf numFmtId="0" fontId="27" fillId="2" borderId="0" xfId="0" applyFont="1" applyFill="1" applyAlignment="1" applyProtection="1">
      <alignment horizontal="center"/>
    </xf>
    <xf numFmtId="0" fontId="27" fillId="2" borderId="0" xfId="0" applyFont="1" applyFill="1" applyProtection="1"/>
    <xf numFmtId="38" fontId="27" fillId="2" borderId="0" xfId="0" applyNumberFormat="1" applyFont="1" applyFill="1" applyProtection="1"/>
    <xf numFmtId="0" fontId="27" fillId="2" borderId="0" xfId="0" quotePrefix="1" applyFont="1" applyFill="1" applyAlignment="1" applyProtection="1">
      <alignment horizontal="right"/>
    </xf>
    <xf numFmtId="0" fontId="27" fillId="2" borderId="0" xfId="0" applyFont="1" applyFill="1" applyAlignment="1" applyProtection="1">
      <alignment horizontal="left"/>
    </xf>
    <xf numFmtId="10" fontId="27" fillId="5" borderId="3" xfId="2" applyNumberFormat="1" applyFont="1" applyFill="1" applyBorder="1" applyProtection="1"/>
    <xf numFmtId="0" fontId="30" fillId="2" borderId="0" xfId="0" quotePrefix="1" applyFont="1" applyFill="1" applyAlignment="1" applyProtection="1">
      <alignment horizontal="right"/>
    </xf>
    <xf numFmtId="0" fontId="30" fillId="2" borderId="0" xfId="0" quotePrefix="1" applyFont="1" applyFill="1" applyAlignment="1" applyProtection="1">
      <alignment horizontal="left"/>
    </xf>
    <xf numFmtId="6" fontId="30" fillId="5" borderId="3" xfId="0" applyNumberFormat="1" applyFont="1" applyFill="1" applyBorder="1" applyProtection="1"/>
    <xf numFmtId="10" fontId="30" fillId="5" borderId="3" xfId="2" applyNumberFormat="1" applyFont="1" applyFill="1" applyBorder="1" applyProtection="1"/>
    <xf numFmtId="0" fontId="28" fillId="2" borderId="0" xfId="0" applyFont="1" applyFill="1" applyAlignment="1" applyProtection="1">
      <alignment horizontal="left"/>
    </xf>
    <xf numFmtId="0" fontId="28" fillId="0" borderId="0" xfId="0" applyFont="1" applyAlignment="1" applyProtection="1">
      <alignment horizontal="center"/>
    </xf>
    <xf numFmtId="14" fontId="27" fillId="0" borderId="0" xfId="0" applyNumberFormat="1" applyFont="1" applyAlignment="1" applyProtection="1">
      <alignment horizontal="right" wrapText="1"/>
    </xf>
    <xf numFmtId="17" fontId="27" fillId="0" borderId="0" xfId="0" applyNumberFormat="1" applyFont="1" applyAlignment="1" applyProtection="1">
      <alignment horizontal="right"/>
    </xf>
    <xf numFmtId="6" fontId="27" fillId="5" borderId="8" xfId="0" applyNumberFormat="1" applyFont="1" applyFill="1" applyBorder="1" applyProtection="1"/>
    <xf numFmtId="10" fontId="27" fillId="5" borderId="9" xfId="2" applyNumberFormat="1" applyFont="1" applyFill="1" applyBorder="1" applyProtection="1"/>
    <xf numFmtId="10" fontId="31" fillId="5" borderId="3" xfId="2" applyNumberFormat="1" applyFont="1" applyFill="1" applyBorder="1" applyProtection="1"/>
    <xf numFmtId="0" fontId="24" fillId="0" borderId="0" xfId="0" quotePrefix="1" applyFont="1" applyAlignment="1" applyProtection="1">
      <alignment horizontal="right"/>
    </xf>
    <xf numFmtId="0" fontId="32" fillId="0" borderId="0" xfId="0" applyFont="1" applyBorder="1" applyAlignment="1" applyProtection="1">
      <alignment horizontal="left"/>
    </xf>
    <xf numFmtId="0" fontId="24" fillId="0" borderId="0" xfId="0" quotePrefix="1" applyFont="1" applyBorder="1" applyAlignment="1" applyProtection="1">
      <alignment horizontal="right"/>
    </xf>
    <xf numFmtId="0" fontId="24" fillId="0" borderId="0" xfId="0" applyFont="1" applyAlignment="1" applyProtection="1">
      <alignment horizontal="right"/>
    </xf>
    <xf numFmtId="0" fontId="32" fillId="0" borderId="0" xfId="0" quotePrefix="1" applyFont="1" applyBorder="1" applyAlignment="1" applyProtection="1">
      <alignment horizontal="left"/>
    </xf>
    <xf numFmtId="0" fontId="32" fillId="0" borderId="0" xfId="0" applyFont="1" applyAlignment="1" applyProtection="1">
      <alignment horizontal="left"/>
    </xf>
    <xf numFmtId="6" fontId="27" fillId="2" borderId="0" xfId="0" applyNumberFormat="1" applyFont="1" applyFill="1" applyBorder="1" applyProtection="1"/>
    <xf numFmtId="10" fontId="27" fillId="2" borderId="0" xfId="2" applyNumberFormat="1" applyFont="1" applyFill="1" applyBorder="1" applyProtection="1"/>
    <xf numFmtId="10" fontId="27" fillId="2" borderId="0" xfId="0" applyNumberFormat="1" applyFont="1" applyFill="1" applyProtection="1"/>
    <xf numFmtId="0" fontId="24" fillId="0" borderId="0" xfId="0" applyFont="1" applyAlignment="1" applyProtection="1">
      <alignment horizontal="left"/>
    </xf>
    <xf numFmtId="0" fontId="24" fillId="0" borderId="0" xfId="0" applyFont="1" applyBorder="1" applyAlignment="1" applyProtection="1">
      <alignment horizontal="left"/>
    </xf>
    <xf numFmtId="0" fontId="32" fillId="0" borderId="0" xfId="0" quotePrefix="1" applyFont="1" applyAlignment="1" applyProtection="1">
      <alignment horizontal="left"/>
    </xf>
    <xf numFmtId="0" fontId="24" fillId="0" borderId="0" xfId="0" quotePrefix="1" applyFont="1" applyBorder="1" applyAlignment="1" applyProtection="1">
      <alignment horizontal="left"/>
    </xf>
    <xf numFmtId="6" fontId="33" fillId="2" borderId="0" xfId="0" applyNumberFormat="1" applyFont="1" applyFill="1" applyBorder="1" applyProtection="1"/>
    <xf numFmtId="10" fontId="33" fillId="2" borderId="0" xfId="2" applyNumberFormat="1" applyFont="1" applyFill="1" applyBorder="1" applyProtection="1"/>
    <xf numFmtId="6" fontId="27" fillId="2" borderId="2" xfId="0" applyNumberFormat="1" applyFont="1" applyFill="1" applyBorder="1" applyProtection="1"/>
    <xf numFmtId="10" fontId="27" fillId="2" borderId="2" xfId="2" applyNumberFormat="1" applyFont="1" applyFill="1" applyBorder="1" applyProtection="1"/>
    <xf numFmtId="6" fontId="27" fillId="2" borderId="6" xfId="0" applyNumberFormat="1" applyFont="1" applyFill="1" applyBorder="1" applyProtection="1"/>
    <xf numFmtId="10" fontId="27" fillId="2" borderId="6" xfId="2" applyNumberFormat="1" applyFont="1" applyFill="1" applyBorder="1" applyProtection="1"/>
    <xf numFmtId="49" fontId="24" fillId="0" borderId="0" xfId="0" quotePrefix="1" applyNumberFormat="1" applyFont="1" applyAlignment="1" applyProtection="1">
      <alignment horizontal="right"/>
    </xf>
    <xf numFmtId="0" fontId="29" fillId="0" borderId="0" xfId="0" applyFont="1" applyProtection="1"/>
    <xf numFmtId="0" fontId="34" fillId="0" borderId="0" xfId="0" applyFont="1" applyAlignment="1" applyProtection="1">
      <alignment horizontal="left"/>
    </xf>
    <xf numFmtId="49" fontId="24" fillId="0" borderId="0" xfId="0" applyNumberFormat="1" applyFont="1" applyAlignment="1" applyProtection="1">
      <alignment horizontal="right"/>
    </xf>
    <xf numFmtId="49" fontId="24" fillId="0" borderId="0" xfId="0" applyNumberFormat="1" applyFont="1" applyAlignment="1">
      <alignment horizontal="right"/>
    </xf>
    <xf numFmtId="0" fontId="24" fillId="0" borderId="0" xfId="0" applyFont="1" applyAlignment="1">
      <alignment horizontal="left"/>
    </xf>
    <xf numFmtId="0" fontId="27" fillId="2" borderId="0" xfId="0" applyFont="1" applyFill="1" applyAlignment="1" applyProtection="1">
      <alignment horizontal="left" wrapText="1"/>
    </xf>
    <xf numFmtId="0" fontId="5" fillId="2" borderId="0" xfId="0" applyFont="1" applyFill="1" applyAlignment="1" applyProtection="1">
      <alignment horizontal="left"/>
    </xf>
    <xf numFmtId="37" fontId="27" fillId="2" borderId="0" xfId="0" applyNumberFormat="1" applyFont="1" applyFill="1" applyProtection="1"/>
    <xf numFmtId="37" fontId="27" fillId="5" borderId="3" xfId="1" applyNumberFormat="1" applyFont="1" applyFill="1" applyBorder="1" applyProtection="1"/>
    <xf numFmtId="37" fontId="27" fillId="5" borderId="3" xfId="0" applyNumberFormat="1" applyFont="1" applyFill="1" applyBorder="1" applyProtection="1"/>
    <xf numFmtId="0" fontId="30" fillId="2" borderId="0" xfId="0" applyFont="1" applyFill="1" applyAlignment="1" applyProtection="1">
      <alignment horizontal="left"/>
    </xf>
    <xf numFmtId="0" fontId="28" fillId="2" borderId="0" xfId="0" applyFont="1" applyFill="1" applyProtection="1"/>
    <xf numFmtId="3" fontId="27" fillId="5" borderId="5" xfId="1" applyNumberFormat="1" applyFont="1" applyFill="1" applyBorder="1" applyProtection="1"/>
    <xf numFmtId="1" fontId="27" fillId="2" borderId="0" xfId="0" applyNumberFormat="1" applyFont="1" applyFill="1" applyProtection="1"/>
    <xf numFmtId="37" fontId="27" fillId="2" borderId="0" xfId="0" applyNumberFormat="1" applyFont="1" applyFill="1" applyBorder="1" applyProtection="1"/>
    <xf numFmtId="0" fontId="12" fillId="2" borderId="0" xfId="0" applyFont="1" applyFill="1" applyAlignment="1" applyProtection="1">
      <alignment horizontal="center"/>
    </xf>
    <xf numFmtId="37" fontId="27" fillId="2" borderId="6" xfId="0" applyNumberFormat="1" applyFont="1" applyFill="1" applyBorder="1" applyProtection="1"/>
    <xf numFmtId="0" fontId="4" fillId="2" borderId="0" xfId="0" applyFont="1" applyFill="1" applyAlignment="1" applyProtection="1">
      <alignment horizontal="left" wrapText="1"/>
    </xf>
    <xf numFmtId="10" fontId="27" fillId="5" borderId="3" xfId="1" applyNumberFormat="1" applyFont="1" applyFill="1" applyBorder="1" applyAlignment="1" applyProtection="1">
      <alignment horizontal="right"/>
    </xf>
    <xf numFmtId="10" fontId="27" fillId="2" borderId="0" xfId="0" applyNumberFormat="1" applyFont="1" applyFill="1" applyBorder="1" applyProtection="1"/>
    <xf numFmtId="0" fontId="2" fillId="2" borderId="0" xfId="0" applyFont="1" applyFill="1" applyProtection="1"/>
    <xf numFmtId="0" fontId="6" fillId="0" borderId="0" xfId="0" applyFont="1" applyFill="1" applyProtection="1"/>
    <xf numFmtId="0" fontId="6" fillId="0" borderId="0" xfId="0" quotePrefix="1" applyFont="1" applyFill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6" fillId="0" borderId="0" xfId="0" applyFont="1" applyFill="1" applyAlignment="1" applyProtection="1">
      <alignment horizontal="center"/>
    </xf>
    <xf numFmtId="10" fontId="6" fillId="0" borderId="0" xfId="2" applyNumberFormat="1" applyFont="1" applyFill="1" applyBorder="1" applyProtection="1"/>
    <xf numFmtId="10" fontId="21" fillId="0" borderId="0" xfId="2" applyNumberFormat="1" applyFont="1" applyFill="1" applyBorder="1" applyProtection="1"/>
    <xf numFmtId="10" fontId="3" fillId="0" borderId="0" xfId="2" applyNumberFormat="1" applyFont="1" applyFill="1" applyBorder="1" applyProtection="1"/>
    <xf numFmtId="10" fontId="2" fillId="0" borderId="0" xfId="0" applyNumberFormat="1" applyFont="1" applyFill="1" applyAlignment="1" applyProtection="1">
      <alignment horizontal="center"/>
    </xf>
    <xf numFmtId="10" fontId="6" fillId="0" borderId="0" xfId="0" applyNumberFormat="1" applyFont="1" applyFill="1" applyProtection="1"/>
    <xf numFmtId="10" fontId="22" fillId="0" borderId="0" xfId="2" applyNumberFormat="1" applyFont="1" applyFill="1" applyBorder="1" applyProtection="1"/>
    <xf numFmtId="10" fontId="6" fillId="0" borderId="10" xfId="2" applyNumberFormat="1" applyFont="1" applyFill="1" applyBorder="1" applyProtection="1"/>
    <xf numFmtId="10" fontId="6" fillId="0" borderId="7" xfId="2" applyNumberFormat="1" applyFont="1" applyFill="1" applyBorder="1" applyProtection="1"/>
    <xf numFmtId="0" fontId="27" fillId="0" borderId="0" xfId="0" applyFont="1" applyFill="1" applyProtection="1"/>
    <xf numFmtId="0" fontId="27" fillId="0" borderId="0" xfId="0" quotePrefix="1" applyFont="1" applyFill="1" applyAlignment="1" applyProtection="1">
      <alignment horizontal="center"/>
    </xf>
    <xf numFmtId="0" fontId="27" fillId="0" borderId="0" xfId="0" applyFont="1" applyFill="1" applyBorder="1" applyAlignment="1" applyProtection="1">
      <alignment horizontal="center"/>
    </xf>
    <xf numFmtId="0" fontId="27" fillId="0" borderId="0" xfId="0" applyFont="1" applyFill="1" applyAlignment="1" applyProtection="1">
      <alignment horizontal="center"/>
    </xf>
    <xf numFmtId="10" fontId="27" fillId="0" borderId="0" xfId="2" applyNumberFormat="1" applyFont="1" applyFill="1" applyBorder="1" applyProtection="1"/>
    <xf numFmtId="10" fontId="30" fillId="0" borderId="0" xfId="2" applyNumberFormat="1" applyFont="1" applyFill="1" applyBorder="1" applyProtection="1"/>
    <xf numFmtId="10" fontId="27" fillId="0" borderId="0" xfId="0" applyNumberFormat="1" applyFont="1" applyFill="1" applyProtection="1"/>
    <xf numFmtId="10" fontId="33" fillId="0" borderId="0" xfId="2" applyNumberFormat="1" applyFont="1" applyFill="1" applyBorder="1" applyProtection="1"/>
    <xf numFmtId="10" fontId="27" fillId="0" borderId="10" xfId="2" applyNumberFormat="1" applyFont="1" applyFill="1" applyBorder="1" applyProtection="1"/>
    <xf numFmtId="10" fontId="27" fillId="0" borderId="7" xfId="2" applyNumberFormat="1" applyFont="1" applyFill="1" applyBorder="1" applyProtection="1"/>
    <xf numFmtId="10" fontId="31" fillId="0" borderId="0" xfId="2" applyNumberFormat="1" applyFont="1" applyFill="1" applyBorder="1" applyProtection="1"/>
    <xf numFmtId="44" fontId="6" fillId="2" borderId="0" xfId="2" applyFont="1" applyFill="1" applyProtection="1"/>
    <xf numFmtId="44" fontId="27" fillId="2" borderId="0" xfId="2" applyFont="1" applyFill="1" applyProtection="1"/>
    <xf numFmtId="0" fontId="36" fillId="2" borderId="0" xfId="0" applyFont="1" applyFill="1" applyAlignment="1" applyProtection="1">
      <alignment horizontal="right"/>
    </xf>
    <xf numFmtId="2" fontId="6" fillId="2" borderId="0" xfId="0" applyNumberFormat="1" applyFont="1" applyFill="1" applyProtection="1"/>
    <xf numFmtId="2" fontId="27" fillId="2" borderId="0" xfId="0" applyNumberFormat="1" applyFont="1" applyFill="1" applyProtection="1"/>
    <xf numFmtId="4" fontId="11" fillId="2" borderId="0" xfId="0" applyNumberFormat="1" applyFont="1" applyFill="1"/>
    <xf numFmtId="2" fontId="6" fillId="2" borderId="0" xfId="0" applyNumberFormat="1" applyFont="1" applyFill="1" applyAlignment="1" applyProtection="1">
      <alignment horizontal="right"/>
    </xf>
    <xf numFmtId="2" fontId="6" fillId="0" borderId="0" xfId="0" applyNumberFormat="1" applyFont="1" applyProtection="1"/>
    <xf numFmtId="2" fontId="6" fillId="2" borderId="0" xfId="2" applyNumberFormat="1" applyFont="1" applyFill="1" applyProtection="1"/>
    <xf numFmtId="2" fontId="27" fillId="2" borderId="0" xfId="0" applyNumberFormat="1" applyFont="1" applyFill="1" applyAlignment="1" applyProtection="1">
      <alignment horizontal="right"/>
    </xf>
    <xf numFmtId="2" fontId="27" fillId="0" borderId="0" xfId="0" applyNumberFormat="1" applyFont="1" applyProtection="1"/>
    <xf numFmtId="2" fontId="27" fillId="2" borderId="0" xfId="2" applyNumberFormat="1" applyFont="1" applyFill="1" applyProtection="1"/>
    <xf numFmtId="38" fontId="6" fillId="2" borderId="11" xfId="0" applyNumberFormat="1" applyFont="1" applyFill="1" applyBorder="1" applyAlignment="1" applyProtection="1">
      <alignment horizontal="right"/>
    </xf>
    <xf numFmtId="38" fontId="6" fillId="2" borderId="12" xfId="0" applyNumberFormat="1" applyFont="1" applyFill="1" applyBorder="1" applyProtection="1"/>
    <xf numFmtId="38" fontId="6" fillId="2" borderId="13" xfId="0" applyNumberFormat="1" applyFont="1" applyFill="1" applyBorder="1" applyAlignment="1" applyProtection="1">
      <alignment horizontal="right"/>
    </xf>
    <xf numFmtId="38" fontId="6" fillId="2" borderId="14" xfId="0" applyNumberFormat="1" applyFont="1" applyFill="1" applyBorder="1" applyProtection="1"/>
    <xf numFmtId="0" fontId="6" fillId="2" borderId="13" xfId="0" applyFont="1" applyFill="1" applyBorder="1" applyAlignment="1" applyProtection="1">
      <alignment horizontal="right"/>
    </xf>
    <xf numFmtId="38" fontId="6" fillId="2" borderId="15" xfId="0" applyNumberFormat="1" applyFont="1" applyFill="1" applyBorder="1" applyAlignment="1" applyProtection="1">
      <alignment horizontal="right"/>
    </xf>
    <xf numFmtId="38" fontId="6" fillId="2" borderId="16" xfId="0" applyNumberFormat="1" applyFont="1" applyFill="1" applyBorder="1" applyProtection="1"/>
    <xf numFmtId="38" fontId="7" fillId="0" borderId="0" xfId="0" applyNumberFormat="1" applyFont="1" applyAlignment="1" applyProtection="1">
      <alignment horizontal="center"/>
    </xf>
    <xf numFmtId="0" fontId="7" fillId="0" borderId="0" xfId="0" applyFont="1" applyProtection="1"/>
    <xf numFmtId="6" fontId="6" fillId="0" borderId="0" xfId="0" applyNumberFormat="1" applyFont="1" applyAlignment="1" applyProtection="1">
      <alignment horizontal="left"/>
    </xf>
    <xf numFmtId="6" fontId="41" fillId="0" borderId="0" xfId="0" quotePrefix="1" applyNumberFormat="1" applyFont="1" applyAlignment="1" applyProtection="1">
      <alignment horizontal="center"/>
    </xf>
    <xf numFmtId="14" fontId="41" fillId="0" borderId="1" xfId="0" applyNumberFormat="1" applyFont="1" applyBorder="1" applyAlignment="1" applyProtection="1">
      <alignment horizontal="center"/>
    </xf>
    <xf numFmtId="14" fontId="41" fillId="0" borderId="9" xfId="0" applyNumberFormat="1" applyFont="1" applyBorder="1" applyAlignment="1" applyProtection="1">
      <alignment horizontal="center"/>
    </xf>
    <xf numFmtId="6" fontId="41" fillId="0" borderId="0" xfId="0" applyNumberFormat="1" applyFont="1" applyAlignment="1" applyProtection="1">
      <alignment horizontal="centerContinuous"/>
    </xf>
    <xf numFmtId="6" fontId="41" fillId="2" borderId="0" xfId="0" applyNumberFormat="1" applyFont="1" applyFill="1" applyProtection="1"/>
    <xf numFmtId="6" fontId="41" fillId="5" borderId="3" xfId="0" applyNumberFormat="1" applyFont="1" applyFill="1" applyBorder="1" applyProtection="1"/>
    <xf numFmtId="0" fontId="41" fillId="0" borderId="0" xfId="0" applyFont="1" applyProtection="1"/>
    <xf numFmtId="6" fontId="41" fillId="2" borderId="0" xfId="0" applyNumberFormat="1" applyFont="1" applyFill="1" applyBorder="1" applyProtection="1"/>
    <xf numFmtId="6" fontId="41" fillId="2" borderId="2" xfId="0" applyNumberFormat="1" applyFont="1" applyFill="1" applyBorder="1" applyProtection="1"/>
    <xf numFmtId="6" fontId="41" fillId="2" borderId="6" xfId="0" applyNumberFormat="1" applyFont="1" applyFill="1" applyBorder="1" applyProtection="1"/>
    <xf numFmtId="5" fontId="41" fillId="5" borderId="3" xfId="0" applyNumberFormat="1" applyFont="1" applyFill="1" applyBorder="1" applyProtection="1"/>
    <xf numFmtId="37" fontId="41" fillId="2" borderId="0" xfId="0" applyNumberFormat="1" applyFont="1" applyFill="1" applyProtection="1"/>
    <xf numFmtId="37" fontId="41" fillId="5" borderId="3" xfId="1" applyNumberFormat="1" applyFont="1" applyFill="1" applyBorder="1" applyProtection="1"/>
    <xf numFmtId="3" fontId="41" fillId="5" borderId="5" xfId="1" applyNumberFormat="1" applyFont="1" applyFill="1" applyBorder="1" applyProtection="1"/>
    <xf numFmtId="1" fontId="41" fillId="2" borderId="0" xfId="0" applyNumberFormat="1" applyFont="1" applyFill="1" applyProtection="1"/>
    <xf numFmtId="37" fontId="41" fillId="5" borderId="3" xfId="0" applyNumberFormat="1" applyFont="1" applyFill="1" applyBorder="1" applyProtection="1"/>
    <xf numFmtId="37" fontId="41" fillId="2" borderId="0" xfId="0" applyNumberFormat="1" applyFont="1" applyFill="1" applyBorder="1" applyProtection="1"/>
    <xf numFmtId="10" fontId="41" fillId="2" borderId="0" xfId="0" applyNumberFormat="1" applyFont="1" applyFill="1" applyBorder="1" applyProtection="1"/>
    <xf numFmtId="0" fontId="41" fillId="0" borderId="0" xfId="0" applyFont="1" applyAlignment="1" applyProtection="1">
      <alignment horizontal="right"/>
    </xf>
    <xf numFmtId="0" fontId="17" fillId="0" borderId="0" xfId="0" applyFont="1" applyAlignment="1" applyProtection="1">
      <alignment horizontal="left"/>
    </xf>
    <xf numFmtId="6" fontId="39" fillId="0" borderId="7" xfId="0" applyNumberFormat="1" applyFont="1" applyBorder="1" applyAlignment="1" applyProtection="1">
      <alignment horizontal="left"/>
    </xf>
    <xf numFmtId="6" fontId="39" fillId="0" borderId="0" xfId="0" applyNumberFormat="1" applyFont="1" applyAlignment="1" applyProtection="1">
      <alignment horizontal="left"/>
    </xf>
    <xf numFmtId="6" fontId="6" fillId="0" borderId="0" xfId="0" applyNumberFormat="1" applyFont="1" applyAlignment="1" applyProtection="1"/>
    <xf numFmtId="0" fontId="35" fillId="0" borderId="0" xfId="0" applyFont="1" applyBorder="1" applyAlignment="1">
      <alignment horizontal="left" vertical="top"/>
    </xf>
    <xf numFmtId="0" fontId="6" fillId="0" borderId="6" xfId="0" applyFont="1" applyFill="1" applyBorder="1" applyAlignment="1" applyProtection="1">
      <alignment wrapText="1"/>
    </xf>
    <xf numFmtId="37" fontId="36" fillId="2" borderId="0" xfId="0" applyNumberFormat="1" applyFont="1" applyFill="1" applyBorder="1" applyAlignment="1" applyProtection="1">
      <alignment wrapText="1"/>
    </xf>
    <xf numFmtId="6" fontId="7" fillId="0" borderId="0" xfId="0" applyNumberFormat="1" applyFont="1" applyAlignment="1" applyProtection="1"/>
    <xf numFmtId="14" fontId="46" fillId="0" borderId="0" xfId="0" applyNumberFormat="1" applyFont="1" applyAlignment="1" applyProtection="1">
      <alignment horizontal="center"/>
    </xf>
    <xf numFmtId="38" fontId="6" fillId="2" borderId="17" xfId="0" applyNumberFormat="1" applyFont="1" applyFill="1" applyBorder="1" applyProtection="1"/>
    <xf numFmtId="0" fontId="22" fillId="2" borderId="0" xfId="0" applyFont="1" applyFill="1" applyBorder="1" applyProtection="1"/>
    <xf numFmtId="0" fontId="6" fillId="2" borderId="0" xfId="0" applyFont="1" applyFill="1" applyBorder="1" applyProtection="1"/>
    <xf numFmtId="10" fontId="6" fillId="2" borderId="10" xfId="2" applyNumberFormat="1" applyFont="1" applyFill="1" applyBorder="1" applyProtection="1"/>
    <xf numFmtId="10" fontId="6" fillId="2" borderId="7" xfId="2" applyNumberFormat="1" applyFont="1" applyFill="1" applyBorder="1" applyProtection="1"/>
    <xf numFmtId="38" fontId="47" fillId="0" borderId="0" xfId="0" applyNumberFormat="1" applyFont="1" applyAlignment="1" applyProtection="1">
      <alignment horizontal="left"/>
    </xf>
    <xf numFmtId="0" fontId="49" fillId="0" borderId="0" xfId="0" applyFont="1" applyAlignment="1" applyProtection="1">
      <alignment horizontal="right"/>
    </xf>
    <xf numFmtId="6" fontId="8" fillId="0" borderId="0" xfId="0" applyNumberFormat="1" applyFont="1" applyFill="1" applyBorder="1"/>
    <xf numFmtId="14" fontId="6" fillId="0" borderId="0" xfId="0" applyNumberFormat="1" applyFont="1" applyAlignment="1" applyProtection="1">
      <alignment horizontal="left"/>
    </xf>
    <xf numFmtId="38" fontId="11" fillId="0" borderId="0" xfId="0" applyNumberFormat="1" applyFont="1" applyAlignment="1" applyProtection="1">
      <alignment horizontal="left"/>
    </xf>
    <xf numFmtId="0" fontId="35" fillId="0" borderId="0" xfId="0" applyFont="1" applyBorder="1" applyAlignment="1">
      <alignment horizontal="left" vertical="top" wrapText="1"/>
    </xf>
    <xf numFmtId="0" fontId="42" fillId="0" borderId="0" xfId="0" applyFont="1" applyBorder="1" applyAlignment="1"/>
    <xf numFmtId="6" fontId="49" fillId="5" borderId="3" xfId="0" applyNumberFormat="1" applyFont="1" applyFill="1" applyBorder="1" applyProtection="1"/>
    <xf numFmtId="6" fontId="49" fillId="0" borderId="0" xfId="0" quotePrefix="1" applyNumberFormat="1" applyFont="1" applyAlignment="1" applyProtection="1">
      <alignment horizontal="center"/>
    </xf>
    <xf numFmtId="14" fontId="49" fillId="0" borderId="1" xfId="0" applyNumberFormat="1" applyFont="1" applyBorder="1" applyAlignment="1" applyProtection="1">
      <alignment horizontal="center"/>
    </xf>
    <xf numFmtId="14" fontId="49" fillId="0" borderId="9" xfId="0" applyNumberFormat="1" applyFont="1" applyBorder="1" applyAlignment="1" applyProtection="1">
      <alignment horizontal="center"/>
    </xf>
    <xf numFmtId="6" fontId="49" fillId="2" borderId="0" xfId="0" applyNumberFormat="1" applyFont="1" applyFill="1" applyBorder="1" applyProtection="1"/>
    <xf numFmtId="6" fontId="49" fillId="2" borderId="2" xfId="0" applyNumberFormat="1" applyFont="1" applyFill="1" applyBorder="1" applyProtection="1"/>
    <xf numFmtId="5" fontId="49" fillId="5" borderId="3" xfId="0" applyNumberFormat="1" applyFont="1" applyFill="1" applyBorder="1" applyProtection="1"/>
    <xf numFmtId="6" fontId="49" fillId="2" borderId="0" xfId="0" applyNumberFormat="1" applyFont="1" applyFill="1" applyProtection="1"/>
    <xf numFmtId="37" fontId="49" fillId="2" borderId="0" xfId="0" applyNumberFormat="1" applyFont="1" applyFill="1" applyProtection="1"/>
    <xf numFmtId="37" fontId="49" fillId="5" borderId="3" xfId="1" applyNumberFormat="1" applyFont="1" applyFill="1" applyBorder="1" applyProtection="1"/>
    <xf numFmtId="3" fontId="49" fillId="5" borderId="5" xfId="1" applyNumberFormat="1" applyFont="1" applyFill="1" applyBorder="1" applyProtection="1"/>
    <xf numFmtId="37" fontId="49" fillId="2" borderId="0" xfId="0" applyNumberFormat="1" applyFont="1" applyFill="1" applyBorder="1" applyProtection="1"/>
    <xf numFmtId="0" fontId="49" fillId="0" borderId="0" xfId="0" applyFont="1" applyProtection="1"/>
    <xf numFmtId="1" fontId="49" fillId="2" borderId="0" xfId="0" applyNumberFormat="1" applyFont="1" applyFill="1" applyProtection="1"/>
    <xf numFmtId="37" fontId="49" fillId="5" borderId="3" xfId="0" applyNumberFormat="1" applyFont="1" applyFill="1" applyBorder="1" applyProtection="1"/>
    <xf numFmtId="10" fontId="49" fillId="2" borderId="0" xfId="0" applyNumberFormat="1" applyFont="1" applyFill="1" applyBorder="1" applyProtection="1"/>
    <xf numFmtId="0" fontId="49" fillId="0" borderId="0" xfId="0" applyFont="1" applyBorder="1" applyAlignment="1" applyProtection="1"/>
    <xf numFmtId="0" fontId="50" fillId="0" borderId="0" xfId="0" applyFont="1" applyBorder="1" applyAlignment="1"/>
    <xf numFmtId="6" fontId="49" fillId="0" borderId="0" xfId="0" applyNumberFormat="1" applyFont="1" applyAlignment="1" applyProtection="1">
      <alignment horizontal="centerContinuous"/>
    </xf>
    <xf numFmtId="6" fontId="49" fillId="2" borderId="6" xfId="0" applyNumberFormat="1" applyFont="1" applyFill="1" applyBorder="1" applyProtection="1"/>
    <xf numFmtId="0" fontId="44" fillId="0" borderId="0" xfId="0" applyFont="1" applyAlignment="1" applyProtection="1"/>
    <xf numFmtId="0" fontId="44" fillId="0" borderId="0" xfId="0" applyFont="1" applyAlignment="1"/>
    <xf numFmtId="0" fontId="51" fillId="0" borderId="0" xfId="0" applyFont="1" applyAlignment="1" applyProtection="1">
      <alignment horizontal="left" wrapText="1"/>
    </xf>
    <xf numFmtId="6" fontId="36" fillId="0" borderId="0" xfId="0" applyNumberFormat="1" applyFont="1" applyAlignment="1" applyProtection="1">
      <alignment horizontal="left"/>
    </xf>
    <xf numFmtId="0" fontId="45" fillId="0" borderId="0" xfId="0" applyFont="1" applyAlignment="1"/>
    <xf numFmtId="6" fontId="27" fillId="0" borderId="0" xfId="0" applyNumberFormat="1" applyFont="1" applyAlignment="1" applyProtection="1">
      <alignment horizontal="left"/>
    </xf>
    <xf numFmtId="6" fontId="53" fillId="0" borderId="0" xfId="0" quotePrefix="1" applyNumberFormat="1" applyFont="1" applyAlignment="1" applyProtection="1">
      <alignment horizontal="center"/>
    </xf>
    <xf numFmtId="14" fontId="53" fillId="0" borderId="1" xfId="0" applyNumberFormat="1" applyFont="1" applyBorder="1" applyAlignment="1" applyProtection="1">
      <alignment horizontal="center"/>
    </xf>
    <xf numFmtId="14" fontId="53" fillId="0" borderId="9" xfId="0" applyNumberFormat="1" applyFont="1" applyBorder="1" applyAlignment="1" applyProtection="1">
      <alignment horizontal="center"/>
    </xf>
    <xf numFmtId="6" fontId="53" fillId="0" borderId="0" xfId="0" applyNumberFormat="1" applyFont="1" applyAlignment="1" applyProtection="1">
      <alignment horizontal="centerContinuous"/>
    </xf>
    <xf numFmtId="6" fontId="53" fillId="2" borderId="0" xfId="0" applyNumberFormat="1" applyFont="1" applyFill="1" applyProtection="1"/>
    <xf numFmtId="6" fontId="53" fillId="5" borderId="3" xfId="0" applyNumberFormat="1" applyFont="1" applyFill="1" applyBorder="1" applyProtection="1"/>
    <xf numFmtId="0" fontId="53" fillId="0" borderId="0" xfId="0" applyFont="1" applyProtection="1"/>
    <xf numFmtId="0" fontId="43" fillId="0" borderId="0" xfId="0" applyFont="1" applyProtection="1"/>
    <xf numFmtId="0" fontId="52" fillId="0" borderId="0" xfId="0" applyFont="1" applyProtection="1"/>
    <xf numFmtId="0" fontId="50" fillId="0" borderId="0" xfId="0" applyFont="1"/>
    <xf numFmtId="0" fontId="38" fillId="0" borderId="0" xfId="0" applyFont="1" applyAlignment="1" applyProtection="1">
      <alignment horizontal="left"/>
    </xf>
    <xf numFmtId="6" fontId="49" fillId="6" borderId="0" xfId="0" applyNumberFormat="1" applyFont="1" applyFill="1" applyProtection="1"/>
    <xf numFmtId="0" fontId="17" fillId="0" borderId="0" xfId="0" applyFont="1" applyProtection="1"/>
    <xf numFmtId="6" fontId="54" fillId="2" borderId="0" xfId="0" applyNumberFormat="1" applyFont="1" applyFill="1" applyAlignment="1" applyProtection="1">
      <alignment horizontal="right"/>
    </xf>
    <xf numFmtId="0" fontId="55" fillId="2" borderId="0" xfId="0" applyFont="1" applyFill="1" applyProtection="1"/>
    <xf numFmtId="0" fontId="57" fillId="0" borderId="0" xfId="0" applyFont="1" applyProtection="1"/>
    <xf numFmtId="0" fontId="58" fillId="0" borderId="0" xfId="0" applyFont="1" applyProtection="1"/>
    <xf numFmtId="169" fontId="6" fillId="5" borderId="3" xfId="1" applyNumberFormat="1" applyFont="1" applyFill="1" applyBorder="1" applyProtection="1"/>
    <xf numFmtId="38" fontId="6" fillId="5" borderId="3" xfId="1" applyNumberFormat="1" applyFont="1" applyFill="1" applyBorder="1" applyProtection="1"/>
    <xf numFmtId="0" fontId="37" fillId="0" borderId="0" xfId="0" applyFont="1" applyProtection="1"/>
    <xf numFmtId="0" fontId="39" fillId="0" borderId="0" xfId="0" applyFont="1" applyProtection="1"/>
    <xf numFmtId="0" fontId="36" fillId="0" borderId="0" xfId="0" applyFont="1" applyProtection="1"/>
    <xf numFmtId="170" fontId="6" fillId="2" borderId="0" xfId="0" applyNumberFormat="1" applyFont="1" applyFill="1" applyAlignment="1" applyProtection="1">
      <alignment horizontal="right"/>
    </xf>
    <xf numFmtId="6" fontId="6" fillId="7" borderId="0" xfId="0" applyNumberFormat="1" applyFont="1" applyFill="1" applyBorder="1" applyProtection="1"/>
    <xf numFmtId="37" fontId="59" fillId="5" borderId="3" xfId="1" applyNumberFormat="1" applyFont="1" applyFill="1" applyBorder="1" applyProtection="1"/>
    <xf numFmtId="3" fontId="59" fillId="5" borderId="5" xfId="1" applyNumberFormat="1" applyFont="1" applyFill="1" applyBorder="1" applyProtection="1"/>
    <xf numFmtId="10" fontId="6" fillId="7" borderId="0" xfId="2" applyNumberFormat="1" applyFont="1" applyFill="1" applyBorder="1" applyProtection="1"/>
    <xf numFmtId="0" fontId="6" fillId="7" borderId="0" xfId="0" applyFont="1" applyFill="1" applyAlignment="1" applyProtection="1">
      <alignment horizontal="right"/>
    </xf>
    <xf numFmtId="0" fontId="27" fillId="7" borderId="0" xfId="0" applyFont="1" applyFill="1" applyAlignment="1" applyProtection="1">
      <alignment horizontal="right"/>
    </xf>
    <xf numFmtId="0" fontId="39" fillId="2" borderId="0" xfId="0" applyFont="1" applyFill="1" applyAlignment="1" applyProtection="1">
      <alignment horizontal="right"/>
    </xf>
    <xf numFmtId="0" fontId="39" fillId="2" borderId="0" xfId="0" applyFont="1" applyFill="1" applyAlignment="1" applyProtection="1">
      <alignment horizontal="left"/>
    </xf>
    <xf numFmtId="0" fontId="61" fillId="0" borderId="0" xfId="0" applyFont="1" applyProtection="1"/>
    <xf numFmtId="0" fontId="45" fillId="0" borderId="0" xfId="0" applyFont="1" applyAlignment="1"/>
    <xf numFmtId="6" fontId="6" fillId="0" borderId="0" xfId="0" applyNumberFormat="1" applyFont="1" applyAlignment="1" applyProtection="1">
      <alignment horizontal="center"/>
    </xf>
    <xf numFmtId="0" fontId="6" fillId="0" borderId="0" xfId="0" applyFont="1" applyAlignment="1" applyProtection="1"/>
    <xf numFmtId="0" fontId="6" fillId="0" borderId="0" xfId="0" applyFont="1" applyFill="1" applyAlignment="1" applyProtection="1"/>
    <xf numFmtId="0" fontId="50" fillId="0" borderId="0" xfId="0" applyFont="1" applyAlignment="1"/>
    <xf numFmtId="0" fontId="0" fillId="0" borderId="0" xfId="0" applyAlignment="1"/>
    <xf numFmtId="0" fontId="49" fillId="0" borderId="0" xfId="0" applyFont="1" applyAlignment="1" applyProtection="1"/>
    <xf numFmtId="0" fontId="27" fillId="0" borderId="0" xfId="0" applyFont="1" applyAlignment="1" applyProtection="1"/>
    <xf numFmtId="0" fontId="27" fillId="0" borderId="0" xfId="0" applyFont="1" applyFill="1" applyAlignment="1" applyProtection="1"/>
    <xf numFmtId="38" fontId="7" fillId="0" borderId="0" xfId="0" applyNumberFormat="1" applyFont="1" applyAlignment="1" applyProtection="1"/>
    <xf numFmtId="6" fontId="6" fillId="4" borderId="3" xfId="0" applyNumberFormat="1" applyFont="1" applyFill="1" applyBorder="1" applyProtection="1"/>
    <xf numFmtId="38" fontId="6" fillId="4" borderId="3" xfId="0" applyNumberFormat="1" applyFont="1" applyFill="1" applyBorder="1" applyProtection="1"/>
    <xf numFmtId="3" fontId="6" fillId="4" borderId="3" xfId="0" applyNumberFormat="1" applyFont="1" applyFill="1" applyBorder="1" applyProtection="1"/>
    <xf numFmtId="3" fontId="6" fillId="2" borderId="0" xfId="0" applyNumberFormat="1" applyFont="1" applyFill="1" applyBorder="1" applyProtection="1"/>
    <xf numFmtId="6" fontId="6" fillId="10" borderId="3" xfId="0" applyNumberFormat="1" applyFont="1" applyFill="1" applyBorder="1" applyProtection="1"/>
    <xf numFmtId="38" fontId="6" fillId="10" borderId="3" xfId="0" applyNumberFormat="1" applyFont="1" applyFill="1" applyBorder="1" applyProtection="1"/>
    <xf numFmtId="3" fontId="6" fillId="10" borderId="3" xfId="0" applyNumberFormat="1" applyFont="1" applyFill="1" applyBorder="1" applyProtection="1"/>
    <xf numFmtId="10" fontId="6" fillId="10" borderId="3" xfId="0" applyNumberFormat="1" applyFont="1" applyFill="1" applyBorder="1" applyProtection="1"/>
    <xf numFmtId="38" fontId="64" fillId="0" borderId="0" xfId="0" applyNumberFormat="1" applyFont="1" applyAlignment="1" applyProtection="1"/>
    <xf numFmtId="14" fontId="6" fillId="0" borderId="3" xfId="0" applyNumberFormat="1" applyFont="1" applyBorder="1" applyAlignment="1" applyProtection="1">
      <alignment horizontal="center"/>
      <protection locked="0"/>
    </xf>
    <xf numFmtId="6" fontId="6" fillId="11" borderId="3" xfId="0" applyNumberFormat="1" applyFont="1" applyFill="1" applyBorder="1" applyProtection="1"/>
    <xf numFmtId="38" fontId="6" fillId="11" borderId="3" xfId="0" applyNumberFormat="1" applyFont="1" applyFill="1" applyBorder="1" applyProtection="1"/>
    <xf numFmtId="37" fontId="6" fillId="11" borderId="0" xfId="0" applyNumberFormat="1" applyFont="1" applyFill="1" applyBorder="1" applyProtection="1"/>
    <xf numFmtId="6" fontId="6" fillId="2" borderId="0" xfId="0" applyNumberFormat="1" applyFont="1" applyFill="1" applyAlignment="1" applyProtection="1">
      <alignment horizontal="right"/>
    </xf>
    <xf numFmtId="0" fontId="36" fillId="0" borderId="0" xfId="0" applyFont="1" applyAlignment="1" applyProtection="1">
      <alignment wrapText="1"/>
    </xf>
    <xf numFmtId="1" fontId="6" fillId="0" borderId="0" xfId="0" applyNumberFormat="1" applyFont="1" applyFill="1" applyProtection="1"/>
    <xf numFmtId="37" fontId="6" fillId="0" borderId="0" xfId="0" applyNumberFormat="1" applyFont="1" applyFill="1" applyProtection="1"/>
    <xf numFmtId="6" fontId="6" fillId="2" borderId="6" xfId="0" applyNumberFormat="1" applyFont="1" applyFill="1" applyBorder="1" applyAlignment="1" applyProtection="1">
      <alignment horizontal="center"/>
    </xf>
    <xf numFmtId="37" fontId="13" fillId="4" borderId="3" xfId="0" applyNumberFormat="1" applyFont="1" applyFill="1" applyBorder="1" applyAlignment="1" applyProtection="1">
      <alignment horizontal="center"/>
      <protection locked="0"/>
    </xf>
    <xf numFmtId="6" fontId="20" fillId="0" borderId="0" xfId="0" applyNumberFormat="1" applyFont="1" applyAlignment="1" applyProtection="1">
      <alignment horizontal="left"/>
    </xf>
    <xf numFmtId="6" fontId="6" fillId="0" borderId="0" xfId="0" applyNumberFormat="1" applyFont="1" applyFill="1" applyAlignment="1" applyProtection="1">
      <alignment horizontal="centerContinuous"/>
    </xf>
    <xf numFmtId="14" fontId="6" fillId="11" borderId="3" xfId="0" applyNumberFormat="1" applyFont="1" applyFill="1" applyBorder="1" applyProtection="1"/>
    <xf numFmtId="1" fontId="6" fillId="11" borderId="3" xfId="0" applyNumberFormat="1" applyFont="1" applyFill="1" applyBorder="1" applyProtection="1"/>
    <xf numFmtId="37" fontId="6" fillId="11" borderId="3" xfId="0" applyNumberFormat="1" applyFont="1" applyFill="1" applyBorder="1" applyProtection="1"/>
    <xf numFmtId="37" fontId="66" fillId="5" borderId="3" xfId="0" applyNumberFormat="1" applyFont="1" applyFill="1" applyBorder="1" applyAlignment="1" applyProtection="1">
      <alignment horizontal="right"/>
    </xf>
    <xf numFmtId="37" fontId="66" fillId="0" borderId="0" xfId="0" applyNumberFormat="1" applyFont="1" applyFill="1" applyBorder="1" applyAlignment="1" applyProtection="1">
      <alignment horizontal="right"/>
    </xf>
    <xf numFmtId="6" fontId="6" fillId="12" borderId="3" xfId="0" applyNumberFormat="1" applyFont="1" applyFill="1" applyBorder="1" applyProtection="1"/>
    <xf numFmtId="0" fontId="27" fillId="0" borderId="0" xfId="0" applyFont="1" applyFill="1" applyAlignment="1" applyProtection="1">
      <alignment horizontal="right"/>
    </xf>
    <xf numFmtId="0" fontId="6" fillId="0" borderId="0" xfId="0" applyFont="1" applyFill="1" applyAlignment="1" applyProtection="1">
      <alignment horizontal="right"/>
    </xf>
    <xf numFmtId="6" fontId="6" fillId="0" borderId="0" xfId="0" applyNumberFormat="1" applyFont="1" applyFill="1" applyAlignment="1" applyProtection="1">
      <alignment horizontal="right"/>
    </xf>
    <xf numFmtId="6" fontId="36" fillId="0" borderId="0" xfId="0" applyNumberFormat="1" applyFont="1" applyFill="1" applyAlignment="1" applyProtection="1">
      <alignment horizontal="right"/>
    </xf>
    <xf numFmtId="6" fontId="36" fillId="2" borderId="0" xfId="0" applyNumberFormat="1" applyFont="1" applyFill="1" applyAlignment="1" applyProtection="1">
      <alignment horizontal="right"/>
    </xf>
    <xf numFmtId="6" fontId="39" fillId="2" borderId="0" xfId="0" applyNumberFormat="1" applyFont="1" applyFill="1" applyProtection="1"/>
    <xf numFmtId="6" fontId="39" fillId="2" borderId="0" xfId="0" applyNumberFormat="1" applyFont="1" applyFill="1" applyAlignment="1" applyProtection="1">
      <alignment horizontal="right"/>
    </xf>
    <xf numFmtId="37" fontId="36" fillId="2" borderId="0" xfId="0" applyNumberFormat="1" applyFont="1" applyFill="1" applyProtection="1"/>
    <xf numFmtId="37" fontId="36" fillId="5" borderId="3" xfId="0" applyNumberFormat="1" applyFont="1" applyFill="1" applyBorder="1" applyProtection="1"/>
    <xf numFmtId="0" fontId="36" fillId="2" borderId="0" xfId="0" applyFont="1" applyFill="1" applyProtection="1"/>
    <xf numFmtId="0" fontId="36" fillId="0" borderId="0" xfId="0" applyFont="1" applyAlignment="1" applyProtection="1"/>
    <xf numFmtId="0" fontId="36" fillId="0" borderId="0" xfId="0" applyFont="1" applyAlignment="1" applyProtection="1">
      <alignment horizontal="center"/>
    </xf>
    <xf numFmtId="0" fontId="37" fillId="0" borderId="0" xfId="0" applyFont="1" applyAlignment="1">
      <alignment horizontal="center"/>
    </xf>
    <xf numFmtId="3" fontId="6" fillId="2" borderId="3" xfId="0" applyNumberFormat="1" applyFont="1" applyFill="1" applyBorder="1" applyProtection="1"/>
    <xf numFmtId="3" fontId="6" fillId="2" borderId="0" xfId="0" applyNumberFormat="1" applyFont="1" applyFill="1" applyProtection="1"/>
    <xf numFmtId="3" fontId="15" fillId="0" borderId="0" xfId="0" applyNumberFormat="1" applyFont="1" applyBorder="1" applyAlignment="1" applyProtection="1">
      <alignment horizontal="left"/>
    </xf>
    <xf numFmtId="3" fontId="15" fillId="0" borderId="0" xfId="0" quotePrefix="1" applyNumberFormat="1" applyFont="1" applyBorder="1" applyAlignment="1" applyProtection="1">
      <alignment horizontal="left"/>
    </xf>
    <xf numFmtId="3" fontId="15" fillId="0" borderId="0" xfId="0" applyNumberFormat="1" applyFont="1" applyAlignment="1" applyProtection="1">
      <alignment horizontal="left"/>
    </xf>
    <xf numFmtId="3" fontId="22" fillId="2" borderId="0" xfId="0" applyNumberFormat="1" applyFont="1" applyFill="1" applyBorder="1" applyProtection="1"/>
    <xf numFmtId="3" fontId="6" fillId="2" borderId="17" xfId="0" applyNumberFormat="1" applyFont="1" applyFill="1" applyBorder="1" applyProtection="1"/>
    <xf numFmtId="3" fontId="24" fillId="0" borderId="0" xfId="0" applyNumberFormat="1" applyFont="1" applyFill="1" applyBorder="1" applyAlignment="1" applyProtection="1">
      <alignment horizontal="right"/>
    </xf>
    <xf numFmtId="3" fontId="24" fillId="0" borderId="0" xfId="0" applyNumberFormat="1" applyFont="1" applyFill="1" applyBorder="1" applyAlignment="1" applyProtection="1">
      <alignment horizontal="center"/>
    </xf>
    <xf numFmtId="3" fontId="24" fillId="0" borderId="0" xfId="0" applyNumberFormat="1" applyFont="1" applyFill="1" applyBorder="1" applyProtection="1"/>
    <xf numFmtId="0" fontId="36" fillId="2" borderId="0" xfId="0" applyFont="1" applyFill="1" applyAlignment="1" applyProtection="1">
      <alignment horizontal="center"/>
    </xf>
    <xf numFmtId="0" fontId="67" fillId="0" borderId="0" xfId="0" applyFont="1" applyProtection="1"/>
    <xf numFmtId="5" fontId="66" fillId="0" borderId="0" xfId="0" applyNumberFormat="1" applyFont="1" applyFill="1" applyBorder="1" applyAlignment="1" applyProtection="1">
      <alignment horizontal="center"/>
    </xf>
    <xf numFmtId="0" fontId="68" fillId="0" borderId="0" xfId="0" applyFont="1" applyProtection="1"/>
    <xf numFmtId="0" fontId="36" fillId="0" borderId="0" xfId="2" applyNumberFormat="1" applyFont="1" applyFill="1" applyBorder="1" applyProtection="1"/>
    <xf numFmtId="0" fontId="6" fillId="0" borderId="0" xfId="2" applyNumberFormat="1" applyFont="1" applyFill="1" applyBorder="1" applyProtection="1"/>
    <xf numFmtId="0" fontId="1" fillId="0" borderId="0" xfId="0" applyFont="1" applyProtection="1"/>
    <xf numFmtId="0" fontId="70" fillId="0" borderId="0" xfId="0" applyFont="1" applyProtection="1"/>
    <xf numFmtId="0" fontId="6" fillId="0" borderId="0" xfId="0" applyNumberFormat="1" applyFont="1" applyFill="1" applyAlignment="1" applyProtection="1"/>
    <xf numFmtId="0" fontId="6" fillId="0" borderId="0" xfId="0" applyNumberFormat="1" applyFont="1" applyFill="1" applyProtection="1"/>
    <xf numFmtId="0" fontId="6" fillId="0" borderId="0" xfId="0" quotePrefix="1" applyNumberFormat="1" applyFont="1" applyFill="1" applyAlignment="1" applyProtection="1">
      <alignment horizontal="center"/>
    </xf>
    <xf numFmtId="0" fontId="6" fillId="0" borderId="0" xfId="0" applyNumberFormat="1" applyFont="1" applyFill="1" applyBorder="1" applyAlignment="1" applyProtection="1">
      <alignment horizontal="center"/>
    </xf>
    <xf numFmtId="0" fontId="6" fillId="0" borderId="0" xfId="0" applyNumberFormat="1" applyFont="1" applyFill="1" applyAlignment="1" applyProtection="1">
      <alignment horizontal="center"/>
    </xf>
    <xf numFmtId="0" fontId="21" fillId="0" borderId="0" xfId="2" applyNumberFormat="1" applyFont="1" applyFill="1" applyBorder="1" applyProtection="1"/>
    <xf numFmtId="0" fontId="3" fillId="0" borderId="0" xfId="2" applyNumberFormat="1" applyFont="1" applyFill="1" applyBorder="1" applyProtection="1"/>
    <xf numFmtId="0" fontId="2" fillId="0" borderId="0" xfId="0" applyNumberFormat="1" applyFont="1" applyFill="1" applyAlignment="1" applyProtection="1">
      <alignment horizontal="center"/>
    </xf>
    <xf numFmtId="0" fontId="22" fillId="0" borderId="0" xfId="2" applyNumberFormat="1" applyFont="1" applyFill="1" applyBorder="1" applyProtection="1"/>
    <xf numFmtId="0" fontId="6" fillId="0" borderId="10" xfId="2" applyNumberFormat="1" applyFont="1" applyFill="1" applyBorder="1" applyProtection="1"/>
    <xf numFmtId="0" fontId="6" fillId="0" borderId="7" xfId="2" applyNumberFormat="1" applyFont="1" applyFill="1" applyBorder="1" applyProtection="1"/>
    <xf numFmtId="0" fontId="38" fillId="0" borderId="0" xfId="0" applyFont="1" applyProtection="1"/>
    <xf numFmtId="0" fontId="71" fillId="0" borderId="0" xfId="0" applyFont="1" applyProtection="1"/>
    <xf numFmtId="6" fontId="20" fillId="0" borderId="0" xfId="0" applyNumberFormat="1" applyFont="1" applyAlignment="1" applyProtection="1"/>
    <xf numFmtId="38" fontId="11" fillId="0" borderId="0" xfId="0" applyNumberFormat="1" applyFont="1" applyAlignment="1" applyProtection="1">
      <alignment horizontal="right"/>
    </xf>
    <xf numFmtId="6" fontId="21" fillId="10" borderId="3" xfId="0" applyNumberFormat="1" applyFont="1" applyFill="1" applyBorder="1" applyProtection="1"/>
    <xf numFmtId="38" fontId="72" fillId="2" borderId="0" xfId="0" applyNumberFormat="1" applyFont="1" applyFill="1" applyProtection="1"/>
    <xf numFmtId="3" fontId="13" fillId="4" borderId="3" xfId="0" applyNumberFormat="1" applyFont="1" applyFill="1" applyBorder="1" applyAlignment="1" applyProtection="1">
      <alignment horizontal="center"/>
      <protection locked="0"/>
    </xf>
    <xf numFmtId="38" fontId="36" fillId="0" borderId="0" xfId="0" applyNumberFormat="1" applyFont="1" applyProtection="1"/>
    <xf numFmtId="3" fontId="0" fillId="0" borderId="0" xfId="0" applyNumberFormat="1"/>
    <xf numFmtId="6" fontId="6" fillId="0" borderId="2" xfId="0" applyNumberFormat="1" applyFont="1" applyFill="1" applyBorder="1" applyProtection="1"/>
    <xf numFmtId="164" fontId="56" fillId="0" borderId="0" xfId="0" applyNumberFormat="1" applyFont="1" applyAlignment="1" applyProtection="1">
      <alignment horizontal="center"/>
    </xf>
    <xf numFmtId="0" fontId="56" fillId="0" borderId="0" xfId="0" applyFont="1" applyAlignment="1" applyProtection="1">
      <alignment horizontal="center"/>
    </xf>
    <xf numFmtId="3" fontId="6" fillId="0" borderId="0" xfId="0" applyNumberFormat="1" applyFont="1" applyProtection="1"/>
    <xf numFmtId="3" fontId="6" fillId="8" borderId="3" xfId="0" applyNumberFormat="1" applyFont="1" applyFill="1" applyBorder="1" applyProtection="1"/>
    <xf numFmtId="3" fontId="13" fillId="8" borderId="3" xfId="0" applyNumberFormat="1" applyFont="1" applyFill="1" applyBorder="1" applyProtection="1"/>
    <xf numFmtId="10" fontId="36" fillId="0" borderId="0" xfId="2" applyNumberFormat="1" applyFont="1" applyFill="1" applyBorder="1" applyProtection="1"/>
    <xf numFmtId="0" fontId="20" fillId="0" borderId="0" xfId="0" applyFont="1" applyAlignment="1" applyProtection="1"/>
    <xf numFmtId="6" fontId="6" fillId="2" borderId="18" xfId="0" applyNumberFormat="1" applyFont="1" applyFill="1" applyBorder="1" applyProtection="1"/>
    <xf numFmtId="6" fontId="6" fillId="10" borderId="19" xfId="0" applyNumberFormat="1" applyFont="1" applyFill="1" applyBorder="1" applyProtection="1"/>
    <xf numFmtId="3" fontId="6" fillId="2" borderId="19" xfId="0" applyNumberFormat="1" applyFont="1" applyFill="1" applyBorder="1" applyProtection="1"/>
    <xf numFmtId="0" fontId="1" fillId="0" borderId="0" xfId="0" applyFont="1" applyAlignment="1" applyProtection="1">
      <alignment horizontal="left"/>
    </xf>
    <xf numFmtId="6" fontId="36" fillId="0" borderId="0" xfId="0" applyNumberFormat="1" applyFont="1" applyAlignment="1" applyProtection="1">
      <alignment horizontal="center"/>
    </xf>
    <xf numFmtId="6" fontId="6" fillId="4" borderId="19" xfId="0" applyNumberFormat="1" applyFont="1" applyFill="1" applyBorder="1" applyProtection="1"/>
    <xf numFmtId="38" fontId="6" fillId="4" borderId="19" xfId="0" applyNumberFormat="1" applyFont="1" applyFill="1" applyBorder="1" applyProtection="1"/>
    <xf numFmtId="3" fontId="6" fillId="4" borderId="19" xfId="0" applyNumberFormat="1" applyFont="1" applyFill="1" applyBorder="1" applyProtection="1"/>
    <xf numFmtId="6" fontId="6" fillId="0" borderId="18" xfId="0" applyNumberFormat="1" applyFont="1" applyFill="1" applyBorder="1" applyProtection="1"/>
    <xf numFmtId="6" fontId="6" fillId="9" borderId="3" xfId="0" applyNumberFormat="1" applyFont="1" applyFill="1" applyBorder="1" applyProtection="1"/>
    <xf numFmtId="6" fontId="36" fillId="5" borderId="3" xfId="0" applyNumberFormat="1" applyFont="1" applyFill="1" applyBorder="1" applyProtection="1"/>
    <xf numFmtId="6" fontId="6" fillId="0" borderId="20" xfId="0" applyNumberFormat="1" applyFont="1" applyFill="1" applyBorder="1" applyProtection="1"/>
    <xf numFmtId="0" fontId="6" fillId="0" borderId="0" xfId="0" applyFont="1" applyAlignment="1" applyProtection="1">
      <alignment vertical="center"/>
    </xf>
    <xf numFmtId="37" fontId="6" fillId="2" borderId="0" xfId="4" applyNumberFormat="1" applyFont="1" applyFill="1" applyProtection="1"/>
    <xf numFmtId="0" fontId="6" fillId="2" borderId="0" xfId="4" applyNumberFormat="1" applyFont="1" applyFill="1" applyProtection="1"/>
    <xf numFmtId="37" fontId="6" fillId="2" borderId="6" xfId="4" applyNumberFormat="1" applyFont="1" applyFill="1" applyBorder="1" applyProtection="1"/>
    <xf numFmtId="6" fontId="6" fillId="11" borderId="0" xfId="0" applyNumberFormat="1" applyFont="1" applyFill="1" applyAlignment="1" applyProtection="1">
      <alignment horizontal="centerContinuous"/>
    </xf>
    <xf numFmtId="6" fontId="6" fillId="11" borderId="0" xfId="0" applyNumberFormat="1" applyFont="1" applyFill="1" applyAlignment="1" applyProtection="1">
      <alignment horizontal="center"/>
    </xf>
    <xf numFmtId="6" fontId="6" fillId="11" borderId="0" xfId="0" applyNumberFormat="1" applyFont="1" applyFill="1" applyAlignment="1" applyProtection="1">
      <alignment horizontal="center" wrapText="1"/>
    </xf>
    <xf numFmtId="38" fontId="64" fillId="0" borderId="0" xfId="0" applyNumberFormat="1" applyFont="1" applyAlignment="1" applyProtection="1">
      <alignment horizontal="left"/>
    </xf>
    <xf numFmtId="37" fontId="6" fillId="0" borderId="0" xfId="0" applyNumberFormat="1" applyFont="1" applyFill="1" applyBorder="1" applyProtection="1"/>
    <xf numFmtId="3" fontId="6" fillId="0" borderId="21" xfId="0" applyNumberFormat="1" applyFont="1" applyFill="1" applyBorder="1" applyProtection="1"/>
    <xf numFmtId="37" fontId="6" fillId="0" borderId="10" xfId="0" applyNumberFormat="1" applyFont="1" applyFill="1" applyBorder="1" applyProtection="1"/>
    <xf numFmtId="10" fontId="6" fillId="0" borderId="10" xfId="0" applyNumberFormat="1" applyFont="1" applyFill="1" applyBorder="1" applyProtection="1"/>
    <xf numFmtId="38" fontId="74" fillId="0" borderId="0" xfId="0" applyNumberFormat="1" applyFont="1" applyAlignment="1" applyProtection="1">
      <alignment horizontal="left"/>
    </xf>
    <xf numFmtId="0" fontId="43" fillId="0" borderId="0" xfId="0" applyFont="1" applyAlignment="1" applyProtection="1">
      <alignment horizontal="center"/>
    </xf>
    <xf numFmtId="6" fontId="6" fillId="11" borderId="0" xfId="0" applyNumberFormat="1" applyFont="1" applyFill="1" applyProtection="1"/>
    <xf numFmtId="171" fontId="75" fillId="13" borderId="3" xfId="0" applyNumberFormat="1" applyFont="1" applyFill="1" applyBorder="1" applyProtection="1"/>
    <xf numFmtId="14" fontId="75" fillId="0" borderId="0" xfId="0" applyNumberFormat="1" applyFont="1" applyAlignment="1" applyProtection="1">
      <alignment horizontal="center"/>
    </xf>
    <xf numFmtId="171" fontId="75" fillId="0" borderId="0" xfId="0" applyNumberFormat="1" applyFont="1" applyAlignment="1" applyProtection="1">
      <alignment horizontal="center"/>
    </xf>
    <xf numFmtId="171" fontId="75" fillId="14" borderId="0" xfId="0" applyNumberFormat="1" applyFont="1" applyFill="1" applyProtection="1"/>
    <xf numFmtId="171" fontId="75" fillId="14" borderId="0" xfId="0" applyNumberFormat="1" applyFont="1" applyFill="1" applyBorder="1" applyProtection="1"/>
    <xf numFmtId="171" fontId="75" fillId="0" borderId="18" xfId="0" applyNumberFormat="1" applyFont="1" applyBorder="1" applyProtection="1"/>
    <xf numFmtId="171" fontId="75" fillId="14" borderId="18" xfId="0" applyNumberFormat="1" applyFont="1" applyFill="1" applyBorder="1" applyProtection="1"/>
    <xf numFmtId="171" fontId="75" fillId="14" borderId="6" xfId="0" applyNumberFormat="1" applyFont="1" applyFill="1" applyBorder="1" applyProtection="1"/>
    <xf numFmtId="171" fontId="75" fillId="0" borderId="0" xfId="0" applyNumberFormat="1" applyFont="1" applyBorder="1" applyProtection="1"/>
    <xf numFmtId="37" fontId="75" fillId="14" borderId="0" xfId="1" applyNumberFormat="1" applyFont="1" applyFill="1" applyBorder="1" applyAlignment="1" applyProtection="1"/>
    <xf numFmtId="37" fontId="75" fillId="14" borderId="0" xfId="0" applyNumberFormat="1" applyFont="1" applyFill="1" applyProtection="1"/>
    <xf numFmtId="38" fontId="75" fillId="13" borderId="3" xfId="0" applyNumberFormat="1" applyFont="1" applyFill="1" applyBorder="1" applyProtection="1"/>
    <xf numFmtId="0" fontId="75" fillId="14" borderId="0" xfId="1" applyNumberFormat="1" applyFont="1" applyFill="1" applyBorder="1" applyAlignment="1" applyProtection="1"/>
    <xf numFmtId="1" fontId="75" fillId="14" borderId="0" xfId="0" applyNumberFormat="1" applyFont="1" applyFill="1" applyProtection="1"/>
    <xf numFmtId="3" fontId="75" fillId="13" borderId="3" xfId="0" applyNumberFormat="1" applyFont="1" applyFill="1" applyBorder="1" applyProtection="1"/>
    <xf numFmtId="3" fontId="75" fillId="14" borderId="3" xfId="0" applyNumberFormat="1" applyFont="1" applyFill="1" applyBorder="1" applyProtection="1"/>
    <xf numFmtId="3" fontId="75" fillId="14" borderId="0" xfId="0" applyNumberFormat="1" applyFont="1" applyFill="1" applyBorder="1" applyProtection="1"/>
    <xf numFmtId="37" fontId="75" fillId="14" borderId="6" xfId="1" applyNumberFormat="1" applyFont="1" applyFill="1" applyBorder="1" applyAlignment="1" applyProtection="1"/>
    <xf numFmtId="37" fontId="75" fillId="14" borderId="0" xfId="0" applyNumberFormat="1" applyFont="1" applyFill="1" applyBorder="1" applyProtection="1"/>
    <xf numFmtId="10" fontId="75" fillId="13" borderId="3" xfId="0" applyNumberFormat="1" applyFont="1" applyFill="1" applyBorder="1" applyProtection="1"/>
    <xf numFmtId="37" fontId="6" fillId="2" borderId="0" xfId="4" applyNumberFormat="1" applyFont="1" applyFill="1" applyProtection="1"/>
    <xf numFmtId="0" fontId="6" fillId="2" borderId="0" xfId="4" applyNumberFormat="1" applyFont="1" applyFill="1" applyProtection="1"/>
    <xf numFmtId="37" fontId="6" fillId="2" borderId="6" xfId="4" applyNumberFormat="1" applyFont="1" applyFill="1" applyBorder="1" applyProtection="1"/>
    <xf numFmtId="6" fontId="36" fillId="11" borderId="0" xfId="0" applyNumberFormat="1" applyFont="1" applyFill="1" applyProtection="1"/>
    <xf numFmtId="6" fontId="36" fillId="11" borderId="0" xfId="0" applyNumberFormat="1" applyFont="1" applyFill="1" applyAlignment="1" applyProtection="1">
      <alignment horizontal="center"/>
    </xf>
    <xf numFmtId="14" fontId="43" fillId="0" borderId="0" xfId="0" applyNumberFormat="1" applyFont="1" applyAlignment="1" applyProtection="1">
      <alignment horizontal="center"/>
    </xf>
    <xf numFmtId="14" fontId="43" fillId="0" borderId="0" xfId="0" applyNumberFormat="1" applyFont="1" applyAlignment="1" applyProtection="1">
      <alignment horizontal="left"/>
    </xf>
    <xf numFmtId="37" fontId="6" fillId="5" borderId="3" xfId="0" applyNumberFormat="1" applyFont="1" applyFill="1" applyBorder="1" applyAlignment="1" applyProtection="1">
      <alignment wrapText="1"/>
    </xf>
    <xf numFmtId="38" fontId="39" fillId="0" borderId="0" xfId="0" applyNumberFormat="1" applyFont="1" applyProtection="1"/>
    <xf numFmtId="6" fontId="36" fillId="2" borderId="0" xfId="0" applyNumberFormat="1" applyFont="1" applyFill="1" applyProtection="1"/>
    <xf numFmtId="38" fontId="20" fillId="0" borderId="0" xfId="0" applyNumberFormat="1" applyFont="1" applyProtection="1"/>
    <xf numFmtId="6" fontId="43" fillId="0" borderId="0" xfId="0" applyNumberFormat="1" applyFont="1" applyAlignment="1" applyProtection="1">
      <alignment horizontal="left"/>
    </xf>
    <xf numFmtId="14" fontId="39" fillId="0" borderId="3" xfId="0" applyNumberFormat="1" applyFont="1" applyBorder="1" applyAlignment="1" applyProtection="1">
      <alignment horizontal="center"/>
    </xf>
    <xf numFmtId="6" fontId="27" fillId="10" borderId="3" xfId="0" applyNumberFormat="1" applyFont="1" applyFill="1" applyBorder="1" applyProtection="1"/>
    <xf numFmtId="0" fontId="44" fillId="0" borderId="0" xfId="0" applyFont="1" applyProtection="1"/>
    <xf numFmtId="0" fontId="35" fillId="0" borderId="0" xfId="0" applyFont="1" applyBorder="1" applyAlignment="1">
      <alignment horizontal="left" vertical="top" wrapText="1"/>
    </xf>
    <xf numFmtId="38" fontId="43" fillId="0" borderId="0" xfId="0" applyNumberFormat="1" applyFont="1" applyProtection="1"/>
    <xf numFmtId="38" fontId="36" fillId="2" borderId="0" xfId="0" applyNumberFormat="1" applyFont="1" applyFill="1" applyBorder="1" applyProtection="1"/>
    <xf numFmtId="38" fontId="36" fillId="2" borderId="0" xfId="0" applyNumberFormat="1" applyFont="1" applyFill="1" applyProtection="1"/>
    <xf numFmtId="37" fontId="39" fillId="2" borderId="0" xfId="0" applyNumberFormat="1" applyFont="1" applyFill="1" applyProtection="1"/>
    <xf numFmtId="0" fontId="6" fillId="11" borderId="0" xfId="0" applyFont="1" applyFill="1" applyAlignment="1" applyProtection="1">
      <alignment horizontal="center"/>
    </xf>
    <xf numFmtId="0" fontId="44" fillId="0" borderId="0" xfId="0" applyFont="1" applyAlignment="1">
      <alignment horizontal="center"/>
    </xf>
    <xf numFmtId="0" fontId="77" fillId="0" borderId="0" xfId="0" applyFont="1" applyProtection="1"/>
    <xf numFmtId="0" fontId="78" fillId="0" borderId="0" xfId="0" applyFont="1"/>
    <xf numFmtId="6" fontId="49" fillId="11" borderId="0" xfId="0" applyNumberFormat="1" applyFont="1" applyFill="1" applyAlignment="1" applyProtection="1">
      <alignment horizontal="center"/>
    </xf>
    <xf numFmtId="3" fontId="6" fillId="5" borderId="3" xfId="0" applyNumberFormat="1" applyFont="1" applyFill="1" applyBorder="1" applyProtection="1"/>
    <xf numFmtId="0" fontId="79" fillId="0" borderId="0" xfId="0" applyFont="1"/>
    <xf numFmtId="0" fontId="79" fillId="0" borderId="0" xfId="0" applyFont="1" applyProtection="1"/>
    <xf numFmtId="0" fontId="44" fillId="0" borderId="0" xfId="0" applyFont="1" applyBorder="1" applyAlignment="1">
      <alignment horizontal="left" vertical="top"/>
    </xf>
    <xf numFmtId="6" fontId="27" fillId="11" borderId="0" xfId="0" applyNumberFormat="1" applyFont="1" applyFill="1" applyProtection="1"/>
    <xf numFmtId="6" fontId="27" fillId="11" borderId="0" xfId="0" applyNumberFormat="1" applyFont="1" applyFill="1" applyAlignment="1" applyProtection="1">
      <alignment horizontal="left"/>
    </xf>
    <xf numFmtId="3" fontId="36" fillId="2" borderId="0" xfId="0" applyNumberFormat="1" applyFont="1" applyFill="1" applyBorder="1" applyProtection="1"/>
    <xf numFmtId="6" fontId="73" fillId="0" borderId="0" xfId="0" applyNumberFormat="1" applyFont="1" applyAlignment="1" applyProtection="1"/>
    <xf numFmtId="6" fontId="36" fillId="0" borderId="0" xfId="0" applyNumberFormat="1" applyFont="1" applyAlignment="1" applyProtection="1">
      <alignment horizontal="centerContinuous"/>
    </xf>
    <xf numFmtId="38" fontId="6" fillId="10" borderId="19" xfId="0" applyNumberFormat="1" applyFont="1" applyFill="1" applyBorder="1" applyProtection="1"/>
    <xf numFmtId="3" fontId="6" fillId="10" borderId="19" xfId="0" applyNumberFormat="1" applyFont="1" applyFill="1" applyBorder="1" applyProtection="1"/>
    <xf numFmtId="10" fontId="6" fillId="10" borderId="19" xfId="0" applyNumberFormat="1" applyFont="1" applyFill="1" applyBorder="1" applyProtection="1"/>
    <xf numFmtId="0" fontId="36" fillId="2" borderId="0" xfId="0" applyFont="1" applyFill="1" applyAlignment="1" applyProtection="1">
      <alignment horizontal="left"/>
    </xf>
    <xf numFmtId="0" fontId="80" fillId="0" borderId="0" xfId="2" applyNumberFormat="1" applyFont="1" applyFill="1" applyBorder="1" applyProtection="1"/>
    <xf numFmtId="1" fontId="6" fillId="0" borderId="0" xfId="2" applyNumberFormat="1" applyFont="1" applyFill="1" applyBorder="1" applyProtection="1"/>
    <xf numFmtId="1" fontId="21" fillId="0" borderId="0" xfId="2" applyNumberFormat="1" applyFont="1" applyFill="1" applyBorder="1" applyProtection="1"/>
    <xf numFmtId="3" fontId="6" fillId="11" borderId="3" xfId="0" applyNumberFormat="1" applyFont="1" applyFill="1" applyBorder="1" applyProtection="1"/>
    <xf numFmtId="0" fontId="6" fillId="0" borderId="0" xfId="0" applyFont="1" applyAlignment="1" applyProtection="1">
      <alignment wrapText="1"/>
    </xf>
    <xf numFmtId="38" fontId="8" fillId="0" borderId="0" xfId="0" applyNumberFormat="1" applyFont="1" applyAlignment="1" applyProtection="1">
      <alignment horizontal="left"/>
    </xf>
    <xf numFmtId="10" fontId="6" fillId="4" borderId="19" xfId="0" applyNumberFormat="1" applyFont="1" applyFill="1" applyBorder="1" applyProtection="1"/>
    <xf numFmtId="0" fontId="81" fillId="0" borderId="0" xfId="0" applyFont="1" applyProtection="1"/>
    <xf numFmtId="6" fontId="24" fillId="5" borderId="3" xfId="0" applyNumberFormat="1" applyFont="1" applyFill="1" applyBorder="1" applyProtection="1"/>
    <xf numFmtId="6" fontId="6" fillId="11" borderId="19" xfId="0" applyNumberFormat="1" applyFont="1" applyFill="1" applyBorder="1" applyAlignment="1" applyProtection="1">
      <alignment horizontal="centerContinuous"/>
    </xf>
    <xf numFmtId="6" fontId="6" fillId="11" borderId="0" xfId="0" applyNumberFormat="1" applyFont="1" applyFill="1" applyAlignment="1" applyProtection="1">
      <alignment horizontal="left"/>
    </xf>
    <xf numFmtId="14" fontId="36" fillId="0" borderId="0" xfId="0" applyNumberFormat="1" applyFont="1" applyAlignment="1" applyProtection="1"/>
    <xf numFmtId="0" fontId="43" fillId="0" borderId="0" xfId="0" applyFont="1" applyAlignment="1" applyProtection="1"/>
    <xf numFmtId="6" fontId="27" fillId="11" borderId="19" xfId="0" applyNumberFormat="1" applyFont="1" applyFill="1" applyBorder="1" applyProtection="1"/>
    <xf numFmtId="6" fontId="27" fillId="11" borderId="19" xfId="0" applyNumberFormat="1" applyFont="1" applyFill="1" applyBorder="1" applyAlignment="1" applyProtection="1"/>
    <xf numFmtId="6" fontId="27" fillId="11" borderId="3" xfId="0" applyNumberFormat="1" applyFont="1" applyFill="1" applyBorder="1" applyProtection="1"/>
    <xf numFmtId="6" fontId="6" fillId="11" borderId="19" xfId="0" applyNumberFormat="1" applyFont="1" applyFill="1" applyBorder="1" applyProtection="1"/>
    <xf numFmtId="5" fontId="24" fillId="11" borderId="3" xfId="0" applyNumberFormat="1" applyFont="1" applyFill="1" applyBorder="1" applyProtection="1"/>
    <xf numFmtId="6" fontId="49" fillId="11" borderId="3" xfId="0" applyNumberFormat="1" applyFont="1" applyFill="1" applyBorder="1" applyProtection="1"/>
    <xf numFmtId="5" fontId="49" fillId="11" borderId="3" xfId="0" applyNumberFormat="1" applyFont="1" applyFill="1" applyBorder="1" applyProtection="1"/>
    <xf numFmtId="6" fontId="24" fillId="11" borderId="3" xfId="0" applyNumberFormat="1" applyFont="1" applyFill="1" applyBorder="1" applyProtection="1"/>
    <xf numFmtId="10" fontId="6" fillId="0" borderId="7" xfId="2" applyNumberFormat="1" applyFont="1" applyFill="1" applyBorder="1" applyAlignment="1" applyProtection="1">
      <alignment wrapText="1"/>
    </xf>
    <xf numFmtId="0" fontId="0" fillId="0" borderId="0" xfId="0" applyAlignment="1">
      <alignment wrapText="1"/>
    </xf>
    <xf numFmtId="38" fontId="43" fillId="0" borderId="0" xfId="0" applyNumberFormat="1" applyFont="1" applyAlignment="1" applyProtection="1">
      <alignment wrapText="1"/>
    </xf>
    <xf numFmtId="0" fontId="35" fillId="0" borderId="0" xfId="0" applyFont="1" applyBorder="1" applyAlignment="1">
      <alignment horizontal="left" vertical="top" wrapText="1"/>
    </xf>
    <xf numFmtId="6" fontId="14" fillId="0" borderId="0" xfId="0" quotePrefix="1" applyNumberFormat="1" applyFont="1" applyAlignment="1">
      <alignment horizontal="center"/>
    </xf>
    <xf numFmtId="7" fontId="11" fillId="0" borderId="1" xfId="0" applyNumberFormat="1" applyFont="1" applyBorder="1" applyAlignment="1">
      <alignment horizontal="center" wrapText="1"/>
    </xf>
    <xf numFmtId="7" fontId="11" fillId="0" borderId="10" xfId="0" applyNumberFormat="1" applyFont="1" applyBorder="1" applyAlignment="1">
      <alignment horizontal="center" wrapText="1"/>
    </xf>
    <xf numFmtId="7" fontId="11" fillId="0" borderId="9" xfId="0" applyNumberFormat="1" applyFont="1" applyBorder="1" applyAlignment="1">
      <alignment horizontal="center" wrapText="1"/>
    </xf>
    <xf numFmtId="0" fontId="40" fillId="0" borderId="0" xfId="0" applyFont="1" applyBorder="1" applyAlignment="1">
      <alignment horizontal="left" wrapText="1"/>
    </xf>
  </cellXfs>
  <cellStyles count="7">
    <cellStyle name="Comma" xfId="1" builtinId="3"/>
    <cellStyle name="Comma 2" xfId="4" xr:uid="{00000000-0005-0000-0000-000001000000}"/>
    <cellStyle name="Currency" xfId="2" builtinId="4"/>
    <cellStyle name="Currency 2" xfId="5" xr:uid="{00000000-0005-0000-0000-000003000000}"/>
    <cellStyle name="Normal" xfId="0" builtinId="0"/>
    <cellStyle name="Normal 2" xfId="3" xr:uid="{00000000-0005-0000-0000-000005000000}"/>
    <cellStyle name="Percent 2" xfId="6" xr:uid="{00000000-0005-0000-0000-000006000000}"/>
  </cellStyles>
  <dxfs count="0"/>
  <tableStyles count="0" defaultTableStyle="TableStyleMedium9" defaultPivotStyle="PivotStyleLight16"/>
  <colors>
    <mruColors>
      <color rgb="FFCCECFF"/>
      <color rgb="FFCCFFFF"/>
      <color rgb="FFFFFF99"/>
      <color rgb="FF99CCFF"/>
      <color rgb="FF000000"/>
      <color rgb="FFFCFC9A"/>
      <color rgb="FFCCFFCC"/>
      <color rgb="FF0066CC"/>
      <color rgb="FF0033CC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32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externalLink" Target="externalLinks/externalLink4.xml"/><Relationship Id="rId112" Type="http://schemas.openxmlformats.org/officeDocument/2006/relationships/externalLink" Target="externalLinks/externalLink27.xml"/><Relationship Id="rId133" Type="http://schemas.openxmlformats.org/officeDocument/2006/relationships/externalLink" Target="externalLinks/externalLink48.xml"/><Relationship Id="rId138" Type="http://schemas.openxmlformats.org/officeDocument/2006/relationships/externalLink" Target="externalLinks/externalLink53.xml"/><Relationship Id="rId154" Type="http://schemas.openxmlformats.org/officeDocument/2006/relationships/externalLink" Target="externalLinks/externalLink69.xml"/><Relationship Id="rId159" Type="http://schemas.openxmlformats.org/officeDocument/2006/relationships/externalLink" Target="externalLinks/externalLink74.xml"/><Relationship Id="rId175" Type="http://schemas.openxmlformats.org/officeDocument/2006/relationships/calcChain" Target="calcChain.xml"/><Relationship Id="rId170" Type="http://schemas.openxmlformats.org/officeDocument/2006/relationships/externalLink" Target="externalLinks/externalLink85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22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externalLink" Target="externalLinks/externalLink17.xml"/><Relationship Id="rId123" Type="http://schemas.openxmlformats.org/officeDocument/2006/relationships/externalLink" Target="externalLinks/externalLink38.xml"/><Relationship Id="rId128" Type="http://schemas.openxmlformats.org/officeDocument/2006/relationships/externalLink" Target="externalLinks/externalLink43.xml"/><Relationship Id="rId144" Type="http://schemas.openxmlformats.org/officeDocument/2006/relationships/externalLink" Target="externalLinks/externalLink59.xml"/><Relationship Id="rId149" Type="http://schemas.openxmlformats.org/officeDocument/2006/relationships/externalLink" Target="externalLinks/externalLink64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5.xml"/><Relationship Id="rId95" Type="http://schemas.openxmlformats.org/officeDocument/2006/relationships/externalLink" Target="externalLinks/externalLink10.xml"/><Relationship Id="rId160" Type="http://schemas.openxmlformats.org/officeDocument/2006/relationships/externalLink" Target="externalLinks/externalLink75.xml"/><Relationship Id="rId165" Type="http://schemas.openxmlformats.org/officeDocument/2006/relationships/externalLink" Target="externalLinks/externalLink80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28.xml"/><Relationship Id="rId118" Type="http://schemas.openxmlformats.org/officeDocument/2006/relationships/externalLink" Target="externalLinks/externalLink33.xml"/><Relationship Id="rId134" Type="http://schemas.openxmlformats.org/officeDocument/2006/relationships/externalLink" Target="externalLinks/externalLink49.xml"/><Relationship Id="rId139" Type="http://schemas.openxmlformats.org/officeDocument/2006/relationships/externalLink" Target="externalLinks/externalLink54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externalLink" Target="externalLinks/externalLink65.xml"/><Relationship Id="rId155" Type="http://schemas.openxmlformats.org/officeDocument/2006/relationships/externalLink" Target="externalLinks/externalLink70.xml"/><Relationship Id="rId171" Type="http://schemas.openxmlformats.org/officeDocument/2006/relationships/externalLink" Target="externalLinks/externalLink8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18.xml"/><Relationship Id="rId108" Type="http://schemas.openxmlformats.org/officeDocument/2006/relationships/externalLink" Target="externalLinks/externalLink23.xml"/><Relationship Id="rId124" Type="http://schemas.openxmlformats.org/officeDocument/2006/relationships/externalLink" Target="externalLinks/externalLink39.xml"/><Relationship Id="rId129" Type="http://schemas.openxmlformats.org/officeDocument/2006/relationships/externalLink" Target="externalLinks/externalLink44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externalLink" Target="externalLinks/externalLink6.xml"/><Relationship Id="rId96" Type="http://schemas.openxmlformats.org/officeDocument/2006/relationships/externalLink" Target="externalLinks/externalLink11.xml"/><Relationship Id="rId140" Type="http://schemas.openxmlformats.org/officeDocument/2006/relationships/externalLink" Target="externalLinks/externalLink55.xml"/><Relationship Id="rId145" Type="http://schemas.openxmlformats.org/officeDocument/2006/relationships/externalLink" Target="externalLinks/externalLink60.xml"/><Relationship Id="rId161" Type="http://schemas.openxmlformats.org/officeDocument/2006/relationships/externalLink" Target="externalLinks/externalLink76.xml"/><Relationship Id="rId166" Type="http://schemas.openxmlformats.org/officeDocument/2006/relationships/externalLink" Target="externalLinks/externalLink8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29.xml"/><Relationship Id="rId119" Type="http://schemas.openxmlformats.org/officeDocument/2006/relationships/externalLink" Target="externalLinks/externalLink3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externalLink" Target="externalLinks/externalLink1.xml"/><Relationship Id="rId94" Type="http://schemas.openxmlformats.org/officeDocument/2006/relationships/externalLink" Target="externalLinks/externalLink9.xml"/><Relationship Id="rId99" Type="http://schemas.openxmlformats.org/officeDocument/2006/relationships/externalLink" Target="externalLinks/externalLink14.xml"/><Relationship Id="rId101" Type="http://schemas.openxmlformats.org/officeDocument/2006/relationships/externalLink" Target="externalLinks/externalLink16.xml"/><Relationship Id="rId122" Type="http://schemas.openxmlformats.org/officeDocument/2006/relationships/externalLink" Target="externalLinks/externalLink37.xml"/><Relationship Id="rId130" Type="http://schemas.openxmlformats.org/officeDocument/2006/relationships/externalLink" Target="externalLinks/externalLink45.xml"/><Relationship Id="rId135" Type="http://schemas.openxmlformats.org/officeDocument/2006/relationships/externalLink" Target="externalLinks/externalLink50.xml"/><Relationship Id="rId143" Type="http://schemas.openxmlformats.org/officeDocument/2006/relationships/externalLink" Target="externalLinks/externalLink58.xml"/><Relationship Id="rId148" Type="http://schemas.openxmlformats.org/officeDocument/2006/relationships/externalLink" Target="externalLinks/externalLink63.xml"/><Relationship Id="rId151" Type="http://schemas.openxmlformats.org/officeDocument/2006/relationships/externalLink" Target="externalLinks/externalLink66.xml"/><Relationship Id="rId156" Type="http://schemas.openxmlformats.org/officeDocument/2006/relationships/externalLink" Target="externalLinks/externalLink71.xml"/><Relationship Id="rId164" Type="http://schemas.openxmlformats.org/officeDocument/2006/relationships/externalLink" Target="externalLinks/externalLink79.xml"/><Relationship Id="rId169" Type="http://schemas.openxmlformats.org/officeDocument/2006/relationships/externalLink" Target="externalLinks/externalLink8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theme" Target="theme/theme1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24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12.xml"/><Relationship Id="rId104" Type="http://schemas.openxmlformats.org/officeDocument/2006/relationships/externalLink" Target="externalLinks/externalLink19.xml"/><Relationship Id="rId120" Type="http://schemas.openxmlformats.org/officeDocument/2006/relationships/externalLink" Target="externalLinks/externalLink35.xml"/><Relationship Id="rId125" Type="http://schemas.openxmlformats.org/officeDocument/2006/relationships/externalLink" Target="externalLinks/externalLink40.xml"/><Relationship Id="rId141" Type="http://schemas.openxmlformats.org/officeDocument/2006/relationships/externalLink" Target="externalLinks/externalLink56.xml"/><Relationship Id="rId146" Type="http://schemas.openxmlformats.org/officeDocument/2006/relationships/externalLink" Target="externalLinks/externalLink61.xml"/><Relationship Id="rId167" Type="http://schemas.openxmlformats.org/officeDocument/2006/relationships/externalLink" Target="externalLinks/externalLink8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7.xml"/><Relationship Id="rId162" Type="http://schemas.openxmlformats.org/officeDocument/2006/relationships/externalLink" Target="externalLinks/externalLink77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2.xml"/><Relationship Id="rId110" Type="http://schemas.openxmlformats.org/officeDocument/2006/relationships/externalLink" Target="externalLinks/externalLink25.xml"/><Relationship Id="rId115" Type="http://schemas.openxmlformats.org/officeDocument/2006/relationships/externalLink" Target="externalLinks/externalLink30.xml"/><Relationship Id="rId131" Type="http://schemas.openxmlformats.org/officeDocument/2006/relationships/externalLink" Target="externalLinks/externalLink46.xml"/><Relationship Id="rId136" Type="http://schemas.openxmlformats.org/officeDocument/2006/relationships/externalLink" Target="externalLinks/externalLink51.xml"/><Relationship Id="rId157" Type="http://schemas.openxmlformats.org/officeDocument/2006/relationships/externalLink" Target="externalLinks/externalLink72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externalLink" Target="externalLinks/externalLink67.xml"/><Relationship Id="rId173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15.xml"/><Relationship Id="rId105" Type="http://schemas.openxmlformats.org/officeDocument/2006/relationships/externalLink" Target="externalLinks/externalLink20.xml"/><Relationship Id="rId126" Type="http://schemas.openxmlformats.org/officeDocument/2006/relationships/externalLink" Target="externalLinks/externalLink41.xml"/><Relationship Id="rId147" Type="http://schemas.openxmlformats.org/officeDocument/2006/relationships/externalLink" Target="externalLinks/externalLink62.xml"/><Relationship Id="rId168" Type="http://schemas.openxmlformats.org/officeDocument/2006/relationships/externalLink" Target="externalLinks/externalLink8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8.xml"/><Relationship Id="rId98" Type="http://schemas.openxmlformats.org/officeDocument/2006/relationships/externalLink" Target="externalLinks/externalLink13.xml"/><Relationship Id="rId121" Type="http://schemas.openxmlformats.org/officeDocument/2006/relationships/externalLink" Target="externalLinks/externalLink36.xml"/><Relationship Id="rId142" Type="http://schemas.openxmlformats.org/officeDocument/2006/relationships/externalLink" Target="externalLinks/externalLink57.xml"/><Relationship Id="rId163" Type="http://schemas.openxmlformats.org/officeDocument/2006/relationships/externalLink" Target="externalLinks/externalLink7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externalLink" Target="externalLinks/externalLink31.xml"/><Relationship Id="rId137" Type="http://schemas.openxmlformats.org/officeDocument/2006/relationships/externalLink" Target="externalLinks/externalLink52.xml"/><Relationship Id="rId158" Type="http://schemas.openxmlformats.org/officeDocument/2006/relationships/externalLink" Target="externalLinks/externalLink7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externalLink" Target="externalLinks/externalLink3.xml"/><Relationship Id="rId111" Type="http://schemas.openxmlformats.org/officeDocument/2006/relationships/externalLink" Target="externalLinks/externalLink26.xml"/><Relationship Id="rId132" Type="http://schemas.openxmlformats.org/officeDocument/2006/relationships/externalLink" Target="externalLinks/externalLink47.xml"/><Relationship Id="rId153" Type="http://schemas.openxmlformats.org/officeDocument/2006/relationships/externalLink" Target="externalLinks/externalLink68.xml"/><Relationship Id="rId174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21.xml"/><Relationship Id="rId127" Type="http://schemas.openxmlformats.org/officeDocument/2006/relationships/externalLink" Target="externalLinks/externalLink42.xml"/></Relationships>
</file>

<file path=xl/ctrlProps/ctrlProp1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958850</xdr:colOff>
          <xdr:row>0</xdr:row>
          <xdr:rowOff>0</xdr:rowOff>
        </xdr:from>
        <xdr:to>
          <xdr:col>6</xdr:col>
          <xdr:colOff>1028700</xdr:colOff>
          <xdr:row>0</xdr:row>
          <xdr:rowOff>0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5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Times New Roman"/>
                  <a:cs typeface="Times New Roman"/>
                </a:rPr>
                <a:t>START MACRO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Alpine\Alpine%20FCP%202015%20Report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Canyon%20Rim\NF%20FCP%20Forms-FY15-Canyon%20Rim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Canyonlands\FCP%20Forms-FY15REVISEDNOV15%20(2)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Central%20Utah%20VA%20-%20Payson\NF%20FCP%20Forms-FY15-VA-Payson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City%20Creek\246-City%20Creek%20NF%20FCP%20Forms-FY15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Copper%20Ridge\266-Copper%20Ridge%20NF%20FCP%20Forms-FY15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Country%20Life\NF%20FCP%20Forms-FY15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Crestwood\NF%20FCP%20Forms-FY15%20-%20Crestwood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Draper\256-Draper%20NF%20FCP%20Forms-FY15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Emery\1-FCP%20Report%20Emery%20Care%202015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Fairview%20East\NF%20FCP%20Forms-FY15%20-%20Fairview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Art%20City\1-FCP%20Report%20Art%20City%20Nursing%202015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Four%20Corner%20Reg\Four%20Corners_FCP_01.31.15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Hazen\HazenFCP_2015%20(2)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Heritage%20Care\NF%20FCP%20Forms-FY15-Heritage%20Care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Heritage%20Hills\NF%20FCP%20Forms-FY15-Heritage%20Hills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Heritage%20Park\NF%20FCP%20Forms-FY15-Roy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Highland\NF%20FCP%20Forms-FY15%20-%20Highland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Hillside\Hillside%20June%202015%20FCP%20reports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Holladay\249-Holladay%20NF%20FCP%20Forms-FY15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Hurricane\287-HurricaneNF%20FCP%20Forms-FY15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Iron%20County\1-FCP%20Report%20Iron%20County%20Nursing%20201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Avalon%20Bountiful\NF%20FCP%20Forms-FY15-Bountiful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Kolob%20-%20St.%20George\Kolob%20Care%20and%20Rehabilitation%20Center%20of%20St.%20George%20-%202015%20FCP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Kolob%20-%20Cedar%20City\Kolob%20Regional%20Care%20&amp;%20Rehab%20of%20Cedar%20City%20-%202015%20FCP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Life%20Care%20of%20Bountiful\0615CRSCH-Bountiful-StateCopy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Little%20Cottonwood\FCP%20-%202015_a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Logan\NF%20FCP%20Forms%20-%20Copy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RMC%20Logan\LOGAN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Lomond%20Peak\NF%20FCP%20Forms-FY15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Manor%20Care%20South%20Ogden\South%20Ogden%20NF%20FCP%20Forms-FY15%20-%20Copy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Meadow%20Brook\FCP%20-%202015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Midtown%20Manor\NF%20FCP%20Forms-FY15%20-%20Midtown%20Mano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Avalon%20Valley\NF%20FCP%20Forms-FY15-Avalon%20Valley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Millard\1-FCP%20Report%20Millard%20Care%202015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Millcreek\FCP%202015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Mission%20at%20Bear%20River-%20GVH\Bear%20River%20FCP%20June%202015%20Report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Mission%20at%20Community%20Living-%20GVH\CL%20FCP%20Forms-FY15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Mountain%20View\FCP%20for%20Mountain%20View%202015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Mt.%20Ogden\242-Mt.%20Ogden%20NF%20FCP%20Forms-FY15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Mt.%20Olympus\MtOlympusFCPfor%20013115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BV-%20Mt.%20Olympus\BeaverValley_TUL_FCP_FY063015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North%20Canyon\NF%20FCP%20Forms-FY15-North%20Canyon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Ogden%20VA,%20George%20E.%20Wahlen\NF%20FCP%20Forms-FY15-VA-Ogden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Bennion\NF%20FCP%20Forms-FY15%20-%20Bennion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Orchard%20Park\NF%20FCP%20Forms-FY15%20(1)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Orem\260-Orem%20NF%20FCP%20Forms-FY15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Paramount\251-Paramount%20NF%20FCP%20Forms-FY15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Parkdale\ParkdaleFCP%20_FY013115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BV-%20Parkdale\BeaverValley_Begonia_FCP_FY063015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Parkway\1-FCP%20Report%20Parkway%202015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Pine%20Creek\NF%20FCP%20Forms-FY15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Pinnacle\267-Pinnacle%20NF%20FCP%20Forms-FY15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Pioneer\NF%20FCP%20Forms-FY15-Pioneer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Provo\265-Provo%20NF%20FCP%20Forms-FY15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BVH-RMC%20Clearfield\Clearfield%20FCP%20FYE06'15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Red%20Cliffs\Red%20Cliffs_FCP_01.31.15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Richfield\NF%20FCP%20Forms-FY15-Richfield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RMC%20Hunter%20Hollow\NF%20FCP%20Forms-FY15%20Hunter%20Hollow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RMC%20Riverton\RIVERTON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Sandy\Sandy%20FCP-01.31.15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BV-%20Sandy\BV%20Sandy%20FCP-06.30.15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Seasons\1-FCP%20Report%20Seasons%20Healthcare%202015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South%20Davis\NF%20FCP%20Forms-FY15%20-%20SDCH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Southern%20Utah%20VA%20-%20Ivins\NF%20FCP%20Forms-FY15-VA-Ivins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Spanish%20Fork\FCP%20-%202015_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BVH-RMC%20Cottage%20on%20Vine\BVH%20Cottage%20on%20Vine%20(MURRAY).xlsx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Spring%20Creek\Spring%20Creek%20FCP%20%20-FY15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BV-%20Spring%20Creek\Beaver_VIB_%20FCP%20-FY063015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St.%20George,%20Kindred\_247%20NF%20FCP%20Forms-FY15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St.%20Joseph\277-St.%20Joseph%20NF%20FCP%20Forms-FY15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Stonehenge%20American%20Fork\NF%20FCP%20Forms-FY15%20-%20Stonehenge%20American%20Fork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Stonehenge%20Ogden\NF%20FCP%20Forms-FY15%20-%20Stonehenge%20Ogden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Stonehenge%20Richfield\NF%20FCP%20Forms-FY15%20-%20Stonehenge%20Richfield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SunshineTerrace\NF%20FCP%20Forms-FY15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Trinity%20Mission%20of%20Provo\NF%20FCP%20Forms-FY15%20-%20Provo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Uintah%20Basin\FCP%20-%202015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BVH-RMC%20Mountain%20View\Heber%20FCP%20FYE06'15.xlsx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Uintah%20Care\1-FCP%20Report%20Uintah%20Care%202015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W'm%20E.%20Christofferson%20VA%20SLC\NF%20FCP%20Forms-FY15-VA%20SLC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Wasatch%20Care%20Ki\_140%20NF%20FCP%20Forms-FY15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Washington%20Terrace\522088947006%20Washington%20Terrace%20NF%20FCP%20Forms-FY15%20Revised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Willow%20Glen\NF%20FCP%20Forms-FY15-Willow%20Glen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Willow%20Wood\NF%20FCP%20Forms-FY15-Willow%20Wood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Woodland%20Park\NF%20FCP%20Forms-FY15-Woodland%20Park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Unit\LONG%20TERM%20CARE%20FACILITIES\LTC%20Facilities%202015\2015%20FCP\FY15%20NH%20FCPs\BVH-RMC%20Willow%20Springs\Willow%20Springs%20FCP%20FYE06'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1582711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309341</v>
          </cell>
          <cell r="G21">
            <v>0</v>
          </cell>
        </row>
        <row r="27">
          <cell r="E27">
            <v>197249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409657</v>
          </cell>
          <cell r="G37">
            <v>0</v>
          </cell>
        </row>
        <row r="42">
          <cell r="E42">
            <v>24111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202166</v>
          </cell>
          <cell r="G67">
            <v>-4311</v>
          </cell>
        </row>
        <row r="85">
          <cell r="C85">
            <v>162.85019710906701</v>
          </cell>
          <cell r="E85">
            <v>154.87967479674796</v>
          </cell>
          <cell r="G85">
            <v>166.14563106796118</v>
          </cell>
          <cell r="I85">
            <v>166</v>
          </cell>
        </row>
      </sheetData>
      <sheetData sheetId="6"/>
      <sheetData sheetId="7">
        <row r="10">
          <cell r="D10">
            <v>62629</v>
          </cell>
          <cell r="F10">
            <v>3740.7</v>
          </cell>
        </row>
        <row r="11">
          <cell r="D11">
            <v>0</v>
          </cell>
          <cell r="F11">
            <v>0</v>
          </cell>
        </row>
        <row r="12">
          <cell r="D12">
            <v>36412</v>
          </cell>
          <cell r="F12">
            <v>2844.32</v>
          </cell>
        </row>
        <row r="13">
          <cell r="D13">
            <v>271186</v>
          </cell>
          <cell r="F13">
            <v>-253061.87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0</v>
          </cell>
        </row>
        <row r="16">
          <cell r="D16">
            <v>184825</v>
          </cell>
          <cell r="F16">
            <v>-15401.89</v>
          </cell>
        </row>
        <row r="17">
          <cell r="D17">
            <v>0</v>
          </cell>
          <cell r="F17">
            <v>0</v>
          </cell>
        </row>
        <row r="18">
          <cell r="D18">
            <v>7907</v>
          </cell>
          <cell r="F18">
            <v>0</v>
          </cell>
        </row>
        <row r="19">
          <cell r="D19">
            <v>6846</v>
          </cell>
          <cell r="F19">
            <v>0</v>
          </cell>
        </row>
        <row r="20">
          <cell r="D20">
            <v>2808</v>
          </cell>
          <cell r="F20">
            <v>0</v>
          </cell>
        </row>
        <row r="21">
          <cell r="D21">
            <v>12559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3822</v>
          </cell>
          <cell r="F23">
            <v>0</v>
          </cell>
        </row>
        <row r="24">
          <cell r="D24">
            <v>0</v>
          </cell>
          <cell r="F24">
            <v>0</v>
          </cell>
        </row>
        <row r="25">
          <cell r="D25">
            <v>0</v>
          </cell>
          <cell r="F25">
            <v>0</v>
          </cell>
        </row>
        <row r="26">
          <cell r="D26">
            <v>185740</v>
          </cell>
          <cell r="F26">
            <v>0</v>
          </cell>
        </row>
        <row r="27">
          <cell r="D27">
            <v>0</v>
          </cell>
          <cell r="F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54256</v>
          </cell>
          <cell r="F29">
            <v>-54256</v>
          </cell>
        </row>
        <row r="30">
          <cell r="D30">
            <v>0</v>
          </cell>
          <cell r="F30">
            <v>0</v>
          </cell>
        </row>
        <row r="31">
          <cell r="D31">
            <v>22914</v>
          </cell>
          <cell r="F31">
            <v>0</v>
          </cell>
        </row>
        <row r="32">
          <cell r="D32">
            <v>17229</v>
          </cell>
          <cell r="F32">
            <v>0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0</v>
          </cell>
          <cell r="F36">
            <v>0</v>
          </cell>
        </row>
        <row r="37">
          <cell r="D37">
            <v>0</v>
          </cell>
          <cell r="F37">
            <v>0</v>
          </cell>
        </row>
        <row r="38">
          <cell r="D38">
            <v>0</v>
          </cell>
          <cell r="F38">
            <v>0</v>
          </cell>
        </row>
        <row r="39">
          <cell r="D39">
            <v>2335</v>
          </cell>
          <cell r="F39">
            <v>0</v>
          </cell>
        </row>
        <row r="40">
          <cell r="D40">
            <v>6311</v>
          </cell>
          <cell r="F40">
            <v>-6311</v>
          </cell>
        </row>
        <row r="41">
          <cell r="D41">
            <v>0</v>
          </cell>
          <cell r="F41">
            <v>0</v>
          </cell>
        </row>
        <row r="42">
          <cell r="D42">
            <v>325</v>
          </cell>
          <cell r="F42">
            <v>0</v>
          </cell>
        </row>
        <row r="43">
          <cell r="D43">
            <v>5206</v>
          </cell>
          <cell r="F43">
            <v>0</v>
          </cell>
        </row>
        <row r="44">
          <cell r="D44">
            <v>0</v>
          </cell>
          <cell r="F44">
            <v>0</v>
          </cell>
        </row>
        <row r="45">
          <cell r="D45">
            <v>26640</v>
          </cell>
          <cell r="F45">
            <v>-4311</v>
          </cell>
        </row>
        <row r="57">
          <cell r="D57">
            <v>290282</v>
          </cell>
          <cell r="F57">
            <v>-154253.37</v>
          </cell>
        </row>
        <row r="58">
          <cell r="D58">
            <v>88939</v>
          </cell>
          <cell r="F58">
            <v>0</v>
          </cell>
        </row>
        <row r="59">
          <cell r="D59">
            <v>0</v>
          </cell>
          <cell r="F59">
            <v>0</v>
          </cell>
        </row>
        <row r="60">
          <cell r="D60">
            <v>0</v>
          </cell>
          <cell r="F60">
            <v>0</v>
          </cell>
        </row>
        <row r="61">
          <cell r="D61">
            <v>4091</v>
          </cell>
          <cell r="F61">
            <v>0</v>
          </cell>
        </row>
        <row r="62">
          <cell r="D62">
            <v>0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5320</v>
          </cell>
          <cell r="F65">
            <v>0</v>
          </cell>
        </row>
        <row r="66">
          <cell r="D66">
            <v>0</v>
          </cell>
          <cell r="F66">
            <v>0</v>
          </cell>
        </row>
        <row r="67">
          <cell r="D67">
            <v>0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0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34853</v>
          </cell>
          <cell r="F75">
            <v>3046.32</v>
          </cell>
        </row>
        <row r="76">
          <cell r="D76">
            <v>0</v>
          </cell>
          <cell r="F76">
            <v>6378</v>
          </cell>
        </row>
        <row r="77">
          <cell r="D77">
            <v>9834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0</v>
          </cell>
          <cell r="F79">
            <v>0</v>
          </cell>
        </row>
        <row r="80">
          <cell r="D80">
            <v>22898</v>
          </cell>
          <cell r="F80">
            <v>0</v>
          </cell>
        </row>
        <row r="81">
          <cell r="D81">
            <v>0</v>
          </cell>
          <cell r="F81">
            <v>0</v>
          </cell>
        </row>
        <row r="82">
          <cell r="D82">
            <v>0</v>
          </cell>
          <cell r="F82">
            <v>0</v>
          </cell>
        </row>
        <row r="83">
          <cell r="D83">
            <v>0</v>
          </cell>
          <cell r="F83">
            <v>0</v>
          </cell>
        </row>
        <row r="84">
          <cell r="D84">
            <v>36592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103109</v>
          </cell>
          <cell r="F89">
            <v>9854.68</v>
          </cell>
        </row>
        <row r="90">
          <cell r="D90">
            <v>0</v>
          </cell>
          <cell r="F90">
            <v>18868.68</v>
          </cell>
        </row>
        <row r="91">
          <cell r="D91">
            <v>72099</v>
          </cell>
          <cell r="F91">
            <v>0</v>
          </cell>
        </row>
        <row r="92">
          <cell r="D92">
            <v>7202</v>
          </cell>
          <cell r="F92">
            <v>0</v>
          </cell>
        </row>
        <row r="93">
          <cell r="D93">
            <v>0</v>
          </cell>
          <cell r="F93">
            <v>0</v>
          </cell>
        </row>
        <row r="94">
          <cell r="D94">
            <v>0</v>
          </cell>
          <cell r="F94">
            <v>0</v>
          </cell>
        </row>
        <row r="98">
          <cell r="D98">
            <v>21882</v>
          </cell>
          <cell r="F98">
            <v>1773.35</v>
          </cell>
        </row>
        <row r="99">
          <cell r="D99">
            <v>0</v>
          </cell>
          <cell r="F99">
            <v>4004.35</v>
          </cell>
        </row>
        <row r="100">
          <cell r="D100">
            <v>1384</v>
          </cell>
          <cell r="F100">
            <v>0</v>
          </cell>
        </row>
        <row r="101">
          <cell r="D101">
            <v>0</v>
          </cell>
          <cell r="F101">
            <v>0</v>
          </cell>
        </row>
        <row r="102">
          <cell r="D102">
            <v>1363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36143</v>
          </cell>
          <cell r="F115">
            <v>5589.84</v>
          </cell>
        </row>
        <row r="116">
          <cell r="D116">
            <v>0</v>
          </cell>
          <cell r="F116">
            <v>6614.08</v>
          </cell>
        </row>
        <row r="117">
          <cell r="D117">
            <v>9014</v>
          </cell>
          <cell r="F117">
            <v>0</v>
          </cell>
        </row>
        <row r="118">
          <cell r="D118">
            <v>0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113097</v>
          </cell>
          <cell r="F125">
            <v>7872.87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18870</v>
          </cell>
          <cell r="F128">
            <v>1797.24</v>
          </cell>
        </row>
        <row r="130">
          <cell r="D130">
            <v>0</v>
          </cell>
          <cell r="F130">
            <v>0</v>
          </cell>
        </row>
        <row r="131">
          <cell r="D131">
            <v>0</v>
          </cell>
          <cell r="F131">
            <v>20696.46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0</v>
          </cell>
          <cell r="F134">
            <v>3453.16</v>
          </cell>
        </row>
        <row r="136">
          <cell r="D136">
            <v>151639</v>
          </cell>
          <cell r="F136">
            <v>9455.7199999999993</v>
          </cell>
        </row>
        <row r="137">
          <cell r="D137">
            <v>98046</v>
          </cell>
          <cell r="F137">
            <v>6104.03</v>
          </cell>
        </row>
        <row r="138">
          <cell r="D138">
            <v>313718</v>
          </cell>
          <cell r="F138">
            <v>25204.87</v>
          </cell>
        </row>
        <row r="139">
          <cell r="D139">
            <v>0</v>
          </cell>
          <cell r="F139">
            <v>0</v>
          </cell>
        </row>
        <row r="141">
          <cell r="D141">
            <v>0</v>
          </cell>
          <cell r="F141">
            <v>27749.55</v>
          </cell>
        </row>
        <row r="142">
          <cell r="D142">
            <v>0</v>
          </cell>
          <cell r="F142">
            <v>17942.169999999998</v>
          </cell>
        </row>
        <row r="143">
          <cell r="D143">
            <v>0</v>
          </cell>
          <cell r="F143">
            <v>57409.599999999999</v>
          </cell>
        </row>
        <row r="144">
          <cell r="D144">
            <v>0</v>
          </cell>
          <cell r="F144">
            <v>0</v>
          </cell>
        </row>
        <row r="146">
          <cell r="D146">
            <v>24000</v>
          </cell>
          <cell r="F146">
            <v>0</v>
          </cell>
        </row>
        <row r="147">
          <cell r="D147">
            <v>0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0</v>
          </cell>
          <cell r="F149">
            <v>0</v>
          </cell>
        </row>
        <row r="150">
          <cell r="D150">
            <v>24231</v>
          </cell>
          <cell r="F150">
            <v>0</v>
          </cell>
        </row>
        <row r="151">
          <cell r="D151">
            <v>53298</v>
          </cell>
          <cell r="F151">
            <v>0</v>
          </cell>
        </row>
        <row r="152">
          <cell r="D152">
            <v>0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1075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664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342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66086</v>
          </cell>
          <cell r="F194">
            <v>0</v>
          </cell>
        </row>
        <row r="195">
          <cell r="D195">
            <v>1826</v>
          </cell>
          <cell r="F195">
            <v>0</v>
          </cell>
        </row>
        <row r="196">
          <cell r="D196">
            <v>0</v>
          </cell>
          <cell r="F196">
            <v>0</v>
          </cell>
        </row>
        <row r="197">
          <cell r="D197">
            <v>42679</v>
          </cell>
          <cell r="F197">
            <v>0</v>
          </cell>
        </row>
        <row r="198">
          <cell r="D198">
            <v>8876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59073</v>
          </cell>
          <cell r="F205">
            <v>0</v>
          </cell>
        </row>
        <row r="206">
          <cell r="D206">
            <v>3158</v>
          </cell>
          <cell r="F206">
            <v>0</v>
          </cell>
        </row>
        <row r="207">
          <cell r="D207">
            <v>0</v>
          </cell>
          <cell r="F207">
            <v>0</v>
          </cell>
        </row>
        <row r="211">
          <cell r="D211">
            <v>49070</v>
          </cell>
          <cell r="F211">
            <v>3682.18</v>
          </cell>
        </row>
        <row r="212">
          <cell r="D212">
            <v>0</v>
          </cell>
          <cell r="F212">
            <v>8979.69</v>
          </cell>
        </row>
        <row r="213">
          <cell r="D213">
            <v>7915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1844</v>
          </cell>
          <cell r="F216">
            <v>0</v>
          </cell>
        </row>
        <row r="221">
          <cell r="D221">
            <v>2694462</v>
          </cell>
        </row>
      </sheetData>
      <sheetData sheetId="8"/>
      <sheetData sheetId="9"/>
      <sheetData sheetId="10">
        <row r="9">
          <cell r="C9">
            <v>9416</v>
          </cell>
          <cell r="D9">
            <v>0</v>
          </cell>
          <cell r="E9">
            <v>463</v>
          </cell>
          <cell r="F9">
            <v>861</v>
          </cell>
          <cell r="G9">
            <v>0</v>
          </cell>
          <cell r="H9">
            <v>2523</v>
          </cell>
          <cell r="I9">
            <v>147</v>
          </cell>
          <cell r="J9">
            <v>0</v>
          </cell>
          <cell r="K9">
            <v>0</v>
          </cell>
        </row>
        <row r="22">
          <cell r="N22">
            <v>52</v>
          </cell>
        </row>
        <row r="24">
          <cell r="N24">
            <v>52</v>
          </cell>
        </row>
        <row r="28">
          <cell r="N28">
            <v>18980</v>
          </cell>
        </row>
        <row r="30">
          <cell r="N30">
            <v>0.70653319283456273</v>
          </cell>
        </row>
        <row r="32">
          <cell r="N32">
            <v>0.49610115911485775</v>
          </cell>
        </row>
        <row r="34">
          <cell r="N34">
            <v>0.70216256524981358</v>
          </cell>
        </row>
      </sheetData>
      <sheetData sheetId="1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Grou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E10">
            <v>3753677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851877</v>
          </cell>
          <cell r="G21">
            <v>0</v>
          </cell>
        </row>
        <row r="27">
          <cell r="E27">
            <v>248648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117285</v>
          </cell>
          <cell r="G37">
            <v>0</v>
          </cell>
        </row>
        <row r="42">
          <cell r="E42">
            <v>514167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51811</v>
          </cell>
          <cell r="G52">
            <v>0</v>
          </cell>
        </row>
        <row r="67">
          <cell r="E67">
            <v>41027</v>
          </cell>
          <cell r="G67">
            <v>-2541</v>
          </cell>
        </row>
        <row r="85">
          <cell r="C85">
            <v>143.02702702702703</v>
          </cell>
          <cell r="E85">
            <v>143.03076923076924</v>
          </cell>
          <cell r="G85">
            <v>143.02884615384616</v>
          </cell>
          <cell r="I85">
            <v>143.03286384976525</v>
          </cell>
        </row>
      </sheetData>
      <sheetData sheetId="6" refreshError="1"/>
      <sheetData sheetId="7">
        <row r="10">
          <cell r="D10">
            <v>0</v>
          </cell>
          <cell r="F10">
            <v>103889</v>
          </cell>
        </row>
        <row r="11">
          <cell r="D11">
            <v>0</v>
          </cell>
        </row>
        <row r="12">
          <cell r="D12">
            <v>225980</v>
          </cell>
          <cell r="F12">
            <v>-103889</v>
          </cell>
        </row>
        <row r="13">
          <cell r="D13">
            <v>16536</v>
          </cell>
        </row>
        <row r="14">
          <cell r="D14">
            <v>0</v>
          </cell>
        </row>
        <row r="15">
          <cell r="D15">
            <v>0</v>
          </cell>
        </row>
        <row r="16">
          <cell r="D16">
            <v>111166</v>
          </cell>
          <cell r="F16">
            <v>186020</v>
          </cell>
        </row>
        <row r="17">
          <cell r="D17">
            <v>213</v>
          </cell>
          <cell r="F17">
            <v>-213</v>
          </cell>
        </row>
        <row r="18">
          <cell r="D18">
            <v>15321</v>
          </cell>
        </row>
        <row r="19">
          <cell r="D19">
            <v>10131</v>
          </cell>
        </row>
        <row r="20">
          <cell r="D20">
            <v>10073</v>
          </cell>
        </row>
        <row r="21">
          <cell r="D21">
            <v>45444</v>
          </cell>
        </row>
        <row r="22">
          <cell r="D22">
            <v>0</v>
          </cell>
        </row>
        <row r="23">
          <cell r="D23">
            <v>2737</v>
          </cell>
        </row>
        <row r="24">
          <cell r="D24">
            <v>10246</v>
          </cell>
        </row>
        <row r="25">
          <cell r="D25">
            <v>2659</v>
          </cell>
        </row>
        <row r="26">
          <cell r="D26">
            <v>388890</v>
          </cell>
        </row>
        <row r="27">
          <cell r="D27">
            <v>-50061</v>
          </cell>
          <cell r="F27">
            <v>-189</v>
          </cell>
        </row>
        <row r="28">
          <cell r="D28">
            <v>0</v>
          </cell>
          <cell r="F28">
            <v>0</v>
          </cell>
        </row>
        <row r="29">
          <cell r="D29">
            <v>69950</v>
          </cell>
          <cell r="F29">
            <v>-69950</v>
          </cell>
        </row>
        <row r="30">
          <cell r="D30">
            <v>0</v>
          </cell>
          <cell r="F30">
            <v>0</v>
          </cell>
        </row>
        <row r="31">
          <cell r="D31">
            <v>0</v>
          </cell>
        </row>
        <row r="32">
          <cell r="D32">
            <v>70460</v>
          </cell>
        </row>
        <row r="33">
          <cell r="D33">
            <v>0</v>
          </cell>
          <cell r="F33">
            <v>0</v>
          </cell>
        </row>
        <row r="34">
          <cell r="D34">
            <v>170</v>
          </cell>
        </row>
        <row r="35">
          <cell r="D35">
            <v>4125</v>
          </cell>
          <cell r="F35">
            <v>-4125</v>
          </cell>
        </row>
        <row r="36">
          <cell r="D36">
            <v>0</v>
          </cell>
        </row>
        <row r="37">
          <cell r="D37">
            <v>0</v>
          </cell>
        </row>
        <row r="38">
          <cell r="D38">
            <v>192</v>
          </cell>
          <cell r="F38">
            <v>-192</v>
          </cell>
        </row>
        <row r="39">
          <cell r="D39">
            <v>8271</v>
          </cell>
        </row>
        <row r="40">
          <cell r="D40">
            <v>5108</v>
          </cell>
          <cell r="F40">
            <v>-5108</v>
          </cell>
        </row>
        <row r="41">
          <cell r="D41">
            <v>102560</v>
          </cell>
          <cell r="F41">
            <v>-5908</v>
          </cell>
        </row>
        <row r="42">
          <cell r="D42">
            <v>192</v>
          </cell>
        </row>
        <row r="43">
          <cell r="D43">
            <v>9722</v>
          </cell>
          <cell r="F43">
            <v>-9722</v>
          </cell>
        </row>
        <row r="44">
          <cell r="D44">
            <v>0</v>
          </cell>
        </row>
        <row r="45">
          <cell r="D45">
            <v>9148</v>
          </cell>
          <cell r="F45">
            <v>-125</v>
          </cell>
        </row>
        <row r="57">
          <cell r="D57">
            <v>0</v>
          </cell>
        </row>
        <row r="58">
          <cell r="D58">
            <v>81702</v>
          </cell>
        </row>
        <row r="59">
          <cell r="D59">
            <v>82595</v>
          </cell>
        </row>
        <row r="60">
          <cell r="D60">
            <v>45830</v>
          </cell>
        </row>
        <row r="61">
          <cell r="D61">
            <v>20913</v>
          </cell>
        </row>
        <row r="62">
          <cell r="D62">
            <v>7573</v>
          </cell>
        </row>
        <row r="63">
          <cell r="D63">
            <v>0</v>
          </cell>
        </row>
        <row r="64">
          <cell r="D64">
            <v>0</v>
          </cell>
        </row>
        <row r="65">
          <cell r="D65">
            <v>0</v>
          </cell>
        </row>
        <row r="66">
          <cell r="D66">
            <v>45188</v>
          </cell>
          <cell r="F66">
            <v>-289</v>
          </cell>
        </row>
        <row r="67">
          <cell r="D67">
            <v>48998</v>
          </cell>
        </row>
        <row r="68">
          <cell r="D68">
            <v>0</v>
          </cell>
        </row>
        <row r="69">
          <cell r="D69">
            <v>4701</v>
          </cell>
        </row>
        <row r="70">
          <cell r="D70">
            <v>0</v>
          </cell>
        </row>
        <row r="71">
          <cell r="D71">
            <v>0</v>
          </cell>
        </row>
        <row r="75">
          <cell r="D75">
            <v>38528</v>
          </cell>
        </row>
        <row r="76">
          <cell r="D76">
            <v>6620</v>
          </cell>
        </row>
        <row r="77">
          <cell r="D77">
            <v>11147</v>
          </cell>
        </row>
        <row r="78">
          <cell r="D78">
            <v>0</v>
          </cell>
        </row>
        <row r="79">
          <cell r="D79">
            <v>3583</v>
          </cell>
        </row>
        <row r="80">
          <cell r="D80">
            <v>24110</v>
          </cell>
        </row>
        <row r="81">
          <cell r="D81">
            <v>22947</v>
          </cell>
        </row>
        <row r="82">
          <cell r="D82">
            <v>8498</v>
          </cell>
        </row>
        <row r="83">
          <cell r="D83">
            <v>0</v>
          </cell>
        </row>
        <row r="84">
          <cell r="D84">
            <v>82274</v>
          </cell>
        </row>
        <row r="85">
          <cell r="D85">
            <v>0</v>
          </cell>
        </row>
        <row r="89">
          <cell r="D89">
            <v>179138</v>
          </cell>
        </row>
        <row r="90">
          <cell r="D90">
            <v>42921</v>
          </cell>
        </row>
        <row r="91">
          <cell r="D91">
            <v>16258</v>
          </cell>
        </row>
        <row r="92">
          <cell r="D92">
            <v>154521</v>
          </cell>
          <cell r="F92">
            <v>-2027</v>
          </cell>
        </row>
        <row r="93">
          <cell r="D93">
            <v>16964</v>
          </cell>
        </row>
        <row r="94">
          <cell r="D94">
            <v>11</v>
          </cell>
        </row>
        <row r="98">
          <cell r="D98">
            <v>0</v>
          </cell>
        </row>
        <row r="99">
          <cell r="D99">
            <v>0</v>
          </cell>
        </row>
        <row r="100">
          <cell r="D100">
            <v>14</v>
          </cell>
        </row>
        <row r="101">
          <cell r="D101">
            <v>50964</v>
          </cell>
        </row>
        <row r="102">
          <cell r="D102">
            <v>7170</v>
          </cell>
        </row>
        <row r="103">
          <cell r="D103">
            <v>0</v>
          </cell>
        </row>
        <row r="115">
          <cell r="D115">
            <v>0</v>
          </cell>
        </row>
        <row r="116">
          <cell r="D116">
            <v>0</v>
          </cell>
        </row>
        <row r="117">
          <cell r="D117">
            <v>9324</v>
          </cell>
        </row>
        <row r="118">
          <cell r="D118">
            <v>102459</v>
          </cell>
        </row>
        <row r="119">
          <cell r="D119">
            <v>0</v>
          </cell>
        </row>
        <row r="124">
          <cell r="D124">
            <v>0</v>
          </cell>
        </row>
        <row r="125">
          <cell r="D125">
            <v>173505</v>
          </cell>
        </row>
        <row r="126">
          <cell r="D126">
            <v>0</v>
          </cell>
        </row>
        <row r="127">
          <cell r="D127">
            <v>0</v>
          </cell>
        </row>
        <row r="128">
          <cell r="D128">
            <v>57955</v>
          </cell>
        </row>
        <row r="130">
          <cell r="D130">
            <v>0</v>
          </cell>
        </row>
        <row r="131">
          <cell r="D131">
            <v>12578</v>
          </cell>
        </row>
        <row r="132">
          <cell r="D132">
            <v>0</v>
          </cell>
        </row>
        <row r="133">
          <cell r="D133">
            <v>0</v>
          </cell>
        </row>
        <row r="134">
          <cell r="D134">
            <v>7251</v>
          </cell>
        </row>
        <row r="136">
          <cell r="D136">
            <v>553867</v>
          </cell>
        </row>
        <row r="137">
          <cell r="D137">
            <v>222311</v>
          </cell>
        </row>
        <row r="138">
          <cell r="D138">
            <v>660503</v>
          </cell>
          <cell r="F138">
            <v>26484</v>
          </cell>
        </row>
        <row r="139">
          <cell r="D139">
            <v>26484</v>
          </cell>
          <cell r="F139">
            <v>-26484</v>
          </cell>
        </row>
        <row r="141">
          <cell r="D141">
            <v>261693</v>
          </cell>
          <cell r="F141">
            <v>-162632</v>
          </cell>
        </row>
        <row r="142">
          <cell r="D142">
            <v>0</v>
          </cell>
          <cell r="F142">
            <v>39762</v>
          </cell>
        </row>
        <row r="143">
          <cell r="D143">
            <v>0</v>
          </cell>
          <cell r="F143">
            <v>122870</v>
          </cell>
        </row>
        <row r="144">
          <cell r="D144">
            <v>0</v>
          </cell>
        </row>
        <row r="146">
          <cell r="D146">
            <v>30000</v>
          </cell>
        </row>
        <row r="147">
          <cell r="D147">
            <v>75763</v>
          </cell>
          <cell r="F147">
            <v>-59283</v>
          </cell>
        </row>
        <row r="148">
          <cell r="D148">
            <v>0</v>
          </cell>
          <cell r="F148">
            <v>6132</v>
          </cell>
        </row>
        <row r="149">
          <cell r="D149">
            <v>0</v>
          </cell>
          <cell r="F149">
            <v>53151</v>
          </cell>
        </row>
        <row r="150">
          <cell r="D150">
            <v>0</v>
          </cell>
        </row>
        <row r="151">
          <cell r="D151">
            <v>72095</v>
          </cell>
          <cell r="F151">
            <v>-925</v>
          </cell>
        </row>
        <row r="152">
          <cell r="D152">
            <v>4624</v>
          </cell>
        </row>
        <row r="153">
          <cell r="D153">
            <v>0</v>
          </cell>
        </row>
        <row r="154">
          <cell r="D154">
            <v>0</v>
          </cell>
        </row>
        <row r="156">
          <cell r="D156">
            <v>0</v>
          </cell>
        </row>
        <row r="157">
          <cell r="D157">
            <v>0</v>
          </cell>
        </row>
        <row r="158">
          <cell r="D158">
            <v>0</v>
          </cell>
        </row>
        <row r="159">
          <cell r="D159">
            <v>0</v>
          </cell>
        </row>
        <row r="160">
          <cell r="D160">
            <v>0</v>
          </cell>
        </row>
        <row r="161">
          <cell r="D161">
            <v>17048</v>
          </cell>
          <cell r="F161">
            <v>-803</v>
          </cell>
        </row>
        <row r="175">
          <cell r="D175">
            <v>0</v>
          </cell>
        </row>
        <row r="176">
          <cell r="D176">
            <v>0</v>
          </cell>
        </row>
        <row r="177">
          <cell r="D177">
            <v>0</v>
          </cell>
        </row>
        <row r="178">
          <cell r="D178">
            <v>0</v>
          </cell>
        </row>
        <row r="179">
          <cell r="D179">
            <v>0</v>
          </cell>
        </row>
        <row r="180">
          <cell r="D180">
            <v>0</v>
          </cell>
        </row>
        <row r="181">
          <cell r="D181">
            <v>0</v>
          </cell>
        </row>
        <row r="182">
          <cell r="D182">
            <v>0</v>
          </cell>
        </row>
        <row r="183">
          <cell r="D183">
            <v>0</v>
          </cell>
        </row>
        <row r="184">
          <cell r="D184">
            <v>0</v>
          </cell>
        </row>
        <row r="185">
          <cell r="D185">
            <v>0</v>
          </cell>
        </row>
        <row r="186">
          <cell r="D186">
            <v>0</v>
          </cell>
        </row>
        <row r="187">
          <cell r="D187">
            <v>0</v>
          </cell>
        </row>
        <row r="188">
          <cell r="D188">
            <v>237</v>
          </cell>
        </row>
        <row r="189">
          <cell r="D189">
            <v>0</v>
          </cell>
        </row>
        <row r="190">
          <cell r="D190">
            <v>0</v>
          </cell>
        </row>
        <row r="191">
          <cell r="D191">
            <v>0</v>
          </cell>
        </row>
        <row r="192">
          <cell r="D192">
            <v>0</v>
          </cell>
        </row>
        <row r="193">
          <cell r="D193">
            <v>195</v>
          </cell>
        </row>
        <row r="194">
          <cell r="D194">
            <v>172180</v>
          </cell>
          <cell r="F194">
            <v>6353</v>
          </cell>
        </row>
        <row r="195">
          <cell r="D195">
            <v>57877</v>
          </cell>
          <cell r="F195">
            <v>2136</v>
          </cell>
        </row>
        <row r="196">
          <cell r="D196">
            <v>0</v>
          </cell>
        </row>
        <row r="197">
          <cell r="D197">
            <v>123178</v>
          </cell>
          <cell r="F197">
            <v>4545</v>
          </cell>
        </row>
        <row r="198">
          <cell r="D198">
            <v>21361</v>
          </cell>
          <cell r="F198">
            <v>-1249</v>
          </cell>
        </row>
        <row r="199">
          <cell r="D199">
            <v>0</v>
          </cell>
        </row>
        <row r="200">
          <cell r="D200">
            <v>0</v>
          </cell>
        </row>
        <row r="201">
          <cell r="D201">
            <v>0</v>
          </cell>
        </row>
        <row r="202">
          <cell r="D202">
            <v>0</v>
          </cell>
        </row>
        <row r="203">
          <cell r="D203">
            <v>0</v>
          </cell>
        </row>
        <row r="204">
          <cell r="D204">
            <v>0</v>
          </cell>
        </row>
        <row r="205">
          <cell r="D205">
            <v>143855</v>
          </cell>
          <cell r="F205">
            <v>-9718</v>
          </cell>
        </row>
        <row r="206">
          <cell r="D206">
            <v>681</v>
          </cell>
        </row>
        <row r="207">
          <cell r="D207">
            <v>1044</v>
          </cell>
          <cell r="F207">
            <v>-71</v>
          </cell>
        </row>
        <row r="211">
          <cell r="D211">
            <v>96876</v>
          </cell>
        </row>
        <row r="212">
          <cell r="D212">
            <v>24707</v>
          </cell>
        </row>
        <row r="213">
          <cell r="D213">
            <v>4534</v>
          </cell>
        </row>
        <row r="214">
          <cell r="D214">
            <v>0</v>
          </cell>
        </row>
        <row r="215">
          <cell r="D215">
            <v>0</v>
          </cell>
        </row>
        <row r="216">
          <cell r="D216">
            <v>2002</v>
          </cell>
        </row>
        <row r="221">
          <cell r="D221">
            <v>5008588</v>
          </cell>
        </row>
      </sheetData>
      <sheetData sheetId="8" refreshError="1"/>
      <sheetData sheetId="9" refreshError="1"/>
      <sheetData sheetId="10">
        <row r="9">
          <cell r="C9">
            <v>21277</v>
          </cell>
          <cell r="D9">
            <v>0</v>
          </cell>
          <cell r="E9">
            <v>1471</v>
          </cell>
          <cell r="F9">
            <v>524</v>
          </cell>
          <cell r="G9">
            <v>0</v>
          </cell>
          <cell r="H9">
            <v>820</v>
          </cell>
          <cell r="I9">
            <v>2958</v>
          </cell>
          <cell r="J9">
            <v>0</v>
          </cell>
          <cell r="K9">
            <v>213</v>
          </cell>
        </row>
        <row r="22">
          <cell r="N22">
            <v>90</v>
          </cell>
        </row>
        <row r="24">
          <cell r="N24">
            <v>90</v>
          </cell>
        </row>
        <row r="28">
          <cell r="N28">
            <v>32850</v>
          </cell>
        </row>
        <row r="30">
          <cell r="N30">
            <v>0.82992389649923892</v>
          </cell>
        </row>
        <row r="32">
          <cell r="N32">
            <v>0.64770167427701675</v>
          </cell>
        </row>
        <row r="34">
          <cell r="N34">
            <v>0.78043502182445079</v>
          </cell>
        </row>
      </sheetData>
      <sheetData sheetId="11" refreshError="1"/>
      <sheetData sheetId="1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E10">
            <v>2121056</v>
          </cell>
          <cell r="G10">
            <v>-4050</v>
          </cell>
        </row>
        <row r="15">
          <cell r="E15">
            <v>0</v>
          </cell>
          <cell r="G15">
            <v>0</v>
          </cell>
        </row>
        <row r="21">
          <cell r="E21">
            <v>0</v>
          </cell>
          <cell r="G21">
            <v>0</v>
          </cell>
        </row>
        <row r="27">
          <cell r="E27">
            <v>0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632400</v>
          </cell>
          <cell r="G37">
            <v>0</v>
          </cell>
        </row>
        <row r="42">
          <cell r="E42">
            <v>51309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1187</v>
          </cell>
          <cell r="G67">
            <v>0</v>
          </cell>
        </row>
        <row r="85">
          <cell r="C85">
            <v>190.41525423728814</v>
          </cell>
          <cell r="E85">
            <v>211.12034383954153</v>
          </cell>
          <cell r="G85">
            <v>209.06371191135733</v>
          </cell>
          <cell r="I85">
            <v>214.74137931034483</v>
          </cell>
        </row>
      </sheetData>
      <sheetData sheetId="6" refreshError="1"/>
      <sheetData sheetId="7">
        <row r="10">
          <cell r="D10">
            <v>93579</v>
          </cell>
        </row>
        <row r="12">
          <cell r="D12">
            <v>108108</v>
          </cell>
        </row>
        <row r="13">
          <cell r="D13">
            <v>57985</v>
          </cell>
        </row>
        <row r="15">
          <cell r="D15">
            <v>29805</v>
          </cell>
        </row>
        <row r="17">
          <cell r="D17">
            <v>20898</v>
          </cell>
        </row>
        <row r="18">
          <cell r="D18">
            <v>6314</v>
          </cell>
        </row>
        <row r="19">
          <cell r="D19">
            <v>18410</v>
          </cell>
        </row>
        <row r="20">
          <cell r="D20">
            <v>8802</v>
          </cell>
        </row>
        <row r="21">
          <cell r="D21">
            <v>52679</v>
          </cell>
        </row>
        <row r="23">
          <cell r="D23">
            <v>3036</v>
          </cell>
        </row>
        <row r="24">
          <cell r="D24">
            <v>4151</v>
          </cell>
        </row>
        <row r="26">
          <cell r="D26">
            <v>181512</v>
          </cell>
        </row>
        <row r="28">
          <cell r="F28">
            <v>0</v>
          </cell>
        </row>
        <row r="29">
          <cell r="F29">
            <v>0</v>
          </cell>
        </row>
        <row r="30">
          <cell r="F30">
            <v>0</v>
          </cell>
        </row>
        <row r="31">
          <cell r="D31">
            <v>33438</v>
          </cell>
        </row>
        <row r="32">
          <cell r="D32">
            <v>6114</v>
          </cell>
        </row>
        <row r="33">
          <cell r="D33">
            <v>28113</v>
          </cell>
          <cell r="F33">
            <v>-28113</v>
          </cell>
        </row>
        <row r="35">
          <cell r="F35">
            <v>0</v>
          </cell>
        </row>
        <row r="39">
          <cell r="D39">
            <v>19</v>
          </cell>
        </row>
        <row r="43">
          <cell r="D43">
            <v>4336</v>
          </cell>
        </row>
        <row r="58">
          <cell r="D58">
            <v>256689</v>
          </cell>
        </row>
        <row r="59">
          <cell r="D59">
            <v>103250</v>
          </cell>
        </row>
        <row r="61">
          <cell r="D61">
            <v>6385</v>
          </cell>
        </row>
        <row r="65">
          <cell r="D65">
            <v>968</v>
          </cell>
        </row>
        <row r="67">
          <cell r="D67">
            <v>35444</v>
          </cell>
        </row>
        <row r="77">
          <cell r="D77">
            <v>37346</v>
          </cell>
        </row>
        <row r="79">
          <cell r="D79">
            <v>65979.19</v>
          </cell>
        </row>
        <row r="81">
          <cell r="D81">
            <v>32163</v>
          </cell>
        </row>
        <row r="82">
          <cell r="D82">
            <v>8041</v>
          </cell>
        </row>
        <row r="84">
          <cell r="D84">
            <v>75244</v>
          </cell>
        </row>
        <row r="91">
          <cell r="D91">
            <v>235956</v>
          </cell>
        </row>
        <row r="92">
          <cell r="D92">
            <v>16279</v>
          </cell>
        </row>
        <row r="101">
          <cell r="D101">
            <v>55256</v>
          </cell>
        </row>
        <row r="102">
          <cell r="D102">
            <v>7651</v>
          </cell>
        </row>
        <row r="115">
          <cell r="D115">
            <v>106915</v>
          </cell>
        </row>
        <row r="116">
          <cell r="D116">
            <v>29103</v>
          </cell>
        </row>
        <row r="117">
          <cell r="D117">
            <v>21085</v>
          </cell>
        </row>
        <row r="124">
          <cell r="D124">
            <v>69500</v>
          </cell>
        </row>
        <row r="130">
          <cell r="D130">
            <v>16503</v>
          </cell>
        </row>
        <row r="136">
          <cell r="D136">
            <v>421146</v>
          </cell>
        </row>
        <row r="137">
          <cell r="D137">
            <v>48291</v>
          </cell>
        </row>
        <row r="138">
          <cell r="D138">
            <v>485715</v>
          </cell>
        </row>
        <row r="139">
          <cell r="D139">
            <v>27078</v>
          </cell>
        </row>
        <row r="141">
          <cell r="D141">
            <v>105665</v>
          </cell>
        </row>
        <row r="142">
          <cell r="D142">
            <v>5094</v>
          </cell>
        </row>
        <row r="143">
          <cell r="D143">
            <v>145664</v>
          </cell>
        </row>
        <row r="144">
          <cell r="D144">
            <v>9506</v>
          </cell>
        </row>
        <row r="147">
          <cell r="D147">
            <v>22185</v>
          </cell>
        </row>
        <row r="151">
          <cell r="D151">
            <v>100486</v>
          </cell>
        </row>
        <row r="152">
          <cell r="D152">
            <v>8562</v>
          </cell>
        </row>
        <row r="198">
          <cell r="D198">
            <v>3983</v>
          </cell>
        </row>
        <row r="205">
          <cell r="D205">
            <v>30252</v>
          </cell>
        </row>
        <row r="207">
          <cell r="D207">
            <v>1827</v>
          </cell>
        </row>
        <row r="211">
          <cell r="D211">
            <v>36230</v>
          </cell>
        </row>
        <row r="212">
          <cell r="D212">
            <v>16485</v>
          </cell>
        </row>
        <row r="214">
          <cell r="D214">
            <v>5169</v>
          </cell>
        </row>
        <row r="221">
          <cell r="D221">
            <v>3310394</v>
          </cell>
        </row>
      </sheetData>
      <sheetData sheetId="8" refreshError="1"/>
      <sheetData sheetId="9" refreshError="1"/>
      <sheetData sheetId="10">
        <row r="9">
          <cell r="C9">
            <v>8501</v>
          </cell>
          <cell r="H9">
            <v>3056</v>
          </cell>
          <cell r="I9">
            <v>312</v>
          </cell>
        </row>
        <row r="22">
          <cell r="N22">
            <v>36</v>
          </cell>
        </row>
        <row r="24">
          <cell r="N24">
            <v>36</v>
          </cell>
        </row>
        <row r="28">
          <cell r="N28">
            <v>13140</v>
          </cell>
        </row>
        <row r="30">
          <cell r="N30">
            <v>0.90327245053272454</v>
          </cell>
        </row>
        <row r="32">
          <cell r="N32">
            <v>0.64695585996955862</v>
          </cell>
        </row>
        <row r="34">
          <cell r="N34">
            <v>0.71623557165725837</v>
          </cell>
        </row>
      </sheetData>
      <sheetData sheetId="1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Grou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E10">
            <v>241368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2288927</v>
          </cell>
          <cell r="G21">
            <v>0</v>
          </cell>
        </row>
        <row r="27">
          <cell r="E27">
            <v>633989</v>
          </cell>
          <cell r="G27">
            <v>0</v>
          </cell>
        </row>
        <row r="32">
          <cell r="E32">
            <v>5360539</v>
          </cell>
          <cell r="G32">
            <v>-2818766</v>
          </cell>
        </row>
        <row r="37">
          <cell r="E37">
            <v>2161514</v>
          </cell>
          <cell r="G37">
            <v>2818766</v>
          </cell>
        </row>
        <row r="42">
          <cell r="E42">
            <v>94717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42197</v>
          </cell>
          <cell r="G52">
            <v>0</v>
          </cell>
        </row>
        <row r="67">
          <cell r="E67">
            <v>12843</v>
          </cell>
          <cell r="G67">
            <v>-7034</v>
          </cell>
        </row>
        <row r="85">
          <cell r="C85">
            <v>218.5964095639446</v>
          </cell>
          <cell r="E85">
            <v>218.59637625541839</v>
          </cell>
          <cell r="G85">
            <v>218.59624671381354</v>
          </cell>
          <cell r="I85">
            <v>218.59625288975272</v>
          </cell>
        </row>
      </sheetData>
      <sheetData sheetId="6" refreshError="1"/>
      <sheetData sheetId="7">
        <row r="10">
          <cell r="D10">
            <v>0</v>
          </cell>
          <cell r="F10">
            <v>124898</v>
          </cell>
        </row>
        <row r="11">
          <cell r="D11">
            <v>0</v>
          </cell>
        </row>
        <row r="12">
          <cell r="D12">
            <v>361682</v>
          </cell>
          <cell r="F12">
            <v>-124898</v>
          </cell>
        </row>
        <row r="13">
          <cell r="D13">
            <v>95622</v>
          </cell>
        </row>
        <row r="14">
          <cell r="D14">
            <v>0</v>
          </cell>
        </row>
        <row r="15">
          <cell r="D15">
            <v>0</v>
          </cell>
          <cell r="F15">
            <v>541864</v>
          </cell>
        </row>
        <row r="16">
          <cell r="D16">
            <v>541864</v>
          </cell>
          <cell r="F16">
            <v>-541864</v>
          </cell>
        </row>
        <row r="17">
          <cell r="D17">
            <v>2339</v>
          </cell>
          <cell r="F17">
            <v>-2339</v>
          </cell>
        </row>
        <row r="18">
          <cell r="D18">
            <v>69665</v>
          </cell>
        </row>
        <row r="19">
          <cell r="D19">
            <v>5238</v>
          </cell>
        </row>
        <row r="20">
          <cell r="D20">
            <v>40209</v>
          </cell>
        </row>
        <row r="21">
          <cell r="D21">
            <v>6248</v>
          </cell>
        </row>
        <row r="22">
          <cell r="D22">
            <v>0</v>
          </cell>
        </row>
        <row r="23">
          <cell r="D23">
            <v>19837</v>
          </cell>
        </row>
        <row r="24">
          <cell r="D24">
            <v>4342</v>
          </cell>
        </row>
        <row r="25">
          <cell r="D25">
            <v>0</v>
          </cell>
        </row>
        <row r="26">
          <cell r="D26">
            <v>0</v>
          </cell>
        </row>
        <row r="27">
          <cell r="D27">
            <v>825</v>
          </cell>
        </row>
        <row r="28">
          <cell r="D28">
            <v>0</v>
          </cell>
          <cell r="F28">
            <v>0</v>
          </cell>
        </row>
        <row r="29">
          <cell r="D29">
            <v>163121</v>
          </cell>
          <cell r="F29">
            <v>-163121</v>
          </cell>
        </row>
        <row r="30">
          <cell r="D30">
            <v>0</v>
          </cell>
          <cell r="F30">
            <v>0</v>
          </cell>
        </row>
        <row r="31">
          <cell r="D31">
            <v>0</v>
          </cell>
        </row>
        <row r="32">
          <cell r="D32">
            <v>83632</v>
          </cell>
        </row>
        <row r="33">
          <cell r="D33">
            <v>0</v>
          </cell>
          <cell r="F33">
            <v>0</v>
          </cell>
        </row>
        <row r="34">
          <cell r="D34">
            <v>54</v>
          </cell>
        </row>
        <row r="35">
          <cell r="D35">
            <v>0</v>
          </cell>
          <cell r="F35">
            <v>0</v>
          </cell>
        </row>
        <row r="36">
          <cell r="D36">
            <v>25235</v>
          </cell>
        </row>
        <row r="37">
          <cell r="D37">
            <v>3112</v>
          </cell>
        </row>
        <row r="38">
          <cell r="D38">
            <v>3273</v>
          </cell>
          <cell r="F38">
            <v>-3273</v>
          </cell>
        </row>
        <row r="39">
          <cell r="D39">
            <v>8265</v>
          </cell>
        </row>
        <row r="40">
          <cell r="D40">
            <v>10072</v>
          </cell>
          <cell r="F40">
            <v>-10072</v>
          </cell>
        </row>
        <row r="41">
          <cell r="D41">
            <v>116364</v>
          </cell>
        </row>
        <row r="42">
          <cell r="D42">
            <v>793</v>
          </cell>
        </row>
        <row r="43">
          <cell r="D43">
            <v>21144</v>
          </cell>
          <cell r="F43">
            <v>-21144</v>
          </cell>
        </row>
        <row r="44">
          <cell r="D44">
            <v>-2000</v>
          </cell>
        </row>
        <row r="45">
          <cell r="D45">
            <v>410968</v>
          </cell>
          <cell r="F45">
            <v>-374091</v>
          </cell>
        </row>
        <row r="57">
          <cell r="D57">
            <v>0</v>
          </cell>
        </row>
        <row r="58">
          <cell r="D58">
            <v>733</v>
          </cell>
        </row>
        <row r="59">
          <cell r="D59">
            <v>0</v>
          </cell>
        </row>
        <row r="60">
          <cell r="D60">
            <v>0</v>
          </cell>
        </row>
        <row r="61">
          <cell r="D61">
            <v>20820</v>
          </cell>
        </row>
        <row r="62">
          <cell r="D62">
            <v>397</v>
          </cell>
        </row>
        <row r="63">
          <cell r="D63">
            <v>0</v>
          </cell>
        </row>
        <row r="64">
          <cell r="D64">
            <v>0</v>
          </cell>
        </row>
        <row r="65">
          <cell r="D65">
            <v>1146</v>
          </cell>
        </row>
        <row r="66">
          <cell r="D66">
            <v>47610</v>
          </cell>
        </row>
        <row r="67">
          <cell r="D67">
            <v>17263</v>
          </cell>
        </row>
        <row r="68">
          <cell r="D68">
            <v>0</v>
          </cell>
        </row>
        <row r="69">
          <cell r="D69">
            <v>731</v>
          </cell>
        </row>
        <row r="70">
          <cell r="D70">
            <v>0</v>
          </cell>
        </row>
        <row r="71">
          <cell r="D71">
            <v>0</v>
          </cell>
        </row>
        <row r="75">
          <cell r="D75">
            <v>79897</v>
          </cell>
        </row>
        <row r="76">
          <cell r="D76">
            <v>11648</v>
          </cell>
        </row>
        <row r="77">
          <cell r="D77">
            <v>23777</v>
          </cell>
        </row>
        <row r="78">
          <cell r="D78">
            <v>0</v>
          </cell>
        </row>
        <row r="79">
          <cell r="D79">
            <v>27703</v>
          </cell>
        </row>
        <row r="80">
          <cell r="D80">
            <v>14029</v>
          </cell>
        </row>
        <row r="81">
          <cell r="D81">
            <v>36162</v>
          </cell>
        </row>
        <row r="82">
          <cell r="D82">
            <v>28843</v>
          </cell>
        </row>
        <row r="83">
          <cell r="D83">
            <v>6469</v>
          </cell>
        </row>
        <row r="84">
          <cell r="D84">
            <v>206905</v>
          </cell>
        </row>
        <row r="85">
          <cell r="D85">
            <v>0</v>
          </cell>
        </row>
        <row r="89">
          <cell r="D89">
            <v>362188</v>
          </cell>
        </row>
        <row r="90">
          <cell r="D90">
            <v>73035</v>
          </cell>
        </row>
        <row r="91">
          <cell r="D91">
            <v>27967</v>
          </cell>
        </row>
        <row r="92">
          <cell r="D92">
            <v>330204</v>
          </cell>
          <cell r="F92">
            <v>3397</v>
          </cell>
        </row>
        <row r="93">
          <cell r="D93">
            <v>48101</v>
          </cell>
        </row>
        <row r="94">
          <cell r="D94">
            <v>0</v>
          </cell>
        </row>
        <row r="98">
          <cell r="D98">
            <v>43650</v>
          </cell>
        </row>
        <row r="99">
          <cell r="D99">
            <v>5877</v>
          </cell>
        </row>
        <row r="100">
          <cell r="D100">
            <v>6812</v>
          </cell>
        </row>
        <row r="101">
          <cell r="D101">
            <v>0</v>
          </cell>
        </row>
        <row r="102">
          <cell r="D102">
            <v>17939</v>
          </cell>
        </row>
        <row r="103">
          <cell r="D103">
            <v>0</v>
          </cell>
        </row>
        <row r="115">
          <cell r="D115">
            <v>182918</v>
          </cell>
        </row>
        <row r="116">
          <cell r="D116">
            <v>32635</v>
          </cell>
        </row>
        <row r="117">
          <cell r="D117">
            <v>59929</v>
          </cell>
        </row>
        <row r="118">
          <cell r="D118">
            <v>320</v>
          </cell>
        </row>
        <row r="119">
          <cell r="D119">
            <v>1761</v>
          </cell>
        </row>
        <row r="124">
          <cell r="D124">
            <v>0</v>
          </cell>
        </row>
        <row r="125">
          <cell r="D125">
            <v>500458</v>
          </cell>
        </row>
        <row r="126">
          <cell r="D126">
            <v>0</v>
          </cell>
        </row>
        <row r="127">
          <cell r="D127">
            <v>0</v>
          </cell>
        </row>
        <row r="128">
          <cell r="D128">
            <v>44525</v>
          </cell>
        </row>
        <row r="130">
          <cell r="D130">
            <v>0</v>
          </cell>
        </row>
        <row r="131">
          <cell r="D131">
            <v>44791</v>
          </cell>
        </row>
        <row r="132">
          <cell r="D132">
            <v>0</v>
          </cell>
        </row>
        <row r="133">
          <cell r="D133">
            <v>0</v>
          </cell>
        </row>
        <row r="134">
          <cell r="D134">
            <v>5285</v>
          </cell>
        </row>
        <row r="136">
          <cell r="D136">
            <v>1214506</v>
          </cell>
        </row>
        <row r="137">
          <cell r="D137">
            <v>409824</v>
          </cell>
        </row>
        <row r="138">
          <cell r="D138">
            <v>1380967</v>
          </cell>
          <cell r="F138">
            <v>108069</v>
          </cell>
        </row>
        <row r="139">
          <cell r="D139">
            <v>108069</v>
          </cell>
          <cell r="F139">
            <v>-108069</v>
          </cell>
        </row>
        <row r="141">
          <cell r="D141">
            <v>625482</v>
          </cell>
          <cell r="F141">
            <v>-381485</v>
          </cell>
        </row>
        <row r="142">
          <cell r="D142">
            <v>0</v>
          </cell>
          <cell r="F142">
            <v>82335</v>
          </cell>
        </row>
        <row r="143">
          <cell r="D143">
            <v>0</v>
          </cell>
          <cell r="F143">
            <v>266151</v>
          </cell>
        </row>
        <row r="144">
          <cell r="D144">
            <v>0</v>
          </cell>
        </row>
        <row r="146">
          <cell r="D146">
            <v>46500</v>
          </cell>
        </row>
        <row r="147">
          <cell r="D147">
            <v>0</v>
          </cell>
        </row>
        <row r="148">
          <cell r="D148">
            <v>0</v>
          </cell>
        </row>
        <row r="149">
          <cell r="D149">
            <v>0</v>
          </cell>
        </row>
        <row r="150">
          <cell r="D150">
            <v>455</v>
          </cell>
        </row>
        <row r="151">
          <cell r="D151">
            <v>138542</v>
          </cell>
        </row>
        <row r="152">
          <cell r="D152">
            <v>54489</v>
          </cell>
        </row>
        <row r="153">
          <cell r="D153">
            <v>0</v>
          </cell>
        </row>
        <row r="154">
          <cell r="D154">
            <v>18</v>
          </cell>
        </row>
        <row r="156">
          <cell r="D156">
            <v>0</v>
          </cell>
        </row>
        <row r="157">
          <cell r="D157">
            <v>0</v>
          </cell>
        </row>
        <row r="158">
          <cell r="D158">
            <v>0</v>
          </cell>
        </row>
        <row r="159">
          <cell r="D159">
            <v>0</v>
          </cell>
        </row>
        <row r="160">
          <cell r="D160">
            <v>0</v>
          </cell>
        </row>
        <row r="161">
          <cell r="D161">
            <v>53123</v>
          </cell>
        </row>
        <row r="175">
          <cell r="D175">
            <v>0</v>
          </cell>
        </row>
        <row r="176">
          <cell r="D176">
            <v>0</v>
          </cell>
        </row>
        <row r="177">
          <cell r="D177">
            <v>0</v>
          </cell>
        </row>
        <row r="178">
          <cell r="D178">
            <v>0</v>
          </cell>
        </row>
        <row r="179">
          <cell r="D179">
            <v>0</v>
          </cell>
        </row>
        <row r="180">
          <cell r="D180">
            <v>0</v>
          </cell>
        </row>
        <row r="181">
          <cell r="D181">
            <v>0</v>
          </cell>
        </row>
        <row r="182">
          <cell r="D182">
            <v>0</v>
          </cell>
        </row>
        <row r="183">
          <cell r="D183">
            <v>0</v>
          </cell>
        </row>
        <row r="184">
          <cell r="D184">
            <v>0</v>
          </cell>
        </row>
        <row r="185">
          <cell r="D185">
            <v>0</v>
          </cell>
        </row>
        <row r="186">
          <cell r="D186">
            <v>0</v>
          </cell>
        </row>
        <row r="187">
          <cell r="D187">
            <v>0</v>
          </cell>
        </row>
        <row r="188">
          <cell r="D188">
            <v>56</v>
          </cell>
        </row>
        <row r="189">
          <cell r="D189">
            <v>0</v>
          </cell>
        </row>
        <row r="190">
          <cell r="D190">
            <v>0</v>
          </cell>
        </row>
        <row r="191">
          <cell r="D191">
            <v>0</v>
          </cell>
        </row>
        <row r="192">
          <cell r="D192">
            <v>0</v>
          </cell>
        </row>
        <row r="193">
          <cell r="D193">
            <v>12472</v>
          </cell>
        </row>
        <row r="194">
          <cell r="D194">
            <v>417632</v>
          </cell>
        </row>
        <row r="195">
          <cell r="D195">
            <v>180393</v>
          </cell>
        </row>
        <row r="196">
          <cell r="D196">
            <v>0</v>
          </cell>
        </row>
        <row r="197">
          <cell r="D197">
            <v>241123</v>
          </cell>
        </row>
        <row r="198">
          <cell r="D198">
            <v>65236</v>
          </cell>
        </row>
        <row r="199">
          <cell r="D199">
            <v>0</v>
          </cell>
        </row>
        <row r="200">
          <cell r="D200">
            <v>0</v>
          </cell>
        </row>
        <row r="201">
          <cell r="D201">
            <v>0</v>
          </cell>
        </row>
        <row r="202">
          <cell r="D202">
            <v>0</v>
          </cell>
        </row>
        <row r="203">
          <cell r="D203">
            <v>0</v>
          </cell>
        </row>
        <row r="204">
          <cell r="D204">
            <v>0</v>
          </cell>
        </row>
        <row r="205">
          <cell r="D205">
            <v>444353</v>
          </cell>
        </row>
        <row r="206">
          <cell r="D206">
            <v>8493</v>
          </cell>
        </row>
        <row r="207">
          <cell r="D207">
            <v>4697</v>
          </cell>
        </row>
        <row r="211">
          <cell r="D211">
            <v>220503</v>
          </cell>
        </row>
        <row r="212">
          <cell r="D212">
            <v>51539</v>
          </cell>
        </row>
        <row r="213">
          <cell r="D213">
            <v>5043</v>
          </cell>
        </row>
        <row r="214">
          <cell r="D214">
            <v>0</v>
          </cell>
        </row>
        <row r="215">
          <cell r="D215">
            <v>0</v>
          </cell>
        </row>
        <row r="216">
          <cell r="D216">
            <v>9262</v>
          </cell>
        </row>
        <row r="221">
          <cell r="D221">
            <v>9997209</v>
          </cell>
        </row>
      </sheetData>
      <sheetData sheetId="8" refreshError="1"/>
      <sheetData sheetId="9" refreshError="1"/>
      <sheetData sheetId="10">
        <row r="9">
          <cell r="C9">
            <v>1299</v>
          </cell>
          <cell r="D9">
            <v>0</v>
          </cell>
          <cell r="E9">
            <v>4385</v>
          </cell>
          <cell r="F9">
            <v>877</v>
          </cell>
          <cell r="G9">
            <v>6588</v>
          </cell>
          <cell r="H9">
            <v>22783</v>
          </cell>
          <cell r="I9">
            <v>442</v>
          </cell>
          <cell r="J9">
            <v>0</v>
          </cell>
          <cell r="K9">
            <v>361</v>
          </cell>
        </row>
        <row r="22">
          <cell r="N22">
            <v>108</v>
          </cell>
        </row>
        <row r="24">
          <cell r="N24">
            <v>108</v>
          </cell>
        </row>
        <row r="28">
          <cell r="N28">
            <v>39420</v>
          </cell>
        </row>
        <row r="30">
          <cell r="N30">
            <v>0.93188736681887363</v>
          </cell>
        </row>
        <row r="32">
          <cell r="N32">
            <v>3.2952815829528158E-2</v>
          </cell>
        </row>
        <row r="34">
          <cell r="N34">
            <v>3.5361371988566766E-2</v>
          </cell>
        </row>
      </sheetData>
      <sheetData sheetId="11" refreshError="1"/>
      <sheetData sheetId="1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heet1"/>
      <sheetName val="Sch A Pg 3"/>
      <sheetName val="Sch B"/>
      <sheetName val="Sch B-1"/>
      <sheetName val="Sch C"/>
      <sheetName val="Sch C Misc Items Detail"/>
      <sheetName val="Sch C-1"/>
      <sheetName val="Sch C-1 (2)"/>
      <sheetName val="Sch C-2"/>
      <sheetName val="Sch D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0">
          <cell r="E10">
            <v>2455039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1005736</v>
          </cell>
          <cell r="G21">
            <v>0</v>
          </cell>
        </row>
        <row r="27">
          <cell r="E27">
            <v>727660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85216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185707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581</v>
          </cell>
          <cell r="G67">
            <v>0</v>
          </cell>
        </row>
        <row r="85">
          <cell r="C85">
            <v>199.7560975609756</v>
          </cell>
          <cell r="E85">
            <v>217.70258620689654</v>
          </cell>
          <cell r="G85">
            <v>73.296296296296291</v>
          </cell>
          <cell r="I85">
            <v>441.5</v>
          </cell>
        </row>
      </sheetData>
      <sheetData sheetId="7" refreshError="1"/>
      <sheetData sheetId="8">
        <row r="10">
          <cell r="D10">
            <v>126494</v>
          </cell>
          <cell r="F10">
            <v>6810</v>
          </cell>
        </row>
        <row r="11">
          <cell r="D11">
            <v>0</v>
          </cell>
          <cell r="F11">
            <v>0</v>
          </cell>
        </row>
        <row r="12">
          <cell r="D12">
            <v>150971</v>
          </cell>
          <cell r="F12">
            <v>-10482.077289094985</v>
          </cell>
        </row>
        <row r="13">
          <cell r="D13">
            <v>403934</v>
          </cell>
          <cell r="F13">
            <v>-364721.90082618716</v>
          </cell>
        </row>
        <row r="14">
          <cell r="D14">
            <v>0</v>
          </cell>
        </row>
        <row r="15">
          <cell r="D15">
            <v>0</v>
          </cell>
        </row>
        <row r="16">
          <cell r="D16">
            <v>222028</v>
          </cell>
          <cell r="F16">
            <v>155158.09955737408</v>
          </cell>
        </row>
        <row r="17">
          <cell r="D17">
            <v>0</v>
          </cell>
        </row>
        <row r="18">
          <cell r="D18">
            <v>10658</v>
          </cell>
        </row>
        <row r="19">
          <cell r="D19">
            <v>13331</v>
          </cell>
          <cell r="F19">
            <v>-1325.9004</v>
          </cell>
        </row>
        <row r="20">
          <cell r="D20">
            <v>16044</v>
          </cell>
        </row>
        <row r="21">
          <cell r="D21">
            <v>8247</v>
          </cell>
        </row>
        <row r="22">
          <cell r="D22">
            <v>0</v>
          </cell>
        </row>
        <row r="23">
          <cell r="D23">
            <v>8932</v>
          </cell>
        </row>
        <row r="24">
          <cell r="D24">
            <v>42935</v>
          </cell>
          <cell r="F24">
            <v>-9600</v>
          </cell>
        </row>
        <row r="25">
          <cell r="D25">
            <v>0</v>
          </cell>
        </row>
        <row r="26">
          <cell r="D26">
            <v>223321</v>
          </cell>
        </row>
        <row r="27">
          <cell r="D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104452</v>
          </cell>
          <cell r="F29">
            <v>-104452</v>
          </cell>
        </row>
        <row r="30">
          <cell r="D30">
            <v>0</v>
          </cell>
          <cell r="F30">
            <v>0</v>
          </cell>
        </row>
        <row r="31">
          <cell r="D31">
            <v>58476</v>
          </cell>
        </row>
        <row r="32">
          <cell r="D32">
            <v>85360</v>
          </cell>
          <cell r="F32">
            <v>-25607.768630605344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</row>
        <row r="35">
          <cell r="D35">
            <v>89</v>
          </cell>
          <cell r="F35">
            <v>-89</v>
          </cell>
        </row>
        <row r="36">
          <cell r="D36">
            <v>0</v>
          </cell>
        </row>
        <row r="37">
          <cell r="D37">
            <v>0</v>
          </cell>
        </row>
        <row r="38">
          <cell r="D38">
            <v>0</v>
          </cell>
        </row>
        <row r="39">
          <cell r="D39">
            <v>3453</v>
          </cell>
        </row>
        <row r="40">
          <cell r="D40">
            <v>5907</v>
          </cell>
        </row>
        <row r="41">
          <cell r="D41">
            <v>10922</v>
          </cell>
        </row>
        <row r="42">
          <cell r="D42">
            <v>5172</v>
          </cell>
        </row>
        <row r="43">
          <cell r="D43">
            <v>4409</v>
          </cell>
        </row>
        <row r="44">
          <cell r="D44">
            <v>108</v>
          </cell>
        </row>
        <row r="45">
          <cell r="D45">
            <v>34859</v>
          </cell>
          <cell r="F45">
            <v>-556</v>
          </cell>
        </row>
        <row r="57">
          <cell r="D57">
            <v>360000</v>
          </cell>
        </row>
        <row r="58">
          <cell r="D58">
            <v>1629</v>
          </cell>
        </row>
        <row r="59">
          <cell r="D59">
            <v>0</v>
          </cell>
        </row>
        <row r="60">
          <cell r="D60">
            <v>38982</v>
          </cell>
        </row>
        <row r="61">
          <cell r="D61">
            <v>6624</v>
          </cell>
        </row>
        <row r="62">
          <cell r="D62">
            <v>1640</v>
          </cell>
        </row>
        <row r="63">
          <cell r="D63">
            <v>0</v>
          </cell>
        </row>
        <row r="64">
          <cell r="D64">
            <v>0</v>
          </cell>
        </row>
        <row r="65">
          <cell r="D65">
            <v>4136</v>
          </cell>
        </row>
        <row r="66">
          <cell r="D66">
            <v>10376</v>
          </cell>
        </row>
        <row r="67">
          <cell r="D67">
            <v>47980</v>
          </cell>
        </row>
        <row r="68">
          <cell r="D68">
            <v>0</v>
          </cell>
        </row>
        <row r="69">
          <cell r="D69">
            <v>11609</v>
          </cell>
        </row>
        <row r="70">
          <cell r="D70">
            <v>0</v>
          </cell>
        </row>
        <row r="71">
          <cell r="D71">
            <v>0</v>
          </cell>
        </row>
        <row r="75">
          <cell r="D75">
            <v>39753</v>
          </cell>
          <cell r="F75">
            <v>2140</v>
          </cell>
        </row>
        <row r="76">
          <cell r="D76">
            <v>0</v>
          </cell>
          <cell r="F76">
            <v>5877</v>
          </cell>
        </row>
        <row r="77">
          <cell r="D77">
            <v>12286</v>
          </cell>
        </row>
        <row r="78">
          <cell r="D78">
            <v>0</v>
          </cell>
        </row>
        <row r="79">
          <cell r="D79">
            <v>9420</v>
          </cell>
        </row>
        <row r="80">
          <cell r="D80">
            <v>12148</v>
          </cell>
        </row>
        <row r="81">
          <cell r="D81">
            <v>8763</v>
          </cell>
        </row>
        <row r="82">
          <cell r="D82">
            <v>11833</v>
          </cell>
        </row>
        <row r="83">
          <cell r="D83">
            <v>0</v>
          </cell>
        </row>
        <row r="84">
          <cell r="D84">
            <v>98093</v>
          </cell>
        </row>
        <row r="85">
          <cell r="D85">
            <v>0</v>
          </cell>
        </row>
        <row r="89">
          <cell r="D89">
            <v>128256</v>
          </cell>
          <cell r="F89">
            <v>6904</v>
          </cell>
        </row>
        <row r="90">
          <cell r="D90">
            <v>0</v>
          </cell>
          <cell r="F90">
            <v>18962</v>
          </cell>
        </row>
        <row r="91">
          <cell r="D91">
            <v>15921</v>
          </cell>
        </row>
        <row r="92">
          <cell r="D92">
            <v>123632</v>
          </cell>
        </row>
        <row r="93">
          <cell r="D93">
            <v>10391</v>
          </cell>
        </row>
        <row r="94">
          <cell r="D94">
            <v>0</v>
          </cell>
        </row>
        <row r="98">
          <cell r="D98">
            <v>28315</v>
          </cell>
          <cell r="F98">
            <v>1524</v>
          </cell>
        </row>
        <row r="99">
          <cell r="D99">
            <v>0</v>
          </cell>
          <cell r="F99">
            <v>4186</v>
          </cell>
        </row>
        <row r="100">
          <cell r="D100">
            <v>4422</v>
          </cell>
        </row>
        <row r="101">
          <cell r="D101">
            <v>0</v>
          </cell>
        </row>
        <row r="102">
          <cell r="D102">
            <v>3690</v>
          </cell>
        </row>
        <row r="103">
          <cell r="D103">
            <v>0</v>
          </cell>
        </row>
        <row r="115">
          <cell r="D115">
            <v>53032</v>
          </cell>
          <cell r="F115">
            <v>2855</v>
          </cell>
        </row>
        <row r="116">
          <cell r="D116">
            <v>0</v>
          </cell>
          <cell r="F116">
            <v>7841</v>
          </cell>
        </row>
        <row r="117">
          <cell r="D117">
            <v>10676</v>
          </cell>
        </row>
        <row r="118">
          <cell r="D118">
            <v>1747</v>
          </cell>
        </row>
        <row r="119">
          <cell r="D119">
            <v>17</v>
          </cell>
        </row>
        <row r="124">
          <cell r="D124">
            <v>0</v>
          </cell>
        </row>
        <row r="125">
          <cell r="D125">
            <v>151489</v>
          </cell>
          <cell r="F125">
            <v>8155</v>
          </cell>
        </row>
        <row r="126">
          <cell r="D126">
            <v>65819</v>
          </cell>
          <cell r="F126">
            <v>3543</v>
          </cell>
        </row>
        <row r="127">
          <cell r="D127">
            <v>0</v>
          </cell>
          <cell r="F127">
            <v>0</v>
          </cell>
        </row>
        <row r="128">
          <cell r="D128">
            <v>48064</v>
          </cell>
          <cell r="F128">
            <v>2587</v>
          </cell>
        </row>
        <row r="130">
          <cell r="D130">
            <v>0</v>
          </cell>
        </row>
        <row r="131">
          <cell r="D131">
            <v>0</v>
          </cell>
          <cell r="F131">
            <v>22397</v>
          </cell>
        </row>
        <row r="132">
          <cell r="D132">
            <v>0</v>
          </cell>
          <cell r="F132">
            <v>9731</v>
          </cell>
        </row>
        <row r="133">
          <cell r="D133">
            <v>0</v>
          </cell>
          <cell r="F133">
            <v>0</v>
          </cell>
        </row>
        <row r="134">
          <cell r="D134">
            <v>0</v>
          </cell>
          <cell r="F134">
            <v>7106</v>
          </cell>
        </row>
        <row r="136">
          <cell r="D136">
            <v>281450</v>
          </cell>
          <cell r="F136">
            <v>15151</v>
          </cell>
        </row>
        <row r="137">
          <cell r="D137">
            <v>180490</v>
          </cell>
          <cell r="F137">
            <v>9716</v>
          </cell>
        </row>
        <row r="138">
          <cell r="D138">
            <v>336619</v>
          </cell>
          <cell r="F138">
            <v>15653</v>
          </cell>
        </row>
        <row r="139">
          <cell r="D139">
            <v>95154</v>
          </cell>
          <cell r="F139">
            <v>5122</v>
          </cell>
        </row>
        <row r="141">
          <cell r="D141">
            <v>0</v>
          </cell>
          <cell r="F141">
            <v>41611</v>
          </cell>
        </row>
        <row r="142">
          <cell r="D142">
            <v>0</v>
          </cell>
          <cell r="F142">
            <v>26684</v>
          </cell>
        </row>
        <row r="143">
          <cell r="D143">
            <v>0</v>
          </cell>
          <cell r="F143">
            <v>49430</v>
          </cell>
        </row>
        <row r="144">
          <cell r="D144">
            <v>0</v>
          </cell>
          <cell r="F144">
            <v>14068</v>
          </cell>
        </row>
        <row r="146">
          <cell r="D146">
            <v>36000</v>
          </cell>
        </row>
        <row r="147">
          <cell r="D147">
            <v>0</v>
          </cell>
        </row>
        <row r="148">
          <cell r="D148">
            <v>0</v>
          </cell>
        </row>
        <row r="149">
          <cell r="D149">
            <v>2042</v>
          </cell>
        </row>
        <row r="150">
          <cell r="D150">
            <v>12135</v>
          </cell>
        </row>
        <row r="151">
          <cell r="D151">
            <v>88136</v>
          </cell>
        </row>
        <row r="152">
          <cell r="D152">
            <v>924</v>
          </cell>
        </row>
        <row r="153">
          <cell r="D153">
            <v>0</v>
          </cell>
        </row>
        <row r="154">
          <cell r="D154">
            <v>0</v>
          </cell>
        </row>
        <row r="156">
          <cell r="D156">
            <v>0</v>
          </cell>
        </row>
        <row r="157">
          <cell r="D157">
            <v>0</v>
          </cell>
        </row>
        <row r="158">
          <cell r="D158">
            <v>0</v>
          </cell>
        </row>
        <row r="159">
          <cell r="D159">
            <v>0</v>
          </cell>
        </row>
        <row r="161">
          <cell r="D161">
            <v>10378</v>
          </cell>
        </row>
        <row r="175">
          <cell r="D175">
            <v>0</v>
          </cell>
        </row>
        <row r="176">
          <cell r="D176">
            <v>0</v>
          </cell>
        </row>
        <row r="177">
          <cell r="D177">
            <v>153280</v>
          </cell>
          <cell r="F177">
            <v>8252</v>
          </cell>
        </row>
        <row r="178">
          <cell r="D178">
            <v>0</v>
          </cell>
          <cell r="F178">
            <v>22662</v>
          </cell>
        </row>
        <row r="179">
          <cell r="D179">
            <v>20423</v>
          </cell>
          <cell r="F179">
            <v>1099</v>
          </cell>
        </row>
        <row r="180">
          <cell r="D180">
            <v>0</v>
          </cell>
          <cell r="F180">
            <v>3019</v>
          </cell>
        </row>
        <row r="181">
          <cell r="D181">
            <v>0</v>
          </cell>
        </row>
        <row r="182">
          <cell r="D182">
            <v>0</v>
          </cell>
        </row>
        <row r="183">
          <cell r="D183">
            <v>98992</v>
          </cell>
          <cell r="F183">
            <v>5329</v>
          </cell>
        </row>
        <row r="184">
          <cell r="D184">
            <v>0</v>
          </cell>
          <cell r="F184">
            <v>14635</v>
          </cell>
        </row>
        <row r="185">
          <cell r="D185">
            <v>0</v>
          </cell>
        </row>
        <row r="186">
          <cell r="D186">
            <v>0</v>
          </cell>
        </row>
        <row r="187">
          <cell r="D187">
            <v>0</v>
          </cell>
        </row>
        <row r="188">
          <cell r="D188">
            <v>288</v>
          </cell>
        </row>
        <row r="189">
          <cell r="D189">
            <v>0</v>
          </cell>
        </row>
        <row r="190">
          <cell r="D190">
            <v>0</v>
          </cell>
        </row>
        <row r="191">
          <cell r="D191">
            <v>0</v>
          </cell>
        </row>
        <row r="192">
          <cell r="D192">
            <v>0</v>
          </cell>
        </row>
        <row r="193">
          <cell r="D193">
            <v>0</v>
          </cell>
        </row>
        <row r="194">
          <cell r="D194">
            <v>0</v>
          </cell>
        </row>
        <row r="195">
          <cell r="D195">
            <v>0</v>
          </cell>
        </row>
        <row r="196">
          <cell r="D196">
            <v>0</v>
          </cell>
        </row>
        <row r="197">
          <cell r="D197">
            <v>0</v>
          </cell>
        </row>
        <row r="198">
          <cell r="D198">
            <v>23892</v>
          </cell>
        </row>
        <row r="199">
          <cell r="D199">
            <v>0</v>
          </cell>
        </row>
        <row r="200">
          <cell r="D200">
            <v>0</v>
          </cell>
        </row>
        <row r="201">
          <cell r="D201">
            <v>0</v>
          </cell>
        </row>
        <row r="202">
          <cell r="D202">
            <v>0</v>
          </cell>
        </row>
        <row r="203">
          <cell r="D203">
            <v>0</v>
          </cell>
        </row>
        <row r="204">
          <cell r="D204">
            <v>0</v>
          </cell>
        </row>
        <row r="205">
          <cell r="D205">
            <v>115673</v>
          </cell>
        </row>
        <row r="206">
          <cell r="D206">
            <v>8997</v>
          </cell>
        </row>
        <row r="207">
          <cell r="D207">
            <v>74476</v>
          </cell>
          <cell r="F207">
            <v>-454.80000000000018</v>
          </cell>
        </row>
        <row r="211">
          <cell r="D211">
            <v>59625</v>
          </cell>
          <cell r="F211">
            <v>3210</v>
          </cell>
        </row>
        <row r="212">
          <cell r="D212">
            <v>0</v>
          </cell>
          <cell r="F212">
            <v>8816</v>
          </cell>
        </row>
        <row r="213">
          <cell r="D213">
            <v>18589</v>
          </cell>
        </row>
        <row r="214">
          <cell r="D214">
            <v>0</v>
          </cell>
        </row>
        <row r="215">
          <cell r="D215">
            <v>0</v>
          </cell>
        </row>
        <row r="216">
          <cell r="D216">
            <v>1703</v>
          </cell>
        </row>
        <row r="221">
          <cell r="D221">
            <v>4480111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>
        <row r="9">
          <cell r="C9">
            <v>13136</v>
          </cell>
          <cell r="E9">
            <v>2073</v>
          </cell>
          <cell r="F9">
            <v>1980</v>
          </cell>
          <cell r="H9">
            <v>423</v>
          </cell>
          <cell r="J9">
            <v>1007</v>
          </cell>
        </row>
        <row r="22">
          <cell r="N22">
            <v>108</v>
          </cell>
        </row>
        <row r="24">
          <cell r="N24">
            <v>108</v>
          </cell>
        </row>
        <row r="28">
          <cell r="N28">
            <v>39420</v>
          </cell>
        </row>
        <row r="30">
          <cell r="N30">
            <v>0.47232369355657028</v>
          </cell>
        </row>
        <row r="32">
          <cell r="N32">
            <v>0.3332318619989853</v>
          </cell>
        </row>
        <row r="34">
          <cell r="N34">
            <v>0.70551587088458023</v>
          </cell>
        </row>
      </sheetData>
      <sheetData sheetId="1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heet1"/>
      <sheetName val="Sch A Pg 3"/>
      <sheetName val="Sch B"/>
      <sheetName val="Sch B-1"/>
      <sheetName val="Sch C"/>
      <sheetName val="Sch C Misc Items Detail"/>
      <sheetName val="Sch C-1"/>
      <sheetName val="Sch C-1 (2)"/>
      <sheetName val="Sch C-2"/>
      <sheetName val="Sch D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0">
          <cell r="E10">
            <v>3985490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888379</v>
          </cell>
          <cell r="G21">
            <v>0</v>
          </cell>
        </row>
        <row r="27">
          <cell r="E27">
            <v>1386307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459324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677190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3080</v>
          </cell>
          <cell r="G67">
            <v>0</v>
          </cell>
        </row>
        <row r="85">
          <cell r="C85">
            <v>196.55133928571428</v>
          </cell>
          <cell r="E85">
            <v>201.15942028985506</v>
          </cell>
          <cell r="G85">
            <v>187.04491413474241</v>
          </cell>
          <cell r="I85">
            <v>193.17201166180757</v>
          </cell>
        </row>
      </sheetData>
      <sheetData sheetId="7" refreshError="1"/>
      <sheetData sheetId="8">
        <row r="10">
          <cell r="D10">
            <v>203134</v>
          </cell>
          <cell r="F10">
            <v>11675</v>
          </cell>
        </row>
        <row r="11">
          <cell r="D11">
            <v>0</v>
          </cell>
          <cell r="F11">
            <v>0</v>
          </cell>
        </row>
        <row r="12">
          <cell r="D12">
            <v>248619</v>
          </cell>
          <cell r="F12">
            <v>-48056.41</v>
          </cell>
        </row>
        <row r="13">
          <cell r="D13">
            <v>663185</v>
          </cell>
          <cell r="F13">
            <v>-602842.88</v>
          </cell>
        </row>
        <row r="14">
          <cell r="D14">
            <v>0</v>
          </cell>
        </row>
        <row r="15">
          <cell r="D15">
            <v>0</v>
          </cell>
        </row>
        <row r="16">
          <cell r="D16">
            <v>370228</v>
          </cell>
          <cell r="F16">
            <v>172675.90800805995</v>
          </cell>
        </row>
        <row r="17">
          <cell r="D17">
            <v>0</v>
          </cell>
        </row>
        <row r="18">
          <cell r="D18">
            <v>9017</v>
          </cell>
        </row>
        <row r="19">
          <cell r="D19">
            <v>15875</v>
          </cell>
          <cell r="F19">
            <v>-1904.546</v>
          </cell>
        </row>
        <row r="20">
          <cell r="D20">
            <v>30141</v>
          </cell>
        </row>
        <row r="21">
          <cell r="D21">
            <v>7754</v>
          </cell>
        </row>
        <row r="22">
          <cell r="D22">
            <v>0</v>
          </cell>
        </row>
        <row r="23">
          <cell r="D23">
            <v>8250</v>
          </cell>
        </row>
        <row r="24">
          <cell r="D24">
            <v>56888</v>
          </cell>
          <cell r="F24">
            <v>-13200</v>
          </cell>
        </row>
        <row r="25">
          <cell r="D25">
            <v>0</v>
          </cell>
        </row>
        <row r="26">
          <cell r="D26">
            <v>434718</v>
          </cell>
        </row>
        <row r="27">
          <cell r="D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45897</v>
          </cell>
          <cell r="F29">
            <v>-45897</v>
          </cell>
        </row>
        <row r="30">
          <cell r="D30">
            <v>0</v>
          </cell>
          <cell r="F30">
            <v>0</v>
          </cell>
        </row>
        <row r="31">
          <cell r="D31">
            <v>76418</v>
          </cell>
        </row>
        <row r="32">
          <cell r="D32">
            <v>105600</v>
          </cell>
          <cell r="F32">
            <v>-31679.73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</row>
        <row r="35">
          <cell r="D35">
            <v>106</v>
          </cell>
          <cell r="F35">
            <v>-106</v>
          </cell>
        </row>
        <row r="36">
          <cell r="D36">
            <v>0</v>
          </cell>
        </row>
        <row r="37">
          <cell r="D37">
            <v>0</v>
          </cell>
        </row>
        <row r="38">
          <cell r="D38">
            <v>0</v>
          </cell>
          <cell r="F38">
            <v>0</v>
          </cell>
        </row>
        <row r="39">
          <cell r="D39">
            <v>7021</v>
          </cell>
        </row>
        <row r="40">
          <cell r="D40">
            <v>10875</v>
          </cell>
        </row>
        <row r="41">
          <cell r="D41">
            <v>11407</v>
          </cell>
        </row>
        <row r="42">
          <cell r="D42">
            <v>11337</v>
          </cell>
        </row>
        <row r="43">
          <cell r="D43">
            <v>14971</v>
          </cell>
        </row>
        <row r="44">
          <cell r="D44">
            <v>0</v>
          </cell>
        </row>
        <row r="45">
          <cell r="D45">
            <v>34954</v>
          </cell>
          <cell r="F45">
            <v>-2432</v>
          </cell>
        </row>
        <row r="57">
          <cell r="D57">
            <v>630000</v>
          </cell>
        </row>
        <row r="58">
          <cell r="D58">
            <v>0</v>
          </cell>
        </row>
        <row r="59">
          <cell r="D59">
            <v>0</v>
          </cell>
        </row>
        <row r="60">
          <cell r="D60">
            <v>59756</v>
          </cell>
        </row>
        <row r="61">
          <cell r="D61">
            <v>8257</v>
          </cell>
        </row>
        <row r="62">
          <cell r="D62">
            <v>707</v>
          </cell>
        </row>
        <row r="63">
          <cell r="D63">
            <v>0</v>
          </cell>
        </row>
        <row r="64">
          <cell r="D64">
            <v>0</v>
          </cell>
        </row>
        <row r="65">
          <cell r="D65">
            <v>5983</v>
          </cell>
        </row>
        <row r="66">
          <cell r="D66">
            <v>402</v>
          </cell>
        </row>
        <row r="67">
          <cell r="D67">
            <v>58012</v>
          </cell>
        </row>
        <row r="68">
          <cell r="D68">
            <v>0</v>
          </cell>
        </row>
        <row r="69">
          <cell r="D69">
            <v>8313</v>
          </cell>
        </row>
        <row r="70">
          <cell r="D70">
            <v>0</v>
          </cell>
        </row>
        <row r="71">
          <cell r="D71">
            <v>0</v>
          </cell>
        </row>
        <row r="75">
          <cell r="D75">
            <v>61621</v>
          </cell>
          <cell r="F75">
            <v>3542</v>
          </cell>
        </row>
        <row r="76">
          <cell r="D76">
            <v>0</v>
          </cell>
          <cell r="F76">
            <v>9217</v>
          </cell>
        </row>
        <row r="77">
          <cell r="D77">
            <v>17912</v>
          </cell>
        </row>
        <row r="78">
          <cell r="D78">
            <v>0</v>
          </cell>
        </row>
        <row r="79">
          <cell r="D79">
            <v>4916</v>
          </cell>
        </row>
        <row r="80">
          <cell r="D80">
            <v>24125</v>
          </cell>
        </row>
        <row r="81">
          <cell r="D81">
            <v>3428</v>
          </cell>
        </row>
        <row r="82">
          <cell r="D82">
            <v>852</v>
          </cell>
        </row>
        <row r="83">
          <cell r="D83">
            <v>0</v>
          </cell>
        </row>
        <row r="84">
          <cell r="D84">
            <v>124715</v>
          </cell>
        </row>
        <row r="85">
          <cell r="D85">
            <v>0</v>
          </cell>
        </row>
        <row r="89">
          <cell r="D89">
            <v>191964</v>
          </cell>
          <cell r="F89">
            <v>11033</v>
          </cell>
        </row>
        <row r="90">
          <cell r="D90">
            <v>0</v>
          </cell>
          <cell r="F90">
            <v>28713</v>
          </cell>
        </row>
        <row r="91">
          <cell r="D91">
            <v>8955</v>
          </cell>
        </row>
        <row r="92">
          <cell r="D92">
            <v>203830</v>
          </cell>
        </row>
        <row r="93">
          <cell r="D93">
            <v>31022</v>
          </cell>
        </row>
        <row r="94">
          <cell r="D94">
            <v>0</v>
          </cell>
        </row>
        <row r="98">
          <cell r="D98">
            <v>39459</v>
          </cell>
          <cell r="F98">
            <v>2268</v>
          </cell>
        </row>
        <row r="99">
          <cell r="D99">
            <v>0</v>
          </cell>
          <cell r="F99">
            <v>5902</v>
          </cell>
        </row>
        <row r="100">
          <cell r="D100">
            <v>7245</v>
          </cell>
        </row>
        <row r="101">
          <cell r="D101">
            <v>0</v>
          </cell>
        </row>
        <row r="102">
          <cell r="D102">
            <v>1995</v>
          </cell>
        </row>
        <row r="103">
          <cell r="D103">
            <v>0</v>
          </cell>
        </row>
        <row r="115">
          <cell r="D115">
            <v>105567</v>
          </cell>
          <cell r="F115">
            <v>6068</v>
          </cell>
        </row>
        <row r="116">
          <cell r="D116">
            <v>0</v>
          </cell>
          <cell r="F116">
            <v>15790</v>
          </cell>
        </row>
        <row r="117">
          <cell r="D117">
            <v>16352</v>
          </cell>
        </row>
        <row r="118">
          <cell r="D118">
            <v>2280</v>
          </cell>
        </row>
        <row r="119">
          <cell r="D119">
            <v>0</v>
          </cell>
        </row>
        <row r="124">
          <cell r="D124">
            <v>0</v>
          </cell>
        </row>
        <row r="125">
          <cell r="D125">
            <v>136755</v>
          </cell>
          <cell r="F125">
            <v>7860</v>
          </cell>
        </row>
        <row r="126">
          <cell r="D126">
            <v>67147</v>
          </cell>
          <cell r="F126">
            <v>3859</v>
          </cell>
        </row>
        <row r="127">
          <cell r="D127">
            <v>0</v>
          </cell>
          <cell r="F127">
            <v>0</v>
          </cell>
        </row>
        <row r="128">
          <cell r="D128">
            <v>80811</v>
          </cell>
          <cell r="F128">
            <v>4645</v>
          </cell>
        </row>
        <row r="130">
          <cell r="D130">
            <v>0</v>
          </cell>
        </row>
        <row r="131">
          <cell r="D131">
            <v>0</v>
          </cell>
          <cell r="F131">
            <v>20455</v>
          </cell>
        </row>
        <row r="132">
          <cell r="D132">
            <v>0</v>
          </cell>
          <cell r="F132">
            <v>10044</v>
          </cell>
        </row>
        <row r="133">
          <cell r="D133">
            <v>0</v>
          </cell>
          <cell r="F133">
            <v>0</v>
          </cell>
        </row>
        <row r="134">
          <cell r="D134">
            <v>0</v>
          </cell>
          <cell r="F134">
            <v>12087</v>
          </cell>
        </row>
        <row r="136">
          <cell r="D136">
            <v>559886</v>
          </cell>
          <cell r="F136">
            <v>32180</v>
          </cell>
        </row>
        <row r="137">
          <cell r="D137">
            <v>271179</v>
          </cell>
          <cell r="F137">
            <v>15586</v>
          </cell>
        </row>
        <row r="138">
          <cell r="D138">
            <v>613680</v>
          </cell>
          <cell r="F138">
            <v>35272</v>
          </cell>
        </row>
        <row r="139">
          <cell r="D139">
            <v>101862</v>
          </cell>
          <cell r="F139">
            <v>5855</v>
          </cell>
        </row>
        <row r="141">
          <cell r="D141">
            <v>0</v>
          </cell>
          <cell r="F141">
            <v>83744</v>
          </cell>
        </row>
        <row r="142">
          <cell r="D142">
            <v>0</v>
          </cell>
          <cell r="F142">
            <v>40561</v>
          </cell>
        </row>
        <row r="143">
          <cell r="D143">
            <v>0</v>
          </cell>
          <cell r="F143">
            <v>91789</v>
          </cell>
        </row>
        <row r="144">
          <cell r="D144">
            <v>0</v>
          </cell>
          <cell r="F144">
            <v>15236</v>
          </cell>
        </row>
        <row r="146">
          <cell r="D146">
            <v>24000</v>
          </cell>
        </row>
        <row r="147">
          <cell r="D147">
            <v>0</v>
          </cell>
        </row>
        <row r="148">
          <cell r="D148">
            <v>0</v>
          </cell>
        </row>
        <row r="149">
          <cell r="D149">
            <v>547</v>
          </cell>
        </row>
        <row r="150">
          <cell r="D150">
            <v>11967</v>
          </cell>
        </row>
        <row r="151">
          <cell r="D151">
            <v>108098</v>
          </cell>
        </row>
        <row r="152">
          <cell r="D152">
            <v>4386</v>
          </cell>
        </row>
        <row r="153">
          <cell r="D153">
            <v>0</v>
          </cell>
        </row>
        <row r="154">
          <cell r="D154">
            <v>0</v>
          </cell>
        </row>
        <row r="156">
          <cell r="D156">
            <v>0</v>
          </cell>
        </row>
        <row r="157">
          <cell r="D157">
            <v>0</v>
          </cell>
        </row>
        <row r="158">
          <cell r="D158">
            <v>0</v>
          </cell>
        </row>
        <row r="159">
          <cell r="D159">
            <v>0</v>
          </cell>
        </row>
        <row r="161">
          <cell r="D161">
            <v>11151</v>
          </cell>
        </row>
        <row r="175">
          <cell r="D175">
            <v>0</v>
          </cell>
        </row>
        <row r="176">
          <cell r="D176">
            <v>0</v>
          </cell>
        </row>
        <row r="177">
          <cell r="D177">
            <v>227903</v>
          </cell>
          <cell r="F177">
            <v>13099</v>
          </cell>
        </row>
        <row r="178">
          <cell r="D178">
            <v>0</v>
          </cell>
          <cell r="F178">
            <v>34088</v>
          </cell>
        </row>
        <row r="179">
          <cell r="D179">
            <v>73296</v>
          </cell>
          <cell r="F179">
            <v>4213</v>
          </cell>
        </row>
        <row r="180">
          <cell r="D180">
            <v>0</v>
          </cell>
          <cell r="F180">
            <v>10963</v>
          </cell>
        </row>
        <row r="181">
          <cell r="D181">
            <v>0</v>
          </cell>
        </row>
        <row r="182">
          <cell r="D182">
            <v>0</v>
          </cell>
        </row>
        <row r="183">
          <cell r="D183">
            <v>121903</v>
          </cell>
          <cell r="F183">
            <v>7006</v>
          </cell>
        </row>
        <row r="184">
          <cell r="D184">
            <v>0</v>
          </cell>
          <cell r="F184">
            <v>18233</v>
          </cell>
        </row>
        <row r="185">
          <cell r="D185">
            <v>0</v>
          </cell>
        </row>
        <row r="186">
          <cell r="D186">
            <v>0</v>
          </cell>
        </row>
        <row r="187">
          <cell r="D187">
            <v>0</v>
          </cell>
        </row>
        <row r="188">
          <cell r="D188">
            <v>1047</v>
          </cell>
        </row>
        <row r="189">
          <cell r="D189">
            <v>0</v>
          </cell>
        </row>
        <row r="190">
          <cell r="D190">
            <v>0</v>
          </cell>
        </row>
        <row r="191">
          <cell r="D191">
            <v>0</v>
          </cell>
        </row>
        <row r="192">
          <cell r="D192">
            <v>0</v>
          </cell>
        </row>
        <row r="193">
          <cell r="D193">
            <v>0</v>
          </cell>
        </row>
        <row r="194">
          <cell r="D194">
            <v>0</v>
          </cell>
        </row>
        <row r="195">
          <cell r="D195">
            <v>0</v>
          </cell>
        </row>
        <row r="196">
          <cell r="D196">
            <v>0</v>
          </cell>
        </row>
        <row r="197">
          <cell r="D197">
            <v>0</v>
          </cell>
        </row>
        <row r="198">
          <cell r="D198">
            <v>22453</v>
          </cell>
        </row>
        <row r="199">
          <cell r="D199">
            <v>3000</v>
          </cell>
        </row>
        <row r="200">
          <cell r="D200">
            <v>0</v>
          </cell>
        </row>
        <row r="201">
          <cell r="D201">
            <v>0</v>
          </cell>
        </row>
        <row r="202">
          <cell r="D202">
            <v>0</v>
          </cell>
        </row>
        <row r="203">
          <cell r="D203">
            <v>0</v>
          </cell>
        </row>
        <row r="204">
          <cell r="D204">
            <v>0</v>
          </cell>
        </row>
        <row r="205">
          <cell r="D205">
            <v>191469</v>
          </cell>
        </row>
        <row r="206">
          <cell r="D206">
            <v>2050</v>
          </cell>
        </row>
        <row r="207">
          <cell r="D207">
            <v>32094</v>
          </cell>
          <cell r="F207">
            <v>-702.77999999999975</v>
          </cell>
        </row>
        <row r="211">
          <cell r="D211">
            <v>129636</v>
          </cell>
          <cell r="F211">
            <v>7451</v>
          </cell>
        </row>
        <row r="212">
          <cell r="D212">
            <v>0</v>
          </cell>
          <cell r="F212">
            <v>19390</v>
          </cell>
        </row>
        <row r="213">
          <cell r="D213">
            <v>5416</v>
          </cell>
        </row>
        <row r="214">
          <cell r="D214">
            <v>0</v>
          </cell>
        </row>
        <row r="215">
          <cell r="D215">
            <v>0</v>
          </cell>
        </row>
        <row r="216">
          <cell r="D216">
            <v>8989</v>
          </cell>
        </row>
        <row r="221">
          <cell r="D221">
            <v>6794788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>
        <row r="9">
          <cell r="C9">
            <v>22146</v>
          </cell>
          <cell r="E9">
            <v>1718</v>
          </cell>
          <cell r="F9">
            <v>3404</v>
          </cell>
          <cell r="H9">
            <v>2374</v>
          </cell>
          <cell r="J9">
            <v>3843</v>
          </cell>
        </row>
        <row r="22">
          <cell r="N22">
            <v>120</v>
          </cell>
        </row>
        <row r="24">
          <cell r="N24">
            <v>120</v>
          </cell>
        </row>
        <row r="28">
          <cell r="N28">
            <v>43800</v>
          </cell>
        </row>
        <row r="30">
          <cell r="N30">
            <v>0.76449771689497714</v>
          </cell>
        </row>
        <row r="32">
          <cell r="N32">
            <v>0.50561643835616443</v>
          </cell>
        </row>
        <row r="34">
          <cell r="N34">
            <v>0.66137076302822173</v>
          </cell>
        </row>
      </sheetData>
      <sheetData sheetId="1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P&amp;L"/>
      <sheetName val="Support Sched"/>
      <sheetName val="Nursing PTO &amp; Benefits"/>
      <sheetName val="Related par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E10">
            <v>3842473</v>
          </cell>
          <cell r="G10">
            <v>-66570</v>
          </cell>
        </row>
        <row r="15">
          <cell r="E15">
            <v>0</v>
          </cell>
          <cell r="G15">
            <v>66570</v>
          </cell>
        </row>
        <row r="21">
          <cell r="E21">
            <v>1272769</v>
          </cell>
          <cell r="G21">
            <v>-449700</v>
          </cell>
        </row>
        <row r="27">
          <cell r="E27">
            <v>0</v>
          </cell>
          <cell r="G27">
            <v>449700</v>
          </cell>
        </row>
        <row r="32">
          <cell r="E32">
            <v>0</v>
          </cell>
          <cell r="G32">
            <v>0</v>
          </cell>
        </row>
        <row r="37">
          <cell r="E37">
            <v>285382</v>
          </cell>
          <cell r="G37">
            <v>0</v>
          </cell>
        </row>
        <row r="42">
          <cell r="E42">
            <v>67521</v>
          </cell>
          <cell r="G42">
            <v>-19355</v>
          </cell>
        </row>
        <row r="47">
          <cell r="E47">
            <v>0</v>
          </cell>
          <cell r="G47">
            <v>19355</v>
          </cell>
        </row>
        <row r="52">
          <cell r="E52">
            <v>1339837</v>
          </cell>
          <cell r="G52">
            <v>0</v>
          </cell>
        </row>
        <row r="67">
          <cell r="E67">
            <v>3719.69</v>
          </cell>
          <cell r="G67">
            <v>0</v>
          </cell>
        </row>
        <row r="85">
          <cell r="C85">
            <v>393.7</v>
          </cell>
          <cell r="E85">
            <v>393.7</v>
          </cell>
          <cell r="G85">
            <v>393.70000000000005</v>
          </cell>
          <cell r="I85">
            <v>393.4375</v>
          </cell>
        </row>
      </sheetData>
      <sheetData sheetId="6" refreshError="1"/>
      <sheetData sheetId="7">
        <row r="10">
          <cell r="F10">
            <v>17769</v>
          </cell>
        </row>
        <row r="12">
          <cell r="D12">
            <v>4171902.7</v>
          </cell>
          <cell r="F12">
            <v>-3812791</v>
          </cell>
        </row>
        <row r="13">
          <cell r="D13">
            <v>21769.23</v>
          </cell>
          <cell r="F13">
            <v>94647</v>
          </cell>
        </row>
        <row r="14">
          <cell r="D14">
            <v>92400</v>
          </cell>
        </row>
        <row r="17">
          <cell r="D17">
            <v>12156</v>
          </cell>
          <cell r="F17">
            <v>-12156</v>
          </cell>
        </row>
        <row r="19">
          <cell r="D19">
            <v>47516.34</v>
          </cell>
        </row>
        <row r="20">
          <cell r="D20">
            <v>22478.82</v>
          </cell>
        </row>
        <row r="21">
          <cell r="D21">
            <v>922.5</v>
          </cell>
        </row>
        <row r="23">
          <cell r="D23">
            <v>17011.46</v>
          </cell>
        </row>
        <row r="24">
          <cell r="D24">
            <v>13788.41</v>
          </cell>
        </row>
        <row r="25">
          <cell r="D25">
            <v>14736</v>
          </cell>
        </row>
        <row r="26">
          <cell r="D26">
            <v>124293.4</v>
          </cell>
        </row>
        <row r="27">
          <cell r="D27">
            <v>132873.43</v>
          </cell>
        </row>
        <row r="28">
          <cell r="F28">
            <v>0</v>
          </cell>
        </row>
        <row r="29">
          <cell r="D29">
            <v>120075</v>
          </cell>
          <cell r="F29">
            <v>-120075</v>
          </cell>
        </row>
        <row r="30">
          <cell r="D30">
            <v>559</v>
          </cell>
          <cell r="F30">
            <v>-559</v>
          </cell>
        </row>
        <row r="31">
          <cell r="D31">
            <v>81005</v>
          </cell>
        </row>
        <row r="32">
          <cell r="D32">
            <v>27572.26</v>
          </cell>
        </row>
        <row r="33">
          <cell r="F33">
            <v>0</v>
          </cell>
        </row>
        <row r="35">
          <cell r="F35">
            <v>0</v>
          </cell>
        </row>
        <row r="36">
          <cell r="D36">
            <v>47148.74</v>
          </cell>
        </row>
        <row r="39">
          <cell r="D39">
            <v>781.12</v>
          </cell>
        </row>
        <row r="41">
          <cell r="D41">
            <v>56933.71</v>
          </cell>
        </row>
        <row r="44">
          <cell r="D44">
            <v>145</v>
          </cell>
        </row>
        <row r="45">
          <cell r="D45">
            <v>1180.53</v>
          </cell>
        </row>
        <row r="57">
          <cell r="D57">
            <v>401720</v>
          </cell>
        </row>
        <row r="60">
          <cell r="D60">
            <v>87975</v>
          </cell>
        </row>
        <row r="65">
          <cell r="D65">
            <v>438</v>
          </cell>
        </row>
        <row r="66">
          <cell r="D66">
            <v>206670.99</v>
          </cell>
        </row>
        <row r="67">
          <cell r="D67">
            <v>40878</v>
          </cell>
        </row>
        <row r="75">
          <cell r="F75">
            <v>63921</v>
          </cell>
        </row>
        <row r="76">
          <cell r="F76">
            <v>9381</v>
          </cell>
        </row>
        <row r="78">
          <cell r="D78">
            <v>29631.46</v>
          </cell>
        </row>
        <row r="80">
          <cell r="D80">
            <v>17447.39</v>
          </cell>
        </row>
        <row r="82">
          <cell r="D82">
            <v>49749.03</v>
          </cell>
        </row>
        <row r="83">
          <cell r="D83">
            <v>6541.55</v>
          </cell>
        </row>
        <row r="84">
          <cell r="D84">
            <v>123591.89</v>
          </cell>
        </row>
        <row r="89">
          <cell r="F89">
            <v>82239</v>
          </cell>
        </row>
        <row r="90">
          <cell r="F90">
            <v>11513</v>
          </cell>
        </row>
        <row r="91">
          <cell r="D91">
            <v>19150</v>
          </cell>
        </row>
        <row r="92">
          <cell r="D92">
            <v>163406.85999999999</v>
          </cell>
        </row>
        <row r="93">
          <cell r="D93">
            <v>11644.68</v>
          </cell>
        </row>
        <row r="100">
          <cell r="D100">
            <v>4224.92</v>
          </cell>
        </row>
        <row r="115">
          <cell r="F115">
            <v>81863</v>
          </cell>
        </row>
        <row r="116">
          <cell r="F116">
            <v>11033</v>
          </cell>
        </row>
        <row r="117">
          <cell r="D117">
            <v>30670.32</v>
          </cell>
        </row>
        <row r="124">
          <cell r="F124">
            <v>59597</v>
          </cell>
        </row>
        <row r="125">
          <cell r="F125">
            <v>103367</v>
          </cell>
        </row>
        <row r="126">
          <cell r="F126">
            <v>30898</v>
          </cell>
        </row>
        <row r="128">
          <cell r="F128">
            <v>43749</v>
          </cell>
        </row>
        <row r="130">
          <cell r="F130">
            <v>7902</v>
          </cell>
        </row>
        <row r="131">
          <cell r="F131">
            <v>10439</v>
          </cell>
        </row>
        <row r="132">
          <cell r="F132">
            <v>3700</v>
          </cell>
        </row>
        <row r="134">
          <cell r="F134">
            <v>9407</v>
          </cell>
        </row>
        <row r="136">
          <cell r="F136">
            <v>963168</v>
          </cell>
        </row>
        <row r="137">
          <cell r="F137">
            <v>146217</v>
          </cell>
        </row>
        <row r="138">
          <cell r="F138">
            <v>558547</v>
          </cell>
        </row>
        <row r="139">
          <cell r="F139">
            <v>35932</v>
          </cell>
        </row>
        <row r="141">
          <cell r="F141">
            <v>119822</v>
          </cell>
        </row>
        <row r="142">
          <cell r="F142">
            <v>18850</v>
          </cell>
        </row>
        <row r="143">
          <cell r="F143">
            <v>76359</v>
          </cell>
        </row>
        <row r="144">
          <cell r="F144">
            <v>4152</v>
          </cell>
        </row>
        <row r="150">
          <cell r="D150">
            <v>253696.43</v>
          </cell>
        </row>
        <row r="151">
          <cell r="D151">
            <v>552.70000000000005</v>
          </cell>
        </row>
        <row r="152">
          <cell r="D152">
            <v>1665.44</v>
          </cell>
        </row>
        <row r="154">
          <cell r="F154">
            <v>705469</v>
          </cell>
        </row>
        <row r="177">
          <cell r="F177">
            <v>196509</v>
          </cell>
        </row>
        <row r="178">
          <cell r="F178">
            <v>28240</v>
          </cell>
        </row>
        <row r="179">
          <cell r="F179">
            <v>27025</v>
          </cell>
        </row>
        <row r="180">
          <cell r="F180">
            <v>4306</v>
          </cell>
        </row>
        <row r="183">
          <cell r="F183">
            <v>158624</v>
          </cell>
        </row>
        <row r="184">
          <cell r="F184">
            <v>20830</v>
          </cell>
        </row>
        <row r="192">
          <cell r="D192">
            <v>2843.9</v>
          </cell>
        </row>
        <row r="193">
          <cell r="D193">
            <v>7200</v>
          </cell>
        </row>
        <row r="194">
          <cell r="D194">
            <v>56.54</v>
          </cell>
        </row>
        <row r="198">
          <cell r="D198">
            <v>47467.21</v>
          </cell>
        </row>
        <row r="205">
          <cell r="D205">
            <v>435020.97</v>
          </cell>
        </row>
        <row r="206">
          <cell r="D206">
            <v>198407.36</v>
          </cell>
        </row>
        <row r="207">
          <cell r="D207">
            <v>1009.07</v>
          </cell>
        </row>
        <row r="211">
          <cell r="F211">
            <v>93922</v>
          </cell>
        </row>
        <row r="212">
          <cell r="F212">
            <v>13395</v>
          </cell>
        </row>
        <row r="213">
          <cell r="D213">
            <v>10097.43</v>
          </cell>
        </row>
      </sheetData>
      <sheetData sheetId="8" refreshError="1"/>
      <sheetData sheetId="9" refreshError="1"/>
      <sheetData sheetId="10">
        <row r="9">
          <cell r="C9">
            <v>4975</v>
          </cell>
          <cell r="D9">
            <v>317</v>
          </cell>
          <cell r="E9">
            <v>2237</v>
          </cell>
          <cell r="F9">
            <v>1499</v>
          </cell>
          <cell r="H9">
            <v>725</v>
          </cell>
          <cell r="I9">
            <v>99</v>
          </cell>
          <cell r="J9">
            <v>79</v>
          </cell>
          <cell r="K9">
            <v>1878</v>
          </cell>
        </row>
        <row r="22">
          <cell r="N22">
            <v>36</v>
          </cell>
        </row>
        <row r="24">
          <cell r="N24">
            <v>24</v>
          </cell>
        </row>
        <row r="28">
          <cell r="N28">
            <v>13140</v>
          </cell>
        </row>
        <row r="30">
          <cell r="N30">
            <v>0.89870624048706238</v>
          </cell>
        </row>
        <row r="32">
          <cell r="N32">
            <v>0.40273972602739727</v>
          </cell>
        </row>
        <row r="34">
          <cell r="N34">
            <v>0.44813278008298757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E10">
            <v>2089252</v>
          </cell>
          <cell r="G10">
            <v>-47903</v>
          </cell>
        </row>
        <row r="15">
          <cell r="E15">
            <v>0</v>
          </cell>
          <cell r="G15">
            <v>47903</v>
          </cell>
        </row>
        <row r="21">
          <cell r="E21">
            <v>1809900</v>
          </cell>
          <cell r="G21">
            <v>0</v>
          </cell>
        </row>
        <row r="27">
          <cell r="E27">
            <v>0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644253</v>
          </cell>
          <cell r="G37">
            <v>0</v>
          </cell>
        </row>
        <row r="42">
          <cell r="E42">
            <v>342984</v>
          </cell>
          <cell r="G42">
            <v>0</v>
          </cell>
        </row>
        <row r="47">
          <cell r="E47">
            <v>26263</v>
          </cell>
          <cell r="G47">
            <v>0</v>
          </cell>
        </row>
        <row r="52">
          <cell r="E52">
            <v>1223233</v>
          </cell>
          <cell r="G52">
            <v>0</v>
          </cell>
        </row>
        <row r="67">
          <cell r="E67">
            <v>154235</v>
          </cell>
          <cell r="G67">
            <v>0</v>
          </cell>
        </row>
        <row r="85">
          <cell r="C85">
            <v>217.168130489335</v>
          </cell>
          <cell r="E85">
            <v>221.26724137931035</v>
          </cell>
          <cell r="G85">
            <v>231.8860759493671</v>
          </cell>
          <cell r="I85">
            <v>254.96275071633238</v>
          </cell>
        </row>
      </sheetData>
      <sheetData sheetId="6" refreshError="1"/>
      <sheetData sheetId="7">
        <row r="10">
          <cell r="D10">
            <v>89301</v>
          </cell>
          <cell r="F10">
            <v>3602</v>
          </cell>
        </row>
        <row r="12">
          <cell r="D12">
            <v>235633</v>
          </cell>
          <cell r="F12">
            <v>9504</v>
          </cell>
        </row>
        <row r="13">
          <cell r="D13">
            <v>608584</v>
          </cell>
          <cell r="F13">
            <v>-555240</v>
          </cell>
        </row>
        <row r="16">
          <cell r="D16">
            <v>305991</v>
          </cell>
          <cell r="F16">
            <v>51795</v>
          </cell>
        </row>
        <row r="17">
          <cell r="D17">
            <v>14055</v>
          </cell>
        </row>
        <row r="18">
          <cell r="D18">
            <v>14536</v>
          </cell>
        </row>
        <row r="19">
          <cell r="D19">
            <v>12822</v>
          </cell>
        </row>
        <row r="20">
          <cell r="D20">
            <v>19411</v>
          </cell>
        </row>
        <row r="21">
          <cell r="D21">
            <v>66496</v>
          </cell>
          <cell r="F21">
            <v>6386</v>
          </cell>
        </row>
        <row r="22">
          <cell r="D22">
            <v>15750</v>
          </cell>
        </row>
        <row r="23">
          <cell r="D23">
            <v>14469</v>
          </cell>
        </row>
        <row r="26">
          <cell r="D26">
            <v>263374</v>
          </cell>
        </row>
        <row r="27">
          <cell r="D27">
            <v>142715</v>
          </cell>
          <cell r="F27">
            <v>-332</v>
          </cell>
        </row>
        <row r="28">
          <cell r="F28">
            <v>0</v>
          </cell>
        </row>
        <row r="29">
          <cell r="D29">
            <v>220011</v>
          </cell>
          <cell r="F29">
            <v>-220011</v>
          </cell>
        </row>
        <row r="30">
          <cell r="F30">
            <v>0</v>
          </cell>
        </row>
        <row r="31">
          <cell r="D31">
            <v>50992</v>
          </cell>
        </row>
        <row r="32">
          <cell r="D32">
            <v>41675</v>
          </cell>
        </row>
        <row r="33">
          <cell r="F33">
            <v>0</v>
          </cell>
        </row>
        <row r="35">
          <cell r="D35">
            <v>5150</v>
          </cell>
          <cell r="F35">
            <v>-5150</v>
          </cell>
        </row>
        <row r="36">
          <cell r="D36">
            <v>2774</v>
          </cell>
          <cell r="F36">
            <v>112</v>
          </cell>
        </row>
        <row r="37">
          <cell r="F37">
            <v>455</v>
          </cell>
        </row>
        <row r="39">
          <cell r="D39">
            <v>8717</v>
          </cell>
        </row>
        <row r="41">
          <cell r="D41">
            <v>43885</v>
          </cell>
        </row>
        <row r="42">
          <cell r="D42">
            <v>10594</v>
          </cell>
        </row>
        <row r="43">
          <cell r="D43">
            <v>13940</v>
          </cell>
        </row>
        <row r="45">
          <cell r="D45">
            <v>7554</v>
          </cell>
          <cell r="F45">
            <v>-153869</v>
          </cell>
        </row>
        <row r="57">
          <cell r="D57">
            <v>634790</v>
          </cell>
          <cell r="F57">
            <v>-634790</v>
          </cell>
        </row>
        <row r="58">
          <cell r="D58">
            <v>4424</v>
          </cell>
          <cell r="F58">
            <v>176544</v>
          </cell>
        </row>
        <row r="59">
          <cell r="D59">
            <v>44051</v>
          </cell>
          <cell r="F59">
            <v>225094</v>
          </cell>
        </row>
        <row r="60">
          <cell r="D60">
            <v>27009</v>
          </cell>
        </row>
        <row r="61">
          <cell r="D61">
            <v>19666</v>
          </cell>
          <cell r="F61">
            <v>23105</v>
          </cell>
        </row>
        <row r="62">
          <cell r="D62">
            <v>18448</v>
          </cell>
        </row>
        <row r="65">
          <cell r="D65">
            <v>15736</v>
          </cell>
        </row>
        <row r="67">
          <cell r="D67">
            <v>47575</v>
          </cell>
          <cell r="F67">
            <v>16340</v>
          </cell>
        </row>
        <row r="75">
          <cell r="D75">
            <v>53141</v>
          </cell>
          <cell r="F75">
            <v>2143</v>
          </cell>
        </row>
        <row r="76">
          <cell r="F76">
            <v>8724</v>
          </cell>
        </row>
        <row r="77">
          <cell r="D77">
            <v>17318</v>
          </cell>
        </row>
        <row r="78">
          <cell r="D78">
            <v>42552</v>
          </cell>
        </row>
        <row r="79">
          <cell r="D79">
            <v>1287</v>
          </cell>
        </row>
        <row r="80">
          <cell r="D80">
            <v>14288</v>
          </cell>
        </row>
        <row r="81">
          <cell r="D81">
            <v>1648</v>
          </cell>
        </row>
        <row r="83">
          <cell r="D83">
            <v>5927</v>
          </cell>
        </row>
        <row r="84">
          <cell r="D84">
            <v>78924</v>
          </cell>
        </row>
        <row r="85">
          <cell r="D85">
            <v>1430</v>
          </cell>
        </row>
        <row r="89">
          <cell r="D89">
            <v>233516</v>
          </cell>
          <cell r="F89">
            <v>9418</v>
          </cell>
        </row>
        <row r="90">
          <cell r="F90">
            <v>38336</v>
          </cell>
        </row>
        <row r="91">
          <cell r="D91">
            <v>24299</v>
          </cell>
        </row>
        <row r="92">
          <cell r="D92">
            <v>175821</v>
          </cell>
        </row>
        <row r="93">
          <cell r="D93">
            <v>12759</v>
          </cell>
        </row>
        <row r="94">
          <cell r="D94">
            <v>80</v>
          </cell>
          <cell r="F94">
            <v>-34</v>
          </cell>
        </row>
        <row r="100">
          <cell r="D100">
            <v>32</v>
          </cell>
        </row>
        <row r="101">
          <cell r="D101">
            <v>70480</v>
          </cell>
        </row>
        <row r="117">
          <cell r="D117">
            <v>1423</v>
          </cell>
        </row>
        <row r="118">
          <cell r="D118">
            <v>97284</v>
          </cell>
        </row>
        <row r="119">
          <cell r="D119">
            <v>9317</v>
          </cell>
        </row>
        <row r="125">
          <cell r="D125">
            <v>265076</v>
          </cell>
          <cell r="F125">
            <v>10691</v>
          </cell>
        </row>
        <row r="128">
          <cell r="D128">
            <v>91026</v>
          </cell>
          <cell r="F128">
            <v>3671</v>
          </cell>
        </row>
        <row r="131">
          <cell r="F131">
            <v>43517</v>
          </cell>
        </row>
        <row r="134">
          <cell r="F134">
            <v>14944</v>
          </cell>
        </row>
        <row r="136">
          <cell r="D136">
            <v>284875</v>
          </cell>
          <cell r="F136">
            <v>11490</v>
          </cell>
        </row>
        <row r="137">
          <cell r="D137">
            <v>312707</v>
          </cell>
          <cell r="F137">
            <v>12612</v>
          </cell>
        </row>
        <row r="138">
          <cell r="D138">
            <v>660866</v>
          </cell>
          <cell r="F138">
            <v>26654</v>
          </cell>
        </row>
        <row r="141">
          <cell r="F141">
            <v>46767</v>
          </cell>
        </row>
        <row r="142">
          <cell r="F142">
            <v>51337</v>
          </cell>
        </row>
        <row r="143">
          <cell r="F143">
            <v>108493</v>
          </cell>
        </row>
        <row r="146">
          <cell r="D146">
            <v>55639</v>
          </cell>
        </row>
        <row r="150">
          <cell r="D150">
            <v>13271</v>
          </cell>
        </row>
        <row r="151">
          <cell r="D151">
            <v>148978</v>
          </cell>
        </row>
        <row r="152">
          <cell r="D152">
            <v>2780</v>
          </cell>
        </row>
        <row r="154">
          <cell r="D154">
            <v>3438</v>
          </cell>
        </row>
        <row r="161">
          <cell r="D161">
            <v>427</v>
          </cell>
        </row>
        <row r="177">
          <cell r="D177">
            <v>345946</v>
          </cell>
          <cell r="F177">
            <v>13953</v>
          </cell>
        </row>
        <row r="178">
          <cell r="F178">
            <v>56793</v>
          </cell>
        </row>
        <row r="179">
          <cell r="D179">
            <v>54546</v>
          </cell>
          <cell r="F179">
            <v>2200</v>
          </cell>
        </row>
        <row r="180">
          <cell r="F180">
            <v>8955</v>
          </cell>
        </row>
        <row r="183">
          <cell r="D183">
            <v>260737</v>
          </cell>
          <cell r="F183">
            <v>10516</v>
          </cell>
        </row>
        <row r="184">
          <cell r="F184">
            <v>42805</v>
          </cell>
        </row>
        <row r="188">
          <cell r="D188">
            <v>13032</v>
          </cell>
        </row>
        <row r="191">
          <cell r="D191">
            <v>356</v>
          </cell>
        </row>
        <row r="195">
          <cell r="D195">
            <v>612</v>
          </cell>
        </row>
        <row r="197">
          <cell r="D197">
            <v>816</v>
          </cell>
        </row>
        <row r="198">
          <cell r="D198">
            <v>30411</v>
          </cell>
        </row>
        <row r="205">
          <cell r="D205">
            <v>296389</v>
          </cell>
        </row>
        <row r="206">
          <cell r="D206">
            <v>707</v>
          </cell>
        </row>
        <row r="207">
          <cell r="D207">
            <v>23618</v>
          </cell>
        </row>
        <row r="211">
          <cell r="D211">
            <v>85805</v>
          </cell>
          <cell r="F211">
            <v>3461</v>
          </cell>
        </row>
        <row r="212">
          <cell r="F212">
            <v>14087</v>
          </cell>
        </row>
        <row r="213">
          <cell r="D213">
            <v>10584</v>
          </cell>
        </row>
        <row r="216">
          <cell r="D216">
            <v>9522</v>
          </cell>
        </row>
        <row r="221">
          <cell r="D221">
            <v>6833818</v>
          </cell>
        </row>
      </sheetData>
      <sheetData sheetId="8" refreshError="1"/>
      <sheetData sheetId="9" refreshError="1"/>
      <sheetData sheetId="10">
        <row r="9">
          <cell r="C9">
            <v>11719</v>
          </cell>
          <cell r="D9">
            <v>275</v>
          </cell>
          <cell r="E9">
            <v>3534</v>
          </cell>
          <cell r="H9">
            <v>2786</v>
          </cell>
          <cell r="I9">
            <v>1937</v>
          </cell>
          <cell r="J9">
            <v>117</v>
          </cell>
          <cell r="K9">
            <v>2809</v>
          </cell>
        </row>
        <row r="22">
          <cell r="N22">
            <v>88</v>
          </cell>
        </row>
        <row r="24">
          <cell r="N24">
            <v>88</v>
          </cell>
        </row>
        <row r="28">
          <cell r="N28">
            <v>32120</v>
          </cell>
        </row>
        <row r="30">
          <cell r="N30">
            <v>0.72157534246575339</v>
          </cell>
        </row>
        <row r="32">
          <cell r="N32">
            <v>0.37341220423412202</v>
          </cell>
        </row>
        <row r="34">
          <cell r="N34">
            <v>0.51749579324330153</v>
          </cell>
        </row>
      </sheetData>
      <sheetData sheetId="1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heet1"/>
      <sheetName val="Sch A Pg 3"/>
      <sheetName val="Sch B"/>
      <sheetName val="Sch B Misc Items Detail "/>
      <sheetName val="Sch B-1"/>
      <sheetName val="Sch C Misc Items Detail"/>
      <sheetName val="Sch C"/>
      <sheetName val="Sch C-1"/>
      <sheetName val="Sch C-1 (2)"/>
      <sheetName val="Sch C-2"/>
      <sheetName val="Sch D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0">
          <cell r="E10">
            <v>2355839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949513</v>
          </cell>
          <cell r="G21">
            <v>0</v>
          </cell>
        </row>
        <row r="27">
          <cell r="E27">
            <v>740656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480001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152962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5107</v>
          </cell>
          <cell r="G67">
            <v>0</v>
          </cell>
        </row>
        <row r="85">
          <cell r="C85">
            <v>169.3047619047619</v>
          </cell>
          <cell r="E85">
            <v>183.56144890038809</v>
          </cell>
          <cell r="G85">
            <v>185.80678466076697</v>
          </cell>
          <cell r="I85">
            <v>178.59877800407332</v>
          </cell>
        </row>
      </sheetData>
      <sheetData sheetId="7" refreshError="1"/>
      <sheetData sheetId="8" refreshError="1"/>
      <sheetData sheetId="9" refreshError="1"/>
      <sheetData sheetId="10">
        <row r="10">
          <cell r="D10">
            <v>115664</v>
          </cell>
          <cell r="F10">
            <v>7525</v>
          </cell>
        </row>
        <row r="11">
          <cell r="D11">
            <v>0</v>
          </cell>
          <cell r="F11">
            <v>0</v>
          </cell>
        </row>
        <row r="12">
          <cell r="D12">
            <v>158085</v>
          </cell>
          <cell r="F12">
            <v>-380</v>
          </cell>
        </row>
        <row r="13">
          <cell r="D13">
            <v>441066</v>
          </cell>
          <cell r="F13">
            <v>-401852</v>
          </cell>
        </row>
        <row r="14">
          <cell r="D14">
            <v>0</v>
          </cell>
        </row>
        <row r="15">
          <cell r="D15">
            <v>0</v>
          </cell>
        </row>
        <row r="16">
          <cell r="D16">
            <v>236347</v>
          </cell>
          <cell r="F16">
            <v>125105</v>
          </cell>
        </row>
        <row r="17">
          <cell r="D17">
            <v>0</v>
          </cell>
        </row>
        <row r="18">
          <cell r="D18">
            <v>11180</v>
          </cell>
        </row>
        <row r="19">
          <cell r="D19">
            <v>12036</v>
          </cell>
          <cell r="F19">
            <v>-1513</v>
          </cell>
        </row>
        <row r="20">
          <cell r="D20">
            <v>15175</v>
          </cell>
        </row>
        <row r="21">
          <cell r="D21">
            <v>10514</v>
          </cell>
        </row>
        <row r="22">
          <cell r="D22">
            <v>0</v>
          </cell>
        </row>
        <row r="23">
          <cell r="D23">
            <v>12200</v>
          </cell>
        </row>
        <row r="24">
          <cell r="D24">
            <v>43890</v>
          </cell>
          <cell r="F24">
            <v>-10200</v>
          </cell>
        </row>
        <row r="25">
          <cell r="D25">
            <v>0</v>
          </cell>
        </row>
        <row r="26">
          <cell r="D26">
            <v>265626</v>
          </cell>
        </row>
        <row r="27">
          <cell r="D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67602</v>
          </cell>
          <cell r="F29">
            <v>-67602</v>
          </cell>
        </row>
        <row r="30">
          <cell r="D30">
            <v>0</v>
          </cell>
          <cell r="F30">
            <v>0</v>
          </cell>
        </row>
        <row r="31">
          <cell r="D31">
            <v>56351</v>
          </cell>
        </row>
        <row r="32">
          <cell r="D32">
            <v>81600</v>
          </cell>
          <cell r="F32">
            <v>-24480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</row>
        <row r="35">
          <cell r="D35">
            <v>132</v>
          </cell>
          <cell r="F35">
            <v>-132</v>
          </cell>
        </row>
        <row r="36">
          <cell r="D36">
            <v>0</v>
          </cell>
        </row>
        <row r="37">
          <cell r="D37">
            <v>0</v>
          </cell>
        </row>
        <row r="38">
          <cell r="D38">
            <v>0</v>
          </cell>
        </row>
        <row r="39">
          <cell r="D39">
            <v>6059</v>
          </cell>
        </row>
        <row r="40">
          <cell r="D40">
            <v>9066</v>
          </cell>
        </row>
        <row r="41">
          <cell r="D41">
            <v>8891</v>
          </cell>
        </row>
        <row r="42">
          <cell r="D42">
            <v>7534</v>
          </cell>
        </row>
        <row r="43">
          <cell r="D43">
            <v>7849</v>
          </cell>
        </row>
        <row r="44">
          <cell r="D44">
            <v>0</v>
          </cell>
        </row>
        <row r="45">
          <cell r="D45">
            <v>54143</v>
          </cell>
          <cell r="F45">
            <v>-5171</v>
          </cell>
        </row>
        <row r="57">
          <cell r="D57">
            <v>420000</v>
          </cell>
        </row>
        <row r="58">
          <cell r="D58">
            <v>45550</v>
          </cell>
        </row>
        <row r="59">
          <cell r="D59">
            <v>0</v>
          </cell>
        </row>
        <row r="60">
          <cell r="D60">
            <v>27136</v>
          </cell>
        </row>
        <row r="61">
          <cell r="D61">
            <v>9355</v>
          </cell>
        </row>
        <row r="62">
          <cell r="D62">
            <v>6351</v>
          </cell>
        </row>
        <row r="63">
          <cell r="D63">
            <v>0</v>
          </cell>
        </row>
        <row r="64">
          <cell r="D64">
            <v>0</v>
          </cell>
        </row>
        <row r="65">
          <cell r="D65">
            <v>5646</v>
          </cell>
        </row>
        <row r="66">
          <cell r="D66">
            <v>1736</v>
          </cell>
        </row>
        <row r="67">
          <cell r="D67">
            <v>50678</v>
          </cell>
        </row>
        <row r="68">
          <cell r="D68">
            <v>0</v>
          </cell>
        </row>
        <row r="69">
          <cell r="D69">
            <v>6333</v>
          </cell>
        </row>
        <row r="70">
          <cell r="D70">
            <v>0</v>
          </cell>
        </row>
        <row r="71">
          <cell r="D71">
            <v>0</v>
          </cell>
        </row>
        <row r="75">
          <cell r="D75">
            <v>41251</v>
          </cell>
          <cell r="F75">
            <v>2684</v>
          </cell>
        </row>
        <row r="76">
          <cell r="D76">
            <v>0</v>
          </cell>
          <cell r="F76">
            <v>5926</v>
          </cell>
        </row>
        <row r="77">
          <cell r="D77">
            <v>19217</v>
          </cell>
        </row>
        <row r="78">
          <cell r="D78">
            <v>0</v>
          </cell>
        </row>
        <row r="79">
          <cell r="D79">
            <v>8452</v>
          </cell>
        </row>
        <row r="80">
          <cell r="D80">
            <v>13471</v>
          </cell>
        </row>
        <row r="81">
          <cell r="D81">
            <v>11678</v>
          </cell>
        </row>
        <row r="82">
          <cell r="D82">
            <v>814</v>
          </cell>
        </row>
        <row r="83">
          <cell r="D83">
            <v>0</v>
          </cell>
        </row>
        <row r="84">
          <cell r="D84">
            <v>74129</v>
          </cell>
        </row>
        <row r="85">
          <cell r="D85">
            <v>0</v>
          </cell>
        </row>
        <row r="89">
          <cell r="D89">
            <v>136531</v>
          </cell>
          <cell r="F89">
            <v>8883</v>
          </cell>
        </row>
        <row r="90">
          <cell r="D90">
            <v>0</v>
          </cell>
          <cell r="F90">
            <v>19614</v>
          </cell>
        </row>
        <row r="91">
          <cell r="D91">
            <v>11212</v>
          </cell>
        </row>
        <row r="92">
          <cell r="D92">
            <v>117486</v>
          </cell>
        </row>
        <row r="93">
          <cell r="D93">
            <v>17900</v>
          </cell>
        </row>
        <row r="94">
          <cell r="D94">
            <v>0</v>
          </cell>
        </row>
        <row r="98">
          <cell r="D98">
            <v>8361</v>
          </cell>
          <cell r="F98">
            <v>544</v>
          </cell>
        </row>
        <row r="99">
          <cell r="D99">
            <v>0</v>
          </cell>
          <cell r="F99">
            <v>1201</v>
          </cell>
        </row>
        <row r="100">
          <cell r="D100">
            <v>5540</v>
          </cell>
        </row>
        <row r="101">
          <cell r="D101">
            <v>31018</v>
          </cell>
        </row>
        <row r="102">
          <cell r="D102">
            <v>2084</v>
          </cell>
        </row>
        <row r="103">
          <cell r="D103">
            <v>0</v>
          </cell>
        </row>
        <row r="115">
          <cell r="D115">
            <v>19022</v>
          </cell>
          <cell r="F115">
            <v>1238</v>
          </cell>
        </row>
        <row r="116">
          <cell r="D116">
            <v>0</v>
          </cell>
          <cell r="F116">
            <v>2733</v>
          </cell>
        </row>
        <row r="117">
          <cell r="D117">
            <v>8754</v>
          </cell>
        </row>
        <row r="118">
          <cell r="D118">
            <v>46527</v>
          </cell>
        </row>
        <row r="119">
          <cell r="D119">
            <v>0</v>
          </cell>
        </row>
        <row r="124">
          <cell r="D124">
            <v>0</v>
          </cell>
        </row>
        <row r="125">
          <cell r="D125">
            <v>73716</v>
          </cell>
          <cell r="F125">
            <v>4796</v>
          </cell>
        </row>
        <row r="126">
          <cell r="D126">
            <v>56873</v>
          </cell>
          <cell r="F126">
            <v>3700</v>
          </cell>
        </row>
        <row r="127">
          <cell r="D127">
            <v>0</v>
          </cell>
          <cell r="F127">
            <v>0</v>
          </cell>
        </row>
        <row r="128">
          <cell r="D128">
            <v>41791</v>
          </cell>
          <cell r="F128">
            <v>2719</v>
          </cell>
        </row>
        <row r="130">
          <cell r="D130">
            <v>0</v>
          </cell>
        </row>
        <row r="131">
          <cell r="D131">
            <v>0</v>
          </cell>
          <cell r="F131">
            <v>10589</v>
          </cell>
        </row>
        <row r="132">
          <cell r="D132">
            <v>0</v>
          </cell>
          <cell r="F132">
            <v>8170</v>
          </cell>
        </row>
        <row r="133">
          <cell r="D133">
            <v>0</v>
          </cell>
          <cell r="F133">
            <v>0</v>
          </cell>
        </row>
        <row r="134">
          <cell r="D134">
            <v>0</v>
          </cell>
          <cell r="F134">
            <v>6003</v>
          </cell>
        </row>
        <row r="136">
          <cell r="D136">
            <v>424939</v>
          </cell>
          <cell r="F136">
            <v>27648</v>
          </cell>
        </row>
        <row r="137">
          <cell r="D137">
            <v>112321</v>
          </cell>
          <cell r="F137">
            <v>7308</v>
          </cell>
        </row>
        <row r="138">
          <cell r="D138">
            <v>435933</v>
          </cell>
          <cell r="F138">
            <v>17946</v>
          </cell>
        </row>
        <row r="139">
          <cell r="D139">
            <v>65478</v>
          </cell>
          <cell r="F139">
            <v>4260</v>
          </cell>
        </row>
        <row r="141">
          <cell r="D141">
            <v>0</v>
          </cell>
          <cell r="F141">
            <v>61045</v>
          </cell>
        </row>
        <row r="142">
          <cell r="D142">
            <v>0</v>
          </cell>
          <cell r="F142">
            <v>16136</v>
          </cell>
        </row>
        <row r="143">
          <cell r="D143">
            <v>0</v>
          </cell>
          <cell r="F143">
            <v>61203</v>
          </cell>
        </row>
        <row r="144">
          <cell r="D144">
            <v>0</v>
          </cell>
          <cell r="F144">
            <v>9406</v>
          </cell>
        </row>
        <row r="146">
          <cell r="D146">
            <v>24000</v>
          </cell>
        </row>
        <row r="147">
          <cell r="D147">
            <v>0</v>
          </cell>
        </row>
        <row r="148">
          <cell r="D148">
            <v>0</v>
          </cell>
        </row>
        <row r="149">
          <cell r="D149">
            <v>3068</v>
          </cell>
        </row>
        <row r="150">
          <cell r="D150">
            <v>10081</v>
          </cell>
        </row>
        <row r="151">
          <cell r="D151">
            <v>63703</v>
          </cell>
        </row>
        <row r="152">
          <cell r="D152">
            <v>2152</v>
          </cell>
        </row>
        <row r="153">
          <cell r="D153">
            <v>0</v>
          </cell>
        </row>
        <row r="154">
          <cell r="D154">
            <v>0</v>
          </cell>
        </row>
        <row r="156">
          <cell r="D156">
            <v>0</v>
          </cell>
        </row>
        <row r="157">
          <cell r="D157">
            <v>0</v>
          </cell>
        </row>
        <row r="158">
          <cell r="D158">
            <v>0</v>
          </cell>
        </row>
        <row r="159">
          <cell r="D159">
            <v>0</v>
          </cell>
        </row>
        <row r="161">
          <cell r="D161">
            <v>1745</v>
          </cell>
        </row>
        <row r="175">
          <cell r="D175">
            <v>0</v>
          </cell>
        </row>
        <row r="176">
          <cell r="D176">
            <v>0</v>
          </cell>
        </row>
        <row r="177">
          <cell r="D177">
            <v>206448</v>
          </cell>
          <cell r="F177">
            <v>13432</v>
          </cell>
        </row>
        <row r="178">
          <cell r="D178">
            <v>0</v>
          </cell>
          <cell r="F178">
            <v>29657</v>
          </cell>
        </row>
        <row r="179">
          <cell r="D179">
            <v>62470</v>
          </cell>
          <cell r="F179">
            <v>4064</v>
          </cell>
        </row>
        <row r="180">
          <cell r="D180">
            <v>0</v>
          </cell>
          <cell r="F180">
            <v>8974</v>
          </cell>
        </row>
        <row r="181">
          <cell r="D181">
            <v>0</v>
          </cell>
        </row>
        <row r="182">
          <cell r="D182">
            <v>0</v>
          </cell>
        </row>
        <row r="183">
          <cell r="D183">
            <v>86321</v>
          </cell>
          <cell r="F183">
            <v>5616</v>
          </cell>
        </row>
        <row r="184">
          <cell r="D184">
            <v>0</v>
          </cell>
          <cell r="F184">
            <v>12400</v>
          </cell>
        </row>
        <row r="185">
          <cell r="D185">
            <v>0</v>
          </cell>
        </row>
        <row r="186">
          <cell r="D186">
            <v>0</v>
          </cell>
        </row>
        <row r="187">
          <cell r="D187">
            <v>0</v>
          </cell>
        </row>
        <row r="188">
          <cell r="D188">
            <v>1470</v>
          </cell>
        </row>
        <row r="189">
          <cell r="D189">
            <v>0</v>
          </cell>
        </row>
        <row r="190">
          <cell r="D190">
            <v>0</v>
          </cell>
        </row>
        <row r="191">
          <cell r="D191">
            <v>0</v>
          </cell>
        </row>
        <row r="192">
          <cell r="D192">
            <v>0</v>
          </cell>
        </row>
        <row r="193">
          <cell r="D193">
            <v>0</v>
          </cell>
        </row>
        <row r="194">
          <cell r="D194">
            <v>0</v>
          </cell>
        </row>
        <row r="195">
          <cell r="D195">
            <v>0</v>
          </cell>
        </row>
        <row r="196">
          <cell r="D196">
            <v>0</v>
          </cell>
        </row>
        <row r="197">
          <cell r="D197">
            <v>0</v>
          </cell>
        </row>
        <row r="198">
          <cell r="D198">
            <v>21370</v>
          </cell>
        </row>
        <row r="199">
          <cell r="D199">
            <v>0</v>
          </cell>
        </row>
        <row r="200">
          <cell r="D200">
            <v>0</v>
          </cell>
        </row>
        <row r="201">
          <cell r="D201">
            <v>0</v>
          </cell>
        </row>
        <row r="202">
          <cell r="D202">
            <v>0</v>
          </cell>
        </row>
        <row r="203">
          <cell r="D203">
            <v>0</v>
          </cell>
        </row>
        <row r="204">
          <cell r="D204">
            <v>0</v>
          </cell>
        </row>
        <row r="205">
          <cell r="D205">
            <v>85017</v>
          </cell>
        </row>
        <row r="206">
          <cell r="D206">
            <v>2200</v>
          </cell>
        </row>
        <row r="207">
          <cell r="D207">
            <v>34649</v>
          </cell>
          <cell r="F207">
            <v>-488</v>
          </cell>
        </row>
        <row r="211">
          <cell r="D211">
            <v>81122</v>
          </cell>
          <cell r="F211">
            <v>5278</v>
          </cell>
        </row>
        <row r="212">
          <cell r="D212">
            <v>0</v>
          </cell>
          <cell r="F212">
            <v>11654</v>
          </cell>
        </row>
        <row r="213">
          <cell r="D213">
            <v>10536</v>
          </cell>
        </row>
        <row r="214">
          <cell r="D214">
            <v>0</v>
          </cell>
        </row>
        <row r="215">
          <cell r="D215">
            <v>0</v>
          </cell>
        </row>
        <row r="216">
          <cell r="D216">
            <v>2440</v>
          </cell>
        </row>
        <row r="221">
          <cell r="D221">
            <v>4677085</v>
          </cell>
        </row>
      </sheetData>
      <sheetData sheetId="11" refreshError="1"/>
      <sheetData sheetId="12" refreshError="1"/>
      <sheetData sheetId="13" refreshError="1"/>
      <sheetData sheetId="14">
        <row r="9">
          <cell r="C9">
            <v>13754</v>
          </cell>
          <cell r="E9">
            <v>1497</v>
          </cell>
          <cell r="F9">
            <v>1695</v>
          </cell>
          <cell r="H9">
            <v>2677</v>
          </cell>
          <cell r="J9">
            <v>894</v>
          </cell>
          <cell r="K9">
            <v>33</v>
          </cell>
        </row>
        <row r="22">
          <cell r="N22">
            <v>93</v>
          </cell>
        </row>
        <row r="24">
          <cell r="N24">
            <v>93</v>
          </cell>
        </row>
        <row r="28">
          <cell r="N28">
            <v>33945</v>
          </cell>
        </row>
        <row r="30">
          <cell r="N30">
            <v>0.60539107379584622</v>
          </cell>
        </row>
        <row r="32">
          <cell r="N32">
            <v>0.40518485785830022</v>
          </cell>
        </row>
        <row r="34">
          <cell r="N34">
            <v>0.66929440389294403</v>
          </cell>
        </row>
      </sheetData>
      <sheetData sheetId="1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EXPLANATION OF MISC. REV."/>
      <sheetName val="Sch C"/>
      <sheetName val="Sch C-1"/>
      <sheetName val="FCP Adjustments"/>
      <sheetName val="Sch C-2"/>
      <sheetName val="Sch D"/>
      <sheetName val="Summary"/>
      <sheetName val="Trial Bal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E10">
            <v>758261.58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602945.75</v>
          </cell>
          <cell r="G21">
            <v>0</v>
          </cell>
        </row>
        <row r="27">
          <cell r="E27">
            <v>-5132.6499999999996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232922.89</v>
          </cell>
          <cell r="G37">
            <v>0</v>
          </cell>
        </row>
        <row r="42">
          <cell r="E42">
            <v>106960.52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447546.97</v>
          </cell>
          <cell r="G67">
            <v>1161.4000000000001</v>
          </cell>
        </row>
        <row r="85">
          <cell r="C85">
            <v>270.50909090909096</v>
          </cell>
          <cell r="E85">
            <v>139.79497663551402</v>
          </cell>
          <cell r="G85">
            <v>180.51993421052632</v>
          </cell>
          <cell r="I85">
            <v>127.51465940054496</v>
          </cell>
        </row>
      </sheetData>
      <sheetData sheetId="6" refreshError="1"/>
      <sheetData sheetId="7" refreshError="1"/>
      <sheetData sheetId="8">
        <row r="10">
          <cell r="D10">
            <v>65147.27</v>
          </cell>
        </row>
        <row r="12">
          <cell r="D12">
            <v>35011.440000000002</v>
          </cell>
        </row>
        <row r="13">
          <cell r="D13">
            <v>276304.53000000003</v>
          </cell>
          <cell r="F13">
            <v>-254254</v>
          </cell>
        </row>
        <row r="14">
          <cell r="D14">
            <v>3000</v>
          </cell>
        </row>
        <row r="15">
          <cell r="D15">
            <v>39240</v>
          </cell>
          <cell r="F15">
            <v>-39240</v>
          </cell>
        </row>
        <row r="16">
          <cell r="F16">
            <v>52910</v>
          </cell>
        </row>
        <row r="17">
          <cell r="D17">
            <v>4918.91</v>
          </cell>
          <cell r="F17">
            <v>-4919</v>
          </cell>
        </row>
        <row r="18">
          <cell r="D18">
            <v>14984.34</v>
          </cell>
        </row>
        <row r="19">
          <cell r="D19">
            <v>6702.99</v>
          </cell>
        </row>
        <row r="20">
          <cell r="D20">
            <v>5756.08</v>
          </cell>
        </row>
        <row r="21">
          <cell r="D21">
            <v>7391.9</v>
          </cell>
        </row>
        <row r="23">
          <cell r="D23">
            <v>7260.53</v>
          </cell>
        </row>
        <row r="24">
          <cell r="D24">
            <v>33058.81</v>
          </cell>
        </row>
        <row r="26">
          <cell r="D26">
            <v>104164.92</v>
          </cell>
        </row>
        <row r="27">
          <cell r="D27">
            <v>922.42</v>
          </cell>
        </row>
        <row r="28">
          <cell r="F28">
            <v>0</v>
          </cell>
        </row>
        <row r="29">
          <cell r="D29">
            <v>36243.050000000003</v>
          </cell>
          <cell r="F29">
            <v>-36243.050000000003</v>
          </cell>
        </row>
        <row r="30">
          <cell r="F30">
            <v>0</v>
          </cell>
        </row>
        <row r="31">
          <cell r="D31">
            <v>60782.54</v>
          </cell>
        </row>
        <row r="33">
          <cell r="F33">
            <v>0</v>
          </cell>
        </row>
        <row r="35">
          <cell r="F35">
            <v>0</v>
          </cell>
        </row>
        <row r="38">
          <cell r="D38">
            <v>154.59</v>
          </cell>
        </row>
        <row r="39">
          <cell r="D39">
            <v>2151.34</v>
          </cell>
        </row>
        <row r="40">
          <cell r="D40">
            <v>2081.7399999999998</v>
          </cell>
          <cell r="F40">
            <v>-2082</v>
          </cell>
        </row>
        <row r="42">
          <cell r="D42">
            <v>1800</v>
          </cell>
        </row>
        <row r="45">
          <cell r="D45">
            <v>85939.82</v>
          </cell>
        </row>
        <row r="57">
          <cell r="D57">
            <v>282000</v>
          </cell>
          <cell r="F57">
            <v>-282000</v>
          </cell>
        </row>
        <row r="58">
          <cell r="D58">
            <v>115227.36</v>
          </cell>
        </row>
        <row r="61">
          <cell r="D61">
            <v>38353.800000000003</v>
          </cell>
        </row>
        <row r="62">
          <cell r="D62">
            <v>1549.35</v>
          </cell>
        </row>
        <row r="65">
          <cell r="D65">
            <v>6784.24</v>
          </cell>
        </row>
        <row r="66">
          <cell r="D66">
            <v>4404.99</v>
          </cell>
        </row>
        <row r="67">
          <cell r="D67">
            <v>8899.81</v>
          </cell>
        </row>
        <row r="75">
          <cell r="D75">
            <v>28779.37</v>
          </cell>
        </row>
        <row r="76">
          <cell r="F76">
            <v>9741.1661837913161</v>
          </cell>
        </row>
        <row r="78">
          <cell r="D78">
            <v>579.19000000000005</v>
          </cell>
        </row>
        <row r="79">
          <cell r="D79">
            <v>16298.75</v>
          </cell>
        </row>
        <row r="80">
          <cell r="D80">
            <v>13217.88</v>
          </cell>
        </row>
        <row r="81">
          <cell r="D81">
            <v>16543.21</v>
          </cell>
        </row>
        <row r="82">
          <cell r="D82">
            <v>2859.18</v>
          </cell>
        </row>
        <row r="83">
          <cell r="D83">
            <v>10498.11</v>
          </cell>
        </row>
        <row r="84">
          <cell r="D84">
            <v>65495.5</v>
          </cell>
        </row>
        <row r="89">
          <cell r="D89">
            <v>103132.88</v>
          </cell>
        </row>
        <row r="90">
          <cell r="F90">
            <v>34908.148548526522</v>
          </cell>
        </row>
        <row r="91">
          <cell r="D91">
            <v>9474.7800000000007</v>
          </cell>
        </row>
        <row r="92">
          <cell r="D92">
            <v>66256.97</v>
          </cell>
        </row>
        <row r="93">
          <cell r="D93">
            <v>10042.83</v>
          </cell>
        </row>
        <row r="98">
          <cell r="D98">
            <v>19845.14</v>
          </cell>
        </row>
        <row r="99">
          <cell r="F99">
            <v>6717.1312881624726</v>
          </cell>
        </row>
        <row r="100">
          <cell r="D100">
            <v>3098.84</v>
          </cell>
        </row>
        <row r="102">
          <cell r="D102">
            <v>1657.96</v>
          </cell>
        </row>
        <row r="115">
          <cell r="D115">
            <v>19364.900000000001</v>
          </cell>
        </row>
        <row r="116">
          <cell r="F116">
            <v>6554.5809040469085</v>
          </cell>
        </row>
        <row r="117">
          <cell r="D117">
            <v>5975.27</v>
          </cell>
        </row>
        <row r="125">
          <cell r="D125">
            <v>59464.94</v>
          </cell>
        </row>
        <row r="127">
          <cell r="D127">
            <v>18810.43</v>
          </cell>
        </row>
        <row r="131">
          <cell r="F131">
            <v>20127.537977696509</v>
          </cell>
        </row>
        <row r="133">
          <cell r="F133">
            <v>6366.9053429096502</v>
          </cell>
        </row>
        <row r="136">
          <cell r="D136">
            <v>129449.72</v>
          </cell>
        </row>
        <row r="137">
          <cell r="D137">
            <v>99532.21</v>
          </cell>
        </row>
        <row r="138">
          <cell r="D138">
            <v>240118.57</v>
          </cell>
        </row>
        <row r="141">
          <cell r="F141">
            <v>43815.803993112233</v>
          </cell>
        </row>
        <row r="142">
          <cell r="F142">
            <v>33689.403147116005</v>
          </cell>
        </row>
        <row r="143">
          <cell r="F143">
            <v>81274.708035107382</v>
          </cell>
        </row>
        <row r="146">
          <cell r="D146">
            <v>18000</v>
          </cell>
        </row>
        <row r="150">
          <cell r="D150">
            <v>4154.8599999999997</v>
          </cell>
        </row>
        <row r="151">
          <cell r="D151">
            <v>48951.65</v>
          </cell>
        </row>
        <row r="152">
          <cell r="D152">
            <v>83.87</v>
          </cell>
        </row>
        <row r="153">
          <cell r="D153">
            <v>4852.28</v>
          </cell>
        </row>
        <row r="157">
          <cell r="D157">
            <v>2459</v>
          </cell>
          <cell r="F157">
            <v>1161.4000000000001</v>
          </cell>
        </row>
        <row r="159">
          <cell r="D159">
            <v>596.54999999999995</v>
          </cell>
        </row>
        <row r="192">
          <cell r="D192">
            <v>166</v>
          </cell>
        </row>
        <row r="194">
          <cell r="D194">
            <v>113889.46</v>
          </cell>
        </row>
        <row r="195">
          <cell r="D195">
            <v>1118.5</v>
          </cell>
        </row>
        <row r="197">
          <cell r="D197">
            <v>41801.620000000003</v>
          </cell>
        </row>
        <row r="198">
          <cell r="D198">
            <v>8113.69</v>
          </cell>
        </row>
        <row r="205">
          <cell r="D205">
            <v>63011.67</v>
          </cell>
        </row>
        <row r="206">
          <cell r="D206">
            <v>2641.83</v>
          </cell>
        </row>
        <row r="211">
          <cell r="D211">
            <v>32670.62</v>
          </cell>
        </row>
        <row r="212">
          <cell r="F212">
            <v>11058.266346605094</v>
          </cell>
        </row>
        <row r="213">
          <cell r="D213">
            <v>13455.58</v>
          </cell>
        </row>
        <row r="214">
          <cell r="D214">
            <v>146.21</v>
          </cell>
        </row>
        <row r="216">
          <cell r="D216">
            <v>50.86</v>
          </cell>
        </row>
        <row r="221">
          <cell r="D221">
            <v>2546897.65</v>
          </cell>
        </row>
      </sheetData>
      <sheetData sheetId="9" refreshError="1"/>
      <sheetData sheetId="10" refreshError="1"/>
      <sheetData sheetId="11" refreshError="1"/>
      <sheetData sheetId="12">
        <row r="9">
          <cell r="C9">
            <v>4777</v>
          </cell>
          <cell r="E9">
            <v>1298</v>
          </cell>
          <cell r="F9">
            <v>31</v>
          </cell>
          <cell r="H9">
            <v>1363</v>
          </cell>
          <cell r="I9">
            <v>650</v>
          </cell>
          <cell r="J9">
            <v>10</v>
          </cell>
        </row>
        <row r="22">
          <cell r="N22">
            <v>55</v>
          </cell>
        </row>
        <row r="24">
          <cell r="N24">
            <v>55</v>
          </cell>
        </row>
        <row r="28">
          <cell r="N28">
            <v>20075</v>
          </cell>
        </row>
        <row r="30">
          <cell r="N30">
            <v>0.40493150684931506</v>
          </cell>
        </row>
        <row r="32">
          <cell r="N32">
            <v>0.23795765877957659</v>
          </cell>
        </row>
        <row r="34">
          <cell r="N34">
            <v>0.587649157337926</v>
          </cell>
        </row>
      </sheetData>
      <sheetData sheetId="13" refreshError="1"/>
      <sheetData sheetId="1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E10">
            <v>1867930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0</v>
          </cell>
          <cell r="G21">
            <v>0</v>
          </cell>
        </row>
        <row r="27">
          <cell r="E27">
            <v>0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70033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199191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52141</v>
          </cell>
          <cell r="G67">
            <v>0</v>
          </cell>
        </row>
        <row r="85">
          <cell r="C85">
            <v>173.58490566037736</v>
          </cell>
          <cell r="E85">
            <v>177.90217391304347</v>
          </cell>
          <cell r="G85">
            <v>181.72222222222223</v>
          </cell>
          <cell r="I85">
            <v>185.40196078431373</v>
          </cell>
        </row>
      </sheetData>
      <sheetData sheetId="6" refreshError="1"/>
      <sheetData sheetId="7">
        <row r="10">
          <cell r="D10">
            <v>28142</v>
          </cell>
        </row>
        <row r="12">
          <cell r="D12">
            <v>15918</v>
          </cell>
        </row>
        <row r="13">
          <cell r="D13">
            <v>163290</v>
          </cell>
          <cell r="F13">
            <v>-157149</v>
          </cell>
        </row>
        <row r="17">
          <cell r="D17">
            <v>3237</v>
          </cell>
        </row>
        <row r="18">
          <cell r="D18">
            <v>5159</v>
          </cell>
        </row>
        <row r="19">
          <cell r="D19">
            <v>3969</v>
          </cell>
        </row>
        <row r="20">
          <cell r="D20">
            <v>20796</v>
          </cell>
        </row>
        <row r="21">
          <cell r="D21">
            <v>600</v>
          </cell>
        </row>
        <row r="23">
          <cell r="D23">
            <v>7377</v>
          </cell>
        </row>
        <row r="26">
          <cell r="D26">
            <v>195231</v>
          </cell>
        </row>
        <row r="27">
          <cell r="D27">
            <v>22949</v>
          </cell>
        </row>
        <row r="28">
          <cell r="F28">
            <v>0</v>
          </cell>
        </row>
        <row r="29">
          <cell r="D29">
            <v>4618</v>
          </cell>
          <cell r="F29">
            <v>-4618</v>
          </cell>
        </row>
        <row r="30">
          <cell r="F30">
            <v>0</v>
          </cell>
        </row>
        <row r="31">
          <cell r="D31">
            <v>14282</v>
          </cell>
        </row>
        <row r="32">
          <cell r="D32">
            <v>22294</v>
          </cell>
        </row>
        <row r="33">
          <cell r="F33">
            <v>0</v>
          </cell>
        </row>
        <row r="35">
          <cell r="F35">
            <v>0</v>
          </cell>
        </row>
        <row r="39">
          <cell r="D39">
            <v>1491</v>
          </cell>
        </row>
        <row r="40">
          <cell r="D40">
            <v>500</v>
          </cell>
        </row>
        <row r="41">
          <cell r="D41">
            <v>618</v>
          </cell>
        </row>
        <row r="45">
          <cell r="F45">
            <v>-949</v>
          </cell>
        </row>
        <row r="57">
          <cell r="D57">
            <v>100368</v>
          </cell>
          <cell r="F57">
            <v>-100368</v>
          </cell>
        </row>
        <row r="58">
          <cell r="F58">
            <v>10897</v>
          </cell>
        </row>
        <row r="59">
          <cell r="F59">
            <v>70917</v>
          </cell>
        </row>
        <row r="60">
          <cell r="D60">
            <v>693</v>
          </cell>
          <cell r="F60">
            <v>9801</v>
          </cell>
        </row>
        <row r="61">
          <cell r="D61">
            <v>4338</v>
          </cell>
        </row>
        <row r="66">
          <cell r="D66">
            <v>2794</v>
          </cell>
        </row>
        <row r="67">
          <cell r="D67">
            <v>35147</v>
          </cell>
        </row>
        <row r="75">
          <cell r="D75">
            <v>63294</v>
          </cell>
        </row>
        <row r="76">
          <cell r="F76">
            <v>8821</v>
          </cell>
        </row>
        <row r="77">
          <cell r="D77">
            <v>22926</v>
          </cell>
        </row>
        <row r="80">
          <cell r="D80">
            <v>22242</v>
          </cell>
        </row>
        <row r="83">
          <cell r="D83">
            <v>8927</v>
          </cell>
        </row>
        <row r="84">
          <cell r="D84">
            <v>33225</v>
          </cell>
        </row>
        <row r="89">
          <cell r="D89">
            <v>136286</v>
          </cell>
        </row>
        <row r="90">
          <cell r="F90">
            <v>18993</v>
          </cell>
        </row>
        <row r="91">
          <cell r="D91">
            <v>4629</v>
          </cell>
        </row>
        <row r="92">
          <cell r="D92">
            <v>128920</v>
          </cell>
        </row>
        <row r="93">
          <cell r="D93">
            <v>12761</v>
          </cell>
        </row>
        <row r="98">
          <cell r="D98">
            <v>21175</v>
          </cell>
        </row>
        <row r="99">
          <cell r="F99">
            <v>2951</v>
          </cell>
        </row>
        <row r="100">
          <cell r="D100">
            <v>1301</v>
          </cell>
        </row>
        <row r="115">
          <cell r="D115">
            <v>44390</v>
          </cell>
        </row>
        <row r="116">
          <cell r="F116">
            <v>6186</v>
          </cell>
        </row>
        <row r="117">
          <cell r="D117">
            <v>19184</v>
          </cell>
        </row>
        <row r="125">
          <cell r="D125">
            <v>111135</v>
          </cell>
        </row>
        <row r="128">
          <cell r="D128">
            <v>68042</v>
          </cell>
        </row>
        <row r="131">
          <cell r="F131">
            <v>15488</v>
          </cell>
        </row>
        <row r="134">
          <cell r="F134">
            <v>9483</v>
          </cell>
        </row>
        <row r="136">
          <cell r="D136">
            <v>109096</v>
          </cell>
        </row>
        <row r="137">
          <cell r="D137">
            <v>181942</v>
          </cell>
        </row>
        <row r="138">
          <cell r="D138">
            <v>331883</v>
          </cell>
        </row>
        <row r="141">
          <cell r="F141">
            <v>15204</v>
          </cell>
        </row>
        <row r="142">
          <cell r="F142">
            <v>25356</v>
          </cell>
        </row>
        <row r="143">
          <cell r="F143">
            <v>46253</v>
          </cell>
        </row>
        <row r="146">
          <cell r="D146">
            <v>7482</v>
          </cell>
        </row>
        <row r="150">
          <cell r="D150">
            <v>2699</v>
          </cell>
        </row>
        <row r="151">
          <cell r="D151">
            <v>35594</v>
          </cell>
        </row>
        <row r="152">
          <cell r="D152">
            <v>5341</v>
          </cell>
        </row>
        <row r="205">
          <cell r="D205">
            <v>10246</v>
          </cell>
        </row>
        <row r="211">
          <cell r="D211">
            <v>60373</v>
          </cell>
        </row>
        <row r="212">
          <cell r="F212">
            <v>8414</v>
          </cell>
        </row>
        <row r="213">
          <cell r="D213">
            <v>73817</v>
          </cell>
        </row>
        <row r="216">
          <cell r="D216">
            <v>52881</v>
          </cell>
        </row>
        <row r="221">
          <cell r="D221">
            <v>2223602</v>
          </cell>
        </row>
      </sheetData>
      <sheetData sheetId="8" refreshError="1"/>
      <sheetData sheetId="9" refreshError="1"/>
      <sheetData sheetId="10">
        <row r="9">
          <cell r="C9">
            <v>11096</v>
          </cell>
          <cell r="H9">
            <v>390</v>
          </cell>
          <cell r="J9">
            <v>1164</v>
          </cell>
        </row>
        <row r="22">
          <cell r="N22">
            <v>36</v>
          </cell>
        </row>
        <row r="24">
          <cell r="N24">
            <v>36</v>
          </cell>
        </row>
        <row r="28">
          <cell r="N28">
            <v>13140</v>
          </cell>
        </row>
        <row r="30">
          <cell r="N30">
            <v>0.96270928462709282</v>
          </cell>
        </row>
        <row r="32">
          <cell r="N32">
            <v>0.84444444444444444</v>
          </cell>
        </row>
        <row r="34">
          <cell r="N34">
            <v>0.87715415019762843</v>
          </cell>
        </row>
      </sheetData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Explanation of Misc. Rev."/>
      <sheetName val="Sch C"/>
      <sheetName val="Sch C-1"/>
      <sheetName val="FCP Adjustments"/>
      <sheetName val="Sch C-2"/>
      <sheetName val="Sch D"/>
      <sheetName val="Summary"/>
      <sheetName val="Trial Bal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E10">
            <v>1813532.0299999998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443686.62000000005</v>
          </cell>
          <cell r="G21">
            <v>0</v>
          </cell>
        </row>
        <row r="27">
          <cell r="E27">
            <v>0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45301.42</v>
          </cell>
          <cell r="G37">
            <v>0</v>
          </cell>
        </row>
        <row r="42">
          <cell r="E42">
            <v>148732.15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68563.33</v>
          </cell>
          <cell r="G67">
            <v>0</v>
          </cell>
        </row>
        <row r="85">
          <cell r="C85">
            <v>127.10685483870968</v>
          </cell>
          <cell r="E85">
            <v>153.74571428571429</v>
          </cell>
          <cell r="G85">
            <v>192.77376344086019</v>
          </cell>
          <cell r="I85" t="str">
            <v/>
          </cell>
        </row>
      </sheetData>
      <sheetData sheetId="6" refreshError="1"/>
      <sheetData sheetId="7" refreshError="1"/>
      <sheetData sheetId="8">
        <row r="10">
          <cell r="D10">
            <v>99359.11</v>
          </cell>
          <cell r="F10">
            <v>-26719</v>
          </cell>
        </row>
        <row r="11">
          <cell r="F11">
            <v>26719</v>
          </cell>
        </row>
        <row r="12">
          <cell r="D12">
            <v>33704.44</v>
          </cell>
        </row>
        <row r="13">
          <cell r="D13">
            <v>163649.97</v>
          </cell>
          <cell r="F13">
            <v>-146219</v>
          </cell>
        </row>
        <row r="15">
          <cell r="D15">
            <v>48000</v>
          </cell>
          <cell r="F15">
            <v>-48000</v>
          </cell>
        </row>
        <row r="16">
          <cell r="F16">
            <v>105175</v>
          </cell>
        </row>
        <row r="17">
          <cell r="D17">
            <v>218.81</v>
          </cell>
          <cell r="F17">
            <v>-219</v>
          </cell>
        </row>
        <row r="18">
          <cell r="D18">
            <v>38077.99</v>
          </cell>
        </row>
        <row r="19">
          <cell r="D19">
            <v>6951.74</v>
          </cell>
        </row>
        <row r="20">
          <cell r="D20">
            <v>9582.7800000000007</v>
          </cell>
        </row>
        <row r="21">
          <cell r="D21">
            <v>11972.67</v>
          </cell>
        </row>
        <row r="23">
          <cell r="D23">
            <v>11905.4</v>
          </cell>
        </row>
        <row r="24">
          <cell r="D24">
            <v>32283.62</v>
          </cell>
        </row>
        <row r="26">
          <cell r="D26">
            <v>208169.77</v>
          </cell>
        </row>
        <row r="27">
          <cell r="D27">
            <v>4880.8500000000004</v>
          </cell>
        </row>
        <row r="28">
          <cell r="F28">
            <v>0</v>
          </cell>
        </row>
        <row r="29">
          <cell r="D29">
            <v>207155.99</v>
          </cell>
          <cell r="F29">
            <v>-207155.99</v>
          </cell>
        </row>
        <row r="30">
          <cell r="D30">
            <v>250</v>
          </cell>
          <cell r="F30">
            <v>-250</v>
          </cell>
        </row>
        <row r="31">
          <cell r="D31">
            <v>67036.240000000005</v>
          </cell>
        </row>
        <row r="32">
          <cell r="D32">
            <v>16218.17</v>
          </cell>
        </row>
        <row r="33">
          <cell r="F33">
            <v>0</v>
          </cell>
        </row>
        <row r="35">
          <cell r="F35">
            <v>0</v>
          </cell>
        </row>
        <row r="38">
          <cell r="D38">
            <v>126.11</v>
          </cell>
        </row>
        <row r="39">
          <cell r="D39">
            <v>838.35</v>
          </cell>
        </row>
        <row r="40">
          <cell r="D40">
            <v>1867.31</v>
          </cell>
          <cell r="F40">
            <v>-1867</v>
          </cell>
        </row>
        <row r="42">
          <cell r="D42">
            <v>3970.5</v>
          </cell>
        </row>
        <row r="43">
          <cell r="D43">
            <v>6208.9</v>
          </cell>
        </row>
        <row r="45">
          <cell r="D45">
            <v>8008.69</v>
          </cell>
          <cell r="F45">
            <v>-8009</v>
          </cell>
        </row>
        <row r="57">
          <cell r="D57">
            <v>105264.51</v>
          </cell>
          <cell r="F57">
            <v>-105265</v>
          </cell>
        </row>
        <row r="58">
          <cell r="D58">
            <v>7569.02</v>
          </cell>
        </row>
        <row r="61">
          <cell r="D61">
            <v>9725.6299999999992</v>
          </cell>
        </row>
        <row r="63">
          <cell r="D63">
            <v>-3027.25</v>
          </cell>
        </row>
        <row r="65">
          <cell r="D65">
            <v>4994.3900000000003</v>
          </cell>
        </row>
        <row r="66">
          <cell r="D66">
            <v>6688.48</v>
          </cell>
        </row>
        <row r="67">
          <cell r="D67">
            <v>22707.03</v>
          </cell>
        </row>
        <row r="69">
          <cell r="D69">
            <v>814.2</v>
          </cell>
        </row>
        <row r="75">
          <cell r="D75">
            <v>30911.61</v>
          </cell>
        </row>
        <row r="76">
          <cell r="F76">
            <v>4049.3471091816996</v>
          </cell>
        </row>
        <row r="77">
          <cell r="D77">
            <v>5234.4799999999996</v>
          </cell>
        </row>
        <row r="79">
          <cell r="D79">
            <v>5092.6899999999996</v>
          </cell>
        </row>
        <row r="80">
          <cell r="D80">
            <v>4220.0200000000004</v>
          </cell>
        </row>
        <row r="81">
          <cell r="D81">
            <v>2511.4</v>
          </cell>
        </row>
        <row r="82">
          <cell r="D82">
            <v>8109.2</v>
          </cell>
        </row>
        <row r="83">
          <cell r="D83">
            <v>10880.21</v>
          </cell>
        </row>
        <row r="84">
          <cell r="D84">
            <v>50201.120000000003</v>
          </cell>
        </row>
        <row r="89">
          <cell r="D89">
            <v>124311.27</v>
          </cell>
        </row>
        <row r="90">
          <cell r="F90">
            <v>16284.479579459165</v>
          </cell>
        </row>
        <row r="91">
          <cell r="D91">
            <v>12040.5</v>
          </cell>
        </row>
        <row r="92">
          <cell r="D92">
            <v>110315.29</v>
          </cell>
        </row>
        <row r="93">
          <cell r="D93">
            <v>10859.2</v>
          </cell>
        </row>
        <row r="100">
          <cell r="D100">
            <v>132.66999999999999</v>
          </cell>
        </row>
        <row r="102">
          <cell r="D102">
            <v>157.82</v>
          </cell>
        </row>
        <row r="115">
          <cell r="D115">
            <v>77138.77</v>
          </cell>
        </row>
        <row r="116">
          <cell r="F116">
            <v>10104.994702810109</v>
          </cell>
        </row>
        <row r="117">
          <cell r="D117">
            <v>16858.71</v>
          </cell>
        </row>
        <row r="118">
          <cell r="D118">
            <v>585</v>
          </cell>
        </row>
        <row r="125">
          <cell r="D125">
            <v>55117.99</v>
          </cell>
        </row>
        <row r="128">
          <cell r="D128">
            <v>2738.6</v>
          </cell>
        </row>
        <row r="131">
          <cell r="F131">
            <v>7220.3250969589035</v>
          </cell>
        </row>
        <row r="136">
          <cell r="D136">
            <v>172004.57</v>
          </cell>
        </row>
        <row r="137">
          <cell r="D137">
            <v>189451.37</v>
          </cell>
        </row>
        <row r="138">
          <cell r="D138">
            <v>399727.81</v>
          </cell>
        </row>
        <row r="141">
          <cell r="F141">
            <v>22532.188012709183</v>
          </cell>
        </row>
        <row r="142">
          <cell r="F142">
            <v>24817.677158841372</v>
          </cell>
        </row>
        <row r="143">
          <cell r="F143">
            <v>52363.388768266406</v>
          </cell>
        </row>
        <row r="146">
          <cell r="D146">
            <v>12000</v>
          </cell>
        </row>
        <row r="150">
          <cell r="D150">
            <v>4795</v>
          </cell>
        </row>
        <row r="151">
          <cell r="D151">
            <v>80788.61</v>
          </cell>
        </row>
        <row r="152">
          <cell r="D152">
            <v>318.7</v>
          </cell>
        </row>
        <row r="153">
          <cell r="D153">
            <v>2941.82</v>
          </cell>
        </row>
        <row r="157">
          <cell r="D157">
            <v>5080</v>
          </cell>
        </row>
        <row r="158">
          <cell r="D158">
            <v>300</v>
          </cell>
        </row>
        <row r="193">
          <cell r="D193">
            <v>724.43</v>
          </cell>
        </row>
        <row r="194">
          <cell r="D194">
            <v>58081.19</v>
          </cell>
        </row>
        <row r="197">
          <cell r="D197">
            <v>36220.76</v>
          </cell>
        </row>
        <row r="198">
          <cell r="D198">
            <v>13741.62</v>
          </cell>
        </row>
        <row r="200">
          <cell r="D200">
            <v>114</v>
          </cell>
        </row>
        <row r="205">
          <cell r="D205">
            <v>63250.03</v>
          </cell>
        </row>
        <row r="207">
          <cell r="D207">
            <v>299</v>
          </cell>
        </row>
        <row r="211">
          <cell r="D211">
            <v>67532.240000000005</v>
          </cell>
        </row>
        <row r="212">
          <cell r="F212">
            <v>8846.5622081983038</v>
          </cell>
        </row>
        <row r="213">
          <cell r="D213">
            <v>6463.75</v>
          </cell>
        </row>
        <row r="214">
          <cell r="D214">
            <v>5636.25</v>
          </cell>
        </row>
        <row r="221">
          <cell r="D221">
            <v>2782061.12</v>
          </cell>
        </row>
      </sheetData>
      <sheetData sheetId="9" refreshError="1"/>
      <sheetData sheetId="10" refreshError="1"/>
      <sheetData sheetId="11" refreshError="1"/>
      <sheetData sheetId="12">
        <row r="9">
          <cell r="C9">
            <v>12218</v>
          </cell>
          <cell r="E9">
            <v>958</v>
          </cell>
          <cell r="H9">
            <v>294</v>
          </cell>
          <cell r="I9">
            <v>1004</v>
          </cell>
        </row>
        <row r="22">
          <cell r="N22">
            <v>55</v>
          </cell>
        </row>
        <row r="24">
          <cell r="N24">
            <v>55</v>
          </cell>
        </row>
        <row r="28">
          <cell r="N28">
            <v>20075</v>
          </cell>
        </row>
        <row r="30">
          <cell r="N30">
            <v>0.72099626400996264</v>
          </cell>
        </row>
        <row r="32">
          <cell r="N32">
            <v>0.60861768368617686</v>
          </cell>
        </row>
        <row r="34">
          <cell r="N34">
            <v>0.8441343097968772</v>
          </cell>
        </row>
      </sheetData>
      <sheetData sheetId="13" refreshError="1"/>
      <sheetData sheetId="1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E10">
            <v>1682540.6800000002</v>
          </cell>
          <cell r="G10">
            <v>0</v>
          </cell>
        </row>
        <row r="15">
          <cell r="E15">
            <v>206050.69</v>
          </cell>
          <cell r="G15">
            <v>0</v>
          </cell>
        </row>
        <row r="21">
          <cell r="E21">
            <v>675902.85</v>
          </cell>
          <cell r="G21">
            <v>0</v>
          </cell>
        </row>
        <row r="27">
          <cell r="E27">
            <v>10875.08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195635.97</v>
          </cell>
          <cell r="G37">
            <v>0</v>
          </cell>
        </row>
        <row r="42">
          <cell r="E42">
            <v>20230.989999999998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23844.55</v>
          </cell>
          <cell r="G67">
            <v>-19.21</v>
          </cell>
        </row>
        <row r="85">
          <cell r="C85">
            <v>150.8587380497132</v>
          </cell>
          <cell r="E85">
            <v>151.66946078431374</v>
          </cell>
          <cell r="G85">
            <v>151.36164556962024</v>
          </cell>
        </row>
      </sheetData>
      <sheetData sheetId="6" refreshError="1"/>
      <sheetData sheetId="7">
        <row r="10">
          <cell r="D10">
            <v>104321.12599999999</v>
          </cell>
        </row>
        <row r="12">
          <cell r="D12">
            <v>56728.14</v>
          </cell>
        </row>
        <row r="13">
          <cell r="D13">
            <v>35221.350000000006</v>
          </cell>
        </row>
        <row r="15">
          <cell r="D15">
            <v>112752.23999999999</v>
          </cell>
          <cell r="F15">
            <v>-112752.24</v>
          </cell>
        </row>
        <row r="16">
          <cell r="F16">
            <v>289574</v>
          </cell>
        </row>
        <row r="17">
          <cell r="D17">
            <v>239.3</v>
          </cell>
        </row>
        <row r="18">
          <cell r="D18">
            <v>7087.630000000001</v>
          </cell>
        </row>
        <row r="19">
          <cell r="D19">
            <v>5931.81</v>
          </cell>
        </row>
        <row r="20">
          <cell r="D20">
            <v>9191.2800000000007</v>
          </cell>
        </row>
        <row r="21">
          <cell r="D21">
            <v>7472.0499999999993</v>
          </cell>
          <cell r="F21">
            <v>27264</v>
          </cell>
        </row>
        <row r="23">
          <cell r="D23">
            <v>17157.73</v>
          </cell>
        </row>
        <row r="24">
          <cell r="D24">
            <v>25117.21</v>
          </cell>
        </row>
        <row r="26">
          <cell r="D26">
            <v>196284.62</v>
          </cell>
          <cell r="F26">
            <v>142.38</v>
          </cell>
        </row>
        <row r="27">
          <cell r="D27">
            <v>3238.82</v>
          </cell>
          <cell r="F27">
            <v>5590.79</v>
          </cell>
        </row>
        <row r="28">
          <cell r="F28">
            <v>0</v>
          </cell>
        </row>
        <row r="29">
          <cell r="D29">
            <v>38788.29</v>
          </cell>
          <cell r="F29">
            <v>-38788.29</v>
          </cell>
        </row>
        <row r="30">
          <cell r="F30">
            <v>0</v>
          </cell>
        </row>
        <row r="32">
          <cell r="D32">
            <v>25205.770000000004</v>
          </cell>
        </row>
        <row r="33">
          <cell r="F33">
            <v>0</v>
          </cell>
        </row>
        <row r="35">
          <cell r="F35">
            <v>0</v>
          </cell>
        </row>
        <row r="39">
          <cell r="D39">
            <v>6990.1</v>
          </cell>
          <cell r="F39">
            <v>174</v>
          </cell>
        </row>
        <row r="40">
          <cell r="D40">
            <v>128.16999999999999</v>
          </cell>
          <cell r="F40">
            <v>-128.16999999999999</v>
          </cell>
        </row>
        <row r="41">
          <cell r="D41">
            <v>4477.45</v>
          </cell>
          <cell r="F41">
            <v>21133</v>
          </cell>
        </row>
        <row r="42">
          <cell r="D42">
            <v>2465.8199999999997</v>
          </cell>
        </row>
        <row r="45">
          <cell r="D45">
            <v>662.79</v>
          </cell>
          <cell r="F45">
            <v>-19</v>
          </cell>
        </row>
        <row r="57">
          <cell r="D57">
            <v>153578.88</v>
          </cell>
          <cell r="F57">
            <v>-153578.88</v>
          </cell>
        </row>
        <row r="58">
          <cell r="D58">
            <v>5714.62</v>
          </cell>
          <cell r="F58">
            <v>32413.43</v>
          </cell>
        </row>
        <row r="59">
          <cell r="F59">
            <v>97723.38</v>
          </cell>
        </row>
        <row r="60">
          <cell r="D60">
            <v>17588.02</v>
          </cell>
        </row>
        <row r="61">
          <cell r="D61">
            <v>6865.7199999999993</v>
          </cell>
          <cell r="F61">
            <v>3</v>
          </cell>
        </row>
        <row r="62">
          <cell r="D62">
            <v>101.22000000000003</v>
          </cell>
          <cell r="F62">
            <v>46.43</v>
          </cell>
        </row>
        <row r="67">
          <cell r="D67">
            <v>13759.45</v>
          </cell>
          <cell r="F67">
            <v>45727.58</v>
          </cell>
        </row>
        <row r="75">
          <cell r="D75">
            <v>35580.920000000006</v>
          </cell>
        </row>
        <row r="76">
          <cell r="D76">
            <v>5679.56</v>
          </cell>
        </row>
        <row r="77">
          <cell r="D77">
            <v>12390.349999999999</v>
          </cell>
        </row>
        <row r="78">
          <cell r="D78">
            <v>2711.4</v>
          </cell>
          <cell r="F78">
            <v>1659</v>
          </cell>
        </row>
        <row r="79">
          <cell r="D79">
            <v>7800.16</v>
          </cell>
        </row>
        <row r="80">
          <cell r="D80">
            <v>5482.29</v>
          </cell>
        </row>
        <row r="81">
          <cell r="D81">
            <v>2637.02</v>
          </cell>
        </row>
        <row r="84">
          <cell r="D84">
            <v>70565.650000000009</v>
          </cell>
          <cell r="F84">
            <v>78</v>
          </cell>
        </row>
        <row r="85">
          <cell r="D85">
            <v>1.86</v>
          </cell>
        </row>
        <row r="89">
          <cell r="D89">
            <v>89080.650000000009</v>
          </cell>
        </row>
        <row r="90">
          <cell r="D90">
            <v>20374.37</v>
          </cell>
        </row>
        <row r="91">
          <cell r="D91">
            <v>11931</v>
          </cell>
        </row>
        <row r="92">
          <cell r="D92">
            <v>102080.19</v>
          </cell>
        </row>
        <row r="93">
          <cell r="D93">
            <v>4233.0600000000004</v>
          </cell>
        </row>
        <row r="94">
          <cell r="D94">
            <v>6035.1900000000005</v>
          </cell>
        </row>
        <row r="98">
          <cell r="D98">
            <v>15355.800000000001</v>
          </cell>
        </row>
        <row r="99">
          <cell r="D99">
            <v>3191.7699999999995</v>
          </cell>
        </row>
        <row r="100">
          <cell r="D100">
            <v>5655.62</v>
          </cell>
        </row>
        <row r="102">
          <cell r="D102">
            <v>2171.88</v>
          </cell>
        </row>
        <row r="103">
          <cell r="D103">
            <v>0.86</v>
          </cell>
        </row>
        <row r="115">
          <cell r="D115">
            <v>51944.51</v>
          </cell>
        </row>
        <row r="116">
          <cell r="D116">
            <v>9503.4300000000021</v>
          </cell>
        </row>
        <row r="117">
          <cell r="D117">
            <v>11683.05</v>
          </cell>
        </row>
        <row r="118">
          <cell r="D118">
            <v>405.78000000000003</v>
          </cell>
        </row>
        <row r="119">
          <cell r="D119">
            <v>199.72</v>
          </cell>
        </row>
        <row r="124">
          <cell r="D124">
            <v>60917.520000000004</v>
          </cell>
        </row>
        <row r="125">
          <cell r="D125">
            <v>20314.59</v>
          </cell>
        </row>
        <row r="128">
          <cell r="D128">
            <v>31517.68</v>
          </cell>
        </row>
        <row r="130">
          <cell r="D130">
            <v>14137.45</v>
          </cell>
        </row>
        <row r="131">
          <cell r="D131">
            <v>4714.5200000000004</v>
          </cell>
        </row>
        <row r="134">
          <cell r="D134">
            <v>6211.15</v>
          </cell>
        </row>
        <row r="136">
          <cell r="D136">
            <v>152844.80000000002</v>
          </cell>
        </row>
        <row r="137">
          <cell r="D137">
            <v>105054.94</v>
          </cell>
        </row>
        <row r="138">
          <cell r="D138">
            <v>297850.42000000004</v>
          </cell>
        </row>
        <row r="139">
          <cell r="D139">
            <v>11126.55</v>
          </cell>
        </row>
        <row r="141">
          <cell r="D141">
            <v>35471.49</v>
          </cell>
        </row>
        <row r="142">
          <cell r="D142">
            <v>24380.65</v>
          </cell>
        </row>
        <row r="143">
          <cell r="D143">
            <v>69123.69</v>
          </cell>
        </row>
        <row r="144">
          <cell r="D144">
            <v>2582.1999999999998</v>
          </cell>
        </row>
        <row r="146">
          <cell r="D146">
            <v>7800</v>
          </cell>
        </row>
        <row r="150">
          <cell r="D150">
            <v>3791.75</v>
          </cell>
        </row>
        <row r="151">
          <cell r="D151">
            <v>49190.57</v>
          </cell>
        </row>
        <row r="152">
          <cell r="D152">
            <v>5480.5699999999988</v>
          </cell>
        </row>
        <row r="160">
          <cell r="D160">
            <v>287.98</v>
          </cell>
        </row>
        <row r="161">
          <cell r="D161">
            <v>1534.6799999999998</v>
          </cell>
        </row>
        <row r="183">
          <cell r="D183">
            <v>351.33</v>
          </cell>
        </row>
        <row r="184">
          <cell r="D184">
            <v>72.7</v>
          </cell>
        </row>
        <row r="192">
          <cell r="D192">
            <v>11640.06</v>
          </cell>
        </row>
        <row r="194">
          <cell r="D194">
            <v>115249.64</v>
          </cell>
        </row>
        <row r="197">
          <cell r="D197">
            <v>103705.88</v>
          </cell>
        </row>
        <row r="205">
          <cell r="D205">
            <v>29007.980000000003</v>
          </cell>
        </row>
        <row r="207">
          <cell r="D207">
            <v>6992.75</v>
          </cell>
        </row>
        <row r="211">
          <cell r="D211">
            <v>38011.96</v>
          </cell>
        </row>
        <row r="212">
          <cell r="D212">
            <v>9405.31</v>
          </cell>
        </row>
        <row r="213">
          <cell r="D213">
            <v>6308.2100000000009</v>
          </cell>
        </row>
        <row r="216">
          <cell r="D216">
            <v>5172.57</v>
          </cell>
        </row>
        <row r="221">
          <cell r="D221">
            <v>2564017.2740000007</v>
          </cell>
        </row>
      </sheetData>
      <sheetData sheetId="8" refreshError="1"/>
      <sheetData sheetId="9" refreshError="1"/>
      <sheetData sheetId="10">
        <row r="9">
          <cell r="C9">
            <v>9940</v>
          </cell>
          <cell r="D9">
            <v>1480</v>
          </cell>
          <cell r="E9">
            <v>1502</v>
          </cell>
          <cell r="F9">
            <v>76</v>
          </cell>
          <cell r="G9">
            <v>0</v>
          </cell>
          <cell r="H9">
            <v>1293</v>
          </cell>
          <cell r="I9">
            <v>118</v>
          </cell>
          <cell r="J9">
            <v>0</v>
          </cell>
          <cell r="K9">
            <v>0</v>
          </cell>
        </row>
        <row r="22">
          <cell r="N22">
            <v>104</v>
          </cell>
        </row>
        <row r="24">
          <cell r="N24">
            <v>104</v>
          </cell>
        </row>
        <row r="28">
          <cell r="N28">
            <v>22360</v>
          </cell>
        </row>
        <row r="30">
          <cell r="N30">
            <v>0.64440966010733458</v>
          </cell>
        </row>
        <row r="32">
          <cell r="N32">
            <v>0.51073345259391767</v>
          </cell>
        </row>
        <row r="34">
          <cell r="N34">
            <v>0.79256020542716343</v>
          </cell>
        </row>
      </sheetData>
      <sheetData sheetId="1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E10">
            <v>770900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0</v>
          </cell>
          <cell r="G21">
            <v>0</v>
          </cell>
        </row>
        <row r="27">
          <cell r="E27">
            <v>0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227635</v>
          </cell>
          <cell r="G37">
            <v>0</v>
          </cell>
        </row>
        <row r="42">
          <cell r="E42">
            <v>161864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15022.26</v>
          </cell>
          <cell r="G67">
            <v>0</v>
          </cell>
        </row>
        <row r="85">
          <cell r="C85">
            <v>135.98481012658229</v>
          </cell>
          <cell r="E85">
            <v>135.98233995584988</v>
          </cell>
          <cell r="G85">
            <v>135.98202247191011</v>
          </cell>
          <cell r="I85">
            <v>135.98162729658793</v>
          </cell>
        </row>
      </sheetData>
      <sheetData sheetId="6" refreshError="1"/>
      <sheetData sheetId="7">
        <row r="10">
          <cell r="D10">
            <v>36165</v>
          </cell>
        </row>
        <row r="12">
          <cell r="D12">
            <v>72232</v>
          </cell>
        </row>
        <row r="13">
          <cell r="D13">
            <v>37752</v>
          </cell>
        </row>
        <row r="17">
          <cell r="D17">
            <v>952</v>
          </cell>
        </row>
        <row r="18">
          <cell r="D18">
            <v>3943</v>
          </cell>
        </row>
        <row r="19">
          <cell r="D19">
            <v>13678</v>
          </cell>
        </row>
        <row r="20">
          <cell r="D20">
            <v>2324</v>
          </cell>
        </row>
        <row r="21">
          <cell r="D21">
            <v>6474</v>
          </cell>
        </row>
        <row r="23">
          <cell r="D23">
            <v>225</v>
          </cell>
        </row>
        <row r="24">
          <cell r="D24">
            <v>8006</v>
          </cell>
        </row>
        <row r="26">
          <cell r="D26">
            <v>106876</v>
          </cell>
        </row>
        <row r="28">
          <cell r="F28">
            <v>0</v>
          </cell>
        </row>
        <row r="29">
          <cell r="F29">
            <v>0</v>
          </cell>
        </row>
        <row r="30">
          <cell r="F30">
            <v>0</v>
          </cell>
        </row>
        <row r="31">
          <cell r="D31">
            <v>11736</v>
          </cell>
        </row>
        <row r="33">
          <cell r="F33">
            <v>0</v>
          </cell>
        </row>
        <row r="35">
          <cell r="F35">
            <v>0</v>
          </cell>
        </row>
        <row r="39">
          <cell r="D39">
            <v>2813</v>
          </cell>
        </row>
        <row r="43">
          <cell r="D43">
            <v>16456.490000000002</v>
          </cell>
        </row>
        <row r="45">
          <cell r="D45">
            <v>750.49</v>
          </cell>
        </row>
        <row r="57">
          <cell r="D57">
            <v>64000</v>
          </cell>
          <cell r="F57">
            <v>64000</v>
          </cell>
        </row>
        <row r="60">
          <cell r="D60">
            <v>6237</v>
          </cell>
        </row>
        <row r="61">
          <cell r="D61">
            <v>3016</v>
          </cell>
        </row>
        <row r="65">
          <cell r="D65">
            <v>799</v>
          </cell>
        </row>
        <row r="67">
          <cell r="D67">
            <v>8615</v>
          </cell>
        </row>
        <row r="69">
          <cell r="D69">
            <v>171.49</v>
          </cell>
        </row>
        <row r="71">
          <cell r="D71">
            <v>200.49</v>
          </cell>
        </row>
        <row r="77">
          <cell r="D77">
            <v>22424</v>
          </cell>
        </row>
        <row r="80">
          <cell r="D80">
            <v>41883</v>
          </cell>
        </row>
        <row r="81">
          <cell r="D81">
            <v>4337</v>
          </cell>
        </row>
        <row r="82">
          <cell r="D82">
            <v>3944</v>
          </cell>
        </row>
        <row r="83">
          <cell r="D83">
            <v>5434</v>
          </cell>
        </row>
        <row r="84">
          <cell r="D84">
            <v>29287</v>
          </cell>
        </row>
        <row r="89">
          <cell r="D89">
            <v>76264.5</v>
          </cell>
        </row>
        <row r="90">
          <cell r="D90">
            <v>5834</v>
          </cell>
        </row>
        <row r="91">
          <cell r="D91">
            <v>4815</v>
          </cell>
        </row>
        <row r="92">
          <cell r="D92">
            <v>87979</v>
          </cell>
        </row>
        <row r="93">
          <cell r="D93">
            <v>720</v>
          </cell>
        </row>
        <row r="100">
          <cell r="D100">
            <v>1571.49</v>
          </cell>
        </row>
        <row r="101">
          <cell r="D101">
            <v>3226.49</v>
          </cell>
        </row>
        <row r="115">
          <cell r="D115">
            <v>37628.5</v>
          </cell>
        </row>
        <row r="116">
          <cell r="D116">
            <v>2879</v>
          </cell>
        </row>
        <row r="117">
          <cell r="D117">
            <v>917</v>
          </cell>
        </row>
        <row r="118">
          <cell r="D118">
            <v>913.5</v>
          </cell>
        </row>
        <row r="136">
          <cell r="D136">
            <v>136271</v>
          </cell>
        </row>
        <row r="137">
          <cell r="D137">
            <v>130208</v>
          </cell>
        </row>
        <row r="138">
          <cell r="D138">
            <v>192501</v>
          </cell>
        </row>
        <row r="141">
          <cell r="D141">
            <v>10425</v>
          </cell>
        </row>
        <row r="142">
          <cell r="D142">
            <v>9961</v>
          </cell>
        </row>
        <row r="143">
          <cell r="D143">
            <v>14726</v>
          </cell>
        </row>
        <row r="146">
          <cell r="D146">
            <v>7800</v>
          </cell>
        </row>
        <row r="151">
          <cell r="D151">
            <v>24084.35</v>
          </cell>
        </row>
        <row r="198">
          <cell r="D198">
            <v>1639</v>
          </cell>
        </row>
        <row r="199">
          <cell r="D199">
            <v>3700</v>
          </cell>
        </row>
        <row r="200">
          <cell r="D200">
            <v>207.49</v>
          </cell>
        </row>
        <row r="207">
          <cell r="D207">
            <v>1377.49</v>
          </cell>
        </row>
        <row r="211">
          <cell r="D211">
            <v>39610</v>
          </cell>
        </row>
        <row r="212">
          <cell r="D212">
            <v>3030</v>
          </cell>
        </row>
        <row r="213">
          <cell r="D213">
            <v>7742</v>
          </cell>
        </row>
        <row r="214">
          <cell r="D214">
            <v>3447</v>
          </cell>
        </row>
        <row r="221">
          <cell r="D221">
            <v>1320209</v>
          </cell>
        </row>
      </sheetData>
      <sheetData sheetId="8" refreshError="1"/>
      <sheetData sheetId="9" refreshError="1"/>
      <sheetData sheetId="10">
        <row r="9">
          <cell r="C9">
            <v>5548</v>
          </cell>
          <cell r="H9">
            <v>1674</v>
          </cell>
          <cell r="I9">
            <v>1087</v>
          </cell>
          <cell r="J9">
            <v>0</v>
          </cell>
        </row>
        <row r="22">
          <cell r="N22">
            <v>26</v>
          </cell>
        </row>
        <row r="24">
          <cell r="N24">
            <v>26</v>
          </cell>
        </row>
        <row r="28">
          <cell r="N28">
            <v>9490</v>
          </cell>
        </row>
        <row r="30">
          <cell r="N30">
            <v>0.87555321390937835</v>
          </cell>
        </row>
        <row r="32">
          <cell r="N32">
            <v>0.58461538461538465</v>
          </cell>
        </row>
        <row r="34">
          <cell r="N34">
            <v>0.66770971236009147</v>
          </cell>
        </row>
      </sheetData>
      <sheetData sheetId="1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Grou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E10">
            <v>2521683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1137737</v>
          </cell>
          <cell r="G21">
            <v>0</v>
          </cell>
        </row>
        <row r="27">
          <cell r="E27">
            <v>379650</v>
          </cell>
          <cell r="G27">
            <v>0</v>
          </cell>
        </row>
        <row r="32">
          <cell r="E32">
            <v>479205</v>
          </cell>
          <cell r="G32">
            <v>0</v>
          </cell>
        </row>
        <row r="37">
          <cell r="E37">
            <v>213932</v>
          </cell>
          <cell r="G37">
            <v>0</v>
          </cell>
        </row>
        <row r="42">
          <cell r="E42">
            <v>625438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241136</v>
          </cell>
          <cell r="G52">
            <v>-197798</v>
          </cell>
        </row>
        <row r="67">
          <cell r="E67">
            <v>69855</v>
          </cell>
          <cell r="G67">
            <v>-9977</v>
          </cell>
        </row>
        <row r="85">
          <cell r="C85">
            <v>162.68536585365854</v>
          </cell>
          <cell r="E85">
            <v>162.68656716417911</v>
          </cell>
          <cell r="G85">
            <v>162.68584070796462</v>
          </cell>
          <cell r="I85">
            <v>162.68623853211008</v>
          </cell>
        </row>
      </sheetData>
      <sheetData sheetId="6" refreshError="1"/>
      <sheetData sheetId="7">
        <row r="10">
          <cell r="D10">
            <v>0</v>
          </cell>
          <cell r="F10">
            <v>158996</v>
          </cell>
        </row>
        <row r="11">
          <cell r="D11">
            <v>0</v>
          </cell>
        </row>
        <row r="12">
          <cell r="D12">
            <v>241967</v>
          </cell>
          <cell r="F12">
            <v>-158996</v>
          </cell>
        </row>
        <row r="13">
          <cell r="D13">
            <v>32005</v>
          </cell>
          <cell r="F13">
            <v>-159</v>
          </cell>
        </row>
        <row r="14">
          <cell r="D14">
            <v>0</v>
          </cell>
        </row>
        <row r="15">
          <cell r="D15">
            <v>0</v>
          </cell>
        </row>
        <row r="16">
          <cell r="D16">
            <v>282357</v>
          </cell>
          <cell r="F16">
            <v>37657</v>
          </cell>
        </row>
        <row r="17">
          <cell r="D17">
            <v>1197</v>
          </cell>
          <cell r="F17">
            <v>-1197</v>
          </cell>
        </row>
        <row r="18">
          <cell r="D18">
            <v>16206</v>
          </cell>
        </row>
        <row r="19">
          <cell r="D19">
            <v>12818</v>
          </cell>
        </row>
        <row r="20">
          <cell r="D20">
            <v>11454</v>
          </cell>
        </row>
        <row r="21">
          <cell r="D21">
            <v>18719</v>
          </cell>
        </row>
        <row r="22">
          <cell r="D22">
            <v>0</v>
          </cell>
        </row>
        <row r="23">
          <cell r="D23">
            <v>4789</v>
          </cell>
        </row>
        <row r="24">
          <cell r="D24">
            <v>0</v>
          </cell>
        </row>
        <row r="25">
          <cell r="D25">
            <v>2395</v>
          </cell>
        </row>
        <row r="26">
          <cell r="D26">
            <v>308019</v>
          </cell>
        </row>
        <row r="27">
          <cell r="D27">
            <v>53107</v>
          </cell>
          <cell r="F27">
            <v>-160</v>
          </cell>
        </row>
        <row r="28">
          <cell r="D28">
            <v>0</v>
          </cell>
          <cell r="F28">
            <v>0</v>
          </cell>
        </row>
        <row r="29">
          <cell r="D29">
            <v>87334</v>
          </cell>
          <cell r="F29">
            <v>-87334</v>
          </cell>
        </row>
        <row r="30">
          <cell r="D30">
            <v>0</v>
          </cell>
          <cell r="F30">
            <v>0</v>
          </cell>
        </row>
        <row r="31">
          <cell r="D31">
            <v>0</v>
          </cell>
        </row>
        <row r="32">
          <cell r="D32">
            <v>78180</v>
          </cell>
        </row>
        <row r="33">
          <cell r="D33">
            <v>0</v>
          </cell>
          <cell r="F33">
            <v>0</v>
          </cell>
        </row>
        <row r="34">
          <cell r="D34">
            <v>435</v>
          </cell>
        </row>
        <row r="35">
          <cell r="D35">
            <v>0</v>
          </cell>
          <cell r="F35">
            <v>0</v>
          </cell>
        </row>
        <row r="36">
          <cell r="D36">
            <v>6226</v>
          </cell>
        </row>
        <row r="37">
          <cell r="D37">
            <v>13973</v>
          </cell>
        </row>
        <row r="38">
          <cell r="D38">
            <v>323</v>
          </cell>
          <cell r="F38">
            <v>-323</v>
          </cell>
        </row>
        <row r="39">
          <cell r="D39">
            <v>3027</v>
          </cell>
        </row>
        <row r="40">
          <cell r="D40">
            <v>4545</v>
          </cell>
          <cell r="F40">
            <v>-4545</v>
          </cell>
        </row>
        <row r="41">
          <cell r="D41">
            <v>75588</v>
          </cell>
        </row>
        <row r="42">
          <cell r="D42">
            <v>152</v>
          </cell>
        </row>
        <row r="43">
          <cell r="D43">
            <v>13867</v>
          </cell>
          <cell r="F43">
            <v>-3867</v>
          </cell>
        </row>
        <row r="44">
          <cell r="D44">
            <v>0</v>
          </cell>
        </row>
        <row r="45">
          <cell r="D45">
            <v>1119</v>
          </cell>
          <cell r="F45">
            <v>-348</v>
          </cell>
        </row>
        <row r="57">
          <cell r="D57">
            <v>0</v>
          </cell>
        </row>
        <row r="58">
          <cell r="D58">
            <v>122235</v>
          </cell>
          <cell r="F58">
            <v>-4550</v>
          </cell>
        </row>
        <row r="59">
          <cell r="D59">
            <v>69803</v>
          </cell>
        </row>
        <row r="60">
          <cell r="D60">
            <v>30126</v>
          </cell>
        </row>
        <row r="61">
          <cell r="D61">
            <v>20480</v>
          </cell>
        </row>
        <row r="62">
          <cell r="D62">
            <v>6339</v>
          </cell>
        </row>
        <row r="63">
          <cell r="D63">
            <v>0</v>
          </cell>
        </row>
        <row r="64">
          <cell r="D64">
            <v>0</v>
          </cell>
        </row>
        <row r="65">
          <cell r="D65">
            <v>3685</v>
          </cell>
        </row>
        <row r="66">
          <cell r="D66">
            <v>19163</v>
          </cell>
          <cell r="F66">
            <v>-387</v>
          </cell>
        </row>
        <row r="67">
          <cell r="D67">
            <v>40267</v>
          </cell>
        </row>
        <row r="68">
          <cell r="D68">
            <v>0</v>
          </cell>
        </row>
        <row r="69">
          <cell r="D69">
            <v>3804</v>
          </cell>
        </row>
        <row r="70">
          <cell r="D70">
            <v>0</v>
          </cell>
        </row>
        <row r="71">
          <cell r="D71">
            <v>0</v>
          </cell>
        </row>
        <row r="75">
          <cell r="D75">
            <v>74671</v>
          </cell>
        </row>
        <row r="76">
          <cell r="D76">
            <v>15903</v>
          </cell>
        </row>
        <row r="77">
          <cell r="D77">
            <v>6977</v>
          </cell>
        </row>
        <row r="78">
          <cell r="D78">
            <v>0</v>
          </cell>
        </row>
        <row r="79">
          <cell r="D79">
            <v>2247</v>
          </cell>
        </row>
        <row r="80">
          <cell r="D80">
            <v>20957</v>
          </cell>
        </row>
        <row r="81">
          <cell r="D81">
            <v>40259</v>
          </cell>
        </row>
        <row r="82">
          <cell r="D82">
            <v>9440</v>
          </cell>
        </row>
        <row r="83">
          <cell r="D83">
            <v>3978</v>
          </cell>
        </row>
        <row r="84">
          <cell r="D84">
            <v>134204</v>
          </cell>
        </row>
        <row r="85">
          <cell r="D85">
            <v>0</v>
          </cell>
        </row>
        <row r="89">
          <cell r="D89">
            <v>227783</v>
          </cell>
        </row>
        <row r="90">
          <cell r="D90">
            <v>43494</v>
          </cell>
        </row>
        <row r="91">
          <cell r="D91">
            <v>4936</v>
          </cell>
        </row>
        <row r="92">
          <cell r="D92">
            <v>152299</v>
          </cell>
          <cell r="F92">
            <v>-4919</v>
          </cell>
        </row>
        <row r="93">
          <cell r="D93">
            <v>20699</v>
          </cell>
        </row>
        <row r="94">
          <cell r="D94">
            <v>0</v>
          </cell>
        </row>
        <row r="98">
          <cell r="D98">
            <v>0</v>
          </cell>
        </row>
        <row r="99">
          <cell r="D99">
            <v>0</v>
          </cell>
        </row>
        <row r="100">
          <cell r="D100">
            <v>31</v>
          </cell>
        </row>
        <row r="101">
          <cell r="D101">
            <v>63988</v>
          </cell>
        </row>
        <row r="102">
          <cell r="D102">
            <v>8534</v>
          </cell>
        </row>
        <row r="103">
          <cell r="D103">
            <v>0</v>
          </cell>
        </row>
        <row r="115">
          <cell r="D115">
            <v>0</v>
          </cell>
        </row>
        <row r="116">
          <cell r="D116">
            <v>0</v>
          </cell>
        </row>
        <row r="117">
          <cell r="D117">
            <v>10703</v>
          </cell>
        </row>
        <row r="118">
          <cell r="D118">
            <v>120222</v>
          </cell>
        </row>
        <row r="119">
          <cell r="D119">
            <v>0</v>
          </cell>
        </row>
        <row r="124">
          <cell r="D124">
            <v>0</v>
          </cell>
        </row>
        <row r="125">
          <cell r="D125">
            <v>154836</v>
          </cell>
        </row>
        <row r="126">
          <cell r="D126">
            <v>0</v>
          </cell>
        </row>
        <row r="127">
          <cell r="D127">
            <v>0</v>
          </cell>
        </row>
        <row r="128">
          <cell r="D128">
            <v>51381</v>
          </cell>
        </row>
        <row r="130">
          <cell r="D130">
            <v>0</v>
          </cell>
        </row>
        <row r="131">
          <cell r="D131">
            <v>20337</v>
          </cell>
        </row>
        <row r="132">
          <cell r="D132">
            <v>0</v>
          </cell>
        </row>
        <row r="133">
          <cell r="D133">
            <v>0</v>
          </cell>
        </row>
        <row r="134">
          <cell r="D134">
            <v>19484</v>
          </cell>
        </row>
        <row r="136">
          <cell r="D136">
            <v>314053</v>
          </cell>
        </row>
        <row r="137">
          <cell r="D137">
            <v>377816</v>
          </cell>
        </row>
        <row r="138">
          <cell r="D138">
            <v>706243</v>
          </cell>
          <cell r="F138">
            <v>24461</v>
          </cell>
        </row>
        <row r="139">
          <cell r="D139">
            <v>24461</v>
          </cell>
          <cell r="F139">
            <v>-24461</v>
          </cell>
        </row>
        <row r="141">
          <cell r="D141">
            <v>281423</v>
          </cell>
          <cell r="F141">
            <v>-219295</v>
          </cell>
        </row>
        <row r="142">
          <cell r="D142">
            <v>0</v>
          </cell>
          <cell r="F142">
            <v>74742</v>
          </cell>
        </row>
        <row r="143">
          <cell r="D143">
            <v>0</v>
          </cell>
          <cell r="F143">
            <v>144553</v>
          </cell>
        </row>
        <row r="144">
          <cell r="D144">
            <v>0</v>
          </cell>
        </row>
        <row r="146">
          <cell r="D146">
            <v>26240</v>
          </cell>
        </row>
        <row r="147">
          <cell r="D147">
            <v>12031</v>
          </cell>
          <cell r="F147">
            <v>-455</v>
          </cell>
        </row>
        <row r="148">
          <cell r="D148">
            <v>0</v>
          </cell>
          <cell r="F148">
            <v>455</v>
          </cell>
        </row>
        <row r="149">
          <cell r="D149">
            <v>0</v>
          </cell>
        </row>
        <row r="150">
          <cell r="D150">
            <v>1424</v>
          </cell>
        </row>
        <row r="151">
          <cell r="D151">
            <v>118107</v>
          </cell>
        </row>
        <row r="152">
          <cell r="D152">
            <v>6032</v>
          </cell>
          <cell r="F152">
            <v>-1881</v>
          </cell>
        </row>
        <row r="153">
          <cell r="D153">
            <v>0</v>
          </cell>
        </row>
        <row r="154">
          <cell r="D154">
            <v>0</v>
          </cell>
        </row>
        <row r="156">
          <cell r="D156">
            <v>0</v>
          </cell>
        </row>
        <row r="157">
          <cell r="D157">
            <v>0</v>
          </cell>
        </row>
        <row r="158">
          <cell r="D158">
            <v>380</v>
          </cell>
        </row>
        <row r="159">
          <cell r="D159">
            <v>0</v>
          </cell>
        </row>
        <row r="160">
          <cell r="D160">
            <v>0</v>
          </cell>
        </row>
        <row r="161">
          <cell r="D161">
            <v>14807</v>
          </cell>
          <cell r="F161">
            <v>-198348</v>
          </cell>
        </row>
        <row r="175">
          <cell r="D175">
            <v>0</v>
          </cell>
        </row>
        <row r="176">
          <cell r="D176">
            <v>0</v>
          </cell>
        </row>
        <row r="177">
          <cell r="D177">
            <v>0</v>
          </cell>
        </row>
        <row r="178">
          <cell r="D178">
            <v>0</v>
          </cell>
        </row>
        <row r="179">
          <cell r="D179">
            <v>0</v>
          </cell>
        </row>
        <row r="180">
          <cell r="D180">
            <v>0</v>
          </cell>
        </row>
        <row r="181">
          <cell r="D181">
            <v>0</v>
          </cell>
        </row>
        <row r="182">
          <cell r="D182">
            <v>0</v>
          </cell>
        </row>
        <row r="183">
          <cell r="D183">
            <v>0</v>
          </cell>
        </row>
        <row r="184">
          <cell r="D184">
            <v>0</v>
          </cell>
        </row>
        <row r="185">
          <cell r="D185">
            <v>0</v>
          </cell>
        </row>
        <row r="186">
          <cell r="D186">
            <v>0</v>
          </cell>
        </row>
        <row r="187">
          <cell r="D187">
            <v>0</v>
          </cell>
        </row>
        <row r="188">
          <cell r="D188">
            <v>2575</v>
          </cell>
        </row>
        <row r="189">
          <cell r="D189">
            <v>0</v>
          </cell>
        </row>
        <row r="190">
          <cell r="D190">
            <v>0</v>
          </cell>
        </row>
        <row r="191">
          <cell r="D191">
            <v>0</v>
          </cell>
        </row>
        <row r="192">
          <cell r="D192">
            <v>38</v>
          </cell>
        </row>
        <row r="193">
          <cell r="D193">
            <v>3862</v>
          </cell>
        </row>
        <row r="194">
          <cell r="D194">
            <v>200578</v>
          </cell>
          <cell r="F194">
            <v>7401</v>
          </cell>
        </row>
        <row r="195">
          <cell r="D195">
            <v>53873</v>
          </cell>
          <cell r="F195">
            <v>1988</v>
          </cell>
        </row>
        <row r="196">
          <cell r="D196">
            <v>0</v>
          </cell>
        </row>
        <row r="197">
          <cell r="D197">
            <v>173016</v>
          </cell>
          <cell r="F197">
            <v>6384</v>
          </cell>
        </row>
        <row r="198">
          <cell r="D198">
            <v>20991</v>
          </cell>
          <cell r="F198">
            <v>-568</v>
          </cell>
        </row>
        <row r="199">
          <cell r="D199">
            <v>0</v>
          </cell>
        </row>
        <row r="200">
          <cell r="D200">
            <v>0</v>
          </cell>
        </row>
        <row r="201">
          <cell r="D201">
            <v>0</v>
          </cell>
        </row>
        <row r="202">
          <cell r="D202">
            <v>0</v>
          </cell>
        </row>
        <row r="203">
          <cell r="D203">
            <v>0</v>
          </cell>
        </row>
        <row r="204">
          <cell r="D204">
            <v>0</v>
          </cell>
        </row>
        <row r="205">
          <cell r="D205">
            <v>187992</v>
          </cell>
          <cell r="F205">
            <v>-12524</v>
          </cell>
        </row>
        <row r="206">
          <cell r="D206">
            <v>0</v>
          </cell>
        </row>
        <row r="207">
          <cell r="D207">
            <v>8175</v>
          </cell>
          <cell r="F207">
            <v>-557</v>
          </cell>
        </row>
        <row r="211">
          <cell r="D211">
            <v>92288</v>
          </cell>
        </row>
        <row r="212">
          <cell r="D212">
            <v>13525</v>
          </cell>
        </row>
        <row r="213">
          <cell r="D213">
            <v>2567</v>
          </cell>
        </row>
        <row r="214">
          <cell r="D214">
            <v>0</v>
          </cell>
        </row>
        <row r="215">
          <cell r="D215">
            <v>0</v>
          </cell>
        </row>
        <row r="216">
          <cell r="D216">
            <v>2563</v>
          </cell>
        </row>
        <row r="221">
          <cell r="D221">
            <v>5438127</v>
          </cell>
        </row>
      </sheetData>
      <sheetData sheetId="8" refreshError="1"/>
      <sheetData sheetId="9" refreshError="1"/>
      <sheetData sheetId="10">
        <row r="9">
          <cell r="C9">
            <v>13503</v>
          </cell>
          <cell r="D9">
            <v>0</v>
          </cell>
          <cell r="E9">
            <v>1996</v>
          </cell>
          <cell r="F9">
            <v>989</v>
          </cell>
          <cell r="G9">
            <v>2232</v>
          </cell>
          <cell r="H9">
            <v>1315</v>
          </cell>
          <cell r="I9">
            <v>3407</v>
          </cell>
          <cell r="J9">
            <v>0</v>
          </cell>
          <cell r="K9">
            <v>108</v>
          </cell>
        </row>
        <row r="22">
          <cell r="N22">
            <v>106</v>
          </cell>
        </row>
        <row r="24">
          <cell r="N24">
            <v>106</v>
          </cell>
        </row>
        <row r="28">
          <cell r="N28">
            <v>38690</v>
          </cell>
        </row>
        <row r="30">
          <cell r="N30">
            <v>0.60868441457741018</v>
          </cell>
        </row>
        <row r="32">
          <cell r="N32">
            <v>0.34900491082967178</v>
          </cell>
        </row>
        <row r="34">
          <cell r="N34">
            <v>0.573375796178344</v>
          </cell>
        </row>
      </sheetData>
      <sheetData sheetId="11" refreshError="1"/>
      <sheetData sheetId="1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Grou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E10">
            <v>2174042</v>
          </cell>
          <cell r="G10">
            <v>0</v>
          </cell>
        </row>
        <row r="15">
          <cell r="E15">
            <v>124108</v>
          </cell>
          <cell r="G15">
            <v>0</v>
          </cell>
        </row>
        <row r="21">
          <cell r="E21">
            <v>971974</v>
          </cell>
          <cell r="G21">
            <v>0</v>
          </cell>
        </row>
        <row r="27">
          <cell r="E27">
            <v>138837</v>
          </cell>
          <cell r="G27">
            <v>0</v>
          </cell>
        </row>
        <row r="32">
          <cell r="E32">
            <v>164263</v>
          </cell>
          <cell r="G32">
            <v>0</v>
          </cell>
        </row>
        <row r="37">
          <cell r="E37">
            <v>110884</v>
          </cell>
          <cell r="G37">
            <v>16903</v>
          </cell>
        </row>
        <row r="42">
          <cell r="E42">
            <v>153454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-16903</v>
          </cell>
          <cell r="G52">
            <v>16903</v>
          </cell>
        </row>
        <row r="67">
          <cell r="E67">
            <v>29666</v>
          </cell>
          <cell r="G67">
            <v>584</v>
          </cell>
        </row>
        <row r="85">
          <cell r="C85">
            <v>233.02763641048764</v>
          </cell>
          <cell r="E85">
            <v>159.46524955628908</v>
          </cell>
          <cell r="G85">
            <v>159.46324413317305</v>
          </cell>
          <cell r="I85">
            <v>159.46983687288395</v>
          </cell>
        </row>
      </sheetData>
      <sheetData sheetId="6" refreshError="1"/>
      <sheetData sheetId="7">
        <row r="10">
          <cell r="D10">
            <v>0</v>
          </cell>
          <cell r="F10">
            <v>150088</v>
          </cell>
        </row>
        <row r="11">
          <cell r="D11">
            <v>0</v>
          </cell>
        </row>
        <row r="12">
          <cell r="D12">
            <v>187983</v>
          </cell>
          <cell r="F12">
            <v>-150088</v>
          </cell>
        </row>
        <row r="13">
          <cell r="D13">
            <v>15696</v>
          </cell>
        </row>
        <row r="14">
          <cell r="D14">
            <v>0</v>
          </cell>
        </row>
        <row r="15">
          <cell r="D15">
            <v>0</v>
          </cell>
        </row>
        <row r="16">
          <cell r="D16">
            <v>191929</v>
          </cell>
          <cell r="F16">
            <v>-19827</v>
          </cell>
        </row>
        <row r="17">
          <cell r="D17">
            <v>106</v>
          </cell>
          <cell r="F17">
            <v>-106</v>
          </cell>
        </row>
        <row r="18">
          <cell r="D18">
            <v>20096</v>
          </cell>
        </row>
        <row r="19">
          <cell r="D19">
            <v>7213</v>
          </cell>
        </row>
        <row r="20">
          <cell r="D20">
            <v>8079</v>
          </cell>
        </row>
        <row r="21">
          <cell r="D21">
            <v>6688</v>
          </cell>
        </row>
        <row r="22">
          <cell r="D22">
            <v>0</v>
          </cell>
        </row>
        <row r="23">
          <cell r="D23">
            <v>5503</v>
          </cell>
        </row>
        <row r="24">
          <cell r="D24">
            <v>11317</v>
          </cell>
        </row>
        <row r="25">
          <cell r="D25">
            <v>2574</v>
          </cell>
        </row>
        <row r="26">
          <cell r="D26">
            <v>218841</v>
          </cell>
        </row>
        <row r="27">
          <cell r="D27">
            <v>5823</v>
          </cell>
          <cell r="F27">
            <v>1351</v>
          </cell>
        </row>
        <row r="28">
          <cell r="D28">
            <v>0</v>
          </cell>
          <cell r="F28">
            <v>0</v>
          </cell>
        </row>
        <row r="29">
          <cell r="D29">
            <v>42206</v>
          </cell>
          <cell r="F29">
            <v>-42206</v>
          </cell>
        </row>
        <row r="30">
          <cell r="D30">
            <v>0</v>
          </cell>
          <cell r="F30">
            <v>0</v>
          </cell>
        </row>
        <row r="31">
          <cell r="D31">
            <v>0</v>
          </cell>
        </row>
        <row r="32">
          <cell r="D32">
            <v>53200</v>
          </cell>
        </row>
        <row r="33">
          <cell r="D33">
            <v>0</v>
          </cell>
          <cell r="F33">
            <v>0</v>
          </cell>
        </row>
        <row r="34">
          <cell r="D34">
            <v>223</v>
          </cell>
        </row>
        <row r="35">
          <cell r="D35">
            <v>0</v>
          </cell>
          <cell r="F35">
            <v>0</v>
          </cell>
        </row>
        <row r="36">
          <cell r="D36">
            <v>25679</v>
          </cell>
        </row>
        <row r="37">
          <cell r="D37">
            <v>657</v>
          </cell>
        </row>
        <row r="38">
          <cell r="D38">
            <v>2209</v>
          </cell>
          <cell r="F38">
            <v>-2209</v>
          </cell>
        </row>
        <row r="39">
          <cell r="D39">
            <v>2886</v>
          </cell>
        </row>
        <row r="40">
          <cell r="D40">
            <v>6460</v>
          </cell>
          <cell r="F40">
            <v>-6460</v>
          </cell>
        </row>
        <row r="41">
          <cell r="D41">
            <v>51271</v>
          </cell>
        </row>
        <row r="42">
          <cell r="D42">
            <v>120</v>
          </cell>
        </row>
        <row r="43">
          <cell r="D43">
            <v>7503</v>
          </cell>
          <cell r="F43">
            <v>-7503</v>
          </cell>
        </row>
        <row r="44">
          <cell r="D44">
            <v>0</v>
          </cell>
        </row>
        <row r="45">
          <cell r="D45">
            <v>5471</v>
          </cell>
          <cell r="F45">
            <v>-249</v>
          </cell>
        </row>
        <row r="57">
          <cell r="D57">
            <v>0</v>
          </cell>
        </row>
        <row r="58">
          <cell r="D58">
            <v>83603</v>
          </cell>
        </row>
        <row r="59">
          <cell r="D59">
            <v>69039</v>
          </cell>
        </row>
        <row r="60">
          <cell r="D60">
            <v>10573</v>
          </cell>
        </row>
        <row r="61">
          <cell r="D61">
            <v>4285</v>
          </cell>
        </row>
        <row r="62">
          <cell r="D62">
            <v>6311</v>
          </cell>
        </row>
        <row r="63">
          <cell r="D63">
            <v>0</v>
          </cell>
        </row>
        <row r="64">
          <cell r="D64">
            <v>0</v>
          </cell>
        </row>
        <row r="65">
          <cell r="D65">
            <v>1562</v>
          </cell>
        </row>
        <row r="66">
          <cell r="D66">
            <v>57995</v>
          </cell>
          <cell r="F66">
            <v>-835</v>
          </cell>
        </row>
        <row r="67">
          <cell r="D67">
            <v>24568</v>
          </cell>
        </row>
        <row r="68">
          <cell r="D68">
            <v>0</v>
          </cell>
        </row>
        <row r="69">
          <cell r="D69">
            <v>3683</v>
          </cell>
        </row>
        <row r="70">
          <cell r="D70">
            <v>0</v>
          </cell>
        </row>
        <row r="71">
          <cell r="D71">
            <v>0</v>
          </cell>
        </row>
        <row r="75">
          <cell r="D75">
            <v>38937</v>
          </cell>
        </row>
        <row r="76">
          <cell r="D76">
            <v>6438</v>
          </cell>
        </row>
        <row r="77">
          <cell r="D77">
            <v>8512</v>
          </cell>
        </row>
        <row r="78">
          <cell r="D78">
            <v>0</v>
          </cell>
        </row>
        <row r="79">
          <cell r="D79">
            <v>5329</v>
          </cell>
        </row>
        <row r="80">
          <cell r="D80">
            <v>9960</v>
          </cell>
        </row>
        <row r="81">
          <cell r="D81">
            <v>18471</v>
          </cell>
        </row>
        <row r="82">
          <cell r="D82">
            <v>8915</v>
          </cell>
        </row>
        <row r="83">
          <cell r="D83">
            <v>8564</v>
          </cell>
        </row>
        <row r="84">
          <cell r="D84">
            <v>45650</v>
          </cell>
        </row>
        <row r="85">
          <cell r="D85">
            <v>0</v>
          </cell>
        </row>
        <row r="89">
          <cell r="D89">
            <v>110322</v>
          </cell>
        </row>
        <row r="90">
          <cell r="D90">
            <v>18953</v>
          </cell>
        </row>
        <row r="91">
          <cell r="D91">
            <v>4282</v>
          </cell>
        </row>
        <row r="92">
          <cell r="D92">
            <v>86238</v>
          </cell>
          <cell r="F92">
            <v>-418</v>
          </cell>
        </row>
        <row r="93">
          <cell r="D93">
            <v>6725</v>
          </cell>
        </row>
        <row r="94">
          <cell r="D94">
            <v>0</v>
          </cell>
        </row>
        <row r="98">
          <cell r="D98">
            <v>0</v>
          </cell>
        </row>
        <row r="99">
          <cell r="D99">
            <v>0</v>
          </cell>
        </row>
        <row r="100">
          <cell r="D100">
            <v>0</v>
          </cell>
        </row>
        <row r="101">
          <cell r="D101">
            <v>44851</v>
          </cell>
        </row>
        <row r="102">
          <cell r="D102">
            <v>3308</v>
          </cell>
        </row>
        <row r="103">
          <cell r="D103">
            <v>0</v>
          </cell>
        </row>
        <row r="115">
          <cell r="D115">
            <v>0</v>
          </cell>
        </row>
        <row r="116">
          <cell r="D116">
            <v>0</v>
          </cell>
        </row>
        <row r="117">
          <cell r="D117">
            <v>8378</v>
          </cell>
        </row>
        <row r="118">
          <cell r="D118">
            <v>86300</v>
          </cell>
        </row>
        <row r="119">
          <cell r="D119">
            <v>0</v>
          </cell>
        </row>
        <row r="124">
          <cell r="D124">
            <v>0</v>
          </cell>
        </row>
        <row r="125">
          <cell r="D125">
            <v>124513</v>
          </cell>
        </row>
        <row r="126">
          <cell r="D126">
            <v>0</v>
          </cell>
        </row>
        <row r="127">
          <cell r="D127">
            <v>0</v>
          </cell>
        </row>
        <row r="128">
          <cell r="D128">
            <v>31062</v>
          </cell>
        </row>
        <row r="130">
          <cell r="D130">
            <v>0</v>
          </cell>
        </row>
        <row r="131">
          <cell r="D131">
            <v>12615</v>
          </cell>
        </row>
        <row r="132">
          <cell r="D132">
            <v>0</v>
          </cell>
        </row>
        <row r="133">
          <cell r="D133">
            <v>0</v>
          </cell>
        </row>
        <row r="134">
          <cell r="D134">
            <v>6953</v>
          </cell>
        </row>
        <row r="136">
          <cell r="D136">
            <v>331935</v>
          </cell>
        </row>
        <row r="137">
          <cell r="D137">
            <v>110129</v>
          </cell>
        </row>
        <row r="138">
          <cell r="D138">
            <v>365805</v>
          </cell>
          <cell r="F138">
            <v>14107</v>
          </cell>
        </row>
        <row r="139">
          <cell r="D139">
            <v>14107</v>
          </cell>
          <cell r="F139">
            <v>-14107</v>
          </cell>
        </row>
        <row r="141">
          <cell r="D141">
            <v>161107</v>
          </cell>
          <cell r="F141">
            <v>-96048</v>
          </cell>
        </row>
        <row r="142">
          <cell r="D142">
            <v>0</v>
          </cell>
          <cell r="F142">
            <v>21585</v>
          </cell>
        </row>
        <row r="143">
          <cell r="D143">
            <v>0</v>
          </cell>
          <cell r="F143">
            <v>74463</v>
          </cell>
        </row>
        <row r="144">
          <cell r="D144">
            <v>0</v>
          </cell>
        </row>
        <row r="146">
          <cell r="D146">
            <v>17910</v>
          </cell>
        </row>
        <row r="147">
          <cell r="D147">
            <v>147</v>
          </cell>
          <cell r="F147">
            <v>-147</v>
          </cell>
        </row>
        <row r="148">
          <cell r="D148">
            <v>0</v>
          </cell>
        </row>
        <row r="149">
          <cell r="D149">
            <v>0</v>
          </cell>
        </row>
        <row r="150">
          <cell r="D150">
            <v>2960</v>
          </cell>
          <cell r="F150">
            <v>147</v>
          </cell>
        </row>
        <row r="151">
          <cell r="D151">
            <v>64637</v>
          </cell>
          <cell r="F151">
            <v>-1160</v>
          </cell>
        </row>
        <row r="152">
          <cell r="D152">
            <v>3705</v>
          </cell>
        </row>
        <row r="153">
          <cell r="D153">
            <v>0</v>
          </cell>
        </row>
        <row r="154">
          <cell r="D154">
            <v>0</v>
          </cell>
        </row>
        <row r="156">
          <cell r="D156">
            <v>0</v>
          </cell>
        </row>
        <row r="157">
          <cell r="D157">
            <v>0</v>
          </cell>
        </row>
        <row r="158">
          <cell r="D158">
            <v>4375</v>
          </cell>
        </row>
        <row r="159">
          <cell r="D159">
            <v>0</v>
          </cell>
        </row>
        <row r="160">
          <cell r="D160">
            <v>0</v>
          </cell>
        </row>
        <row r="161">
          <cell r="D161">
            <v>12441</v>
          </cell>
          <cell r="F161">
            <v>-408</v>
          </cell>
        </row>
        <row r="175">
          <cell r="D175">
            <v>0</v>
          </cell>
        </row>
        <row r="176">
          <cell r="D176">
            <v>0</v>
          </cell>
        </row>
        <row r="177">
          <cell r="D177">
            <v>0</v>
          </cell>
        </row>
        <row r="178">
          <cell r="D178">
            <v>0</v>
          </cell>
        </row>
        <row r="179">
          <cell r="D179">
            <v>0</v>
          </cell>
        </row>
        <row r="180">
          <cell r="D180">
            <v>0</v>
          </cell>
        </row>
        <row r="181">
          <cell r="D181">
            <v>0</v>
          </cell>
        </row>
        <row r="182">
          <cell r="D182">
            <v>0</v>
          </cell>
        </row>
        <row r="183">
          <cell r="D183">
            <v>0</v>
          </cell>
        </row>
        <row r="184">
          <cell r="D184">
            <v>0</v>
          </cell>
        </row>
        <row r="185">
          <cell r="D185">
            <v>0</v>
          </cell>
        </row>
        <row r="186">
          <cell r="D186">
            <v>0</v>
          </cell>
        </row>
        <row r="187">
          <cell r="D187">
            <v>0</v>
          </cell>
        </row>
        <row r="188">
          <cell r="D188">
            <v>297</v>
          </cell>
        </row>
        <row r="189">
          <cell r="D189">
            <v>0</v>
          </cell>
        </row>
        <row r="190">
          <cell r="D190">
            <v>0</v>
          </cell>
        </row>
        <row r="191">
          <cell r="D191">
            <v>0</v>
          </cell>
        </row>
        <row r="192">
          <cell r="D192">
            <v>0</v>
          </cell>
        </row>
        <row r="193">
          <cell r="D193">
            <v>2270</v>
          </cell>
        </row>
        <row r="194">
          <cell r="D194">
            <v>159964</v>
          </cell>
          <cell r="F194">
            <v>5903</v>
          </cell>
        </row>
        <row r="195">
          <cell r="D195">
            <v>50611</v>
          </cell>
          <cell r="F195">
            <v>1868</v>
          </cell>
        </row>
        <row r="196">
          <cell r="D196">
            <v>0</v>
          </cell>
        </row>
        <row r="197">
          <cell r="D197">
            <v>83001</v>
          </cell>
          <cell r="F197">
            <v>3063</v>
          </cell>
        </row>
        <row r="198">
          <cell r="D198">
            <v>2750</v>
          </cell>
          <cell r="F198">
            <v>-44</v>
          </cell>
        </row>
        <row r="199">
          <cell r="D199">
            <v>0</v>
          </cell>
        </row>
        <row r="200">
          <cell r="D200">
            <v>0</v>
          </cell>
        </row>
        <row r="201">
          <cell r="D201">
            <v>0</v>
          </cell>
        </row>
        <row r="202">
          <cell r="D202">
            <v>0</v>
          </cell>
        </row>
        <row r="203">
          <cell r="D203">
            <v>0</v>
          </cell>
        </row>
        <row r="204">
          <cell r="D204">
            <v>0</v>
          </cell>
        </row>
        <row r="205">
          <cell r="D205">
            <v>138667</v>
          </cell>
          <cell r="F205">
            <v>-9026</v>
          </cell>
        </row>
        <row r="206">
          <cell r="D206">
            <v>3513</v>
          </cell>
        </row>
        <row r="207">
          <cell r="D207">
            <v>1467</v>
          </cell>
        </row>
        <row r="211">
          <cell r="D211">
            <v>81437</v>
          </cell>
        </row>
        <row r="212">
          <cell r="D212">
            <v>34681</v>
          </cell>
        </row>
        <row r="213">
          <cell r="D213">
            <v>2756</v>
          </cell>
        </row>
        <row r="214">
          <cell r="D214">
            <v>0</v>
          </cell>
        </row>
        <row r="215">
          <cell r="D215">
            <v>0</v>
          </cell>
        </row>
        <row r="216">
          <cell r="D216">
            <v>1769</v>
          </cell>
        </row>
        <row r="221">
          <cell r="D221">
            <v>3489069</v>
          </cell>
        </row>
      </sheetData>
      <sheetData sheetId="8" refreshError="1"/>
      <sheetData sheetId="9" refreshError="1"/>
      <sheetData sheetId="10">
        <row r="9">
          <cell r="C9">
            <v>10790</v>
          </cell>
          <cell r="D9">
            <v>658</v>
          </cell>
          <cell r="E9">
            <v>1788</v>
          </cell>
          <cell r="F9">
            <v>419</v>
          </cell>
          <cell r="G9">
            <v>776</v>
          </cell>
          <cell r="H9">
            <v>722</v>
          </cell>
          <cell r="I9">
            <v>798</v>
          </cell>
          <cell r="J9">
            <v>0</v>
          </cell>
          <cell r="K9">
            <v>0</v>
          </cell>
        </row>
        <row r="22">
          <cell r="N22">
            <v>80</v>
          </cell>
        </row>
        <row r="24">
          <cell r="N24">
            <v>80</v>
          </cell>
        </row>
        <row r="28">
          <cell r="N28">
            <v>29200</v>
          </cell>
        </row>
        <row r="30">
          <cell r="N30">
            <v>0.54626712328767124</v>
          </cell>
        </row>
        <row r="32">
          <cell r="N32">
            <v>0.39205479452054792</v>
          </cell>
        </row>
        <row r="34">
          <cell r="N34">
            <v>0.7176979499717886</v>
          </cell>
        </row>
      </sheetData>
      <sheetData sheetId="11" refreshError="1"/>
      <sheetData sheetId="1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1 (cont.)"/>
      <sheetName val="Sch C-2"/>
      <sheetName val="Sch D"/>
      <sheetName val="Summary"/>
      <sheetName val="Grou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E10">
            <v>5748395</v>
          </cell>
          <cell r="G10">
            <v>14192</v>
          </cell>
        </row>
        <row r="15">
          <cell r="E15">
            <v>0</v>
          </cell>
          <cell r="G15">
            <v>0</v>
          </cell>
        </row>
        <row r="21">
          <cell r="E21">
            <v>2076325</v>
          </cell>
          <cell r="G21">
            <v>29877</v>
          </cell>
        </row>
        <row r="27">
          <cell r="E27">
            <v>559893</v>
          </cell>
          <cell r="G27">
            <v>83012</v>
          </cell>
        </row>
        <row r="32">
          <cell r="E32">
            <v>856729</v>
          </cell>
          <cell r="G32">
            <v>-1477</v>
          </cell>
        </row>
        <row r="37">
          <cell r="E37">
            <v>491764</v>
          </cell>
          <cell r="G37">
            <v>-4474</v>
          </cell>
        </row>
        <row r="42">
          <cell r="E42">
            <v>435703</v>
          </cell>
          <cell r="G42">
            <v>-14332</v>
          </cell>
        </row>
        <row r="47">
          <cell r="E47">
            <v>0</v>
          </cell>
          <cell r="G47">
            <v>0</v>
          </cell>
        </row>
        <row r="52">
          <cell r="E52">
            <v>422403</v>
          </cell>
          <cell r="G52">
            <v>-95172</v>
          </cell>
        </row>
        <row r="67">
          <cell r="E67">
            <v>888098</v>
          </cell>
          <cell r="G67">
            <v>-888098</v>
          </cell>
        </row>
        <row r="85">
          <cell r="C85">
            <v>208.77648428405124</v>
          </cell>
          <cell r="E85">
            <v>200.38745980707395</v>
          </cell>
          <cell r="G85">
            <v>207.48775055679286</v>
          </cell>
          <cell r="I85">
            <v>195.97391304347826</v>
          </cell>
        </row>
      </sheetData>
      <sheetData sheetId="6" refreshError="1"/>
      <sheetData sheetId="7">
        <row r="10">
          <cell r="D10">
            <v>97694</v>
          </cell>
          <cell r="F10">
            <v>13657</v>
          </cell>
        </row>
        <row r="11">
          <cell r="D11">
            <v>0</v>
          </cell>
        </row>
        <row r="12">
          <cell r="D12">
            <v>213261</v>
          </cell>
          <cell r="F12">
            <v>-13657</v>
          </cell>
        </row>
        <row r="13">
          <cell r="D13">
            <v>123593</v>
          </cell>
          <cell r="F13">
            <v>-86199</v>
          </cell>
        </row>
        <row r="14">
          <cell r="D14">
            <v>0</v>
          </cell>
        </row>
        <row r="15">
          <cell r="D15">
            <v>0</v>
          </cell>
        </row>
        <row r="16">
          <cell r="D16">
            <v>716416</v>
          </cell>
          <cell r="F16">
            <v>-92181</v>
          </cell>
        </row>
        <row r="17">
          <cell r="D17">
            <v>23598</v>
          </cell>
          <cell r="F17">
            <v>-23598</v>
          </cell>
        </row>
        <row r="18">
          <cell r="D18">
            <v>57344</v>
          </cell>
        </row>
        <row r="19">
          <cell r="D19">
            <v>13359</v>
          </cell>
          <cell r="F19">
            <v>-2798</v>
          </cell>
        </row>
        <row r="20">
          <cell r="D20">
            <v>30644</v>
          </cell>
        </row>
        <row r="21">
          <cell r="D21">
            <v>16847</v>
          </cell>
          <cell r="F21">
            <v>4000</v>
          </cell>
        </row>
        <row r="22">
          <cell r="D22">
            <v>0</v>
          </cell>
        </row>
        <row r="23">
          <cell r="D23">
            <v>15904</v>
          </cell>
        </row>
        <row r="24">
          <cell r="D24">
            <v>0</v>
          </cell>
        </row>
        <row r="25">
          <cell r="D25">
            <v>0</v>
          </cell>
        </row>
        <row r="26">
          <cell r="D26">
            <v>499100</v>
          </cell>
        </row>
        <row r="27">
          <cell r="D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118797</v>
          </cell>
          <cell r="F29">
            <v>-118797</v>
          </cell>
        </row>
        <row r="30">
          <cell r="D30">
            <v>0</v>
          </cell>
          <cell r="F30">
            <v>0</v>
          </cell>
        </row>
        <row r="31">
          <cell r="D31">
            <v>0</v>
          </cell>
        </row>
        <row r="32">
          <cell r="D32">
            <v>41468</v>
          </cell>
        </row>
        <row r="33">
          <cell r="D33">
            <v>1560</v>
          </cell>
          <cell r="F33">
            <v>-1560</v>
          </cell>
        </row>
        <row r="34">
          <cell r="D34">
            <v>5223</v>
          </cell>
        </row>
        <row r="35">
          <cell r="D35">
            <v>0</v>
          </cell>
          <cell r="F35">
            <v>0</v>
          </cell>
        </row>
        <row r="36">
          <cell r="D36">
            <v>0</v>
          </cell>
        </row>
        <row r="37">
          <cell r="D37">
            <v>0</v>
          </cell>
        </row>
        <row r="38">
          <cell r="D38">
            <v>0</v>
          </cell>
        </row>
        <row r="39">
          <cell r="D39">
            <v>10761</v>
          </cell>
        </row>
        <row r="40">
          <cell r="D40">
            <v>0</v>
          </cell>
        </row>
        <row r="41">
          <cell r="D41">
            <v>26476</v>
          </cell>
          <cell r="F41">
            <v>3184</v>
          </cell>
        </row>
        <row r="42">
          <cell r="D42">
            <v>5528</v>
          </cell>
        </row>
        <row r="43">
          <cell r="D43">
            <v>9418</v>
          </cell>
          <cell r="F43">
            <v>-8646</v>
          </cell>
        </row>
        <row r="44">
          <cell r="D44">
            <v>0</v>
          </cell>
        </row>
        <row r="45">
          <cell r="D45">
            <v>823662</v>
          </cell>
          <cell r="F45">
            <v>-776722</v>
          </cell>
        </row>
        <row r="57">
          <cell r="D57">
            <v>453358</v>
          </cell>
          <cell r="F57">
            <v>-453358</v>
          </cell>
        </row>
        <row r="58">
          <cell r="D58">
            <v>0</v>
          </cell>
          <cell r="F58">
            <v>110270</v>
          </cell>
        </row>
        <row r="59">
          <cell r="D59">
            <v>0</v>
          </cell>
          <cell r="F59">
            <v>245633</v>
          </cell>
        </row>
        <row r="60">
          <cell r="D60">
            <v>0</v>
          </cell>
          <cell r="F60">
            <v>29877</v>
          </cell>
        </row>
        <row r="61">
          <cell r="D61">
            <v>24009</v>
          </cell>
          <cell r="F61">
            <v>-15634</v>
          </cell>
        </row>
        <row r="62">
          <cell r="D62">
            <v>15829</v>
          </cell>
          <cell r="F62">
            <v>-328</v>
          </cell>
        </row>
        <row r="63">
          <cell r="D63">
            <v>0</v>
          </cell>
        </row>
        <row r="64">
          <cell r="D64">
            <v>0</v>
          </cell>
        </row>
        <row r="65">
          <cell r="D65">
            <v>0</v>
          </cell>
          <cell r="F65">
            <v>24009</v>
          </cell>
        </row>
        <row r="66">
          <cell r="D66">
            <v>0</v>
          </cell>
        </row>
        <row r="67">
          <cell r="D67">
            <v>0</v>
          </cell>
        </row>
        <row r="68">
          <cell r="D68">
            <v>0</v>
          </cell>
        </row>
        <row r="69">
          <cell r="D69">
            <v>0</v>
          </cell>
        </row>
        <row r="70">
          <cell r="D70">
            <v>0</v>
          </cell>
        </row>
        <row r="71">
          <cell r="D71">
            <v>0</v>
          </cell>
        </row>
        <row r="75">
          <cell r="D75">
            <v>174209</v>
          </cell>
          <cell r="F75">
            <v>-31795</v>
          </cell>
        </row>
        <row r="76">
          <cell r="D76">
            <v>15140</v>
          </cell>
          <cell r="F76">
            <v>472</v>
          </cell>
        </row>
        <row r="77">
          <cell r="D77">
            <v>36666</v>
          </cell>
          <cell r="F77">
            <v>-6692</v>
          </cell>
        </row>
        <row r="78">
          <cell r="D78">
            <v>-3580</v>
          </cell>
          <cell r="F78">
            <v>653</v>
          </cell>
        </row>
        <row r="79">
          <cell r="D79">
            <v>14107</v>
          </cell>
          <cell r="F79">
            <v>-2575</v>
          </cell>
        </row>
        <row r="80">
          <cell r="D80">
            <v>9111</v>
          </cell>
          <cell r="F80">
            <v>-1663</v>
          </cell>
        </row>
        <row r="81">
          <cell r="D81">
            <v>29171</v>
          </cell>
          <cell r="F81">
            <v>-5324</v>
          </cell>
        </row>
        <row r="82">
          <cell r="D82">
            <v>0</v>
          </cell>
        </row>
        <row r="83">
          <cell r="D83">
            <v>16704</v>
          </cell>
          <cell r="F83">
            <v>-3049</v>
          </cell>
        </row>
        <row r="84">
          <cell r="D84">
            <v>223453</v>
          </cell>
          <cell r="F84">
            <v>-40782</v>
          </cell>
        </row>
        <row r="85">
          <cell r="D85">
            <v>22200</v>
          </cell>
          <cell r="F85">
            <v>70844</v>
          </cell>
        </row>
        <row r="89">
          <cell r="D89">
            <v>0</v>
          </cell>
        </row>
        <row r="90">
          <cell r="D90">
            <v>0</v>
          </cell>
        </row>
        <row r="91">
          <cell r="D91">
            <v>720715</v>
          </cell>
          <cell r="F91">
            <v>-293780</v>
          </cell>
        </row>
        <row r="92">
          <cell r="D92">
            <v>8707</v>
          </cell>
          <cell r="F92">
            <v>293780</v>
          </cell>
        </row>
        <row r="93">
          <cell r="D93">
            <v>4553</v>
          </cell>
        </row>
        <row r="94">
          <cell r="D94">
            <v>19</v>
          </cell>
          <cell r="F94">
            <v>262</v>
          </cell>
        </row>
        <row r="98">
          <cell r="D98">
            <v>0</v>
          </cell>
        </row>
        <row r="99">
          <cell r="D99">
            <v>0</v>
          </cell>
        </row>
        <row r="100">
          <cell r="D100">
            <v>282</v>
          </cell>
        </row>
        <row r="101">
          <cell r="D101">
            <v>144124</v>
          </cell>
        </row>
        <row r="102">
          <cell r="D102">
            <v>923</v>
          </cell>
        </row>
        <row r="103">
          <cell r="D103">
            <v>845</v>
          </cell>
        </row>
        <row r="115">
          <cell r="D115">
            <v>0</v>
          </cell>
        </row>
        <row r="116">
          <cell r="D116">
            <v>0</v>
          </cell>
        </row>
        <row r="117">
          <cell r="D117">
            <v>-219</v>
          </cell>
        </row>
        <row r="118">
          <cell r="D118">
            <v>216298</v>
          </cell>
        </row>
        <row r="119">
          <cell r="D119">
            <v>0</v>
          </cell>
          <cell r="F119">
            <v>40</v>
          </cell>
        </row>
        <row r="125">
          <cell r="D125">
            <v>524731</v>
          </cell>
        </row>
        <row r="128">
          <cell r="D128">
            <v>91756</v>
          </cell>
        </row>
        <row r="131">
          <cell r="D131">
            <v>47919</v>
          </cell>
          <cell r="F131">
            <v>11922</v>
          </cell>
        </row>
        <row r="134">
          <cell r="D134">
            <v>9127</v>
          </cell>
          <cell r="F134">
            <v>2085</v>
          </cell>
        </row>
        <row r="136">
          <cell r="D136">
            <v>414860</v>
          </cell>
          <cell r="F136">
            <v>17787</v>
          </cell>
        </row>
        <row r="137">
          <cell r="D137">
            <v>654222</v>
          </cell>
          <cell r="F137">
            <v>25961</v>
          </cell>
        </row>
        <row r="138">
          <cell r="D138">
            <v>1096063</v>
          </cell>
          <cell r="F138">
            <v>43275</v>
          </cell>
        </row>
        <row r="139">
          <cell r="D139">
            <v>87023</v>
          </cell>
          <cell r="F139">
            <v>-87023</v>
          </cell>
        </row>
        <row r="141">
          <cell r="D141">
            <v>242451</v>
          </cell>
          <cell r="F141">
            <v>-185466</v>
          </cell>
        </row>
        <row r="142">
          <cell r="F142">
            <v>88677</v>
          </cell>
        </row>
        <row r="143">
          <cell r="F143">
            <v>147959</v>
          </cell>
        </row>
        <row r="146">
          <cell r="D146">
            <v>60952</v>
          </cell>
        </row>
        <row r="147">
          <cell r="D147">
            <v>1550</v>
          </cell>
        </row>
        <row r="150">
          <cell r="D150">
            <v>24183</v>
          </cell>
        </row>
        <row r="151">
          <cell r="D151">
            <v>192797</v>
          </cell>
          <cell r="F151">
            <v>437</v>
          </cell>
        </row>
        <row r="152">
          <cell r="D152">
            <v>3800</v>
          </cell>
        </row>
        <row r="153">
          <cell r="D153">
            <v>19774</v>
          </cell>
        </row>
        <row r="154">
          <cell r="D154">
            <v>978939</v>
          </cell>
        </row>
        <row r="156">
          <cell r="D156">
            <v>0</v>
          </cell>
        </row>
        <row r="157">
          <cell r="D157">
            <v>0</v>
          </cell>
        </row>
        <row r="158">
          <cell r="D158">
            <v>0</v>
          </cell>
        </row>
        <row r="159">
          <cell r="D159">
            <v>0</v>
          </cell>
        </row>
        <row r="160">
          <cell r="D160">
            <v>0</v>
          </cell>
        </row>
        <row r="161">
          <cell r="D161">
            <v>197026</v>
          </cell>
          <cell r="F161">
            <v>143263</v>
          </cell>
        </row>
        <row r="175">
          <cell r="D175">
            <v>0</v>
          </cell>
        </row>
        <row r="176">
          <cell r="D176">
            <v>0</v>
          </cell>
        </row>
        <row r="177">
          <cell r="D177">
            <v>0</v>
          </cell>
        </row>
        <row r="178">
          <cell r="D178">
            <v>0</v>
          </cell>
        </row>
        <row r="179">
          <cell r="D179">
            <v>0</v>
          </cell>
        </row>
        <row r="180">
          <cell r="D180">
            <v>0</v>
          </cell>
        </row>
        <row r="181">
          <cell r="D181">
            <v>0</v>
          </cell>
        </row>
        <row r="182">
          <cell r="D182">
            <v>0</v>
          </cell>
        </row>
        <row r="183">
          <cell r="D183">
            <v>0</v>
          </cell>
        </row>
        <row r="184">
          <cell r="D184">
            <v>0</v>
          </cell>
        </row>
        <row r="185">
          <cell r="D185">
            <v>0</v>
          </cell>
        </row>
        <row r="186">
          <cell r="D186">
            <v>0</v>
          </cell>
        </row>
        <row r="187">
          <cell r="D187">
            <v>0</v>
          </cell>
        </row>
        <row r="188">
          <cell r="D188">
            <v>10479</v>
          </cell>
          <cell r="F188">
            <v>1</v>
          </cell>
        </row>
        <row r="189">
          <cell r="D189">
            <v>0</v>
          </cell>
        </row>
        <row r="190">
          <cell r="D190">
            <v>0</v>
          </cell>
        </row>
        <row r="191">
          <cell r="D191">
            <v>9883</v>
          </cell>
        </row>
        <row r="192">
          <cell r="D192">
            <v>64920</v>
          </cell>
        </row>
        <row r="193">
          <cell r="D193">
            <v>0</v>
          </cell>
        </row>
        <row r="194">
          <cell r="D194">
            <v>378690</v>
          </cell>
          <cell r="F194">
            <v>-36618</v>
          </cell>
        </row>
        <row r="195">
          <cell r="D195">
            <v>218635</v>
          </cell>
          <cell r="F195">
            <v>-14074</v>
          </cell>
        </row>
        <row r="196">
          <cell r="D196">
            <v>0</v>
          </cell>
        </row>
        <row r="197">
          <cell r="D197">
            <v>327183</v>
          </cell>
          <cell r="F197">
            <v>-12540</v>
          </cell>
        </row>
        <row r="198">
          <cell r="D198">
            <v>0</v>
          </cell>
        </row>
        <row r="199">
          <cell r="D199">
            <v>0</v>
          </cell>
        </row>
        <row r="200">
          <cell r="D200">
            <v>0</v>
          </cell>
        </row>
        <row r="201">
          <cell r="D201">
            <v>0</v>
          </cell>
        </row>
        <row r="202">
          <cell r="D202">
            <v>0</v>
          </cell>
        </row>
        <row r="203">
          <cell r="D203">
            <v>0</v>
          </cell>
        </row>
        <row r="204">
          <cell r="D204">
            <v>0</v>
          </cell>
        </row>
        <row r="205">
          <cell r="D205">
            <v>482855</v>
          </cell>
        </row>
        <row r="206">
          <cell r="D206">
            <v>0</v>
          </cell>
        </row>
        <row r="207">
          <cell r="D207">
            <v>18102</v>
          </cell>
        </row>
        <row r="211">
          <cell r="D211">
            <v>171306</v>
          </cell>
        </row>
        <row r="212">
          <cell r="D212">
            <v>16608</v>
          </cell>
          <cell r="F212">
            <v>3892</v>
          </cell>
        </row>
        <row r="213">
          <cell r="D213">
            <v>25259</v>
          </cell>
        </row>
        <row r="214">
          <cell r="D214">
            <v>0</v>
          </cell>
        </row>
        <row r="215">
          <cell r="D215">
            <v>0</v>
          </cell>
        </row>
        <row r="216">
          <cell r="D216">
            <v>20752</v>
          </cell>
          <cell r="F216">
            <v>34</v>
          </cell>
        </row>
        <row r="221">
          <cell r="D221">
            <v>11369122</v>
          </cell>
        </row>
      </sheetData>
      <sheetData sheetId="8" refreshError="1"/>
      <sheetData sheetId="9" refreshError="1"/>
      <sheetData sheetId="10" refreshError="1"/>
      <sheetData sheetId="11">
        <row r="9">
          <cell r="C9">
            <v>24034</v>
          </cell>
          <cell r="E9">
            <v>3607</v>
          </cell>
          <cell r="F9">
            <v>1020</v>
          </cell>
          <cell r="G9">
            <v>2602</v>
          </cell>
          <cell r="H9">
            <v>2390</v>
          </cell>
          <cell r="I9">
            <v>2604</v>
          </cell>
          <cell r="K9">
            <v>886</v>
          </cell>
        </row>
        <row r="22">
          <cell r="N22">
            <v>176</v>
          </cell>
        </row>
        <row r="24">
          <cell r="N24">
            <v>176</v>
          </cell>
        </row>
        <row r="28">
          <cell r="N28">
            <v>64240</v>
          </cell>
        </row>
        <row r="30">
          <cell r="N30">
            <v>0.57819115815691158</v>
          </cell>
        </row>
        <row r="32">
          <cell r="N32">
            <v>0.37412826899128271</v>
          </cell>
        </row>
        <row r="34">
          <cell r="N34">
            <v>0.64706674205099213</v>
          </cell>
        </row>
      </sheetData>
      <sheetData sheetId="12" refreshError="1"/>
      <sheetData sheetId="1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E10">
            <v>981347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8974291</v>
          </cell>
          <cell r="G21">
            <v>0</v>
          </cell>
        </row>
        <row r="27">
          <cell r="E27">
            <v>0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929088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186514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118640</v>
          </cell>
          <cell r="G67">
            <v>0</v>
          </cell>
        </row>
        <row r="85">
          <cell r="C85">
            <v>241.44444444444446</v>
          </cell>
          <cell r="E85">
            <v>332.67941507311588</v>
          </cell>
          <cell r="G85">
            <v>253.04887714663144</v>
          </cell>
          <cell r="I85">
            <v>256.48144220572641</v>
          </cell>
        </row>
      </sheetData>
      <sheetData sheetId="6" refreshError="1"/>
      <sheetData sheetId="7">
        <row r="10">
          <cell r="D10">
            <v>95753</v>
          </cell>
          <cell r="F10">
            <v>3533</v>
          </cell>
        </row>
        <row r="12">
          <cell r="D12">
            <v>436010</v>
          </cell>
          <cell r="F12">
            <v>16089</v>
          </cell>
        </row>
        <row r="13">
          <cell r="D13">
            <v>995353</v>
          </cell>
          <cell r="F13">
            <v>-907775</v>
          </cell>
        </row>
        <row r="16">
          <cell r="D16">
            <v>551953</v>
          </cell>
          <cell r="F16">
            <v>-9970</v>
          </cell>
        </row>
        <row r="17">
          <cell r="D17">
            <v>12649</v>
          </cell>
        </row>
        <row r="18">
          <cell r="D18">
            <v>17884</v>
          </cell>
        </row>
        <row r="19">
          <cell r="D19">
            <v>11085</v>
          </cell>
        </row>
        <row r="20">
          <cell r="D20">
            <v>61479</v>
          </cell>
        </row>
        <row r="21">
          <cell r="D21">
            <v>73486</v>
          </cell>
          <cell r="F21">
            <v>6400</v>
          </cell>
        </row>
        <row r="23">
          <cell r="D23">
            <v>29382</v>
          </cell>
        </row>
        <row r="26">
          <cell r="D26">
            <v>176101</v>
          </cell>
        </row>
        <row r="27">
          <cell r="D27">
            <v>226481</v>
          </cell>
          <cell r="F27">
            <v>-190</v>
          </cell>
        </row>
        <row r="28">
          <cell r="F28">
            <v>0</v>
          </cell>
        </row>
        <row r="29">
          <cell r="D29">
            <v>310695</v>
          </cell>
          <cell r="F29">
            <v>-310695</v>
          </cell>
        </row>
        <row r="30">
          <cell r="F30">
            <v>0</v>
          </cell>
        </row>
        <row r="31">
          <cell r="D31">
            <v>70383</v>
          </cell>
        </row>
        <row r="32">
          <cell r="D32">
            <v>48106</v>
          </cell>
        </row>
        <row r="33">
          <cell r="F33">
            <v>0</v>
          </cell>
        </row>
        <row r="35">
          <cell r="D35">
            <v>10138</v>
          </cell>
          <cell r="F35">
            <v>-10138</v>
          </cell>
        </row>
        <row r="36">
          <cell r="D36">
            <v>45190</v>
          </cell>
          <cell r="F36">
            <v>1667</v>
          </cell>
        </row>
        <row r="37">
          <cell r="F37">
            <v>7443</v>
          </cell>
        </row>
        <row r="39">
          <cell r="D39">
            <v>14076</v>
          </cell>
        </row>
        <row r="41">
          <cell r="D41">
            <v>84425</v>
          </cell>
        </row>
        <row r="42">
          <cell r="D42">
            <v>11986</v>
          </cell>
        </row>
        <row r="43">
          <cell r="D43">
            <v>15158</v>
          </cell>
        </row>
        <row r="45">
          <cell r="D45">
            <v>16546</v>
          </cell>
          <cell r="F45">
            <v>-107727</v>
          </cell>
        </row>
        <row r="57">
          <cell r="D57">
            <v>1147920</v>
          </cell>
          <cell r="F57">
            <v>-1147920</v>
          </cell>
        </row>
        <row r="58">
          <cell r="D58">
            <v>15924</v>
          </cell>
          <cell r="F58">
            <v>313668</v>
          </cell>
        </row>
        <row r="59">
          <cell r="D59">
            <v>60497</v>
          </cell>
          <cell r="F59">
            <v>410700</v>
          </cell>
        </row>
        <row r="60">
          <cell r="D60">
            <v>59532</v>
          </cell>
        </row>
        <row r="61">
          <cell r="D61">
            <v>17707</v>
          </cell>
          <cell r="F61">
            <v>24224</v>
          </cell>
        </row>
        <row r="62">
          <cell r="D62">
            <v>18225</v>
          </cell>
        </row>
        <row r="65">
          <cell r="D65">
            <v>16980</v>
          </cell>
        </row>
        <row r="67">
          <cell r="D67">
            <v>56805</v>
          </cell>
          <cell r="F67">
            <v>42533</v>
          </cell>
        </row>
        <row r="70">
          <cell r="F70">
            <v>-10361</v>
          </cell>
        </row>
        <row r="75">
          <cell r="D75">
            <v>94109</v>
          </cell>
          <cell r="F75">
            <v>3473</v>
          </cell>
        </row>
        <row r="76">
          <cell r="F76">
            <v>15500</v>
          </cell>
        </row>
        <row r="77">
          <cell r="D77">
            <v>2243</v>
          </cell>
        </row>
        <row r="78">
          <cell r="D78">
            <v>53197</v>
          </cell>
        </row>
        <row r="79">
          <cell r="D79">
            <v>4776</v>
          </cell>
        </row>
        <row r="80">
          <cell r="D80">
            <v>21739</v>
          </cell>
        </row>
        <row r="81">
          <cell r="D81">
            <v>22831</v>
          </cell>
        </row>
        <row r="83">
          <cell r="D83">
            <v>7510</v>
          </cell>
        </row>
        <row r="84">
          <cell r="D84">
            <v>107738</v>
          </cell>
        </row>
        <row r="85">
          <cell r="D85">
            <v>797</v>
          </cell>
        </row>
        <row r="89">
          <cell r="D89">
            <v>287511</v>
          </cell>
          <cell r="F89">
            <v>10609</v>
          </cell>
        </row>
        <row r="90">
          <cell r="F90">
            <v>47353</v>
          </cell>
        </row>
        <row r="91">
          <cell r="D91">
            <v>14299</v>
          </cell>
        </row>
        <row r="92">
          <cell r="D92">
            <v>192652</v>
          </cell>
        </row>
        <row r="93">
          <cell r="D93">
            <v>17812</v>
          </cell>
        </row>
        <row r="94">
          <cell r="D94">
            <v>3935</v>
          </cell>
        </row>
        <row r="100">
          <cell r="D100">
            <v>523</v>
          </cell>
        </row>
        <row r="101">
          <cell r="D101">
            <v>85566</v>
          </cell>
        </row>
        <row r="117">
          <cell r="D117">
            <v>1437</v>
          </cell>
        </row>
        <row r="118">
          <cell r="D118">
            <v>131440</v>
          </cell>
        </row>
        <row r="125">
          <cell r="D125">
            <v>269304</v>
          </cell>
          <cell r="F125">
            <v>9937</v>
          </cell>
        </row>
        <row r="128">
          <cell r="D128">
            <v>133739</v>
          </cell>
          <cell r="F128">
            <v>4935</v>
          </cell>
        </row>
        <row r="131">
          <cell r="F131">
            <v>44354</v>
          </cell>
        </row>
        <row r="134">
          <cell r="F134">
            <v>22027</v>
          </cell>
        </row>
        <row r="136">
          <cell r="D136">
            <v>861339</v>
          </cell>
          <cell r="F136">
            <v>31783</v>
          </cell>
        </row>
        <row r="137">
          <cell r="D137">
            <v>283228</v>
          </cell>
          <cell r="F137">
            <v>10451</v>
          </cell>
        </row>
        <row r="138">
          <cell r="D138">
            <v>763456</v>
          </cell>
          <cell r="F138">
            <v>28171</v>
          </cell>
        </row>
        <row r="141">
          <cell r="F141">
            <v>141861</v>
          </cell>
        </row>
        <row r="142">
          <cell r="F142">
            <v>46647</v>
          </cell>
        </row>
        <row r="143">
          <cell r="F143">
            <v>125740</v>
          </cell>
        </row>
        <row r="146">
          <cell r="D146">
            <v>80300</v>
          </cell>
        </row>
        <row r="150">
          <cell r="D150">
            <v>28644</v>
          </cell>
        </row>
        <row r="151">
          <cell r="D151">
            <v>109734</v>
          </cell>
        </row>
        <row r="152">
          <cell r="D152">
            <v>6441</v>
          </cell>
          <cell r="F152">
            <v>-362</v>
          </cell>
        </row>
        <row r="177">
          <cell r="D177">
            <v>812113</v>
          </cell>
          <cell r="F177">
            <v>29967</v>
          </cell>
        </row>
        <row r="178">
          <cell r="F178">
            <v>133754</v>
          </cell>
        </row>
        <row r="179">
          <cell r="D179">
            <v>134316</v>
          </cell>
          <cell r="F179">
            <v>4956</v>
          </cell>
        </row>
        <row r="180">
          <cell r="F180">
            <v>22122</v>
          </cell>
        </row>
        <row r="183">
          <cell r="D183">
            <v>601489</v>
          </cell>
          <cell r="F183">
            <v>22195</v>
          </cell>
        </row>
        <row r="184">
          <cell r="F184">
            <v>99064</v>
          </cell>
        </row>
        <row r="198">
          <cell r="D198">
            <v>105473</v>
          </cell>
        </row>
        <row r="205">
          <cell r="D205">
            <v>487678</v>
          </cell>
        </row>
        <row r="206">
          <cell r="D206">
            <v>15201</v>
          </cell>
        </row>
        <row r="207">
          <cell r="D207">
            <v>12029</v>
          </cell>
        </row>
        <row r="211">
          <cell r="D211">
            <v>119763</v>
          </cell>
          <cell r="F211">
            <v>4419</v>
          </cell>
        </row>
        <row r="212">
          <cell r="F212">
            <v>19725</v>
          </cell>
        </row>
        <row r="213">
          <cell r="D213">
            <v>15269</v>
          </cell>
        </row>
        <row r="216">
          <cell r="D216">
            <v>21210</v>
          </cell>
        </row>
        <row r="221">
          <cell r="D221">
            <v>10618750</v>
          </cell>
        </row>
      </sheetData>
      <sheetData sheetId="8" refreshError="1"/>
      <sheetData sheetId="9" refreshError="1"/>
      <sheetData sheetId="10">
        <row r="9">
          <cell r="C9">
            <v>5562</v>
          </cell>
          <cell r="E9">
            <v>17387</v>
          </cell>
          <cell r="H9">
            <v>3417</v>
          </cell>
          <cell r="J9">
            <v>1115</v>
          </cell>
        </row>
        <row r="22">
          <cell r="N22">
            <v>108</v>
          </cell>
        </row>
        <row r="24">
          <cell r="N24">
            <v>108</v>
          </cell>
        </row>
        <row r="28">
          <cell r="N28">
            <v>39420</v>
          </cell>
        </row>
        <row r="30">
          <cell r="N30">
            <v>0.69713343480466772</v>
          </cell>
        </row>
        <row r="32">
          <cell r="N32">
            <v>0.14109589041095891</v>
          </cell>
        </row>
        <row r="34">
          <cell r="N34">
            <v>0.20239438157272296</v>
          </cell>
        </row>
      </sheetData>
      <sheetData sheetId="1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E10">
            <v>2128586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1292141</v>
          </cell>
          <cell r="G21">
            <v>0</v>
          </cell>
        </row>
        <row r="27">
          <cell r="E27">
            <v>42388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464106</v>
          </cell>
          <cell r="G37">
            <v>0</v>
          </cell>
        </row>
        <row r="42">
          <cell r="E42">
            <v>283797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282506</v>
          </cell>
          <cell r="G52">
            <v>0</v>
          </cell>
        </row>
        <row r="67">
          <cell r="E67">
            <v>192632</v>
          </cell>
          <cell r="G67">
            <v>-12669.1</v>
          </cell>
        </row>
        <row r="85">
          <cell r="C85">
            <v>182.34848484848484</v>
          </cell>
          <cell r="E85">
            <v>170.80099502487562</v>
          </cell>
          <cell r="G85">
            <v>183.13718411552347</v>
          </cell>
          <cell r="I85">
            <v>184.04792332268372</v>
          </cell>
        </row>
      </sheetData>
      <sheetData sheetId="6" refreshError="1"/>
      <sheetData sheetId="7">
        <row r="10">
          <cell r="D10">
            <v>90150</v>
          </cell>
          <cell r="F10">
            <v>12636.44</v>
          </cell>
        </row>
        <row r="12">
          <cell r="D12">
            <v>60753</v>
          </cell>
          <cell r="F12">
            <v>4302.9399999999996</v>
          </cell>
        </row>
        <row r="13">
          <cell r="D13">
            <v>361509</v>
          </cell>
          <cell r="F13">
            <v>-322289</v>
          </cell>
        </row>
        <row r="16">
          <cell r="D16">
            <v>295480</v>
          </cell>
          <cell r="F16">
            <v>20094</v>
          </cell>
        </row>
        <row r="18">
          <cell r="D18">
            <v>10832</v>
          </cell>
        </row>
        <row r="19">
          <cell r="D19">
            <v>13900</v>
          </cell>
        </row>
        <row r="20">
          <cell r="D20">
            <v>7367</v>
          </cell>
        </row>
        <row r="21">
          <cell r="D21">
            <v>18039</v>
          </cell>
        </row>
        <row r="23">
          <cell r="D23">
            <v>5029</v>
          </cell>
        </row>
        <row r="26">
          <cell r="D26">
            <v>272839</v>
          </cell>
        </row>
        <row r="28">
          <cell r="F28">
            <v>0</v>
          </cell>
        </row>
        <row r="29">
          <cell r="D29">
            <v>293901</v>
          </cell>
          <cell r="F29">
            <v>-293901</v>
          </cell>
        </row>
        <row r="30">
          <cell r="F30">
            <v>0</v>
          </cell>
        </row>
        <row r="31">
          <cell r="D31">
            <v>36509</v>
          </cell>
        </row>
        <row r="32">
          <cell r="D32">
            <v>25505</v>
          </cell>
        </row>
        <row r="33">
          <cell r="D33">
            <v>1495</v>
          </cell>
          <cell r="F33">
            <v>-1495</v>
          </cell>
        </row>
        <row r="35">
          <cell r="F35">
            <v>0</v>
          </cell>
        </row>
        <row r="36">
          <cell r="D36">
            <v>24623</v>
          </cell>
          <cell r="F36">
            <v>1286.5</v>
          </cell>
        </row>
        <row r="37">
          <cell r="F37">
            <v>3876.33</v>
          </cell>
        </row>
        <row r="39">
          <cell r="D39">
            <v>581</v>
          </cell>
        </row>
        <row r="40">
          <cell r="D40">
            <v>2873</v>
          </cell>
          <cell r="F40">
            <v>-2873</v>
          </cell>
        </row>
        <row r="41">
          <cell r="D41">
            <v>0</v>
          </cell>
        </row>
        <row r="42">
          <cell r="D42">
            <v>660</v>
          </cell>
        </row>
        <row r="43">
          <cell r="D43">
            <v>6134</v>
          </cell>
        </row>
        <row r="45">
          <cell r="D45">
            <v>73554</v>
          </cell>
          <cell r="F45">
            <v>-8266</v>
          </cell>
        </row>
        <row r="57">
          <cell r="D57">
            <v>254390</v>
          </cell>
          <cell r="F57">
            <v>-71440</v>
          </cell>
        </row>
        <row r="61">
          <cell r="D61">
            <v>6012</v>
          </cell>
        </row>
        <row r="65">
          <cell r="D65">
            <v>8978</v>
          </cell>
        </row>
        <row r="67">
          <cell r="D67">
            <v>239039</v>
          </cell>
        </row>
        <row r="75">
          <cell r="D75">
            <v>31780</v>
          </cell>
          <cell r="F75">
            <v>1577.76</v>
          </cell>
        </row>
        <row r="76">
          <cell r="F76">
            <v>5003.04</v>
          </cell>
        </row>
        <row r="77">
          <cell r="D77">
            <v>38259</v>
          </cell>
        </row>
        <row r="79">
          <cell r="D79">
            <v>310</v>
          </cell>
        </row>
        <row r="80">
          <cell r="D80">
            <v>25122</v>
          </cell>
        </row>
        <row r="81">
          <cell r="D81">
            <v>8864</v>
          </cell>
        </row>
        <row r="84">
          <cell r="D84">
            <v>64250</v>
          </cell>
        </row>
        <row r="89">
          <cell r="D89">
            <v>147734</v>
          </cell>
          <cell r="F89">
            <v>9437.86</v>
          </cell>
        </row>
        <row r="90">
          <cell r="F90">
            <v>23257.37</v>
          </cell>
        </row>
        <row r="92">
          <cell r="D92">
            <v>157544</v>
          </cell>
          <cell r="F92">
            <v>-4409</v>
          </cell>
        </row>
        <row r="93">
          <cell r="D93">
            <v>17637</v>
          </cell>
        </row>
        <row r="94">
          <cell r="D94">
            <v>4418</v>
          </cell>
        </row>
        <row r="101">
          <cell r="D101">
            <v>35852</v>
          </cell>
        </row>
        <row r="102">
          <cell r="D102">
            <v>2516</v>
          </cell>
        </row>
        <row r="117">
          <cell r="D117">
            <v>21387</v>
          </cell>
        </row>
        <row r="118">
          <cell r="D118">
            <v>75540</v>
          </cell>
        </row>
        <row r="124">
          <cell r="D124">
            <v>39400</v>
          </cell>
        </row>
        <row r="125">
          <cell r="D125">
            <v>207850</v>
          </cell>
          <cell r="F125">
            <v>13403.9</v>
          </cell>
        </row>
        <row r="128">
          <cell r="D128">
            <v>35236</v>
          </cell>
          <cell r="F128">
            <v>1596.17</v>
          </cell>
        </row>
        <row r="131">
          <cell r="F131">
            <v>32721.269999999997</v>
          </cell>
        </row>
        <row r="134">
          <cell r="F134">
            <v>5547.11</v>
          </cell>
        </row>
        <row r="136">
          <cell r="D136">
            <v>344724</v>
          </cell>
          <cell r="F136">
            <v>15445.52</v>
          </cell>
        </row>
        <row r="137">
          <cell r="D137">
            <v>85677</v>
          </cell>
          <cell r="F137">
            <v>6971.19</v>
          </cell>
        </row>
        <row r="138">
          <cell r="D138">
            <v>486365</v>
          </cell>
          <cell r="F138">
            <v>30919.82</v>
          </cell>
        </row>
        <row r="139">
          <cell r="D139">
            <v>0</v>
          </cell>
        </row>
        <row r="141">
          <cell r="F141">
            <v>54268.98</v>
          </cell>
        </row>
        <row r="142">
          <cell r="F142">
            <v>13487.9</v>
          </cell>
        </row>
        <row r="143">
          <cell r="F143">
            <v>76567.14</v>
          </cell>
        </row>
        <row r="147">
          <cell r="F147">
            <v>43289</v>
          </cell>
        </row>
        <row r="148">
          <cell r="F148">
            <v>34630</v>
          </cell>
        </row>
        <row r="149">
          <cell r="D149">
            <v>140256</v>
          </cell>
          <cell r="F149">
            <v>-77919</v>
          </cell>
        </row>
        <row r="150">
          <cell r="D150">
            <v>1970</v>
          </cell>
        </row>
        <row r="151">
          <cell r="D151">
            <v>134346</v>
          </cell>
        </row>
        <row r="152">
          <cell r="D152">
            <v>2703</v>
          </cell>
        </row>
        <row r="153">
          <cell r="D153">
            <v>5438</v>
          </cell>
        </row>
        <row r="161">
          <cell r="D161">
            <v>2560</v>
          </cell>
        </row>
        <row r="188">
          <cell r="D188">
            <v>165</v>
          </cell>
        </row>
        <row r="194">
          <cell r="D194">
            <v>214767</v>
          </cell>
        </row>
        <row r="195">
          <cell r="D195">
            <v>36552</v>
          </cell>
        </row>
        <row r="197">
          <cell r="D197">
            <v>131717</v>
          </cell>
        </row>
        <row r="198">
          <cell r="D198">
            <v>22427</v>
          </cell>
        </row>
        <row r="205">
          <cell r="D205">
            <v>197309</v>
          </cell>
        </row>
        <row r="211">
          <cell r="D211">
            <v>119983</v>
          </cell>
          <cell r="F211">
            <v>-54102.42</v>
          </cell>
        </row>
        <row r="212">
          <cell r="F212">
            <v>9720</v>
          </cell>
        </row>
        <row r="213">
          <cell r="D213">
            <v>9411</v>
          </cell>
        </row>
        <row r="216">
          <cell r="D216">
            <v>9802</v>
          </cell>
          <cell r="F216">
            <v>-7484</v>
          </cell>
        </row>
        <row r="221">
          <cell r="D221">
            <v>4970023</v>
          </cell>
        </row>
      </sheetData>
      <sheetData sheetId="8" refreshError="1"/>
      <sheetData sheetId="9" refreshError="1"/>
      <sheetData sheetId="10">
        <row r="9">
          <cell r="C9">
            <v>13611</v>
          </cell>
          <cell r="E9">
            <v>2717</v>
          </cell>
          <cell r="F9">
            <v>1048</v>
          </cell>
          <cell r="H9">
            <v>2571</v>
          </cell>
          <cell r="I9">
            <v>1627</v>
          </cell>
        </row>
        <row r="22">
          <cell r="N22">
            <v>121</v>
          </cell>
        </row>
        <row r="24">
          <cell r="N24">
            <v>121</v>
          </cell>
        </row>
        <row r="28">
          <cell r="N28">
            <v>44165</v>
          </cell>
        </row>
        <row r="30">
          <cell r="N30">
            <v>0.48848635797577267</v>
          </cell>
        </row>
        <row r="32">
          <cell r="N32">
            <v>0.30818521453639758</v>
          </cell>
        </row>
        <row r="34">
          <cell r="N34">
            <v>0.63089830351348841</v>
          </cell>
        </row>
      </sheetData>
      <sheetData sheetId="1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heet1"/>
      <sheetName val="Sch A Pg 3"/>
      <sheetName val="Sch B"/>
      <sheetName val="Sch C Misc Items Detail"/>
      <sheetName val="Sch B-1"/>
      <sheetName val="Sch C"/>
      <sheetName val="Sch C-1"/>
      <sheetName val="Sch C-1 (2)"/>
      <sheetName val="Sch C-2"/>
      <sheetName val="Sch D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0">
          <cell r="E10">
            <v>2914532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1618433</v>
          </cell>
          <cell r="G21">
            <v>0</v>
          </cell>
        </row>
        <row r="27">
          <cell r="E27">
            <v>1173391</v>
          </cell>
          <cell r="G27">
            <v>0</v>
          </cell>
        </row>
        <row r="32">
          <cell r="E32">
            <v>413115</v>
          </cell>
          <cell r="G32">
            <v>0</v>
          </cell>
        </row>
        <row r="37">
          <cell r="E37">
            <v>622474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734008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4590</v>
          </cell>
          <cell r="G67">
            <v>0</v>
          </cell>
        </row>
        <row r="85">
          <cell r="C85">
            <v>190.00246609124537</v>
          </cell>
          <cell r="E85">
            <v>189.09784735812133</v>
          </cell>
          <cell r="G85">
            <v>187.5068870523416</v>
          </cell>
          <cell r="I85">
            <v>193.58495821727018</v>
          </cell>
        </row>
      </sheetData>
      <sheetData sheetId="7" refreshError="1"/>
      <sheetData sheetId="8" refreshError="1"/>
      <sheetData sheetId="9">
        <row r="10">
          <cell r="D10">
            <v>196828</v>
          </cell>
          <cell r="F10">
            <v>12962</v>
          </cell>
        </row>
        <row r="11">
          <cell r="D11">
            <v>0</v>
          </cell>
        </row>
        <row r="12">
          <cell r="D12">
            <v>279972</v>
          </cell>
          <cell r="F12">
            <v>-71119</v>
          </cell>
        </row>
        <row r="13">
          <cell r="D13">
            <v>749234</v>
          </cell>
          <cell r="F13">
            <v>-690671.59</v>
          </cell>
        </row>
        <row r="14">
          <cell r="D14">
            <v>0</v>
          </cell>
        </row>
        <row r="15">
          <cell r="D15">
            <v>0</v>
          </cell>
        </row>
        <row r="16">
          <cell r="D16">
            <v>373954</v>
          </cell>
          <cell r="F16">
            <v>163423.74939533044</v>
          </cell>
        </row>
        <row r="17">
          <cell r="D17">
            <v>0</v>
          </cell>
        </row>
        <row r="18">
          <cell r="D18">
            <v>18600</v>
          </cell>
        </row>
        <row r="19">
          <cell r="D19">
            <v>18196</v>
          </cell>
          <cell r="F19">
            <v>-1740.27</v>
          </cell>
        </row>
        <row r="20">
          <cell r="D20">
            <v>25078</v>
          </cell>
        </row>
        <row r="21">
          <cell r="D21">
            <v>7754</v>
          </cell>
        </row>
        <row r="22">
          <cell r="D22">
            <v>0</v>
          </cell>
        </row>
        <row r="23">
          <cell r="D23">
            <v>8169</v>
          </cell>
        </row>
        <row r="24">
          <cell r="D24">
            <v>52938</v>
          </cell>
          <cell r="F24">
            <v>-12600</v>
          </cell>
        </row>
        <row r="25">
          <cell r="D25">
            <v>0</v>
          </cell>
        </row>
        <row r="26">
          <cell r="D26">
            <v>374568</v>
          </cell>
        </row>
        <row r="27">
          <cell r="D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45142</v>
          </cell>
          <cell r="F29">
            <v>-45142</v>
          </cell>
        </row>
        <row r="30">
          <cell r="D30">
            <v>0</v>
          </cell>
          <cell r="F30">
            <v>0</v>
          </cell>
        </row>
        <row r="31">
          <cell r="D31">
            <v>102367</v>
          </cell>
        </row>
        <row r="32">
          <cell r="D32">
            <v>78435</v>
          </cell>
          <cell r="F32">
            <v>-23530.3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</row>
        <row r="35">
          <cell r="D35">
            <v>100</v>
          </cell>
          <cell r="F35">
            <v>-100</v>
          </cell>
        </row>
        <row r="36">
          <cell r="D36">
            <v>0</v>
          </cell>
        </row>
        <row r="37">
          <cell r="D37">
            <v>0</v>
          </cell>
        </row>
        <row r="38">
          <cell r="D38">
            <v>300</v>
          </cell>
          <cell r="F38">
            <v>-300</v>
          </cell>
        </row>
        <row r="39">
          <cell r="D39">
            <v>5668</v>
          </cell>
        </row>
        <row r="40">
          <cell r="D40">
            <v>16340</v>
          </cell>
        </row>
        <row r="41">
          <cell r="D41">
            <v>15314</v>
          </cell>
        </row>
        <row r="42">
          <cell r="D42">
            <v>5208</v>
          </cell>
        </row>
        <row r="43">
          <cell r="D43">
            <v>7398</v>
          </cell>
        </row>
        <row r="44">
          <cell r="D44">
            <v>0</v>
          </cell>
        </row>
        <row r="45">
          <cell r="D45">
            <v>14530</v>
          </cell>
          <cell r="F45">
            <v>-4623</v>
          </cell>
        </row>
        <row r="57">
          <cell r="D57">
            <v>694501</v>
          </cell>
        </row>
        <row r="58">
          <cell r="D58">
            <v>2113</v>
          </cell>
        </row>
        <row r="59">
          <cell r="D59">
            <v>0</v>
          </cell>
        </row>
        <row r="60">
          <cell r="D60">
            <v>32986</v>
          </cell>
        </row>
        <row r="61">
          <cell r="D61">
            <v>7784</v>
          </cell>
        </row>
        <row r="62">
          <cell r="D62">
            <v>8091</v>
          </cell>
        </row>
        <row r="63">
          <cell r="D63">
            <v>0</v>
          </cell>
        </row>
        <row r="64">
          <cell r="D64">
            <v>0</v>
          </cell>
        </row>
        <row r="65">
          <cell r="D65">
            <v>7499</v>
          </cell>
        </row>
        <row r="66">
          <cell r="D66">
            <v>4088</v>
          </cell>
        </row>
        <row r="67">
          <cell r="D67">
            <v>48533</v>
          </cell>
        </row>
        <row r="68">
          <cell r="D68">
            <v>0</v>
          </cell>
        </row>
        <row r="69">
          <cell r="D69">
            <v>5929</v>
          </cell>
        </row>
        <row r="70">
          <cell r="D70">
            <v>0</v>
          </cell>
        </row>
        <row r="71">
          <cell r="D71">
            <v>0</v>
          </cell>
        </row>
        <row r="75">
          <cell r="D75">
            <v>59393</v>
          </cell>
          <cell r="F75">
            <v>3911</v>
          </cell>
        </row>
        <row r="76">
          <cell r="D76">
            <v>0</v>
          </cell>
          <cell r="F76">
            <v>8995</v>
          </cell>
        </row>
        <row r="77">
          <cell r="D77">
            <v>17053</v>
          </cell>
        </row>
        <row r="78">
          <cell r="D78">
            <v>0</v>
          </cell>
        </row>
        <row r="79">
          <cell r="D79">
            <v>11504</v>
          </cell>
        </row>
        <row r="80">
          <cell r="D80">
            <v>18376</v>
          </cell>
        </row>
        <row r="81">
          <cell r="D81">
            <v>6797</v>
          </cell>
        </row>
        <row r="82">
          <cell r="D82">
            <v>1005</v>
          </cell>
        </row>
        <row r="83">
          <cell r="D83">
            <v>0</v>
          </cell>
        </row>
        <row r="84">
          <cell r="D84">
            <v>85074</v>
          </cell>
        </row>
        <row r="85">
          <cell r="D85">
            <v>0</v>
          </cell>
        </row>
        <row r="89">
          <cell r="D89">
            <v>197113</v>
          </cell>
          <cell r="F89">
            <v>12981</v>
          </cell>
        </row>
        <row r="90">
          <cell r="D90">
            <v>0</v>
          </cell>
          <cell r="F90">
            <v>29850</v>
          </cell>
        </row>
        <row r="91">
          <cell r="D91">
            <v>7938</v>
          </cell>
        </row>
        <row r="92">
          <cell r="D92">
            <v>191680</v>
          </cell>
        </row>
        <row r="93">
          <cell r="D93">
            <v>11342</v>
          </cell>
        </row>
        <row r="94">
          <cell r="D94">
            <v>0</v>
          </cell>
        </row>
        <row r="98">
          <cell r="D98">
            <v>21327</v>
          </cell>
          <cell r="F98">
            <v>1405</v>
          </cell>
        </row>
        <row r="99">
          <cell r="D99">
            <v>0</v>
          </cell>
          <cell r="F99">
            <v>3230</v>
          </cell>
        </row>
        <row r="100">
          <cell r="D100">
            <v>1679</v>
          </cell>
        </row>
        <row r="101">
          <cell r="D101">
            <v>0</v>
          </cell>
        </row>
        <row r="102">
          <cell r="D102">
            <v>2205</v>
          </cell>
        </row>
        <row r="103">
          <cell r="D103">
            <v>1552</v>
          </cell>
        </row>
        <row r="115">
          <cell r="D115">
            <v>92340</v>
          </cell>
          <cell r="F115">
            <v>6081</v>
          </cell>
        </row>
        <row r="116">
          <cell r="D116">
            <v>0</v>
          </cell>
          <cell r="F116">
            <v>13984</v>
          </cell>
        </row>
        <row r="117">
          <cell r="D117">
            <v>25788</v>
          </cell>
        </row>
        <row r="118">
          <cell r="D118">
            <v>1456</v>
          </cell>
        </row>
        <row r="119">
          <cell r="D119">
            <v>28</v>
          </cell>
        </row>
        <row r="124">
          <cell r="D124">
            <v>0</v>
          </cell>
        </row>
        <row r="125">
          <cell r="D125">
            <v>181800</v>
          </cell>
          <cell r="F125">
            <v>11973</v>
          </cell>
        </row>
        <row r="126">
          <cell r="D126">
            <v>63920</v>
          </cell>
          <cell r="F126">
            <v>4210</v>
          </cell>
        </row>
        <row r="127">
          <cell r="D127">
            <v>0</v>
          </cell>
        </row>
        <row r="128">
          <cell r="D128">
            <v>83508</v>
          </cell>
          <cell r="F128">
            <v>5500</v>
          </cell>
        </row>
        <row r="130">
          <cell r="D130">
            <v>0</v>
          </cell>
        </row>
        <row r="131">
          <cell r="D131">
            <v>0</v>
          </cell>
          <cell r="F131">
            <v>27531</v>
          </cell>
        </row>
        <row r="132">
          <cell r="D132">
            <v>0</v>
          </cell>
          <cell r="F132">
            <v>9680</v>
          </cell>
        </row>
        <row r="133">
          <cell r="D133">
            <v>0</v>
          </cell>
          <cell r="F133">
            <v>0</v>
          </cell>
        </row>
        <row r="134">
          <cell r="D134">
            <v>0</v>
          </cell>
          <cell r="F134">
            <v>12647</v>
          </cell>
        </row>
        <row r="136">
          <cell r="D136">
            <v>733812</v>
          </cell>
          <cell r="F136">
            <v>48327</v>
          </cell>
        </row>
        <row r="137">
          <cell r="D137">
            <v>111845</v>
          </cell>
          <cell r="F137">
            <v>7366</v>
          </cell>
        </row>
        <row r="138">
          <cell r="D138">
            <v>712739</v>
          </cell>
          <cell r="F138">
            <v>46939</v>
          </cell>
        </row>
        <row r="139">
          <cell r="D139">
            <v>99364</v>
          </cell>
          <cell r="F139">
            <v>6544</v>
          </cell>
        </row>
        <row r="141">
          <cell r="D141">
            <v>0</v>
          </cell>
          <cell r="F141">
            <v>111126</v>
          </cell>
        </row>
        <row r="142">
          <cell r="D142">
            <v>0</v>
          </cell>
          <cell r="F142">
            <v>16937</v>
          </cell>
        </row>
        <row r="143">
          <cell r="D143">
            <v>0</v>
          </cell>
          <cell r="F143">
            <v>107935</v>
          </cell>
        </row>
        <row r="144">
          <cell r="D144">
            <v>0</v>
          </cell>
          <cell r="F144">
            <v>15047</v>
          </cell>
        </row>
        <row r="146">
          <cell r="D146">
            <v>46983</v>
          </cell>
        </row>
        <row r="147">
          <cell r="D147">
            <v>0</v>
          </cell>
        </row>
        <row r="148">
          <cell r="D148">
            <v>0</v>
          </cell>
        </row>
        <row r="149">
          <cell r="D149">
            <v>0</v>
          </cell>
        </row>
        <row r="150">
          <cell r="D150">
            <v>22452</v>
          </cell>
        </row>
        <row r="151">
          <cell r="D151">
            <v>96238</v>
          </cell>
        </row>
        <row r="152">
          <cell r="D152">
            <v>4912</v>
          </cell>
        </row>
        <row r="153">
          <cell r="D153">
            <v>0</v>
          </cell>
        </row>
        <row r="154">
          <cell r="D154">
            <v>0</v>
          </cell>
        </row>
        <row r="156">
          <cell r="D156">
            <v>0</v>
          </cell>
        </row>
        <row r="157">
          <cell r="D157">
            <v>0</v>
          </cell>
        </row>
        <row r="158">
          <cell r="D158">
            <v>0</v>
          </cell>
        </row>
        <row r="159">
          <cell r="D159">
            <v>0</v>
          </cell>
        </row>
        <row r="161">
          <cell r="D161">
            <v>1068</v>
          </cell>
        </row>
        <row r="175">
          <cell r="D175">
            <v>0</v>
          </cell>
        </row>
        <row r="176">
          <cell r="D176">
            <v>0</v>
          </cell>
        </row>
        <row r="177">
          <cell r="D177">
            <v>278927</v>
          </cell>
          <cell r="F177">
            <v>18369</v>
          </cell>
        </row>
        <row r="178">
          <cell r="D178">
            <v>0</v>
          </cell>
          <cell r="F178">
            <v>42240</v>
          </cell>
        </row>
        <row r="179">
          <cell r="D179">
            <v>59824</v>
          </cell>
          <cell r="F179">
            <v>3940</v>
          </cell>
        </row>
        <row r="180">
          <cell r="D180">
            <v>0</v>
          </cell>
          <cell r="F180">
            <v>9060</v>
          </cell>
        </row>
        <row r="181">
          <cell r="D181">
            <v>0</v>
          </cell>
        </row>
        <row r="182">
          <cell r="D182">
            <v>0</v>
          </cell>
        </row>
        <row r="183">
          <cell r="D183">
            <v>168712</v>
          </cell>
          <cell r="F183">
            <v>11111</v>
          </cell>
        </row>
        <row r="184">
          <cell r="D184">
            <v>0</v>
          </cell>
          <cell r="F184">
            <v>25550</v>
          </cell>
        </row>
        <row r="185">
          <cell r="D185">
            <v>0</v>
          </cell>
        </row>
        <row r="186">
          <cell r="D186">
            <v>0</v>
          </cell>
        </row>
        <row r="187">
          <cell r="D187">
            <v>0</v>
          </cell>
        </row>
        <row r="188">
          <cell r="D188">
            <v>609</v>
          </cell>
        </row>
        <row r="189">
          <cell r="D189">
            <v>0</v>
          </cell>
        </row>
        <row r="190">
          <cell r="D190">
            <v>0</v>
          </cell>
        </row>
        <row r="191">
          <cell r="D191">
            <v>0</v>
          </cell>
        </row>
        <row r="192">
          <cell r="D192">
            <v>0</v>
          </cell>
        </row>
        <row r="193">
          <cell r="D193">
            <v>0</v>
          </cell>
        </row>
        <row r="194">
          <cell r="D194">
            <v>0</v>
          </cell>
        </row>
        <row r="195">
          <cell r="D195">
            <v>120</v>
          </cell>
        </row>
        <row r="196">
          <cell r="D196">
            <v>0</v>
          </cell>
        </row>
        <row r="197">
          <cell r="D197">
            <v>0</v>
          </cell>
        </row>
        <row r="198">
          <cell r="D198">
            <v>29273</v>
          </cell>
        </row>
        <row r="199">
          <cell r="D199">
            <v>0</v>
          </cell>
        </row>
        <row r="200">
          <cell r="D200">
            <v>0</v>
          </cell>
        </row>
        <row r="201">
          <cell r="D201">
            <v>0</v>
          </cell>
        </row>
        <row r="202">
          <cell r="D202">
            <v>0</v>
          </cell>
        </row>
        <row r="203">
          <cell r="D203">
            <v>0</v>
          </cell>
        </row>
        <row r="204">
          <cell r="D204">
            <v>0</v>
          </cell>
        </row>
        <row r="205">
          <cell r="D205">
            <v>170910</v>
          </cell>
        </row>
        <row r="206">
          <cell r="D206">
            <v>6509</v>
          </cell>
        </row>
        <row r="207">
          <cell r="D207">
            <v>22845</v>
          </cell>
          <cell r="F207">
            <v>-108</v>
          </cell>
        </row>
        <row r="211">
          <cell r="D211">
            <v>139492</v>
          </cell>
          <cell r="F211">
            <v>9187</v>
          </cell>
        </row>
        <row r="212">
          <cell r="D212">
            <v>0</v>
          </cell>
          <cell r="F212">
            <v>21124</v>
          </cell>
        </row>
        <row r="213">
          <cell r="D213">
            <v>12094</v>
          </cell>
        </row>
        <row r="214">
          <cell r="D214">
            <v>0</v>
          </cell>
        </row>
        <row r="215">
          <cell r="D215">
            <v>0</v>
          </cell>
        </row>
        <row r="216">
          <cell r="D216">
            <v>7845</v>
          </cell>
        </row>
        <row r="221">
          <cell r="D221">
            <v>7017068</v>
          </cell>
        </row>
      </sheetData>
      <sheetData sheetId="10" refreshError="1"/>
      <sheetData sheetId="11" refreshError="1"/>
      <sheetData sheetId="12" refreshError="1"/>
      <sheetData sheetId="13">
        <row r="9">
          <cell r="C9">
            <v>15711</v>
          </cell>
          <cell r="E9">
            <v>3146</v>
          </cell>
          <cell r="F9">
            <v>3063</v>
          </cell>
          <cell r="G9">
            <v>1691</v>
          </cell>
          <cell r="H9">
            <v>3277</v>
          </cell>
          <cell r="J9">
            <v>3726</v>
          </cell>
        </row>
        <row r="22">
          <cell r="N22">
            <v>120</v>
          </cell>
        </row>
        <row r="24">
          <cell r="N24">
            <v>120</v>
          </cell>
        </row>
        <row r="28">
          <cell r="N28">
            <v>43800</v>
          </cell>
        </row>
        <row r="30">
          <cell r="N30">
            <v>0.69894977168949768</v>
          </cell>
        </row>
        <row r="32">
          <cell r="N32">
            <v>0.35869863013698627</v>
          </cell>
        </row>
        <row r="34">
          <cell r="N34">
            <v>0.51319657672960084</v>
          </cell>
        </row>
      </sheetData>
      <sheetData sheetId="1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heet1"/>
      <sheetName val="Sch A Pg 3"/>
      <sheetName val="Sch B"/>
      <sheetName val="Sch B-1"/>
      <sheetName val="Sch C"/>
      <sheetName val="Sch C Misc Items Detail"/>
      <sheetName val="Sch C-1"/>
      <sheetName val="Sch C-1 (2)"/>
      <sheetName val="Sch C-2"/>
      <sheetName val="Sch D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0">
          <cell r="E10">
            <v>1534605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1061469</v>
          </cell>
          <cell r="G21">
            <v>0</v>
          </cell>
        </row>
        <row r="27">
          <cell r="E27">
            <v>218134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42885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103868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3740</v>
          </cell>
          <cell r="G67">
            <v>0</v>
          </cell>
        </row>
        <row r="85">
          <cell r="C85">
            <v>186.56164383561645</v>
          </cell>
          <cell r="E85">
            <v>62.8</v>
          </cell>
          <cell r="G85">
            <v>163.85542168674698</v>
          </cell>
          <cell r="I85">
            <v>167.55813953488371</v>
          </cell>
        </row>
      </sheetData>
      <sheetData sheetId="7" refreshError="1"/>
      <sheetData sheetId="8">
        <row r="10">
          <cell r="D10">
            <v>111324</v>
          </cell>
          <cell r="F10">
            <v>5236</v>
          </cell>
        </row>
        <row r="11">
          <cell r="D11">
            <v>0</v>
          </cell>
          <cell r="F11">
            <v>0</v>
          </cell>
        </row>
        <row r="12">
          <cell r="D12">
            <v>44713</v>
          </cell>
          <cell r="F12">
            <v>2100</v>
          </cell>
        </row>
        <row r="13">
          <cell r="D13">
            <v>268365</v>
          </cell>
          <cell r="F13">
            <v>-242947</v>
          </cell>
        </row>
        <row r="14">
          <cell r="D14">
            <v>0</v>
          </cell>
        </row>
        <row r="15">
          <cell r="D15">
            <v>0</v>
          </cell>
        </row>
        <row r="16">
          <cell r="D16">
            <v>148416</v>
          </cell>
          <cell r="F16">
            <v>64879</v>
          </cell>
        </row>
        <row r="17">
          <cell r="D17">
            <v>0</v>
          </cell>
        </row>
        <row r="18">
          <cell r="D18">
            <v>9227</v>
          </cell>
        </row>
        <row r="19">
          <cell r="D19">
            <v>8088</v>
          </cell>
          <cell r="F19">
            <v>-672</v>
          </cell>
        </row>
        <row r="20">
          <cell r="D20">
            <v>6150</v>
          </cell>
        </row>
        <row r="21">
          <cell r="D21">
            <v>7754</v>
          </cell>
        </row>
        <row r="22">
          <cell r="D22">
            <v>0</v>
          </cell>
        </row>
        <row r="23">
          <cell r="D23">
            <v>7371</v>
          </cell>
        </row>
        <row r="24">
          <cell r="D24">
            <v>33432</v>
          </cell>
          <cell r="F24">
            <v>-5760</v>
          </cell>
        </row>
        <row r="25">
          <cell r="D25">
            <v>0</v>
          </cell>
        </row>
        <row r="26">
          <cell r="D26">
            <v>149535</v>
          </cell>
        </row>
        <row r="27">
          <cell r="D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42923</v>
          </cell>
          <cell r="F29">
            <v>-42923</v>
          </cell>
        </row>
        <row r="30">
          <cell r="D30">
            <v>0</v>
          </cell>
          <cell r="F30">
            <v>0</v>
          </cell>
        </row>
        <row r="31">
          <cell r="D31">
            <v>25375</v>
          </cell>
        </row>
        <row r="32">
          <cell r="D32">
            <v>33264</v>
          </cell>
          <cell r="F32">
            <v>-9979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</row>
        <row r="35">
          <cell r="D35">
            <v>338</v>
          </cell>
          <cell r="F35">
            <v>-338</v>
          </cell>
        </row>
        <row r="36">
          <cell r="D36">
            <v>0</v>
          </cell>
        </row>
        <row r="37">
          <cell r="D37">
            <v>0</v>
          </cell>
        </row>
        <row r="38">
          <cell r="D38">
            <v>550</v>
          </cell>
          <cell r="F38">
            <v>-550</v>
          </cell>
        </row>
        <row r="39">
          <cell r="D39">
            <v>2005</v>
          </cell>
        </row>
        <row r="40">
          <cell r="D40">
            <v>6123</v>
          </cell>
        </row>
        <row r="41">
          <cell r="D41">
            <v>6971</v>
          </cell>
        </row>
        <row r="42">
          <cell r="D42">
            <v>2291</v>
          </cell>
        </row>
        <row r="43">
          <cell r="D43">
            <v>5716</v>
          </cell>
        </row>
        <row r="44">
          <cell r="D44">
            <v>0</v>
          </cell>
        </row>
        <row r="45">
          <cell r="D45">
            <v>8652</v>
          </cell>
          <cell r="F45">
            <v>-3679</v>
          </cell>
        </row>
        <row r="57">
          <cell r="D57">
            <v>189184</v>
          </cell>
        </row>
        <row r="58">
          <cell r="D58">
            <v>439</v>
          </cell>
        </row>
        <row r="59">
          <cell r="D59">
            <v>0</v>
          </cell>
        </row>
        <row r="60">
          <cell r="D60">
            <v>11936</v>
          </cell>
        </row>
        <row r="61">
          <cell r="D61">
            <v>4079</v>
          </cell>
        </row>
        <row r="62">
          <cell r="D62">
            <v>4890</v>
          </cell>
        </row>
        <row r="63">
          <cell r="D63">
            <v>0</v>
          </cell>
        </row>
        <row r="64">
          <cell r="D64">
            <v>0</v>
          </cell>
        </row>
        <row r="65">
          <cell r="D65">
            <v>6479</v>
          </cell>
        </row>
        <row r="66">
          <cell r="D66">
            <v>2787</v>
          </cell>
        </row>
        <row r="67">
          <cell r="D67">
            <v>19180</v>
          </cell>
        </row>
        <row r="68">
          <cell r="D68">
            <v>0</v>
          </cell>
        </row>
        <row r="69">
          <cell r="D69">
            <v>2143</v>
          </cell>
        </row>
        <row r="70">
          <cell r="D70">
            <v>0</v>
          </cell>
        </row>
        <row r="71">
          <cell r="D71">
            <v>0</v>
          </cell>
        </row>
        <row r="75">
          <cell r="D75">
            <v>35810</v>
          </cell>
          <cell r="F75">
            <v>1684</v>
          </cell>
        </row>
        <row r="76">
          <cell r="D76">
            <v>0</v>
          </cell>
          <cell r="F76">
            <v>5815</v>
          </cell>
        </row>
        <row r="77">
          <cell r="D77">
            <v>10740</v>
          </cell>
        </row>
        <row r="78">
          <cell r="D78">
            <v>0</v>
          </cell>
        </row>
        <row r="79">
          <cell r="D79">
            <v>1094</v>
          </cell>
        </row>
        <row r="80">
          <cell r="D80">
            <v>3760</v>
          </cell>
        </row>
        <row r="81">
          <cell r="D81">
            <v>9186</v>
          </cell>
        </row>
        <row r="82">
          <cell r="D82">
            <v>226</v>
          </cell>
        </row>
        <row r="83">
          <cell r="D83">
            <v>0</v>
          </cell>
        </row>
        <row r="84">
          <cell r="D84">
            <v>47103</v>
          </cell>
        </row>
        <row r="85">
          <cell r="D85">
            <v>0</v>
          </cell>
        </row>
        <row r="89">
          <cell r="D89">
            <v>75886</v>
          </cell>
          <cell r="F89">
            <v>3569</v>
          </cell>
        </row>
        <row r="90">
          <cell r="D90">
            <v>0</v>
          </cell>
          <cell r="F90">
            <v>12323</v>
          </cell>
        </row>
        <row r="91">
          <cell r="D91">
            <v>5286</v>
          </cell>
        </row>
        <row r="92">
          <cell r="D92">
            <v>67026</v>
          </cell>
        </row>
        <row r="93">
          <cell r="D93">
            <v>7893</v>
          </cell>
        </row>
        <row r="94">
          <cell r="D94">
            <v>0</v>
          </cell>
        </row>
        <row r="98">
          <cell r="D98">
            <v>21563</v>
          </cell>
          <cell r="F98">
            <v>1014</v>
          </cell>
        </row>
        <row r="99">
          <cell r="D99">
            <v>0</v>
          </cell>
          <cell r="F99">
            <v>3502</v>
          </cell>
        </row>
        <row r="100">
          <cell r="D100">
            <v>6715</v>
          </cell>
        </row>
        <row r="101">
          <cell r="D101">
            <v>0</v>
          </cell>
        </row>
        <row r="102">
          <cell r="D102">
            <v>1430</v>
          </cell>
        </row>
        <row r="103">
          <cell r="D103">
            <v>0</v>
          </cell>
        </row>
        <row r="115">
          <cell r="D115">
            <v>27068</v>
          </cell>
          <cell r="F115">
            <v>1273</v>
          </cell>
        </row>
        <row r="116">
          <cell r="D116">
            <v>0</v>
          </cell>
          <cell r="F116">
            <v>4395</v>
          </cell>
        </row>
        <row r="117">
          <cell r="D117">
            <v>7889</v>
          </cell>
        </row>
        <row r="118">
          <cell r="D118">
            <v>2063</v>
          </cell>
        </row>
        <row r="119">
          <cell r="D119">
            <v>0</v>
          </cell>
        </row>
        <row r="124">
          <cell r="D124">
            <v>0</v>
          </cell>
        </row>
        <row r="125">
          <cell r="D125">
            <v>79413</v>
          </cell>
          <cell r="F125">
            <v>3735</v>
          </cell>
        </row>
        <row r="126">
          <cell r="D126">
            <v>58233</v>
          </cell>
          <cell r="F126">
            <v>2739</v>
          </cell>
        </row>
        <row r="127">
          <cell r="D127">
            <v>0</v>
          </cell>
          <cell r="F127">
            <v>0</v>
          </cell>
        </row>
        <row r="128">
          <cell r="D128">
            <v>26788</v>
          </cell>
          <cell r="F128">
            <v>1260</v>
          </cell>
        </row>
        <row r="130">
          <cell r="D130">
            <v>0</v>
          </cell>
        </row>
        <row r="131">
          <cell r="D131">
            <v>0</v>
          </cell>
          <cell r="F131">
            <v>12895</v>
          </cell>
        </row>
        <row r="132">
          <cell r="D132">
            <v>0</v>
          </cell>
          <cell r="F132">
            <v>9456</v>
          </cell>
        </row>
        <row r="133">
          <cell r="D133">
            <v>0</v>
          </cell>
          <cell r="F133">
            <v>0</v>
          </cell>
        </row>
        <row r="134">
          <cell r="D134">
            <v>0</v>
          </cell>
          <cell r="F134">
            <v>4350</v>
          </cell>
        </row>
        <row r="136">
          <cell r="D136">
            <v>143011</v>
          </cell>
          <cell r="F136">
            <v>6726</v>
          </cell>
        </row>
        <row r="137">
          <cell r="D137">
            <v>93428</v>
          </cell>
          <cell r="F137">
            <v>4394</v>
          </cell>
        </row>
        <row r="138">
          <cell r="D138">
            <v>189622</v>
          </cell>
          <cell r="F138">
            <v>8750</v>
          </cell>
        </row>
        <row r="139">
          <cell r="D139">
            <v>75822</v>
          </cell>
          <cell r="F139">
            <v>3566</v>
          </cell>
        </row>
        <row r="141">
          <cell r="D141">
            <v>0</v>
          </cell>
          <cell r="F141">
            <v>23223</v>
          </cell>
        </row>
        <row r="142">
          <cell r="D142">
            <v>0</v>
          </cell>
          <cell r="F142">
            <v>15171</v>
          </cell>
        </row>
        <row r="143">
          <cell r="D143">
            <v>0</v>
          </cell>
          <cell r="F143">
            <v>30769</v>
          </cell>
        </row>
        <row r="144">
          <cell r="D144">
            <v>0</v>
          </cell>
          <cell r="F144">
            <v>12312</v>
          </cell>
        </row>
        <row r="146">
          <cell r="D146">
            <v>14400</v>
          </cell>
        </row>
        <row r="147">
          <cell r="D147">
            <v>0</v>
          </cell>
        </row>
        <row r="148">
          <cell r="D148">
            <v>0</v>
          </cell>
        </row>
        <row r="149">
          <cell r="D149">
            <v>0</v>
          </cell>
        </row>
        <row r="150">
          <cell r="D150">
            <v>8</v>
          </cell>
        </row>
        <row r="151">
          <cell r="D151">
            <v>41087</v>
          </cell>
        </row>
        <row r="152">
          <cell r="D152">
            <v>358</v>
          </cell>
        </row>
        <row r="153">
          <cell r="D153">
            <v>0</v>
          </cell>
        </row>
        <row r="154">
          <cell r="D154">
            <v>0</v>
          </cell>
        </row>
        <row r="156">
          <cell r="D156">
            <v>0</v>
          </cell>
        </row>
        <row r="157">
          <cell r="D157">
            <v>0</v>
          </cell>
        </row>
        <row r="158">
          <cell r="D158">
            <v>0</v>
          </cell>
        </row>
        <row r="159">
          <cell r="D159">
            <v>0</v>
          </cell>
        </row>
        <row r="161">
          <cell r="D161">
            <v>1733</v>
          </cell>
        </row>
        <row r="175">
          <cell r="D175">
            <v>0</v>
          </cell>
        </row>
        <row r="176">
          <cell r="D176">
            <v>0</v>
          </cell>
        </row>
        <row r="177">
          <cell r="D177">
            <v>117510</v>
          </cell>
          <cell r="F177">
            <v>5526</v>
          </cell>
        </row>
        <row r="178">
          <cell r="D178">
            <v>0</v>
          </cell>
          <cell r="F178">
            <v>19082</v>
          </cell>
        </row>
        <row r="179">
          <cell r="D179">
            <v>16451</v>
          </cell>
          <cell r="F179">
            <v>774</v>
          </cell>
        </row>
        <row r="180">
          <cell r="D180">
            <v>0</v>
          </cell>
          <cell r="F180">
            <v>2672</v>
          </cell>
        </row>
        <row r="181">
          <cell r="D181">
            <v>0</v>
          </cell>
        </row>
        <row r="182">
          <cell r="D182">
            <v>0</v>
          </cell>
        </row>
        <row r="183">
          <cell r="D183">
            <v>114088</v>
          </cell>
          <cell r="F183">
            <v>5366</v>
          </cell>
        </row>
        <row r="184">
          <cell r="D184">
            <v>0</v>
          </cell>
          <cell r="F184">
            <v>18527</v>
          </cell>
        </row>
        <row r="185">
          <cell r="D185">
            <v>0</v>
          </cell>
        </row>
        <row r="186">
          <cell r="D186">
            <v>0</v>
          </cell>
        </row>
        <row r="187">
          <cell r="D187">
            <v>0</v>
          </cell>
        </row>
        <row r="188">
          <cell r="D188">
            <v>506</v>
          </cell>
        </row>
        <row r="189">
          <cell r="D189">
            <v>251</v>
          </cell>
        </row>
        <row r="190">
          <cell r="D190">
            <v>0</v>
          </cell>
        </row>
        <row r="191">
          <cell r="D191">
            <v>318</v>
          </cell>
        </row>
        <row r="192">
          <cell r="D192">
            <v>0</v>
          </cell>
        </row>
        <row r="193">
          <cell r="D193">
            <v>0</v>
          </cell>
        </row>
        <row r="194">
          <cell r="D194">
            <v>263</v>
          </cell>
        </row>
        <row r="195">
          <cell r="D195">
            <v>0</v>
          </cell>
        </row>
        <row r="196">
          <cell r="D196">
            <v>0</v>
          </cell>
        </row>
        <row r="197">
          <cell r="D197">
            <v>549</v>
          </cell>
        </row>
        <row r="198">
          <cell r="D198">
            <v>8242</v>
          </cell>
        </row>
        <row r="199">
          <cell r="D199">
            <v>0</v>
          </cell>
        </row>
        <row r="200">
          <cell r="D200">
            <v>0</v>
          </cell>
        </row>
        <row r="201">
          <cell r="D201">
            <v>0</v>
          </cell>
        </row>
        <row r="202">
          <cell r="D202">
            <v>0</v>
          </cell>
        </row>
        <row r="203">
          <cell r="D203">
            <v>0</v>
          </cell>
        </row>
        <row r="204">
          <cell r="D204">
            <v>0</v>
          </cell>
        </row>
        <row r="205">
          <cell r="D205">
            <v>99023</v>
          </cell>
        </row>
        <row r="206">
          <cell r="D206">
            <v>2412</v>
          </cell>
        </row>
        <row r="207">
          <cell r="D207">
            <v>10806</v>
          </cell>
          <cell r="F207">
            <v>-105</v>
          </cell>
        </row>
        <row r="211">
          <cell r="D211">
            <v>68744</v>
          </cell>
          <cell r="F211">
            <v>3233</v>
          </cell>
        </row>
        <row r="212">
          <cell r="D212">
            <v>0</v>
          </cell>
          <cell r="F212">
            <v>11163</v>
          </cell>
        </row>
        <row r="213">
          <cell r="D213">
            <v>3440</v>
          </cell>
        </row>
        <row r="214">
          <cell r="D214">
            <v>0</v>
          </cell>
        </row>
        <row r="215">
          <cell r="D215">
            <v>0</v>
          </cell>
        </row>
        <row r="216">
          <cell r="D216">
            <v>3013</v>
          </cell>
        </row>
        <row r="221">
          <cell r="D221">
            <v>2669957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>
        <row r="9">
          <cell r="C9">
            <v>8884</v>
          </cell>
          <cell r="E9">
            <v>2089</v>
          </cell>
          <cell r="F9">
            <v>491</v>
          </cell>
          <cell r="H9">
            <v>262</v>
          </cell>
          <cell r="J9">
            <v>603</v>
          </cell>
        </row>
        <row r="22">
          <cell r="N22">
            <v>60</v>
          </cell>
        </row>
        <row r="24">
          <cell r="N24">
            <v>60</v>
          </cell>
        </row>
        <row r="28">
          <cell r="N28">
            <v>21900</v>
          </cell>
        </row>
        <row r="30">
          <cell r="N30">
            <v>0.56296803652968042</v>
          </cell>
        </row>
        <row r="32">
          <cell r="N32">
            <v>0.40566210045662099</v>
          </cell>
        </row>
        <row r="34">
          <cell r="N34">
            <v>0.72057750020277389</v>
          </cell>
        </row>
      </sheetData>
      <sheetData sheetId="1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Explanation of Misc. Rev."/>
      <sheetName val="Sch C"/>
      <sheetName val="Sch C-1"/>
      <sheetName val="FCP ASJUSTMENTS"/>
      <sheetName val="Sch C-2"/>
      <sheetName val="Sch D"/>
      <sheetName val="Summary"/>
      <sheetName val="Trial Bal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E10">
            <v>767031.8899999999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160663.72</v>
          </cell>
          <cell r="G21">
            <v>0</v>
          </cell>
        </row>
        <row r="27">
          <cell r="E27">
            <v>2196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251215.91999999998</v>
          </cell>
          <cell r="G37">
            <v>0</v>
          </cell>
        </row>
        <row r="42">
          <cell r="E42">
            <v>46067.47</v>
          </cell>
          <cell r="G42">
            <v>0</v>
          </cell>
        </row>
        <row r="47">
          <cell r="E47">
            <v>43666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30264.789999999997</v>
          </cell>
          <cell r="G67">
            <v>0</v>
          </cell>
        </row>
        <row r="85">
          <cell r="C85">
            <v>127.75612612612613</v>
          </cell>
          <cell r="E85">
            <v>138.84263247863248</v>
          </cell>
          <cell r="G85">
            <v>156.64566666666667</v>
          </cell>
          <cell r="I85">
            <v>111.49027777777779</v>
          </cell>
        </row>
      </sheetData>
      <sheetData sheetId="6" refreshError="1"/>
      <sheetData sheetId="7" refreshError="1"/>
      <sheetData sheetId="8">
        <row r="10">
          <cell r="D10">
            <v>10262.84</v>
          </cell>
        </row>
        <row r="13">
          <cell r="D13">
            <v>53268.4</v>
          </cell>
          <cell r="F13">
            <v>-52456.26</v>
          </cell>
        </row>
        <row r="15">
          <cell r="D15">
            <v>18000</v>
          </cell>
          <cell r="F15">
            <v>-18000</v>
          </cell>
        </row>
        <row r="16">
          <cell r="F16">
            <v>51313</v>
          </cell>
        </row>
        <row r="17">
          <cell r="D17">
            <v>276</v>
          </cell>
          <cell r="F17">
            <v>-276</v>
          </cell>
        </row>
        <row r="18">
          <cell r="D18">
            <v>7118</v>
          </cell>
        </row>
        <row r="19">
          <cell r="D19">
            <v>3829.34</v>
          </cell>
        </row>
        <row r="20">
          <cell r="D20">
            <v>2518.9299999999998</v>
          </cell>
        </row>
        <row r="21">
          <cell r="D21">
            <v>4607.28</v>
          </cell>
        </row>
        <row r="23">
          <cell r="D23">
            <v>5141.32</v>
          </cell>
        </row>
        <row r="24">
          <cell r="D24">
            <v>18394.04</v>
          </cell>
        </row>
        <row r="26">
          <cell r="D26">
            <v>116034.29</v>
          </cell>
        </row>
        <row r="27">
          <cell r="D27">
            <v>30.52</v>
          </cell>
        </row>
        <row r="28">
          <cell r="F28">
            <v>0</v>
          </cell>
        </row>
        <row r="29">
          <cell r="D29">
            <v>20793.310000000001</v>
          </cell>
          <cell r="F29">
            <v>-20793.310000000001</v>
          </cell>
        </row>
        <row r="30">
          <cell r="D30">
            <v>60</v>
          </cell>
          <cell r="F30">
            <v>-60</v>
          </cell>
        </row>
        <row r="31">
          <cell r="D31">
            <v>16034.33</v>
          </cell>
        </row>
        <row r="32">
          <cell r="D32">
            <v>5492.67</v>
          </cell>
        </row>
        <row r="33">
          <cell r="F33">
            <v>0</v>
          </cell>
        </row>
        <row r="35">
          <cell r="F35">
            <v>0</v>
          </cell>
        </row>
        <row r="38">
          <cell r="D38">
            <v>891.76</v>
          </cell>
        </row>
        <row r="39">
          <cell r="D39">
            <v>3461.88</v>
          </cell>
        </row>
        <row r="40">
          <cell r="D40">
            <v>2583.12</v>
          </cell>
          <cell r="F40">
            <v>-2583</v>
          </cell>
        </row>
        <row r="42">
          <cell r="D42">
            <v>1074.25</v>
          </cell>
        </row>
        <row r="43">
          <cell r="D43">
            <v>3650.34</v>
          </cell>
        </row>
        <row r="45">
          <cell r="D45">
            <v>166.27</v>
          </cell>
        </row>
        <row r="57">
          <cell r="D57">
            <v>60000</v>
          </cell>
          <cell r="F57">
            <v>-60000</v>
          </cell>
        </row>
        <row r="58">
          <cell r="D58">
            <v>2336.0700000000002</v>
          </cell>
          <cell r="F58">
            <v>7564</v>
          </cell>
        </row>
        <row r="59">
          <cell r="F59">
            <v>11231.61</v>
          </cell>
        </row>
        <row r="60">
          <cell r="D60">
            <v>2776.41</v>
          </cell>
        </row>
        <row r="61">
          <cell r="D61">
            <v>7121.88</v>
          </cell>
          <cell r="F61">
            <v>4381</v>
          </cell>
        </row>
        <row r="62">
          <cell r="D62">
            <v>987.27</v>
          </cell>
        </row>
        <row r="63">
          <cell r="D63">
            <v>174.21</v>
          </cell>
        </row>
        <row r="65">
          <cell r="D65">
            <v>3356</v>
          </cell>
        </row>
        <row r="66">
          <cell r="D66">
            <v>8198.74</v>
          </cell>
        </row>
        <row r="67">
          <cell r="D67">
            <v>15633.66</v>
          </cell>
        </row>
        <row r="69">
          <cell r="D69">
            <v>441.42</v>
          </cell>
        </row>
        <row r="75">
          <cell r="D75">
            <v>26305.69</v>
          </cell>
        </row>
        <row r="76">
          <cell r="F76">
            <v>2080.6389452595527</v>
          </cell>
        </row>
        <row r="77">
          <cell r="D77">
            <v>9743.66</v>
          </cell>
        </row>
        <row r="78">
          <cell r="D78">
            <v>428.38</v>
          </cell>
        </row>
        <row r="79">
          <cell r="D79">
            <v>200</v>
          </cell>
        </row>
        <row r="80">
          <cell r="D80">
            <v>2736.5</v>
          </cell>
        </row>
        <row r="81">
          <cell r="D81">
            <v>14703.91</v>
          </cell>
        </row>
        <row r="82">
          <cell r="D82">
            <v>4980.6000000000004</v>
          </cell>
        </row>
        <row r="83">
          <cell r="D83">
            <v>12423.97</v>
          </cell>
        </row>
        <row r="84">
          <cell r="D84">
            <v>28240.18</v>
          </cell>
        </row>
        <row r="89">
          <cell r="D89">
            <v>96767.47</v>
          </cell>
        </row>
        <row r="90">
          <cell r="F90">
            <v>7653.7877058627018</v>
          </cell>
        </row>
        <row r="91">
          <cell r="D91">
            <v>3540</v>
          </cell>
        </row>
        <row r="92">
          <cell r="D92">
            <v>85795.62</v>
          </cell>
        </row>
        <row r="93">
          <cell r="D93">
            <v>5403.09</v>
          </cell>
        </row>
        <row r="98">
          <cell r="D98">
            <v>19712.080000000002</v>
          </cell>
        </row>
        <row r="99">
          <cell r="F99">
            <v>1559.1197699080287</v>
          </cell>
        </row>
        <row r="100">
          <cell r="D100">
            <v>1075.1500000000001</v>
          </cell>
        </row>
        <row r="102">
          <cell r="D102">
            <v>2373.7800000000002</v>
          </cell>
        </row>
        <row r="115">
          <cell r="D115">
            <v>25066.25</v>
          </cell>
        </row>
        <row r="116">
          <cell r="F116">
            <v>1982.6058910301256</v>
          </cell>
        </row>
        <row r="117">
          <cell r="D117">
            <v>4318.18</v>
          </cell>
        </row>
        <row r="125">
          <cell r="D125">
            <v>53700.08</v>
          </cell>
        </row>
        <row r="131">
          <cell r="F131">
            <v>4247.3882194899134</v>
          </cell>
        </row>
        <row r="136">
          <cell r="D136">
            <v>130203.71</v>
          </cell>
        </row>
        <row r="137">
          <cell r="D137">
            <v>103786.24000000001</v>
          </cell>
        </row>
        <row r="138">
          <cell r="D138">
            <v>171907.35</v>
          </cell>
        </row>
        <row r="141">
          <cell r="F141">
            <v>10298.41489971488</v>
          </cell>
        </row>
        <row r="142">
          <cell r="F142">
            <v>8208.9347561708055</v>
          </cell>
        </row>
        <row r="143">
          <cell r="F143">
            <v>13596.949077798941</v>
          </cell>
        </row>
        <row r="150">
          <cell r="D150">
            <v>3520.75</v>
          </cell>
        </row>
        <row r="151">
          <cell r="D151">
            <v>42260.94</v>
          </cell>
        </row>
        <row r="152">
          <cell r="D152">
            <v>568.47</v>
          </cell>
        </row>
        <row r="153">
          <cell r="D153">
            <v>1485</v>
          </cell>
        </row>
        <row r="157">
          <cell r="D157">
            <v>1050</v>
          </cell>
        </row>
        <row r="193">
          <cell r="D193">
            <v>165</v>
          </cell>
        </row>
        <row r="194">
          <cell r="D194">
            <v>31642.82</v>
          </cell>
          <cell r="F194">
            <v>-15821.5</v>
          </cell>
        </row>
        <row r="197">
          <cell r="D197">
            <v>25182.33</v>
          </cell>
          <cell r="F197">
            <v>-12591</v>
          </cell>
        </row>
        <row r="198">
          <cell r="D198">
            <v>2993.88</v>
          </cell>
        </row>
        <row r="200">
          <cell r="D200">
            <v>468</v>
          </cell>
        </row>
        <row r="205">
          <cell r="D205">
            <v>13457.31</v>
          </cell>
        </row>
        <row r="206">
          <cell r="D206">
            <v>188.5</v>
          </cell>
        </row>
        <row r="211">
          <cell r="D211">
            <v>35765.07</v>
          </cell>
        </row>
        <row r="212">
          <cell r="F212">
            <v>2828.8251523504641</v>
          </cell>
        </row>
        <row r="213">
          <cell r="D213">
            <v>715</v>
          </cell>
        </row>
        <row r="216">
          <cell r="D216">
            <v>130.54</v>
          </cell>
        </row>
        <row r="221">
          <cell r="D221">
            <v>1357720.05</v>
          </cell>
        </row>
      </sheetData>
      <sheetData sheetId="9" refreshError="1"/>
      <sheetData sheetId="10" refreshError="1"/>
      <sheetData sheetId="11" refreshError="1"/>
      <sheetData sheetId="12">
        <row r="9">
          <cell r="C9">
            <v>4794</v>
          </cell>
          <cell r="E9">
            <v>452</v>
          </cell>
          <cell r="F9">
            <v>5</v>
          </cell>
          <cell r="H9">
            <v>1887</v>
          </cell>
          <cell r="I9">
            <v>330</v>
          </cell>
          <cell r="J9">
            <v>358</v>
          </cell>
        </row>
        <row r="22">
          <cell r="N22">
            <v>31</v>
          </cell>
        </row>
        <row r="24">
          <cell r="N24">
            <v>31</v>
          </cell>
        </row>
        <row r="28">
          <cell r="N28">
            <v>11315</v>
          </cell>
        </row>
        <row r="30">
          <cell r="N30">
            <v>0.69164825452938572</v>
          </cell>
        </row>
        <row r="32">
          <cell r="N32">
            <v>0.42368537339814405</v>
          </cell>
        </row>
        <row r="34">
          <cell r="N34">
            <v>0.61257347303858933</v>
          </cell>
        </row>
      </sheetData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Grouping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2163363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1432563</v>
          </cell>
          <cell r="G21">
            <v>0</v>
          </cell>
        </row>
        <row r="27">
          <cell r="E27">
            <v>874273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961128</v>
          </cell>
          <cell r="G37">
            <v>0</v>
          </cell>
        </row>
        <row r="42">
          <cell r="E42">
            <v>459218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65969</v>
          </cell>
          <cell r="G52">
            <v>0</v>
          </cell>
        </row>
        <row r="67">
          <cell r="E67">
            <v>64967</v>
          </cell>
          <cell r="G67">
            <v>-2935</v>
          </cell>
        </row>
        <row r="85">
          <cell r="C85">
            <v>208.35221238938053</v>
          </cell>
          <cell r="E85">
            <v>208.3524011299435</v>
          </cell>
          <cell r="G85">
            <v>208.35232800555943</v>
          </cell>
          <cell r="I85">
            <v>208.35121542330259</v>
          </cell>
        </row>
      </sheetData>
      <sheetData sheetId="6"/>
      <sheetData sheetId="7">
        <row r="10">
          <cell r="D10">
            <v>0</v>
          </cell>
          <cell r="F10">
            <v>144316</v>
          </cell>
        </row>
        <row r="11">
          <cell r="D11">
            <v>0</v>
          </cell>
          <cell r="F11">
            <v>0</v>
          </cell>
        </row>
        <row r="12">
          <cell r="D12">
            <v>229381</v>
          </cell>
          <cell r="F12">
            <v>-144316</v>
          </cell>
        </row>
        <row r="13">
          <cell r="D13">
            <v>29067</v>
          </cell>
          <cell r="F13">
            <v>0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0</v>
          </cell>
        </row>
        <row r="16">
          <cell r="D16">
            <v>300194</v>
          </cell>
          <cell r="F16">
            <v>55567</v>
          </cell>
        </row>
        <row r="17">
          <cell r="D17">
            <v>0</v>
          </cell>
          <cell r="F17">
            <v>0</v>
          </cell>
        </row>
        <row r="18">
          <cell r="D18">
            <v>21781</v>
          </cell>
          <cell r="F18">
            <v>0</v>
          </cell>
        </row>
        <row r="19">
          <cell r="D19">
            <v>14524</v>
          </cell>
          <cell r="F19">
            <v>0</v>
          </cell>
        </row>
        <row r="20">
          <cell r="D20">
            <v>11416</v>
          </cell>
          <cell r="F20">
            <v>0</v>
          </cell>
        </row>
        <row r="21">
          <cell r="D21">
            <v>14513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3588</v>
          </cell>
          <cell r="F23">
            <v>0</v>
          </cell>
        </row>
        <row r="24">
          <cell r="D24">
            <v>0</v>
          </cell>
          <cell r="F24">
            <v>0</v>
          </cell>
        </row>
        <row r="25">
          <cell r="D25">
            <v>1799</v>
          </cell>
          <cell r="F25">
            <v>0</v>
          </cell>
        </row>
        <row r="26">
          <cell r="D26">
            <v>294356</v>
          </cell>
          <cell r="F26">
            <v>0</v>
          </cell>
        </row>
        <row r="27">
          <cell r="D27">
            <v>18665</v>
          </cell>
          <cell r="F27">
            <v>-288</v>
          </cell>
        </row>
        <row r="28">
          <cell r="D28">
            <v>0</v>
          </cell>
          <cell r="F28">
            <v>0</v>
          </cell>
        </row>
        <row r="29">
          <cell r="D29">
            <v>78527</v>
          </cell>
          <cell r="F29">
            <v>-78527</v>
          </cell>
        </row>
        <row r="30">
          <cell r="D30">
            <v>0</v>
          </cell>
          <cell r="F30">
            <v>0</v>
          </cell>
        </row>
        <row r="31">
          <cell r="D31">
            <v>0</v>
          </cell>
          <cell r="F31">
            <v>0</v>
          </cell>
        </row>
        <row r="32">
          <cell r="D32">
            <v>82370</v>
          </cell>
          <cell r="F32">
            <v>0</v>
          </cell>
        </row>
        <row r="33">
          <cell r="D33">
            <v>0</v>
          </cell>
          <cell r="F33">
            <v>0</v>
          </cell>
        </row>
        <row r="34">
          <cell r="D34">
            <v>235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0</v>
          </cell>
          <cell r="F36">
            <v>0</v>
          </cell>
        </row>
        <row r="37">
          <cell r="D37">
            <v>0</v>
          </cell>
          <cell r="F37">
            <v>0</v>
          </cell>
        </row>
        <row r="38">
          <cell r="D38">
            <v>63</v>
          </cell>
          <cell r="F38">
            <v>-63</v>
          </cell>
        </row>
        <row r="39">
          <cell r="D39">
            <v>3174</v>
          </cell>
          <cell r="F39">
            <v>0</v>
          </cell>
        </row>
        <row r="40">
          <cell r="D40">
            <v>6205</v>
          </cell>
          <cell r="F40">
            <v>-6205</v>
          </cell>
        </row>
        <row r="41">
          <cell r="D41">
            <v>134120</v>
          </cell>
          <cell r="F41">
            <v>-8178</v>
          </cell>
        </row>
        <row r="42">
          <cell r="D42">
            <v>132</v>
          </cell>
          <cell r="F42">
            <v>0</v>
          </cell>
        </row>
        <row r="43">
          <cell r="D43">
            <v>4694</v>
          </cell>
          <cell r="F43">
            <v>-4694</v>
          </cell>
        </row>
        <row r="44">
          <cell r="D44">
            <v>0</v>
          </cell>
          <cell r="F44">
            <v>0</v>
          </cell>
        </row>
        <row r="45">
          <cell r="D45">
            <v>1817</v>
          </cell>
          <cell r="F45">
            <v>-174</v>
          </cell>
        </row>
        <row r="57">
          <cell r="D57">
            <v>0</v>
          </cell>
          <cell r="F57">
            <v>0</v>
          </cell>
        </row>
        <row r="58">
          <cell r="D58">
            <v>170497</v>
          </cell>
          <cell r="F58">
            <v>0</v>
          </cell>
        </row>
        <row r="59">
          <cell r="D59">
            <v>252027</v>
          </cell>
          <cell r="F59">
            <v>0</v>
          </cell>
        </row>
        <row r="60">
          <cell r="D60">
            <v>32369</v>
          </cell>
          <cell r="F60">
            <v>0</v>
          </cell>
        </row>
        <row r="61">
          <cell r="D61">
            <v>44777</v>
          </cell>
          <cell r="F61">
            <v>0</v>
          </cell>
        </row>
        <row r="62">
          <cell r="D62">
            <v>6641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0</v>
          </cell>
          <cell r="F65">
            <v>0</v>
          </cell>
        </row>
        <row r="66">
          <cell r="D66">
            <v>67297</v>
          </cell>
          <cell r="F66">
            <v>-1863</v>
          </cell>
        </row>
        <row r="67">
          <cell r="D67">
            <v>69131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6871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40431</v>
          </cell>
          <cell r="F75">
            <v>0</v>
          </cell>
        </row>
        <row r="76">
          <cell r="D76">
            <v>8642</v>
          </cell>
          <cell r="F76">
            <v>0</v>
          </cell>
        </row>
        <row r="77">
          <cell r="D77">
            <v>4685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2707</v>
          </cell>
          <cell r="F79">
            <v>0</v>
          </cell>
        </row>
        <row r="80">
          <cell r="D80">
            <v>20108</v>
          </cell>
          <cell r="F80">
            <v>0</v>
          </cell>
        </row>
        <row r="81">
          <cell r="D81">
            <v>22303</v>
          </cell>
          <cell r="F81">
            <v>0</v>
          </cell>
        </row>
        <row r="82">
          <cell r="D82">
            <v>7079</v>
          </cell>
          <cell r="F82">
            <v>0</v>
          </cell>
        </row>
        <row r="83">
          <cell r="D83">
            <v>0</v>
          </cell>
          <cell r="F83">
            <v>0</v>
          </cell>
        </row>
        <row r="84">
          <cell r="D84">
            <v>85654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200924</v>
          </cell>
          <cell r="F89">
            <v>0</v>
          </cell>
        </row>
        <row r="90">
          <cell r="D90">
            <v>35352</v>
          </cell>
          <cell r="F90">
            <v>0</v>
          </cell>
        </row>
        <row r="91">
          <cell r="D91">
            <v>7483</v>
          </cell>
          <cell r="F91">
            <v>0</v>
          </cell>
        </row>
        <row r="92">
          <cell r="D92">
            <v>146897</v>
          </cell>
          <cell r="F92">
            <v>-2373</v>
          </cell>
        </row>
        <row r="93">
          <cell r="D93">
            <v>17890</v>
          </cell>
          <cell r="F93">
            <v>0</v>
          </cell>
        </row>
        <row r="94">
          <cell r="D94">
            <v>125</v>
          </cell>
          <cell r="F94">
            <v>0</v>
          </cell>
        </row>
        <row r="98">
          <cell r="D98">
            <v>0</v>
          </cell>
          <cell r="F98">
            <v>0</v>
          </cell>
        </row>
        <row r="99">
          <cell r="D99">
            <v>0</v>
          </cell>
          <cell r="F99">
            <v>0</v>
          </cell>
        </row>
        <row r="100">
          <cell r="D100">
            <v>0</v>
          </cell>
          <cell r="F100">
            <v>0</v>
          </cell>
        </row>
        <row r="101">
          <cell r="D101">
            <v>59323</v>
          </cell>
          <cell r="F101">
            <v>0</v>
          </cell>
        </row>
        <row r="102">
          <cell r="D102">
            <v>7889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0</v>
          </cell>
          <cell r="F115">
            <v>0</v>
          </cell>
        </row>
        <row r="116">
          <cell r="D116">
            <v>0</v>
          </cell>
          <cell r="F116">
            <v>0</v>
          </cell>
        </row>
        <row r="117">
          <cell r="D117">
            <v>14690</v>
          </cell>
          <cell r="F117">
            <v>0</v>
          </cell>
        </row>
        <row r="118">
          <cell r="D118">
            <v>88485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256989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31868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24595</v>
          </cell>
          <cell r="F131">
            <v>0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9452</v>
          </cell>
          <cell r="F134">
            <v>0</v>
          </cell>
        </row>
        <row r="136">
          <cell r="D136">
            <v>704806</v>
          </cell>
          <cell r="F136">
            <v>0</v>
          </cell>
        </row>
        <row r="137">
          <cell r="D137">
            <v>34361</v>
          </cell>
          <cell r="F137">
            <v>0</v>
          </cell>
        </row>
        <row r="138">
          <cell r="D138">
            <v>653081</v>
          </cell>
          <cell r="F138">
            <v>72661</v>
          </cell>
        </row>
        <row r="139">
          <cell r="D139">
            <v>72661</v>
          </cell>
          <cell r="F139">
            <v>-72661</v>
          </cell>
        </row>
        <row r="141">
          <cell r="D141">
            <v>279277</v>
          </cell>
          <cell r="F141">
            <v>-144910</v>
          </cell>
        </row>
        <row r="142">
          <cell r="D142">
            <v>0</v>
          </cell>
          <cell r="F142">
            <v>6551</v>
          </cell>
        </row>
        <row r="143">
          <cell r="D143">
            <v>0</v>
          </cell>
          <cell r="F143">
            <v>138359</v>
          </cell>
        </row>
        <row r="144">
          <cell r="D144">
            <v>0</v>
          </cell>
          <cell r="F144">
            <v>0</v>
          </cell>
        </row>
        <row r="146">
          <cell r="D146">
            <v>48275</v>
          </cell>
          <cell r="F146">
            <v>0</v>
          </cell>
        </row>
        <row r="147">
          <cell r="D147">
            <v>0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0</v>
          </cell>
          <cell r="F149">
            <v>0</v>
          </cell>
        </row>
        <row r="150">
          <cell r="D150">
            <v>493</v>
          </cell>
          <cell r="F150">
            <v>0</v>
          </cell>
        </row>
        <row r="151">
          <cell r="D151">
            <v>113379</v>
          </cell>
          <cell r="F151">
            <v>-2403</v>
          </cell>
        </row>
        <row r="152">
          <cell r="D152">
            <v>4384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29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12092</v>
          </cell>
          <cell r="F161">
            <v>-480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0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946</v>
          </cell>
          <cell r="F192">
            <v>0</v>
          </cell>
        </row>
        <row r="193">
          <cell r="D193">
            <v>950</v>
          </cell>
          <cell r="F193">
            <v>0</v>
          </cell>
        </row>
        <row r="194">
          <cell r="D194">
            <v>228540</v>
          </cell>
          <cell r="F194">
            <v>8433</v>
          </cell>
        </row>
        <row r="195">
          <cell r="D195">
            <v>86494</v>
          </cell>
          <cell r="F195">
            <v>3192</v>
          </cell>
        </row>
        <row r="196">
          <cell r="D196">
            <v>0</v>
          </cell>
          <cell r="F196">
            <v>0</v>
          </cell>
        </row>
        <row r="197">
          <cell r="D197">
            <v>225293</v>
          </cell>
          <cell r="F197">
            <v>8313</v>
          </cell>
        </row>
        <row r="198">
          <cell r="D198">
            <v>26576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189377</v>
          </cell>
          <cell r="F205">
            <v>-12013</v>
          </cell>
        </row>
        <row r="206">
          <cell r="D206">
            <v>2798</v>
          </cell>
          <cell r="F206">
            <v>0</v>
          </cell>
        </row>
        <row r="207">
          <cell r="D207">
            <v>1060</v>
          </cell>
          <cell r="F207">
            <v>0</v>
          </cell>
        </row>
        <row r="211">
          <cell r="D211">
            <v>129728</v>
          </cell>
          <cell r="F211">
            <v>0</v>
          </cell>
        </row>
        <row r="212">
          <cell r="D212">
            <v>40043</v>
          </cell>
          <cell r="F212">
            <v>0</v>
          </cell>
        </row>
        <row r="213">
          <cell r="D213">
            <v>7382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3452</v>
          </cell>
          <cell r="F216">
            <v>0</v>
          </cell>
        </row>
        <row r="221">
          <cell r="D221">
            <v>5859279</v>
          </cell>
        </row>
      </sheetData>
      <sheetData sheetId="8"/>
      <sheetData sheetId="9"/>
      <sheetData sheetId="10">
        <row r="9">
          <cell r="C9">
            <v>11736</v>
          </cell>
          <cell r="D9">
            <v>0</v>
          </cell>
          <cell r="E9">
            <v>2784</v>
          </cell>
          <cell r="F9">
            <v>1993</v>
          </cell>
          <cell r="G9">
            <v>0</v>
          </cell>
          <cell r="H9">
            <v>4613</v>
          </cell>
          <cell r="I9">
            <v>2473</v>
          </cell>
          <cell r="J9">
            <v>0</v>
          </cell>
          <cell r="K9">
            <v>207</v>
          </cell>
        </row>
        <row r="22">
          <cell r="N22">
            <v>122</v>
          </cell>
        </row>
        <row r="24">
          <cell r="N24">
            <v>122</v>
          </cell>
        </row>
        <row r="28">
          <cell r="N28">
            <v>44530</v>
          </cell>
        </row>
        <row r="30">
          <cell r="N30">
            <v>0.5346058836739277</v>
          </cell>
        </row>
        <row r="32">
          <cell r="N32">
            <v>0.26355266112732989</v>
          </cell>
        </row>
        <row r="34">
          <cell r="N34">
            <v>0.49298496177434259</v>
          </cell>
        </row>
      </sheetData>
      <sheetData sheetId="11"/>
      <sheetData sheetId="1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 Supp"/>
      <sheetName val="Sch B-1"/>
      <sheetName val="Sch C"/>
      <sheetName val="Sch C- Supp"/>
      <sheetName val="Sch C-1"/>
      <sheetName val="Sch C-2"/>
      <sheetName val="Sch D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E10">
            <v>2909459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2970674</v>
          </cell>
          <cell r="G21">
            <v>0</v>
          </cell>
        </row>
        <row r="27">
          <cell r="E27">
            <v>674937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529881</v>
          </cell>
          <cell r="G37">
            <v>0</v>
          </cell>
        </row>
        <row r="42">
          <cell r="E42">
            <v>311977</v>
          </cell>
          <cell r="G42">
            <v>0</v>
          </cell>
        </row>
        <row r="47">
          <cell r="E47">
            <v>149450</v>
          </cell>
          <cell r="G47">
            <v>0</v>
          </cell>
        </row>
        <row r="52">
          <cell r="E52">
            <v>103182</v>
          </cell>
          <cell r="G52">
            <v>0</v>
          </cell>
        </row>
        <row r="67">
          <cell r="E67">
            <v>161737</v>
          </cell>
          <cell r="G67">
            <v>-1798</v>
          </cell>
        </row>
        <row r="85">
          <cell r="C85">
            <v>167.36601307189542</v>
          </cell>
          <cell r="E85">
            <v>167.36591478696741</v>
          </cell>
          <cell r="G85">
            <v>167.36624569460389</v>
          </cell>
          <cell r="I85">
            <v>167.36608863198458</v>
          </cell>
        </row>
      </sheetData>
      <sheetData sheetId="6" refreshError="1"/>
      <sheetData sheetId="7" refreshError="1"/>
      <sheetData sheetId="8">
        <row r="10">
          <cell r="D10">
            <v>112780</v>
          </cell>
        </row>
        <row r="12">
          <cell r="D12">
            <v>182304</v>
          </cell>
          <cell r="F12">
            <v>185120</v>
          </cell>
        </row>
        <row r="13">
          <cell r="D13">
            <v>63425</v>
          </cell>
          <cell r="F13">
            <v>35868</v>
          </cell>
        </row>
        <row r="15">
          <cell r="D15">
            <v>443240</v>
          </cell>
          <cell r="F15">
            <v>-439492</v>
          </cell>
        </row>
        <row r="17">
          <cell r="D17">
            <v>46813</v>
          </cell>
          <cell r="F17">
            <v>-37213</v>
          </cell>
        </row>
        <row r="18">
          <cell r="D18">
            <v>22879</v>
          </cell>
        </row>
        <row r="19">
          <cell r="D19">
            <v>16831</v>
          </cell>
          <cell r="F19">
            <v>1863</v>
          </cell>
        </row>
        <row r="20">
          <cell r="D20">
            <v>4699</v>
          </cell>
          <cell r="F20">
            <v>6547</v>
          </cell>
        </row>
        <row r="21">
          <cell r="D21">
            <v>166371</v>
          </cell>
          <cell r="F21">
            <v>1743</v>
          </cell>
        </row>
        <row r="23">
          <cell r="D23">
            <v>3916</v>
          </cell>
          <cell r="F23">
            <v>20673</v>
          </cell>
        </row>
        <row r="24">
          <cell r="D24">
            <v>119547</v>
          </cell>
        </row>
        <row r="26">
          <cell r="D26">
            <v>360805</v>
          </cell>
        </row>
        <row r="28">
          <cell r="F28">
            <v>0</v>
          </cell>
        </row>
        <row r="29">
          <cell r="D29">
            <v>262243</v>
          </cell>
          <cell r="F29">
            <v>-262243</v>
          </cell>
        </row>
        <row r="30">
          <cell r="D30">
            <v>500</v>
          </cell>
          <cell r="F30">
            <v>-500</v>
          </cell>
        </row>
        <row r="31">
          <cell r="D31">
            <v>56523</v>
          </cell>
        </row>
        <row r="32">
          <cell r="D32">
            <v>54068</v>
          </cell>
          <cell r="F32">
            <v>97</v>
          </cell>
        </row>
        <row r="33">
          <cell r="F33">
            <v>0</v>
          </cell>
        </row>
        <row r="35">
          <cell r="D35">
            <v>482</v>
          </cell>
          <cell r="F35">
            <v>-482</v>
          </cell>
        </row>
        <row r="36">
          <cell r="D36">
            <v>35124</v>
          </cell>
        </row>
        <row r="37">
          <cell r="D37">
            <v>6393</v>
          </cell>
        </row>
        <row r="39">
          <cell r="D39">
            <v>4022</v>
          </cell>
          <cell r="F39">
            <v>-4022</v>
          </cell>
        </row>
        <row r="42">
          <cell r="D42">
            <v>11624</v>
          </cell>
        </row>
        <row r="43">
          <cell r="D43">
            <v>16220</v>
          </cell>
        </row>
        <row r="45">
          <cell r="D45">
            <v>11902</v>
          </cell>
        </row>
        <row r="57">
          <cell r="D57">
            <v>1043891</v>
          </cell>
          <cell r="F57">
            <v>-1039818</v>
          </cell>
        </row>
        <row r="58">
          <cell r="D58">
            <v>72326</v>
          </cell>
          <cell r="F58">
            <v>261490</v>
          </cell>
        </row>
        <row r="59">
          <cell r="D59">
            <v>35590</v>
          </cell>
          <cell r="F59">
            <v>170653</v>
          </cell>
        </row>
        <row r="60">
          <cell r="D60">
            <v>38542</v>
          </cell>
        </row>
        <row r="64">
          <cell r="D64">
            <v>2120</v>
          </cell>
        </row>
        <row r="67">
          <cell r="F67">
            <v>64025</v>
          </cell>
        </row>
        <row r="69">
          <cell r="D69">
            <v>1992</v>
          </cell>
          <cell r="F69">
            <v>-1992</v>
          </cell>
        </row>
        <row r="75">
          <cell r="D75">
            <v>46902</v>
          </cell>
        </row>
        <row r="76">
          <cell r="D76">
            <v>8537</v>
          </cell>
        </row>
        <row r="77">
          <cell r="D77">
            <v>28140</v>
          </cell>
          <cell r="F77">
            <v>480</v>
          </cell>
        </row>
        <row r="78">
          <cell r="D78">
            <v>13707</v>
          </cell>
          <cell r="F78">
            <v>636</v>
          </cell>
        </row>
        <row r="79">
          <cell r="D79">
            <v>9534</v>
          </cell>
        </row>
        <row r="80">
          <cell r="D80">
            <v>7985</v>
          </cell>
        </row>
        <row r="81">
          <cell r="D81">
            <v>23331</v>
          </cell>
        </row>
        <row r="83">
          <cell r="D83">
            <v>2348</v>
          </cell>
        </row>
        <row r="84">
          <cell r="D84">
            <v>140344</v>
          </cell>
        </row>
        <row r="89">
          <cell r="D89">
            <v>243434</v>
          </cell>
        </row>
        <row r="90">
          <cell r="D90">
            <v>44309</v>
          </cell>
        </row>
        <row r="91">
          <cell r="D91">
            <v>12081</v>
          </cell>
          <cell r="F91">
            <v>7098</v>
          </cell>
        </row>
        <row r="92">
          <cell r="D92">
            <v>229506</v>
          </cell>
        </row>
        <row r="93">
          <cell r="D93">
            <v>25080</v>
          </cell>
        </row>
        <row r="94">
          <cell r="D94">
            <v>950</v>
          </cell>
        </row>
        <row r="98">
          <cell r="D98">
            <v>51326</v>
          </cell>
        </row>
        <row r="99">
          <cell r="D99">
            <v>9342</v>
          </cell>
        </row>
        <row r="100">
          <cell r="D100">
            <v>9499</v>
          </cell>
        </row>
        <row r="102">
          <cell r="D102">
            <v>7580</v>
          </cell>
        </row>
        <row r="115">
          <cell r="D115">
            <v>96047</v>
          </cell>
        </row>
        <row r="116">
          <cell r="D116">
            <v>17482</v>
          </cell>
        </row>
        <row r="117">
          <cell r="D117">
            <v>23811</v>
          </cell>
        </row>
        <row r="125">
          <cell r="D125">
            <v>279082</v>
          </cell>
          <cell r="F125">
            <v>51097</v>
          </cell>
        </row>
        <row r="128">
          <cell r="D128">
            <v>49813</v>
          </cell>
        </row>
        <row r="131">
          <cell r="D131">
            <v>50797</v>
          </cell>
          <cell r="F131">
            <v>7301</v>
          </cell>
        </row>
        <row r="134">
          <cell r="D134">
            <v>9067</v>
          </cell>
        </row>
        <row r="136">
          <cell r="D136">
            <v>677802</v>
          </cell>
        </row>
        <row r="137">
          <cell r="D137">
            <v>305308</v>
          </cell>
        </row>
        <row r="138">
          <cell r="D138">
            <v>701803</v>
          </cell>
        </row>
        <row r="141">
          <cell r="D141">
            <v>123371</v>
          </cell>
        </row>
        <row r="142">
          <cell r="D142">
            <v>55571</v>
          </cell>
        </row>
        <row r="143">
          <cell r="D143">
            <v>127740</v>
          </cell>
        </row>
        <row r="146">
          <cell r="D146">
            <v>20600</v>
          </cell>
        </row>
        <row r="150">
          <cell r="D150">
            <v>11774</v>
          </cell>
        </row>
        <row r="151">
          <cell r="D151">
            <v>186504</v>
          </cell>
        </row>
        <row r="152">
          <cell r="D152">
            <v>1308</v>
          </cell>
        </row>
        <row r="188">
          <cell r="D188">
            <v>1265</v>
          </cell>
        </row>
        <row r="189">
          <cell r="D189">
            <v>203</v>
          </cell>
        </row>
        <row r="190">
          <cell r="D190">
            <v>210</v>
          </cell>
        </row>
        <row r="194">
          <cell r="D194">
            <v>429229</v>
          </cell>
          <cell r="F194">
            <v>-10047</v>
          </cell>
        </row>
        <row r="195">
          <cell r="D195">
            <v>87334</v>
          </cell>
          <cell r="F195">
            <v>-2044</v>
          </cell>
        </row>
        <row r="197">
          <cell r="D197">
            <v>379381</v>
          </cell>
          <cell r="F197">
            <v>-8880</v>
          </cell>
        </row>
        <row r="198">
          <cell r="D198">
            <v>57560</v>
          </cell>
        </row>
        <row r="201">
          <cell r="D201">
            <v>7758</v>
          </cell>
        </row>
        <row r="203">
          <cell r="D203">
            <v>11796</v>
          </cell>
        </row>
        <row r="205">
          <cell r="D205">
            <v>362622</v>
          </cell>
        </row>
        <row r="206">
          <cell r="D206">
            <v>14501</v>
          </cell>
        </row>
        <row r="207">
          <cell r="D207">
            <v>37268</v>
          </cell>
        </row>
        <row r="211">
          <cell r="D211">
            <v>123225</v>
          </cell>
        </row>
        <row r="212">
          <cell r="D212">
            <v>22429</v>
          </cell>
        </row>
        <row r="213">
          <cell r="D213">
            <v>8194</v>
          </cell>
        </row>
        <row r="216">
          <cell r="D216">
            <v>12060</v>
          </cell>
        </row>
        <row r="221">
          <cell r="D221">
            <v>8404022</v>
          </cell>
        </row>
      </sheetData>
      <sheetData sheetId="9" refreshError="1"/>
      <sheetData sheetId="10" refreshError="1"/>
      <sheetData sheetId="11" refreshError="1"/>
      <sheetData sheetId="12">
        <row r="9">
          <cell r="C9">
            <v>17306</v>
          </cell>
          <cell r="D9">
            <v>0</v>
          </cell>
          <cell r="E9">
            <v>5924</v>
          </cell>
          <cell r="F9">
            <v>1635</v>
          </cell>
          <cell r="H9">
            <v>3166</v>
          </cell>
          <cell r="I9">
            <v>1849</v>
          </cell>
          <cell r="J9">
            <v>854</v>
          </cell>
          <cell r="K9">
            <v>187</v>
          </cell>
        </row>
        <row r="22">
          <cell r="N22">
            <v>180</v>
          </cell>
        </row>
        <row r="24">
          <cell r="N24">
            <v>156</v>
          </cell>
        </row>
        <row r="28">
          <cell r="N28">
            <v>65700</v>
          </cell>
        </row>
        <row r="30">
          <cell r="N30">
            <v>0.47063926940639267</v>
          </cell>
        </row>
        <row r="32">
          <cell r="N32">
            <v>0.26340943683409435</v>
          </cell>
        </row>
        <row r="34">
          <cell r="N34">
            <v>0.55968435690954366</v>
          </cell>
        </row>
      </sheetData>
      <sheetData sheetId="1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 - Supp"/>
      <sheetName val="Sch B-1"/>
      <sheetName val="Sch C"/>
      <sheetName val="Sch C - Supp"/>
      <sheetName val="Sch C-1"/>
      <sheetName val="Sch C-2"/>
      <sheetName val="Sch D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E10">
            <v>2175172</v>
          </cell>
          <cell r="G10">
            <v>0</v>
          </cell>
        </row>
        <row r="15">
          <cell r="E15">
            <v>183196</v>
          </cell>
          <cell r="G15">
            <v>0</v>
          </cell>
        </row>
        <row r="21">
          <cell r="E21">
            <v>2697981</v>
          </cell>
          <cell r="G21">
            <v>0</v>
          </cell>
        </row>
        <row r="27">
          <cell r="E27">
            <v>550023</v>
          </cell>
          <cell r="G27">
            <v>0</v>
          </cell>
        </row>
        <row r="32">
          <cell r="E32">
            <v>300882</v>
          </cell>
          <cell r="G32">
            <v>0</v>
          </cell>
        </row>
        <row r="37">
          <cell r="E37">
            <v>618887</v>
          </cell>
          <cell r="G37">
            <v>0</v>
          </cell>
        </row>
        <row r="42">
          <cell r="E42">
            <v>131945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250074</v>
          </cell>
          <cell r="G52">
            <v>0</v>
          </cell>
        </row>
        <row r="67">
          <cell r="E67">
            <v>97533</v>
          </cell>
          <cell r="G67">
            <v>-6871</v>
          </cell>
        </row>
        <row r="85">
          <cell r="C85">
            <v>207.47067238912732</v>
          </cell>
          <cell r="E85">
            <v>207.47078651685393</v>
          </cell>
          <cell r="G85">
            <v>207.47149460708783</v>
          </cell>
          <cell r="I85">
            <v>207.47248322147652</v>
          </cell>
        </row>
      </sheetData>
      <sheetData sheetId="6" refreshError="1"/>
      <sheetData sheetId="7" refreshError="1"/>
      <sheetData sheetId="8">
        <row r="10">
          <cell r="D10">
            <v>172562</v>
          </cell>
        </row>
        <row r="11">
          <cell r="D11">
            <v>24412</v>
          </cell>
        </row>
        <row r="12">
          <cell r="D12">
            <v>220430</v>
          </cell>
          <cell r="F12">
            <v>205245</v>
          </cell>
        </row>
        <row r="13">
          <cell r="D13">
            <v>70897</v>
          </cell>
          <cell r="F13">
            <v>29325</v>
          </cell>
        </row>
        <row r="15">
          <cell r="D15">
            <v>399848</v>
          </cell>
          <cell r="F15">
            <v>-396784</v>
          </cell>
        </row>
        <row r="17">
          <cell r="D17">
            <v>33433</v>
          </cell>
          <cell r="F17">
            <v>-31950</v>
          </cell>
        </row>
        <row r="18">
          <cell r="D18">
            <v>10880</v>
          </cell>
        </row>
        <row r="19">
          <cell r="D19">
            <v>17676</v>
          </cell>
          <cell r="F19">
            <v>1523</v>
          </cell>
        </row>
        <row r="20">
          <cell r="D20">
            <v>15585</v>
          </cell>
          <cell r="F20">
            <v>5353</v>
          </cell>
        </row>
        <row r="21">
          <cell r="D21">
            <v>74635</v>
          </cell>
          <cell r="F21">
            <v>1425</v>
          </cell>
        </row>
        <row r="23">
          <cell r="D23">
            <v>9889</v>
          </cell>
          <cell r="F23">
            <v>15780</v>
          </cell>
        </row>
        <row r="24">
          <cell r="D24">
            <v>111644</v>
          </cell>
        </row>
        <row r="26">
          <cell r="D26">
            <v>283751</v>
          </cell>
        </row>
        <row r="28">
          <cell r="F28">
            <v>0</v>
          </cell>
        </row>
        <row r="29">
          <cell r="D29">
            <v>244169</v>
          </cell>
          <cell r="F29">
            <v>-244169</v>
          </cell>
        </row>
        <row r="30">
          <cell r="D30">
            <v>2806</v>
          </cell>
          <cell r="F30">
            <v>-2806</v>
          </cell>
        </row>
        <row r="31">
          <cell r="D31">
            <v>55921</v>
          </cell>
        </row>
        <row r="32">
          <cell r="D32">
            <v>41898</v>
          </cell>
          <cell r="F32">
            <v>79</v>
          </cell>
        </row>
        <row r="33">
          <cell r="F33">
            <v>0</v>
          </cell>
        </row>
        <row r="35">
          <cell r="F35">
            <v>0</v>
          </cell>
        </row>
        <row r="36">
          <cell r="D36">
            <v>41134</v>
          </cell>
        </row>
        <row r="37">
          <cell r="D37">
            <v>6987</v>
          </cell>
        </row>
        <row r="39">
          <cell r="D39">
            <v>3277</v>
          </cell>
          <cell r="F39">
            <v>-3277</v>
          </cell>
        </row>
        <row r="42">
          <cell r="D42">
            <v>12639</v>
          </cell>
        </row>
        <row r="43">
          <cell r="D43">
            <v>8739</v>
          </cell>
        </row>
        <row r="45">
          <cell r="D45">
            <v>3338</v>
          </cell>
          <cell r="F45">
            <v>615</v>
          </cell>
        </row>
        <row r="57">
          <cell r="D57">
            <v>756107</v>
          </cell>
          <cell r="F57">
            <v>-752777</v>
          </cell>
        </row>
        <row r="58">
          <cell r="D58">
            <v>89386</v>
          </cell>
          <cell r="F58">
            <v>145225</v>
          </cell>
        </row>
        <row r="59">
          <cell r="D59">
            <v>181</v>
          </cell>
          <cell r="F59">
            <v>-181</v>
          </cell>
        </row>
        <row r="60">
          <cell r="D60">
            <v>26098</v>
          </cell>
        </row>
        <row r="65">
          <cell r="D65">
            <v>2932</v>
          </cell>
        </row>
        <row r="67">
          <cell r="F67">
            <v>31650</v>
          </cell>
        </row>
        <row r="69">
          <cell r="D69">
            <v>5329</v>
          </cell>
          <cell r="F69">
            <v>-5329</v>
          </cell>
        </row>
        <row r="75">
          <cell r="D75">
            <v>49778</v>
          </cell>
        </row>
        <row r="76">
          <cell r="D76">
            <v>8455</v>
          </cell>
        </row>
        <row r="77">
          <cell r="D77">
            <v>27363</v>
          </cell>
          <cell r="F77">
            <v>393</v>
          </cell>
        </row>
        <row r="78">
          <cell r="D78">
            <v>32532</v>
          </cell>
          <cell r="F78">
            <v>520</v>
          </cell>
        </row>
        <row r="79">
          <cell r="D79">
            <v>12222</v>
          </cell>
        </row>
        <row r="80">
          <cell r="D80">
            <v>6549</v>
          </cell>
        </row>
        <row r="81">
          <cell r="D81">
            <v>13324</v>
          </cell>
        </row>
        <row r="82">
          <cell r="D82">
            <v>126</v>
          </cell>
        </row>
        <row r="83">
          <cell r="D83">
            <v>4963</v>
          </cell>
        </row>
        <row r="84">
          <cell r="D84">
            <v>107612</v>
          </cell>
        </row>
        <row r="89">
          <cell r="D89">
            <v>209788</v>
          </cell>
        </row>
        <row r="90">
          <cell r="D90">
            <v>35633</v>
          </cell>
        </row>
        <row r="91">
          <cell r="D91">
            <v>5955</v>
          </cell>
          <cell r="F91">
            <v>5804</v>
          </cell>
        </row>
        <row r="92">
          <cell r="D92">
            <v>171967</v>
          </cell>
        </row>
        <row r="93">
          <cell r="D93">
            <v>17289</v>
          </cell>
        </row>
        <row r="94">
          <cell r="D94">
            <v>2060</v>
          </cell>
        </row>
        <row r="98">
          <cell r="D98">
            <v>56146</v>
          </cell>
        </row>
        <row r="99">
          <cell r="D99">
            <v>9537</v>
          </cell>
        </row>
        <row r="100">
          <cell r="D100">
            <v>7885</v>
          </cell>
        </row>
        <row r="102">
          <cell r="D102">
            <v>9002</v>
          </cell>
        </row>
        <row r="115">
          <cell r="D115">
            <v>89756</v>
          </cell>
        </row>
        <row r="116">
          <cell r="D116">
            <v>15245</v>
          </cell>
        </row>
        <row r="117">
          <cell r="D117">
            <v>22056</v>
          </cell>
        </row>
        <row r="125">
          <cell r="D125">
            <v>244098</v>
          </cell>
          <cell r="F125">
            <v>41776</v>
          </cell>
        </row>
        <row r="128">
          <cell r="D128">
            <v>60137</v>
          </cell>
        </row>
        <row r="131">
          <cell r="D131">
            <v>41461</v>
          </cell>
          <cell r="F131">
            <v>5969</v>
          </cell>
        </row>
        <row r="134">
          <cell r="D134">
            <v>10214</v>
          </cell>
        </row>
        <row r="136">
          <cell r="D136">
            <v>464514</v>
          </cell>
        </row>
        <row r="137">
          <cell r="D137">
            <v>182543</v>
          </cell>
        </row>
        <row r="138">
          <cell r="D138">
            <v>631010</v>
          </cell>
        </row>
        <row r="141">
          <cell r="D141">
            <v>78899</v>
          </cell>
        </row>
        <row r="142">
          <cell r="D142">
            <v>31005</v>
          </cell>
        </row>
        <row r="143">
          <cell r="D143">
            <v>107178</v>
          </cell>
        </row>
        <row r="146">
          <cell r="D146">
            <v>17200</v>
          </cell>
        </row>
        <row r="150">
          <cell r="D150">
            <v>5634</v>
          </cell>
        </row>
        <row r="151">
          <cell r="D151">
            <v>126237</v>
          </cell>
        </row>
        <row r="152">
          <cell r="D152">
            <v>773</v>
          </cell>
        </row>
        <row r="161">
          <cell r="D161">
            <v>5198</v>
          </cell>
        </row>
        <row r="188">
          <cell r="D188">
            <v>2918</v>
          </cell>
        </row>
        <row r="189">
          <cell r="D189">
            <v>5014</v>
          </cell>
        </row>
        <row r="191">
          <cell r="D191">
            <v>684</v>
          </cell>
        </row>
        <row r="194">
          <cell r="D194">
            <v>434672</v>
          </cell>
          <cell r="F194">
            <v>-20823</v>
          </cell>
        </row>
        <row r="195">
          <cell r="D195">
            <v>85925</v>
          </cell>
          <cell r="F195">
            <v>-4116</v>
          </cell>
        </row>
        <row r="197">
          <cell r="D197">
            <v>274176</v>
          </cell>
          <cell r="F197">
            <v>-13134</v>
          </cell>
        </row>
        <row r="198">
          <cell r="D198">
            <v>47832</v>
          </cell>
        </row>
        <row r="201">
          <cell r="D201">
            <v>972</v>
          </cell>
        </row>
        <row r="203">
          <cell r="D203">
            <v>8196</v>
          </cell>
        </row>
        <row r="205">
          <cell r="D205">
            <v>344195</v>
          </cell>
        </row>
        <row r="206">
          <cell r="D206">
            <v>3681</v>
          </cell>
        </row>
        <row r="207">
          <cell r="D207">
            <v>12216</v>
          </cell>
        </row>
        <row r="211">
          <cell r="D211">
            <v>126483</v>
          </cell>
        </row>
        <row r="212">
          <cell r="D212">
            <v>21483</v>
          </cell>
        </row>
        <row r="213">
          <cell r="D213">
            <v>1500</v>
          </cell>
        </row>
        <row r="216">
          <cell r="D216">
            <v>14128</v>
          </cell>
        </row>
        <row r="221">
          <cell r="D221">
            <v>7052002</v>
          </cell>
        </row>
      </sheetData>
      <sheetData sheetId="9" refreshError="1"/>
      <sheetData sheetId="10" refreshError="1"/>
      <sheetData sheetId="11" refreshError="1"/>
      <sheetData sheetId="12">
        <row r="9">
          <cell r="C9">
            <v>11529</v>
          </cell>
          <cell r="D9">
            <v>1084</v>
          </cell>
          <cell r="E9">
            <v>5936</v>
          </cell>
          <cell r="F9">
            <v>1388</v>
          </cell>
          <cell r="G9">
            <v>1284</v>
          </cell>
          <cell r="H9">
            <v>2983</v>
          </cell>
          <cell r="I9">
            <v>674</v>
          </cell>
          <cell r="J9">
            <v>607</v>
          </cell>
          <cell r="K9">
            <v>539</v>
          </cell>
        </row>
        <row r="22">
          <cell r="N22">
            <v>120</v>
          </cell>
        </row>
        <row r="24">
          <cell r="N24">
            <v>120</v>
          </cell>
        </row>
        <row r="28">
          <cell r="N28">
            <v>43800</v>
          </cell>
        </row>
        <row r="30">
          <cell r="N30">
            <v>0.59415525114155254</v>
          </cell>
        </row>
        <row r="32">
          <cell r="N32">
            <v>0.28796803652968034</v>
          </cell>
        </row>
        <row r="34">
          <cell r="N34">
            <v>0.48466799877036576</v>
          </cell>
        </row>
      </sheetData>
      <sheetData sheetId="1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E10">
            <v>1731203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3021974</v>
          </cell>
          <cell r="G21">
            <v>0</v>
          </cell>
        </row>
        <row r="27">
          <cell r="E27">
            <v>0</v>
          </cell>
          <cell r="G27">
            <v>857190</v>
          </cell>
        </row>
        <row r="32">
          <cell r="E32">
            <v>0</v>
          </cell>
          <cell r="G32">
            <v>0</v>
          </cell>
        </row>
        <row r="37">
          <cell r="E37">
            <v>1130977</v>
          </cell>
          <cell r="G37">
            <v>0</v>
          </cell>
        </row>
        <row r="42">
          <cell r="E42">
            <v>72074</v>
          </cell>
          <cell r="G42">
            <v>165689</v>
          </cell>
        </row>
        <row r="47">
          <cell r="E47">
            <v>0</v>
          </cell>
          <cell r="G47">
            <v>1201</v>
          </cell>
        </row>
        <row r="52">
          <cell r="E52">
            <v>1408525</v>
          </cell>
          <cell r="G52">
            <v>-1024081</v>
          </cell>
        </row>
        <row r="67">
          <cell r="E67">
            <v>-181478</v>
          </cell>
          <cell r="G67">
            <v>240610</v>
          </cell>
        </row>
        <row r="85">
          <cell r="C85">
            <v>203.65742128935531</v>
          </cell>
          <cell r="E85">
            <v>205.82068543451652</v>
          </cell>
          <cell r="G85">
            <v>203.50039215686274</v>
          </cell>
          <cell r="I85">
            <v>206.52351097178683</v>
          </cell>
        </row>
      </sheetData>
      <sheetData sheetId="6" refreshError="1"/>
      <sheetData sheetId="7">
        <row r="10">
          <cell r="D10">
            <v>126976</v>
          </cell>
          <cell r="F10">
            <v>-14396</v>
          </cell>
        </row>
        <row r="11">
          <cell r="D11">
            <v>0</v>
          </cell>
          <cell r="F11">
            <v>0</v>
          </cell>
        </row>
        <row r="12">
          <cell r="D12">
            <v>179306</v>
          </cell>
          <cell r="F12">
            <v>21733</v>
          </cell>
        </row>
        <row r="13">
          <cell r="D13">
            <v>364923</v>
          </cell>
          <cell r="F13">
            <v>-339182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232863</v>
          </cell>
        </row>
        <row r="16">
          <cell r="D16">
            <v>0</v>
          </cell>
          <cell r="F16">
            <v>0</v>
          </cell>
        </row>
        <row r="17">
          <cell r="D17">
            <v>3218</v>
          </cell>
          <cell r="F17">
            <v>0</v>
          </cell>
        </row>
        <row r="18">
          <cell r="D18">
            <v>23101</v>
          </cell>
          <cell r="F18">
            <v>0</v>
          </cell>
        </row>
        <row r="19">
          <cell r="D19">
            <v>162927</v>
          </cell>
          <cell r="F19">
            <v>-145494</v>
          </cell>
        </row>
        <row r="20">
          <cell r="D20">
            <v>22350</v>
          </cell>
          <cell r="F20">
            <v>-100</v>
          </cell>
        </row>
        <row r="21">
          <cell r="D21">
            <v>3201</v>
          </cell>
          <cell r="F21">
            <v>405</v>
          </cell>
        </row>
        <row r="22">
          <cell r="D22">
            <v>0</v>
          </cell>
          <cell r="F22">
            <v>0</v>
          </cell>
        </row>
        <row r="23">
          <cell r="D23">
            <v>16520</v>
          </cell>
          <cell r="F23">
            <v>-5596</v>
          </cell>
        </row>
        <row r="24">
          <cell r="D24">
            <v>0</v>
          </cell>
          <cell r="F24">
            <v>0</v>
          </cell>
        </row>
        <row r="25">
          <cell r="D25">
            <v>0</v>
          </cell>
          <cell r="F25">
            <v>0</v>
          </cell>
        </row>
        <row r="26">
          <cell r="D26">
            <v>137458</v>
          </cell>
          <cell r="F26">
            <v>140558</v>
          </cell>
        </row>
        <row r="27">
          <cell r="D27">
            <v>19237</v>
          </cell>
          <cell r="F27">
            <v>-19237</v>
          </cell>
        </row>
        <row r="28">
          <cell r="D28">
            <v>0</v>
          </cell>
          <cell r="F28">
            <v>0</v>
          </cell>
        </row>
        <row r="29">
          <cell r="D29">
            <v>0</v>
          </cell>
          <cell r="F29">
            <v>0</v>
          </cell>
        </row>
        <row r="30">
          <cell r="D30">
            <v>0</v>
          </cell>
          <cell r="F30">
            <v>0</v>
          </cell>
        </row>
        <row r="31">
          <cell r="D31">
            <v>44864</v>
          </cell>
          <cell r="F31">
            <v>-44864</v>
          </cell>
        </row>
        <row r="32">
          <cell r="D32">
            <v>65172</v>
          </cell>
          <cell r="F32">
            <v>-4923</v>
          </cell>
        </row>
        <row r="33">
          <cell r="D33">
            <v>0</v>
          </cell>
          <cell r="F33">
            <v>0</v>
          </cell>
        </row>
        <row r="34">
          <cell r="D34">
            <v>6436</v>
          </cell>
          <cell r="F34">
            <v>0</v>
          </cell>
        </row>
        <row r="35">
          <cell r="D35">
            <v>362</v>
          </cell>
          <cell r="F35">
            <v>-362</v>
          </cell>
        </row>
        <row r="36">
          <cell r="D36">
            <v>0</v>
          </cell>
          <cell r="F36">
            <v>0</v>
          </cell>
        </row>
        <row r="37">
          <cell r="D37">
            <v>0</v>
          </cell>
          <cell r="F37">
            <v>0</v>
          </cell>
        </row>
        <row r="38">
          <cell r="D38">
            <v>464</v>
          </cell>
          <cell r="F38">
            <v>0</v>
          </cell>
        </row>
        <row r="39">
          <cell r="D39">
            <v>6077</v>
          </cell>
          <cell r="F39">
            <v>0</v>
          </cell>
        </row>
        <row r="40">
          <cell r="D40">
            <v>141102</v>
          </cell>
          <cell r="F40">
            <v>-141102</v>
          </cell>
        </row>
        <row r="41">
          <cell r="D41">
            <v>40282</v>
          </cell>
          <cell r="F41">
            <v>0</v>
          </cell>
        </row>
        <row r="42">
          <cell r="D42">
            <v>16616</v>
          </cell>
          <cell r="F42">
            <v>0</v>
          </cell>
        </row>
        <row r="43">
          <cell r="D43">
            <v>732</v>
          </cell>
          <cell r="F43">
            <v>8876</v>
          </cell>
        </row>
        <row r="44">
          <cell r="D44">
            <v>2221</v>
          </cell>
          <cell r="F44">
            <v>0</v>
          </cell>
        </row>
        <row r="45">
          <cell r="D45">
            <v>25593</v>
          </cell>
          <cell r="F45">
            <v>-3801</v>
          </cell>
        </row>
        <row r="57">
          <cell r="D57">
            <v>249665</v>
          </cell>
          <cell r="F57">
            <v>-244985</v>
          </cell>
        </row>
        <row r="58">
          <cell r="D58">
            <v>0</v>
          </cell>
          <cell r="F58">
            <v>365256</v>
          </cell>
        </row>
        <row r="59">
          <cell r="D59">
            <v>0</v>
          </cell>
          <cell r="F59">
            <v>0</v>
          </cell>
        </row>
        <row r="60">
          <cell r="D60">
            <v>26426</v>
          </cell>
          <cell r="F60">
            <v>0</v>
          </cell>
        </row>
        <row r="61">
          <cell r="D61">
            <v>14852</v>
          </cell>
          <cell r="F61">
            <v>0</v>
          </cell>
        </row>
        <row r="62">
          <cell r="D62">
            <v>-1501</v>
          </cell>
          <cell r="F62">
            <v>1501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4104</v>
          </cell>
          <cell r="F65">
            <v>-3056</v>
          </cell>
        </row>
        <row r="66">
          <cell r="D66">
            <v>3026</v>
          </cell>
          <cell r="F66">
            <v>0</v>
          </cell>
        </row>
        <row r="67">
          <cell r="D67">
            <v>91293</v>
          </cell>
          <cell r="F67">
            <v>40140</v>
          </cell>
        </row>
        <row r="68">
          <cell r="D68">
            <v>703</v>
          </cell>
          <cell r="F68">
            <v>-89</v>
          </cell>
        </row>
        <row r="69">
          <cell r="D69">
            <v>3294</v>
          </cell>
          <cell r="F69">
            <v>5328</v>
          </cell>
        </row>
        <row r="70">
          <cell r="D70">
            <v>-10</v>
          </cell>
          <cell r="F70">
            <v>10</v>
          </cell>
        </row>
        <row r="71">
          <cell r="D71">
            <v>0</v>
          </cell>
          <cell r="F71">
            <v>0</v>
          </cell>
        </row>
        <row r="75">
          <cell r="D75">
            <v>135852</v>
          </cell>
          <cell r="F75">
            <v>12099</v>
          </cell>
        </row>
        <row r="76">
          <cell r="D76">
            <v>10881</v>
          </cell>
          <cell r="F76">
            <v>0</v>
          </cell>
        </row>
        <row r="77">
          <cell r="D77">
            <v>16118</v>
          </cell>
          <cell r="F77">
            <v>-46</v>
          </cell>
        </row>
        <row r="78">
          <cell r="D78">
            <v>0</v>
          </cell>
          <cell r="F78">
            <v>0</v>
          </cell>
        </row>
        <row r="79">
          <cell r="D79">
            <v>23367</v>
          </cell>
          <cell r="F79">
            <v>36035</v>
          </cell>
        </row>
        <row r="80">
          <cell r="D80">
            <v>58075</v>
          </cell>
          <cell r="F80">
            <v>-8876</v>
          </cell>
        </row>
        <row r="81">
          <cell r="D81">
            <v>0</v>
          </cell>
          <cell r="F81">
            <v>0</v>
          </cell>
        </row>
        <row r="82">
          <cell r="D82">
            <v>39288</v>
          </cell>
          <cell r="F82">
            <v>3570</v>
          </cell>
        </row>
        <row r="83">
          <cell r="D83">
            <v>11670</v>
          </cell>
          <cell r="F83">
            <v>0</v>
          </cell>
        </row>
        <row r="84">
          <cell r="D84">
            <v>116204</v>
          </cell>
          <cell r="F84">
            <v>0</v>
          </cell>
        </row>
        <row r="85">
          <cell r="D85">
            <v>116</v>
          </cell>
          <cell r="F85">
            <v>0</v>
          </cell>
        </row>
        <row r="89">
          <cell r="D89">
            <v>240592</v>
          </cell>
          <cell r="F89">
            <v>21426</v>
          </cell>
        </row>
        <row r="90">
          <cell r="D90">
            <v>20514</v>
          </cell>
          <cell r="F90">
            <v>0</v>
          </cell>
        </row>
        <row r="91">
          <cell r="D91">
            <v>34726</v>
          </cell>
          <cell r="F91">
            <v>0</v>
          </cell>
        </row>
        <row r="92">
          <cell r="D92">
            <v>205846</v>
          </cell>
          <cell r="F92">
            <v>-5448</v>
          </cell>
        </row>
        <row r="93">
          <cell r="D93">
            <v>14464</v>
          </cell>
          <cell r="F93">
            <v>-152</v>
          </cell>
        </row>
        <row r="94">
          <cell r="D94">
            <v>0</v>
          </cell>
          <cell r="F94">
            <v>0</v>
          </cell>
        </row>
        <row r="98">
          <cell r="D98">
            <v>50990</v>
          </cell>
          <cell r="F98">
            <v>4541</v>
          </cell>
        </row>
        <row r="99">
          <cell r="D99">
            <v>4010</v>
          </cell>
          <cell r="F99">
            <v>0</v>
          </cell>
        </row>
        <row r="100">
          <cell r="D100">
            <v>5044</v>
          </cell>
          <cell r="F100">
            <v>-42</v>
          </cell>
        </row>
        <row r="101">
          <cell r="D101">
            <v>0</v>
          </cell>
          <cell r="F101">
            <v>0</v>
          </cell>
        </row>
        <row r="102">
          <cell r="D102">
            <v>6765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91835</v>
          </cell>
          <cell r="F115">
            <v>8179</v>
          </cell>
        </row>
        <row r="116">
          <cell r="D116">
            <v>6732</v>
          </cell>
          <cell r="F116">
            <v>0</v>
          </cell>
        </row>
        <row r="117">
          <cell r="D117">
            <v>20033</v>
          </cell>
          <cell r="F117">
            <v>-11</v>
          </cell>
        </row>
        <row r="118">
          <cell r="D118">
            <v>4745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5">
          <cell r="F125">
            <v>343932</v>
          </cell>
        </row>
        <row r="126">
          <cell r="F126">
            <v>63814</v>
          </cell>
        </row>
        <row r="127">
          <cell r="F127">
            <v>43054</v>
          </cell>
        </row>
        <row r="128">
          <cell r="D128">
            <v>527213</v>
          </cell>
          <cell r="F128">
            <v>-450988</v>
          </cell>
        </row>
        <row r="131">
          <cell r="F131">
            <v>58649</v>
          </cell>
        </row>
        <row r="132">
          <cell r="F132">
            <v>10914</v>
          </cell>
        </row>
        <row r="133">
          <cell r="F133">
            <v>7341</v>
          </cell>
        </row>
        <row r="134">
          <cell r="D134">
            <v>43955</v>
          </cell>
          <cell r="F134">
            <v>-29952</v>
          </cell>
        </row>
        <row r="136">
          <cell r="F136">
            <v>695427</v>
          </cell>
        </row>
        <row r="137">
          <cell r="F137">
            <v>310107</v>
          </cell>
        </row>
        <row r="138">
          <cell r="F138">
            <v>749849</v>
          </cell>
        </row>
        <row r="139">
          <cell r="D139">
            <v>1755195</v>
          </cell>
          <cell r="F139">
            <v>-1755195</v>
          </cell>
        </row>
        <row r="141">
          <cell r="F141">
            <v>121681</v>
          </cell>
        </row>
        <row r="142">
          <cell r="F142">
            <v>54260</v>
          </cell>
        </row>
        <row r="143">
          <cell r="F143">
            <v>131204</v>
          </cell>
        </row>
        <row r="144">
          <cell r="D144">
            <v>150815</v>
          </cell>
          <cell r="F144">
            <v>-150815</v>
          </cell>
        </row>
        <row r="146">
          <cell r="F146">
            <v>38400</v>
          </cell>
        </row>
        <row r="147">
          <cell r="F147">
            <v>0</v>
          </cell>
        </row>
        <row r="148">
          <cell r="F148">
            <v>0</v>
          </cell>
        </row>
        <row r="149">
          <cell r="F149">
            <v>0</v>
          </cell>
        </row>
        <row r="150">
          <cell r="D150">
            <v>38970</v>
          </cell>
          <cell r="F150">
            <v>-38430</v>
          </cell>
        </row>
        <row r="151">
          <cell r="D151">
            <v>212036</v>
          </cell>
          <cell r="F151">
            <v>-876</v>
          </cell>
        </row>
        <row r="152">
          <cell r="D152">
            <v>5191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129</v>
          </cell>
          <cell r="F154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6952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359656</v>
          </cell>
          <cell r="F177">
            <v>30799</v>
          </cell>
        </row>
        <row r="178">
          <cell r="D178">
            <v>27782</v>
          </cell>
          <cell r="F178">
            <v>1130</v>
          </cell>
        </row>
        <row r="179">
          <cell r="D179">
            <v>92404</v>
          </cell>
          <cell r="F179">
            <v>8229</v>
          </cell>
        </row>
        <row r="180">
          <cell r="D180">
            <v>6802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366931</v>
          </cell>
          <cell r="F183">
            <v>30580</v>
          </cell>
        </row>
        <row r="184">
          <cell r="D184">
            <v>28203</v>
          </cell>
          <cell r="F184">
            <v>764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14039</v>
          </cell>
          <cell r="F188">
            <v>0</v>
          </cell>
        </row>
        <row r="189">
          <cell r="D189">
            <v>222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2256</v>
          </cell>
          <cell r="F191">
            <v>0</v>
          </cell>
        </row>
        <row r="192">
          <cell r="D192">
            <v>392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-91</v>
          </cell>
          <cell r="F194">
            <v>0</v>
          </cell>
        </row>
        <row r="195">
          <cell r="D195">
            <v>1926</v>
          </cell>
          <cell r="F195">
            <v>0</v>
          </cell>
        </row>
        <row r="196">
          <cell r="D196">
            <v>0</v>
          </cell>
          <cell r="F196">
            <v>0</v>
          </cell>
        </row>
        <row r="197">
          <cell r="D197">
            <v>0</v>
          </cell>
          <cell r="F197">
            <v>0</v>
          </cell>
        </row>
        <row r="198">
          <cell r="D198">
            <v>43390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321493</v>
          </cell>
          <cell r="F205">
            <v>0</v>
          </cell>
        </row>
        <row r="206">
          <cell r="D206">
            <v>31849</v>
          </cell>
          <cell r="F206">
            <v>0</v>
          </cell>
        </row>
        <row r="207">
          <cell r="D207">
            <v>16261</v>
          </cell>
          <cell r="F207">
            <v>0</v>
          </cell>
        </row>
        <row r="211">
          <cell r="D211">
            <v>131289</v>
          </cell>
          <cell r="F211">
            <v>11692</v>
          </cell>
        </row>
        <row r="212">
          <cell r="D212">
            <v>10610</v>
          </cell>
          <cell r="F212">
            <v>0</v>
          </cell>
        </row>
        <row r="213">
          <cell r="D213">
            <v>13568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8824</v>
          </cell>
          <cell r="F216">
            <v>0</v>
          </cell>
        </row>
        <row r="221">
          <cell r="D221">
            <v>7137119</v>
          </cell>
        </row>
      </sheetData>
      <sheetData sheetId="8" refreshError="1"/>
      <sheetData sheetId="9" refreshError="1"/>
      <sheetData sheetId="10">
        <row r="9">
          <cell r="C9">
            <v>10388</v>
          </cell>
          <cell r="E9">
            <v>5832</v>
          </cell>
          <cell r="F9">
            <v>2223</v>
          </cell>
          <cell r="G9">
            <v>0</v>
          </cell>
          <cell r="H9">
            <v>5404</v>
          </cell>
          <cell r="I9">
            <v>1385</v>
          </cell>
          <cell r="J9">
            <v>7</v>
          </cell>
          <cell r="K9">
            <v>997</v>
          </cell>
        </row>
        <row r="22">
          <cell r="N22">
            <v>120</v>
          </cell>
        </row>
        <row r="24">
          <cell r="N24">
            <v>120</v>
          </cell>
        </row>
        <row r="28">
          <cell r="N28">
            <v>43800</v>
          </cell>
        </row>
        <row r="30">
          <cell r="N30">
            <v>0.59899543378995435</v>
          </cell>
        </row>
        <row r="32">
          <cell r="N32">
            <v>0.23716894977168951</v>
          </cell>
        </row>
        <row r="34">
          <cell r="N34">
            <v>0.39594450373532553</v>
          </cell>
        </row>
      </sheetData>
      <sheetData sheetId="1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E10">
            <v>1829764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0</v>
          </cell>
          <cell r="G21">
            <v>0</v>
          </cell>
        </row>
        <row r="27">
          <cell r="E27">
            <v>0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50961</v>
          </cell>
          <cell r="G37">
            <v>0</v>
          </cell>
        </row>
        <row r="42">
          <cell r="E42">
            <v>355252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44931</v>
          </cell>
          <cell r="G67">
            <v>0</v>
          </cell>
        </row>
        <row r="85">
          <cell r="C85">
            <v>37.842105263157897</v>
          </cell>
          <cell r="E85">
            <v>240.45045045045046</v>
          </cell>
          <cell r="G85">
            <v>182.52272727272728</v>
          </cell>
          <cell r="I85">
            <v>87.206896551724142</v>
          </cell>
        </row>
      </sheetData>
      <sheetData sheetId="6" refreshError="1"/>
      <sheetData sheetId="7">
        <row r="10">
          <cell r="D10">
            <v>130541</v>
          </cell>
        </row>
        <row r="12">
          <cell r="D12">
            <v>52644</v>
          </cell>
        </row>
        <row r="13">
          <cell r="D13">
            <v>8521</v>
          </cell>
        </row>
        <row r="17">
          <cell r="D17">
            <v>2712</v>
          </cell>
          <cell r="F17">
            <v>-2712</v>
          </cell>
        </row>
        <row r="18">
          <cell r="D18">
            <v>7400</v>
          </cell>
        </row>
        <row r="19">
          <cell r="D19">
            <v>15324</v>
          </cell>
        </row>
        <row r="20">
          <cell r="D20">
            <v>11473</v>
          </cell>
        </row>
        <row r="21">
          <cell r="D21">
            <v>13910</v>
          </cell>
        </row>
        <row r="23">
          <cell r="D23">
            <v>13768</v>
          </cell>
        </row>
        <row r="26">
          <cell r="D26">
            <v>196859</v>
          </cell>
        </row>
        <row r="28">
          <cell r="F28">
            <v>0</v>
          </cell>
        </row>
        <row r="29">
          <cell r="F29">
            <v>0</v>
          </cell>
        </row>
        <row r="30">
          <cell r="D30">
            <v>500</v>
          </cell>
          <cell r="F30">
            <v>-500</v>
          </cell>
        </row>
        <row r="31">
          <cell r="D31">
            <v>22167</v>
          </cell>
        </row>
        <row r="32">
          <cell r="D32">
            <v>20227</v>
          </cell>
        </row>
        <row r="33">
          <cell r="F33">
            <v>0</v>
          </cell>
        </row>
        <row r="35">
          <cell r="F35">
            <v>0</v>
          </cell>
        </row>
        <row r="39">
          <cell r="D39">
            <v>776</v>
          </cell>
        </row>
        <row r="40">
          <cell r="D40">
            <v>3640</v>
          </cell>
        </row>
        <row r="41">
          <cell r="D41">
            <v>44075</v>
          </cell>
        </row>
        <row r="43">
          <cell r="D43">
            <v>6130</v>
          </cell>
          <cell r="F43">
            <v>-6130</v>
          </cell>
        </row>
        <row r="45">
          <cell r="D45">
            <v>4906</v>
          </cell>
        </row>
        <row r="57">
          <cell r="D57">
            <v>111720</v>
          </cell>
        </row>
        <row r="60">
          <cell r="D60">
            <v>10655</v>
          </cell>
        </row>
        <row r="75">
          <cell r="D75">
            <v>27678</v>
          </cell>
        </row>
        <row r="76">
          <cell r="D76">
            <v>2454</v>
          </cell>
        </row>
        <row r="77">
          <cell r="D77">
            <v>4367</v>
          </cell>
        </row>
        <row r="79">
          <cell r="D79">
            <v>464</v>
          </cell>
        </row>
        <row r="80">
          <cell r="D80">
            <v>19824</v>
          </cell>
        </row>
        <row r="81">
          <cell r="D81">
            <v>102914</v>
          </cell>
          <cell r="F81">
            <v>-102914</v>
          </cell>
        </row>
        <row r="82">
          <cell r="D82">
            <v>16835</v>
          </cell>
        </row>
        <row r="83">
          <cell r="D83">
            <v>213</v>
          </cell>
        </row>
        <row r="84">
          <cell r="D84">
            <v>33615</v>
          </cell>
        </row>
        <row r="85">
          <cell r="D85">
            <v>2251</v>
          </cell>
        </row>
        <row r="89">
          <cell r="D89">
            <v>101306</v>
          </cell>
        </row>
        <row r="90">
          <cell r="D90">
            <v>9074</v>
          </cell>
        </row>
        <row r="91">
          <cell r="D91">
            <v>14321</v>
          </cell>
        </row>
        <row r="92">
          <cell r="D92">
            <v>74215</v>
          </cell>
        </row>
        <row r="93">
          <cell r="D93">
            <v>10160</v>
          </cell>
        </row>
        <row r="98">
          <cell r="D98">
            <v>5054</v>
          </cell>
        </row>
        <row r="99">
          <cell r="D99">
            <v>458</v>
          </cell>
        </row>
        <row r="100">
          <cell r="D100">
            <v>6447</v>
          </cell>
        </row>
        <row r="115">
          <cell r="D115">
            <v>47678</v>
          </cell>
        </row>
        <row r="116">
          <cell r="D116">
            <v>4203</v>
          </cell>
        </row>
        <row r="117">
          <cell r="D117">
            <v>11700</v>
          </cell>
        </row>
        <row r="118">
          <cell r="D118">
            <v>969</v>
          </cell>
        </row>
        <row r="125">
          <cell r="D125">
            <v>87360</v>
          </cell>
        </row>
        <row r="128">
          <cell r="D128">
            <v>12887</v>
          </cell>
        </row>
        <row r="136">
          <cell r="D136">
            <v>108961</v>
          </cell>
        </row>
        <row r="137">
          <cell r="D137">
            <v>123551</v>
          </cell>
        </row>
        <row r="138">
          <cell r="D138">
            <v>201314</v>
          </cell>
        </row>
        <row r="141">
          <cell r="D141">
            <v>23163</v>
          </cell>
        </row>
        <row r="143">
          <cell r="D143">
            <v>17952</v>
          </cell>
        </row>
        <row r="146">
          <cell r="D146">
            <v>5500</v>
          </cell>
        </row>
        <row r="149">
          <cell r="D149">
            <v>1963</v>
          </cell>
        </row>
        <row r="150">
          <cell r="D150">
            <v>2264</v>
          </cell>
        </row>
        <row r="151">
          <cell r="D151">
            <v>35697</v>
          </cell>
        </row>
        <row r="152">
          <cell r="D152">
            <v>2020</v>
          </cell>
        </row>
        <row r="161">
          <cell r="D161">
            <v>2809</v>
          </cell>
        </row>
        <row r="194">
          <cell r="D194">
            <v>16989</v>
          </cell>
        </row>
        <row r="195">
          <cell r="D195">
            <v>2338</v>
          </cell>
        </row>
        <row r="197">
          <cell r="D197">
            <v>1482</v>
          </cell>
        </row>
        <row r="198">
          <cell r="D198">
            <v>228</v>
          </cell>
        </row>
        <row r="205">
          <cell r="D205">
            <v>2286</v>
          </cell>
        </row>
        <row r="211">
          <cell r="D211">
            <v>62399</v>
          </cell>
        </row>
        <row r="212">
          <cell r="D212">
            <v>5545</v>
          </cell>
        </row>
        <row r="213">
          <cell r="D213">
            <v>10456</v>
          </cell>
        </row>
        <row r="216">
          <cell r="D216">
            <v>2450</v>
          </cell>
        </row>
        <row r="221">
          <cell r="D221">
            <v>1903762</v>
          </cell>
        </row>
      </sheetData>
      <sheetData sheetId="8" refreshError="1"/>
      <sheetData sheetId="9" refreshError="1"/>
      <sheetData sheetId="10">
        <row r="9">
          <cell r="C9">
            <v>10237</v>
          </cell>
          <cell r="H9">
            <v>395</v>
          </cell>
          <cell r="I9">
            <v>2054</v>
          </cell>
        </row>
        <row r="22">
          <cell r="N22">
            <v>36</v>
          </cell>
        </row>
        <row r="24">
          <cell r="N24">
            <v>36</v>
          </cell>
        </row>
        <row r="28">
          <cell r="N28">
            <v>13140</v>
          </cell>
        </row>
        <row r="30">
          <cell r="N30">
            <v>0.96544901065449007</v>
          </cell>
        </row>
        <row r="32">
          <cell r="N32">
            <v>0.77907153729071532</v>
          </cell>
        </row>
        <row r="34">
          <cell r="N34">
            <v>0.80695254611382627</v>
          </cell>
        </row>
      </sheetData>
      <sheetData sheetId="1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E10">
            <v>1032048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996385</v>
          </cell>
          <cell r="G21">
            <v>0</v>
          </cell>
        </row>
        <row r="27">
          <cell r="E27">
            <v>281918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353646</v>
          </cell>
          <cell r="G37">
            <v>0</v>
          </cell>
        </row>
        <row r="42">
          <cell r="E42">
            <v>135753</v>
          </cell>
          <cell r="G42">
            <v>0</v>
          </cell>
        </row>
        <row r="47">
          <cell r="E47">
            <v>69623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419841</v>
          </cell>
          <cell r="G67">
            <v>0</v>
          </cell>
        </row>
        <row r="85">
          <cell r="C85">
            <v>223.12126537785588</v>
          </cell>
          <cell r="E85">
            <v>223.12007874015748</v>
          </cell>
        </row>
      </sheetData>
      <sheetData sheetId="6" refreshError="1"/>
      <sheetData sheetId="7">
        <row r="10">
          <cell r="D10">
            <v>48000</v>
          </cell>
        </row>
        <row r="12">
          <cell r="D12">
            <v>342394</v>
          </cell>
        </row>
        <row r="13">
          <cell r="D13">
            <v>136579</v>
          </cell>
          <cell r="F13">
            <v>-78660</v>
          </cell>
        </row>
        <row r="19">
          <cell r="D19">
            <v>5181</v>
          </cell>
        </row>
        <row r="20">
          <cell r="D20">
            <v>6028</v>
          </cell>
        </row>
        <row r="21">
          <cell r="D21">
            <v>2520</v>
          </cell>
        </row>
        <row r="23">
          <cell r="D23">
            <v>2845</v>
          </cell>
        </row>
        <row r="26">
          <cell r="D26">
            <v>127897</v>
          </cell>
        </row>
        <row r="28">
          <cell r="F28">
            <v>0</v>
          </cell>
        </row>
        <row r="29">
          <cell r="F29">
            <v>0</v>
          </cell>
        </row>
        <row r="30">
          <cell r="F30">
            <v>0</v>
          </cell>
        </row>
        <row r="31">
          <cell r="D31">
            <v>17829</v>
          </cell>
        </row>
        <row r="32">
          <cell r="D32">
            <v>36321</v>
          </cell>
        </row>
        <row r="33">
          <cell r="F33">
            <v>0</v>
          </cell>
        </row>
        <row r="34">
          <cell r="D34">
            <v>85</v>
          </cell>
        </row>
        <row r="35">
          <cell r="F35">
            <v>0</v>
          </cell>
        </row>
        <row r="36">
          <cell r="D36">
            <v>16118</v>
          </cell>
        </row>
        <row r="39">
          <cell r="D39">
            <v>113307</v>
          </cell>
        </row>
        <row r="41">
          <cell r="D41">
            <v>4104</v>
          </cell>
        </row>
        <row r="44">
          <cell r="D44">
            <v>1829</v>
          </cell>
        </row>
        <row r="45">
          <cell r="D45">
            <v>220744</v>
          </cell>
        </row>
        <row r="57">
          <cell r="D57">
            <v>292800</v>
          </cell>
        </row>
        <row r="60">
          <cell r="D60">
            <v>13000</v>
          </cell>
        </row>
        <row r="61">
          <cell r="D61">
            <v>10968</v>
          </cell>
        </row>
        <row r="67">
          <cell r="D67">
            <v>5314</v>
          </cell>
        </row>
        <row r="75">
          <cell r="D75">
            <v>25495</v>
          </cell>
        </row>
        <row r="76">
          <cell r="F76">
            <v>3632</v>
          </cell>
        </row>
        <row r="81">
          <cell r="D81">
            <v>5973</v>
          </cell>
        </row>
        <row r="82">
          <cell r="D82">
            <v>15944</v>
          </cell>
        </row>
        <row r="83">
          <cell r="D83">
            <v>3757</v>
          </cell>
        </row>
        <row r="84">
          <cell r="D84">
            <v>62001</v>
          </cell>
        </row>
        <row r="85">
          <cell r="D85">
            <v>59</v>
          </cell>
        </row>
        <row r="89">
          <cell r="D89">
            <v>66306</v>
          </cell>
          <cell r="F89">
            <v>-14587</v>
          </cell>
        </row>
        <row r="90">
          <cell r="F90">
            <v>7405</v>
          </cell>
        </row>
        <row r="92">
          <cell r="D92">
            <v>91269</v>
          </cell>
        </row>
        <row r="93">
          <cell r="D93">
            <v>1619</v>
          </cell>
        </row>
        <row r="94">
          <cell r="D94">
            <v>35145</v>
          </cell>
        </row>
        <row r="98">
          <cell r="F98">
            <v>14587</v>
          </cell>
        </row>
        <row r="99">
          <cell r="F99">
            <v>2042</v>
          </cell>
        </row>
        <row r="100">
          <cell r="D100">
            <v>2662</v>
          </cell>
        </row>
        <row r="102">
          <cell r="D102">
            <v>5504</v>
          </cell>
        </row>
        <row r="115">
          <cell r="D115">
            <v>64541</v>
          </cell>
        </row>
        <row r="116">
          <cell r="F116">
            <v>9196</v>
          </cell>
        </row>
        <row r="117">
          <cell r="D117">
            <v>12054</v>
          </cell>
        </row>
        <row r="124">
          <cell r="D124">
            <v>21506</v>
          </cell>
        </row>
        <row r="125">
          <cell r="D125">
            <v>70720</v>
          </cell>
        </row>
        <row r="128">
          <cell r="D128">
            <v>17218</v>
          </cell>
        </row>
        <row r="130">
          <cell r="F130">
            <v>8487</v>
          </cell>
        </row>
        <row r="136">
          <cell r="D136">
            <v>53573</v>
          </cell>
        </row>
        <row r="137">
          <cell r="D137">
            <v>115431</v>
          </cell>
        </row>
        <row r="138">
          <cell r="D138">
            <v>161933</v>
          </cell>
        </row>
        <row r="139">
          <cell r="D139">
            <v>22808</v>
          </cell>
        </row>
        <row r="141">
          <cell r="F141">
            <v>50401</v>
          </cell>
        </row>
        <row r="151">
          <cell r="D151">
            <v>20519</v>
          </cell>
        </row>
        <row r="152">
          <cell r="D152">
            <v>40484</v>
          </cell>
        </row>
        <row r="153">
          <cell r="D153">
            <v>6003</v>
          </cell>
        </row>
        <row r="194">
          <cell r="D194">
            <v>183503</v>
          </cell>
        </row>
        <row r="195">
          <cell r="D195">
            <v>773</v>
          </cell>
        </row>
        <row r="197">
          <cell r="D197">
            <v>152494</v>
          </cell>
        </row>
        <row r="198">
          <cell r="D198">
            <v>12320</v>
          </cell>
        </row>
        <row r="205">
          <cell r="D205">
            <v>132355</v>
          </cell>
        </row>
        <row r="207">
          <cell r="D207">
            <v>23993</v>
          </cell>
        </row>
        <row r="211">
          <cell r="D211">
            <v>41993</v>
          </cell>
        </row>
        <row r="212">
          <cell r="F212">
            <v>5983</v>
          </cell>
        </row>
        <row r="216">
          <cell r="D216">
            <v>3056</v>
          </cell>
        </row>
        <row r="221">
          <cell r="D221">
            <v>2876874</v>
          </cell>
        </row>
      </sheetData>
      <sheetData sheetId="8" refreshError="1"/>
      <sheetData sheetId="9" refreshError="1"/>
      <sheetData sheetId="10">
        <row r="9">
          <cell r="C9">
            <v>5363</v>
          </cell>
          <cell r="E9">
            <v>2525</v>
          </cell>
          <cell r="F9">
            <v>1056</v>
          </cell>
          <cell r="H9">
            <v>1585</v>
          </cell>
          <cell r="I9">
            <v>810</v>
          </cell>
          <cell r="J9">
            <v>547</v>
          </cell>
        </row>
        <row r="22">
          <cell r="N22">
            <v>118</v>
          </cell>
        </row>
        <row r="24">
          <cell r="N24">
            <v>118</v>
          </cell>
        </row>
        <row r="28">
          <cell r="N28">
            <v>21712</v>
          </cell>
        </row>
        <row r="30">
          <cell r="N30">
            <v>0.54743920412675018</v>
          </cell>
        </row>
        <row r="32">
          <cell r="N32">
            <v>0.24700626381724392</v>
          </cell>
        </row>
        <row r="34">
          <cell r="N34">
            <v>0.45120309607942116</v>
          </cell>
        </row>
      </sheetData>
      <sheetData sheetId="1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85">
          <cell r="G85">
            <v>235.53707627118644</v>
          </cell>
          <cell r="I85">
            <v>197.02417582417581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E10">
            <v>297624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0</v>
          </cell>
          <cell r="G21">
            <v>0</v>
          </cell>
        </row>
        <row r="27">
          <cell r="E27">
            <v>0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19480</v>
          </cell>
          <cell r="G37">
            <v>0</v>
          </cell>
        </row>
        <row r="42">
          <cell r="E42">
            <v>132214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126005</v>
          </cell>
          <cell r="G52">
            <v>-126005</v>
          </cell>
        </row>
        <row r="67">
          <cell r="E67">
            <v>0</v>
          </cell>
          <cell r="G67">
            <v>0</v>
          </cell>
        </row>
        <row r="85">
          <cell r="C85" t="str">
            <v/>
          </cell>
          <cell r="E85" t="str">
            <v/>
          </cell>
          <cell r="G85" t="str">
            <v/>
          </cell>
          <cell r="I85">
            <v>143.23529411764707</v>
          </cell>
        </row>
      </sheetData>
      <sheetData sheetId="6" refreshError="1"/>
      <sheetData sheetId="7">
        <row r="10">
          <cell r="D10">
            <v>25589</v>
          </cell>
          <cell r="F10">
            <v>-5710</v>
          </cell>
        </row>
        <row r="12">
          <cell r="D12">
            <v>11997</v>
          </cell>
          <cell r="F12">
            <v>-2878</v>
          </cell>
        </row>
        <row r="13">
          <cell r="D13">
            <v>3051</v>
          </cell>
        </row>
        <row r="17">
          <cell r="D17">
            <v>5064</v>
          </cell>
          <cell r="F17">
            <v>-5064</v>
          </cell>
        </row>
        <row r="18">
          <cell r="D18">
            <v>1917</v>
          </cell>
        </row>
        <row r="19">
          <cell r="D19">
            <v>6511</v>
          </cell>
        </row>
        <row r="20">
          <cell r="D20">
            <v>2401</v>
          </cell>
        </row>
        <row r="21">
          <cell r="D21">
            <v>2071</v>
          </cell>
        </row>
        <row r="23">
          <cell r="D23">
            <v>2652</v>
          </cell>
        </row>
        <row r="26">
          <cell r="D26">
            <v>44308</v>
          </cell>
        </row>
        <row r="28">
          <cell r="F28">
            <v>0</v>
          </cell>
        </row>
        <row r="29">
          <cell r="F29">
            <v>0</v>
          </cell>
        </row>
        <row r="30">
          <cell r="F30">
            <v>0</v>
          </cell>
        </row>
        <row r="31">
          <cell r="D31">
            <v>7909</v>
          </cell>
        </row>
        <row r="32">
          <cell r="D32">
            <v>4928</v>
          </cell>
        </row>
        <row r="33">
          <cell r="F33">
            <v>0</v>
          </cell>
        </row>
        <row r="35">
          <cell r="F35">
            <v>0</v>
          </cell>
        </row>
        <row r="39">
          <cell r="D39">
            <v>60</v>
          </cell>
        </row>
        <row r="40">
          <cell r="D40">
            <v>129</v>
          </cell>
        </row>
        <row r="41">
          <cell r="D41">
            <v>3362</v>
          </cell>
        </row>
        <row r="45">
          <cell r="D45">
            <v>140</v>
          </cell>
        </row>
        <row r="66">
          <cell r="D66" t="str">
            <v xml:space="preserve">**No Lease expense charged for first  </v>
          </cell>
        </row>
        <row r="67">
          <cell r="D67" t="str">
            <v xml:space="preserve">   90 days of operation.</v>
          </cell>
        </row>
        <row r="75">
          <cell r="D75">
            <v>7341</v>
          </cell>
          <cell r="F75">
            <v>-2174</v>
          </cell>
        </row>
        <row r="76">
          <cell r="D76">
            <v>725</v>
          </cell>
        </row>
        <row r="77">
          <cell r="D77">
            <v>792</v>
          </cell>
        </row>
        <row r="78">
          <cell r="D78">
            <v>94</v>
          </cell>
        </row>
        <row r="80">
          <cell r="D80">
            <v>11933</v>
          </cell>
        </row>
        <row r="81">
          <cell r="D81">
            <v>48333</v>
          </cell>
          <cell r="F81">
            <v>-48333</v>
          </cell>
        </row>
        <row r="82">
          <cell r="D82">
            <v>607</v>
          </cell>
        </row>
        <row r="83">
          <cell r="D83">
            <v>310</v>
          </cell>
        </row>
        <row r="84">
          <cell r="D84">
            <v>7516</v>
          </cell>
        </row>
        <row r="85">
          <cell r="D85">
            <v>582</v>
          </cell>
        </row>
        <row r="89">
          <cell r="D89">
            <v>24096</v>
          </cell>
          <cell r="F89">
            <v>-7625</v>
          </cell>
        </row>
        <row r="90">
          <cell r="D90">
            <v>2394</v>
          </cell>
        </row>
        <row r="91">
          <cell r="D91">
            <v>800</v>
          </cell>
        </row>
        <row r="92">
          <cell r="D92">
            <v>12488</v>
          </cell>
        </row>
        <row r="93">
          <cell r="D93">
            <v>2005</v>
          </cell>
        </row>
        <row r="98">
          <cell r="D98">
            <v>4364</v>
          </cell>
          <cell r="F98">
            <v>-1427</v>
          </cell>
        </row>
        <row r="99">
          <cell r="D99">
            <v>431</v>
          </cell>
        </row>
        <row r="100">
          <cell r="D100">
            <v>376</v>
          </cell>
        </row>
        <row r="102">
          <cell r="D102">
            <v>168</v>
          </cell>
        </row>
        <row r="115">
          <cell r="D115">
            <v>11663</v>
          </cell>
          <cell r="F115">
            <v>-4364</v>
          </cell>
        </row>
        <row r="116">
          <cell r="D116">
            <v>877</v>
          </cell>
        </row>
        <row r="117">
          <cell r="D117">
            <v>1783</v>
          </cell>
        </row>
        <row r="125">
          <cell r="D125">
            <v>17121</v>
          </cell>
          <cell r="F125">
            <v>-10223</v>
          </cell>
        </row>
        <row r="128">
          <cell r="D128">
            <v>4104</v>
          </cell>
          <cell r="F128">
            <v>-2151</v>
          </cell>
        </row>
        <row r="136">
          <cell r="D136">
            <v>39334</v>
          </cell>
          <cell r="F136">
            <v>-17351</v>
          </cell>
        </row>
        <row r="137">
          <cell r="D137">
            <v>33503</v>
          </cell>
          <cell r="F137">
            <v>-13855</v>
          </cell>
        </row>
        <row r="138">
          <cell r="D138">
            <v>92459</v>
          </cell>
          <cell r="F138">
            <v>-35477</v>
          </cell>
        </row>
        <row r="141">
          <cell r="D141">
            <v>10767</v>
          </cell>
        </row>
        <row r="143">
          <cell r="D143">
            <v>9144</v>
          </cell>
        </row>
        <row r="146">
          <cell r="D146">
            <v>1700</v>
          </cell>
        </row>
        <row r="150">
          <cell r="D150">
            <v>16498</v>
          </cell>
        </row>
        <row r="151">
          <cell r="D151">
            <v>7146</v>
          </cell>
        </row>
        <row r="152">
          <cell r="D152">
            <v>432</v>
          </cell>
        </row>
        <row r="161">
          <cell r="D161">
            <v>1945</v>
          </cell>
        </row>
        <row r="177">
          <cell r="D177">
            <v>15738</v>
          </cell>
          <cell r="F177">
            <v>-15738</v>
          </cell>
        </row>
        <row r="194">
          <cell r="D194">
            <v>2180</v>
          </cell>
        </row>
        <row r="197">
          <cell r="D197">
            <v>1381</v>
          </cell>
        </row>
        <row r="198">
          <cell r="D198">
            <v>259</v>
          </cell>
        </row>
        <row r="205">
          <cell r="D205">
            <v>1553</v>
          </cell>
        </row>
        <row r="211">
          <cell r="D211">
            <v>15781</v>
          </cell>
          <cell r="F211">
            <v>-3430</v>
          </cell>
        </row>
        <row r="212">
          <cell r="D212">
            <v>1549</v>
          </cell>
        </row>
        <row r="213">
          <cell r="D213">
            <v>2097</v>
          </cell>
        </row>
        <row r="216">
          <cell r="D216">
            <v>269</v>
          </cell>
        </row>
        <row r="221">
          <cell r="D221">
            <v>536727</v>
          </cell>
        </row>
      </sheetData>
      <sheetData sheetId="8" refreshError="1"/>
      <sheetData sheetId="9" refreshError="1"/>
      <sheetData sheetId="10">
        <row r="9">
          <cell r="C9">
            <v>1566</v>
          </cell>
          <cell r="H9">
            <v>136</v>
          </cell>
          <cell r="I9">
            <v>822</v>
          </cell>
          <cell r="K9">
            <v>0</v>
          </cell>
        </row>
        <row r="22">
          <cell r="N22">
            <v>85</v>
          </cell>
        </row>
        <row r="24">
          <cell r="N24">
            <v>85</v>
          </cell>
        </row>
        <row r="28">
          <cell r="N28">
            <v>4590</v>
          </cell>
        </row>
        <row r="30">
          <cell r="N30">
            <v>0.54989106753812633</v>
          </cell>
        </row>
        <row r="32">
          <cell r="N32">
            <v>0.3411764705882353</v>
          </cell>
        </row>
        <row r="34">
          <cell r="N34">
            <v>0.62044374009508718</v>
          </cell>
        </row>
      </sheetData>
      <sheetData sheetId="1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E10">
            <v>3188516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2304584</v>
          </cell>
          <cell r="G21">
            <v>0</v>
          </cell>
        </row>
        <row r="27">
          <cell r="E27">
            <v>962834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638237</v>
          </cell>
          <cell r="G37">
            <v>-327823</v>
          </cell>
        </row>
        <row r="42">
          <cell r="E42">
            <v>649352</v>
          </cell>
          <cell r="G42">
            <v>0</v>
          </cell>
        </row>
        <row r="47">
          <cell r="E47">
            <v>0</v>
          </cell>
          <cell r="G47">
            <v>327823</v>
          </cell>
        </row>
        <row r="52">
          <cell r="E52">
            <v>174485</v>
          </cell>
          <cell r="G52">
            <v>0</v>
          </cell>
        </row>
        <row r="67">
          <cell r="E67">
            <v>3611</v>
          </cell>
          <cell r="G67">
            <v>-252</v>
          </cell>
        </row>
        <row r="85">
          <cell r="C85">
            <v>275.75953079178885</v>
          </cell>
          <cell r="E85">
            <v>246.98333333333332</v>
          </cell>
          <cell r="G85">
            <v>214.23275862068965</v>
          </cell>
          <cell r="I85">
            <v>275.54464285714283</v>
          </cell>
        </row>
      </sheetData>
      <sheetData sheetId="6" refreshError="1"/>
      <sheetData sheetId="7">
        <row r="10">
          <cell r="D10">
            <v>99436</v>
          </cell>
        </row>
        <row r="12">
          <cell r="D12">
            <v>329429</v>
          </cell>
        </row>
        <row r="13">
          <cell r="D13">
            <v>75553</v>
          </cell>
          <cell r="F13">
            <v>-3349</v>
          </cell>
        </row>
        <row r="16">
          <cell r="D16">
            <v>237648</v>
          </cell>
          <cell r="F16">
            <v>44751</v>
          </cell>
        </row>
        <row r="17">
          <cell r="D17">
            <v>39189</v>
          </cell>
          <cell r="F17">
            <v>-7511</v>
          </cell>
        </row>
        <row r="18">
          <cell r="D18">
            <v>49298</v>
          </cell>
        </row>
        <row r="19">
          <cell r="D19">
            <v>20364</v>
          </cell>
        </row>
        <row r="20">
          <cell r="D20">
            <v>35268</v>
          </cell>
        </row>
        <row r="21">
          <cell r="D21">
            <v>26701</v>
          </cell>
        </row>
        <row r="23">
          <cell r="D23">
            <v>10286</v>
          </cell>
        </row>
        <row r="24">
          <cell r="D24">
            <v>16455</v>
          </cell>
        </row>
        <row r="26">
          <cell r="D26">
            <v>404512</v>
          </cell>
        </row>
        <row r="27">
          <cell r="D27">
            <v>-294</v>
          </cell>
          <cell r="F27">
            <v>294</v>
          </cell>
        </row>
        <row r="28">
          <cell r="F28">
            <v>0</v>
          </cell>
        </row>
        <row r="29">
          <cell r="D29">
            <v>240718</v>
          </cell>
          <cell r="F29">
            <v>-240718</v>
          </cell>
        </row>
        <row r="30">
          <cell r="F30">
            <v>0</v>
          </cell>
        </row>
        <row r="31">
          <cell r="F31">
            <v>39607</v>
          </cell>
        </row>
        <row r="32">
          <cell r="D32">
            <v>17119</v>
          </cell>
        </row>
        <row r="33">
          <cell r="F33">
            <v>0</v>
          </cell>
        </row>
        <row r="35">
          <cell r="D35">
            <v>41130</v>
          </cell>
          <cell r="F35">
            <v>-41130</v>
          </cell>
        </row>
        <row r="39">
          <cell r="D39">
            <v>1299</v>
          </cell>
        </row>
        <row r="41">
          <cell r="D41">
            <v>7124</v>
          </cell>
        </row>
        <row r="43">
          <cell r="D43">
            <v>7193</v>
          </cell>
        </row>
        <row r="44">
          <cell r="D44">
            <v>3109</v>
          </cell>
        </row>
        <row r="45">
          <cell r="D45">
            <v>15212</v>
          </cell>
        </row>
        <row r="58">
          <cell r="D58">
            <v>177644</v>
          </cell>
          <cell r="F58">
            <v>98721</v>
          </cell>
        </row>
        <row r="59">
          <cell r="D59">
            <v>710198</v>
          </cell>
          <cell r="F59">
            <v>-567943</v>
          </cell>
        </row>
        <row r="60">
          <cell r="D60">
            <v>53881</v>
          </cell>
          <cell r="F60">
            <v>-690</v>
          </cell>
        </row>
        <row r="61">
          <cell r="D61">
            <v>4072</v>
          </cell>
        </row>
        <row r="67">
          <cell r="D67">
            <v>108851</v>
          </cell>
          <cell r="F67">
            <v>31936</v>
          </cell>
        </row>
        <row r="69">
          <cell r="D69">
            <v>8436</v>
          </cell>
          <cell r="F69">
            <v>-401</v>
          </cell>
        </row>
        <row r="75">
          <cell r="D75">
            <v>48638</v>
          </cell>
        </row>
        <row r="76">
          <cell r="D76">
            <v>10406</v>
          </cell>
          <cell r="F76">
            <v>-468</v>
          </cell>
        </row>
        <row r="77">
          <cell r="D77">
            <v>14161</v>
          </cell>
          <cell r="F77">
            <v>-252</v>
          </cell>
        </row>
        <row r="78">
          <cell r="D78">
            <v>51378</v>
          </cell>
        </row>
        <row r="80">
          <cell r="D80">
            <v>62414</v>
          </cell>
        </row>
        <row r="82">
          <cell r="D82">
            <v>35550</v>
          </cell>
        </row>
        <row r="84">
          <cell r="D84">
            <v>156668</v>
          </cell>
        </row>
        <row r="89">
          <cell r="D89">
            <v>290893</v>
          </cell>
        </row>
        <row r="90">
          <cell r="D90">
            <v>62790</v>
          </cell>
          <cell r="F90">
            <v>-2801</v>
          </cell>
        </row>
        <row r="92">
          <cell r="D92">
            <v>267491</v>
          </cell>
        </row>
        <row r="93">
          <cell r="D93">
            <v>23519</v>
          </cell>
        </row>
        <row r="98">
          <cell r="D98">
            <v>33591</v>
          </cell>
        </row>
        <row r="99">
          <cell r="D99">
            <v>7279</v>
          </cell>
          <cell r="F99">
            <v>-324</v>
          </cell>
        </row>
        <row r="100">
          <cell r="D100">
            <v>4122</v>
          </cell>
        </row>
        <row r="102">
          <cell r="D102">
            <v>12289</v>
          </cell>
        </row>
        <row r="115">
          <cell r="D115">
            <v>150403</v>
          </cell>
        </row>
        <row r="116">
          <cell r="D116">
            <v>32973</v>
          </cell>
          <cell r="F116">
            <v>-1449</v>
          </cell>
        </row>
        <row r="117">
          <cell r="D117">
            <v>21990</v>
          </cell>
        </row>
        <row r="125">
          <cell r="D125">
            <v>236378</v>
          </cell>
        </row>
        <row r="128">
          <cell r="D128">
            <v>48237</v>
          </cell>
        </row>
        <row r="134">
          <cell r="D134">
            <v>10385</v>
          </cell>
          <cell r="F134">
            <v>-2741</v>
          </cell>
        </row>
        <row r="136">
          <cell r="D136">
            <v>944343</v>
          </cell>
          <cell r="F136">
            <v>18034</v>
          </cell>
        </row>
        <row r="137">
          <cell r="D137">
            <v>236278</v>
          </cell>
          <cell r="F137">
            <v>4512</v>
          </cell>
        </row>
        <row r="138">
          <cell r="D138">
            <v>933058</v>
          </cell>
          <cell r="F138">
            <v>-22546</v>
          </cell>
        </row>
        <row r="144">
          <cell r="D144">
            <v>510494</v>
          </cell>
          <cell r="F144">
            <v>-20356</v>
          </cell>
        </row>
        <row r="146">
          <cell r="D146">
            <v>29880</v>
          </cell>
        </row>
        <row r="151">
          <cell r="D151">
            <v>208502</v>
          </cell>
        </row>
        <row r="152">
          <cell r="D152">
            <v>1563</v>
          </cell>
        </row>
        <row r="161">
          <cell r="D161">
            <v>17002</v>
          </cell>
        </row>
        <row r="177">
          <cell r="D177">
            <v>309985</v>
          </cell>
        </row>
        <row r="178">
          <cell r="D178">
            <v>65366</v>
          </cell>
          <cell r="F178">
            <v>-2847</v>
          </cell>
        </row>
        <row r="179">
          <cell r="D179">
            <v>74494</v>
          </cell>
        </row>
        <row r="180">
          <cell r="D180">
            <v>16234</v>
          </cell>
          <cell r="F180">
            <v>-717</v>
          </cell>
        </row>
        <row r="183">
          <cell r="D183">
            <v>231571</v>
          </cell>
        </row>
        <row r="184">
          <cell r="D184">
            <v>47952</v>
          </cell>
          <cell r="F184">
            <v>-2230</v>
          </cell>
        </row>
        <row r="188">
          <cell r="D188">
            <v>19653</v>
          </cell>
        </row>
        <row r="189">
          <cell r="D189">
            <v>68</v>
          </cell>
        </row>
        <row r="191">
          <cell r="D191">
            <v>593</v>
          </cell>
        </row>
        <row r="194">
          <cell r="D194">
            <v>36388</v>
          </cell>
        </row>
        <row r="197">
          <cell r="D197">
            <v>45386</v>
          </cell>
        </row>
        <row r="198">
          <cell r="D198">
            <v>41049</v>
          </cell>
        </row>
        <row r="199">
          <cell r="D199">
            <v>3148</v>
          </cell>
        </row>
        <row r="200">
          <cell r="D200">
            <v>2468</v>
          </cell>
        </row>
        <row r="205">
          <cell r="D205">
            <v>276652</v>
          </cell>
        </row>
        <row r="206">
          <cell r="D206">
            <v>3061</v>
          </cell>
        </row>
        <row r="211">
          <cell r="D211">
            <v>241336</v>
          </cell>
        </row>
        <row r="212">
          <cell r="D212">
            <v>52002</v>
          </cell>
          <cell r="F212">
            <v>-2325</v>
          </cell>
        </row>
        <row r="213">
          <cell r="D213">
            <v>1140</v>
          </cell>
        </row>
        <row r="216">
          <cell r="D216">
            <v>2307</v>
          </cell>
        </row>
        <row r="221">
          <cell r="D221">
            <v>8673359</v>
          </cell>
        </row>
      </sheetData>
      <sheetData sheetId="8" refreshError="1"/>
      <sheetData sheetId="9" refreshError="1"/>
      <sheetData sheetId="10">
        <row r="9">
          <cell r="C9">
            <v>19444</v>
          </cell>
          <cell r="E9">
            <v>4466</v>
          </cell>
          <cell r="F9">
            <v>2406</v>
          </cell>
          <cell r="H9">
            <v>1209</v>
          </cell>
          <cell r="I9">
            <v>3563</v>
          </cell>
          <cell r="J9">
            <v>1720</v>
          </cell>
          <cell r="K9">
            <v>358</v>
          </cell>
        </row>
        <row r="22">
          <cell r="N22">
            <v>140</v>
          </cell>
        </row>
        <row r="24">
          <cell r="N24">
            <v>140</v>
          </cell>
        </row>
        <row r="28">
          <cell r="N28">
            <v>51100</v>
          </cell>
        </row>
        <row r="30">
          <cell r="N30">
            <v>0.64904109589041092</v>
          </cell>
        </row>
        <row r="32">
          <cell r="N32">
            <v>0.38050880626223094</v>
          </cell>
        </row>
        <row r="34">
          <cell r="N34">
            <v>0.58626304046312494</v>
          </cell>
        </row>
      </sheetData>
      <sheetData sheetId="1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E10">
            <v>1787123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625189</v>
          </cell>
          <cell r="G21">
            <v>0</v>
          </cell>
        </row>
        <row r="27">
          <cell r="E27">
            <v>45192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64578</v>
          </cell>
          <cell r="G37">
            <v>0</v>
          </cell>
        </row>
        <row r="42">
          <cell r="E42">
            <v>232677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9263</v>
          </cell>
          <cell r="G67">
            <v>-4989</v>
          </cell>
        </row>
        <row r="85">
          <cell r="C85">
            <v>240.8724832214765</v>
          </cell>
          <cell r="E85">
            <v>165</v>
          </cell>
          <cell r="G85">
            <v>87.058823529411768</v>
          </cell>
          <cell r="I85">
            <v>162.54054054054055</v>
          </cell>
        </row>
      </sheetData>
      <sheetData sheetId="6" refreshError="1"/>
      <sheetData sheetId="7">
        <row r="10">
          <cell r="D10">
            <v>115177</v>
          </cell>
        </row>
        <row r="12">
          <cell r="D12">
            <v>56070</v>
          </cell>
        </row>
        <row r="13">
          <cell r="D13">
            <v>9958</v>
          </cell>
        </row>
        <row r="17">
          <cell r="D17">
            <v>5082</v>
          </cell>
          <cell r="F17">
            <v>-5082</v>
          </cell>
        </row>
        <row r="18">
          <cell r="D18">
            <v>4572</v>
          </cell>
        </row>
        <row r="19">
          <cell r="D19">
            <v>19046</v>
          </cell>
        </row>
        <row r="20">
          <cell r="D20">
            <v>16021</v>
          </cell>
        </row>
        <row r="21">
          <cell r="D21">
            <v>12671</v>
          </cell>
        </row>
        <row r="23">
          <cell r="D23">
            <v>7004</v>
          </cell>
        </row>
        <row r="26">
          <cell r="D26">
            <v>187272</v>
          </cell>
        </row>
        <row r="27">
          <cell r="D27">
            <v>2250</v>
          </cell>
        </row>
        <row r="28">
          <cell r="F28">
            <v>0</v>
          </cell>
        </row>
        <row r="29">
          <cell r="F29">
            <v>0</v>
          </cell>
        </row>
        <row r="30">
          <cell r="F30">
            <v>0</v>
          </cell>
        </row>
        <row r="31">
          <cell r="D31">
            <v>19611</v>
          </cell>
          <cell r="F31">
            <v>-4989</v>
          </cell>
        </row>
        <row r="32">
          <cell r="D32">
            <v>25810</v>
          </cell>
        </row>
        <row r="33">
          <cell r="F33">
            <v>0</v>
          </cell>
        </row>
        <row r="35">
          <cell r="F35">
            <v>0</v>
          </cell>
        </row>
        <row r="39">
          <cell r="D39">
            <v>899</v>
          </cell>
        </row>
        <row r="40">
          <cell r="D40">
            <v>3907</v>
          </cell>
        </row>
        <row r="41">
          <cell r="D41">
            <v>34769</v>
          </cell>
        </row>
        <row r="43">
          <cell r="D43">
            <v>8641</v>
          </cell>
          <cell r="F43">
            <v>-8641</v>
          </cell>
        </row>
        <row r="45">
          <cell r="D45">
            <v>5069</v>
          </cell>
        </row>
        <row r="57">
          <cell r="D57">
            <v>169817</v>
          </cell>
        </row>
        <row r="60">
          <cell r="D60">
            <v>7299</v>
          </cell>
        </row>
        <row r="75">
          <cell r="D75">
            <v>26660</v>
          </cell>
        </row>
        <row r="76">
          <cell r="D76">
            <v>2336</v>
          </cell>
        </row>
        <row r="77">
          <cell r="D77">
            <v>9172</v>
          </cell>
        </row>
        <row r="78">
          <cell r="D78">
            <v>1447</v>
          </cell>
        </row>
        <row r="80">
          <cell r="D80">
            <v>20011</v>
          </cell>
        </row>
        <row r="81">
          <cell r="D81">
            <v>27093</v>
          </cell>
          <cell r="F81">
            <v>-27093</v>
          </cell>
        </row>
        <row r="82">
          <cell r="D82">
            <v>4765</v>
          </cell>
        </row>
        <row r="83">
          <cell r="D83">
            <v>339</v>
          </cell>
        </row>
        <row r="84">
          <cell r="D84">
            <v>40541</v>
          </cell>
        </row>
        <row r="85">
          <cell r="D85">
            <v>3566</v>
          </cell>
        </row>
        <row r="89">
          <cell r="D89">
            <v>131171</v>
          </cell>
        </row>
        <row r="90">
          <cell r="D90">
            <v>11821</v>
          </cell>
        </row>
        <row r="91">
          <cell r="D91">
            <v>6524</v>
          </cell>
        </row>
        <row r="92">
          <cell r="D92">
            <v>82854</v>
          </cell>
        </row>
        <row r="93">
          <cell r="D93">
            <v>7858</v>
          </cell>
        </row>
        <row r="98">
          <cell r="D98">
            <v>14168</v>
          </cell>
        </row>
        <row r="99">
          <cell r="D99">
            <v>1296</v>
          </cell>
        </row>
        <row r="100">
          <cell r="D100">
            <v>6536</v>
          </cell>
        </row>
        <row r="115">
          <cell r="D115">
            <v>26873</v>
          </cell>
        </row>
        <row r="116">
          <cell r="D116">
            <v>2400</v>
          </cell>
        </row>
        <row r="117">
          <cell r="D117">
            <v>8381</v>
          </cell>
        </row>
        <row r="118">
          <cell r="D118">
            <v>1840</v>
          </cell>
        </row>
        <row r="125">
          <cell r="D125">
            <v>70522</v>
          </cell>
        </row>
        <row r="136">
          <cell r="D136">
            <v>140045</v>
          </cell>
        </row>
        <row r="137">
          <cell r="D137">
            <v>146741</v>
          </cell>
        </row>
        <row r="138">
          <cell r="D138">
            <v>309134</v>
          </cell>
        </row>
        <row r="141">
          <cell r="D141">
            <v>29937</v>
          </cell>
        </row>
        <row r="143">
          <cell r="D143">
            <v>27794</v>
          </cell>
        </row>
        <row r="146">
          <cell r="D146">
            <v>13113</v>
          </cell>
        </row>
        <row r="147">
          <cell r="D147">
            <v>609</v>
          </cell>
        </row>
        <row r="150">
          <cell r="D150">
            <v>6995</v>
          </cell>
        </row>
        <row r="151">
          <cell r="D151">
            <v>71454</v>
          </cell>
        </row>
        <row r="152">
          <cell r="D152">
            <v>18563</v>
          </cell>
        </row>
        <row r="161">
          <cell r="D161">
            <v>4019</v>
          </cell>
        </row>
        <row r="194">
          <cell r="D194">
            <v>122451</v>
          </cell>
        </row>
        <row r="195">
          <cell r="D195">
            <v>28340</v>
          </cell>
        </row>
        <row r="197">
          <cell r="D197">
            <v>80938</v>
          </cell>
        </row>
        <row r="198">
          <cell r="D198">
            <v>14522</v>
          </cell>
        </row>
        <row r="205">
          <cell r="D205">
            <v>73770</v>
          </cell>
        </row>
        <row r="206">
          <cell r="D206">
            <v>664</v>
          </cell>
        </row>
        <row r="211">
          <cell r="D211">
            <v>76181</v>
          </cell>
        </row>
        <row r="212">
          <cell r="D212">
            <v>6647</v>
          </cell>
        </row>
        <row r="213">
          <cell r="D213">
            <v>10082</v>
          </cell>
        </row>
        <row r="216">
          <cell r="D216">
            <v>3305</v>
          </cell>
        </row>
        <row r="221">
          <cell r="D221">
            <v>2404423</v>
          </cell>
        </row>
      </sheetData>
      <sheetData sheetId="8" refreshError="1"/>
      <sheetData sheetId="9" refreshError="1"/>
      <sheetData sheetId="10">
        <row r="9">
          <cell r="C9">
            <v>10488</v>
          </cell>
          <cell r="E9">
            <v>1432</v>
          </cell>
          <cell r="F9">
            <v>90</v>
          </cell>
          <cell r="H9">
            <v>332</v>
          </cell>
          <cell r="I9">
            <v>1424</v>
          </cell>
        </row>
        <row r="22">
          <cell r="N22">
            <v>41</v>
          </cell>
        </row>
        <row r="24">
          <cell r="N24">
            <v>41</v>
          </cell>
        </row>
        <row r="28">
          <cell r="N28">
            <v>14965</v>
          </cell>
        </row>
        <row r="30">
          <cell r="N30">
            <v>0.91987971934513868</v>
          </cell>
        </row>
        <row r="32">
          <cell r="N32">
            <v>0.70083528232542602</v>
          </cell>
        </row>
        <row r="34">
          <cell r="N34">
            <v>0.76187708847886093</v>
          </cell>
        </row>
      </sheetData>
      <sheetData sheetId="1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E10">
            <v>3855012</v>
          </cell>
          <cell r="G10">
            <v>0</v>
          </cell>
        </row>
        <row r="15">
          <cell r="E15">
            <v>410890</v>
          </cell>
          <cell r="G15">
            <v>0</v>
          </cell>
        </row>
        <row r="21">
          <cell r="E21">
            <v>511853</v>
          </cell>
          <cell r="G21">
            <v>0</v>
          </cell>
        </row>
        <row r="27">
          <cell r="E27">
            <v>0</v>
          </cell>
          <cell r="G27">
            <v>0</v>
          </cell>
        </row>
        <row r="32">
          <cell r="E32">
            <v>815300</v>
          </cell>
          <cell r="G32">
            <v>0</v>
          </cell>
        </row>
        <row r="37">
          <cell r="E37">
            <v>149551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268619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89083</v>
          </cell>
          <cell r="G67">
            <v>0</v>
          </cell>
        </row>
        <row r="85">
          <cell r="C85">
            <v>248.83695652173913</v>
          </cell>
          <cell r="E85">
            <v>248.83695652173913</v>
          </cell>
          <cell r="G85">
            <v>248.83823529411765</v>
          </cell>
          <cell r="I85">
            <v>248.83505154639175</v>
          </cell>
        </row>
      </sheetData>
      <sheetData sheetId="6" refreshError="1"/>
      <sheetData sheetId="7">
        <row r="10">
          <cell r="D10">
            <v>138720</v>
          </cell>
        </row>
        <row r="11">
          <cell r="D11">
            <v>91906</v>
          </cell>
        </row>
        <row r="12">
          <cell r="D12">
            <v>63789</v>
          </cell>
        </row>
        <row r="13">
          <cell r="D13">
            <v>341433</v>
          </cell>
          <cell r="F13">
            <v>-311332</v>
          </cell>
        </row>
        <row r="17">
          <cell r="D17">
            <v>8376</v>
          </cell>
        </row>
        <row r="18">
          <cell r="D18">
            <v>13143</v>
          </cell>
        </row>
        <row r="19">
          <cell r="D19">
            <v>14167</v>
          </cell>
        </row>
        <row r="20">
          <cell r="D20">
            <v>37413</v>
          </cell>
        </row>
        <row r="21">
          <cell r="D21">
            <v>3490</v>
          </cell>
        </row>
        <row r="23">
          <cell r="D23">
            <v>24591</v>
          </cell>
        </row>
        <row r="26">
          <cell r="D26">
            <v>435830</v>
          </cell>
        </row>
        <row r="27">
          <cell r="D27">
            <v>56357</v>
          </cell>
          <cell r="F27">
            <v>-2289</v>
          </cell>
        </row>
        <row r="28">
          <cell r="F28">
            <v>0</v>
          </cell>
        </row>
        <row r="29">
          <cell r="D29">
            <v>7980</v>
          </cell>
          <cell r="F29">
            <v>-7980</v>
          </cell>
        </row>
        <row r="30">
          <cell r="F30">
            <v>0</v>
          </cell>
        </row>
        <row r="31">
          <cell r="D31">
            <v>35381</v>
          </cell>
        </row>
        <row r="32">
          <cell r="D32">
            <v>57353</v>
          </cell>
        </row>
        <row r="33">
          <cell r="F33">
            <v>0</v>
          </cell>
        </row>
        <row r="35">
          <cell r="F35">
            <v>0</v>
          </cell>
        </row>
        <row r="36">
          <cell r="D36">
            <v>56531</v>
          </cell>
        </row>
        <row r="37">
          <cell r="F37">
            <v>5780</v>
          </cell>
        </row>
        <row r="39">
          <cell r="D39">
            <v>3073</v>
          </cell>
        </row>
        <row r="40">
          <cell r="D40">
            <v>3200</v>
          </cell>
        </row>
        <row r="41">
          <cell r="D41">
            <v>17702</v>
          </cell>
        </row>
        <row r="45">
          <cell r="F45">
            <v>-351</v>
          </cell>
        </row>
        <row r="57">
          <cell r="D57">
            <v>280968</v>
          </cell>
          <cell r="F57">
            <v>-280968</v>
          </cell>
        </row>
        <row r="58">
          <cell r="F58">
            <v>76408</v>
          </cell>
        </row>
        <row r="59">
          <cell r="F59">
            <v>168884</v>
          </cell>
        </row>
        <row r="60">
          <cell r="D60">
            <v>2694</v>
          </cell>
          <cell r="F60">
            <v>24893</v>
          </cell>
        </row>
        <row r="61">
          <cell r="D61">
            <v>12620</v>
          </cell>
        </row>
        <row r="66">
          <cell r="D66">
            <v>8298</v>
          </cell>
        </row>
        <row r="67">
          <cell r="D67">
            <v>61972</v>
          </cell>
        </row>
        <row r="75">
          <cell r="D75">
            <v>162933</v>
          </cell>
        </row>
        <row r="76">
          <cell r="F76">
            <v>16658</v>
          </cell>
        </row>
        <row r="77">
          <cell r="D77">
            <v>62227</v>
          </cell>
        </row>
        <row r="79">
          <cell r="D79">
            <v>1300</v>
          </cell>
        </row>
        <row r="80">
          <cell r="D80">
            <v>26943</v>
          </cell>
        </row>
        <row r="83">
          <cell r="D83">
            <v>22537</v>
          </cell>
        </row>
        <row r="84">
          <cell r="D84">
            <v>86438</v>
          </cell>
        </row>
        <row r="89">
          <cell r="D89">
            <v>262791</v>
          </cell>
        </row>
        <row r="90">
          <cell r="F90">
            <v>26868</v>
          </cell>
        </row>
        <row r="91">
          <cell r="D91">
            <v>10659</v>
          </cell>
        </row>
        <row r="92">
          <cell r="D92">
            <v>280570</v>
          </cell>
        </row>
        <row r="93">
          <cell r="D93">
            <v>1919</v>
          </cell>
        </row>
        <row r="98">
          <cell r="D98">
            <v>74085</v>
          </cell>
        </row>
        <row r="99">
          <cell r="F99">
            <v>7574</v>
          </cell>
        </row>
        <row r="100">
          <cell r="D100">
            <v>8381</v>
          </cell>
        </row>
        <row r="115">
          <cell r="D115">
            <v>134262</v>
          </cell>
        </row>
        <row r="116">
          <cell r="F116">
            <v>13727</v>
          </cell>
        </row>
        <row r="117">
          <cell r="D117">
            <v>38106</v>
          </cell>
        </row>
        <row r="125">
          <cell r="D125">
            <v>93302</v>
          </cell>
        </row>
        <row r="126">
          <cell r="D126">
            <v>81194</v>
          </cell>
        </row>
        <row r="128">
          <cell r="D128">
            <v>178166</v>
          </cell>
        </row>
        <row r="131">
          <cell r="F131">
            <v>9539</v>
          </cell>
        </row>
        <row r="132">
          <cell r="F132">
            <v>8301</v>
          </cell>
        </row>
        <row r="134">
          <cell r="F134">
            <v>18216</v>
          </cell>
        </row>
        <row r="136">
          <cell r="D136">
            <v>570154</v>
          </cell>
        </row>
        <row r="137">
          <cell r="D137">
            <v>158016</v>
          </cell>
        </row>
        <row r="138">
          <cell r="D138">
            <v>967076</v>
          </cell>
        </row>
        <row r="141">
          <cell r="F141">
            <v>58292</v>
          </cell>
        </row>
        <row r="142">
          <cell r="F142">
            <v>16155</v>
          </cell>
        </row>
        <row r="143">
          <cell r="F143">
            <v>98873</v>
          </cell>
        </row>
        <row r="146">
          <cell r="D146">
            <v>24223</v>
          </cell>
        </row>
        <row r="150">
          <cell r="D150">
            <v>7271</v>
          </cell>
        </row>
        <row r="151">
          <cell r="D151">
            <v>112691</v>
          </cell>
        </row>
        <row r="152">
          <cell r="D152">
            <v>9416</v>
          </cell>
        </row>
        <row r="177">
          <cell r="D177">
            <v>112206</v>
          </cell>
        </row>
        <row r="178">
          <cell r="F178">
            <v>11472</v>
          </cell>
        </row>
        <row r="194">
          <cell r="D194">
            <v>83967</v>
          </cell>
        </row>
        <row r="195">
          <cell r="D195">
            <v>30554</v>
          </cell>
        </row>
        <row r="197">
          <cell r="D197">
            <v>48019</v>
          </cell>
        </row>
        <row r="198">
          <cell r="D198">
            <v>27037</v>
          </cell>
        </row>
        <row r="205">
          <cell r="D205">
            <v>115167</v>
          </cell>
        </row>
        <row r="206">
          <cell r="D206">
            <v>996</v>
          </cell>
        </row>
        <row r="211">
          <cell r="D211">
            <v>194417</v>
          </cell>
        </row>
        <row r="212">
          <cell r="F212">
            <v>19877</v>
          </cell>
        </row>
        <row r="213">
          <cell r="D213">
            <v>157176</v>
          </cell>
        </row>
        <row r="216">
          <cell r="D216">
            <v>68098</v>
          </cell>
        </row>
        <row r="221">
          <cell r="D221">
            <v>5989284</v>
          </cell>
        </row>
      </sheetData>
      <sheetData sheetId="8" refreshError="1"/>
      <sheetData sheetId="9" refreshError="1"/>
      <sheetData sheetId="10">
        <row r="9">
          <cell r="C9">
            <v>20093</v>
          </cell>
          <cell r="D9">
            <v>2266</v>
          </cell>
          <cell r="E9">
            <v>982</v>
          </cell>
          <cell r="G9">
            <v>3834</v>
          </cell>
          <cell r="H9">
            <v>601</v>
          </cell>
          <cell r="J9">
            <v>1449</v>
          </cell>
        </row>
        <row r="22">
          <cell r="N22">
            <v>82</v>
          </cell>
        </row>
        <row r="24">
          <cell r="N24">
            <v>82</v>
          </cell>
        </row>
        <row r="28">
          <cell r="N28">
            <v>29930</v>
          </cell>
        </row>
        <row r="30">
          <cell r="N30">
            <v>0.97644503842298702</v>
          </cell>
        </row>
        <row r="32">
          <cell r="N32">
            <v>0.74704310056799195</v>
          </cell>
        </row>
        <row r="34">
          <cell r="N34">
            <v>0.76506415739948663</v>
          </cell>
        </row>
      </sheetData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Grou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E10">
            <v>5798885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2138094</v>
          </cell>
          <cell r="G21">
            <v>0</v>
          </cell>
        </row>
        <row r="27">
          <cell r="E27">
            <v>1276015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590451</v>
          </cell>
          <cell r="G37">
            <v>0</v>
          </cell>
        </row>
        <row r="42">
          <cell r="E42">
            <v>746415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269319</v>
          </cell>
          <cell r="G52">
            <v>0</v>
          </cell>
        </row>
        <row r="67">
          <cell r="E67">
            <v>85525</v>
          </cell>
          <cell r="G67">
            <v>-8494</v>
          </cell>
        </row>
        <row r="85">
          <cell r="C85">
            <v>177.63256784968684</v>
          </cell>
          <cell r="E85">
            <v>177.63201911589007</v>
          </cell>
          <cell r="G85">
            <v>177.63265306122449</v>
          </cell>
          <cell r="I85">
            <v>177.63350125944584</v>
          </cell>
        </row>
      </sheetData>
      <sheetData sheetId="6" refreshError="1"/>
      <sheetData sheetId="7">
        <row r="10">
          <cell r="D10">
            <v>0</v>
          </cell>
          <cell r="F10">
            <v>211653</v>
          </cell>
        </row>
        <row r="11">
          <cell r="D11">
            <v>0</v>
          </cell>
        </row>
        <row r="12">
          <cell r="D12">
            <v>388759</v>
          </cell>
          <cell r="F12">
            <v>-211653</v>
          </cell>
        </row>
        <row r="13">
          <cell r="D13">
            <v>62311</v>
          </cell>
        </row>
        <row r="14">
          <cell r="D14">
            <v>10500</v>
          </cell>
        </row>
        <row r="15">
          <cell r="D15">
            <v>0</v>
          </cell>
          <cell r="F15">
            <v>651936</v>
          </cell>
        </row>
        <row r="16">
          <cell r="D16">
            <v>651936</v>
          </cell>
          <cell r="F16">
            <v>-651936</v>
          </cell>
        </row>
        <row r="17">
          <cell r="D17">
            <v>849</v>
          </cell>
          <cell r="F17">
            <v>-849</v>
          </cell>
        </row>
        <row r="18">
          <cell r="D18">
            <v>16734</v>
          </cell>
        </row>
        <row r="19">
          <cell r="D19">
            <v>21822</v>
          </cell>
        </row>
        <row r="20">
          <cell r="D20">
            <v>7247</v>
          </cell>
        </row>
        <row r="21">
          <cell r="D21">
            <v>51118</v>
          </cell>
        </row>
        <row r="22">
          <cell r="D22">
            <v>0</v>
          </cell>
        </row>
        <row r="23">
          <cell r="D23">
            <v>2572</v>
          </cell>
        </row>
        <row r="24">
          <cell r="D24">
            <v>2487</v>
          </cell>
        </row>
        <row r="25">
          <cell r="D25">
            <v>0</v>
          </cell>
        </row>
        <row r="26">
          <cell r="D26">
            <v>594361</v>
          </cell>
        </row>
        <row r="27">
          <cell r="D27">
            <v>2043</v>
          </cell>
          <cell r="F27">
            <v>-193</v>
          </cell>
        </row>
        <row r="28">
          <cell r="D28">
            <v>0</v>
          </cell>
          <cell r="F28">
            <v>0</v>
          </cell>
        </row>
        <row r="29">
          <cell r="D29">
            <v>263374</v>
          </cell>
          <cell r="F29">
            <v>-263374</v>
          </cell>
        </row>
        <row r="30">
          <cell r="D30">
            <v>0</v>
          </cell>
          <cell r="F30">
            <v>0</v>
          </cell>
        </row>
        <row r="31">
          <cell r="D31">
            <v>0</v>
          </cell>
        </row>
        <row r="32">
          <cell r="D32">
            <v>116264</v>
          </cell>
        </row>
        <row r="33">
          <cell r="D33">
            <v>0</v>
          </cell>
          <cell r="F33">
            <v>0</v>
          </cell>
        </row>
        <row r="34">
          <cell r="D34">
            <v>387</v>
          </cell>
        </row>
        <row r="35">
          <cell r="D35">
            <v>888</v>
          </cell>
          <cell r="F35">
            <v>-888</v>
          </cell>
        </row>
        <row r="36">
          <cell r="D36">
            <v>0</v>
          </cell>
        </row>
        <row r="37">
          <cell r="D37">
            <v>0</v>
          </cell>
        </row>
        <row r="38">
          <cell r="D38">
            <v>0</v>
          </cell>
        </row>
        <row r="39">
          <cell r="D39">
            <v>9027</v>
          </cell>
        </row>
        <row r="40">
          <cell r="D40">
            <v>3819</v>
          </cell>
          <cell r="F40">
            <v>-3819</v>
          </cell>
        </row>
        <row r="41">
          <cell r="D41">
            <v>217814</v>
          </cell>
        </row>
        <row r="42">
          <cell r="D42">
            <v>192</v>
          </cell>
        </row>
        <row r="43">
          <cell r="D43">
            <v>4706</v>
          </cell>
          <cell r="F43">
            <v>-4706</v>
          </cell>
        </row>
        <row r="44">
          <cell r="D44">
            <v>0</v>
          </cell>
        </row>
        <row r="45">
          <cell r="D45">
            <v>2464</v>
          </cell>
          <cell r="F45">
            <v>-3323</v>
          </cell>
        </row>
        <row r="57">
          <cell r="D57">
            <v>634243</v>
          </cell>
          <cell r="F57">
            <v>-1180</v>
          </cell>
        </row>
        <row r="58">
          <cell r="D58">
            <v>2982</v>
          </cell>
        </row>
        <row r="59">
          <cell r="D59">
            <v>0</v>
          </cell>
        </row>
        <row r="60">
          <cell r="D60">
            <v>0</v>
          </cell>
        </row>
        <row r="61">
          <cell r="D61">
            <v>0</v>
          </cell>
        </row>
        <row r="62">
          <cell r="D62">
            <v>0</v>
          </cell>
        </row>
        <row r="63">
          <cell r="D63">
            <v>0</v>
          </cell>
        </row>
        <row r="64">
          <cell r="D64">
            <v>0</v>
          </cell>
        </row>
        <row r="65">
          <cell r="D65">
            <v>0</v>
          </cell>
        </row>
        <row r="66">
          <cell r="D66">
            <v>71346</v>
          </cell>
        </row>
        <row r="67">
          <cell r="D67">
            <v>27423</v>
          </cell>
        </row>
        <row r="68">
          <cell r="D68">
            <v>0</v>
          </cell>
        </row>
        <row r="69">
          <cell r="D69">
            <v>8114</v>
          </cell>
        </row>
        <row r="70">
          <cell r="D70">
            <v>0</v>
          </cell>
        </row>
        <row r="71">
          <cell r="D71">
            <v>0</v>
          </cell>
        </row>
        <row r="75">
          <cell r="D75">
            <v>75856</v>
          </cell>
        </row>
        <row r="76">
          <cell r="D76">
            <v>11782</v>
          </cell>
        </row>
        <row r="77">
          <cell r="D77">
            <v>13489</v>
          </cell>
        </row>
        <row r="78">
          <cell r="D78">
            <v>0</v>
          </cell>
        </row>
        <row r="79">
          <cell r="D79">
            <v>-3703</v>
          </cell>
        </row>
        <row r="80">
          <cell r="D80">
            <v>28853</v>
          </cell>
        </row>
        <row r="81">
          <cell r="D81">
            <v>11129</v>
          </cell>
        </row>
        <row r="82">
          <cell r="D82">
            <v>16405</v>
          </cell>
        </row>
        <row r="83">
          <cell r="D83">
            <v>0</v>
          </cell>
        </row>
        <row r="84">
          <cell r="D84">
            <v>151285</v>
          </cell>
        </row>
        <row r="85">
          <cell r="D85">
            <v>0</v>
          </cell>
        </row>
        <row r="89">
          <cell r="D89">
            <v>375581</v>
          </cell>
        </row>
        <row r="90">
          <cell r="D90">
            <v>78262</v>
          </cell>
        </row>
        <row r="91">
          <cell r="D91">
            <v>12810</v>
          </cell>
        </row>
        <row r="92">
          <cell r="D92">
            <v>287404</v>
          </cell>
          <cell r="F92">
            <v>-3898</v>
          </cell>
        </row>
        <row r="93">
          <cell r="D93">
            <v>39219</v>
          </cell>
        </row>
        <row r="94">
          <cell r="D94">
            <v>0</v>
          </cell>
        </row>
        <row r="98">
          <cell r="D98">
            <v>0</v>
          </cell>
        </row>
        <row r="99">
          <cell r="D99">
            <v>0</v>
          </cell>
        </row>
        <row r="100">
          <cell r="D100">
            <v>5409</v>
          </cell>
        </row>
        <row r="101">
          <cell r="D101">
            <v>95420</v>
          </cell>
        </row>
        <row r="102">
          <cell r="D102">
            <v>11566</v>
          </cell>
        </row>
        <row r="103">
          <cell r="D103">
            <v>0</v>
          </cell>
        </row>
        <row r="115">
          <cell r="D115">
            <v>0</v>
          </cell>
        </row>
        <row r="116">
          <cell r="D116">
            <v>0</v>
          </cell>
        </row>
        <row r="117">
          <cell r="D117">
            <v>32565</v>
          </cell>
        </row>
        <row r="118">
          <cell r="D118">
            <v>179962</v>
          </cell>
        </row>
        <row r="119">
          <cell r="D119">
            <v>0</v>
          </cell>
        </row>
        <row r="124">
          <cell r="D124">
            <v>0</v>
          </cell>
        </row>
        <row r="125">
          <cell r="D125">
            <v>370091</v>
          </cell>
        </row>
        <row r="126">
          <cell r="D126">
            <v>0</v>
          </cell>
        </row>
        <row r="127">
          <cell r="D127">
            <v>0</v>
          </cell>
        </row>
        <row r="128">
          <cell r="D128">
            <v>90660</v>
          </cell>
        </row>
        <row r="130">
          <cell r="D130">
            <v>0</v>
          </cell>
        </row>
        <row r="131">
          <cell r="D131">
            <v>32712</v>
          </cell>
        </row>
        <row r="132">
          <cell r="D132">
            <v>0</v>
          </cell>
        </row>
        <row r="133">
          <cell r="D133">
            <v>0</v>
          </cell>
        </row>
        <row r="134">
          <cell r="D134">
            <v>7232</v>
          </cell>
        </row>
        <row r="136">
          <cell r="D136">
            <v>1249036</v>
          </cell>
        </row>
        <row r="137">
          <cell r="D137">
            <v>409457</v>
          </cell>
        </row>
        <row r="138">
          <cell r="D138">
            <v>1135071</v>
          </cell>
          <cell r="F138">
            <v>35740</v>
          </cell>
        </row>
        <row r="139">
          <cell r="D139">
            <v>35740</v>
          </cell>
          <cell r="F139">
            <v>-35740</v>
          </cell>
        </row>
        <row r="141">
          <cell r="D141">
            <v>507854</v>
          </cell>
          <cell r="F141">
            <v>-283655</v>
          </cell>
        </row>
        <row r="142">
          <cell r="D142">
            <v>0</v>
          </cell>
          <cell r="F142">
            <v>73497</v>
          </cell>
        </row>
        <row r="143">
          <cell r="D143">
            <v>0</v>
          </cell>
          <cell r="F143">
            <v>210158</v>
          </cell>
        </row>
        <row r="144">
          <cell r="D144">
            <v>0</v>
          </cell>
        </row>
        <row r="146">
          <cell r="D146">
            <v>45600</v>
          </cell>
        </row>
        <row r="147">
          <cell r="D147">
            <v>0</v>
          </cell>
        </row>
        <row r="148">
          <cell r="D148">
            <v>0</v>
          </cell>
        </row>
        <row r="149">
          <cell r="D149">
            <v>0</v>
          </cell>
        </row>
        <row r="150">
          <cell r="D150">
            <v>65</v>
          </cell>
        </row>
        <row r="151">
          <cell r="D151">
            <v>271889</v>
          </cell>
        </row>
        <row r="152">
          <cell r="D152">
            <v>7849</v>
          </cell>
        </row>
        <row r="153">
          <cell r="D153">
            <v>0</v>
          </cell>
        </row>
        <row r="154">
          <cell r="D154">
            <v>0</v>
          </cell>
        </row>
        <row r="156">
          <cell r="D156">
            <v>0</v>
          </cell>
        </row>
        <row r="157">
          <cell r="D157">
            <v>0</v>
          </cell>
        </row>
        <row r="158">
          <cell r="D158">
            <v>84</v>
          </cell>
        </row>
        <row r="159">
          <cell r="D159">
            <v>0</v>
          </cell>
        </row>
        <row r="160">
          <cell r="D160">
            <v>0</v>
          </cell>
        </row>
        <row r="161">
          <cell r="D161">
            <v>26727</v>
          </cell>
        </row>
        <row r="175">
          <cell r="D175">
            <v>0</v>
          </cell>
        </row>
        <row r="176">
          <cell r="D176">
            <v>0</v>
          </cell>
        </row>
        <row r="177">
          <cell r="D177">
            <v>0</v>
          </cell>
        </row>
        <row r="178">
          <cell r="D178">
            <v>0</v>
          </cell>
        </row>
        <row r="179">
          <cell r="D179">
            <v>0</v>
          </cell>
        </row>
        <row r="180">
          <cell r="D180">
            <v>0</v>
          </cell>
        </row>
        <row r="181">
          <cell r="D181">
            <v>0</v>
          </cell>
        </row>
        <row r="182">
          <cell r="D182">
            <v>0</v>
          </cell>
        </row>
        <row r="183">
          <cell r="D183">
            <v>0</v>
          </cell>
        </row>
        <row r="184">
          <cell r="D184">
            <v>0</v>
          </cell>
        </row>
        <row r="185">
          <cell r="D185">
            <v>0</v>
          </cell>
        </row>
        <row r="186">
          <cell r="D186">
            <v>0</v>
          </cell>
        </row>
        <row r="187">
          <cell r="D187">
            <v>0</v>
          </cell>
        </row>
        <row r="188">
          <cell r="D188">
            <v>2177</v>
          </cell>
        </row>
        <row r="189">
          <cell r="D189">
            <v>0</v>
          </cell>
        </row>
        <row r="190">
          <cell r="D190">
            <v>0</v>
          </cell>
        </row>
        <row r="191">
          <cell r="D191">
            <v>0</v>
          </cell>
        </row>
        <row r="192">
          <cell r="D192">
            <v>0</v>
          </cell>
        </row>
        <row r="193">
          <cell r="D193">
            <v>440</v>
          </cell>
        </row>
        <row r="194">
          <cell r="D194">
            <v>484890</v>
          </cell>
        </row>
        <row r="195">
          <cell r="D195">
            <v>150550</v>
          </cell>
        </row>
        <row r="196">
          <cell r="D196">
            <v>0</v>
          </cell>
        </row>
        <row r="197">
          <cell r="D197">
            <v>335952</v>
          </cell>
        </row>
        <row r="198">
          <cell r="D198">
            <v>74895</v>
          </cell>
        </row>
        <row r="199">
          <cell r="D199">
            <v>0</v>
          </cell>
        </row>
        <row r="200">
          <cell r="D200">
            <v>0</v>
          </cell>
        </row>
        <row r="201">
          <cell r="D201">
            <v>0</v>
          </cell>
        </row>
        <row r="202">
          <cell r="D202">
            <v>0</v>
          </cell>
        </row>
        <row r="203">
          <cell r="D203">
            <v>0</v>
          </cell>
        </row>
        <row r="204">
          <cell r="D204">
            <v>0</v>
          </cell>
        </row>
        <row r="205">
          <cell r="D205">
            <v>414322</v>
          </cell>
        </row>
        <row r="206">
          <cell r="D206">
            <v>827</v>
          </cell>
        </row>
        <row r="207">
          <cell r="D207">
            <v>1064</v>
          </cell>
        </row>
        <row r="211">
          <cell r="D211">
            <v>166200</v>
          </cell>
        </row>
        <row r="212">
          <cell r="D212">
            <v>34487</v>
          </cell>
        </row>
        <row r="213">
          <cell r="D213">
            <v>4684</v>
          </cell>
        </row>
        <row r="214">
          <cell r="D214">
            <v>0</v>
          </cell>
        </row>
        <row r="215">
          <cell r="D215">
            <v>0</v>
          </cell>
        </row>
        <row r="216">
          <cell r="D216">
            <v>2968</v>
          </cell>
        </row>
        <row r="221">
          <cell r="D221">
            <v>10462599</v>
          </cell>
        </row>
      </sheetData>
      <sheetData sheetId="8" refreshError="1"/>
      <sheetData sheetId="9" refreshError="1"/>
      <sheetData sheetId="10">
        <row r="9">
          <cell r="C9">
            <v>30441</v>
          </cell>
          <cell r="D9">
            <v>0</v>
          </cell>
          <cell r="E9">
            <v>3958</v>
          </cell>
          <cell r="F9">
            <v>2891</v>
          </cell>
          <cell r="G9">
            <v>0</v>
          </cell>
          <cell r="H9">
            <v>3324</v>
          </cell>
          <cell r="I9">
            <v>3879</v>
          </cell>
          <cell r="J9">
            <v>0</v>
          </cell>
          <cell r="K9">
            <v>1078</v>
          </cell>
        </row>
        <row r="22">
          <cell r="N22">
            <v>140</v>
          </cell>
        </row>
        <row r="24">
          <cell r="N24">
            <v>140</v>
          </cell>
        </row>
        <row r="28">
          <cell r="N28">
            <v>51100</v>
          </cell>
        </row>
        <row r="30">
          <cell r="N30">
            <v>0.89180039138943246</v>
          </cell>
        </row>
        <row r="32">
          <cell r="N32">
            <v>0.59571428571428575</v>
          </cell>
        </row>
        <row r="34">
          <cell r="N34">
            <v>0.66799060806214483</v>
          </cell>
        </row>
      </sheetData>
      <sheetData sheetId="11" refreshError="1"/>
      <sheetData sheetId="1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Explanation of Misc. Rev."/>
      <sheetName val="Sch C"/>
      <sheetName val="Sch C-1"/>
      <sheetName val="FCP Adjustments"/>
      <sheetName val="Sch C-2"/>
      <sheetName val="Sch D"/>
      <sheetName val="Summary"/>
      <sheetName val="Trial Bal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E10">
            <v>1538121.4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695291.90999999992</v>
          </cell>
          <cell r="G21">
            <v>0</v>
          </cell>
        </row>
        <row r="27">
          <cell r="E27">
            <v>0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986649.89</v>
          </cell>
          <cell r="G37">
            <v>0</v>
          </cell>
        </row>
        <row r="42">
          <cell r="E42">
            <v>7644</v>
          </cell>
          <cell r="G42">
            <v>0</v>
          </cell>
        </row>
        <row r="47">
          <cell r="E47">
            <v>23788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2014308.73</v>
          </cell>
          <cell r="G67">
            <v>4710.21</v>
          </cell>
        </row>
        <row r="85">
          <cell r="C85">
            <v>115.45366103430619</v>
          </cell>
          <cell r="E85">
            <v>130.53024036054083</v>
          </cell>
          <cell r="G85">
            <v>129.42599693251535</v>
          </cell>
          <cell r="I85">
            <v>131.91613333333333</v>
          </cell>
        </row>
      </sheetData>
      <sheetData sheetId="6" refreshError="1"/>
      <sheetData sheetId="7" refreshError="1"/>
      <sheetData sheetId="8">
        <row r="10">
          <cell r="D10">
            <v>87394.22</v>
          </cell>
        </row>
        <row r="12">
          <cell r="D12">
            <v>21854.51</v>
          </cell>
        </row>
        <row r="13">
          <cell r="D13">
            <v>581387.75</v>
          </cell>
          <cell r="F13">
            <v>-539704</v>
          </cell>
        </row>
        <row r="15">
          <cell r="D15">
            <v>209888.12</v>
          </cell>
          <cell r="F15">
            <v>-209888</v>
          </cell>
        </row>
        <row r="16">
          <cell r="F16">
            <v>123511</v>
          </cell>
        </row>
        <row r="17">
          <cell r="D17">
            <v>20656.79</v>
          </cell>
          <cell r="F17">
            <v>-20657</v>
          </cell>
        </row>
        <row r="18">
          <cell r="D18">
            <v>33564.51</v>
          </cell>
        </row>
        <row r="19">
          <cell r="D19">
            <v>12241.4</v>
          </cell>
        </row>
        <row r="20">
          <cell r="D20">
            <v>9054.99</v>
          </cell>
        </row>
        <row r="21">
          <cell r="D21">
            <v>13039.7</v>
          </cell>
        </row>
        <row r="23">
          <cell r="D23">
            <v>11761.24</v>
          </cell>
        </row>
        <row r="24">
          <cell r="D24">
            <v>33747.480000000003</v>
          </cell>
        </row>
        <row r="26">
          <cell r="D26">
            <v>268638.81</v>
          </cell>
        </row>
        <row r="28">
          <cell r="F28">
            <v>0</v>
          </cell>
        </row>
        <row r="29">
          <cell r="D29">
            <v>65565.37</v>
          </cell>
          <cell r="F29">
            <v>-65565.37</v>
          </cell>
        </row>
        <row r="30">
          <cell r="D30">
            <v>1185</v>
          </cell>
          <cell r="F30">
            <v>-1185</v>
          </cell>
        </row>
        <row r="31">
          <cell r="D31">
            <v>33021.760000000002</v>
          </cell>
        </row>
        <row r="32">
          <cell r="D32">
            <v>7068.33</v>
          </cell>
        </row>
        <row r="33">
          <cell r="F33">
            <v>0</v>
          </cell>
        </row>
        <row r="35">
          <cell r="F35">
            <v>0</v>
          </cell>
        </row>
        <row r="38">
          <cell r="D38">
            <v>230.26</v>
          </cell>
        </row>
        <row r="39">
          <cell r="D39">
            <v>2865.88</v>
          </cell>
        </row>
        <row r="40">
          <cell r="D40">
            <v>7162.92</v>
          </cell>
          <cell r="F40">
            <v>-7163</v>
          </cell>
        </row>
        <row r="42">
          <cell r="D42">
            <v>4002.25</v>
          </cell>
        </row>
        <row r="43">
          <cell r="D43">
            <v>8826.7000000000007</v>
          </cell>
        </row>
        <row r="44">
          <cell r="D44">
            <v>242.21</v>
          </cell>
        </row>
        <row r="45">
          <cell r="D45">
            <v>603746.4</v>
          </cell>
          <cell r="F45">
            <v>-2073</v>
          </cell>
        </row>
        <row r="58">
          <cell r="D58">
            <v>163624.59</v>
          </cell>
        </row>
        <row r="61">
          <cell r="D61">
            <v>4569.1099999999997</v>
          </cell>
        </row>
        <row r="65">
          <cell r="D65">
            <v>1545</v>
          </cell>
        </row>
        <row r="66">
          <cell r="D66">
            <v>3175.44</v>
          </cell>
        </row>
        <row r="67">
          <cell r="D67">
            <v>23283.66</v>
          </cell>
        </row>
        <row r="70">
          <cell r="D70">
            <v>-300</v>
          </cell>
        </row>
        <row r="75">
          <cell r="D75">
            <v>46531.96</v>
          </cell>
        </row>
        <row r="76">
          <cell r="F76">
            <v>17754.514342130489</v>
          </cell>
        </row>
        <row r="77">
          <cell r="D77">
            <v>4520.3</v>
          </cell>
        </row>
        <row r="79">
          <cell r="D79">
            <v>11847.16</v>
          </cell>
        </row>
        <row r="80">
          <cell r="D80">
            <v>8298.86</v>
          </cell>
        </row>
        <row r="81">
          <cell r="D81">
            <v>17674.05</v>
          </cell>
        </row>
        <row r="82">
          <cell r="D82">
            <v>18723.830000000002</v>
          </cell>
        </row>
        <row r="83">
          <cell r="D83">
            <v>5389.68</v>
          </cell>
        </row>
        <row r="84">
          <cell r="D84">
            <v>91801.87</v>
          </cell>
        </row>
        <row r="89">
          <cell r="D89">
            <v>145503.23000000001</v>
          </cell>
        </row>
        <row r="90">
          <cell r="F90">
            <v>55517.52352278545</v>
          </cell>
        </row>
        <row r="91">
          <cell r="D91">
            <v>5704</v>
          </cell>
        </row>
        <row r="92">
          <cell r="D92">
            <v>158376.19</v>
          </cell>
        </row>
        <row r="93">
          <cell r="D93">
            <v>12251.85</v>
          </cell>
        </row>
        <row r="98">
          <cell r="D98">
            <v>47143.89</v>
          </cell>
        </row>
        <row r="99">
          <cell r="F99">
            <v>17987.99945561765</v>
          </cell>
        </row>
        <row r="100">
          <cell r="D100">
            <v>3627.85</v>
          </cell>
        </row>
        <row r="102">
          <cell r="D102">
            <v>6392.08</v>
          </cell>
        </row>
        <row r="115">
          <cell r="D115">
            <v>74218.39</v>
          </cell>
        </row>
        <row r="116">
          <cell r="F116">
            <v>28318.417485634265</v>
          </cell>
        </row>
        <row r="117">
          <cell r="D117">
            <v>26287.65</v>
          </cell>
        </row>
        <row r="125">
          <cell r="D125">
            <v>135148.56</v>
          </cell>
        </row>
        <row r="131">
          <cell r="F131">
            <v>51566.644663974672</v>
          </cell>
        </row>
        <row r="136">
          <cell r="D136">
            <v>331871.48</v>
          </cell>
        </row>
        <row r="137">
          <cell r="D137">
            <v>139357.22</v>
          </cell>
        </row>
        <row r="138">
          <cell r="D138">
            <v>425421.97</v>
          </cell>
        </row>
        <row r="141">
          <cell r="F141">
            <v>126627.31059263508</v>
          </cell>
        </row>
        <row r="142">
          <cell r="F142">
            <v>53172.481046778041</v>
          </cell>
        </row>
        <row r="143">
          <cell r="F143">
            <v>162321.99262232683</v>
          </cell>
        </row>
        <row r="146">
          <cell r="D146">
            <v>12000</v>
          </cell>
        </row>
        <row r="150">
          <cell r="D150">
            <v>13343.67</v>
          </cell>
        </row>
        <row r="151">
          <cell r="D151">
            <v>84877.27</v>
          </cell>
        </row>
        <row r="152">
          <cell r="D152">
            <v>704.17</v>
          </cell>
        </row>
        <row r="153">
          <cell r="D153">
            <v>3011.98</v>
          </cell>
        </row>
        <row r="157">
          <cell r="F157">
            <v>4710.21</v>
          </cell>
        </row>
        <row r="193">
          <cell r="D193">
            <v>1235.23</v>
          </cell>
        </row>
        <row r="194">
          <cell r="D194">
            <v>115820</v>
          </cell>
        </row>
        <row r="195">
          <cell r="D195">
            <v>210</v>
          </cell>
        </row>
        <row r="198">
          <cell r="D198">
            <v>17258.490000000002</v>
          </cell>
        </row>
        <row r="202">
          <cell r="D202">
            <v>191.56</v>
          </cell>
        </row>
        <row r="205">
          <cell r="D205">
            <v>74058.66</v>
          </cell>
        </row>
        <row r="207">
          <cell r="D207">
            <v>1662.5</v>
          </cell>
        </row>
        <row r="211">
          <cell r="D211">
            <v>69286</v>
          </cell>
        </row>
        <row r="212">
          <cell r="F212">
            <v>26436.438110684638</v>
          </cell>
        </row>
        <row r="213">
          <cell r="D213">
            <v>11400.15</v>
          </cell>
        </row>
        <row r="214">
          <cell r="D214">
            <v>1248.75</v>
          </cell>
        </row>
        <row r="221">
          <cell r="D221">
            <v>4355444.9000000004</v>
          </cell>
        </row>
      </sheetData>
      <sheetData sheetId="9" refreshError="1"/>
      <sheetData sheetId="10" refreshError="1"/>
      <sheetData sheetId="11" refreshError="1"/>
      <sheetData sheetId="12">
        <row r="9">
          <cell r="C9">
            <v>9548</v>
          </cell>
          <cell r="E9">
            <v>1594</v>
          </cell>
          <cell r="H9">
            <v>7781</v>
          </cell>
          <cell r="I9">
            <v>49</v>
          </cell>
          <cell r="J9">
            <v>188</v>
          </cell>
        </row>
        <row r="22">
          <cell r="N22">
            <v>60</v>
          </cell>
        </row>
        <row r="24">
          <cell r="N24">
            <v>60</v>
          </cell>
        </row>
        <row r="28">
          <cell r="N28">
            <v>21900</v>
          </cell>
        </row>
        <row r="30">
          <cell r="N30">
            <v>0.87488584474885844</v>
          </cell>
        </row>
        <row r="32">
          <cell r="N32">
            <v>0.43598173515981736</v>
          </cell>
        </row>
        <row r="34">
          <cell r="N34">
            <v>0.49832985386221296</v>
          </cell>
        </row>
      </sheetData>
      <sheetData sheetId="13" refreshError="1"/>
      <sheetData sheetId="1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E10">
            <v>1774890.93</v>
          </cell>
          <cell r="G10">
            <v>0</v>
          </cell>
        </row>
        <row r="15">
          <cell r="E15">
            <v>1018973.83</v>
          </cell>
          <cell r="G15">
            <v>0</v>
          </cell>
        </row>
        <row r="21">
          <cell r="E21">
            <v>0</v>
          </cell>
          <cell r="G21">
            <v>0</v>
          </cell>
        </row>
        <row r="27">
          <cell r="E27">
            <v>0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91746.39</v>
          </cell>
          <cell r="G37">
            <v>0</v>
          </cell>
        </row>
        <row r="42">
          <cell r="E42">
            <v>172470.18</v>
          </cell>
          <cell r="G42">
            <v>0</v>
          </cell>
        </row>
        <row r="47">
          <cell r="E47">
            <v>4436.7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2852.03</v>
          </cell>
          <cell r="G67">
            <v>0</v>
          </cell>
        </row>
        <row r="85">
          <cell r="C85">
            <v>125.50800000000001</v>
          </cell>
          <cell r="E85">
            <v>125.508</v>
          </cell>
          <cell r="G85">
            <v>125.508</v>
          </cell>
          <cell r="I85">
            <v>125.508</v>
          </cell>
        </row>
      </sheetData>
      <sheetData sheetId="6" refreshError="1"/>
      <sheetData sheetId="7">
        <row r="10">
          <cell r="D10">
            <v>58173.33</v>
          </cell>
        </row>
        <row r="13">
          <cell r="D13">
            <v>18690.150000000001</v>
          </cell>
        </row>
        <row r="17">
          <cell r="D17">
            <v>4404.74</v>
          </cell>
        </row>
        <row r="18">
          <cell r="D18">
            <v>4772.6400000000003</v>
          </cell>
        </row>
        <row r="19">
          <cell r="D19">
            <v>8630.34</v>
          </cell>
        </row>
        <row r="20">
          <cell r="D20">
            <v>5147.71</v>
          </cell>
        </row>
        <row r="21">
          <cell r="D21">
            <v>6353.38</v>
          </cell>
        </row>
        <row r="23">
          <cell r="D23">
            <v>8846.5499999999993</v>
          </cell>
        </row>
        <row r="24">
          <cell r="D24">
            <v>3655.49</v>
          </cell>
        </row>
        <row r="25">
          <cell r="D25">
            <v>152000</v>
          </cell>
        </row>
        <row r="26">
          <cell r="D26">
            <v>291612.90999999997</v>
          </cell>
        </row>
        <row r="28">
          <cell r="F28">
            <v>0</v>
          </cell>
        </row>
        <row r="29">
          <cell r="F29">
            <v>0</v>
          </cell>
        </row>
        <row r="30">
          <cell r="D30">
            <v>1500</v>
          </cell>
          <cell r="F30">
            <v>-1500</v>
          </cell>
        </row>
        <row r="31">
          <cell r="D31">
            <v>30422.74</v>
          </cell>
        </row>
        <row r="32">
          <cell r="D32">
            <v>26360.720000000001</v>
          </cell>
        </row>
        <row r="33">
          <cell r="F33">
            <v>0</v>
          </cell>
        </row>
        <row r="35">
          <cell r="F35">
            <v>0</v>
          </cell>
        </row>
        <row r="38">
          <cell r="D38">
            <v>15824</v>
          </cell>
          <cell r="F38">
            <v>-15824</v>
          </cell>
        </row>
        <row r="39">
          <cell r="D39">
            <v>209.7</v>
          </cell>
        </row>
        <row r="41">
          <cell r="D41">
            <v>5108.3</v>
          </cell>
        </row>
        <row r="45">
          <cell r="D45">
            <v>472.92</v>
          </cell>
        </row>
        <row r="57">
          <cell r="D57">
            <v>369010.78</v>
          </cell>
          <cell r="F57">
            <v>-162341.73000000001</v>
          </cell>
        </row>
        <row r="58">
          <cell r="D58">
            <v>62621.599999999999</v>
          </cell>
        </row>
        <row r="61">
          <cell r="D61">
            <v>4064.57</v>
          </cell>
        </row>
        <row r="63">
          <cell r="D63">
            <v>6480.24</v>
          </cell>
          <cell r="F63">
            <v>-4125.32</v>
          </cell>
        </row>
        <row r="65">
          <cell r="D65">
            <v>4678.96</v>
          </cell>
        </row>
        <row r="69">
          <cell r="D69">
            <v>1631.63</v>
          </cell>
        </row>
        <row r="71">
          <cell r="D71">
            <v>979.87</v>
          </cell>
        </row>
        <row r="75">
          <cell r="D75">
            <v>22346.95</v>
          </cell>
        </row>
        <row r="76">
          <cell r="D76">
            <v>1947.02</v>
          </cell>
        </row>
        <row r="77">
          <cell r="D77">
            <v>12944.07</v>
          </cell>
        </row>
        <row r="78">
          <cell r="D78">
            <v>1139.43</v>
          </cell>
        </row>
        <row r="79">
          <cell r="D79">
            <v>8543.5400000000009</v>
          </cell>
        </row>
        <row r="80">
          <cell r="D80">
            <v>14888.01</v>
          </cell>
        </row>
        <row r="81">
          <cell r="D81">
            <v>5682.24</v>
          </cell>
        </row>
        <row r="82">
          <cell r="D82">
            <v>6726.22</v>
          </cell>
        </row>
        <row r="83">
          <cell r="D83">
            <v>2046.07</v>
          </cell>
        </row>
        <row r="84">
          <cell r="D84">
            <v>61567.45</v>
          </cell>
        </row>
        <row r="85">
          <cell r="D85">
            <v>1563.45</v>
          </cell>
        </row>
        <row r="89">
          <cell r="D89">
            <v>148244.70000000001</v>
          </cell>
        </row>
        <row r="90">
          <cell r="D90">
            <v>12916.12</v>
          </cell>
        </row>
        <row r="91">
          <cell r="D91">
            <v>2100.38</v>
          </cell>
        </row>
        <row r="92">
          <cell r="D92">
            <v>175641.53</v>
          </cell>
        </row>
        <row r="93">
          <cell r="D93">
            <v>15565.67</v>
          </cell>
        </row>
        <row r="94">
          <cell r="D94">
            <v>1350.93</v>
          </cell>
        </row>
        <row r="98">
          <cell r="D98">
            <v>34296.620000000003</v>
          </cell>
        </row>
        <row r="99">
          <cell r="D99">
            <v>2988.19</v>
          </cell>
        </row>
        <row r="100">
          <cell r="D100">
            <v>2782.17</v>
          </cell>
        </row>
        <row r="101">
          <cell r="D101">
            <v>765.85</v>
          </cell>
        </row>
        <row r="115">
          <cell r="D115">
            <v>105257.3</v>
          </cell>
        </row>
        <row r="116">
          <cell r="D116">
            <v>9170.7099999999991</v>
          </cell>
        </row>
        <row r="117">
          <cell r="D117">
            <v>5921.61</v>
          </cell>
        </row>
        <row r="118">
          <cell r="D118">
            <v>810.56</v>
          </cell>
        </row>
        <row r="125">
          <cell r="D125">
            <v>162462.39999999999</v>
          </cell>
        </row>
        <row r="128">
          <cell r="D128">
            <v>30533.02</v>
          </cell>
        </row>
        <row r="131">
          <cell r="D131">
            <v>14154.84</v>
          </cell>
        </row>
        <row r="134">
          <cell r="D134">
            <v>2660.2460000000001</v>
          </cell>
        </row>
        <row r="136">
          <cell r="D136">
            <v>371903.32</v>
          </cell>
        </row>
        <row r="137">
          <cell r="D137">
            <v>7573.96</v>
          </cell>
        </row>
        <row r="138">
          <cell r="D138">
            <v>443383.16</v>
          </cell>
        </row>
        <row r="139">
          <cell r="D139">
            <v>87606.85</v>
          </cell>
        </row>
        <row r="141">
          <cell r="D141">
            <v>32402.77</v>
          </cell>
        </row>
        <row r="142">
          <cell r="D142">
            <v>659.9</v>
          </cell>
        </row>
        <row r="143">
          <cell r="D143">
            <v>38603.339999999997</v>
          </cell>
        </row>
        <row r="144">
          <cell r="D144">
            <v>7632.91</v>
          </cell>
        </row>
        <row r="146">
          <cell r="D146">
            <v>3950</v>
          </cell>
        </row>
        <row r="147">
          <cell r="D147">
            <v>24191.02</v>
          </cell>
        </row>
        <row r="151">
          <cell r="D151">
            <v>78134.990000000005</v>
          </cell>
        </row>
        <row r="152">
          <cell r="D152">
            <v>966.41</v>
          </cell>
        </row>
        <row r="161">
          <cell r="D161">
            <v>415.59</v>
          </cell>
        </row>
        <row r="191">
          <cell r="D191">
            <v>8217.02</v>
          </cell>
        </row>
        <row r="201">
          <cell r="D201">
            <v>4257.96</v>
          </cell>
        </row>
        <row r="205">
          <cell r="D205">
            <v>28268.26</v>
          </cell>
        </row>
        <row r="211">
          <cell r="D211">
            <v>73767.210000000006</v>
          </cell>
        </row>
        <row r="212">
          <cell r="D212">
            <v>6427.1059999999998</v>
          </cell>
        </row>
        <row r="213">
          <cell r="D213">
            <v>9203.7000000000007</v>
          </cell>
        </row>
        <row r="216">
          <cell r="D216">
            <v>237.08</v>
          </cell>
        </row>
        <row r="221">
          <cell r="D221">
            <v>3186473.3</v>
          </cell>
        </row>
      </sheetData>
      <sheetData sheetId="8" refreshError="1"/>
      <sheetData sheetId="9" refreshError="1"/>
      <sheetData sheetId="10">
        <row r="9">
          <cell r="C9">
            <v>11416</v>
          </cell>
          <cell r="D9">
            <v>5618</v>
          </cell>
          <cell r="H9">
            <v>731</v>
          </cell>
          <cell r="I9">
            <v>1227</v>
          </cell>
          <cell r="J9">
            <v>32</v>
          </cell>
        </row>
        <row r="22">
          <cell r="N22">
            <v>61</v>
          </cell>
        </row>
        <row r="24">
          <cell r="N24">
            <v>61</v>
          </cell>
        </row>
        <row r="28">
          <cell r="N28">
            <v>22265</v>
          </cell>
        </row>
        <row r="30">
          <cell r="N30">
            <v>0.85443521221648322</v>
          </cell>
        </row>
        <row r="32">
          <cell r="N32">
            <v>0.76505726476532676</v>
          </cell>
        </row>
        <row r="34">
          <cell r="N34">
            <v>0.89539529015979824</v>
          </cell>
        </row>
      </sheetData>
      <sheetData sheetId="1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E10">
            <v>701947.83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525898.60000000009</v>
          </cell>
          <cell r="G21">
            <v>0</v>
          </cell>
        </row>
        <row r="27">
          <cell r="E27">
            <v>204347.5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583128.09</v>
          </cell>
          <cell r="G37">
            <v>0</v>
          </cell>
        </row>
        <row r="42">
          <cell r="E42">
            <v>87844.09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24390.15</v>
          </cell>
          <cell r="G67">
            <v>0</v>
          </cell>
        </row>
        <row r="85">
          <cell r="C85">
            <v>161.43142144638404</v>
          </cell>
          <cell r="E85">
            <v>164.68717548076921</v>
          </cell>
          <cell r="G85">
            <v>164.24494949494951</v>
          </cell>
          <cell r="I85">
            <v>171.10112359550561</v>
          </cell>
        </row>
      </sheetData>
      <sheetData sheetId="6" refreshError="1"/>
      <sheetData sheetId="7">
        <row r="12">
          <cell r="F12">
            <v>0</v>
          </cell>
        </row>
        <row r="13">
          <cell r="D13">
            <v>249741.03</v>
          </cell>
          <cell r="F13">
            <v>-222015.29</v>
          </cell>
        </row>
        <row r="16">
          <cell r="D16">
            <v>74522</v>
          </cell>
          <cell r="F16">
            <v>64076.28</v>
          </cell>
        </row>
        <row r="18">
          <cell r="D18">
            <v>16228</v>
          </cell>
        </row>
        <row r="19">
          <cell r="D19">
            <v>8639.09</v>
          </cell>
        </row>
        <row r="20">
          <cell r="D20">
            <v>3674.06</v>
          </cell>
        </row>
        <row r="21">
          <cell r="D21">
            <v>18717.939999999999</v>
          </cell>
        </row>
        <row r="23">
          <cell r="D23">
            <v>4199.1899999999996</v>
          </cell>
        </row>
        <row r="26">
          <cell r="D26">
            <v>132671</v>
          </cell>
        </row>
        <row r="27">
          <cell r="D27">
            <v>0</v>
          </cell>
        </row>
        <row r="28">
          <cell r="F28">
            <v>0</v>
          </cell>
        </row>
        <row r="29">
          <cell r="D29">
            <v>58336</v>
          </cell>
          <cell r="F29">
            <v>-58336</v>
          </cell>
        </row>
        <row r="30">
          <cell r="F30">
            <v>0</v>
          </cell>
        </row>
        <row r="32">
          <cell r="D32">
            <v>19505.87</v>
          </cell>
        </row>
        <row r="33">
          <cell r="F33">
            <v>0</v>
          </cell>
        </row>
        <row r="35">
          <cell r="F35">
            <v>0</v>
          </cell>
        </row>
        <row r="37">
          <cell r="D37">
            <v>0</v>
          </cell>
        </row>
        <row r="39">
          <cell r="D39">
            <v>364.5</v>
          </cell>
        </row>
        <row r="40">
          <cell r="D40">
            <v>6924.82</v>
          </cell>
          <cell r="F40">
            <v>-6925</v>
          </cell>
        </row>
        <row r="41">
          <cell r="D41">
            <v>102647.13</v>
          </cell>
        </row>
        <row r="42">
          <cell r="D42">
            <v>6300.8899999999994</v>
          </cell>
        </row>
        <row r="43">
          <cell r="D43">
            <v>6713.31</v>
          </cell>
        </row>
        <row r="44">
          <cell r="D44">
            <v>0</v>
          </cell>
        </row>
        <row r="45">
          <cell r="D45">
            <v>26119.530000000002</v>
          </cell>
          <cell r="F45">
            <v>-1734.69</v>
          </cell>
        </row>
        <row r="57">
          <cell r="D57">
            <v>17555.2</v>
          </cell>
          <cell r="F57">
            <v>92267</v>
          </cell>
        </row>
        <row r="61">
          <cell r="D61">
            <v>4121.9399999999996</v>
          </cell>
        </row>
        <row r="65">
          <cell r="D65">
            <v>5798.67</v>
          </cell>
        </row>
        <row r="76">
          <cell r="F76">
            <v>7817.77</v>
          </cell>
        </row>
        <row r="77">
          <cell r="D77">
            <v>20601.05</v>
          </cell>
        </row>
        <row r="80">
          <cell r="D80">
            <v>58613.729999999996</v>
          </cell>
          <cell r="F80">
            <v>0</v>
          </cell>
        </row>
        <row r="84">
          <cell r="D84">
            <v>71053.22</v>
          </cell>
        </row>
        <row r="90">
          <cell r="F90">
            <v>25698.41</v>
          </cell>
        </row>
        <row r="91">
          <cell r="D91">
            <v>95141.46</v>
          </cell>
          <cell r="F91">
            <v>0</v>
          </cell>
        </row>
        <row r="92">
          <cell r="D92">
            <v>68697.960000000006</v>
          </cell>
          <cell r="F92">
            <v>-704</v>
          </cell>
        </row>
        <row r="93">
          <cell r="D93">
            <v>6740.19</v>
          </cell>
        </row>
        <row r="99">
          <cell r="F99">
            <v>7843.22</v>
          </cell>
        </row>
        <row r="100">
          <cell r="D100">
            <v>4449.08</v>
          </cell>
        </row>
        <row r="101">
          <cell r="D101">
            <v>29037.4</v>
          </cell>
        </row>
        <row r="102">
          <cell r="D102">
            <v>1337.58</v>
          </cell>
        </row>
        <row r="116">
          <cell r="F116">
            <v>5401.19</v>
          </cell>
        </row>
        <row r="117">
          <cell r="D117">
            <v>9005.48</v>
          </cell>
        </row>
        <row r="118">
          <cell r="D118">
            <v>19996.45</v>
          </cell>
        </row>
        <row r="141">
          <cell r="F141">
            <v>58473.1</v>
          </cell>
        </row>
        <row r="142">
          <cell r="F142">
            <v>21633.35</v>
          </cell>
        </row>
        <row r="143">
          <cell r="F143">
            <v>83054.75</v>
          </cell>
        </row>
        <row r="146">
          <cell r="D146">
            <v>8400</v>
          </cell>
        </row>
        <row r="147">
          <cell r="D147">
            <v>216480.99</v>
          </cell>
        </row>
        <row r="148">
          <cell r="D148">
            <v>80091.66</v>
          </cell>
        </row>
        <row r="149">
          <cell r="D149">
            <v>308381.14999999997</v>
          </cell>
        </row>
        <row r="150">
          <cell r="D150">
            <v>460.2</v>
          </cell>
        </row>
        <row r="151">
          <cell r="D151">
            <v>56974</v>
          </cell>
        </row>
        <row r="161">
          <cell r="D161">
            <v>5331.98</v>
          </cell>
        </row>
        <row r="194">
          <cell r="D194">
            <v>96232.18</v>
          </cell>
        </row>
        <row r="195">
          <cell r="D195">
            <v>72139.02</v>
          </cell>
        </row>
        <row r="197">
          <cell r="D197">
            <v>8477.64</v>
          </cell>
        </row>
        <row r="198">
          <cell r="D198">
            <v>585.80999999999995</v>
          </cell>
        </row>
        <row r="205">
          <cell r="D205">
            <v>77094.179999999993</v>
          </cell>
        </row>
        <row r="206">
          <cell r="D206">
            <v>1886.41</v>
          </cell>
        </row>
        <row r="212">
          <cell r="F212">
            <v>12093.51</v>
          </cell>
        </row>
        <row r="213">
          <cell r="D213">
            <v>46083.03</v>
          </cell>
        </row>
        <row r="216">
          <cell r="D216">
            <v>1483.51</v>
          </cell>
        </row>
        <row r="221">
          <cell r="D221">
            <v>2127555.84</v>
          </cell>
        </row>
      </sheetData>
      <sheetData sheetId="8" refreshError="1"/>
      <sheetData sheetId="9" refreshError="1"/>
      <sheetData sheetId="10">
        <row r="9">
          <cell r="C9">
            <v>4481</v>
          </cell>
          <cell r="E9">
            <v>1337</v>
          </cell>
          <cell r="F9">
            <v>761</v>
          </cell>
          <cell r="H9">
            <v>3539</v>
          </cell>
          <cell r="I9">
            <v>567</v>
          </cell>
        </row>
        <row r="22">
          <cell r="N22">
            <v>38</v>
          </cell>
        </row>
        <row r="24">
          <cell r="N24">
            <v>38</v>
          </cell>
        </row>
        <row r="28">
          <cell r="N28">
            <v>13870</v>
          </cell>
        </row>
        <row r="30">
          <cell r="N30">
            <v>0.77036770007209809</v>
          </cell>
        </row>
        <row r="32">
          <cell r="N32">
            <v>0.32307137707281902</v>
          </cell>
        </row>
        <row r="34">
          <cell r="N34">
            <v>0.41937295273748243</v>
          </cell>
        </row>
      </sheetData>
      <sheetData sheetId="1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E10">
            <v>1551563.96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474652.49</v>
          </cell>
          <cell r="G21">
            <v>0</v>
          </cell>
        </row>
        <row r="27">
          <cell r="E27">
            <v>38968.89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529274.72</v>
          </cell>
          <cell r="G37">
            <v>0</v>
          </cell>
        </row>
        <row r="42">
          <cell r="E42">
            <v>74543.850000000006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898653.96</v>
          </cell>
          <cell r="G67">
            <v>0</v>
          </cell>
        </row>
        <row r="85">
          <cell r="C85">
            <v>165.48248641304349</v>
          </cell>
          <cell r="E85">
            <v>174.35755076142132</v>
          </cell>
          <cell r="G85">
            <v>162.42930730478588</v>
          </cell>
          <cell r="I85">
            <v>160.36022727272729</v>
          </cell>
        </row>
      </sheetData>
      <sheetData sheetId="6" refreshError="1"/>
      <sheetData sheetId="7">
        <row r="13">
          <cell r="D13">
            <v>354299.52</v>
          </cell>
          <cell r="F13">
            <v>-315721.92</v>
          </cell>
        </row>
        <row r="16">
          <cell r="D16">
            <v>282251</v>
          </cell>
          <cell r="F16">
            <v>-70527</v>
          </cell>
        </row>
        <row r="18">
          <cell r="D18">
            <v>18126.599999999999</v>
          </cell>
        </row>
        <row r="19">
          <cell r="D19">
            <v>11082.130000000001</v>
          </cell>
        </row>
        <row r="20">
          <cell r="D20">
            <v>12254.08</v>
          </cell>
        </row>
        <row r="21">
          <cell r="D21">
            <v>20039.75</v>
          </cell>
        </row>
        <row r="23">
          <cell r="D23">
            <v>1464.94</v>
          </cell>
        </row>
        <row r="26">
          <cell r="D26">
            <v>210779.8</v>
          </cell>
        </row>
        <row r="27">
          <cell r="D27">
            <v>0</v>
          </cell>
        </row>
        <row r="28">
          <cell r="F28">
            <v>0</v>
          </cell>
        </row>
        <row r="29">
          <cell r="D29">
            <v>83115</v>
          </cell>
          <cell r="F29">
            <v>-83115</v>
          </cell>
        </row>
        <row r="30">
          <cell r="F30">
            <v>0</v>
          </cell>
        </row>
        <row r="32">
          <cell r="D32">
            <v>23783.82</v>
          </cell>
        </row>
        <row r="33">
          <cell r="F33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0</v>
          </cell>
        </row>
        <row r="39">
          <cell r="D39">
            <v>7180.8099999999995</v>
          </cell>
        </row>
        <row r="40">
          <cell r="D40">
            <v>10154.07</v>
          </cell>
          <cell r="F40">
            <v>-10154</v>
          </cell>
        </row>
        <row r="41">
          <cell r="D41">
            <v>145708.46999999997</v>
          </cell>
        </row>
        <row r="42">
          <cell r="D42">
            <v>3040.7</v>
          </cell>
        </row>
        <row r="43">
          <cell r="D43">
            <v>10902.71</v>
          </cell>
        </row>
        <row r="45">
          <cell r="D45">
            <v>34571.990000000005</v>
          </cell>
          <cell r="F45">
            <v>-5477</v>
          </cell>
        </row>
        <row r="57">
          <cell r="D57">
            <v>335508</v>
          </cell>
          <cell r="F57">
            <v>-214877</v>
          </cell>
        </row>
        <row r="60">
          <cell r="D60">
            <v>42572.42</v>
          </cell>
        </row>
        <row r="61">
          <cell r="D61">
            <v>1942.71</v>
          </cell>
        </row>
        <row r="65">
          <cell r="D65">
            <v>2421</v>
          </cell>
        </row>
        <row r="67">
          <cell r="D67">
            <v>59.4</v>
          </cell>
        </row>
        <row r="76">
          <cell r="F76">
            <v>12156.32</v>
          </cell>
        </row>
        <row r="77">
          <cell r="D77">
            <v>15225.41</v>
          </cell>
        </row>
        <row r="80">
          <cell r="D80">
            <v>62382.41</v>
          </cell>
        </row>
        <row r="82">
          <cell r="D82">
            <v>3758.99</v>
          </cell>
        </row>
        <row r="84">
          <cell r="D84">
            <v>54299.479999999996</v>
          </cell>
        </row>
        <row r="85">
          <cell r="D85">
            <v>2619.77</v>
          </cell>
        </row>
        <row r="90">
          <cell r="F90">
            <v>42602.78</v>
          </cell>
        </row>
        <row r="91">
          <cell r="D91">
            <v>162184.67000000001</v>
          </cell>
        </row>
        <row r="92">
          <cell r="D92">
            <v>141500.66</v>
          </cell>
          <cell r="F92">
            <v>-1085</v>
          </cell>
        </row>
        <row r="93">
          <cell r="D93">
            <v>19674.46</v>
          </cell>
        </row>
        <row r="94">
          <cell r="D94">
            <v>544.66</v>
          </cell>
        </row>
        <row r="99">
          <cell r="F99">
            <v>6960.44</v>
          </cell>
        </row>
        <row r="100">
          <cell r="D100">
            <v>2055.73</v>
          </cell>
        </row>
        <row r="101">
          <cell r="D101">
            <v>26292.400000000001</v>
          </cell>
        </row>
        <row r="102">
          <cell r="D102">
            <v>4219.6899999999996</v>
          </cell>
        </row>
        <row r="116">
          <cell r="F116">
            <v>6750.46</v>
          </cell>
        </row>
        <row r="117">
          <cell r="D117">
            <v>12246.77</v>
          </cell>
        </row>
        <row r="118">
          <cell r="D118">
            <v>26084.52</v>
          </cell>
        </row>
        <row r="141">
          <cell r="F141">
            <v>45545.9</v>
          </cell>
        </row>
        <row r="142">
          <cell r="F142">
            <v>53744.36</v>
          </cell>
        </row>
        <row r="143">
          <cell r="F143">
            <v>82011.09</v>
          </cell>
        </row>
        <row r="144">
          <cell r="F144">
            <v>4507.4399999999996</v>
          </cell>
        </row>
        <row r="146">
          <cell r="D146">
            <v>15500</v>
          </cell>
        </row>
        <row r="147">
          <cell r="D147">
            <v>175320.53</v>
          </cell>
        </row>
        <row r="148">
          <cell r="D148">
            <v>202991.17</v>
          </cell>
        </row>
        <row r="149">
          <cell r="D149">
            <v>309753.91000000003</v>
          </cell>
        </row>
        <row r="150">
          <cell r="D150">
            <v>17428.13</v>
          </cell>
        </row>
        <row r="151">
          <cell r="D151">
            <v>93003.780000000013</v>
          </cell>
        </row>
        <row r="161">
          <cell r="D161">
            <v>1474.74</v>
          </cell>
        </row>
        <row r="194">
          <cell r="D194">
            <v>75419</v>
          </cell>
        </row>
        <row r="197">
          <cell r="D197">
            <v>79240.52</v>
          </cell>
        </row>
        <row r="198">
          <cell r="D198">
            <v>10962.5</v>
          </cell>
        </row>
        <row r="201">
          <cell r="D201">
            <v>615</v>
          </cell>
        </row>
        <row r="205">
          <cell r="D205">
            <v>51331.37</v>
          </cell>
        </row>
        <row r="206">
          <cell r="D206">
            <v>5459.84</v>
          </cell>
        </row>
        <row r="207">
          <cell r="D207">
            <v>169969.75</v>
          </cell>
          <cell r="F207">
            <v>-169970</v>
          </cell>
        </row>
        <row r="212">
          <cell r="F212">
            <v>16454.75</v>
          </cell>
        </row>
        <row r="213">
          <cell r="D213">
            <v>73690.61</v>
          </cell>
        </row>
        <row r="216">
          <cell r="D216">
            <v>2896.88</v>
          </cell>
        </row>
        <row r="221">
          <cell r="D221">
            <v>3429407</v>
          </cell>
        </row>
      </sheetData>
      <sheetData sheetId="8" refreshError="1"/>
      <sheetData sheetId="9" refreshError="1"/>
      <sheetData sheetId="10">
        <row r="9">
          <cell r="C9">
            <v>9765</v>
          </cell>
          <cell r="E9">
            <v>1147</v>
          </cell>
          <cell r="F9">
            <v>81</v>
          </cell>
          <cell r="H9">
            <v>3198</v>
          </cell>
          <cell r="I9">
            <v>477</v>
          </cell>
        </row>
        <row r="22">
          <cell r="N22">
            <v>46</v>
          </cell>
        </row>
        <row r="24">
          <cell r="N24">
            <v>46</v>
          </cell>
        </row>
        <row r="28">
          <cell r="N28">
            <v>16790</v>
          </cell>
        </row>
        <row r="30">
          <cell r="N30">
            <v>0.87361524717093508</v>
          </cell>
        </row>
        <row r="32">
          <cell r="N32">
            <v>0.58159618820726622</v>
          </cell>
        </row>
        <row r="34">
          <cell r="N34">
            <v>0.66573493318789201</v>
          </cell>
        </row>
      </sheetData>
      <sheetData sheetId="1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E10">
            <v>2879171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188369.96</v>
          </cell>
          <cell r="G21">
            <v>0</v>
          </cell>
        </row>
        <row r="27">
          <cell r="E27">
            <v>52691.76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346970.75</v>
          </cell>
          <cell r="G37">
            <v>0</v>
          </cell>
        </row>
        <row r="42">
          <cell r="E42">
            <v>93074.85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86137.53</v>
          </cell>
          <cell r="G67">
            <v>0</v>
          </cell>
        </row>
        <row r="85">
          <cell r="C85">
            <v>168.60109289617486</v>
          </cell>
          <cell r="E85">
            <v>172.05084745762713</v>
          </cell>
          <cell r="G85">
            <v>183.76505376344085</v>
          </cell>
          <cell r="I85">
            <v>188.34708737864077</v>
          </cell>
        </row>
      </sheetData>
      <sheetData sheetId="6" refreshError="1"/>
      <sheetData sheetId="7">
        <row r="10">
          <cell r="D10">
            <v>60500</v>
          </cell>
        </row>
        <row r="11">
          <cell r="D11">
            <v>0</v>
          </cell>
        </row>
        <row r="12">
          <cell r="D12">
            <v>98383</v>
          </cell>
        </row>
        <row r="13">
          <cell r="D13">
            <v>24759</v>
          </cell>
        </row>
        <row r="17">
          <cell r="D17">
            <v>41365.93</v>
          </cell>
        </row>
        <row r="18">
          <cell r="D18">
            <v>8971.86</v>
          </cell>
        </row>
        <row r="19">
          <cell r="D19">
            <v>15900.6</v>
          </cell>
        </row>
        <row r="20">
          <cell r="D20">
            <v>30217.84</v>
          </cell>
        </row>
        <row r="21">
          <cell r="D21">
            <v>3500</v>
          </cell>
        </row>
        <row r="23">
          <cell r="D23">
            <v>3802</v>
          </cell>
        </row>
        <row r="24">
          <cell r="D24">
            <v>2356.6</v>
          </cell>
        </row>
        <row r="26">
          <cell r="D26">
            <v>318090.87</v>
          </cell>
        </row>
        <row r="28">
          <cell r="D28">
            <v>91660</v>
          </cell>
          <cell r="F28">
            <v>-91660</v>
          </cell>
        </row>
        <row r="29">
          <cell r="F29">
            <v>0</v>
          </cell>
        </row>
        <row r="30">
          <cell r="F30">
            <v>0</v>
          </cell>
        </row>
        <row r="31">
          <cell r="D31">
            <v>21720.33</v>
          </cell>
        </row>
        <row r="32">
          <cell r="D32">
            <v>44340.95</v>
          </cell>
        </row>
        <row r="33">
          <cell r="F33">
            <v>0</v>
          </cell>
        </row>
        <row r="35">
          <cell r="F35">
            <v>0</v>
          </cell>
        </row>
        <row r="39">
          <cell r="D39">
            <v>175.13</v>
          </cell>
        </row>
        <row r="40">
          <cell r="D40">
            <v>701.7</v>
          </cell>
        </row>
        <row r="41">
          <cell r="D41">
            <v>1438.9</v>
          </cell>
        </row>
        <row r="57">
          <cell r="D57">
            <v>300000</v>
          </cell>
          <cell r="F57">
            <v>-300000</v>
          </cell>
        </row>
        <row r="58">
          <cell r="D58">
            <v>24552.29</v>
          </cell>
        </row>
        <row r="60">
          <cell r="D60">
            <v>27558.97</v>
          </cell>
        </row>
        <row r="62">
          <cell r="D62">
            <v>42399.02</v>
          </cell>
        </row>
        <row r="65">
          <cell r="D65">
            <v>2796.7</v>
          </cell>
        </row>
        <row r="67">
          <cell r="D67">
            <v>52721.37</v>
          </cell>
        </row>
        <row r="69">
          <cell r="D69">
            <v>210</v>
          </cell>
        </row>
        <row r="75">
          <cell r="D75">
            <v>42470.8</v>
          </cell>
        </row>
        <row r="76">
          <cell r="D76">
            <v>3637</v>
          </cell>
        </row>
        <row r="77">
          <cell r="D77">
            <v>3994.94</v>
          </cell>
        </row>
        <row r="78">
          <cell r="D78">
            <v>1092.3399999999999</v>
          </cell>
        </row>
        <row r="80">
          <cell r="D80">
            <v>15372</v>
          </cell>
        </row>
        <row r="81">
          <cell r="D81">
            <v>11341.59</v>
          </cell>
        </row>
        <row r="82">
          <cell r="D82">
            <v>1174</v>
          </cell>
        </row>
        <row r="83">
          <cell r="D83">
            <v>11746</v>
          </cell>
        </row>
        <row r="84">
          <cell r="D84">
            <v>85374.86</v>
          </cell>
        </row>
        <row r="89">
          <cell r="D89">
            <v>114302</v>
          </cell>
        </row>
        <row r="90">
          <cell r="D90">
            <v>9681.75</v>
          </cell>
        </row>
        <row r="91">
          <cell r="D91">
            <v>3115</v>
          </cell>
        </row>
        <row r="92">
          <cell r="D92">
            <v>176339.6</v>
          </cell>
        </row>
        <row r="93">
          <cell r="D93">
            <v>22109.68</v>
          </cell>
        </row>
        <row r="94">
          <cell r="D94">
            <v>531.44000000000005</v>
          </cell>
        </row>
        <row r="98">
          <cell r="D98">
            <v>18134.04</v>
          </cell>
        </row>
        <row r="99">
          <cell r="D99">
            <v>1519.39</v>
          </cell>
        </row>
        <row r="100">
          <cell r="D100">
            <v>3776.96</v>
          </cell>
        </row>
        <row r="102">
          <cell r="D102">
            <v>1807.79</v>
          </cell>
        </row>
        <row r="115">
          <cell r="D115">
            <v>51876.34</v>
          </cell>
        </row>
        <row r="116">
          <cell r="D116">
            <v>4396.3500000000004</v>
          </cell>
        </row>
        <row r="117">
          <cell r="D117">
            <v>17063.36</v>
          </cell>
        </row>
        <row r="124">
          <cell r="D124">
            <v>0</v>
          </cell>
        </row>
        <row r="125">
          <cell r="D125">
            <v>34539.96</v>
          </cell>
        </row>
        <row r="128">
          <cell r="D128">
            <v>19567.66</v>
          </cell>
        </row>
        <row r="131">
          <cell r="D131">
            <v>4583.3500000000004</v>
          </cell>
        </row>
        <row r="136">
          <cell r="D136">
            <v>291869.28999999998</v>
          </cell>
        </row>
        <row r="137">
          <cell r="D137">
            <v>68675.75</v>
          </cell>
        </row>
        <row r="138">
          <cell r="D138">
            <v>383458</v>
          </cell>
        </row>
        <row r="141">
          <cell r="D141">
            <v>24045.919999999998</v>
          </cell>
        </row>
        <row r="142">
          <cell r="D142">
            <v>5904.85</v>
          </cell>
        </row>
        <row r="143">
          <cell r="D143">
            <v>33000</v>
          </cell>
        </row>
        <row r="146">
          <cell r="D146">
            <v>18000</v>
          </cell>
        </row>
        <row r="147">
          <cell r="D147">
            <v>106</v>
          </cell>
        </row>
        <row r="151">
          <cell r="D151">
            <v>77794</v>
          </cell>
        </row>
        <row r="152">
          <cell r="D152">
            <v>13632.51</v>
          </cell>
        </row>
        <row r="194">
          <cell r="D194">
            <v>37461.29</v>
          </cell>
        </row>
        <row r="195">
          <cell r="D195">
            <v>740.7</v>
          </cell>
        </row>
        <row r="197">
          <cell r="D197">
            <v>24205.3</v>
          </cell>
        </row>
        <row r="198">
          <cell r="D198">
            <v>1367.22</v>
          </cell>
        </row>
        <row r="205">
          <cell r="D205">
            <v>19558</v>
          </cell>
        </row>
        <row r="211">
          <cell r="D211">
            <v>37171</v>
          </cell>
        </row>
        <row r="212">
          <cell r="D212">
            <v>3168</v>
          </cell>
        </row>
        <row r="213">
          <cell r="D213">
            <v>11185.5</v>
          </cell>
        </row>
        <row r="214">
          <cell r="D214">
            <v>3557</v>
          </cell>
        </row>
        <row r="221">
          <cell r="D221">
            <v>2932573</v>
          </cell>
        </row>
      </sheetData>
      <sheetData sheetId="8" refreshError="1"/>
      <sheetData sheetId="9" refreshError="1"/>
      <sheetData sheetId="10">
        <row r="9">
          <cell r="C9">
            <v>18015</v>
          </cell>
          <cell r="E9">
            <v>455</v>
          </cell>
          <cell r="F9">
            <v>147</v>
          </cell>
          <cell r="H9">
            <v>1957</v>
          </cell>
          <cell r="I9">
            <v>581</v>
          </cell>
        </row>
        <row r="22">
          <cell r="N22">
            <v>155</v>
          </cell>
        </row>
        <row r="24">
          <cell r="N24">
            <v>155</v>
          </cell>
        </row>
        <row r="28">
          <cell r="N28">
            <v>56575</v>
          </cell>
        </row>
        <row r="30">
          <cell r="N30">
            <v>0.37392841361025186</v>
          </cell>
        </row>
        <row r="32">
          <cell r="N32">
            <v>0.31842686699072026</v>
          </cell>
        </row>
        <row r="34">
          <cell r="N34">
            <v>0.85157173245095719</v>
          </cell>
        </row>
      </sheetData>
      <sheetData sheetId="1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heet1"/>
      <sheetName val="Sch A Pg 3"/>
      <sheetName val="Sch B"/>
      <sheetName val="Sch B Misc Income  "/>
      <sheetName val="Sch B-1"/>
      <sheetName val="Sch C"/>
      <sheetName val="Sch C Misc Items Detail"/>
      <sheetName val="Sch C-1"/>
      <sheetName val="Sch C-1 (2)"/>
      <sheetName val="Sch C-2"/>
      <sheetName val="Sch D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0">
          <cell r="E10">
            <v>1818578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2039962</v>
          </cell>
          <cell r="G21">
            <v>0</v>
          </cell>
        </row>
        <row r="27">
          <cell r="E27">
            <v>1407594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598316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342206</v>
          </cell>
          <cell r="G47">
            <v>0</v>
          </cell>
        </row>
        <row r="52">
          <cell r="E52">
            <v>3515</v>
          </cell>
          <cell r="G52">
            <v>0</v>
          </cell>
        </row>
        <row r="67">
          <cell r="E67">
            <v>74712</v>
          </cell>
          <cell r="G67">
            <v>0</v>
          </cell>
        </row>
        <row r="85">
          <cell r="C85">
            <v>202.71507352941177</v>
          </cell>
          <cell r="E85">
            <v>209.21236133122028</v>
          </cell>
          <cell r="G85">
            <v>242.98053892215569</v>
          </cell>
          <cell r="I85">
            <v>204.34071729957805</v>
          </cell>
        </row>
      </sheetData>
      <sheetData sheetId="7" refreshError="1"/>
      <sheetData sheetId="8" refreshError="1"/>
      <sheetData sheetId="9">
        <row r="10">
          <cell r="D10">
            <v>180584</v>
          </cell>
          <cell r="F10">
            <v>12079</v>
          </cell>
        </row>
        <row r="11">
          <cell r="D11">
            <v>0</v>
          </cell>
        </row>
        <row r="12">
          <cell r="D12">
            <v>294770</v>
          </cell>
          <cell r="F12">
            <v>-4190.8499999999985</v>
          </cell>
        </row>
        <row r="13">
          <cell r="D13">
            <v>590897</v>
          </cell>
          <cell r="F13">
            <v>-514915.86655104271</v>
          </cell>
        </row>
        <row r="14">
          <cell r="D14">
            <v>0</v>
          </cell>
        </row>
        <row r="15">
          <cell r="D15">
            <v>0</v>
          </cell>
        </row>
        <row r="16">
          <cell r="D16">
            <v>315365</v>
          </cell>
          <cell r="F16">
            <v>160869.66668984998</v>
          </cell>
        </row>
        <row r="17">
          <cell r="D17">
            <v>0</v>
          </cell>
        </row>
        <row r="18">
          <cell r="D18">
            <v>11809</v>
          </cell>
        </row>
        <row r="19">
          <cell r="D19">
            <v>19897</v>
          </cell>
          <cell r="F19">
            <v>-1624.2323999999999</v>
          </cell>
        </row>
        <row r="20">
          <cell r="D20">
            <v>12503</v>
          </cell>
        </row>
        <row r="21">
          <cell r="D21">
            <v>9177</v>
          </cell>
        </row>
        <row r="22">
          <cell r="D22">
            <v>0</v>
          </cell>
        </row>
        <row r="23">
          <cell r="D23">
            <v>4541</v>
          </cell>
        </row>
        <row r="24">
          <cell r="D24">
            <v>45000</v>
          </cell>
          <cell r="F24">
            <v>-12960</v>
          </cell>
        </row>
        <row r="25">
          <cell r="D25">
            <v>0</v>
          </cell>
        </row>
        <row r="26">
          <cell r="D26">
            <v>217360</v>
          </cell>
        </row>
        <row r="27">
          <cell r="D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38993</v>
          </cell>
          <cell r="F29">
            <v>-38993</v>
          </cell>
        </row>
        <row r="30">
          <cell r="D30">
            <v>0</v>
          </cell>
          <cell r="F30">
            <v>0</v>
          </cell>
        </row>
        <row r="31">
          <cell r="D31">
            <v>64299</v>
          </cell>
        </row>
        <row r="32">
          <cell r="D32">
            <v>97956</v>
          </cell>
          <cell r="F32">
            <v>-29386.548259624033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0</v>
          </cell>
        </row>
        <row r="37">
          <cell r="D37">
            <v>0</v>
          </cell>
        </row>
        <row r="38">
          <cell r="D38">
            <v>541</v>
          </cell>
          <cell r="F38">
            <v>-541</v>
          </cell>
        </row>
        <row r="39">
          <cell r="D39">
            <v>3987</v>
          </cell>
        </row>
        <row r="40">
          <cell r="D40">
            <v>6113</v>
          </cell>
        </row>
        <row r="41">
          <cell r="D41">
            <v>13848</v>
          </cell>
        </row>
        <row r="42">
          <cell r="D42">
            <v>4606</v>
          </cell>
        </row>
        <row r="43">
          <cell r="D43">
            <v>3697</v>
          </cell>
        </row>
        <row r="44">
          <cell r="D44">
            <v>2274</v>
          </cell>
        </row>
        <row r="45">
          <cell r="D45">
            <v>19075</v>
          </cell>
          <cell r="F45">
            <v>-74304</v>
          </cell>
        </row>
        <row r="57">
          <cell r="D57">
            <v>486602</v>
          </cell>
          <cell r="F57">
            <v>-484102.06000000011</v>
          </cell>
        </row>
        <row r="58">
          <cell r="D58">
            <v>52537</v>
          </cell>
          <cell r="F58">
            <v>170355.53000000003</v>
          </cell>
        </row>
        <row r="59">
          <cell r="D59">
            <v>0</v>
          </cell>
        </row>
        <row r="60">
          <cell r="D60">
            <v>33125</v>
          </cell>
        </row>
        <row r="61">
          <cell r="D61">
            <v>7860</v>
          </cell>
        </row>
        <row r="62">
          <cell r="D62">
            <v>3139</v>
          </cell>
        </row>
        <row r="63">
          <cell r="D63">
            <v>0</v>
          </cell>
        </row>
        <row r="64">
          <cell r="D64">
            <v>0</v>
          </cell>
        </row>
        <row r="65">
          <cell r="D65">
            <v>4421</v>
          </cell>
        </row>
        <row r="66">
          <cell r="D66">
            <v>22897</v>
          </cell>
        </row>
        <row r="67">
          <cell r="D67">
            <v>78724</v>
          </cell>
          <cell r="F67">
            <v>27337.25</v>
          </cell>
        </row>
        <row r="68">
          <cell r="D68">
            <v>0</v>
          </cell>
        </row>
        <row r="69">
          <cell r="D69">
            <v>6487</v>
          </cell>
        </row>
        <row r="70">
          <cell r="D70">
            <v>0</v>
          </cell>
        </row>
        <row r="71">
          <cell r="D71">
            <v>0</v>
          </cell>
        </row>
        <row r="75">
          <cell r="D75">
            <v>36930</v>
          </cell>
          <cell r="F75">
            <v>2470</v>
          </cell>
        </row>
        <row r="76">
          <cell r="D76">
            <v>0</v>
          </cell>
          <cell r="F76">
            <v>5626</v>
          </cell>
        </row>
        <row r="77">
          <cell r="D77">
            <v>14373</v>
          </cell>
        </row>
        <row r="78">
          <cell r="D78">
            <v>0</v>
          </cell>
        </row>
        <row r="79">
          <cell r="D79">
            <v>9950</v>
          </cell>
        </row>
        <row r="80">
          <cell r="D80">
            <v>16531</v>
          </cell>
        </row>
        <row r="81">
          <cell r="D81">
            <v>9237</v>
          </cell>
        </row>
        <row r="82">
          <cell r="D82">
            <v>5321</v>
          </cell>
        </row>
        <row r="83">
          <cell r="D83">
            <v>0</v>
          </cell>
        </row>
        <row r="84">
          <cell r="D84">
            <v>109804</v>
          </cell>
        </row>
        <row r="85">
          <cell r="D85">
            <v>0</v>
          </cell>
        </row>
        <row r="89">
          <cell r="D89">
            <v>127019</v>
          </cell>
          <cell r="F89">
            <v>8496</v>
          </cell>
        </row>
        <row r="90">
          <cell r="D90">
            <v>0</v>
          </cell>
          <cell r="F90">
            <v>19350</v>
          </cell>
        </row>
        <row r="91">
          <cell r="D91">
            <v>28230</v>
          </cell>
        </row>
        <row r="92">
          <cell r="D92">
            <v>135073</v>
          </cell>
        </row>
        <row r="93">
          <cell r="D93">
            <v>10465</v>
          </cell>
        </row>
        <row r="94">
          <cell r="D94">
            <v>0</v>
          </cell>
        </row>
        <row r="98">
          <cell r="D98">
            <v>0</v>
          </cell>
          <cell r="F98">
            <v>0</v>
          </cell>
        </row>
        <row r="99">
          <cell r="D99">
            <v>0</v>
          </cell>
          <cell r="F99">
            <v>0</v>
          </cell>
        </row>
        <row r="100">
          <cell r="D100">
            <v>652</v>
          </cell>
        </row>
        <row r="101">
          <cell r="D101">
            <v>55689</v>
          </cell>
        </row>
        <row r="102">
          <cell r="D102">
            <v>355</v>
          </cell>
        </row>
        <row r="103">
          <cell r="D103">
            <v>0</v>
          </cell>
        </row>
        <row r="115">
          <cell r="D115">
            <v>0</v>
          </cell>
          <cell r="F115">
            <v>0</v>
          </cell>
        </row>
        <row r="116">
          <cell r="D116">
            <v>0</v>
          </cell>
          <cell r="F116">
            <v>0</v>
          </cell>
        </row>
        <row r="117">
          <cell r="D117">
            <v>3407</v>
          </cell>
        </row>
        <row r="118">
          <cell r="D118">
            <v>84638</v>
          </cell>
        </row>
        <row r="119">
          <cell r="D119">
            <v>0</v>
          </cell>
        </row>
        <row r="124">
          <cell r="D124">
            <v>0</v>
          </cell>
        </row>
        <row r="125">
          <cell r="D125">
            <v>162025</v>
          </cell>
          <cell r="F125">
            <v>10838</v>
          </cell>
        </row>
        <row r="126">
          <cell r="D126">
            <v>55279</v>
          </cell>
          <cell r="F126">
            <v>3698</v>
          </cell>
        </row>
        <row r="127">
          <cell r="D127">
            <v>0</v>
          </cell>
        </row>
        <row r="128">
          <cell r="D128">
            <v>77631</v>
          </cell>
          <cell r="F128">
            <v>5193</v>
          </cell>
        </row>
        <row r="130">
          <cell r="D130">
            <v>0</v>
          </cell>
        </row>
        <row r="131">
          <cell r="D131">
            <v>0</v>
          </cell>
          <cell r="F131">
            <v>24683</v>
          </cell>
        </row>
        <row r="132">
          <cell r="D132">
            <v>0</v>
          </cell>
          <cell r="F132">
            <v>8422</v>
          </cell>
        </row>
        <row r="133">
          <cell r="D133">
            <v>0</v>
          </cell>
        </row>
        <row r="134">
          <cell r="D134">
            <v>0</v>
          </cell>
          <cell r="F134">
            <v>11827</v>
          </cell>
        </row>
        <row r="136">
          <cell r="D136">
            <v>331794</v>
          </cell>
          <cell r="F136">
            <v>22194</v>
          </cell>
        </row>
        <row r="137">
          <cell r="D137">
            <v>222098</v>
          </cell>
          <cell r="F137">
            <v>14856</v>
          </cell>
        </row>
        <row r="138">
          <cell r="D138">
            <v>518329</v>
          </cell>
          <cell r="F138">
            <v>34671</v>
          </cell>
        </row>
        <row r="139">
          <cell r="D139">
            <v>34058</v>
          </cell>
          <cell r="F139">
            <v>2278</v>
          </cell>
        </row>
        <row r="141">
          <cell r="D141">
            <v>0</v>
          </cell>
          <cell r="F141">
            <v>50547</v>
          </cell>
        </row>
        <row r="142">
          <cell r="D142">
            <v>0</v>
          </cell>
          <cell r="F142">
            <v>33835</v>
          </cell>
        </row>
        <row r="143">
          <cell r="D143">
            <v>0</v>
          </cell>
          <cell r="F143">
            <v>78964</v>
          </cell>
        </row>
        <row r="144">
          <cell r="D144">
            <v>0</v>
          </cell>
          <cell r="F144">
            <v>5189</v>
          </cell>
        </row>
        <row r="146">
          <cell r="D146">
            <v>78600</v>
          </cell>
        </row>
        <row r="147">
          <cell r="D147">
            <v>0</v>
          </cell>
        </row>
        <row r="148">
          <cell r="D148">
            <v>0</v>
          </cell>
        </row>
        <row r="149">
          <cell r="D149">
            <v>0</v>
          </cell>
        </row>
        <row r="150">
          <cell r="D150">
            <v>11575</v>
          </cell>
        </row>
        <row r="151">
          <cell r="D151">
            <v>104818</v>
          </cell>
        </row>
        <row r="152">
          <cell r="D152">
            <v>2879</v>
          </cell>
        </row>
        <row r="153">
          <cell r="D153">
            <v>0</v>
          </cell>
        </row>
        <row r="154">
          <cell r="D154">
            <v>0</v>
          </cell>
        </row>
        <row r="156">
          <cell r="D156">
            <v>0</v>
          </cell>
        </row>
        <row r="157">
          <cell r="D157">
            <v>0</v>
          </cell>
        </row>
        <row r="158">
          <cell r="D158">
            <v>0</v>
          </cell>
        </row>
        <row r="159">
          <cell r="D159">
            <v>0</v>
          </cell>
        </row>
        <row r="161">
          <cell r="D161">
            <v>1426</v>
          </cell>
        </row>
        <row r="175">
          <cell r="D175">
            <v>0</v>
          </cell>
        </row>
        <row r="176">
          <cell r="D176">
            <v>0</v>
          </cell>
        </row>
        <row r="177">
          <cell r="D177">
            <v>346978</v>
          </cell>
          <cell r="F177">
            <v>23209</v>
          </cell>
        </row>
        <row r="178">
          <cell r="D178">
            <v>0</v>
          </cell>
          <cell r="F178">
            <v>52860</v>
          </cell>
        </row>
        <row r="179">
          <cell r="D179">
            <v>49526</v>
          </cell>
          <cell r="F179">
            <v>3313</v>
          </cell>
        </row>
        <row r="180">
          <cell r="D180">
            <v>0</v>
          </cell>
          <cell r="F180">
            <v>7545</v>
          </cell>
        </row>
        <row r="181">
          <cell r="D181">
            <v>0</v>
          </cell>
        </row>
        <row r="182">
          <cell r="D182">
            <v>0</v>
          </cell>
        </row>
        <row r="183">
          <cell r="D183">
            <v>181170</v>
          </cell>
          <cell r="F183">
            <v>12118</v>
          </cell>
        </row>
        <row r="184">
          <cell r="D184">
            <v>0</v>
          </cell>
          <cell r="F184">
            <v>27601</v>
          </cell>
        </row>
        <row r="185">
          <cell r="D185">
            <v>0</v>
          </cell>
        </row>
        <row r="186">
          <cell r="D186">
            <v>0</v>
          </cell>
        </row>
        <row r="187">
          <cell r="D187">
            <v>0</v>
          </cell>
        </row>
        <row r="188">
          <cell r="D188">
            <v>1568</v>
          </cell>
        </row>
        <row r="189">
          <cell r="D189">
            <v>0</v>
          </cell>
        </row>
        <row r="190">
          <cell r="D190">
            <v>0</v>
          </cell>
        </row>
        <row r="191">
          <cell r="D191">
            <v>0</v>
          </cell>
        </row>
        <row r="192">
          <cell r="D192">
            <v>0</v>
          </cell>
        </row>
        <row r="193">
          <cell r="D193">
            <v>0</v>
          </cell>
        </row>
        <row r="194">
          <cell r="D194">
            <v>0</v>
          </cell>
        </row>
        <row r="195">
          <cell r="D195">
            <v>0</v>
          </cell>
        </row>
        <row r="196">
          <cell r="D196">
            <v>0</v>
          </cell>
        </row>
        <row r="197">
          <cell r="D197">
            <v>0</v>
          </cell>
        </row>
        <row r="198">
          <cell r="D198">
            <v>70278</v>
          </cell>
        </row>
        <row r="199">
          <cell r="D199">
            <v>0</v>
          </cell>
        </row>
        <row r="200">
          <cell r="D200">
            <v>0</v>
          </cell>
        </row>
        <row r="201">
          <cell r="D201">
            <v>0</v>
          </cell>
        </row>
        <row r="202">
          <cell r="D202">
            <v>0</v>
          </cell>
        </row>
        <row r="203">
          <cell r="D203">
            <v>0</v>
          </cell>
        </row>
        <row r="204">
          <cell r="D204">
            <v>0</v>
          </cell>
        </row>
        <row r="205">
          <cell r="D205">
            <v>291078</v>
          </cell>
        </row>
        <row r="206">
          <cell r="D206">
            <v>4333</v>
          </cell>
        </row>
        <row r="207">
          <cell r="D207">
            <v>66741</v>
          </cell>
          <cell r="F207">
            <v>-953</v>
          </cell>
        </row>
        <row r="211">
          <cell r="D211">
            <v>76517</v>
          </cell>
          <cell r="F211">
            <v>5118</v>
          </cell>
        </row>
        <row r="212">
          <cell r="D212">
            <v>0</v>
          </cell>
          <cell r="F212">
            <v>11657</v>
          </cell>
        </row>
        <row r="213">
          <cell r="D213">
            <v>11664</v>
          </cell>
        </row>
        <row r="214">
          <cell r="D214">
            <v>0</v>
          </cell>
        </row>
        <row r="215">
          <cell r="D215">
            <v>0</v>
          </cell>
        </row>
        <row r="216">
          <cell r="D216">
            <v>6016</v>
          </cell>
        </row>
        <row r="221">
          <cell r="D221">
            <v>6007139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>
        <row r="9">
          <cell r="C9">
            <v>9360</v>
          </cell>
          <cell r="E9">
            <v>4020</v>
          </cell>
          <cell r="F9">
            <v>3704</v>
          </cell>
          <cell r="H9">
            <v>2791</v>
          </cell>
          <cell r="J9">
            <v>1863</v>
          </cell>
          <cell r="K9">
            <v>166</v>
          </cell>
        </row>
        <row r="22">
          <cell r="N22">
            <v>108</v>
          </cell>
        </row>
        <row r="24">
          <cell r="N24">
            <v>108</v>
          </cell>
        </row>
        <row r="28">
          <cell r="N28">
            <v>39420</v>
          </cell>
        </row>
        <row r="30">
          <cell r="N30">
            <v>0.55565702688990359</v>
          </cell>
        </row>
        <row r="32">
          <cell r="N32">
            <v>0.23744292237442921</v>
          </cell>
        </row>
        <row r="34">
          <cell r="N34">
            <v>0.42731921110299487</v>
          </cell>
        </row>
      </sheetData>
      <sheetData sheetId="1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E10">
            <v>1195524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980929</v>
          </cell>
          <cell r="G21">
            <v>0</v>
          </cell>
        </row>
        <row r="27">
          <cell r="E27">
            <v>458066</v>
          </cell>
          <cell r="G27">
            <v>0</v>
          </cell>
        </row>
        <row r="32">
          <cell r="E32">
            <v>919110</v>
          </cell>
          <cell r="G32">
            <v>0</v>
          </cell>
        </row>
        <row r="37">
          <cell r="E37">
            <v>329683</v>
          </cell>
          <cell r="G37">
            <v>0</v>
          </cell>
        </row>
        <row r="42">
          <cell r="E42">
            <v>141403</v>
          </cell>
          <cell r="G42">
            <v>0</v>
          </cell>
        </row>
        <row r="47">
          <cell r="E47">
            <v>8391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0</v>
          </cell>
          <cell r="G67">
            <v>0</v>
          </cell>
        </row>
        <row r="85">
          <cell r="C85">
            <v>321.17721518987344</v>
          </cell>
          <cell r="E85">
            <v>194.79160186625194</v>
          </cell>
        </row>
      </sheetData>
      <sheetData sheetId="6" refreshError="1"/>
      <sheetData sheetId="7">
        <row r="10">
          <cell r="D10">
            <v>62105</v>
          </cell>
        </row>
        <row r="12">
          <cell r="D12">
            <v>141615</v>
          </cell>
          <cell r="F12">
            <v>-59188</v>
          </cell>
        </row>
        <row r="13">
          <cell r="D13">
            <v>33744</v>
          </cell>
        </row>
        <row r="15">
          <cell r="D15">
            <v>172970</v>
          </cell>
          <cell r="F15">
            <v>-172970</v>
          </cell>
        </row>
        <row r="16">
          <cell r="F16">
            <v>474251</v>
          </cell>
        </row>
        <row r="17">
          <cell r="D17">
            <v>75</v>
          </cell>
        </row>
        <row r="18">
          <cell r="D18">
            <v>15347</v>
          </cell>
        </row>
        <row r="19">
          <cell r="D19">
            <v>5431</v>
          </cell>
        </row>
        <row r="20">
          <cell r="D20">
            <v>10847</v>
          </cell>
        </row>
        <row r="21">
          <cell r="D21">
            <v>8699</v>
          </cell>
          <cell r="F21">
            <v>78107</v>
          </cell>
        </row>
        <row r="23">
          <cell r="D23">
            <v>11381</v>
          </cell>
        </row>
        <row r="24">
          <cell r="D24">
            <v>22385</v>
          </cell>
        </row>
        <row r="26">
          <cell r="D26">
            <v>188881</v>
          </cell>
          <cell r="F26">
            <v>-246</v>
          </cell>
        </row>
        <row r="27">
          <cell r="D27">
            <v>6088</v>
          </cell>
          <cell r="F27">
            <v>9157</v>
          </cell>
        </row>
        <row r="28">
          <cell r="D28">
            <v>0</v>
          </cell>
          <cell r="F28">
            <v>0</v>
          </cell>
        </row>
        <row r="29">
          <cell r="D29">
            <v>106171</v>
          </cell>
          <cell r="F29">
            <v>-106171</v>
          </cell>
        </row>
        <row r="30">
          <cell r="F30">
            <v>0</v>
          </cell>
        </row>
        <row r="31">
          <cell r="D31">
            <v>3450</v>
          </cell>
        </row>
        <row r="32">
          <cell r="D32">
            <v>44716</v>
          </cell>
        </row>
        <row r="33">
          <cell r="F33">
            <v>0</v>
          </cell>
        </row>
        <row r="35">
          <cell r="F35">
            <v>0</v>
          </cell>
        </row>
        <row r="39">
          <cell r="D39">
            <v>6690</v>
          </cell>
          <cell r="F39">
            <v>9691</v>
          </cell>
        </row>
        <row r="40">
          <cell r="D40">
            <v>6287</v>
          </cell>
          <cell r="F40">
            <v>-6287</v>
          </cell>
        </row>
        <row r="41">
          <cell r="D41">
            <v>6550</v>
          </cell>
        </row>
        <row r="42">
          <cell r="D42">
            <v>2272</v>
          </cell>
        </row>
        <row r="44">
          <cell r="D44">
            <v>255</v>
          </cell>
        </row>
        <row r="45">
          <cell r="D45">
            <v>1920</v>
          </cell>
        </row>
        <row r="57">
          <cell r="D57">
            <v>207022</v>
          </cell>
          <cell r="F57">
            <v>-207022</v>
          </cell>
        </row>
        <row r="58">
          <cell r="D58">
            <v>1983</v>
          </cell>
          <cell r="F58">
            <v>100573</v>
          </cell>
        </row>
        <row r="59">
          <cell r="F59">
            <v>222163</v>
          </cell>
        </row>
        <row r="60">
          <cell r="D60">
            <v>26924</v>
          </cell>
        </row>
        <row r="61">
          <cell r="D61">
            <v>10589</v>
          </cell>
          <cell r="F61">
            <v>681</v>
          </cell>
        </row>
        <row r="62">
          <cell r="D62">
            <v>5714</v>
          </cell>
        </row>
        <row r="66">
          <cell r="F66">
            <v>0</v>
          </cell>
        </row>
        <row r="67">
          <cell r="D67">
            <v>57085</v>
          </cell>
          <cell r="F67">
            <v>27709</v>
          </cell>
        </row>
        <row r="75">
          <cell r="D75">
            <v>23834</v>
          </cell>
        </row>
        <row r="76">
          <cell r="D76">
            <v>6038</v>
          </cell>
        </row>
        <row r="77">
          <cell r="D77">
            <v>8888</v>
          </cell>
        </row>
        <row r="78">
          <cell r="D78">
            <v>27692</v>
          </cell>
          <cell r="F78">
            <v>2033</v>
          </cell>
        </row>
        <row r="79">
          <cell r="D79">
            <v>29506</v>
          </cell>
        </row>
        <row r="80">
          <cell r="D80">
            <v>20188</v>
          </cell>
        </row>
        <row r="81">
          <cell r="D81">
            <v>218</v>
          </cell>
        </row>
        <row r="82">
          <cell r="D82">
            <v>768</v>
          </cell>
        </row>
        <row r="84">
          <cell r="D84">
            <v>77607</v>
          </cell>
          <cell r="F84">
            <v>1674</v>
          </cell>
        </row>
        <row r="85">
          <cell r="D85">
            <v>325</v>
          </cell>
        </row>
        <row r="89">
          <cell r="D89">
            <v>151528</v>
          </cell>
        </row>
        <row r="90">
          <cell r="D90">
            <v>32782</v>
          </cell>
        </row>
        <row r="91">
          <cell r="D91">
            <v>2394</v>
          </cell>
        </row>
        <row r="92">
          <cell r="D92">
            <v>115820</v>
          </cell>
        </row>
        <row r="93">
          <cell r="D93">
            <v>5227</v>
          </cell>
        </row>
        <row r="94">
          <cell r="D94">
            <v>4768</v>
          </cell>
        </row>
        <row r="98">
          <cell r="D98">
            <v>18672</v>
          </cell>
        </row>
        <row r="99">
          <cell r="D99">
            <v>5761</v>
          </cell>
        </row>
        <row r="100">
          <cell r="D100">
            <v>3957</v>
          </cell>
        </row>
        <row r="101">
          <cell r="D101">
            <v>528</v>
          </cell>
        </row>
        <row r="102">
          <cell r="D102">
            <v>1546</v>
          </cell>
        </row>
        <row r="115">
          <cell r="D115">
            <v>48949</v>
          </cell>
        </row>
        <row r="116">
          <cell r="D116">
            <v>15269</v>
          </cell>
        </row>
        <row r="117">
          <cell r="D117">
            <v>9982</v>
          </cell>
        </row>
        <row r="118">
          <cell r="D118">
            <v>665</v>
          </cell>
        </row>
        <row r="124">
          <cell r="D124">
            <v>91559</v>
          </cell>
        </row>
        <row r="125">
          <cell r="D125">
            <v>42142</v>
          </cell>
        </row>
        <row r="128">
          <cell r="D128">
            <v>37893</v>
          </cell>
        </row>
        <row r="130">
          <cell r="D130">
            <v>23674</v>
          </cell>
        </row>
        <row r="131">
          <cell r="D131">
            <v>10843</v>
          </cell>
        </row>
        <row r="134">
          <cell r="D134">
            <v>3264</v>
          </cell>
        </row>
        <row r="136">
          <cell r="D136">
            <v>440777</v>
          </cell>
        </row>
        <row r="137">
          <cell r="D137">
            <v>198883</v>
          </cell>
        </row>
        <row r="138">
          <cell r="D138">
            <v>285104</v>
          </cell>
        </row>
        <row r="139">
          <cell r="D139">
            <v>63623</v>
          </cell>
        </row>
        <row r="141">
          <cell r="D141">
            <v>113670</v>
          </cell>
        </row>
        <row r="142">
          <cell r="D142">
            <v>52463</v>
          </cell>
        </row>
        <row r="143">
          <cell r="D143">
            <v>73360</v>
          </cell>
        </row>
        <row r="144">
          <cell r="D144">
            <v>16407</v>
          </cell>
        </row>
        <row r="146">
          <cell r="D146">
            <v>28000</v>
          </cell>
        </row>
        <row r="149">
          <cell r="D149">
            <v>11167</v>
          </cell>
        </row>
        <row r="150">
          <cell r="D150">
            <v>17159</v>
          </cell>
        </row>
        <row r="151">
          <cell r="D151">
            <v>89348</v>
          </cell>
        </row>
        <row r="152">
          <cell r="D152">
            <v>1400</v>
          </cell>
        </row>
        <row r="158">
          <cell r="D158">
            <v>606</v>
          </cell>
        </row>
        <row r="161">
          <cell r="D161">
            <v>246</v>
          </cell>
        </row>
        <row r="177">
          <cell r="D177">
            <v>163254</v>
          </cell>
        </row>
        <row r="178">
          <cell r="D178">
            <v>44242</v>
          </cell>
        </row>
        <row r="179">
          <cell r="D179">
            <v>65429</v>
          </cell>
        </row>
        <row r="180">
          <cell r="D180">
            <v>14369</v>
          </cell>
        </row>
        <row r="183">
          <cell r="D183">
            <v>76846</v>
          </cell>
        </row>
        <row r="184">
          <cell r="D184">
            <v>17084</v>
          </cell>
        </row>
        <row r="188">
          <cell r="D188">
            <v>2470</v>
          </cell>
        </row>
        <row r="189">
          <cell r="D189">
            <v>694</v>
          </cell>
        </row>
        <row r="192">
          <cell r="D192">
            <v>42131</v>
          </cell>
        </row>
        <row r="203">
          <cell r="D203">
            <v>18193</v>
          </cell>
        </row>
        <row r="205">
          <cell r="D205">
            <v>150142</v>
          </cell>
        </row>
        <row r="206">
          <cell r="D206">
            <v>-1012</v>
          </cell>
        </row>
        <row r="207">
          <cell r="D207">
            <v>16955</v>
          </cell>
        </row>
        <row r="211">
          <cell r="D211">
            <v>67742.61</v>
          </cell>
        </row>
        <row r="212">
          <cell r="D212">
            <v>17900</v>
          </cell>
        </row>
        <row r="213">
          <cell r="D213">
            <v>5659</v>
          </cell>
        </row>
        <row r="216">
          <cell r="D216">
            <v>33059</v>
          </cell>
        </row>
        <row r="221">
          <cell r="D221">
            <v>4116854</v>
          </cell>
        </row>
      </sheetData>
      <sheetData sheetId="8" refreshError="1"/>
      <sheetData sheetId="9" refreshError="1"/>
      <sheetData sheetId="10">
        <row r="9">
          <cell r="C9">
            <v>6240</v>
          </cell>
          <cell r="E9">
            <v>1899</v>
          </cell>
          <cell r="F9">
            <v>1138</v>
          </cell>
          <cell r="G9">
            <v>3860</v>
          </cell>
          <cell r="H9">
            <v>1426</v>
          </cell>
          <cell r="I9">
            <v>650</v>
          </cell>
          <cell r="J9">
            <v>113</v>
          </cell>
        </row>
      </sheetData>
      <sheetData sheetId="1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85">
          <cell r="I85">
            <v>213.5070821529745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Grou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E10">
            <v>1909837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1221375</v>
          </cell>
          <cell r="G21">
            <v>0</v>
          </cell>
        </row>
        <row r="27">
          <cell r="E27">
            <v>474695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849781</v>
          </cell>
          <cell r="G37">
            <v>0</v>
          </cell>
        </row>
        <row r="42">
          <cell r="E42">
            <v>252666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232189</v>
          </cell>
          <cell r="G52">
            <v>0</v>
          </cell>
        </row>
        <row r="67">
          <cell r="E67">
            <v>60417</v>
          </cell>
          <cell r="G67">
            <v>-9157</v>
          </cell>
        </row>
        <row r="85">
          <cell r="C85">
            <v>196.57243816254416</v>
          </cell>
          <cell r="E85">
            <v>196.57166806370495</v>
          </cell>
          <cell r="G85">
            <v>196.57223264540337</v>
          </cell>
          <cell r="I85">
            <v>196.57188841201716</v>
          </cell>
        </row>
      </sheetData>
      <sheetData sheetId="6" refreshError="1"/>
      <sheetData sheetId="7">
        <row r="10">
          <cell r="D10">
            <v>0</v>
          </cell>
          <cell r="F10">
            <v>108467</v>
          </cell>
        </row>
        <row r="11">
          <cell r="D11">
            <v>0</v>
          </cell>
        </row>
        <row r="12">
          <cell r="D12">
            <v>216751</v>
          </cell>
          <cell r="F12">
            <v>-108467</v>
          </cell>
        </row>
        <row r="13">
          <cell r="D13">
            <v>28520</v>
          </cell>
          <cell r="F13">
            <v>-186</v>
          </cell>
        </row>
        <row r="14">
          <cell r="D14">
            <v>0</v>
          </cell>
        </row>
        <row r="15">
          <cell r="D15">
            <v>0</v>
          </cell>
        </row>
        <row r="16">
          <cell r="D16">
            <v>249346</v>
          </cell>
          <cell r="F16">
            <v>43996</v>
          </cell>
        </row>
        <row r="17">
          <cell r="D17">
            <v>940</v>
          </cell>
          <cell r="F17">
            <v>-940</v>
          </cell>
        </row>
        <row r="18">
          <cell r="D18">
            <v>14681</v>
          </cell>
        </row>
        <row r="19">
          <cell r="D19">
            <v>10661</v>
          </cell>
        </row>
        <row r="20">
          <cell r="D20">
            <v>10541</v>
          </cell>
          <cell r="F20">
            <v>-421</v>
          </cell>
        </row>
        <row r="21">
          <cell r="D21">
            <v>6882</v>
          </cell>
        </row>
        <row r="22">
          <cell r="D22">
            <v>0</v>
          </cell>
        </row>
        <row r="23">
          <cell r="D23">
            <v>2453</v>
          </cell>
        </row>
        <row r="24">
          <cell r="D24">
            <v>9675</v>
          </cell>
        </row>
        <row r="25">
          <cell r="D25">
            <v>165</v>
          </cell>
        </row>
        <row r="26">
          <cell r="D26">
            <v>263508</v>
          </cell>
        </row>
        <row r="27">
          <cell r="D27">
            <v>9505</v>
          </cell>
          <cell r="F27">
            <v>-45</v>
          </cell>
        </row>
        <row r="28">
          <cell r="D28">
            <v>0</v>
          </cell>
          <cell r="F28">
            <v>0</v>
          </cell>
        </row>
        <row r="29">
          <cell r="D29">
            <v>19516</v>
          </cell>
          <cell r="F29">
            <v>-19516</v>
          </cell>
        </row>
        <row r="30">
          <cell r="D30">
            <v>0</v>
          </cell>
          <cell r="F30">
            <v>0</v>
          </cell>
        </row>
        <row r="31">
          <cell r="D31">
            <v>0</v>
          </cell>
        </row>
        <row r="32">
          <cell r="D32">
            <v>60000</v>
          </cell>
        </row>
        <row r="33">
          <cell r="D33">
            <v>0</v>
          </cell>
          <cell r="F33">
            <v>0</v>
          </cell>
        </row>
        <row r="34">
          <cell r="D34">
            <v>185</v>
          </cell>
        </row>
        <row r="35">
          <cell r="D35">
            <v>0</v>
          </cell>
          <cell r="F35">
            <v>0</v>
          </cell>
        </row>
        <row r="36">
          <cell r="D36">
            <v>0</v>
          </cell>
        </row>
        <row r="37">
          <cell r="D37">
            <v>0</v>
          </cell>
        </row>
        <row r="38">
          <cell r="D38">
            <v>0</v>
          </cell>
        </row>
        <row r="39">
          <cell r="D39">
            <v>6004</v>
          </cell>
        </row>
        <row r="40">
          <cell r="D40">
            <v>6204</v>
          </cell>
          <cell r="F40">
            <v>-6204</v>
          </cell>
        </row>
        <row r="41">
          <cell r="D41">
            <v>110122</v>
          </cell>
          <cell r="F41">
            <v>-5312</v>
          </cell>
        </row>
        <row r="42">
          <cell r="D42">
            <v>245</v>
          </cell>
        </row>
        <row r="43">
          <cell r="D43">
            <v>5809</v>
          </cell>
          <cell r="F43">
            <v>-5809</v>
          </cell>
        </row>
        <row r="44">
          <cell r="D44">
            <v>0</v>
          </cell>
        </row>
        <row r="45">
          <cell r="D45">
            <v>4362</v>
          </cell>
          <cell r="F45">
            <v>-7074</v>
          </cell>
        </row>
        <row r="57">
          <cell r="D57">
            <v>437372</v>
          </cell>
        </row>
        <row r="58">
          <cell r="D58">
            <v>16412</v>
          </cell>
        </row>
        <row r="59">
          <cell r="D59">
            <v>0</v>
          </cell>
        </row>
        <row r="60">
          <cell r="D60">
            <v>25838</v>
          </cell>
        </row>
        <row r="61">
          <cell r="D61">
            <v>16887</v>
          </cell>
        </row>
        <row r="62">
          <cell r="D62">
            <v>6343</v>
          </cell>
        </row>
        <row r="63">
          <cell r="D63">
            <v>0</v>
          </cell>
        </row>
        <row r="64">
          <cell r="D64">
            <v>0</v>
          </cell>
        </row>
        <row r="65">
          <cell r="D65">
            <v>0</v>
          </cell>
        </row>
        <row r="66">
          <cell r="D66">
            <v>45495</v>
          </cell>
          <cell r="F66">
            <v>-1157</v>
          </cell>
        </row>
        <row r="67">
          <cell r="D67">
            <v>41436</v>
          </cell>
        </row>
        <row r="68">
          <cell r="D68">
            <v>0</v>
          </cell>
        </row>
        <row r="69">
          <cell r="D69">
            <v>4635</v>
          </cell>
        </row>
        <row r="70">
          <cell r="D70">
            <v>0</v>
          </cell>
        </row>
        <row r="71">
          <cell r="D71">
            <v>0</v>
          </cell>
        </row>
        <row r="75">
          <cell r="D75">
            <v>47777</v>
          </cell>
        </row>
        <row r="76">
          <cell r="D76">
            <v>5979</v>
          </cell>
        </row>
        <row r="77">
          <cell r="D77">
            <v>10207</v>
          </cell>
        </row>
        <row r="78">
          <cell r="D78">
            <v>0</v>
          </cell>
        </row>
        <row r="79">
          <cell r="D79">
            <v>4404</v>
          </cell>
        </row>
        <row r="80">
          <cell r="D80">
            <v>11979</v>
          </cell>
        </row>
        <row r="81">
          <cell r="D81">
            <v>14561</v>
          </cell>
        </row>
        <row r="82">
          <cell r="D82">
            <v>11434</v>
          </cell>
        </row>
        <row r="83">
          <cell r="D83">
            <v>0</v>
          </cell>
        </row>
        <row r="84">
          <cell r="D84">
            <v>101012</v>
          </cell>
        </row>
        <row r="85">
          <cell r="D85">
            <v>0</v>
          </cell>
        </row>
        <row r="89">
          <cell r="D89">
            <v>171495</v>
          </cell>
        </row>
        <row r="90">
          <cell r="D90">
            <v>26862</v>
          </cell>
        </row>
        <row r="91">
          <cell r="D91">
            <v>7760</v>
          </cell>
        </row>
        <row r="92">
          <cell r="D92">
            <v>127495</v>
          </cell>
          <cell r="F92">
            <v>-2038</v>
          </cell>
        </row>
        <row r="93">
          <cell r="D93">
            <v>10298</v>
          </cell>
        </row>
        <row r="94">
          <cell r="D94">
            <v>0</v>
          </cell>
        </row>
        <row r="98">
          <cell r="D98">
            <v>0</v>
          </cell>
        </row>
        <row r="99">
          <cell r="D99">
            <v>0</v>
          </cell>
        </row>
        <row r="100">
          <cell r="D100">
            <v>0</v>
          </cell>
        </row>
        <row r="101">
          <cell r="D101">
            <v>32627</v>
          </cell>
          <cell r="F101">
            <v>-2222</v>
          </cell>
        </row>
        <row r="102">
          <cell r="D102">
            <v>5033</v>
          </cell>
        </row>
        <row r="103">
          <cell r="D103">
            <v>0</v>
          </cell>
        </row>
        <row r="115">
          <cell r="D115">
            <v>0</v>
          </cell>
        </row>
        <row r="116">
          <cell r="D116">
            <v>0</v>
          </cell>
        </row>
        <row r="117">
          <cell r="D117">
            <v>7860</v>
          </cell>
        </row>
        <row r="118">
          <cell r="D118">
            <v>77045</v>
          </cell>
        </row>
        <row r="119">
          <cell r="D119">
            <v>0</v>
          </cell>
        </row>
        <row r="124">
          <cell r="D124">
            <v>0</v>
          </cell>
        </row>
        <row r="125">
          <cell r="D125">
            <v>181033</v>
          </cell>
        </row>
        <row r="126">
          <cell r="D126">
            <v>0</v>
          </cell>
        </row>
        <row r="127">
          <cell r="D127">
            <v>0</v>
          </cell>
        </row>
        <row r="128">
          <cell r="D128">
            <v>42248</v>
          </cell>
        </row>
        <row r="130">
          <cell r="D130">
            <v>0</v>
          </cell>
        </row>
        <row r="131">
          <cell r="D131">
            <v>20382</v>
          </cell>
        </row>
        <row r="132">
          <cell r="D132">
            <v>0</v>
          </cell>
        </row>
        <row r="133">
          <cell r="D133">
            <v>0</v>
          </cell>
        </row>
        <row r="134">
          <cell r="D134">
            <v>9350</v>
          </cell>
        </row>
        <row r="136">
          <cell r="D136">
            <v>530328</v>
          </cell>
        </row>
        <row r="137">
          <cell r="D137">
            <v>92367</v>
          </cell>
        </row>
        <row r="138">
          <cell r="D138">
            <v>521293</v>
          </cell>
          <cell r="F138">
            <v>19306</v>
          </cell>
        </row>
        <row r="139">
          <cell r="D139">
            <v>19306</v>
          </cell>
          <cell r="F139">
            <v>-19306</v>
          </cell>
        </row>
        <row r="141">
          <cell r="D141">
            <v>239008</v>
          </cell>
          <cell r="F141">
            <v>-130048</v>
          </cell>
        </row>
        <row r="142">
          <cell r="D142">
            <v>0</v>
          </cell>
          <cell r="F142">
            <v>18978</v>
          </cell>
        </row>
        <row r="143">
          <cell r="D143">
            <v>0</v>
          </cell>
          <cell r="F143">
            <v>111070</v>
          </cell>
        </row>
        <row r="144">
          <cell r="D144">
            <v>0</v>
          </cell>
        </row>
        <row r="146">
          <cell r="D146">
            <v>52825</v>
          </cell>
        </row>
        <row r="147">
          <cell r="D147">
            <v>0</v>
          </cell>
        </row>
        <row r="148">
          <cell r="D148">
            <v>0</v>
          </cell>
        </row>
        <row r="149">
          <cell r="D149">
            <v>0</v>
          </cell>
        </row>
        <row r="150">
          <cell r="D150">
            <v>421</v>
          </cell>
        </row>
        <row r="151">
          <cell r="D151">
            <v>106156</v>
          </cell>
          <cell r="F151">
            <v>-3065</v>
          </cell>
        </row>
        <row r="152">
          <cell r="D152">
            <v>5689</v>
          </cell>
        </row>
        <row r="153">
          <cell r="D153">
            <v>0</v>
          </cell>
        </row>
        <row r="154">
          <cell r="D154">
            <v>0</v>
          </cell>
        </row>
        <row r="156">
          <cell r="D156">
            <v>0</v>
          </cell>
        </row>
        <row r="157">
          <cell r="D157">
            <v>0</v>
          </cell>
        </row>
        <row r="158">
          <cell r="D158">
            <v>0</v>
          </cell>
        </row>
        <row r="159">
          <cell r="D159">
            <v>0</v>
          </cell>
        </row>
        <row r="160">
          <cell r="D160">
            <v>0</v>
          </cell>
        </row>
        <row r="161">
          <cell r="D161">
            <v>10952</v>
          </cell>
          <cell r="F161">
            <v>-481</v>
          </cell>
        </row>
        <row r="175">
          <cell r="D175">
            <v>0</v>
          </cell>
        </row>
        <row r="176">
          <cell r="D176">
            <v>0</v>
          </cell>
        </row>
        <row r="177">
          <cell r="D177">
            <v>0</v>
          </cell>
        </row>
        <row r="178">
          <cell r="D178">
            <v>0</v>
          </cell>
        </row>
        <row r="179">
          <cell r="D179">
            <v>0</v>
          </cell>
        </row>
        <row r="180">
          <cell r="D180">
            <v>0</v>
          </cell>
        </row>
        <row r="181">
          <cell r="D181">
            <v>0</v>
          </cell>
        </row>
        <row r="182">
          <cell r="D182">
            <v>0</v>
          </cell>
        </row>
        <row r="183">
          <cell r="D183">
            <v>0</v>
          </cell>
        </row>
        <row r="184">
          <cell r="D184">
            <v>0</v>
          </cell>
        </row>
        <row r="185">
          <cell r="D185">
            <v>0</v>
          </cell>
        </row>
        <row r="186">
          <cell r="D186">
            <v>0</v>
          </cell>
        </row>
        <row r="187">
          <cell r="D187">
            <v>0</v>
          </cell>
        </row>
        <row r="188">
          <cell r="D188">
            <v>0</v>
          </cell>
        </row>
        <row r="189">
          <cell r="D189">
            <v>126</v>
          </cell>
        </row>
        <row r="190">
          <cell r="D190">
            <v>0</v>
          </cell>
        </row>
        <row r="191">
          <cell r="D191">
            <v>0</v>
          </cell>
        </row>
        <row r="192">
          <cell r="D192">
            <v>0</v>
          </cell>
        </row>
        <row r="193">
          <cell r="D193">
            <v>208</v>
          </cell>
        </row>
        <row r="194">
          <cell r="D194">
            <v>213938</v>
          </cell>
          <cell r="F194">
            <v>7894</v>
          </cell>
        </row>
        <row r="195">
          <cell r="D195">
            <v>70733</v>
          </cell>
          <cell r="F195">
            <v>2610</v>
          </cell>
        </row>
        <row r="196">
          <cell r="D196">
            <v>0</v>
          </cell>
        </row>
        <row r="197">
          <cell r="D197">
            <v>167829</v>
          </cell>
          <cell r="F197">
            <v>6193</v>
          </cell>
        </row>
        <row r="198">
          <cell r="D198">
            <v>28125</v>
          </cell>
          <cell r="F198">
            <v>-673</v>
          </cell>
        </row>
        <row r="199">
          <cell r="D199">
            <v>0</v>
          </cell>
        </row>
        <row r="200">
          <cell r="D200">
            <v>0</v>
          </cell>
        </row>
        <row r="201">
          <cell r="D201">
            <v>0</v>
          </cell>
        </row>
        <row r="202">
          <cell r="D202">
            <v>0</v>
          </cell>
        </row>
        <row r="203">
          <cell r="D203">
            <v>0</v>
          </cell>
        </row>
        <row r="204">
          <cell r="D204">
            <v>0</v>
          </cell>
        </row>
        <row r="205">
          <cell r="D205">
            <v>159403</v>
          </cell>
          <cell r="F205">
            <v>-10641</v>
          </cell>
        </row>
        <row r="206">
          <cell r="D206">
            <v>1355</v>
          </cell>
        </row>
        <row r="207">
          <cell r="D207">
            <v>9314</v>
          </cell>
          <cell r="F207">
            <v>-573</v>
          </cell>
        </row>
        <row r="211">
          <cell r="D211">
            <v>89286</v>
          </cell>
        </row>
        <row r="212">
          <cell r="D212">
            <v>14600</v>
          </cell>
        </row>
        <row r="213">
          <cell r="D213">
            <v>9425</v>
          </cell>
        </row>
        <row r="214">
          <cell r="D214">
            <v>0</v>
          </cell>
        </row>
        <row r="215">
          <cell r="D215">
            <v>0</v>
          </cell>
        </row>
        <row r="216">
          <cell r="D216">
            <v>3578</v>
          </cell>
        </row>
        <row r="221">
          <cell r="D221">
            <v>4903599</v>
          </cell>
        </row>
      </sheetData>
      <sheetData sheetId="8" refreshError="1"/>
      <sheetData sheetId="9" refreshError="1"/>
      <sheetData sheetId="10">
        <row r="9">
          <cell r="C9">
            <v>10578</v>
          </cell>
          <cell r="D9">
            <v>0</v>
          </cell>
          <cell r="E9">
            <v>2299</v>
          </cell>
          <cell r="F9">
            <v>1046</v>
          </cell>
          <cell r="G9">
            <v>0</v>
          </cell>
          <cell r="H9">
            <v>4323</v>
          </cell>
          <cell r="I9">
            <v>1418</v>
          </cell>
          <cell r="J9">
            <v>0</v>
          </cell>
          <cell r="K9">
            <v>795</v>
          </cell>
        </row>
        <row r="22">
          <cell r="N22">
            <v>102</v>
          </cell>
        </row>
        <row r="24">
          <cell r="N24">
            <v>102</v>
          </cell>
        </row>
        <row r="28">
          <cell r="N28">
            <v>37230</v>
          </cell>
        </row>
        <row r="30">
          <cell r="N30">
            <v>0.54952994896588769</v>
          </cell>
        </row>
        <row r="32">
          <cell r="N32">
            <v>0.28412570507655116</v>
          </cell>
        </row>
        <row r="34">
          <cell r="N34">
            <v>0.51703406813627251</v>
          </cell>
        </row>
      </sheetData>
      <sheetData sheetId="11" refreshError="1"/>
      <sheetData sheetId="1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Grou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E10">
            <v>443032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1521838</v>
          </cell>
          <cell r="G21">
            <v>0</v>
          </cell>
        </row>
        <row r="27">
          <cell r="E27">
            <v>277483</v>
          </cell>
          <cell r="G27">
            <v>0</v>
          </cell>
        </row>
        <row r="32">
          <cell r="E32">
            <v>6172088</v>
          </cell>
          <cell r="G32">
            <v>-2908551</v>
          </cell>
        </row>
        <row r="37">
          <cell r="E37">
            <v>2096126</v>
          </cell>
          <cell r="G37">
            <v>2913599</v>
          </cell>
        </row>
        <row r="42">
          <cell r="E42">
            <v>223210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5048</v>
          </cell>
          <cell r="G52">
            <v>-5048</v>
          </cell>
        </row>
        <row r="67">
          <cell r="E67">
            <v>24195</v>
          </cell>
          <cell r="G67">
            <v>-15433</v>
          </cell>
        </row>
        <row r="85">
          <cell r="C85">
            <v>187.67940915417947</v>
          </cell>
          <cell r="E85">
            <v>187.67934459495703</v>
          </cell>
          <cell r="G85">
            <v>187.67942067738301</v>
          </cell>
          <cell r="I85">
            <v>187.67923894764013</v>
          </cell>
        </row>
      </sheetData>
      <sheetData sheetId="6" refreshError="1"/>
      <sheetData sheetId="7">
        <row r="10">
          <cell r="D10">
            <v>0</v>
          </cell>
          <cell r="F10">
            <v>109886</v>
          </cell>
        </row>
        <row r="11">
          <cell r="D11">
            <v>0</v>
          </cell>
        </row>
        <row r="12">
          <cell r="D12">
            <v>402074</v>
          </cell>
          <cell r="F12">
            <v>-109886</v>
          </cell>
        </row>
        <row r="13">
          <cell r="D13">
            <v>59713</v>
          </cell>
        </row>
        <row r="14">
          <cell r="D14">
            <v>0</v>
          </cell>
        </row>
        <row r="15">
          <cell r="D15">
            <v>0</v>
          </cell>
          <cell r="F15">
            <v>537410</v>
          </cell>
        </row>
        <row r="16">
          <cell r="D16">
            <v>537410</v>
          </cell>
          <cell r="F16">
            <v>-537410</v>
          </cell>
        </row>
        <row r="17">
          <cell r="D17">
            <v>799</v>
          </cell>
          <cell r="F17">
            <v>-799</v>
          </cell>
        </row>
        <row r="18">
          <cell r="D18">
            <v>76455</v>
          </cell>
        </row>
        <row r="19">
          <cell r="D19">
            <v>16387</v>
          </cell>
        </row>
        <row r="20">
          <cell r="D20">
            <v>35488</v>
          </cell>
        </row>
        <row r="21">
          <cell r="D21">
            <v>5308</v>
          </cell>
        </row>
        <row r="22">
          <cell r="D22">
            <v>0</v>
          </cell>
        </row>
        <row r="23">
          <cell r="D23">
            <v>30151</v>
          </cell>
        </row>
        <row r="24">
          <cell r="D24">
            <v>15681</v>
          </cell>
        </row>
        <row r="25">
          <cell r="D25">
            <v>0</v>
          </cell>
        </row>
        <row r="26">
          <cell r="D26">
            <v>0</v>
          </cell>
        </row>
        <row r="27">
          <cell r="D27">
            <v>1129</v>
          </cell>
          <cell r="F27">
            <v>-8</v>
          </cell>
        </row>
        <row r="28">
          <cell r="D28">
            <v>0</v>
          </cell>
          <cell r="F28">
            <v>0</v>
          </cell>
        </row>
        <row r="29">
          <cell r="D29">
            <v>69577</v>
          </cell>
          <cell r="F29">
            <v>-69577</v>
          </cell>
        </row>
        <row r="30">
          <cell r="D30">
            <v>1125</v>
          </cell>
          <cell r="F30">
            <v>-1125</v>
          </cell>
        </row>
        <row r="31">
          <cell r="D31">
            <v>0</v>
          </cell>
        </row>
        <row r="32">
          <cell r="D32">
            <v>93923</v>
          </cell>
        </row>
        <row r="33">
          <cell r="D33">
            <v>0</v>
          </cell>
          <cell r="F33">
            <v>0</v>
          </cell>
        </row>
        <row r="34">
          <cell r="D34">
            <v>6316</v>
          </cell>
        </row>
        <row r="35">
          <cell r="D35">
            <v>0</v>
          </cell>
          <cell r="F35">
            <v>0</v>
          </cell>
        </row>
        <row r="36">
          <cell r="D36">
            <v>40802</v>
          </cell>
        </row>
        <row r="37">
          <cell r="D37">
            <v>5866</v>
          </cell>
        </row>
        <row r="38">
          <cell r="D38">
            <v>25035</v>
          </cell>
          <cell r="F38">
            <v>-25035</v>
          </cell>
        </row>
        <row r="39">
          <cell r="D39">
            <v>11238</v>
          </cell>
        </row>
        <row r="40">
          <cell r="D40">
            <v>26847</v>
          </cell>
          <cell r="F40">
            <v>-26847</v>
          </cell>
        </row>
        <row r="41">
          <cell r="D41">
            <v>60203</v>
          </cell>
        </row>
        <row r="42">
          <cell r="D42">
            <v>3049</v>
          </cell>
        </row>
        <row r="43">
          <cell r="D43">
            <v>15487</v>
          </cell>
          <cell r="F43">
            <v>-15487</v>
          </cell>
        </row>
        <row r="44">
          <cell r="D44">
            <v>0</v>
          </cell>
        </row>
        <row r="45">
          <cell r="D45">
            <v>458801</v>
          </cell>
          <cell r="F45">
            <v>-424112</v>
          </cell>
        </row>
        <row r="57">
          <cell r="D57">
            <v>0</v>
          </cell>
        </row>
        <row r="58">
          <cell r="D58">
            <v>5113</v>
          </cell>
        </row>
        <row r="59">
          <cell r="D59">
            <v>0</v>
          </cell>
        </row>
        <row r="60">
          <cell r="D60">
            <v>0</v>
          </cell>
        </row>
        <row r="61">
          <cell r="D61">
            <v>24679</v>
          </cell>
        </row>
        <row r="62">
          <cell r="D62">
            <v>18780</v>
          </cell>
        </row>
        <row r="63">
          <cell r="D63">
            <v>0</v>
          </cell>
        </row>
        <row r="64">
          <cell r="D64">
            <v>0</v>
          </cell>
        </row>
        <row r="65">
          <cell r="D65">
            <v>5243</v>
          </cell>
        </row>
        <row r="66">
          <cell r="D66">
            <v>72822</v>
          </cell>
        </row>
        <row r="67">
          <cell r="D67">
            <v>21363</v>
          </cell>
        </row>
        <row r="68">
          <cell r="D68">
            <v>0</v>
          </cell>
        </row>
        <row r="69">
          <cell r="D69">
            <v>2053</v>
          </cell>
        </row>
        <row r="70">
          <cell r="D70">
            <v>0</v>
          </cell>
        </row>
        <row r="71">
          <cell r="D71">
            <v>0</v>
          </cell>
        </row>
        <row r="75">
          <cell r="D75">
            <v>100820</v>
          </cell>
        </row>
        <row r="76">
          <cell r="D76">
            <v>25105</v>
          </cell>
        </row>
        <row r="77">
          <cell r="D77">
            <v>30243</v>
          </cell>
        </row>
        <row r="78">
          <cell r="D78">
            <v>0</v>
          </cell>
        </row>
        <row r="79">
          <cell r="D79">
            <v>11962</v>
          </cell>
        </row>
        <row r="80">
          <cell r="D80">
            <v>38190</v>
          </cell>
        </row>
        <row r="81">
          <cell r="D81">
            <v>81809</v>
          </cell>
        </row>
        <row r="82">
          <cell r="D82">
            <v>77316</v>
          </cell>
        </row>
        <row r="83">
          <cell r="D83">
            <v>26735</v>
          </cell>
        </row>
        <row r="84">
          <cell r="D84">
            <v>198994</v>
          </cell>
        </row>
        <row r="85">
          <cell r="D85">
            <v>0</v>
          </cell>
        </row>
        <row r="89">
          <cell r="D89">
            <v>387248</v>
          </cell>
        </row>
        <row r="90">
          <cell r="D90">
            <v>61128</v>
          </cell>
        </row>
        <row r="91">
          <cell r="D91">
            <v>15671</v>
          </cell>
        </row>
        <row r="92">
          <cell r="D92">
            <v>335225</v>
          </cell>
          <cell r="F92">
            <v>-14523</v>
          </cell>
        </row>
        <row r="93">
          <cell r="D93">
            <v>36775</v>
          </cell>
        </row>
        <row r="94">
          <cell r="D94">
            <v>0</v>
          </cell>
        </row>
        <row r="98">
          <cell r="D98">
            <v>44805</v>
          </cell>
        </row>
        <row r="99">
          <cell r="D99">
            <v>11492</v>
          </cell>
        </row>
        <row r="100">
          <cell r="D100">
            <v>11212</v>
          </cell>
        </row>
        <row r="101">
          <cell r="D101">
            <v>0</v>
          </cell>
        </row>
        <row r="102">
          <cell r="D102">
            <v>11411</v>
          </cell>
        </row>
        <row r="103">
          <cell r="D103">
            <v>0</v>
          </cell>
        </row>
        <row r="115">
          <cell r="D115">
            <v>220895</v>
          </cell>
        </row>
        <row r="116">
          <cell r="D116">
            <v>49405</v>
          </cell>
        </row>
        <row r="117">
          <cell r="D117">
            <v>96342</v>
          </cell>
        </row>
        <row r="118">
          <cell r="D118">
            <v>452</v>
          </cell>
        </row>
        <row r="119">
          <cell r="D119">
            <v>240</v>
          </cell>
        </row>
        <row r="124">
          <cell r="D124">
            <v>0</v>
          </cell>
        </row>
        <row r="125">
          <cell r="D125">
            <v>438713</v>
          </cell>
        </row>
        <row r="126">
          <cell r="D126">
            <v>0</v>
          </cell>
        </row>
        <row r="127">
          <cell r="D127">
            <v>0</v>
          </cell>
        </row>
        <row r="128">
          <cell r="D128">
            <v>62084</v>
          </cell>
        </row>
        <row r="130">
          <cell r="D130">
            <v>0</v>
          </cell>
        </row>
        <row r="131">
          <cell r="D131">
            <v>87989</v>
          </cell>
        </row>
        <row r="132">
          <cell r="D132">
            <v>0</v>
          </cell>
        </row>
        <row r="133">
          <cell r="D133">
            <v>0</v>
          </cell>
        </row>
        <row r="134">
          <cell r="D134">
            <v>15733</v>
          </cell>
        </row>
        <row r="136">
          <cell r="D136">
            <v>1179872</v>
          </cell>
        </row>
        <row r="137">
          <cell r="D137">
            <v>404499</v>
          </cell>
        </row>
        <row r="138">
          <cell r="D138">
            <v>1563158</v>
          </cell>
          <cell r="F138">
            <v>78552</v>
          </cell>
        </row>
        <row r="139">
          <cell r="D139">
            <v>78552</v>
          </cell>
          <cell r="F139">
            <v>-78552</v>
          </cell>
        </row>
        <row r="141">
          <cell r="D141">
            <v>549854</v>
          </cell>
          <cell r="F141">
            <v>-348756</v>
          </cell>
        </row>
        <row r="142">
          <cell r="D142">
            <v>0</v>
          </cell>
          <cell r="F142">
            <v>68943</v>
          </cell>
        </row>
        <row r="143">
          <cell r="D143">
            <v>0</v>
          </cell>
          <cell r="F143">
            <v>279813</v>
          </cell>
        </row>
        <row r="144">
          <cell r="D144">
            <v>0</v>
          </cell>
        </row>
        <row r="146">
          <cell r="D146">
            <v>46800</v>
          </cell>
        </row>
        <row r="147">
          <cell r="D147">
            <v>0</v>
          </cell>
        </row>
        <row r="148">
          <cell r="D148">
            <v>0</v>
          </cell>
        </row>
        <row r="149">
          <cell r="D149">
            <v>0</v>
          </cell>
        </row>
        <row r="150">
          <cell r="D150">
            <v>2418</v>
          </cell>
        </row>
        <row r="151">
          <cell r="D151">
            <v>178880</v>
          </cell>
        </row>
        <row r="152">
          <cell r="D152">
            <v>38669</v>
          </cell>
        </row>
        <row r="153">
          <cell r="D153">
            <v>0</v>
          </cell>
        </row>
        <row r="154">
          <cell r="D154">
            <v>0</v>
          </cell>
        </row>
        <row r="156">
          <cell r="D156">
            <v>0</v>
          </cell>
        </row>
        <row r="157">
          <cell r="D157">
            <v>0</v>
          </cell>
        </row>
        <row r="158">
          <cell r="D158">
            <v>0</v>
          </cell>
        </row>
        <row r="159">
          <cell r="D159">
            <v>0</v>
          </cell>
        </row>
        <row r="160">
          <cell r="D160">
            <v>0</v>
          </cell>
        </row>
        <row r="161">
          <cell r="D161">
            <v>30770</v>
          </cell>
        </row>
        <row r="175">
          <cell r="D175">
            <v>0</v>
          </cell>
        </row>
        <row r="176">
          <cell r="D176">
            <v>0</v>
          </cell>
        </row>
        <row r="177">
          <cell r="D177">
            <v>0</v>
          </cell>
        </row>
        <row r="178">
          <cell r="D178">
            <v>0</v>
          </cell>
        </row>
        <row r="179">
          <cell r="D179">
            <v>0</v>
          </cell>
        </row>
        <row r="180">
          <cell r="D180">
            <v>0</v>
          </cell>
        </row>
        <row r="181">
          <cell r="D181">
            <v>0</v>
          </cell>
        </row>
        <row r="182">
          <cell r="D182">
            <v>0</v>
          </cell>
        </row>
        <row r="183">
          <cell r="D183">
            <v>0</v>
          </cell>
        </row>
        <row r="184">
          <cell r="D184">
            <v>0</v>
          </cell>
        </row>
        <row r="185">
          <cell r="D185">
            <v>0</v>
          </cell>
        </row>
        <row r="186">
          <cell r="D186">
            <v>0</v>
          </cell>
        </row>
        <row r="187">
          <cell r="D187">
            <v>0</v>
          </cell>
        </row>
        <row r="188">
          <cell r="D188">
            <v>5</v>
          </cell>
        </row>
        <row r="189">
          <cell r="D189">
            <v>89</v>
          </cell>
        </row>
        <row r="190">
          <cell r="D190">
            <v>0</v>
          </cell>
        </row>
        <row r="191">
          <cell r="D191">
            <v>0</v>
          </cell>
        </row>
        <row r="192">
          <cell r="D192">
            <v>0</v>
          </cell>
        </row>
        <row r="193">
          <cell r="D193">
            <v>19653</v>
          </cell>
        </row>
        <row r="194">
          <cell r="D194">
            <v>286095</v>
          </cell>
        </row>
        <row r="195">
          <cell r="D195">
            <v>75884</v>
          </cell>
        </row>
        <row r="196">
          <cell r="D196">
            <v>0</v>
          </cell>
        </row>
        <row r="197">
          <cell r="D197">
            <v>259829</v>
          </cell>
        </row>
        <row r="198">
          <cell r="D198">
            <v>48189</v>
          </cell>
        </row>
        <row r="199">
          <cell r="D199">
            <v>0</v>
          </cell>
        </row>
        <row r="200">
          <cell r="D200">
            <v>0</v>
          </cell>
        </row>
        <row r="201">
          <cell r="D201">
            <v>0</v>
          </cell>
        </row>
        <row r="202">
          <cell r="D202">
            <v>0</v>
          </cell>
        </row>
        <row r="203">
          <cell r="D203">
            <v>0</v>
          </cell>
        </row>
        <row r="204">
          <cell r="D204">
            <v>0</v>
          </cell>
        </row>
        <row r="205">
          <cell r="D205">
            <v>285054</v>
          </cell>
        </row>
        <row r="206">
          <cell r="D206">
            <v>8258</v>
          </cell>
        </row>
        <row r="207">
          <cell r="D207">
            <v>682</v>
          </cell>
        </row>
        <row r="211">
          <cell r="D211">
            <v>265404</v>
          </cell>
        </row>
        <row r="212">
          <cell r="D212">
            <v>68240</v>
          </cell>
        </row>
        <row r="213">
          <cell r="D213">
            <v>7062</v>
          </cell>
        </row>
        <row r="214">
          <cell r="D214">
            <v>0</v>
          </cell>
        </row>
        <row r="215">
          <cell r="D215">
            <v>0</v>
          </cell>
        </row>
        <row r="216">
          <cell r="D216">
            <v>19188</v>
          </cell>
        </row>
        <row r="221">
          <cell r="D221">
            <v>10044015</v>
          </cell>
        </row>
      </sheetData>
      <sheetData sheetId="8" refreshError="1"/>
      <sheetData sheetId="9" refreshError="1"/>
      <sheetData sheetId="10">
        <row r="9">
          <cell r="C9">
            <v>2596</v>
          </cell>
          <cell r="D9">
            <v>0</v>
          </cell>
          <cell r="E9">
            <v>2521</v>
          </cell>
          <cell r="F9">
            <v>620</v>
          </cell>
          <cell r="G9">
            <v>8689</v>
          </cell>
          <cell r="H9">
            <v>26693</v>
          </cell>
          <cell r="I9">
            <v>1230</v>
          </cell>
          <cell r="J9">
            <v>0</v>
          </cell>
          <cell r="K9">
            <v>0</v>
          </cell>
        </row>
        <row r="22">
          <cell r="N22">
            <v>120</v>
          </cell>
        </row>
        <row r="24">
          <cell r="N24">
            <v>12</v>
          </cell>
        </row>
        <row r="28">
          <cell r="N28">
            <v>43800</v>
          </cell>
        </row>
        <row r="30">
          <cell r="N30">
            <v>0.96687214611872141</v>
          </cell>
        </row>
        <row r="32">
          <cell r="N32">
            <v>5.9269406392694061E-2</v>
          </cell>
        </row>
        <row r="34">
          <cell r="N34">
            <v>6.13001487638433E-2</v>
          </cell>
        </row>
      </sheetData>
      <sheetData sheetId="11" refreshError="1"/>
      <sheetData sheetId="1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Grou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E10">
            <v>3790583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2448388</v>
          </cell>
          <cell r="G21">
            <v>0</v>
          </cell>
        </row>
        <row r="27">
          <cell r="E27">
            <v>2255616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378619</v>
          </cell>
          <cell r="G37">
            <v>0</v>
          </cell>
        </row>
        <row r="42">
          <cell r="E42">
            <v>594876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401573</v>
          </cell>
          <cell r="G52">
            <v>0</v>
          </cell>
        </row>
        <row r="67">
          <cell r="E67">
            <v>78122</v>
          </cell>
          <cell r="G67">
            <v>-13634</v>
          </cell>
        </row>
        <row r="85">
          <cell r="C85">
            <v>187.71428571428572</v>
          </cell>
          <cell r="E85">
            <v>187.71428571428572</v>
          </cell>
          <cell r="G85">
            <v>187.71501272264632</v>
          </cell>
          <cell r="I85">
            <v>187.71208791208792</v>
          </cell>
        </row>
      </sheetData>
      <sheetData sheetId="6" refreshError="1"/>
      <sheetData sheetId="7">
        <row r="10">
          <cell r="D10">
            <v>0</v>
          </cell>
          <cell r="F10">
            <v>164185</v>
          </cell>
        </row>
        <row r="11">
          <cell r="D11">
            <v>0</v>
          </cell>
        </row>
        <row r="12">
          <cell r="D12">
            <v>389976</v>
          </cell>
          <cell r="F12">
            <v>-164185</v>
          </cell>
        </row>
        <row r="13">
          <cell r="D13">
            <v>72762</v>
          </cell>
          <cell r="F13">
            <v>-418</v>
          </cell>
        </row>
        <row r="14">
          <cell r="D14">
            <v>0</v>
          </cell>
        </row>
        <row r="15">
          <cell r="D15">
            <v>0</v>
          </cell>
        </row>
        <row r="16">
          <cell r="D16">
            <v>496712</v>
          </cell>
          <cell r="F16">
            <v>53097</v>
          </cell>
        </row>
        <row r="17">
          <cell r="D17">
            <v>241</v>
          </cell>
          <cell r="F17">
            <v>-241</v>
          </cell>
        </row>
        <row r="18">
          <cell r="D18">
            <v>21335</v>
          </cell>
        </row>
        <row r="19">
          <cell r="D19">
            <v>14738</v>
          </cell>
        </row>
        <row r="20">
          <cell r="D20">
            <v>16831</v>
          </cell>
        </row>
        <row r="21">
          <cell r="D21">
            <v>8720</v>
          </cell>
        </row>
        <row r="22">
          <cell r="D22">
            <v>0</v>
          </cell>
        </row>
        <row r="23">
          <cell r="D23">
            <v>5379</v>
          </cell>
        </row>
        <row r="24">
          <cell r="D24">
            <v>0</v>
          </cell>
        </row>
        <row r="25">
          <cell r="D25">
            <v>443</v>
          </cell>
        </row>
        <row r="26">
          <cell r="D26">
            <v>431488</v>
          </cell>
        </row>
        <row r="27">
          <cell r="D27">
            <v>27050</v>
          </cell>
          <cell r="F27">
            <v>-203</v>
          </cell>
        </row>
        <row r="28">
          <cell r="F28">
            <v>0</v>
          </cell>
        </row>
        <row r="29">
          <cell r="D29">
            <v>211356</v>
          </cell>
          <cell r="F29">
            <v>-211356</v>
          </cell>
        </row>
        <row r="30">
          <cell r="D30">
            <v>0</v>
          </cell>
          <cell r="F30">
            <v>0</v>
          </cell>
        </row>
        <row r="31">
          <cell r="D31">
            <v>0</v>
          </cell>
        </row>
        <row r="32">
          <cell r="D32">
            <v>76900</v>
          </cell>
        </row>
        <row r="33">
          <cell r="D33">
            <v>0</v>
          </cell>
          <cell r="F33">
            <v>0</v>
          </cell>
        </row>
        <row r="34">
          <cell r="D34">
            <v>868</v>
          </cell>
        </row>
        <row r="35">
          <cell r="D35">
            <v>0</v>
          </cell>
          <cell r="F35">
            <v>0</v>
          </cell>
        </row>
        <row r="36">
          <cell r="D36">
            <v>0</v>
          </cell>
        </row>
        <row r="37">
          <cell r="D37">
            <v>0</v>
          </cell>
        </row>
        <row r="38">
          <cell r="D38">
            <v>181</v>
          </cell>
          <cell r="F38">
            <v>-181</v>
          </cell>
        </row>
        <row r="39">
          <cell r="D39">
            <v>3050</v>
          </cell>
        </row>
        <row r="40">
          <cell r="D40">
            <v>7284</v>
          </cell>
          <cell r="F40">
            <v>-7284</v>
          </cell>
        </row>
        <row r="41">
          <cell r="D41">
            <v>199410</v>
          </cell>
          <cell r="F41">
            <v>-12410</v>
          </cell>
        </row>
        <row r="42">
          <cell r="D42">
            <v>168</v>
          </cell>
        </row>
        <row r="43">
          <cell r="D43">
            <v>16213</v>
          </cell>
          <cell r="F43">
            <v>-16213</v>
          </cell>
        </row>
        <row r="44">
          <cell r="D44">
            <v>0</v>
          </cell>
        </row>
        <row r="45">
          <cell r="D45">
            <v>10268</v>
          </cell>
          <cell r="F45">
            <v>-371</v>
          </cell>
        </row>
        <row r="57">
          <cell r="D57">
            <v>832140</v>
          </cell>
        </row>
        <row r="58">
          <cell r="D58">
            <v>28482</v>
          </cell>
        </row>
        <row r="59">
          <cell r="D59">
            <v>0</v>
          </cell>
        </row>
        <row r="60">
          <cell r="D60">
            <v>28000</v>
          </cell>
        </row>
        <row r="61">
          <cell r="D61">
            <v>6620</v>
          </cell>
        </row>
        <row r="62">
          <cell r="D62">
            <v>6759</v>
          </cell>
        </row>
        <row r="63">
          <cell r="D63">
            <v>0</v>
          </cell>
        </row>
        <row r="64">
          <cell r="D64">
            <v>0</v>
          </cell>
        </row>
        <row r="65">
          <cell r="D65">
            <v>84</v>
          </cell>
        </row>
        <row r="66">
          <cell r="D66">
            <v>111962</v>
          </cell>
          <cell r="F66">
            <v>-2833</v>
          </cell>
        </row>
        <row r="67">
          <cell r="D67">
            <v>45409</v>
          </cell>
        </row>
        <row r="68">
          <cell r="D68">
            <v>0</v>
          </cell>
        </row>
        <row r="69">
          <cell r="D69">
            <v>5634</v>
          </cell>
        </row>
        <row r="70">
          <cell r="D70">
            <v>0</v>
          </cell>
        </row>
        <row r="71">
          <cell r="D71">
            <v>0</v>
          </cell>
        </row>
        <row r="75">
          <cell r="D75">
            <v>58853</v>
          </cell>
        </row>
        <row r="76">
          <cell r="D76">
            <v>16929</v>
          </cell>
        </row>
        <row r="77">
          <cell r="D77">
            <v>11233</v>
          </cell>
        </row>
        <row r="78">
          <cell r="D78">
            <v>0</v>
          </cell>
        </row>
        <row r="79">
          <cell r="D79">
            <v>3007</v>
          </cell>
        </row>
        <row r="80">
          <cell r="D80">
            <v>20555</v>
          </cell>
        </row>
        <row r="81">
          <cell r="D81">
            <v>27521</v>
          </cell>
        </row>
        <row r="82">
          <cell r="D82">
            <v>18731</v>
          </cell>
        </row>
        <row r="83">
          <cell r="D83">
            <v>0</v>
          </cell>
        </row>
        <row r="84">
          <cell r="D84">
            <v>143102</v>
          </cell>
        </row>
        <row r="85">
          <cell r="D85">
            <v>0</v>
          </cell>
        </row>
        <row r="89">
          <cell r="D89">
            <v>287865</v>
          </cell>
        </row>
        <row r="90">
          <cell r="D90">
            <v>48671</v>
          </cell>
        </row>
        <row r="91">
          <cell r="D91">
            <v>11450</v>
          </cell>
        </row>
        <row r="92">
          <cell r="D92">
            <v>252797</v>
          </cell>
          <cell r="F92">
            <v>-12060</v>
          </cell>
        </row>
        <row r="93">
          <cell r="D93">
            <v>24161</v>
          </cell>
        </row>
        <row r="94">
          <cell r="D94">
            <v>0</v>
          </cell>
        </row>
        <row r="98">
          <cell r="D98">
            <v>0</v>
          </cell>
        </row>
        <row r="99">
          <cell r="D99">
            <v>0</v>
          </cell>
        </row>
        <row r="100">
          <cell r="D100">
            <v>462</v>
          </cell>
        </row>
        <row r="101">
          <cell r="D101">
            <v>94948</v>
          </cell>
        </row>
        <row r="102">
          <cell r="D102">
            <v>10150</v>
          </cell>
        </row>
        <row r="103">
          <cell r="D103">
            <v>0</v>
          </cell>
        </row>
        <row r="115">
          <cell r="D115">
            <v>0</v>
          </cell>
        </row>
        <row r="116">
          <cell r="D116">
            <v>0</v>
          </cell>
        </row>
        <row r="117">
          <cell r="D117">
            <v>14864</v>
          </cell>
        </row>
        <row r="118">
          <cell r="D118">
            <v>143166</v>
          </cell>
        </row>
        <row r="119">
          <cell r="D119">
            <v>0</v>
          </cell>
        </row>
        <row r="124">
          <cell r="D124">
            <v>0</v>
          </cell>
        </row>
        <row r="125">
          <cell r="D125">
            <v>262251</v>
          </cell>
        </row>
        <row r="126">
          <cell r="D126">
            <v>0</v>
          </cell>
        </row>
        <row r="127">
          <cell r="D127">
            <v>0</v>
          </cell>
        </row>
        <row r="128">
          <cell r="D128">
            <v>86378</v>
          </cell>
        </row>
        <row r="130">
          <cell r="D130">
            <v>0</v>
          </cell>
        </row>
        <row r="131">
          <cell r="D131">
            <v>24653</v>
          </cell>
        </row>
        <row r="132">
          <cell r="D132">
            <v>0</v>
          </cell>
        </row>
        <row r="133">
          <cell r="D133">
            <v>0</v>
          </cell>
        </row>
        <row r="134">
          <cell r="D134">
            <v>19459</v>
          </cell>
        </row>
        <row r="136">
          <cell r="D136">
            <v>1004011</v>
          </cell>
        </row>
        <row r="137">
          <cell r="D137">
            <v>274067</v>
          </cell>
        </row>
        <row r="138">
          <cell r="D138">
            <v>957998</v>
          </cell>
          <cell r="F138">
            <v>46570</v>
          </cell>
        </row>
        <row r="139">
          <cell r="D139">
            <v>46570</v>
          </cell>
          <cell r="F139">
            <v>-46570</v>
          </cell>
        </row>
        <row r="141">
          <cell r="D141">
            <v>394364</v>
          </cell>
          <cell r="F141">
            <v>-220905</v>
          </cell>
        </row>
        <row r="142">
          <cell r="F142">
            <v>47350</v>
          </cell>
        </row>
        <row r="143">
          <cell r="F143">
            <v>173555</v>
          </cell>
        </row>
        <row r="144">
          <cell r="F144">
            <v>0</v>
          </cell>
        </row>
        <row r="146">
          <cell r="D146">
            <v>50400</v>
          </cell>
        </row>
        <row r="150">
          <cell r="D150">
            <v>1627</v>
          </cell>
        </row>
        <row r="151">
          <cell r="D151">
            <v>235403</v>
          </cell>
          <cell r="F151">
            <v>-10439</v>
          </cell>
        </row>
        <row r="152">
          <cell r="D152">
            <v>9093</v>
          </cell>
          <cell r="F152">
            <v>-112</v>
          </cell>
        </row>
        <row r="153">
          <cell r="D153">
            <v>0</v>
          </cell>
        </row>
        <row r="154">
          <cell r="D154">
            <v>0</v>
          </cell>
        </row>
        <row r="156">
          <cell r="D156">
            <v>0</v>
          </cell>
        </row>
        <row r="157">
          <cell r="D157">
            <v>0</v>
          </cell>
        </row>
        <row r="158">
          <cell r="D158">
            <v>0</v>
          </cell>
        </row>
        <row r="159">
          <cell r="D159">
            <v>0</v>
          </cell>
        </row>
        <row r="160">
          <cell r="D160">
            <v>0</v>
          </cell>
        </row>
        <row r="161">
          <cell r="D161">
            <v>21071</v>
          </cell>
          <cell r="F161">
            <v>-888</v>
          </cell>
        </row>
        <row r="175">
          <cell r="D175">
            <v>0</v>
          </cell>
        </row>
        <row r="176">
          <cell r="D176">
            <v>0</v>
          </cell>
        </row>
        <row r="177">
          <cell r="D177">
            <v>68</v>
          </cell>
        </row>
        <row r="178">
          <cell r="D178">
            <v>0</v>
          </cell>
        </row>
        <row r="179">
          <cell r="D179">
            <v>0</v>
          </cell>
        </row>
        <row r="180">
          <cell r="D180">
            <v>0</v>
          </cell>
        </row>
        <row r="181">
          <cell r="D181">
            <v>0</v>
          </cell>
        </row>
        <row r="182">
          <cell r="D182">
            <v>0</v>
          </cell>
        </row>
        <row r="183">
          <cell r="D183">
            <v>0</v>
          </cell>
        </row>
        <row r="184">
          <cell r="D184">
            <v>0</v>
          </cell>
        </row>
        <row r="185">
          <cell r="D185">
            <v>0</v>
          </cell>
        </row>
        <row r="186">
          <cell r="D186">
            <v>0</v>
          </cell>
        </row>
        <row r="187">
          <cell r="D187">
            <v>0</v>
          </cell>
        </row>
        <row r="188">
          <cell r="D188">
            <v>74</v>
          </cell>
        </row>
        <row r="189">
          <cell r="D189">
            <v>0</v>
          </cell>
        </row>
        <row r="190">
          <cell r="D190">
            <v>0</v>
          </cell>
        </row>
        <row r="191">
          <cell r="D191">
            <v>0</v>
          </cell>
        </row>
        <row r="192">
          <cell r="D192">
            <v>1808</v>
          </cell>
        </row>
        <row r="193">
          <cell r="D193">
            <v>1051</v>
          </cell>
        </row>
        <row r="194">
          <cell r="D194">
            <v>594241</v>
          </cell>
          <cell r="F194">
            <v>-21927</v>
          </cell>
        </row>
        <row r="195">
          <cell r="D195">
            <v>188467</v>
          </cell>
          <cell r="F195">
            <v>-6954</v>
          </cell>
        </row>
        <row r="196">
          <cell r="D196">
            <v>0</v>
          </cell>
        </row>
        <row r="197">
          <cell r="D197">
            <v>494255</v>
          </cell>
          <cell r="F197">
            <v>-18238</v>
          </cell>
        </row>
        <row r="198">
          <cell r="D198">
            <v>81821</v>
          </cell>
        </row>
        <row r="199">
          <cell r="D199">
            <v>0</v>
          </cell>
        </row>
        <row r="200">
          <cell r="D200">
            <v>0</v>
          </cell>
        </row>
        <row r="201">
          <cell r="D201">
            <v>0</v>
          </cell>
        </row>
        <row r="202">
          <cell r="D202">
            <v>0</v>
          </cell>
        </row>
        <row r="203">
          <cell r="D203">
            <v>0</v>
          </cell>
        </row>
        <row r="204">
          <cell r="D204">
            <v>0</v>
          </cell>
        </row>
        <row r="205">
          <cell r="D205">
            <v>472390</v>
          </cell>
          <cell r="F205">
            <v>-30879</v>
          </cell>
        </row>
        <row r="206">
          <cell r="D206">
            <v>4898</v>
          </cell>
        </row>
        <row r="207">
          <cell r="D207">
            <v>0</v>
          </cell>
        </row>
        <row r="211">
          <cell r="D211">
            <v>146282</v>
          </cell>
        </row>
        <row r="212">
          <cell r="D212">
            <v>28939</v>
          </cell>
        </row>
        <row r="213">
          <cell r="D213">
            <v>9808</v>
          </cell>
        </row>
        <row r="214">
          <cell r="D214">
            <v>0</v>
          </cell>
        </row>
        <row r="215">
          <cell r="D215">
            <v>0</v>
          </cell>
        </row>
        <row r="216">
          <cell r="D216">
            <v>2227</v>
          </cell>
        </row>
        <row r="221">
          <cell r="D221">
            <v>9678602</v>
          </cell>
        </row>
      </sheetData>
      <sheetData sheetId="8" refreshError="1"/>
      <sheetData sheetId="9" refreshError="1"/>
      <sheetData sheetId="10">
        <row r="9">
          <cell r="C9">
            <v>21051</v>
          </cell>
          <cell r="D9">
            <v>0</v>
          </cell>
          <cell r="E9">
            <v>4301</v>
          </cell>
          <cell r="F9">
            <v>5116</v>
          </cell>
          <cell r="G9">
            <v>0</v>
          </cell>
          <cell r="H9">
            <v>2017</v>
          </cell>
          <cell r="I9">
            <v>3377</v>
          </cell>
          <cell r="J9">
            <v>0</v>
          </cell>
          <cell r="K9">
            <v>1620</v>
          </cell>
        </row>
        <row r="22">
          <cell r="N22">
            <v>120</v>
          </cell>
        </row>
        <row r="24">
          <cell r="N24">
            <v>120</v>
          </cell>
        </row>
        <row r="28">
          <cell r="N28">
            <v>43800</v>
          </cell>
        </row>
        <row r="30">
          <cell r="N30">
            <v>0.85575342465753423</v>
          </cell>
        </row>
        <row r="32">
          <cell r="N32">
            <v>0.48061643835616441</v>
          </cell>
        </row>
        <row r="34">
          <cell r="N34">
            <v>0.5616295821994558</v>
          </cell>
        </row>
      </sheetData>
      <sheetData sheetId="11" refreshError="1"/>
      <sheetData sheetId="1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Misc Detail Schedule"/>
      <sheetName val="Sch C-2"/>
      <sheetName val="Sch D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E10">
            <v>1164114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2800309</v>
          </cell>
          <cell r="G21">
            <v>0</v>
          </cell>
        </row>
        <row r="27">
          <cell r="E27">
            <v>980598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247365</v>
          </cell>
          <cell r="G37">
            <v>0</v>
          </cell>
        </row>
        <row r="42">
          <cell r="E42">
            <v>167240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200</v>
          </cell>
          <cell r="G52">
            <v>0</v>
          </cell>
        </row>
        <row r="67">
          <cell r="E67">
            <v>-137</v>
          </cell>
          <cell r="G67">
            <v>137</v>
          </cell>
        </row>
        <row r="85">
          <cell r="C85">
            <v>224.0176322418136</v>
          </cell>
          <cell r="E85">
            <v>218.43975903614458</v>
          </cell>
          <cell r="G85">
            <v>216.68965517241378</v>
          </cell>
          <cell r="I85">
            <v>189.85365853658536</v>
          </cell>
        </row>
      </sheetData>
      <sheetData sheetId="6" refreshError="1"/>
      <sheetData sheetId="7">
        <row r="10">
          <cell r="D10">
            <v>147028</v>
          </cell>
        </row>
        <row r="12">
          <cell r="D12">
            <v>176131</v>
          </cell>
        </row>
        <row r="13">
          <cell r="D13">
            <v>80098</v>
          </cell>
        </row>
        <row r="17">
          <cell r="D17">
            <v>34226</v>
          </cell>
          <cell r="F17">
            <v>-31444</v>
          </cell>
        </row>
        <row r="18">
          <cell r="D18">
            <v>15714</v>
          </cell>
        </row>
        <row r="19">
          <cell r="D19">
            <v>17265</v>
          </cell>
        </row>
        <row r="20">
          <cell r="D20">
            <v>34236</v>
          </cell>
        </row>
        <row r="21">
          <cell r="D21">
            <v>80449</v>
          </cell>
          <cell r="F21">
            <v>-5000</v>
          </cell>
        </row>
        <row r="23">
          <cell r="D23">
            <v>24265</v>
          </cell>
          <cell r="F23">
            <v>-18214</v>
          </cell>
        </row>
        <row r="24">
          <cell r="D24">
            <v>24951.72</v>
          </cell>
        </row>
        <row r="26">
          <cell r="D26">
            <v>134795</v>
          </cell>
        </row>
        <row r="28">
          <cell r="F28">
            <v>0</v>
          </cell>
        </row>
        <row r="29">
          <cell r="D29">
            <v>112303</v>
          </cell>
          <cell r="F29">
            <v>-112303</v>
          </cell>
        </row>
        <row r="30">
          <cell r="F30">
            <v>0</v>
          </cell>
        </row>
        <row r="31">
          <cell r="D31">
            <v>23960</v>
          </cell>
        </row>
        <row r="32">
          <cell r="D32">
            <v>441090</v>
          </cell>
          <cell r="F32">
            <v>0</v>
          </cell>
        </row>
        <row r="33">
          <cell r="F33">
            <v>0</v>
          </cell>
        </row>
        <row r="35">
          <cell r="D35">
            <v>480</v>
          </cell>
          <cell r="F35">
            <v>-480</v>
          </cell>
        </row>
        <row r="38">
          <cell r="D38">
            <v>33</v>
          </cell>
          <cell r="F38">
            <v>-33</v>
          </cell>
        </row>
        <row r="39">
          <cell r="D39">
            <v>3561</v>
          </cell>
          <cell r="F39">
            <v>-3561</v>
          </cell>
        </row>
        <row r="40">
          <cell r="D40">
            <v>8211</v>
          </cell>
        </row>
        <row r="41">
          <cell r="D41">
            <v>462711</v>
          </cell>
          <cell r="F41">
            <v>-102214</v>
          </cell>
        </row>
        <row r="43">
          <cell r="D43">
            <v>7397</v>
          </cell>
        </row>
        <row r="45">
          <cell r="D45">
            <v>-4367</v>
          </cell>
          <cell r="F45">
            <v>4367</v>
          </cell>
        </row>
        <row r="57">
          <cell r="D57">
            <v>400066</v>
          </cell>
          <cell r="F57">
            <v>-400066</v>
          </cell>
        </row>
        <row r="58">
          <cell r="D58">
            <v>312798</v>
          </cell>
          <cell r="F58">
            <v>61142</v>
          </cell>
        </row>
        <row r="59">
          <cell r="D59">
            <v>51337</v>
          </cell>
          <cell r="F59">
            <v>66260</v>
          </cell>
        </row>
        <row r="60">
          <cell r="D60">
            <v>20820</v>
          </cell>
        </row>
        <row r="61">
          <cell r="D61">
            <v>4020</v>
          </cell>
        </row>
        <row r="62">
          <cell r="D62">
            <v>9144</v>
          </cell>
        </row>
        <row r="65">
          <cell r="D65">
            <v>175</v>
          </cell>
        </row>
        <row r="66">
          <cell r="D66">
            <v>7871.41</v>
          </cell>
        </row>
        <row r="67">
          <cell r="D67">
            <v>63080</v>
          </cell>
        </row>
        <row r="69">
          <cell r="D69">
            <v>6383</v>
          </cell>
        </row>
        <row r="75">
          <cell r="D75">
            <v>75090</v>
          </cell>
        </row>
        <row r="76">
          <cell r="D76">
            <v>11554</v>
          </cell>
        </row>
        <row r="77">
          <cell r="D77">
            <v>44997</v>
          </cell>
        </row>
        <row r="78">
          <cell r="D78">
            <v>35607</v>
          </cell>
        </row>
        <row r="80">
          <cell r="D80">
            <v>29444</v>
          </cell>
        </row>
        <row r="84">
          <cell r="D84">
            <v>61080</v>
          </cell>
        </row>
        <row r="89">
          <cell r="D89">
            <v>186456</v>
          </cell>
        </row>
        <row r="90">
          <cell r="D90">
            <v>32609</v>
          </cell>
        </row>
        <row r="91">
          <cell r="D91">
            <v>21967</v>
          </cell>
        </row>
        <row r="92">
          <cell r="D92">
            <v>118011</v>
          </cell>
        </row>
        <row r="93">
          <cell r="D93">
            <v>18054</v>
          </cell>
        </row>
        <row r="98">
          <cell r="D98">
            <v>27</v>
          </cell>
        </row>
        <row r="99">
          <cell r="D99">
            <v>207</v>
          </cell>
        </row>
        <row r="100">
          <cell r="D100">
            <v>7786.95</v>
          </cell>
        </row>
        <row r="101">
          <cell r="D101">
            <v>10497</v>
          </cell>
        </row>
        <row r="102">
          <cell r="D102">
            <v>9133</v>
          </cell>
        </row>
        <row r="115">
          <cell r="D115">
            <v>73052</v>
          </cell>
        </row>
        <row r="116">
          <cell r="D116">
            <v>11037</v>
          </cell>
        </row>
        <row r="117">
          <cell r="D117">
            <v>18515</v>
          </cell>
        </row>
        <row r="124">
          <cell r="D124">
            <v>139616</v>
          </cell>
        </row>
        <row r="128">
          <cell r="D128">
            <v>10329</v>
          </cell>
        </row>
        <row r="130">
          <cell r="D130">
            <v>17184</v>
          </cell>
        </row>
        <row r="134">
          <cell r="D134">
            <v>2972</v>
          </cell>
        </row>
        <row r="136">
          <cell r="D136">
            <v>447810</v>
          </cell>
        </row>
        <row r="137">
          <cell r="D137">
            <v>284947</v>
          </cell>
        </row>
        <row r="138">
          <cell r="D138">
            <v>428914</v>
          </cell>
        </row>
        <row r="139">
          <cell r="D139">
            <v>12890</v>
          </cell>
        </row>
        <row r="141">
          <cell r="D141">
            <v>81870</v>
          </cell>
        </row>
        <row r="142">
          <cell r="D142">
            <v>52095</v>
          </cell>
        </row>
        <row r="143">
          <cell r="D143">
            <v>78415</v>
          </cell>
        </row>
        <row r="144">
          <cell r="D144">
            <v>2233</v>
          </cell>
        </row>
        <row r="146">
          <cell r="D146">
            <v>131796</v>
          </cell>
        </row>
        <row r="147">
          <cell r="D147">
            <v>17714.95</v>
          </cell>
        </row>
        <row r="150">
          <cell r="D150">
            <v>44867</v>
          </cell>
        </row>
        <row r="151">
          <cell r="D151">
            <v>115604</v>
          </cell>
        </row>
        <row r="152">
          <cell r="D152">
            <v>15568</v>
          </cell>
        </row>
        <row r="153">
          <cell r="D153">
            <v>15618</v>
          </cell>
        </row>
        <row r="177">
          <cell r="D177">
            <v>471854</v>
          </cell>
        </row>
        <row r="178">
          <cell r="D178">
            <v>50751</v>
          </cell>
        </row>
        <row r="179">
          <cell r="D179">
            <v>43260</v>
          </cell>
        </row>
        <row r="180">
          <cell r="D180">
            <v>2381</v>
          </cell>
        </row>
        <row r="183">
          <cell r="D183">
            <v>6024</v>
          </cell>
        </row>
        <row r="184">
          <cell r="D184">
            <v>4707</v>
          </cell>
        </row>
        <row r="188">
          <cell r="D188">
            <v>-24954</v>
          </cell>
        </row>
        <row r="189">
          <cell r="D189">
            <v>2499</v>
          </cell>
        </row>
        <row r="191">
          <cell r="D191">
            <v>1862</v>
          </cell>
        </row>
        <row r="192">
          <cell r="D192">
            <v>65520</v>
          </cell>
        </row>
        <row r="201">
          <cell r="D201">
            <v>-54179</v>
          </cell>
        </row>
        <row r="205">
          <cell r="D205">
            <v>197622</v>
          </cell>
        </row>
        <row r="207">
          <cell r="D207">
            <v>-2603</v>
          </cell>
        </row>
        <row r="211">
          <cell r="D211">
            <v>67295</v>
          </cell>
        </row>
        <row r="212">
          <cell r="D212">
            <v>7737</v>
          </cell>
        </row>
        <row r="213">
          <cell r="D213">
            <v>6236</v>
          </cell>
        </row>
        <row r="216">
          <cell r="D216">
            <v>5364</v>
          </cell>
        </row>
        <row r="221">
          <cell r="D221">
            <v>6217174.9000000004</v>
          </cell>
        </row>
      </sheetData>
      <sheetData sheetId="8" refreshError="1"/>
      <sheetData sheetId="9" refreshError="1"/>
      <sheetData sheetId="10" refreshError="1"/>
      <sheetData sheetId="11">
        <row r="9">
          <cell r="C9">
            <v>6686</v>
          </cell>
          <cell r="D9">
            <v>0</v>
          </cell>
          <cell r="E9">
            <v>5343</v>
          </cell>
          <cell r="F9">
            <v>1807</v>
          </cell>
          <cell r="G9">
            <v>0</v>
          </cell>
          <cell r="H9">
            <v>1161</v>
          </cell>
          <cell r="I9">
            <v>906</v>
          </cell>
          <cell r="J9">
            <v>0</v>
          </cell>
          <cell r="K9">
            <v>0</v>
          </cell>
        </row>
        <row r="22">
          <cell r="N22">
            <v>89</v>
          </cell>
        </row>
        <row r="24">
          <cell r="N24">
            <v>89</v>
          </cell>
        </row>
        <row r="28">
          <cell r="N28">
            <v>32485</v>
          </cell>
        </row>
        <row r="30">
          <cell r="N30">
            <v>0.48954902262582728</v>
          </cell>
        </row>
        <row r="32">
          <cell r="N32">
            <v>0.20581806987840542</v>
          </cell>
        </row>
        <row r="34">
          <cell r="N34">
            <v>0.42042381940514373</v>
          </cell>
        </row>
      </sheetData>
      <sheetData sheetId="1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heet1"/>
      <sheetName val="Sch A Pg 3"/>
      <sheetName val="Sch B"/>
      <sheetName val="Sch B Misc Items Detail"/>
      <sheetName val="Sch B-1"/>
      <sheetName val="Sch C"/>
      <sheetName val="Sch C Misc Items Detail"/>
      <sheetName val="Sch C-1"/>
      <sheetName val="Sch C-1 (2)"/>
      <sheetName val="Sch C-2"/>
      <sheetName val="Sch D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0">
          <cell r="E10">
            <v>1815522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2275224</v>
          </cell>
          <cell r="G21">
            <v>0</v>
          </cell>
        </row>
        <row r="27">
          <cell r="E27">
            <v>1867621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277328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269729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13811</v>
          </cell>
          <cell r="G67">
            <v>0</v>
          </cell>
        </row>
        <row r="85">
          <cell r="C85">
            <v>163.15415019762847</v>
          </cell>
          <cell r="E85">
            <v>204.1866028708134</v>
          </cell>
          <cell r="G85">
            <v>209.32634730538922</v>
          </cell>
          <cell r="I85">
            <v>174.80973451327435</v>
          </cell>
        </row>
      </sheetData>
      <sheetData sheetId="7" refreshError="1"/>
      <sheetData sheetId="8" refreshError="1"/>
      <sheetData sheetId="9">
        <row r="10">
          <cell r="D10">
            <v>107588</v>
          </cell>
          <cell r="F10">
            <v>7329</v>
          </cell>
        </row>
        <row r="11">
          <cell r="D11">
            <v>0</v>
          </cell>
          <cell r="F11">
            <v>0</v>
          </cell>
        </row>
        <row r="12">
          <cell r="D12">
            <v>230801</v>
          </cell>
          <cell r="F12">
            <v>-31057</v>
          </cell>
        </row>
        <row r="13">
          <cell r="D13">
            <v>616582</v>
          </cell>
          <cell r="F13">
            <v>-570044</v>
          </cell>
        </row>
        <row r="14">
          <cell r="D14">
            <v>0</v>
          </cell>
        </row>
        <row r="15">
          <cell r="D15">
            <v>0</v>
          </cell>
        </row>
        <row r="16">
          <cell r="D16">
            <v>326199</v>
          </cell>
          <cell r="F16">
            <v>135974</v>
          </cell>
        </row>
        <row r="17">
          <cell r="D17">
            <v>0</v>
          </cell>
        </row>
        <row r="18">
          <cell r="D18">
            <v>12388</v>
          </cell>
        </row>
        <row r="19">
          <cell r="D19">
            <v>27992</v>
          </cell>
          <cell r="F19">
            <v>-1989</v>
          </cell>
        </row>
        <row r="20">
          <cell r="D20">
            <v>26063</v>
          </cell>
        </row>
        <row r="21">
          <cell r="D21">
            <v>7832</v>
          </cell>
        </row>
        <row r="22">
          <cell r="D22">
            <v>0</v>
          </cell>
        </row>
        <row r="23">
          <cell r="D23">
            <v>12310</v>
          </cell>
        </row>
        <row r="24">
          <cell r="D24">
            <v>51830</v>
          </cell>
          <cell r="F24">
            <v>-13680</v>
          </cell>
        </row>
        <row r="25">
          <cell r="D25">
            <v>0</v>
          </cell>
        </row>
        <row r="26">
          <cell r="D26">
            <v>192405</v>
          </cell>
        </row>
        <row r="27">
          <cell r="D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66618</v>
          </cell>
          <cell r="F29">
            <v>-66618</v>
          </cell>
        </row>
        <row r="30">
          <cell r="D30">
            <v>0</v>
          </cell>
          <cell r="F30">
            <v>0</v>
          </cell>
        </row>
        <row r="31">
          <cell r="D31">
            <v>79685</v>
          </cell>
        </row>
        <row r="32">
          <cell r="D32">
            <v>109440</v>
          </cell>
          <cell r="F32">
            <v>-32832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</row>
        <row r="35">
          <cell r="D35">
            <v>8750</v>
          </cell>
          <cell r="F35">
            <v>-8750</v>
          </cell>
        </row>
        <row r="36">
          <cell r="D36">
            <v>0</v>
          </cell>
        </row>
        <row r="37">
          <cell r="D37">
            <v>0</v>
          </cell>
        </row>
        <row r="38">
          <cell r="D38">
            <v>0</v>
          </cell>
        </row>
        <row r="39">
          <cell r="D39">
            <v>4713</v>
          </cell>
        </row>
        <row r="40">
          <cell r="D40">
            <v>13965</v>
          </cell>
        </row>
        <row r="41">
          <cell r="D41">
            <v>24005</v>
          </cell>
        </row>
        <row r="42">
          <cell r="D42">
            <v>7267</v>
          </cell>
        </row>
        <row r="43">
          <cell r="D43">
            <v>7827</v>
          </cell>
        </row>
        <row r="44">
          <cell r="D44">
            <v>20</v>
          </cell>
        </row>
        <row r="45">
          <cell r="D45">
            <v>10444</v>
          </cell>
          <cell r="F45">
            <v>-13613</v>
          </cell>
        </row>
        <row r="57">
          <cell r="D57">
            <v>665000</v>
          </cell>
        </row>
        <row r="58">
          <cell r="D58">
            <v>10681</v>
          </cell>
        </row>
        <row r="59">
          <cell r="D59">
            <v>0</v>
          </cell>
        </row>
        <row r="60">
          <cell r="D60">
            <v>18073</v>
          </cell>
        </row>
        <row r="61">
          <cell r="D61">
            <v>7822</v>
          </cell>
        </row>
        <row r="62">
          <cell r="D62">
            <v>723</v>
          </cell>
        </row>
        <row r="63">
          <cell r="D63">
            <v>0</v>
          </cell>
        </row>
        <row r="64">
          <cell r="D64">
            <v>0</v>
          </cell>
        </row>
        <row r="65">
          <cell r="D65">
            <v>4631</v>
          </cell>
        </row>
        <row r="66">
          <cell r="D66">
            <v>5034</v>
          </cell>
        </row>
        <row r="67">
          <cell r="D67">
            <v>89779</v>
          </cell>
        </row>
        <row r="68">
          <cell r="D68">
            <v>0</v>
          </cell>
        </row>
        <row r="69">
          <cell r="D69">
            <v>7614</v>
          </cell>
        </row>
        <row r="70">
          <cell r="D70">
            <v>0</v>
          </cell>
        </row>
        <row r="71">
          <cell r="D71">
            <v>0</v>
          </cell>
        </row>
        <row r="75">
          <cell r="D75">
            <v>36294</v>
          </cell>
          <cell r="F75">
            <v>2472</v>
          </cell>
        </row>
        <row r="76">
          <cell r="D76">
            <v>0</v>
          </cell>
          <cell r="F76">
            <v>5544</v>
          </cell>
        </row>
        <row r="77">
          <cell r="D77">
            <v>9486</v>
          </cell>
        </row>
        <row r="78">
          <cell r="D78">
            <v>0</v>
          </cell>
        </row>
        <row r="79">
          <cell r="D79">
            <v>1096</v>
          </cell>
        </row>
        <row r="80">
          <cell r="D80">
            <v>30206</v>
          </cell>
        </row>
        <row r="81">
          <cell r="D81">
            <v>7379</v>
          </cell>
        </row>
        <row r="82">
          <cell r="D82">
            <v>1786</v>
          </cell>
        </row>
        <row r="83">
          <cell r="D83">
            <v>0</v>
          </cell>
        </row>
        <row r="84">
          <cell r="D84">
            <v>80732</v>
          </cell>
        </row>
        <row r="85">
          <cell r="D85">
            <v>0</v>
          </cell>
        </row>
        <row r="89">
          <cell r="D89">
            <v>150813</v>
          </cell>
          <cell r="F89">
            <v>10274</v>
          </cell>
        </row>
        <row r="90">
          <cell r="D90">
            <v>0</v>
          </cell>
          <cell r="F90">
            <v>23040</v>
          </cell>
        </row>
        <row r="91">
          <cell r="D91">
            <v>16447</v>
          </cell>
        </row>
        <row r="92">
          <cell r="D92">
            <v>112798</v>
          </cell>
        </row>
        <row r="93">
          <cell r="D93">
            <v>9174</v>
          </cell>
        </row>
        <row r="94">
          <cell r="D94">
            <v>531</v>
          </cell>
        </row>
        <row r="98">
          <cell r="D98">
            <v>0</v>
          </cell>
        </row>
        <row r="99">
          <cell r="D99">
            <v>0</v>
          </cell>
        </row>
        <row r="100">
          <cell r="D100">
            <v>3497</v>
          </cell>
        </row>
        <row r="101">
          <cell r="D101">
            <v>0</v>
          </cell>
        </row>
        <row r="102">
          <cell r="D102">
            <v>2630</v>
          </cell>
        </row>
        <row r="103">
          <cell r="D103">
            <v>0</v>
          </cell>
        </row>
        <row r="115">
          <cell r="D115">
            <v>83599</v>
          </cell>
          <cell r="F115">
            <v>5695</v>
          </cell>
        </row>
        <row r="116">
          <cell r="D116">
            <v>0</v>
          </cell>
          <cell r="F116">
            <v>12771</v>
          </cell>
        </row>
        <row r="117">
          <cell r="D117">
            <v>10277</v>
          </cell>
        </row>
        <row r="118">
          <cell r="D118">
            <v>4879</v>
          </cell>
        </row>
        <row r="119">
          <cell r="D119">
            <v>0</v>
          </cell>
        </row>
        <row r="124">
          <cell r="D124">
            <v>0</v>
          </cell>
        </row>
        <row r="125">
          <cell r="D125">
            <v>146961</v>
          </cell>
          <cell r="F125">
            <v>10011</v>
          </cell>
        </row>
        <row r="126">
          <cell r="D126">
            <v>65793</v>
          </cell>
          <cell r="F126">
            <v>4482</v>
          </cell>
        </row>
        <row r="127">
          <cell r="D127">
            <v>0</v>
          </cell>
          <cell r="F127">
            <v>0</v>
          </cell>
        </row>
        <row r="128">
          <cell r="D128">
            <v>56013</v>
          </cell>
          <cell r="F128">
            <v>3816</v>
          </cell>
        </row>
        <row r="130">
          <cell r="D130">
            <v>0</v>
          </cell>
        </row>
        <row r="131">
          <cell r="D131">
            <v>0</v>
          </cell>
          <cell r="F131">
            <v>22451</v>
          </cell>
        </row>
        <row r="132">
          <cell r="D132">
            <v>0</v>
          </cell>
          <cell r="F132">
            <v>10051</v>
          </cell>
        </row>
        <row r="133">
          <cell r="D133">
            <v>0</v>
          </cell>
          <cell r="F133">
            <v>0</v>
          </cell>
        </row>
        <row r="134">
          <cell r="D134">
            <v>0</v>
          </cell>
          <cell r="F134">
            <v>8557</v>
          </cell>
        </row>
        <row r="136">
          <cell r="D136">
            <v>383648</v>
          </cell>
          <cell r="F136">
            <v>26135</v>
          </cell>
        </row>
        <row r="137">
          <cell r="D137">
            <v>249356</v>
          </cell>
          <cell r="F137">
            <v>16987</v>
          </cell>
        </row>
        <row r="138">
          <cell r="D138">
            <v>448965</v>
          </cell>
          <cell r="F138">
            <v>29836</v>
          </cell>
        </row>
        <row r="139">
          <cell r="D139">
            <v>112258</v>
          </cell>
          <cell r="F139">
            <v>7647</v>
          </cell>
        </row>
        <row r="141">
          <cell r="D141">
            <v>0</v>
          </cell>
          <cell r="F141">
            <v>58609</v>
          </cell>
        </row>
        <row r="142">
          <cell r="D142">
            <v>0</v>
          </cell>
          <cell r="F142">
            <v>38094</v>
          </cell>
        </row>
        <row r="143">
          <cell r="D143">
            <v>0</v>
          </cell>
          <cell r="F143">
            <v>68485</v>
          </cell>
        </row>
        <row r="144">
          <cell r="D144">
            <v>0</v>
          </cell>
          <cell r="F144">
            <v>17150</v>
          </cell>
        </row>
        <row r="146">
          <cell r="D146">
            <v>37125</v>
          </cell>
        </row>
        <row r="147">
          <cell r="D147">
            <v>0</v>
          </cell>
        </row>
        <row r="148">
          <cell r="D148">
            <v>0</v>
          </cell>
        </row>
        <row r="149">
          <cell r="D149">
            <v>0</v>
          </cell>
        </row>
        <row r="150">
          <cell r="D150">
            <v>10548</v>
          </cell>
        </row>
        <row r="151">
          <cell r="D151">
            <v>84224</v>
          </cell>
        </row>
        <row r="152">
          <cell r="D152">
            <v>3107</v>
          </cell>
        </row>
        <row r="153">
          <cell r="D153">
            <v>0</v>
          </cell>
        </row>
        <row r="154">
          <cell r="D154">
            <v>0</v>
          </cell>
        </row>
        <row r="156">
          <cell r="D156">
            <v>0</v>
          </cell>
        </row>
        <row r="157">
          <cell r="D157">
            <v>0</v>
          </cell>
        </row>
        <row r="158">
          <cell r="D158">
            <v>0</v>
          </cell>
        </row>
        <row r="159">
          <cell r="D159">
            <v>0</v>
          </cell>
        </row>
        <row r="161">
          <cell r="D161">
            <v>3508</v>
          </cell>
        </row>
        <row r="175">
          <cell r="D175">
            <v>0</v>
          </cell>
        </row>
        <row r="176">
          <cell r="D176">
            <v>0</v>
          </cell>
        </row>
        <row r="177">
          <cell r="D177">
            <v>345429</v>
          </cell>
          <cell r="F177">
            <v>23532</v>
          </cell>
        </row>
        <row r="178">
          <cell r="D178">
            <v>0</v>
          </cell>
          <cell r="F178">
            <v>52770</v>
          </cell>
        </row>
        <row r="179">
          <cell r="D179">
            <v>34582</v>
          </cell>
          <cell r="F179">
            <v>2356</v>
          </cell>
        </row>
        <row r="180">
          <cell r="D180">
            <v>0</v>
          </cell>
          <cell r="F180">
            <v>5283</v>
          </cell>
        </row>
        <row r="181">
          <cell r="D181">
            <v>0</v>
          </cell>
        </row>
        <row r="182">
          <cell r="D182">
            <v>0</v>
          </cell>
        </row>
        <row r="183">
          <cell r="D183">
            <v>272140</v>
          </cell>
          <cell r="F183">
            <v>18539</v>
          </cell>
        </row>
        <row r="184">
          <cell r="D184">
            <v>0</v>
          </cell>
          <cell r="F184">
            <v>41574</v>
          </cell>
        </row>
        <row r="185">
          <cell r="D185">
            <v>0</v>
          </cell>
        </row>
        <row r="186">
          <cell r="D186">
            <v>0</v>
          </cell>
        </row>
        <row r="187">
          <cell r="D187">
            <v>0</v>
          </cell>
        </row>
        <row r="188">
          <cell r="D188">
            <v>1381</v>
          </cell>
        </row>
        <row r="189">
          <cell r="D189">
            <v>0</v>
          </cell>
        </row>
        <row r="190">
          <cell r="D190">
            <v>0</v>
          </cell>
        </row>
        <row r="191">
          <cell r="D191">
            <v>0</v>
          </cell>
        </row>
        <row r="192">
          <cell r="D192">
            <v>0</v>
          </cell>
        </row>
        <row r="193">
          <cell r="D193">
            <v>0</v>
          </cell>
        </row>
        <row r="194">
          <cell r="D194">
            <v>0</v>
          </cell>
        </row>
        <row r="195">
          <cell r="D195">
            <v>0</v>
          </cell>
        </row>
        <row r="196">
          <cell r="D196">
            <v>0</v>
          </cell>
        </row>
        <row r="197">
          <cell r="D197">
            <v>0</v>
          </cell>
        </row>
        <row r="198">
          <cell r="D198">
            <v>72273</v>
          </cell>
        </row>
        <row r="199">
          <cell r="D199">
            <v>771</v>
          </cell>
        </row>
        <row r="200">
          <cell r="D200">
            <v>0</v>
          </cell>
        </row>
        <row r="201">
          <cell r="D201">
            <v>0</v>
          </cell>
        </row>
        <row r="202">
          <cell r="D202">
            <v>0</v>
          </cell>
        </row>
        <row r="203">
          <cell r="D203">
            <v>0</v>
          </cell>
        </row>
        <row r="204">
          <cell r="D204">
            <v>0</v>
          </cell>
        </row>
        <row r="205">
          <cell r="D205">
            <v>257330</v>
          </cell>
        </row>
        <row r="206">
          <cell r="D206">
            <v>6091</v>
          </cell>
        </row>
        <row r="207">
          <cell r="D207">
            <v>40403</v>
          </cell>
          <cell r="F207">
            <v>-173</v>
          </cell>
        </row>
        <row r="211">
          <cell r="D211">
            <v>90994</v>
          </cell>
          <cell r="F211">
            <v>6199</v>
          </cell>
        </row>
        <row r="212">
          <cell r="D212">
            <v>0</v>
          </cell>
          <cell r="F212">
            <v>13901</v>
          </cell>
        </row>
        <row r="213">
          <cell r="D213">
            <v>6537</v>
          </cell>
        </row>
        <row r="214">
          <cell r="D214">
            <v>0</v>
          </cell>
        </row>
        <row r="215">
          <cell r="D215">
            <v>0</v>
          </cell>
        </row>
        <row r="216">
          <cell r="D216">
            <v>6123</v>
          </cell>
        </row>
        <row r="221">
          <cell r="D221">
            <v>6051265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>
        <row r="9">
          <cell r="C9">
            <v>9632</v>
          </cell>
          <cell r="E9">
            <v>4490</v>
          </cell>
          <cell r="F9">
            <v>4508</v>
          </cell>
          <cell r="H9">
            <v>1484</v>
          </cell>
          <cell r="J9">
            <v>1406</v>
          </cell>
        </row>
        <row r="22">
          <cell r="N22">
            <v>120</v>
          </cell>
        </row>
        <row r="24">
          <cell r="N24">
            <v>120</v>
          </cell>
        </row>
        <row r="28">
          <cell r="N28">
            <v>43800</v>
          </cell>
        </row>
        <row r="30">
          <cell r="N30">
            <v>0.49132420091324203</v>
          </cell>
        </row>
        <row r="32">
          <cell r="N32">
            <v>0.21990867579908677</v>
          </cell>
        </row>
        <row r="34">
          <cell r="N34">
            <v>0.44758364312267657</v>
          </cell>
        </row>
      </sheetData>
      <sheetData sheetId="1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heet1"/>
      <sheetName val="Sch A Pg 3"/>
      <sheetName val="Sch B"/>
      <sheetName val="Sch B-1"/>
      <sheetName val="Sch C"/>
      <sheetName val="Sch C Misc Items Detail"/>
      <sheetName val="Sch C-1"/>
      <sheetName val="Sch C-1 (2)"/>
      <sheetName val="Sch C-2"/>
      <sheetName val="Sch D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0">
          <cell r="E10">
            <v>2812302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581129</v>
          </cell>
          <cell r="G21">
            <v>0</v>
          </cell>
        </row>
        <row r="27">
          <cell r="E27">
            <v>428473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145205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210732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3520</v>
          </cell>
          <cell r="G67">
            <v>0</v>
          </cell>
        </row>
        <row r="85">
          <cell r="C85">
            <v>172.50660792951541</v>
          </cell>
          <cell r="E85">
            <v>214.59770114942529</v>
          </cell>
          <cell r="G85">
            <v>278.8354430379747</v>
          </cell>
          <cell r="I85">
            <v>207.27272727272728</v>
          </cell>
        </row>
      </sheetData>
      <sheetData sheetId="7" refreshError="1"/>
      <sheetData sheetId="8">
        <row r="10">
          <cell r="D10">
            <v>103540</v>
          </cell>
          <cell r="F10">
            <v>6058</v>
          </cell>
        </row>
        <row r="11">
          <cell r="D11">
            <v>0</v>
          </cell>
          <cell r="F11">
            <v>0</v>
          </cell>
        </row>
        <row r="12">
          <cell r="D12">
            <v>192492</v>
          </cell>
          <cell r="F12">
            <v>306.15999999999985</v>
          </cell>
        </row>
        <row r="13">
          <cell r="D13">
            <v>421956</v>
          </cell>
          <cell r="F13">
            <v>-378635.65187500446</v>
          </cell>
        </row>
        <row r="14">
          <cell r="D14">
            <v>0</v>
          </cell>
        </row>
        <row r="15">
          <cell r="D15">
            <v>0</v>
          </cell>
        </row>
        <row r="16">
          <cell r="D16">
            <v>208735</v>
          </cell>
          <cell r="F16">
            <v>110169.10545313143</v>
          </cell>
        </row>
        <row r="17">
          <cell r="D17">
            <v>0</v>
          </cell>
        </row>
        <row r="18">
          <cell r="D18">
            <v>11969</v>
          </cell>
        </row>
        <row r="19">
          <cell r="D19">
            <v>11692</v>
          </cell>
          <cell r="F19">
            <v>-1408.8096</v>
          </cell>
        </row>
        <row r="20">
          <cell r="D20">
            <v>10943</v>
          </cell>
        </row>
        <row r="21">
          <cell r="D21">
            <v>7922</v>
          </cell>
        </row>
        <row r="22">
          <cell r="D22">
            <v>0</v>
          </cell>
        </row>
        <row r="23">
          <cell r="D23">
            <v>9426</v>
          </cell>
        </row>
        <row r="24">
          <cell r="D24">
            <v>43291</v>
          </cell>
          <cell r="F24">
            <v>-10200</v>
          </cell>
        </row>
        <row r="25">
          <cell r="D25">
            <v>0</v>
          </cell>
        </row>
        <row r="26">
          <cell r="D26">
            <v>274594</v>
          </cell>
        </row>
        <row r="27">
          <cell r="D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25135</v>
          </cell>
          <cell r="F29">
            <v>-25135</v>
          </cell>
        </row>
        <row r="30">
          <cell r="D30">
            <v>0</v>
          </cell>
          <cell r="F30">
            <v>0</v>
          </cell>
        </row>
        <row r="31">
          <cell r="D31">
            <v>30291</v>
          </cell>
        </row>
        <row r="32">
          <cell r="D32">
            <v>86105</v>
          </cell>
          <cell r="F32">
            <v>-25831.290715799514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</row>
        <row r="35">
          <cell r="D35">
            <v>25</v>
          </cell>
          <cell r="F35">
            <v>-25</v>
          </cell>
        </row>
        <row r="36">
          <cell r="D36">
            <v>0</v>
          </cell>
        </row>
        <row r="37">
          <cell r="D37">
            <v>0</v>
          </cell>
        </row>
        <row r="38">
          <cell r="D38">
            <v>300</v>
          </cell>
          <cell r="F38">
            <v>-300</v>
          </cell>
        </row>
        <row r="39">
          <cell r="D39">
            <v>2309</v>
          </cell>
        </row>
        <row r="40">
          <cell r="D40">
            <v>5564</v>
          </cell>
        </row>
        <row r="41">
          <cell r="D41">
            <v>10756</v>
          </cell>
        </row>
        <row r="42">
          <cell r="D42">
            <v>1787</v>
          </cell>
        </row>
        <row r="43">
          <cell r="D43">
            <v>4615</v>
          </cell>
        </row>
        <row r="44">
          <cell r="D44">
            <v>0</v>
          </cell>
        </row>
        <row r="45">
          <cell r="D45">
            <v>9624</v>
          </cell>
          <cell r="F45">
            <v>-3478.41</v>
          </cell>
        </row>
        <row r="57">
          <cell r="D57">
            <v>136000</v>
          </cell>
        </row>
        <row r="58">
          <cell r="D58">
            <v>172</v>
          </cell>
        </row>
        <row r="59">
          <cell r="D59">
            <v>0</v>
          </cell>
        </row>
        <row r="60">
          <cell r="D60">
            <v>22752</v>
          </cell>
        </row>
        <row r="61">
          <cell r="D61">
            <v>5905</v>
          </cell>
        </row>
        <row r="62">
          <cell r="D62">
            <v>1264</v>
          </cell>
        </row>
        <row r="63">
          <cell r="D63">
            <v>0</v>
          </cell>
        </row>
        <row r="64">
          <cell r="D64">
            <v>0</v>
          </cell>
        </row>
        <row r="65">
          <cell r="D65">
            <v>7682</v>
          </cell>
        </row>
        <row r="66">
          <cell r="D66">
            <v>5196</v>
          </cell>
        </row>
        <row r="67">
          <cell r="D67">
            <v>63424</v>
          </cell>
        </row>
        <row r="68">
          <cell r="D68">
            <v>0</v>
          </cell>
        </row>
        <row r="69">
          <cell r="D69">
            <v>9901</v>
          </cell>
        </row>
        <row r="70">
          <cell r="D70">
            <v>0</v>
          </cell>
        </row>
        <row r="71">
          <cell r="D71">
            <v>0</v>
          </cell>
        </row>
        <row r="75">
          <cell r="D75">
            <v>47732</v>
          </cell>
          <cell r="F75">
            <v>2793</v>
          </cell>
        </row>
        <row r="76">
          <cell r="D76">
            <v>0</v>
          </cell>
          <cell r="F76">
            <v>7241</v>
          </cell>
        </row>
        <row r="77">
          <cell r="D77">
            <v>4376</v>
          </cell>
        </row>
        <row r="78">
          <cell r="D78">
            <v>0</v>
          </cell>
        </row>
        <row r="79">
          <cell r="D79">
            <v>8650</v>
          </cell>
        </row>
        <row r="80">
          <cell r="D80">
            <v>15963</v>
          </cell>
        </row>
        <row r="81">
          <cell r="D81">
            <v>2372</v>
          </cell>
        </row>
        <row r="82">
          <cell r="D82">
            <v>296</v>
          </cell>
        </row>
        <row r="83">
          <cell r="D83">
            <v>0</v>
          </cell>
        </row>
        <row r="84">
          <cell r="D84">
            <v>49324</v>
          </cell>
        </row>
        <row r="85">
          <cell r="D85">
            <v>0</v>
          </cell>
        </row>
        <row r="89">
          <cell r="D89">
            <v>134514</v>
          </cell>
          <cell r="F89">
            <v>7870</v>
          </cell>
        </row>
        <row r="90">
          <cell r="D90">
            <v>0</v>
          </cell>
          <cell r="F90">
            <v>20405</v>
          </cell>
        </row>
        <row r="91">
          <cell r="D91">
            <v>7706</v>
          </cell>
        </row>
        <row r="92">
          <cell r="D92">
            <v>119632</v>
          </cell>
        </row>
        <row r="93">
          <cell r="D93">
            <v>8043</v>
          </cell>
        </row>
        <row r="94">
          <cell r="D94">
            <v>0</v>
          </cell>
        </row>
        <row r="98">
          <cell r="D98">
            <v>18348</v>
          </cell>
          <cell r="F98">
            <v>1073</v>
          </cell>
        </row>
        <row r="99">
          <cell r="D99">
            <v>0</v>
          </cell>
          <cell r="F99">
            <v>2783</v>
          </cell>
        </row>
        <row r="100">
          <cell r="D100">
            <v>3724</v>
          </cell>
        </row>
        <row r="101">
          <cell r="D101">
            <v>1852</v>
          </cell>
        </row>
        <row r="102">
          <cell r="D102">
            <v>2629</v>
          </cell>
        </row>
        <row r="103">
          <cell r="D103">
            <v>132</v>
          </cell>
        </row>
        <row r="115">
          <cell r="D115">
            <v>73858</v>
          </cell>
          <cell r="F115">
            <v>4321</v>
          </cell>
        </row>
        <row r="116">
          <cell r="D116">
            <v>0</v>
          </cell>
          <cell r="F116">
            <v>11203</v>
          </cell>
        </row>
        <row r="117">
          <cell r="D117">
            <v>14123</v>
          </cell>
        </row>
        <row r="118">
          <cell r="D118">
            <v>380</v>
          </cell>
        </row>
        <row r="119">
          <cell r="D119">
            <v>0</v>
          </cell>
        </row>
        <row r="124">
          <cell r="D124">
            <v>0</v>
          </cell>
        </row>
        <row r="125">
          <cell r="D125">
            <v>148107</v>
          </cell>
          <cell r="F125">
            <v>8665</v>
          </cell>
        </row>
        <row r="126">
          <cell r="D126">
            <v>54961</v>
          </cell>
          <cell r="F126">
            <v>3215</v>
          </cell>
        </row>
        <row r="127">
          <cell r="D127">
            <v>0</v>
          </cell>
          <cell r="F127">
            <v>0</v>
          </cell>
        </row>
        <row r="128">
          <cell r="D128">
            <v>33995</v>
          </cell>
          <cell r="F128">
            <v>1989</v>
          </cell>
        </row>
        <row r="130">
          <cell r="D130">
            <v>0</v>
          </cell>
        </row>
        <row r="131">
          <cell r="D131">
            <v>0</v>
          </cell>
          <cell r="F131">
            <v>22466</v>
          </cell>
        </row>
        <row r="132">
          <cell r="D132">
            <v>0</v>
          </cell>
          <cell r="F132">
            <v>8337</v>
          </cell>
        </row>
        <row r="133">
          <cell r="D133">
            <v>0</v>
          </cell>
        </row>
        <row r="134">
          <cell r="D134">
            <v>0</v>
          </cell>
          <cell r="F134">
            <v>5157</v>
          </cell>
        </row>
        <row r="136">
          <cell r="D136">
            <v>233559</v>
          </cell>
          <cell r="F136">
            <v>13664</v>
          </cell>
        </row>
        <row r="137">
          <cell r="D137">
            <v>220722</v>
          </cell>
          <cell r="F137">
            <v>12913</v>
          </cell>
        </row>
        <row r="138">
          <cell r="D138">
            <v>399619</v>
          </cell>
          <cell r="F138">
            <v>23380</v>
          </cell>
        </row>
        <row r="139">
          <cell r="D139">
            <v>52833</v>
          </cell>
          <cell r="F139">
            <v>3091</v>
          </cell>
        </row>
        <row r="141">
          <cell r="D141">
            <v>0</v>
          </cell>
          <cell r="F141">
            <v>35428</v>
          </cell>
        </row>
        <row r="142">
          <cell r="D142">
            <v>0</v>
          </cell>
          <cell r="F142">
            <v>33481</v>
          </cell>
        </row>
        <row r="143">
          <cell r="D143">
            <v>0</v>
          </cell>
          <cell r="F143">
            <v>60618</v>
          </cell>
        </row>
        <row r="144">
          <cell r="D144">
            <v>0</v>
          </cell>
          <cell r="F144">
            <v>8014</v>
          </cell>
        </row>
        <row r="146">
          <cell r="D146">
            <v>18000</v>
          </cell>
        </row>
        <row r="147">
          <cell r="D147">
            <v>0</v>
          </cell>
        </row>
        <row r="148">
          <cell r="D148">
            <v>0</v>
          </cell>
        </row>
        <row r="149">
          <cell r="D149">
            <v>0</v>
          </cell>
        </row>
        <row r="150">
          <cell r="D150">
            <v>10230</v>
          </cell>
        </row>
        <row r="151">
          <cell r="D151">
            <v>70767</v>
          </cell>
        </row>
        <row r="152">
          <cell r="D152">
            <v>2624</v>
          </cell>
        </row>
        <row r="153">
          <cell r="D153">
            <v>0</v>
          </cell>
        </row>
        <row r="154">
          <cell r="D154">
            <v>0</v>
          </cell>
        </row>
        <row r="156">
          <cell r="D156">
            <v>0</v>
          </cell>
        </row>
        <row r="157">
          <cell r="D157">
            <v>0</v>
          </cell>
        </row>
        <row r="158">
          <cell r="D158">
            <v>0</v>
          </cell>
        </row>
        <row r="159">
          <cell r="D159">
            <v>0</v>
          </cell>
        </row>
        <row r="161">
          <cell r="D161">
            <v>600</v>
          </cell>
        </row>
        <row r="175">
          <cell r="D175">
            <v>0</v>
          </cell>
        </row>
        <row r="176">
          <cell r="D176">
            <v>0</v>
          </cell>
        </row>
        <row r="177">
          <cell r="D177">
            <v>86712</v>
          </cell>
          <cell r="F177">
            <v>5073</v>
          </cell>
        </row>
        <row r="178">
          <cell r="D178">
            <v>0</v>
          </cell>
          <cell r="F178">
            <v>13153</v>
          </cell>
        </row>
        <row r="179">
          <cell r="D179">
            <v>19307</v>
          </cell>
          <cell r="F179">
            <v>1130</v>
          </cell>
        </row>
        <row r="180">
          <cell r="D180">
            <v>0</v>
          </cell>
          <cell r="F180">
            <v>2928</v>
          </cell>
        </row>
        <row r="181">
          <cell r="D181">
            <v>0</v>
          </cell>
        </row>
        <row r="182">
          <cell r="D182">
            <v>0</v>
          </cell>
        </row>
        <row r="183">
          <cell r="D183">
            <v>104197</v>
          </cell>
          <cell r="F183">
            <v>6096</v>
          </cell>
        </row>
        <row r="184">
          <cell r="D184">
            <v>0</v>
          </cell>
          <cell r="F184">
            <v>15806</v>
          </cell>
        </row>
        <row r="185">
          <cell r="D185">
            <v>0</v>
          </cell>
        </row>
        <row r="186">
          <cell r="D186">
            <v>0</v>
          </cell>
        </row>
        <row r="187">
          <cell r="D187">
            <v>0</v>
          </cell>
        </row>
        <row r="188">
          <cell r="D188">
            <v>176</v>
          </cell>
        </row>
        <row r="189">
          <cell r="D189">
            <v>0</v>
          </cell>
        </row>
        <row r="190">
          <cell r="D190">
            <v>0</v>
          </cell>
        </row>
        <row r="191">
          <cell r="D191">
            <v>0</v>
          </cell>
        </row>
        <row r="192">
          <cell r="D192">
            <v>0</v>
          </cell>
        </row>
        <row r="193">
          <cell r="D193">
            <v>0</v>
          </cell>
        </row>
        <row r="194">
          <cell r="D194">
            <v>0</v>
          </cell>
        </row>
        <row r="195">
          <cell r="D195">
            <v>939</v>
          </cell>
        </row>
        <row r="196">
          <cell r="D196">
            <v>0</v>
          </cell>
        </row>
        <row r="197">
          <cell r="D197">
            <v>0</v>
          </cell>
        </row>
        <row r="198">
          <cell r="D198">
            <v>13348</v>
          </cell>
        </row>
        <row r="199">
          <cell r="D199">
            <v>0</v>
          </cell>
        </row>
        <row r="200">
          <cell r="D200">
            <v>0</v>
          </cell>
        </row>
        <row r="201">
          <cell r="D201">
            <v>0</v>
          </cell>
        </row>
        <row r="202">
          <cell r="D202">
            <v>0</v>
          </cell>
        </row>
        <row r="203">
          <cell r="D203">
            <v>0</v>
          </cell>
        </row>
        <row r="204">
          <cell r="D204">
            <v>0</v>
          </cell>
        </row>
        <row r="205">
          <cell r="D205">
            <v>74666</v>
          </cell>
        </row>
        <row r="206">
          <cell r="D206">
            <v>0</v>
          </cell>
        </row>
        <row r="207">
          <cell r="D207">
            <v>10933</v>
          </cell>
        </row>
        <row r="211">
          <cell r="D211">
            <v>103608</v>
          </cell>
          <cell r="F211">
            <v>6062</v>
          </cell>
        </row>
        <row r="212">
          <cell r="D212">
            <v>0</v>
          </cell>
          <cell r="F212">
            <v>15717</v>
          </cell>
        </row>
        <row r="213">
          <cell r="D213">
            <v>15901</v>
          </cell>
        </row>
        <row r="214">
          <cell r="D214">
            <v>0</v>
          </cell>
        </row>
        <row r="215">
          <cell r="D215">
            <v>0</v>
          </cell>
        </row>
        <row r="216">
          <cell r="D216">
            <v>1940</v>
          </cell>
        </row>
        <row r="221">
          <cell r="D221">
            <v>3916765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>
        <row r="9">
          <cell r="C9">
            <v>16036</v>
          </cell>
          <cell r="E9">
            <v>1169</v>
          </cell>
          <cell r="F9">
            <v>1164</v>
          </cell>
          <cell r="H9">
            <v>681</v>
          </cell>
          <cell r="J9">
            <v>1235</v>
          </cell>
        </row>
        <row r="22">
          <cell r="N22">
            <v>99</v>
          </cell>
        </row>
        <row r="24">
          <cell r="N24">
            <v>99</v>
          </cell>
        </row>
        <row r="28">
          <cell r="N28">
            <v>36135</v>
          </cell>
        </row>
        <row r="30">
          <cell r="N30">
            <v>0.56136709561367093</v>
          </cell>
        </row>
        <row r="32">
          <cell r="N32">
            <v>0.44378026843780266</v>
          </cell>
        </row>
        <row r="34">
          <cell r="N34">
            <v>0.79053487798866162</v>
          </cell>
        </row>
      </sheetData>
      <sheetData sheetId="1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E10">
            <v>815309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914908</v>
          </cell>
          <cell r="G21">
            <v>0</v>
          </cell>
        </row>
        <row r="27">
          <cell r="E27">
            <v>93743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261362</v>
          </cell>
          <cell r="G37">
            <v>0</v>
          </cell>
        </row>
        <row r="42">
          <cell r="E42">
            <v>57329</v>
          </cell>
          <cell r="G42">
            <v>0</v>
          </cell>
        </row>
        <row r="47">
          <cell r="E47">
            <v>5375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9170</v>
          </cell>
          <cell r="G67">
            <v>-3296</v>
          </cell>
        </row>
        <row r="85">
          <cell r="C85">
            <v>140.28346456692913</v>
          </cell>
          <cell r="E85">
            <v>139.21739130434781</v>
          </cell>
        </row>
      </sheetData>
      <sheetData sheetId="6" refreshError="1"/>
      <sheetData sheetId="7">
        <row r="10">
          <cell r="D10">
            <v>93280</v>
          </cell>
        </row>
        <row r="12">
          <cell r="D12">
            <v>36348</v>
          </cell>
        </row>
        <row r="13">
          <cell r="D13">
            <v>31882</v>
          </cell>
        </row>
        <row r="14">
          <cell r="D14">
            <v>0</v>
          </cell>
        </row>
        <row r="15">
          <cell r="D15">
            <v>92831</v>
          </cell>
          <cell r="F15">
            <v>-92831</v>
          </cell>
        </row>
        <row r="16">
          <cell r="F16">
            <v>221110</v>
          </cell>
        </row>
        <row r="17">
          <cell r="D17">
            <v>2167</v>
          </cell>
        </row>
        <row r="18">
          <cell r="D18">
            <v>14435</v>
          </cell>
        </row>
        <row r="19">
          <cell r="D19">
            <v>3276</v>
          </cell>
        </row>
        <row r="20">
          <cell r="D20">
            <v>7863</v>
          </cell>
        </row>
        <row r="21">
          <cell r="D21">
            <v>10480</v>
          </cell>
          <cell r="F21">
            <v>36047</v>
          </cell>
        </row>
        <row r="22">
          <cell r="D22">
            <v>0</v>
          </cell>
        </row>
        <row r="23">
          <cell r="D23">
            <v>11910</v>
          </cell>
        </row>
        <row r="24">
          <cell r="D24">
            <v>21942</v>
          </cell>
        </row>
        <row r="26">
          <cell r="D26">
            <v>108247</v>
          </cell>
        </row>
        <row r="27">
          <cell r="D27">
            <v>2416</v>
          </cell>
          <cell r="F27">
            <v>4269</v>
          </cell>
        </row>
        <row r="28">
          <cell r="D28">
            <v>0</v>
          </cell>
          <cell r="F28">
            <v>0</v>
          </cell>
        </row>
        <row r="29">
          <cell r="D29">
            <v>41969</v>
          </cell>
          <cell r="F29">
            <v>-41969</v>
          </cell>
        </row>
        <row r="30">
          <cell r="D30">
            <v>621</v>
          </cell>
          <cell r="F30">
            <v>-621</v>
          </cell>
        </row>
        <row r="32">
          <cell r="D32">
            <v>3632</v>
          </cell>
        </row>
        <row r="33">
          <cell r="F33">
            <v>0</v>
          </cell>
        </row>
        <row r="35">
          <cell r="D35">
            <v>1560</v>
          </cell>
          <cell r="F35">
            <v>-1560</v>
          </cell>
        </row>
        <row r="39">
          <cell r="D39">
            <v>7169</v>
          </cell>
          <cell r="F39">
            <v>133</v>
          </cell>
        </row>
        <row r="40">
          <cell r="D40">
            <v>7088</v>
          </cell>
          <cell r="F40">
            <v>-7088</v>
          </cell>
        </row>
        <row r="41">
          <cell r="D41">
            <v>6655</v>
          </cell>
        </row>
        <row r="42">
          <cell r="D42">
            <v>1921</v>
          </cell>
        </row>
        <row r="44">
          <cell r="D44">
            <v>3103</v>
          </cell>
          <cell r="F44">
            <v>-2651</v>
          </cell>
        </row>
        <row r="45">
          <cell r="D45">
            <v>2295</v>
          </cell>
          <cell r="F45">
            <v>-25</v>
          </cell>
        </row>
        <row r="57">
          <cell r="D57">
            <v>99925</v>
          </cell>
          <cell r="F57">
            <v>-99925</v>
          </cell>
        </row>
        <row r="58">
          <cell r="D58">
            <v>22199</v>
          </cell>
          <cell r="F58">
            <v>17646</v>
          </cell>
        </row>
        <row r="59">
          <cell r="D59">
            <v>0</v>
          </cell>
          <cell r="F59">
            <v>53717</v>
          </cell>
        </row>
        <row r="60">
          <cell r="D60">
            <v>4178</v>
          </cell>
        </row>
        <row r="61">
          <cell r="D61">
            <v>5890</v>
          </cell>
          <cell r="F61">
            <v>3</v>
          </cell>
        </row>
        <row r="62">
          <cell r="D62">
            <v>758</v>
          </cell>
          <cell r="F62">
            <v>-460</v>
          </cell>
        </row>
        <row r="67">
          <cell r="D67">
            <v>23546</v>
          </cell>
          <cell r="F67">
            <v>51997</v>
          </cell>
        </row>
        <row r="75">
          <cell r="D75">
            <v>22466</v>
          </cell>
        </row>
        <row r="76">
          <cell r="D76">
            <v>5899</v>
          </cell>
        </row>
        <row r="77">
          <cell r="D77">
            <v>7351</v>
          </cell>
        </row>
        <row r="78">
          <cell r="D78">
            <v>6523</v>
          </cell>
          <cell r="F78">
            <v>1266</v>
          </cell>
        </row>
        <row r="79">
          <cell r="D79">
            <v>14769</v>
          </cell>
        </row>
        <row r="80">
          <cell r="D80">
            <v>12792</v>
          </cell>
        </row>
        <row r="81">
          <cell r="D81">
            <v>4148</v>
          </cell>
        </row>
        <row r="84">
          <cell r="D84">
            <v>48210</v>
          </cell>
          <cell r="F84">
            <v>59</v>
          </cell>
        </row>
        <row r="89">
          <cell r="D89">
            <v>68410</v>
          </cell>
        </row>
        <row r="90">
          <cell r="D90">
            <v>18187</v>
          </cell>
        </row>
        <row r="91">
          <cell r="D91">
            <v>8938</v>
          </cell>
        </row>
        <row r="92">
          <cell r="D92">
            <v>61268</v>
          </cell>
          <cell r="F92">
            <v>-620</v>
          </cell>
        </row>
        <row r="93">
          <cell r="D93">
            <v>1910</v>
          </cell>
        </row>
        <row r="94">
          <cell r="D94">
            <v>2984</v>
          </cell>
        </row>
        <row r="100">
          <cell r="D100">
            <v>2738</v>
          </cell>
        </row>
        <row r="101">
          <cell r="D101">
            <v>129</v>
          </cell>
        </row>
        <row r="102">
          <cell r="D102">
            <v>747</v>
          </cell>
        </row>
        <row r="115">
          <cell r="D115">
            <v>30768</v>
          </cell>
        </row>
        <row r="116">
          <cell r="D116">
            <v>7376</v>
          </cell>
        </row>
        <row r="117">
          <cell r="D117">
            <v>5465</v>
          </cell>
        </row>
        <row r="118">
          <cell r="D118">
            <v>125</v>
          </cell>
        </row>
        <row r="124">
          <cell r="D124">
            <v>41513</v>
          </cell>
        </row>
        <row r="125">
          <cell r="D125">
            <v>30044</v>
          </cell>
        </row>
        <row r="128">
          <cell r="D128">
            <v>18433</v>
          </cell>
        </row>
        <row r="130">
          <cell r="D130">
            <v>10930</v>
          </cell>
        </row>
        <row r="131">
          <cell r="D131">
            <v>7904</v>
          </cell>
        </row>
        <row r="134">
          <cell r="D134">
            <v>4107</v>
          </cell>
        </row>
        <row r="136">
          <cell r="D136">
            <v>126192</v>
          </cell>
        </row>
        <row r="137">
          <cell r="D137">
            <v>87218</v>
          </cell>
        </row>
        <row r="138">
          <cell r="D138">
            <v>120186</v>
          </cell>
        </row>
        <row r="139">
          <cell r="D139">
            <v>50878</v>
          </cell>
        </row>
        <row r="141">
          <cell r="D141">
            <v>33219</v>
          </cell>
        </row>
        <row r="142">
          <cell r="D142">
            <v>22939</v>
          </cell>
        </row>
        <row r="143">
          <cell r="D143">
            <v>31616</v>
          </cell>
        </row>
        <row r="144">
          <cell r="D144">
            <v>13437</v>
          </cell>
        </row>
        <row r="146">
          <cell r="D146">
            <v>7500</v>
          </cell>
        </row>
        <row r="150">
          <cell r="D150">
            <v>276</v>
          </cell>
        </row>
        <row r="151">
          <cell r="D151">
            <v>52033</v>
          </cell>
        </row>
        <row r="152">
          <cell r="D152">
            <v>712</v>
          </cell>
        </row>
        <row r="158">
          <cell r="D158">
            <v>0</v>
          </cell>
        </row>
        <row r="160">
          <cell r="D160">
            <v>288</v>
          </cell>
        </row>
        <row r="161">
          <cell r="D161">
            <v>576</v>
          </cell>
        </row>
        <row r="177">
          <cell r="D177">
            <v>130846</v>
          </cell>
        </row>
        <row r="178">
          <cell r="D178">
            <v>33238</v>
          </cell>
        </row>
        <row r="183">
          <cell r="D183">
            <v>34756</v>
          </cell>
        </row>
        <row r="184">
          <cell r="D184">
            <v>3802</v>
          </cell>
        </row>
        <row r="188">
          <cell r="D188">
            <v>1131</v>
          </cell>
        </row>
        <row r="192">
          <cell r="D192">
            <v>2508</v>
          </cell>
        </row>
        <row r="194">
          <cell r="D194">
            <v>3853</v>
          </cell>
        </row>
        <row r="195">
          <cell r="D195">
            <v>738</v>
          </cell>
        </row>
        <row r="198">
          <cell r="D198">
            <v>10216</v>
          </cell>
        </row>
        <row r="203">
          <cell r="D203">
            <v>11236</v>
          </cell>
        </row>
        <row r="205">
          <cell r="D205">
            <v>53933</v>
          </cell>
        </row>
        <row r="206">
          <cell r="D206">
            <v>3619</v>
          </cell>
        </row>
        <row r="207">
          <cell r="D207">
            <v>5666</v>
          </cell>
        </row>
        <row r="211">
          <cell r="D211">
            <v>48314</v>
          </cell>
        </row>
        <row r="212">
          <cell r="D212">
            <v>12116</v>
          </cell>
        </row>
        <row r="213">
          <cell r="D213">
            <v>7857</v>
          </cell>
        </row>
        <row r="216">
          <cell r="D216">
            <v>4643</v>
          </cell>
        </row>
        <row r="221">
          <cell r="D221">
            <v>2029262</v>
          </cell>
        </row>
      </sheetData>
      <sheetData sheetId="8" refreshError="1"/>
      <sheetData sheetId="9" refreshError="1"/>
      <sheetData sheetId="10">
        <row r="9">
          <cell r="C9">
            <v>4791</v>
          </cell>
          <cell r="E9">
            <v>1707</v>
          </cell>
          <cell r="F9">
            <v>220</v>
          </cell>
          <cell r="H9">
            <v>1867</v>
          </cell>
          <cell r="I9">
            <v>335</v>
          </cell>
          <cell r="J9">
            <v>39</v>
          </cell>
        </row>
      </sheetData>
      <sheetData sheetId="11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85">
          <cell r="G85">
            <v>141.91951219512194</v>
          </cell>
          <cell r="I85">
            <v>142.85667215815485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Explanation of Misc Rev."/>
      <sheetName val="Sch C"/>
      <sheetName val="Sch C-1"/>
      <sheetName val="FCP Adjustments"/>
      <sheetName val="Sch C-2"/>
      <sheetName val="Sch D"/>
      <sheetName val="Summary"/>
      <sheetName val="Trial Bal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E10">
            <v>1446688.78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1806892.3499999999</v>
          </cell>
          <cell r="G21">
            <v>0</v>
          </cell>
        </row>
        <row r="27">
          <cell r="E27">
            <v>801658.81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420666.5199999999</v>
          </cell>
          <cell r="G37">
            <v>0</v>
          </cell>
        </row>
        <row r="42">
          <cell r="E42">
            <v>142360.51999999999</v>
          </cell>
          <cell r="G42">
            <v>0</v>
          </cell>
        </row>
        <row r="47">
          <cell r="E47">
            <v>6185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-40844.54</v>
          </cell>
          <cell r="G67">
            <v>0</v>
          </cell>
        </row>
        <row r="85">
          <cell r="C85">
            <v>184.47283048211509</v>
          </cell>
          <cell r="E85">
            <v>-80.255873850197091</v>
          </cell>
          <cell r="G85">
            <v>127.01725099601596</v>
          </cell>
          <cell r="I85">
            <v>327.39439412484694</v>
          </cell>
        </row>
      </sheetData>
      <sheetData sheetId="6" refreshError="1"/>
      <sheetData sheetId="7" refreshError="1"/>
      <sheetData sheetId="8">
        <row r="10">
          <cell r="D10">
            <v>68362.75</v>
          </cell>
        </row>
        <row r="12">
          <cell r="D12">
            <v>108969.32</v>
          </cell>
        </row>
        <row r="13">
          <cell r="D13">
            <v>253021.58</v>
          </cell>
          <cell r="F13">
            <v>-231495</v>
          </cell>
        </row>
        <row r="15">
          <cell r="D15">
            <v>120000</v>
          </cell>
          <cell r="F15">
            <v>-120000</v>
          </cell>
        </row>
        <row r="16">
          <cell r="F16">
            <v>120630</v>
          </cell>
        </row>
        <row r="17">
          <cell r="D17">
            <v>2752.9</v>
          </cell>
          <cell r="F17">
            <v>-2753</v>
          </cell>
        </row>
        <row r="18">
          <cell r="D18">
            <v>29023.200000000001</v>
          </cell>
        </row>
        <row r="19">
          <cell r="D19">
            <v>6658.98</v>
          </cell>
        </row>
        <row r="20">
          <cell r="D20">
            <v>12243.76</v>
          </cell>
        </row>
        <row r="21">
          <cell r="D21">
            <v>27190.240000000002</v>
          </cell>
          <cell r="F21">
            <v>5325</v>
          </cell>
        </row>
        <row r="23">
          <cell r="D23">
            <v>4061.43</v>
          </cell>
        </row>
        <row r="24">
          <cell r="D24">
            <v>39292.69</v>
          </cell>
        </row>
        <row r="26">
          <cell r="D26">
            <v>200168.4</v>
          </cell>
        </row>
        <row r="27">
          <cell r="D27">
            <v>601.38</v>
          </cell>
        </row>
        <row r="28">
          <cell r="F28">
            <v>0</v>
          </cell>
        </row>
        <row r="29">
          <cell r="D29">
            <v>17179.400000000001</v>
          </cell>
          <cell r="F29">
            <v>-17179.400000000001</v>
          </cell>
        </row>
        <row r="30">
          <cell r="F30">
            <v>0</v>
          </cell>
        </row>
        <row r="31">
          <cell r="D31">
            <v>61235.19</v>
          </cell>
        </row>
        <row r="33">
          <cell r="D33">
            <v>2400</v>
          </cell>
          <cell r="F33">
            <v>-2400</v>
          </cell>
        </row>
        <row r="35">
          <cell r="F35">
            <v>0</v>
          </cell>
        </row>
        <row r="36">
          <cell r="D36">
            <v>28630.19</v>
          </cell>
        </row>
        <row r="37">
          <cell r="F37">
            <v>3475.5035739838704</v>
          </cell>
        </row>
        <row r="39">
          <cell r="D39">
            <v>3762.14</v>
          </cell>
        </row>
        <row r="40">
          <cell r="D40">
            <v>5732.05</v>
          </cell>
          <cell r="F40">
            <v>-5732</v>
          </cell>
        </row>
        <row r="42">
          <cell r="D42">
            <v>4898.13</v>
          </cell>
        </row>
        <row r="43">
          <cell r="D43">
            <v>8680.98</v>
          </cell>
        </row>
        <row r="44">
          <cell r="D44">
            <v>640</v>
          </cell>
        </row>
        <row r="45">
          <cell r="D45">
            <v>10827.43</v>
          </cell>
          <cell r="F45">
            <v>-10827</v>
          </cell>
        </row>
        <row r="57">
          <cell r="D57">
            <v>580138.09</v>
          </cell>
          <cell r="F57">
            <v>-580138</v>
          </cell>
        </row>
        <row r="58">
          <cell r="F58">
            <v>222961</v>
          </cell>
        </row>
        <row r="59">
          <cell r="F59">
            <v>370464</v>
          </cell>
        </row>
        <row r="60">
          <cell r="D60">
            <v>-3759.9</v>
          </cell>
          <cell r="F60">
            <v>29686</v>
          </cell>
        </row>
        <row r="61">
          <cell r="D61">
            <v>100</v>
          </cell>
          <cell r="F61">
            <v>26817</v>
          </cell>
        </row>
        <row r="62">
          <cell r="D62">
            <v>6774.37</v>
          </cell>
        </row>
        <row r="63">
          <cell r="D63">
            <v>-3790.06</v>
          </cell>
        </row>
        <row r="65">
          <cell r="D65">
            <v>10361</v>
          </cell>
        </row>
        <row r="66">
          <cell r="D66">
            <v>14678.84</v>
          </cell>
        </row>
        <row r="67">
          <cell r="D67">
            <v>145126.63</v>
          </cell>
        </row>
        <row r="69">
          <cell r="D69">
            <v>4185.7299999999996</v>
          </cell>
        </row>
        <row r="75">
          <cell r="D75">
            <v>33109.14</v>
          </cell>
        </row>
        <row r="76">
          <cell r="F76">
            <v>4019.216582269707</v>
          </cell>
        </row>
        <row r="77">
          <cell r="D77">
            <v>22969.8</v>
          </cell>
        </row>
        <row r="78">
          <cell r="D78">
            <v>924</v>
          </cell>
        </row>
        <row r="79">
          <cell r="D79">
            <v>2465.19</v>
          </cell>
        </row>
        <row r="80">
          <cell r="D80">
            <v>15982.67</v>
          </cell>
        </row>
        <row r="81">
          <cell r="D81">
            <v>23791.31</v>
          </cell>
        </row>
        <row r="82">
          <cell r="D82">
            <v>-9489.3799999999992</v>
          </cell>
        </row>
        <row r="83">
          <cell r="D83">
            <v>12153.21</v>
          </cell>
        </row>
        <row r="84">
          <cell r="D84">
            <v>76043.710000000006</v>
          </cell>
        </row>
        <row r="89">
          <cell r="D89">
            <v>129880.23</v>
          </cell>
        </row>
        <row r="90">
          <cell r="F90">
            <v>15766.545857881039</v>
          </cell>
        </row>
        <row r="91">
          <cell r="D91">
            <v>12448.75</v>
          </cell>
        </row>
        <row r="92">
          <cell r="D92">
            <v>119837.42</v>
          </cell>
        </row>
        <row r="93">
          <cell r="D93">
            <v>10361.31</v>
          </cell>
        </row>
        <row r="101">
          <cell r="D101">
            <v>2354.1799999999998</v>
          </cell>
        </row>
        <row r="102">
          <cell r="D102">
            <v>2944.99</v>
          </cell>
        </row>
        <row r="115">
          <cell r="D115">
            <v>136072.56</v>
          </cell>
        </row>
        <row r="116">
          <cell r="F116">
            <v>16518.251139832973</v>
          </cell>
        </row>
        <row r="117">
          <cell r="D117">
            <v>37380.36</v>
          </cell>
        </row>
        <row r="125">
          <cell r="D125">
            <v>68630.98</v>
          </cell>
        </row>
        <row r="127">
          <cell r="D127">
            <v>35789.5</v>
          </cell>
        </row>
        <row r="131">
          <cell r="F131">
            <v>8331.3179645687142</v>
          </cell>
        </row>
        <row r="133">
          <cell r="F133">
            <v>4344.5934225758101</v>
          </cell>
        </row>
        <row r="136">
          <cell r="D136">
            <v>425358.26</v>
          </cell>
        </row>
        <row r="137">
          <cell r="D137">
            <v>287150.28999999998</v>
          </cell>
        </row>
        <row r="138">
          <cell r="D138">
            <v>489036.32</v>
          </cell>
        </row>
        <row r="141">
          <cell r="F141">
            <v>51635.499200444028</v>
          </cell>
        </row>
        <row r="142">
          <cell r="F142">
            <v>34858.024315085051</v>
          </cell>
        </row>
        <row r="143">
          <cell r="F143">
            <v>59365.567534407557</v>
          </cell>
        </row>
        <row r="146">
          <cell r="D146">
            <v>28800</v>
          </cell>
        </row>
        <row r="150">
          <cell r="D150">
            <v>1543.12</v>
          </cell>
        </row>
        <row r="151">
          <cell r="D151">
            <v>102247.97</v>
          </cell>
        </row>
        <row r="152">
          <cell r="D152">
            <v>266.07</v>
          </cell>
        </row>
        <row r="153">
          <cell r="D153">
            <v>600.41999999999996</v>
          </cell>
        </row>
        <row r="177">
          <cell r="D177">
            <v>200658.95</v>
          </cell>
        </row>
        <row r="178">
          <cell r="F178">
            <v>24358.584343200335</v>
          </cell>
        </row>
        <row r="188">
          <cell r="D188">
            <v>17394.009999999998</v>
          </cell>
        </row>
        <row r="193">
          <cell r="D193">
            <v>10528.3</v>
          </cell>
        </row>
        <row r="194">
          <cell r="D194">
            <v>210165.62</v>
          </cell>
        </row>
        <row r="195">
          <cell r="D195">
            <v>3137.5</v>
          </cell>
        </row>
        <row r="197">
          <cell r="D197">
            <v>76818.41</v>
          </cell>
        </row>
        <row r="198">
          <cell r="D198">
            <v>21896.81</v>
          </cell>
        </row>
        <row r="205">
          <cell r="D205">
            <v>272789.62</v>
          </cell>
        </row>
        <row r="206">
          <cell r="D206">
            <v>1328.77</v>
          </cell>
        </row>
        <row r="207">
          <cell r="D207">
            <v>12662.93</v>
          </cell>
          <cell r="F207">
            <v>-12663</v>
          </cell>
        </row>
        <row r="211">
          <cell r="D211">
            <v>72669.87</v>
          </cell>
        </row>
        <row r="212">
          <cell r="F212">
            <v>8821.6107858852229</v>
          </cell>
        </row>
        <row r="213">
          <cell r="D213">
            <v>23324.07</v>
          </cell>
        </row>
        <row r="221">
          <cell r="D221">
            <v>4762174.08</v>
          </cell>
        </row>
      </sheetData>
      <sheetData sheetId="9" refreshError="1"/>
      <sheetData sheetId="10" refreshError="1"/>
      <sheetData sheetId="11" refreshError="1"/>
      <sheetData sheetId="12">
        <row r="9">
          <cell r="C9">
            <v>8922</v>
          </cell>
          <cell r="E9">
            <v>3694</v>
          </cell>
          <cell r="F9">
            <v>2058</v>
          </cell>
          <cell r="H9">
            <v>2974</v>
          </cell>
          <cell r="I9">
            <v>788</v>
          </cell>
          <cell r="J9">
            <v>50</v>
          </cell>
        </row>
        <row r="22">
          <cell r="N22">
            <v>76</v>
          </cell>
        </row>
        <row r="24">
          <cell r="N24">
            <v>76</v>
          </cell>
        </row>
        <row r="28">
          <cell r="N28">
            <v>27740</v>
          </cell>
        </row>
        <row r="30">
          <cell r="N30">
            <v>0.66640230713770732</v>
          </cell>
        </row>
        <row r="32">
          <cell r="N32">
            <v>0.32162941600576783</v>
          </cell>
        </row>
        <row r="34">
          <cell r="N34">
            <v>0.48263550795196358</v>
          </cell>
        </row>
      </sheetData>
      <sheetData sheetId="13" refreshError="1"/>
      <sheetData sheetId="1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989067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0</v>
          </cell>
          <cell r="G21">
            <v>0</v>
          </cell>
        </row>
        <row r="27">
          <cell r="E27">
            <v>0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33910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20842</v>
          </cell>
          <cell r="G67">
            <v>-20842</v>
          </cell>
        </row>
        <row r="85">
          <cell r="C85" t="str">
            <v/>
          </cell>
          <cell r="E85" t="str">
            <v/>
          </cell>
          <cell r="G85">
            <v>177.125</v>
          </cell>
          <cell r="I85">
            <v>185</v>
          </cell>
        </row>
      </sheetData>
      <sheetData sheetId="6"/>
      <sheetData sheetId="7">
        <row r="10">
          <cell r="D10">
            <v>44822</v>
          </cell>
        </row>
        <row r="12">
          <cell r="D12">
            <v>26289</v>
          </cell>
        </row>
        <row r="13">
          <cell r="D13">
            <v>4012</v>
          </cell>
        </row>
        <row r="17">
          <cell r="D17">
            <v>818</v>
          </cell>
          <cell r="F17">
            <v>-818</v>
          </cell>
        </row>
        <row r="18">
          <cell r="D18">
            <v>2118</v>
          </cell>
        </row>
        <row r="19">
          <cell r="D19">
            <v>13524</v>
          </cell>
        </row>
        <row r="20">
          <cell r="D20">
            <v>5856</v>
          </cell>
        </row>
        <row r="21">
          <cell r="D21">
            <v>5085</v>
          </cell>
        </row>
        <row r="23">
          <cell r="D23">
            <v>2106</v>
          </cell>
        </row>
        <row r="26">
          <cell r="D26">
            <v>92675</v>
          </cell>
        </row>
        <row r="28">
          <cell r="F28">
            <v>0</v>
          </cell>
        </row>
        <row r="29">
          <cell r="F29">
            <v>0</v>
          </cell>
        </row>
        <row r="30">
          <cell r="F30">
            <v>0</v>
          </cell>
        </row>
        <row r="31">
          <cell r="D31">
            <v>9371</v>
          </cell>
        </row>
        <row r="32">
          <cell r="D32">
            <v>13779</v>
          </cell>
        </row>
        <row r="33">
          <cell r="F33">
            <v>0</v>
          </cell>
        </row>
        <row r="35">
          <cell r="F35">
            <v>0</v>
          </cell>
        </row>
        <row r="39">
          <cell r="D39">
            <v>415</v>
          </cell>
        </row>
        <row r="41">
          <cell r="D41">
            <v>24857</v>
          </cell>
        </row>
        <row r="42">
          <cell r="D42">
            <v>375</v>
          </cell>
        </row>
        <row r="43">
          <cell r="D43">
            <v>944</v>
          </cell>
          <cell r="F43">
            <v>-944</v>
          </cell>
        </row>
        <row r="45">
          <cell r="D45">
            <v>3150</v>
          </cell>
        </row>
        <row r="57">
          <cell r="D57">
            <v>35226</v>
          </cell>
        </row>
        <row r="75">
          <cell r="D75">
            <v>9416</v>
          </cell>
        </row>
        <row r="76">
          <cell r="D76">
            <v>918</v>
          </cell>
        </row>
        <row r="77">
          <cell r="D77">
            <v>5266</v>
          </cell>
        </row>
        <row r="78">
          <cell r="D78">
            <v>3954</v>
          </cell>
        </row>
        <row r="80">
          <cell r="D80">
            <v>10316</v>
          </cell>
        </row>
        <row r="81">
          <cell r="D81">
            <v>39663</v>
          </cell>
        </row>
        <row r="82">
          <cell r="D82">
            <v>2421</v>
          </cell>
        </row>
        <row r="84">
          <cell r="D84">
            <v>8493</v>
          </cell>
          <cell r="F84">
            <v>-20842</v>
          </cell>
        </row>
        <row r="85">
          <cell r="D85">
            <v>700</v>
          </cell>
        </row>
        <row r="89">
          <cell r="D89">
            <v>47044</v>
          </cell>
        </row>
        <row r="90">
          <cell r="D90">
            <v>4554</v>
          </cell>
        </row>
        <row r="91">
          <cell r="D91">
            <v>6847</v>
          </cell>
        </row>
        <row r="92">
          <cell r="D92">
            <v>42158</v>
          </cell>
        </row>
        <row r="93">
          <cell r="D93">
            <v>5169</v>
          </cell>
        </row>
        <row r="98">
          <cell r="F98">
            <v>14525</v>
          </cell>
        </row>
        <row r="99">
          <cell r="F99">
            <v>1411</v>
          </cell>
        </row>
        <row r="100">
          <cell r="D100">
            <v>1023</v>
          </cell>
        </row>
        <row r="103">
          <cell r="D103">
            <v>222</v>
          </cell>
        </row>
        <row r="115">
          <cell r="D115">
            <v>29051</v>
          </cell>
          <cell r="F115">
            <v>-14525</v>
          </cell>
        </row>
        <row r="116">
          <cell r="D116">
            <v>2823</v>
          </cell>
          <cell r="F116">
            <v>-1411</v>
          </cell>
        </row>
        <row r="117">
          <cell r="D117">
            <v>3937</v>
          </cell>
        </row>
        <row r="118">
          <cell r="D118">
            <v>280</v>
          </cell>
        </row>
        <row r="125">
          <cell r="D125">
            <v>30508</v>
          </cell>
        </row>
        <row r="128">
          <cell r="D128">
            <v>11046</v>
          </cell>
        </row>
        <row r="131">
          <cell r="F131">
            <v>2898</v>
          </cell>
        </row>
        <row r="134">
          <cell r="F134">
            <v>1050</v>
          </cell>
        </row>
        <row r="136">
          <cell r="D136">
            <v>15329</v>
          </cell>
        </row>
        <row r="137">
          <cell r="D137">
            <v>79225</v>
          </cell>
        </row>
        <row r="138">
          <cell r="D138">
            <v>132776</v>
          </cell>
        </row>
        <row r="141">
          <cell r="D141">
            <v>12738</v>
          </cell>
          <cell r="F141">
            <v>-11282</v>
          </cell>
        </row>
        <row r="142">
          <cell r="F142">
            <v>7525</v>
          </cell>
        </row>
        <row r="143">
          <cell r="D143">
            <v>12803</v>
          </cell>
          <cell r="F143">
            <v>-191</v>
          </cell>
        </row>
        <row r="146">
          <cell r="D146">
            <v>6000</v>
          </cell>
        </row>
        <row r="150">
          <cell r="D150">
            <v>1516</v>
          </cell>
        </row>
        <row r="151">
          <cell r="D151">
            <v>20966</v>
          </cell>
        </row>
        <row r="152">
          <cell r="D152">
            <v>602</v>
          </cell>
        </row>
        <row r="161">
          <cell r="D161">
            <v>1320</v>
          </cell>
        </row>
        <row r="194">
          <cell r="D194">
            <v>5565</v>
          </cell>
        </row>
        <row r="195">
          <cell r="D195">
            <v>289</v>
          </cell>
        </row>
        <row r="197">
          <cell r="D197">
            <v>221</v>
          </cell>
        </row>
        <row r="205">
          <cell r="D205">
            <v>2003</v>
          </cell>
        </row>
        <row r="211">
          <cell r="D211">
            <v>41880</v>
          </cell>
        </row>
        <row r="212">
          <cell r="D212">
            <v>3142</v>
          </cell>
        </row>
        <row r="213">
          <cell r="D213">
            <v>9947</v>
          </cell>
        </row>
        <row r="216">
          <cell r="D216">
            <v>1535</v>
          </cell>
        </row>
        <row r="221">
          <cell r="D221">
            <v>899088</v>
          </cell>
        </row>
      </sheetData>
      <sheetData sheetId="8"/>
      <sheetData sheetId="9"/>
      <sheetData sheetId="10">
        <row r="9">
          <cell r="C9">
            <v>5793</v>
          </cell>
          <cell r="H9">
            <v>185</v>
          </cell>
        </row>
        <row r="22">
          <cell r="N22">
            <v>36</v>
          </cell>
        </row>
        <row r="24">
          <cell r="N24">
            <v>36</v>
          </cell>
        </row>
        <row r="28">
          <cell r="N28">
            <v>6516</v>
          </cell>
        </row>
        <row r="30">
          <cell r="N30">
            <v>0.91743400859422963</v>
          </cell>
        </row>
        <row r="32">
          <cell r="N32">
            <v>0.88904235727440151</v>
          </cell>
        </row>
        <row r="34">
          <cell r="N34">
            <v>0.96905319504851117</v>
          </cell>
        </row>
      </sheetData>
      <sheetData sheetId="1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heet1"/>
      <sheetName val="Sch A Pg 3"/>
      <sheetName val="Sch B"/>
      <sheetName val="Sch B Misc Income"/>
      <sheetName val="Sch B-1"/>
      <sheetName val="Sch C"/>
      <sheetName val="Sch C Misc Items Detail"/>
      <sheetName val="Sch C-1"/>
      <sheetName val="Sch C-1 (2)"/>
      <sheetName val="Sch C-2"/>
      <sheetName val="Sch D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0">
          <cell r="E10">
            <v>1548838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1424963</v>
          </cell>
          <cell r="G21">
            <v>0</v>
          </cell>
        </row>
        <row r="27">
          <cell r="E27">
            <v>95036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458523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50032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10537</v>
          </cell>
          <cell r="G67">
            <v>0</v>
          </cell>
        </row>
        <row r="85">
          <cell r="C85">
            <v>132.46558197747183</v>
          </cell>
          <cell r="E85">
            <v>132.23771428571428</v>
          </cell>
          <cell r="G85">
            <v>132.21468926553672</v>
          </cell>
          <cell r="I85">
            <v>131.89236430542778</v>
          </cell>
        </row>
      </sheetData>
      <sheetData sheetId="7" refreshError="1"/>
      <sheetData sheetId="8" refreshError="1"/>
      <sheetData sheetId="9">
        <row r="10">
          <cell r="D10">
            <v>129536</v>
          </cell>
          <cell r="F10">
            <v>7496</v>
          </cell>
        </row>
        <row r="11">
          <cell r="D11">
            <v>0</v>
          </cell>
          <cell r="F11">
            <v>0</v>
          </cell>
        </row>
        <row r="12">
          <cell r="D12">
            <v>91329</v>
          </cell>
          <cell r="F12">
            <v>1860.248</v>
          </cell>
        </row>
        <row r="13">
          <cell r="D13">
            <v>324219</v>
          </cell>
          <cell r="F13">
            <v>-290208.22326995851</v>
          </cell>
        </row>
        <row r="14">
          <cell r="D14">
            <v>0</v>
          </cell>
        </row>
        <row r="15">
          <cell r="D15">
            <v>0</v>
          </cell>
        </row>
        <row r="16">
          <cell r="D16">
            <v>178230</v>
          </cell>
          <cell r="F16">
            <v>89106.757483264548</v>
          </cell>
        </row>
        <row r="17">
          <cell r="D17">
            <v>0</v>
          </cell>
        </row>
        <row r="18">
          <cell r="D18">
            <v>8452</v>
          </cell>
        </row>
        <row r="19">
          <cell r="D19">
            <v>15206</v>
          </cell>
          <cell r="F19">
            <v>-1643.4775999999999</v>
          </cell>
        </row>
        <row r="20">
          <cell r="D20">
            <v>14945</v>
          </cell>
        </row>
        <row r="21">
          <cell r="D21">
            <v>7754</v>
          </cell>
        </row>
        <row r="22">
          <cell r="D22">
            <v>0</v>
          </cell>
        </row>
        <row r="23">
          <cell r="D23">
            <v>22104</v>
          </cell>
        </row>
        <row r="24">
          <cell r="D24">
            <v>54512</v>
          </cell>
          <cell r="F24">
            <v>-9600</v>
          </cell>
        </row>
        <row r="25">
          <cell r="D25">
            <v>0</v>
          </cell>
        </row>
        <row r="26">
          <cell r="D26">
            <v>188516</v>
          </cell>
        </row>
        <row r="27">
          <cell r="D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60560</v>
          </cell>
          <cell r="F29">
            <v>-60560</v>
          </cell>
        </row>
        <row r="30">
          <cell r="D30">
            <v>0</v>
          </cell>
          <cell r="F30">
            <v>0</v>
          </cell>
        </row>
        <row r="31">
          <cell r="D31">
            <v>49823</v>
          </cell>
        </row>
        <row r="32">
          <cell r="D32">
            <v>64000</v>
          </cell>
          <cell r="F32">
            <v>-19199.823524378364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</row>
        <row r="35">
          <cell r="D35">
            <v>13</v>
          </cell>
          <cell r="F35">
            <v>-13</v>
          </cell>
        </row>
        <row r="36">
          <cell r="D36">
            <v>0</v>
          </cell>
        </row>
        <row r="37">
          <cell r="D37">
            <v>0</v>
          </cell>
        </row>
        <row r="38">
          <cell r="D38">
            <v>315</v>
          </cell>
          <cell r="F38">
            <v>-315</v>
          </cell>
        </row>
        <row r="39">
          <cell r="D39">
            <v>1678</v>
          </cell>
        </row>
        <row r="40">
          <cell r="D40">
            <v>8762</v>
          </cell>
        </row>
        <row r="41">
          <cell r="D41">
            <v>6311</v>
          </cell>
        </row>
        <row r="42">
          <cell r="D42">
            <v>3724</v>
          </cell>
        </row>
        <row r="43">
          <cell r="D43">
            <v>0</v>
          </cell>
        </row>
        <row r="44">
          <cell r="D44">
            <v>0</v>
          </cell>
        </row>
        <row r="45">
          <cell r="D45">
            <v>5128</v>
          </cell>
          <cell r="F45">
            <v>-10637</v>
          </cell>
        </row>
        <row r="57">
          <cell r="D57">
            <v>181531</v>
          </cell>
        </row>
        <row r="58">
          <cell r="D58">
            <v>908</v>
          </cell>
        </row>
        <row r="59">
          <cell r="D59">
            <v>0</v>
          </cell>
        </row>
        <row r="60">
          <cell r="D60">
            <v>12199</v>
          </cell>
        </row>
        <row r="61">
          <cell r="D61">
            <v>5706</v>
          </cell>
        </row>
        <row r="62">
          <cell r="D62">
            <v>8018</v>
          </cell>
        </row>
        <row r="63">
          <cell r="D63">
            <v>0</v>
          </cell>
        </row>
        <row r="64">
          <cell r="D64">
            <v>0</v>
          </cell>
        </row>
        <row r="65">
          <cell r="D65">
            <v>7895</v>
          </cell>
        </row>
        <row r="66">
          <cell r="D66">
            <v>8030</v>
          </cell>
        </row>
        <row r="67">
          <cell r="D67">
            <v>18917</v>
          </cell>
        </row>
        <row r="68">
          <cell r="D68">
            <v>0</v>
          </cell>
        </row>
        <row r="69">
          <cell r="D69">
            <v>6000</v>
          </cell>
        </row>
        <row r="70">
          <cell r="D70">
            <v>0</v>
          </cell>
        </row>
        <row r="71">
          <cell r="D71">
            <v>0</v>
          </cell>
        </row>
        <row r="75">
          <cell r="D75">
            <v>29332</v>
          </cell>
          <cell r="F75">
            <v>1697</v>
          </cell>
        </row>
        <row r="76">
          <cell r="D76">
            <v>0</v>
          </cell>
          <cell r="F76">
            <v>4317</v>
          </cell>
        </row>
        <row r="77">
          <cell r="D77">
            <v>12921</v>
          </cell>
        </row>
        <row r="78">
          <cell r="D78">
            <v>0</v>
          </cell>
        </row>
        <row r="79">
          <cell r="D79">
            <v>4125</v>
          </cell>
        </row>
        <row r="80">
          <cell r="D80">
            <v>7636</v>
          </cell>
        </row>
        <row r="81">
          <cell r="D81">
            <v>443</v>
          </cell>
        </row>
        <row r="82">
          <cell r="D82">
            <v>0</v>
          </cell>
        </row>
        <row r="83">
          <cell r="D83">
            <v>0</v>
          </cell>
        </row>
        <row r="84">
          <cell r="D84">
            <v>75839</v>
          </cell>
        </row>
        <row r="85">
          <cell r="D85">
            <v>0</v>
          </cell>
        </row>
        <row r="89">
          <cell r="D89">
            <v>105948</v>
          </cell>
          <cell r="F89">
            <v>6131</v>
          </cell>
        </row>
        <row r="90">
          <cell r="D90">
            <v>0</v>
          </cell>
          <cell r="F90">
            <v>15594</v>
          </cell>
        </row>
        <row r="91">
          <cell r="D91">
            <v>14969</v>
          </cell>
        </row>
        <row r="92">
          <cell r="D92">
            <v>81440</v>
          </cell>
        </row>
        <row r="93">
          <cell r="D93">
            <v>8493</v>
          </cell>
        </row>
        <row r="94">
          <cell r="D94">
            <v>0</v>
          </cell>
        </row>
        <row r="98">
          <cell r="D98">
            <v>0</v>
          </cell>
        </row>
        <row r="99">
          <cell r="D99">
            <v>0</v>
          </cell>
        </row>
        <row r="100">
          <cell r="D100">
            <v>106</v>
          </cell>
        </row>
        <row r="101">
          <cell r="D101">
            <v>0</v>
          </cell>
        </row>
        <row r="102">
          <cell r="D102">
            <v>0</v>
          </cell>
        </row>
        <row r="103">
          <cell r="D103">
            <v>0</v>
          </cell>
        </row>
        <row r="115">
          <cell r="D115">
            <v>55916</v>
          </cell>
          <cell r="F115">
            <v>3236</v>
          </cell>
        </row>
        <row r="116">
          <cell r="D116">
            <v>0</v>
          </cell>
          <cell r="F116">
            <v>8230</v>
          </cell>
        </row>
        <row r="117">
          <cell r="D117">
            <v>14786</v>
          </cell>
        </row>
        <row r="118">
          <cell r="D118">
            <v>0</v>
          </cell>
        </row>
        <row r="119">
          <cell r="D119">
            <v>0</v>
          </cell>
        </row>
        <row r="124">
          <cell r="D124">
            <v>0</v>
          </cell>
        </row>
        <row r="125">
          <cell r="D125">
            <v>114437</v>
          </cell>
          <cell r="F125">
            <v>6623</v>
          </cell>
        </row>
        <row r="126">
          <cell r="D126">
            <v>46581</v>
          </cell>
          <cell r="F126">
            <v>2696</v>
          </cell>
        </row>
        <row r="127">
          <cell r="D127">
            <v>0</v>
          </cell>
          <cell r="F127">
            <v>0</v>
          </cell>
        </row>
        <row r="128">
          <cell r="D128">
            <v>28913</v>
          </cell>
          <cell r="F128">
            <v>1673</v>
          </cell>
        </row>
        <row r="130">
          <cell r="D130">
            <v>0</v>
          </cell>
        </row>
        <row r="131">
          <cell r="D131">
            <v>0</v>
          </cell>
          <cell r="F131">
            <v>16843</v>
          </cell>
        </row>
        <row r="132">
          <cell r="D132">
            <v>0</v>
          </cell>
          <cell r="F132">
            <v>6856</v>
          </cell>
        </row>
        <row r="133">
          <cell r="D133">
            <v>0</v>
          </cell>
          <cell r="F133">
            <v>0</v>
          </cell>
        </row>
        <row r="134">
          <cell r="D134">
            <v>0</v>
          </cell>
          <cell r="F134">
            <v>4255</v>
          </cell>
        </row>
        <row r="136">
          <cell r="D136">
            <v>223879</v>
          </cell>
          <cell r="F136">
            <v>12956</v>
          </cell>
        </row>
        <row r="137">
          <cell r="D137">
            <v>108380</v>
          </cell>
          <cell r="F137">
            <v>6272</v>
          </cell>
        </row>
        <row r="138">
          <cell r="D138">
            <v>281601</v>
          </cell>
          <cell r="F138">
            <v>16008</v>
          </cell>
        </row>
        <row r="139">
          <cell r="D139">
            <v>51389</v>
          </cell>
          <cell r="F139">
            <v>2974</v>
          </cell>
        </row>
        <row r="141">
          <cell r="D141">
            <v>0</v>
          </cell>
          <cell r="F141">
            <v>32951</v>
          </cell>
        </row>
        <row r="142">
          <cell r="D142">
            <v>0</v>
          </cell>
          <cell r="F142">
            <v>15952</v>
          </cell>
        </row>
        <row r="143">
          <cell r="D143">
            <v>0</v>
          </cell>
          <cell r="F143">
            <v>41408</v>
          </cell>
        </row>
        <row r="144">
          <cell r="D144">
            <v>0</v>
          </cell>
          <cell r="F144">
            <v>7564</v>
          </cell>
        </row>
        <row r="146">
          <cell r="D146">
            <v>18000</v>
          </cell>
        </row>
        <row r="147">
          <cell r="D147">
            <v>0</v>
          </cell>
        </row>
        <row r="148">
          <cell r="D148">
            <v>0</v>
          </cell>
        </row>
        <row r="149">
          <cell r="D149">
            <v>0</v>
          </cell>
        </row>
        <row r="150">
          <cell r="D150">
            <v>8121</v>
          </cell>
        </row>
        <row r="151">
          <cell r="D151">
            <v>52600</v>
          </cell>
        </row>
        <row r="152">
          <cell r="D152">
            <v>6208</v>
          </cell>
        </row>
        <row r="153">
          <cell r="D153">
            <v>0</v>
          </cell>
        </row>
        <row r="154">
          <cell r="D154">
            <v>0</v>
          </cell>
        </row>
        <row r="156">
          <cell r="D156">
            <v>0</v>
          </cell>
        </row>
        <row r="157">
          <cell r="D157">
            <v>0</v>
          </cell>
        </row>
        <row r="158">
          <cell r="D158">
            <v>0</v>
          </cell>
        </row>
        <row r="159">
          <cell r="D159">
            <v>0</v>
          </cell>
        </row>
        <row r="161">
          <cell r="D161">
            <v>3626</v>
          </cell>
        </row>
        <row r="175">
          <cell r="D175">
            <v>0</v>
          </cell>
        </row>
        <row r="176">
          <cell r="D176">
            <v>0</v>
          </cell>
        </row>
        <row r="177">
          <cell r="D177">
            <v>174001</v>
          </cell>
          <cell r="F177">
            <v>10070</v>
          </cell>
        </row>
        <row r="178">
          <cell r="D178">
            <v>0</v>
          </cell>
          <cell r="F178">
            <v>25611</v>
          </cell>
        </row>
        <row r="179">
          <cell r="D179">
            <v>219</v>
          </cell>
          <cell r="F179">
            <v>13</v>
          </cell>
        </row>
        <row r="180">
          <cell r="D180">
            <v>0</v>
          </cell>
          <cell r="F180">
            <v>33</v>
          </cell>
        </row>
        <row r="181">
          <cell r="D181">
            <v>0</v>
          </cell>
        </row>
        <row r="182">
          <cell r="D182">
            <v>0</v>
          </cell>
        </row>
        <row r="183">
          <cell r="D183">
            <v>94105</v>
          </cell>
          <cell r="F183">
            <v>5446</v>
          </cell>
        </row>
        <row r="184">
          <cell r="D184">
            <v>0</v>
          </cell>
          <cell r="F184">
            <v>13851</v>
          </cell>
        </row>
        <row r="185">
          <cell r="D185">
            <v>0</v>
          </cell>
        </row>
        <row r="186">
          <cell r="D186">
            <v>0</v>
          </cell>
        </row>
        <row r="187">
          <cell r="D187">
            <v>0</v>
          </cell>
        </row>
        <row r="188">
          <cell r="D188">
            <v>1787</v>
          </cell>
        </row>
        <row r="189">
          <cell r="D189">
            <v>0</v>
          </cell>
        </row>
        <row r="190">
          <cell r="D190">
            <v>0</v>
          </cell>
        </row>
        <row r="191">
          <cell r="D191">
            <v>0</v>
          </cell>
        </row>
        <row r="192">
          <cell r="D192">
            <v>0</v>
          </cell>
        </row>
        <row r="193">
          <cell r="D193">
            <v>0</v>
          </cell>
        </row>
        <row r="194">
          <cell r="D194">
            <v>3566</v>
          </cell>
        </row>
        <row r="195">
          <cell r="D195">
            <v>331</v>
          </cell>
        </row>
        <row r="196">
          <cell r="D196">
            <v>0</v>
          </cell>
        </row>
        <row r="197">
          <cell r="D197">
            <v>3762</v>
          </cell>
        </row>
        <row r="198">
          <cell r="D198">
            <v>19736</v>
          </cell>
        </row>
        <row r="199">
          <cell r="D199">
            <v>327</v>
          </cell>
        </row>
        <row r="200">
          <cell r="D200">
            <v>0</v>
          </cell>
        </row>
        <row r="201">
          <cell r="D201">
            <v>0</v>
          </cell>
        </row>
        <row r="202">
          <cell r="D202">
            <v>0</v>
          </cell>
        </row>
        <row r="203">
          <cell r="D203">
            <v>0</v>
          </cell>
        </row>
        <row r="204">
          <cell r="D204">
            <v>0</v>
          </cell>
        </row>
        <row r="205">
          <cell r="D205">
            <v>66581</v>
          </cell>
        </row>
        <row r="206">
          <cell r="D206">
            <v>4079</v>
          </cell>
        </row>
        <row r="207">
          <cell r="D207">
            <v>8097</v>
          </cell>
          <cell r="F207">
            <v>-30.120000000000005</v>
          </cell>
        </row>
        <row r="211">
          <cell r="D211">
            <v>54305</v>
          </cell>
          <cell r="F211">
            <v>3143</v>
          </cell>
        </row>
        <row r="212">
          <cell r="D212">
            <v>0</v>
          </cell>
          <cell r="F212">
            <v>7993</v>
          </cell>
        </row>
        <row r="213">
          <cell r="D213">
            <v>5599</v>
          </cell>
        </row>
        <row r="214">
          <cell r="D214">
            <v>0</v>
          </cell>
        </row>
        <row r="215">
          <cell r="D215">
            <v>0</v>
          </cell>
        </row>
        <row r="216">
          <cell r="D216">
            <v>2767</v>
          </cell>
        </row>
        <row r="221">
          <cell r="D221">
            <v>3279272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>
        <row r="9">
          <cell r="C9">
            <v>8529</v>
          </cell>
          <cell r="E9">
            <v>2847</v>
          </cell>
          <cell r="F9">
            <v>273</v>
          </cell>
          <cell r="H9">
            <v>3469</v>
          </cell>
          <cell r="J9">
            <v>291</v>
          </cell>
          <cell r="K9">
            <v>1</v>
          </cell>
        </row>
        <row r="22">
          <cell r="N22">
            <v>100</v>
          </cell>
        </row>
        <row r="24">
          <cell r="N24">
            <v>100</v>
          </cell>
        </row>
        <row r="28">
          <cell r="N28">
            <v>36500</v>
          </cell>
        </row>
        <row r="30">
          <cell r="N30">
            <v>0.42219178082191783</v>
          </cell>
        </row>
        <row r="32">
          <cell r="N32">
            <v>0.23367123287671232</v>
          </cell>
        </row>
        <row r="34">
          <cell r="N34">
            <v>0.55347177157689809</v>
          </cell>
        </row>
      </sheetData>
      <sheetData sheetId="1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Grou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E10">
            <v>1254649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738662</v>
          </cell>
          <cell r="G21">
            <v>0</v>
          </cell>
        </row>
        <row r="27">
          <cell r="E27">
            <v>248597</v>
          </cell>
          <cell r="G27">
            <v>0</v>
          </cell>
        </row>
        <row r="32">
          <cell r="E32">
            <v>188184</v>
          </cell>
          <cell r="G32">
            <v>0</v>
          </cell>
        </row>
        <row r="37">
          <cell r="E37">
            <v>449529</v>
          </cell>
          <cell r="G37">
            <v>0</v>
          </cell>
        </row>
        <row r="42">
          <cell r="E42">
            <v>72374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12441</v>
          </cell>
          <cell r="G52">
            <v>0</v>
          </cell>
        </row>
        <row r="67">
          <cell r="E67">
            <v>38964</v>
          </cell>
          <cell r="G67">
            <v>-2694</v>
          </cell>
        </row>
        <row r="85">
          <cell r="C85">
            <v>142.70710059171597</v>
          </cell>
          <cell r="E85">
            <v>142.70778443113772</v>
          </cell>
          <cell r="G85">
            <v>142.70903522205208</v>
          </cell>
          <cell r="I85">
            <v>142.70679012345678</v>
          </cell>
        </row>
      </sheetData>
      <sheetData sheetId="6" refreshError="1"/>
      <sheetData sheetId="7">
        <row r="10">
          <cell r="D10">
            <v>0</v>
          </cell>
          <cell r="F10">
            <v>92631</v>
          </cell>
        </row>
        <row r="11">
          <cell r="D11">
            <v>0</v>
          </cell>
        </row>
        <row r="12">
          <cell r="D12">
            <v>171984</v>
          </cell>
          <cell r="F12">
            <v>-92631</v>
          </cell>
        </row>
        <row r="13">
          <cell r="D13">
            <v>28183</v>
          </cell>
        </row>
        <row r="14">
          <cell r="D14">
            <v>0</v>
          </cell>
        </row>
        <row r="15">
          <cell r="D15">
            <v>0</v>
          </cell>
        </row>
        <row r="16">
          <cell r="D16">
            <v>150093</v>
          </cell>
          <cell r="F16">
            <v>31544</v>
          </cell>
        </row>
        <row r="17">
          <cell r="D17">
            <v>1000</v>
          </cell>
          <cell r="F17">
            <v>-1000</v>
          </cell>
        </row>
        <row r="18">
          <cell r="D18">
            <v>13116</v>
          </cell>
        </row>
        <row r="19">
          <cell r="D19">
            <v>8968</v>
          </cell>
        </row>
        <row r="20">
          <cell r="D20">
            <v>5739</v>
          </cell>
        </row>
        <row r="21">
          <cell r="D21">
            <v>13137</v>
          </cell>
        </row>
        <row r="22">
          <cell r="D22">
            <v>0</v>
          </cell>
        </row>
        <row r="23">
          <cell r="D23">
            <v>3149</v>
          </cell>
        </row>
        <row r="24">
          <cell r="D24">
            <v>10195</v>
          </cell>
        </row>
        <row r="25">
          <cell r="D25">
            <v>2282</v>
          </cell>
        </row>
        <row r="26">
          <cell r="D26">
            <v>174374</v>
          </cell>
        </row>
        <row r="27">
          <cell r="D27">
            <v>5566</v>
          </cell>
          <cell r="F27">
            <v>-40</v>
          </cell>
        </row>
        <row r="28">
          <cell r="D28">
            <v>0</v>
          </cell>
          <cell r="F28">
            <v>0</v>
          </cell>
        </row>
        <row r="29">
          <cell r="D29">
            <v>-3489</v>
          </cell>
          <cell r="F29">
            <v>3489</v>
          </cell>
        </row>
        <row r="30">
          <cell r="D30">
            <v>0</v>
          </cell>
          <cell r="F30">
            <v>0</v>
          </cell>
        </row>
        <row r="31">
          <cell r="D31">
            <v>0</v>
          </cell>
        </row>
        <row r="32">
          <cell r="D32">
            <v>54983</v>
          </cell>
        </row>
        <row r="33">
          <cell r="D33">
            <v>0</v>
          </cell>
          <cell r="F33">
            <v>0</v>
          </cell>
        </row>
        <row r="34">
          <cell r="D34">
            <v>189</v>
          </cell>
        </row>
        <row r="35">
          <cell r="D35">
            <v>205</v>
          </cell>
          <cell r="F35">
            <v>-205</v>
          </cell>
        </row>
        <row r="36">
          <cell r="D36">
            <v>17184</v>
          </cell>
        </row>
        <row r="37">
          <cell r="D37">
            <v>1982</v>
          </cell>
        </row>
        <row r="38">
          <cell r="D38">
            <v>498</v>
          </cell>
          <cell r="F38">
            <v>-498</v>
          </cell>
        </row>
        <row r="39">
          <cell r="D39">
            <v>3599</v>
          </cell>
        </row>
        <row r="40">
          <cell r="D40">
            <v>1328</v>
          </cell>
          <cell r="F40">
            <v>-1328</v>
          </cell>
        </row>
        <row r="41">
          <cell r="D41">
            <v>38838</v>
          </cell>
        </row>
        <row r="42">
          <cell r="D42">
            <v>650</v>
          </cell>
        </row>
        <row r="43">
          <cell r="D43">
            <v>8106</v>
          </cell>
          <cell r="F43">
            <v>-8106</v>
          </cell>
        </row>
        <row r="44">
          <cell r="D44">
            <v>0</v>
          </cell>
        </row>
        <row r="45">
          <cell r="D45">
            <v>6017</v>
          </cell>
          <cell r="F45">
            <v>-425</v>
          </cell>
        </row>
        <row r="57">
          <cell r="D57">
            <v>0</v>
          </cell>
        </row>
        <row r="58">
          <cell r="D58">
            <v>104497</v>
          </cell>
        </row>
        <row r="59">
          <cell r="D59">
            <v>54901</v>
          </cell>
        </row>
        <row r="60">
          <cell r="D60">
            <v>16682</v>
          </cell>
        </row>
        <row r="61">
          <cell r="D61">
            <v>4937</v>
          </cell>
        </row>
        <row r="62">
          <cell r="D62">
            <v>1084</v>
          </cell>
        </row>
        <row r="63">
          <cell r="D63">
            <v>0</v>
          </cell>
        </row>
        <row r="64">
          <cell r="D64">
            <v>0</v>
          </cell>
        </row>
        <row r="65">
          <cell r="D65">
            <v>3897</v>
          </cell>
        </row>
        <row r="66">
          <cell r="D66">
            <v>32275</v>
          </cell>
          <cell r="F66">
            <v>-1152</v>
          </cell>
        </row>
        <row r="67">
          <cell r="D67">
            <v>20790</v>
          </cell>
        </row>
        <row r="68">
          <cell r="D68">
            <v>0</v>
          </cell>
        </row>
        <row r="69">
          <cell r="D69">
            <v>2032</v>
          </cell>
        </row>
        <row r="70">
          <cell r="D70">
            <v>0</v>
          </cell>
        </row>
        <row r="71">
          <cell r="D71">
            <v>0</v>
          </cell>
        </row>
        <row r="75">
          <cell r="D75">
            <v>32590</v>
          </cell>
        </row>
        <row r="76">
          <cell r="D76">
            <v>3754</v>
          </cell>
        </row>
        <row r="77">
          <cell r="D77">
            <v>5375</v>
          </cell>
        </row>
        <row r="78">
          <cell r="D78">
            <v>0</v>
          </cell>
        </row>
        <row r="79">
          <cell r="D79">
            <v>3189</v>
          </cell>
        </row>
        <row r="80">
          <cell r="D80">
            <v>7198</v>
          </cell>
        </row>
        <row r="81">
          <cell r="D81">
            <v>14876</v>
          </cell>
        </row>
        <row r="82">
          <cell r="D82">
            <v>11538</v>
          </cell>
        </row>
        <row r="83">
          <cell r="D83">
            <v>8020</v>
          </cell>
        </row>
        <row r="84">
          <cell r="D84">
            <v>63166</v>
          </cell>
        </row>
        <row r="85">
          <cell r="D85">
            <v>0</v>
          </cell>
        </row>
        <row r="89">
          <cell r="D89">
            <v>125560</v>
          </cell>
        </row>
        <row r="90">
          <cell r="D90">
            <v>26445</v>
          </cell>
        </row>
        <row r="91">
          <cell r="D91">
            <v>6294</v>
          </cell>
        </row>
        <row r="92">
          <cell r="D92">
            <v>80297</v>
          </cell>
          <cell r="F92">
            <v>-2229</v>
          </cell>
        </row>
        <row r="93">
          <cell r="D93">
            <v>8519</v>
          </cell>
        </row>
        <row r="94">
          <cell r="D94">
            <v>0</v>
          </cell>
        </row>
        <row r="98">
          <cell r="D98">
            <v>0</v>
          </cell>
        </row>
        <row r="99">
          <cell r="D99">
            <v>0</v>
          </cell>
        </row>
        <row r="100">
          <cell r="D100">
            <v>428</v>
          </cell>
        </row>
        <row r="101">
          <cell r="D101">
            <v>41903</v>
          </cell>
        </row>
        <row r="102">
          <cell r="D102">
            <v>3362</v>
          </cell>
        </row>
        <row r="103">
          <cell r="D103">
            <v>0</v>
          </cell>
        </row>
        <row r="115">
          <cell r="D115">
            <v>0</v>
          </cell>
        </row>
        <row r="116">
          <cell r="D116">
            <v>0</v>
          </cell>
        </row>
        <row r="117">
          <cell r="D117">
            <v>5958</v>
          </cell>
        </row>
        <row r="118">
          <cell r="D118">
            <v>64266</v>
          </cell>
        </row>
        <row r="119">
          <cell r="D119">
            <v>59</v>
          </cell>
        </row>
        <row r="124">
          <cell r="D124">
            <v>0</v>
          </cell>
        </row>
        <row r="125">
          <cell r="D125">
            <v>141821</v>
          </cell>
        </row>
        <row r="126">
          <cell r="D126">
            <v>0</v>
          </cell>
        </row>
        <row r="127">
          <cell r="D127">
            <v>0</v>
          </cell>
        </row>
        <row r="128">
          <cell r="D128">
            <v>28587</v>
          </cell>
        </row>
        <row r="130">
          <cell r="D130">
            <v>0</v>
          </cell>
        </row>
        <row r="131">
          <cell r="D131">
            <v>23410</v>
          </cell>
        </row>
        <row r="132">
          <cell r="D132">
            <v>0</v>
          </cell>
        </row>
        <row r="133">
          <cell r="D133">
            <v>0</v>
          </cell>
        </row>
        <row r="134">
          <cell r="D134">
            <v>3495</v>
          </cell>
        </row>
        <row r="136">
          <cell r="D136">
            <v>150517</v>
          </cell>
        </row>
        <row r="137">
          <cell r="D137">
            <v>209284</v>
          </cell>
        </row>
        <row r="138">
          <cell r="D138">
            <v>265434</v>
          </cell>
          <cell r="F138">
            <v>6529</v>
          </cell>
        </row>
        <row r="139">
          <cell r="D139">
            <v>6529</v>
          </cell>
          <cell r="F139">
            <v>-6529</v>
          </cell>
        </row>
        <row r="141">
          <cell r="D141">
            <v>133473</v>
          </cell>
          <cell r="F141">
            <v>-101673</v>
          </cell>
        </row>
        <row r="142">
          <cell r="D142">
            <v>0</v>
          </cell>
          <cell r="F142">
            <v>44216</v>
          </cell>
        </row>
        <row r="143">
          <cell r="D143">
            <v>0</v>
          </cell>
          <cell r="F143">
            <v>57457</v>
          </cell>
        </row>
        <row r="144">
          <cell r="D144">
            <v>0</v>
          </cell>
        </row>
        <row r="146">
          <cell r="D146">
            <v>12825</v>
          </cell>
        </row>
        <row r="147">
          <cell r="D147">
            <v>0</v>
          </cell>
        </row>
        <row r="148">
          <cell r="D148">
            <v>0</v>
          </cell>
        </row>
        <row r="149">
          <cell r="D149">
            <v>0</v>
          </cell>
        </row>
        <row r="150">
          <cell r="D150">
            <v>685</v>
          </cell>
        </row>
        <row r="151">
          <cell r="D151">
            <v>68531</v>
          </cell>
          <cell r="F151">
            <v>-1494</v>
          </cell>
        </row>
        <row r="152">
          <cell r="D152">
            <v>3636</v>
          </cell>
        </row>
        <row r="153">
          <cell r="D153">
            <v>0</v>
          </cell>
        </row>
        <row r="154">
          <cell r="D154">
            <v>0</v>
          </cell>
        </row>
        <row r="156">
          <cell r="D156">
            <v>0</v>
          </cell>
        </row>
        <row r="157">
          <cell r="D157">
            <v>0</v>
          </cell>
        </row>
        <row r="158">
          <cell r="D158">
            <v>14</v>
          </cell>
        </row>
        <row r="159">
          <cell r="D159">
            <v>0</v>
          </cell>
        </row>
        <row r="160">
          <cell r="D160">
            <v>0</v>
          </cell>
        </row>
        <row r="161">
          <cell r="D161">
            <v>6532</v>
          </cell>
          <cell r="F161">
            <v>-302</v>
          </cell>
        </row>
        <row r="175">
          <cell r="D175">
            <v>0</v>
          </cell>
        </row>
        <row r="176">
          <cell r="D176">
            <v>0</v>
          </cell>
        </row>
        <row r="177">
          <cell r="D177">
            <v>0</v>
          </cell>
        </row>
        <row r="178">
          <cell r="D178">
            <v>0</v>
          </cell>
        </row>
        <row r="179">
          <cell r="D179">
            <v>0</v>
          </cell>
        </row>
        <row r="180">
          <cell r="D180">
            <v>0</v>
          </cell>
        </row>
        <row r="181">
          <cell r="D181">
            <v>0</v>
          </cell>
        </row>
        <row r="182">
          <cell r="D182">
            <v>0</v>
          </cell>
        </row>
        <row r="183">
          <cell r="D183">
            <v>0</v>
          </cell>
        </row>
        <row r="184">
          <cell r="D184">
            <v>0</v>
          </cell>
        </row>
        <row r="185">
          <cell r="D185">
            <v>0</v>
          </cell>
        </row>
        <row r="186">
          <cell r="D186">
            <v>0</v>
          </cell>
        </row>
        <row r="187">
          <cell r="D187">
            <v>0</v>
          </cell>
        </row>
        <row r="188">
          <cell r="D188">
            <v>136</v>
          </cell>
        </row>
        <row r="189">
          <cell r="D189">
            <v>0</v>
          </cell>
        </row>
        <row r="190">
          <cell r="D190">
            <v>0</v>
          </cell>
        </row>
        <row r="191">
          <cell r="D191">
            <v>298</v>
          </cell>
        </row>
        <row r="192">
          <cell r="D192">
            <v>279</v>
          </cell>
        </row>
        <row r="193">
          <cell r="D193">
            <v>1467</v>
          </cell>
        </row>
        <row r="194">
          <cell r="D194">
            <v>133900</v>
          </cell>
          <cell r="F194">
            <v>4941</v>
          </cell>
        </row>
        <row r="195">
          <cell r="D195">
            <v>23104</v>
          </cell>
          <cell r="F195">
            <v>853</v>
          </cell>
        </row>
        <row r="196">
          <cell r="D196">
            <v>0</v>
          </cell>
        </row>
        <row r="197">
          <cell r="D197">
            <v>126056</v>
          </cell>
          <cell r="F197">
            <v>4651</v>
          </cell>
        </row>
        <row r="198">
          <cell r="D198">
            <v>9082</v>
          </cell>
          <cell r="F198">
            <v>-166</v>
          </cell>
        </row>
        <row r="199">
          <cell r="D199">
            <v>0</v>
          </cell>
        </row>
        <row r="200">
          <cell r="D200">
            <v>0</v>
          </cell>
        </row>
        <row r="201">
          <cell r="D201">
            <v>0</v>
          </cell>
        </row>
        <row r="202">
          <cell r="D202">
            <v>0</v>
          </cell>
        </row>
        <row r="203">
          <cell r="D203">
            <v>0</v>
          </cell>
        </row>
        <row r="204">
          <cell r="D204">
            <v>0</v>
          </cell>
        </row>
        <row r="205">
          <cell r="D205">
            <v>91864</v>
          </cell>
          <cell r="F205">
            <v>-5553</v>
          </cell>
        </row>
        <row r="206">
          <cell r="D206">
            <v>595</v>
          </cell>
        </row>
        <row r="207">
          <cell r="D207">
            <v>690</v>
          </cell>
          <cell r="F207">
            <v>-43</v>
          </cell>
        </row>
        <row r="211">
          <cell r="D211">
            <v>64793</v>
          </cell>
        </row>
        <row r="212">
          <cell r="D212">
            <v>15150</v>
          </cell>
        </row>
        <row r="213">
          <cell r="D213">
            <v>2387</v>
          </cell>
        </row>
        <row r="214">
          <cell r="D214">
            <v>0</v>
          </cell>
        </row>
        <row r="215">
          <cell r="D215">
            <v>0</v>
          </cell>
        </row>
        <row r="216">
          <cell r="D216">
            <v>1357</v>
          </cell>
        </row>
        <row r="221">
          <cell r="D221">
            <v>2997699</v>
          </cell>
        </row>
      </sheetData>
      <sheetData sheetId="8" refreshError="1"/>
      <sheetData sheetId="9" refreshError="1"/>
      <sheetData sheetId="10">
        <row r="9">
          <cell r="C9">
            <v>6900</v>
          </cell>
          <cell r="D9">
            <v>0</v>
          </cell>
          <cell r="E9">
            <v>1284</v>
          </cell>
          <cell r="F9">
            <v>619</v>
          </cell>
          <cell r="G9">
            <v>909</v>
          </cell>
          <cell r="H9">
            <v>3150</v>
          </cell>
          <cell r="I9">
            <v>332</v>
          </cell>
          <cell r="J9">
            <v>0</v>
          </cell>
          <cell r="K9">
            <v>30</v>
          </cell>
        </row>
        <row r="22">
          <cell r="N22">
            <v>72</v>
          </cell>
        </row>
        <row r="24">
          <cell r="N24">
            <v>72</v>
          </cell>
        </row>
        <row r="28">
          <cell r="N28">
            <v>26280</v>
          </cell>
        </row>
        <row r="30">
          <cell r="N30">
            <v>0.50319634703196348</v>
          </cell>
        </row>
        <row r="32">
          <cell r="N32">
            <v>0.26255707762557079</v>
          </cell>
        </row>
        <row r="34">
          <cell r="N34">
            <v>0.52177858439201452</v>
          </cell>
        </row>
      </sheetData>
      <sheetData sheetId="11" refreshError="1"/>
      <sheetData sheetId="1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heet1"/>
      <sheetName val="Sch A Pg 3"/>
      <sheetName val="Sch B"/>
      <sheetName val="Sch B Misc Income"/>
      <sheetName val="Sch B-1"/>
      <sheetName val="Sch C"/>
      <sheetName val="Sch C Misc Items Detail"/>
      <sheetName val="Sch C-1"/>
      <sheetName val="Sch C-1 (2)"/>
      <sheetName val="Sch C-2"/>
      <sheetName val="Sch D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0">
          <cell r="E10">
            <v>5147563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2650969</v>
          </cell>
          <cell r="G21">
            <v>0</v>
          </cell>
        </row>
        <row r="27">
          <cell r="E27">
            <v>1874848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562460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334186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12210</v>
          </cell>
          <cell r="G67">
            <v>0</v>
          </cell>
        </row>
        <row r="85">
          <cell r="C85">
            <v>235.85836909871244</v>
          </cell>
          <cell r="E85">
            <v>223.74852652259332</v>
          </cell>
          <cell r="G85">
            <v>211.28336079077431</v>
          </cell>
          <cell r="I85">
            <v>231.33630952380952</v>
          </cell>
        </row>
      </sheetData>
      <sheetData sheetId="7" refreshError="1"/>
      <sheetData sheetId="8" refreshError="1"/>
      <sheetData sheetId="9">
        <row r="10">
          <cell r="D10">
            <v>167258</v>
          </cell>
          <cell r="F10">
            <v>9105</v>
          </cell>
        </row>
        <row r="11">
          <cell r="D11">
            <v>0</v>
          </cell>
          <cell r="F11">
            <v>0</v>
          </cell>
        </row>
        <row r="12">
          <cell r="D12">
            <v>323365</v>
          </cell>
          <cell r="F12">
            <v>-43219.335669569104</v>
          </cell>
        </row>
        <row r="13">
          <cell r="D13">
            <v>885601</v>
          </cell>
          <cell r="F13">
            <v>-763112.73585605482</v>
          </cell>
        </row>
        <row r="14">
          <cell r="D14">
            <v>0</v>
          </cell>
        </row>
        <row r="15">
          <cell r="D15">
            <v>0</v>
          </cell>
        </row>
        <row r="16">
          <cell r="D16">
            <v>527849</v>
          </cell>
          <cell r="F16">
            <v>266208.39409009216</v>
          </cell>
        </row>
        <row r="17">
          <cell r="D17">
            <v>0</v>
          </cell>
        </row>
        <row r="18">
          <cell r="D18">
            <v>14518</v>
          </cell>
        </row>
        <row r="19">
          <cell r="D19">
            <v>28119</v>
          </cell>
          <cell r="F19">
            <v>-3271.0803999999998</v>
          </cell>
        </row>
        <row r="20">
          <cell r="D20">
            <v>38188</v>
          </cell>
        </row>
        <row r="21">
          <cell r="D21">
            <v>11807</v>
          </cell>
        </row>
        <row r="22">
          <cell r="D22">
            <v>0</v>
          </cell>
        </row>
        <row r="23">
          <cell r="D23">
            <v>18589</v>
          </cell>
        </row>
        <row r="24">
          <cell r="D24">
            <v>87238</v>
          </cell>
          <cell r="F24">
            <v>-24000</v>
          </cell>
        </row>
        <row r="25">
          <cell r="D25">
            <v>0</v>
          </cell>
        </row>
        <row r="26">
          <cell r="D26">
            <v>404764</v>
          </cell>
        </row>
        <row r="27">
          <cell r="D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32878</v>
          </cell>
          <cell r="F29">
            <v>-32878</v>
          </cell>
        </row>
        <row r="30">
          <cell r="D30">
            <v>0</v>
          </cell>
          <cell r="F30">
            <v>0</v>
          </cell>
        </row>
        <row r="31">
          <cell r="D31">
            <v>106918</v>
          </cell>
        </row>
        <row r="32">
          <cell r="D32">
            <v>213400</v>
          </cell>
          <cell r="F32">
            <v>-64019.439576359146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</row>
        <row r="35">
          <cell r="D35">
            <v>530</v>
          </cell>
          <cell r="F35">
            <v>-530</v>
          </cell>
        </row>
        <row r="36">
          <cell r="D36">
            <v>0</v>
          </cell>
        </row>
        <row r="37">
          <cell r="D37">
            <v>0</v>
          </cell>
        </row>
        <row r="38">
          <cell r="D38">
            <v>0</v>
          </cell>
          <cell r="F38">
            <v>0</v>
          </cell>
        </row>
        <row r="39">
          <cell r="D39">
            <v>8995</v>
          </cell>
        </row>
        <row r="40">
          <cell r="D40">
            <v>13452</v>
          </cell>
        </row>
        <row r="41">
          <cell r="D41">
            <v>32151</v>
          </cell>
        </row>
        <row r="42">
          <cell r="D42">
            <v>8974</v>
          </cell>
        </row>
        <row r="43">
          <cell r="D43">
            <v>8189</v>
          </cell>
        </row>
        <row r="44">
          <cell r="D44">
            <v>0</v>
          </cell>
        </row>
        <row r="45">
          <cell r="D45">
            <v>29605</v>
          </cell>
          <cell r="F45">
            <v>-11927</v>
          </cell>
        </row>
        <row r="57">
          <cell r="D57">
            <v>875000</v>
          </cell>
        </row>
        <row r="58">
          <cell r="D58">
            <v>11612</v>
          </cell>
        </row>
        <row r="59">
          <cell r="D59">
            <v>0</v>
          </cell>
        </row>
        <row r="60">
          <cell r="D60">
            <v>71874</v>
          </cell>
        </row>
        <row r="61">
          <cell r="D61">
            <v>11480</v>
          </cell>
        </row>
        <row r="62">
          <cell r="D62">
            <v>5602</v>
          </cell>
        </row>
        <row r="63">
          <cell r="D63">
            <v>0</v>
          </cell>
        </row>
        <row r="64">
          <cell r="D64">
            <v>0</v>
          </cell>
        </row>
        <row r="65">
          <cell r="D65">
            <v>6315</v>
          </cell>
        </row>
        <row r="66">
          <cell r="D66">
            <v>7024</v>
          </cell>
        </row>
        <row r="67">
          <cell r="D67">
            <v>136721</v>
          </cell>
        </row>
        <row r="68">
          <cell r="D68">
            <v>0</v>
          </cell>
        </row>
        <row r="69">
          <cell r="D69">
            <v>10750</v>
          </cell>
        </row>
        <row r="70">
          <cell r="D70">
            <v>0</v>
          </cell>
        </row>
        <row r="71">
          <cell r="D71">
            <v>0</v>
          </cell>
        </row>
        <row r="75">
          <cell r="D75">
            <v>69187</v>
          </cell>
          <cell r="F75">
            <v>3767</v>
          </cell>
        </row>
        <row r="76">
          <cell r="D76">
            <v>0</v>
          </cell>
          <cell r="F76">
            <v>9497</v>
          </cell>
        </row>
        <row r="77">
          <cell r="D77">
            <v>9948</v>
          </cell>
        </row>
        <row r="78">
          <cell r="D78">
            <v>0</v>
          </cell>
        </row>
        <row r="79">
          <cell r="D79">
            <v>14427</v>
          </cell>
        </row>
        <row r="80">
          <cell r="D80">
            <v>38982</v>
          </cell>
        </row>
        <row r="81">
          <cell r="D81">
            <v>15382</v>
          </cell>
        </row>
        <row r="82">
          <cell r="D82">
            <v>13111</v>
          </cell>
        </row>
        <row r="83">
          <cell r="D83">
            <v>0</v>
          </cell>
        </row>
        <row r="84">
          <cell r="D84">
            <v>149488</v>
          </cell>
        </row>
        <row r="85">
          <cell r="D85">
            <v>0</v>
          </cell>
        </row>
        <row r="89">
          <cell r="D89">
            <v>278737</v>
          </cell>
          <cell r="F89">
            <v>15174</v>
          </cell>
        </row>
        <row r="90">
          <cell r="D90">
            <v>0</v>
          </cell>
          <cell r="F90">
            <v>38258</v>
          </cell>
        </row>
        <row r="91">
          <cell r="D91">
            <v>19142</v>
          </cell>
        </row>
        <row r="92">
          <cell r="D92">
            <v>197607</v>
          </cell>
        </row>
        <row r="93">
          <cell r="D93">
            <v>25815</v>
          </cell>
        </row>
        <row r="94">
          <cell r="D94">
            <v>0</v>
          </cell>
        </row>
        <row r="98">
          <cell r="D98">
            <v>3343</v>
          </cell>
          <cell r="F98">
            <v>182</v>
          </cell>
        </row>
        <row r="99">
          <cell r="D99">
            <v>0</v>
          </cell>
          <cell r="F99">
            <v>459</v>
          </cell>
        </row>
        <row r="100">
          <cell r="D100">
            <v>4980</v>
          </cell>
        </row>
        <row r="101">
          <cell r="D101">
            <v>0</v>
          </cell>
        </row>
        <row r="102">
          <cell r="D102">
            <v>8001</v>
          </cell>
        </row>
        <row r="103">
          <cell r="D103">
            <v>0</v>
          </cell>
        </row>
        <row r="115">
          <cell r="D115">
            <v>132022</v>
          </cell>
          <cell r="F115">
            <v>7187</v>
          </cell>
        </row>
        <row r="116">
          <cell r="D116">
            <v>0</v>
          </cell>
          <cell r="F116">
            <v>18121</v>
          </cell>
        </row>
        <row r="117">
          <cell r="D117">
            <v>26704</v>
          </cell>
        </row>
        <row r="118">
          <cell r="D118">
            <v>7718</v>
          </cell>
        </row>
        <row r="119">
          <cell r="D119">
            <v>0</v>
          </cell>
        </row>
        <row r="124">
          <cell r="D124">
            <v>0</v>
          </cell>
        </row>
        <row r="125">
          <cell r="D125">
            <v>194934</v>
          </cell>
          <cell r="F125">
            <v>10612</v>
          </cell>
        </row>
        <row r="126">
          <cell r="D126">
            <v>125021</v>
          </cell>
          <cell r="F126">
            <v>6806</v>
          </cell>
        </row>
        <row r="127">
          <cell r="D127">
            <v>0</v>
          </cell>
          <cell r="F127">
            <v>0</v>
          </cell>
        </row>
        <row r="128">
          <cell r="D128">
            <v>39235</v>
          </cell>
          <cell r="F128">
            <v>2136</v>
          </cell>
        </row>
        <row r="130">
          <cell r="D130">
            <v>0</v>
          </cell>
        </row>
        <row r="131">
          <cell r="D131">
            <v>0</v>
          </cell>
          <cell r="F131">
            <v>26756</v>
          </cell>
        </row>
        <row r="132">
          <cell r="D132">
            <v>0</v>
          </cell>
          <cell r="F132">
            <v>17160</v>
          </cell>
        </row>
        <row r="133">
          <cell r="D133">
            <v>0</v>
          </cell>
          <cell r="F133">
            <v>0</v>
          </cell>
        </row>
        <row r="134">
          <cell r="D134">
            <v>0</v>
          </cell>
          <cell r="F134">
            <v>5385</v>
          </cell>
        </row>
        <row r="136">
          <cell r="D136">
            <v>774776</v>
          </cell>
          <cell r="F136">
            <v>42178</v>
          </cell>
        </row>
        <row r="137">
          <cell r="D137">
            <v>360542</v>
          </cell>
          <cell r="F137">
            <v>19628</v>
          </cell>
        </row>
        <row r="138">
          <cell r="D138">
            <v>825029</v>
          </cell>
          <cell r="F138">
            <v>35146</v>
          </cell>
        </row>
        <row r="139">
          <cell r="D139">
            <v>154855</v>
          </cell>
          <cell r="F139">
            <v>8430</v>
          </cell>
        </row>
        <row r="141">
          <cell r="D141">
            <v>0</v>
          </cell>
          <cell r="F141">
            <v>106342</v>
          </cell>
        </row>
        <row r="142">
          <cell r="D142">
            <v>0</v>
          </cell>
          <cell r="F142">
            <v>49486</v>
          </cell>
        </row>
        <row r="143">
          <cell r="D143">
            <v>0</v>
          </cell>
          <cell r="F143">
            <v>113143</v>
          </cell>
        </row>
        <row r="144">
          <cell r="D144">
            <v>0</v>
          </cell>
          <cell r="F144">
            <v>21254</v>
          </cell>
        </row>
        <row r="146">
          <cell r="D146">
            <v>122145</v>
          </cell>
        </row>
        <row r="147">
          <cell r="D147">
            <v>0</v>
          </cell>
        </row>
        <row r="148">
          <cell r="D148">
            <v>0</v>
          </cell>
        </row>
        <row r="149">
          <cell r="D149">
            <v>0</v>
          </cell>
        </row>
        <row r="150">
          <cell r="D150">
            <v>18527</v>
          </cell>
        </row>
        <row r="151">
          <cell r="D151">
            <v>259128</v>
          </cell>
        </row>
        <row r="152">
          <cell r="D152">
            <v>456</v>
          </cell>
        </row>
        <row r="153">
          <cell r="D153">
            <v>-3601</v>
          </cell>
        </row>
        <row r="154">
          <cell r="D154">
            <v>0</v>
          </cell>
        </row>
        <row r="156">
          <cell r="D156">
            <v>0</v>
          </cell>
        </row>
        <row r="157">
          <cell r="D157">
            <v>0</v>
          </cell>
        </row>
        <row r="158">
          <cell r="D158">
            <v>0</v>
          </cell>
        </row>
        <row r="159">
          <cell r="D159">
            <v>0</v>
          </cell>
        </row>
        <row r="161">
          <cell r="D161">
            <v>4760</v>
          </cell>
        </row>
        <row r="175">
          <cell r="D175">
            <v>0</v>
          </cell>
        </row>
        <row r="176">
          <cell r="D176">
            <v>0</v>
          </cell>
        </row>
        <row r="177">
          <cell r="D177">
            <v>438588</v>
          </cell>
          <cell r="F177">
            <v>23876</v>
          </cell>
        </row>
        <row r="178">
          <cell r="D178">
            <v>0</v>
          </cell>
          <cell r="F178">
            <v>60198</v>
          </cell>
        </row>
        <row r="179">
          <cell r="D179">
            <v>35874</v>
          </cell>
          <cell r="F179">
            <v>1953</v>
          </cell>
        </row>
        <row r="180">
          <cell r="D180">
            <v>0</v>
          </cell>
          <cell r="F180">
            <v>4924</v>
          </cell>
        </row>
        <row r="181">
          <cell r="D181">
            <v>0</v>
          </cell>
        </row>
        <row r="182">
          <cell r="D182">
            <v>0</v>
          </cell>
        </row>
        <row r="183">
          <cell r="D183">
            <v>229424</v>
          </cell>
          <cell r="F183">
            <v>12490</v>
          </cell>
        </row>
        <row r="184">
          <cell r="D184">
            <v>0</v>
          </cell>
          <cell r="F184">
            <v>31489</v>
          </cell>
        </row>
        <row r="185">
          <cell r="D185">
            <v>0</v>
          </cell>
        </row>
        <row r="186">
          <cell r="D186">
            <v>0</v>
          </cell>
        </row>
        <row r="187">
          <cell r="D187">
            <v>0</v>
          </cell>
        </row>
        <row r="188">
          <cell r="D188">
            <v>10450</v>
          </cell>
        </row>
        <row r="189">
          <cell r="D189">
            <v>0</v>
          </cell>
        </row>
        <row r="190">
          <cell r="D190">
            <v>0</v>
          </cell>
        </row>
        <row r="191">
          <cell r="D191">
            <v>0</v>
          </cell>
        </row>
        <row r="192">
          <cell r="D192">
            <v>0</v>
          </cell>
        </row>
        <row r="193">
          <cell r="D193">
            <v>0</v>
          </cell>
        </row>
        <row r="194">
          <cell r="D194">
            <v>105</v>
          </cell>
        </row>
        <row r="195">
          <cell r="D195">
            <v>0</v>
          </cell>
        </row>
        <row r="196">
          <cell r="D196">
            <v>0</v>
          </cell>
        </row>
        <row r="197">
          <cell r="D197">
            <v>0</v>
          </cell>
        </row>
        <row r="198">
          <cell r="D198">
            <v>100059</v>
          </cell>
        </row>
        <row r="199">
          <cell r="D199">
            <v>397303</v>
          </cell>
        </row>
        <row r="200">
          <cell r="D200">
            <v>0</v>
          </cell>
        </row>
        <row r="201">
          <cell r="D201">
            <v>0</v>
          </cell>
        </row>
        <row r="202">
          <cell r="D202">
            <v>0</v>
          </cell>
        </row>
        <row r="203">
          <cell r="D203">
            <v>0</v>
          </cell>
        </row>
        <row r="204">
          <cell r="D204">
            <v>0</v>
          </cell>
        </row>
        <row r="205">
          <cell r="D205">
            <v>355916</v>
          </cell>
        </row>
        <row r="206">
          <cell r="D206">
            <v>39148</v>
          </cell>
        </row>
        <row r="207">
          <cell r="D207">
            <v>91827</v>
          </cell>
          <cell r="F207">
            <v>-1369.42</v>
          </cell>
        </row>
        <row r="211">
          <cell r="D211">
            <v>187215</v>
          </cell>
          <cell r="F211">
            <v>10192</v>
          </cell>
        </row>
        <row r="212">
          <cell r="D212">
            <v>0</v>
          </cell>
          <cell r="F212">
            <v>25696</v>
          </cell>
        </row>
        <row r="213">
          <cell r="D213">
            <v>5568</v>
          </cell>
        </row>
        <row r="214">
          <cell r="D214">
            <v>0</v>
          </cell>
        </row>
        <row r="215">
          <cell r="D215">
            <v>0</v>
          </cell>
        </row>
        <row r="216">
          <cell r="D216">
            <v>9216</v>
          </cell>
        </row>
        <row r="221">
          <cell r="D221">
            <v>9889860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>
        <row r="9">
          <cell r="C9">
            <v>22021</v>
          </cell>
          <cell r="E9">
            <v>5302</v>
          </cell>
          <cell r="F9">
            <v>4820</v>
          </cell>
          <cell r="H9">
            <v>2487</v>
          </cell>
          <cell r="J9">
            <v>1816</v>
          </cell>
          <cell r="K9">
            <v>16</v>
          </cell>
        </row>
        <row r="22">
          <cell r="N22">
            <v>220</v>
          </cell>
        </row>
        <row r="24">
          <cell r="N24">
            <v>220</v>
          </cell>
        </row>
        <row r="28">
          <cell r="N28">
            <v>80300</v>
          </cell>
        </row>
        <row r="30">
          <cell r="N30">
            <v>0.45407222914072232</v>
          </cell>
        </row>
        <row r="32">
          <cell r="N32">
            <v>0.27423412204234121</v>
          </cell>
        </row>
        <row r="34">
          <cell r="N34">
            <v>0.60394383193461676</v>
          </cell>
        </row>
      </sheetData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E10">
            <v>6818805.7000000002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3830389.4300000006</v>
          </cell>
          <cell r="G21">
            <v>0</v>
          </cell>
        </row>
        <row r="27">
          <cell r="E27">
            <v>1565130.83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1424759.9600000002</v>
          </cell>
          <cell r="G37">
            <v>0</v>
          </cell>
        </row>
        <row r="42">
          <cell r="E42">
            <v>0</v>
          </cell>
          <cell r="G42">
            <v>341309.24</v>
          </cell>
        </row>
        <row r="47">
          <cell r="E47">
            <v>628524.29999999993</v>
          </cell>
          <cell r="G47">
            <v>-341310</v>
          </cell>
        </row>
        <row r="52">
          <cell r="E52">
            <v>8891.11</v>
          </cell>
          <cell r="G52">
            <v>0</v>
          </cell>
        </row>
        <row r="67">
          <cell r="E67">
            <v>41760.47</v>
          </cell>
          <cell r="G67">
            <v>0</v>
          </cell>
        </row>
        <row r="85">
          <cell r="C85">
            <v>258.10798270893378</v>
          </cell>
          <cell r="E85">
            <v>248.06918882072256</v>
          </cell>
          <cell r="G85">
            <v>241.65402651201325</v>
          </cell>
          <cell r="I85">
            <v>286.15050139275763</v>
          </cell>
        </row>
      </sheetData>
      <sheetData sheetId="6" refreshError="1"/>
      <sheetData sheetId="7">
        <row r="10">
          <cell r="F10">
            <v>103735</v>
          </cell>
        </row>
        <row r="12">
          <cell r="D12">
            <v>218482.27</v>
          </cell>
        </row>
        <row r="13">
          <cell r="D13">
            <v>62759.17</v>
          </cell>
          <cell r="F13">
            <v>10373.5</v>
          </cell>
        </row>
        <row r="16">
          <cell r="D16">
            <v>769626.52</v>
          </cell>
          <cell r="F16">
            <v>-6108</v>
          </cell>
        </row>
        <row r="17">
          <cell r="D17">
            <v>36804.22</v>
          </cell>
        </row>
        <row r="18">
          <cell r="D18">
            <v>33409.78</v>
          </cell>
        </row>
        <row r="19">
          <cell r="D19">
            <v>45213.64</v>
          </cell>
        </row>
        <row r="20">
          <cell r="D20">
            <v>36610.199999999997</v>
          </cell>
        </row>
        <row r="21">
          <cell r="D21">
            <v>28197.49</v>
          </cell>
          <cell r="F21">
            <v>-25270</v>
          </cell>
        </row>
        <row r="23">
          <cell r="D23">
            <v>34512.300000000003</v>
          </cell>
        </row>
        <row r="24">
          <cell r="D24">
            <v>114.17</v>
          </cell>
        </row>
        <row r="26">
          <cell r="D26">
            <v>570312.6</v>
          </cell>
        </row>
        <row r="27">
          <cell r="D27">
            <v>15034.82</v>
          </cell>
        </row>
        <row r="28">
          <cell r="F28">
            <v>0</v>
          </cell>
        </row>
        <row r="29">
          <cell r="D29">
            <v>310410.94</v>
          </cell>
          <cell r="F29">
            <v>-310410.94</v>
          </cell>
        </row>
        <row r="30">
          <cell r="D30">
            <v>400</v>
          </cell>
          <cell r="F30">
            <v>-400</v>
          </cell>
        </row>
        <row r="31">
          <cell r="D31">
            <v>1638.55</v>
          </cell>
        </row>
        <row r="32">
          <cell r="D32">
            <v>1150.8699999999999</v>
          </cell>
          <cell r="F32">
            <v>23029</v>
          </cell>
        </row>
        <row r="33">
          <cell r="D33">
            <v>-0.81</v>
          </cell>
          <cell r="F33">
            <v>0.81</v>
          </cell>
        </row>
        <row r="35">
          <cell r="D35">
            <v>13348.52</v>
          </cell>
          <cell r="F35">
            <v>-13348.52</v>
          </cell>
        </row>
        <row r="38">
          <cell r="D38">
            <v>1831.93</v>
          </cell>
        </row>
        <row r="39">
          <cell r="D39">
            <v>3510.89</v>
          </cell>
        </row>
        <row r="40">
          <cell r="D40">
            <v>41173.22</v>
          </cell>
        </row>
        <row r="41">
          <cell r="D41">
            <v>158646.82999999999</v>
          </cell>
        </row>
        <row r="42">
          <cell r="D42">
            <v>715.5</v>
          </cell>
        </row>
        <row r="45">
          <cell r="D45">
            <v>145902.26999999999</v>
          </cell>
          <cell r="F45">
            <v>-114109</v>
          </cell>
        </row>
        <row r="57">
          <cell r="D57">
            <v>944047.21</v>
          </cell>
        </row>
        <row r="58">
          <cell r="D58">
            <v>62847.89</v>
          </cell>
        </row>
        <row r="60">
          <cell r="D60">
            <v>99900.02</v>
          </cell>
        </row>
        <row r="61">
          <cell r="D61">
            <v>30187.33</v>
          </cell>
          <cell r="F61">
            <v>-23029</v>
          </cell>
        </row>
        <row r="62">
          <cell r="D62">
            <v>13188.68</v>
          </cell>
        </row>
        <row r="66">
          <cell r="D66">
            <v>78841.820000000007</v>
          </cell>
          <cell r="F66">
            <v>-16422</v>
          </cell>
        </row>
        <row r="67">
          <cell r="D67">
            <v>197862.62</v>
          </cell>
        </row>
        <row r="69">
          <cell r="D69">
            <v>6222.75</v>
          </cell>
        </row>
        <row r="75">
          <cell r="D75">
            <v>78820.679999999993</v>
          </cell>
        </row>
        <row r="76">
          <cell r="D76">
            <v>8400.3700000000008</v>
          </cell>
        </row>
        <row r="77">
          <cell r="D77">
            <v>34186.120000000003</v>
          </cell>
        </row>
        <row r="79">
          <cell r="D79">
            <v>16177.9</v>
          </cell>
        </row>
        <row r="80">
          <cell r="D80">
            <v>8116.27</v>
          </cell>
        </row>
        <row r="81">
          <cell r="D81">
            <v>5154</v>
          </cell>
        </row>
        <row r="82">
          <cell r="D82">
            <v>27746.39</v>
          </cell>
        </row>
        <row r="84">
          <cell r="D84">
            <v>210027.51</v>
          </cell>
        </row>
        <row r="85">
          <cell r="D85">
            <v>56.5</v>
          </cell>
        </row>
        <row r="89">
          <cell r="D89">
            <v>385584.95</v>
          </cell>
        </row>
        <row r="90">
          <cell r="D90">
            <v>56912.54</v>
          </cell>
        </row>
        <row r="91">
          <cell r="D91">
            <v>35909.699999999997</v>
          </cell>
        </row>
        <row r="92">
          <cell r="D92">
            <v>345911.63</v>
          </cell>
        </row>
        <row r="93">
          <cell r="D93">
            <v>30735.77</v>
          </cell>
        </row>
        <row r="94">
          <cell r="D94">
            <v>2443.42</v>
          </cell>
        </row>
        <row r="98">
          <cell r="D98">
            <v>42184.05</v>
          </cell>
        </row>
        <row r="99">
          <cell r="D99">
            <v>9682.2000000000007</v>
          </cell>
        </row>
        <row r="100">
          <cell r="D100">
            <v>7174.39</v>
          </cell>
        </row>
        <row r="102">
          <cell r="D102">
            <v>9104.32</v>
          </cell>
        </row>
        <row r="103">
          <cell r="D103">
            <v>3290.36</v>
          </cell>
        </row>
        <row r="115">
          <cell r="D115">
            <v>180101.93</v>
          </cell>
        </row>
        <row r="116">
          <cell r="D116">
            <v>40465.39</v>
          </cell>
        </row>
        <row r="117">
          <cell r="D117">
            <v>26925.02</v>
          </cell>
        </row>
        <row r="118">
          <cell r="D118">
            <v>471</v>
          </cell>
        </row>
        <row r="119">
          <cell r="D119">
            <v>2267.84</v>
          </cell>
        </row>
        <row r="125">
          <cell r="D125">
            <v>705411.65</v>
          </cell>
        </row>
        <row r="128">
          <cell r="D128">
            <v>103643.49</v>
          </cell>
        </row>
        <row r="131">
          <cell r="D131">
            <v>80143.22</v>
          </cell>
        </row>
        <row r="134">
          <cell r="D134">
            <v>28323.270000000004</v>
          </cell>
        </row>
        <row r="136">
          <cell r="D136">
            <v>1182141.18</v>
          </cell>
        </row>
        <row r="137">
          <cell r="D137">
            <v>398165.15</v>
          </cell>
        </row>
        <row r="138">
          <cell r="D138">
            <v>1396472.01</v>
          </cell>
        </row>
        <row r="139">
          <cell r="D139">
            <v>694663.34000000008</v>
          </cell>
        </row>
        <row r="141">
          <cell r="D141">
            <v>165314.95000000001</v>
          </cell>
        </row>
        <row r="142">
          <cell r="D142">
            <v>55680.87</v>
          </cell>
        </row>
        <row r="143">
          <cell r="D143">
            <v>195287.76</v>
          </cell>
        </row>
        <row r="144">
          <cell r="D144">
            <v>97175.27</v>
          </cell>
        </row>
        <row r="146">
          <cell r="D146">
            <v>211783.3</v>
          </cell>
        </row>
        <row r="147">
          <cell r="D147">
            <v>24794</v>
          </cell>
        </row>
        <row r="148">
          <cell r="D148">
            <v>6892.83</v>
          </cell>
        </row>
        <row r="149">
          <cell r="D149">
            <v>6752.21</v>
          </cell>
        </row>
        <row r="150">
          <cell r="D150">
            <v>11650</v>
          </cell>
        </row>
        <row r="151">
          <cell r="D151">
            <v>455847.18</v>
          </cell>
        </row>
        <row r="152">
          <cell r="D152">
            <v>10645.05</v>
          </cell>
        </row>
        <row r="154">
          <cell r="D154">
            <v>533.02</v>
          </cell>
        </row>
        <row r="160">
          <cell r="D160">
            <v>1695.96</v>
          </cell>
        </row>
        <row r="161">
          <cell r="D161">
            <v>79853.64</v>
          </cell>
        </row>
        <row r="194">
          <cell r="D194">
            <v>697556.84</v>
          </cell>
          <cell r="F194">
            <v>-101243</v>
          </cell>
        </row>
        <row r="195">
          <cell r="D195">
            <v>121571.14</v>
          </cell>
          <cell r="F195">
            <v>-17645</v>
          </cell>
        </row>
        <row r="197">
          <cell r="D197">
            <v>635655</v>
          </cell>
          <cell r="F197">
            <v>-92258</v>
          </cell>
        </row>
        <row r="198">
          <cell r="D198">
            <v>49332.84</v>
          </cell>
        </row>
        <row r="205">
          <cell r="D205">
            <v>1005190.46</v>
          </cell>
          <cell r="F205">
            <v>-294076</v>
          </cell>
        </row>
        <row r="206">
          <cell r="D206">
            <v>49968.72</v>
          </cell>
        </row>
        <row r="207">
          <cell r="D207">
            <v>102237.11</v>
          </cell>
        </row>
        <row r="211">
          <cell r="D211">
            <v>231771.92</v>
          </cell>
        </row>
        <row r="212">
          <cell r="D212">
            <v>37385.769999999997</v>
          </cell>
        </row>
        <row r="213">
          <cell r="D213">
            <v>19601.939999999999</v>
          </cell>
        </row>
        <row r="216">
          <cell r="D216">
            <v>10001.969999999999</v>
          </cell>
        </row>
        <row r="221">
          <cell r="D221">
            <v>14403898.539999999</v>
          </cell>
        </row>
      </sheetData>
      <sheetData sheetId="8" refreshError="1"/>
      <sheetData sheetId="9" refreshError="1"/>
      <sheetData sheetId="10">
        <row r="9">
          <cell r="C9">
            <v>28031</v>
          </cell>
          <cell r="E9">
            <v>6990</v>
          </cell>
          <cell r="F9">
            <v>3359</v>
          </cell>
          <cell r="H9">
            <v>5498</v>
          </cell>
          <cell r="I9">
            <v>2129</v>
          </cell>
          <cell r="J9">
            <v>1392</v>
          </cell>
          <cell r="K9">
            <v>40</v>
          </cell>
        </row>
        <row r="22">
          <cell r="N22">
            <v>168</v>
          </cell>
        </row>
        <row r="24">
          <cell r="N24">
            <v>168</v>
          </cell>
        </row>
        <row r="28">
          <cell r="N28">
            <v>61320</v>
          </cell>
        </row>
        <row r="30">
          <cell r="N30">
            <v>0.77363013698630134</v>
          </cell>
        </row>
        <row r="32">
          <cell r="N32">
            <v>0.45712654924983692</v>
          </cell>
        </row>
        <row r="34">
          <cell r="N34">
            <v>0.59088513670186982</v>
          </cell>
        </row>
      </sheetData>
      <sheetData sheetId="1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E10">
            <v>1272004.2999999998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2235132.12</v>
          </cell>
          <cell r="G21">
            <v>0</v>
          </cell>
        </row>
        <row r="27">
          <cell r="E27">
            <v>695976.53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324515.7</v>
          </cell>
          <cell r="G37">
            <v>0</v>
          </cell>
        </row>
        <row r="42">
          <cell r="E42">
            <v>82718.399999999994</v>
          </cell>
          <cell r="G42">
            <v>0</v>
          </cell>
        </row>
        <row r="47">
          <cell r="E47">
            <v>7635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9540.93</v>
          </cell>
          <cell r="G67">
            <v>-24.5</v>
          </cell>
        </row>
        <row r="85">
          <cell r="C85">
            <v>164.92904145077719</v>
          </cell>
          <cell r="E85">
            <v>156.51248730964465</v>
          </cell>
        </row>
      </sheetData>
      <sheetData sheetId="6" refreshError="1"/>
      <sheetData sheetId="7">
        <row r="10">
          <cell r="D10">
            <v>153840.81</v>
          </cell>
        </row>
        <row r="12">
          <cell r="D12">
            <v>115453.26</v>
          </cell>
          <cell r="F12">
            <v>-21475.69</v>
          </cell>
        </row>
        <row r="13">
          <cell r="D13">
            <v>51662.240000000005</v>
          </cell>
        </row>
        <row r="15">
          <cell r="D15">
            <v>199339.72</v>
          </cell>
          <cell r="F15">
            <v>-199339.72</v>
          </cell>
        </row>
        <row r="16">
          <cell r="F16">
            <v>455869</v>
          </cell>
        </row>
        <row r="17">
          <cell r="D17">
            <v>4077.2799999999997</v>
          </cell>
        </row>
        <row r="18">
          <cell r="D18">
            <v>21379.89</v>
          </cell>
        </row>
        <row r="19">
          <cell r="D19">
            <v>15978.900000000001</v>
          </cell>
        </row>
        <row r="20">
          <cell r="D20">
            <v>9330.2800000000025</v>
          </cell>
        </row>
        <row r="21">
          <cell r="D21">
            <v>7455.15</v>
          </cell>
          <cell r="F21">
            <v>47331</v>
          </cell>
        </row>
        <row r="23">
          <cell r="D23">
            <v>18814.449999999997</v>
          </cell>
        </row>
        <row r="24">
          <cell r="D24">
            <v>26604.17</v>
          </cell>
        </row>
        <row r="26">
          <cell r="D26">
            <v>142514.09</v>
          </cell>
          <cell r="F26">
            <v>-2.4900000000000002</v>
          </cell>
        </row>
        <row r="27">
          <cell r="D27">
            <v>6336.4</v>
          </cell>
          <cell r="F27">
            <v>8793.5</v>
          </cell>
        </row>
        <row r="28">
          <cell r="F28">
            <v>0</v>
          </cell>
        </row>
        <row r="29">
          <cell r="D29">
            <v>66467.94</v>
          </cell>
          <cell r="F29">
            <v>-66467.94</v>
          </cell>
        </row>
        <row r="30">
          <cell r="D30">
            <v>310</v>
          </cell>
          <cell r="F30">
            <v>-310</v>
          </cell>
        </row>
        <row r="32">
          <cell r="D32">
            <v>68066.990000000005</v>
          </cell>
        </row>
        <row r="33">
          <cell r="F33">
            <v>0</v>
          </cell>
        </row>
        <row r="35">
          <cell r="F35">
            <v>0</v>
          </cell>
        </row>
        <row r="39">
          <cell r="D39">
            <v>8555.5499999999993</v>
          </cell>
          <cell r="F39">
            <v>274</v>
          </cell>
        </row>
        <row r="40">
          <cell r="D40">
            <v>11364.499999999998</v>
          </cell>
          <cell r="F40">
            <v>-11364.5</v>
          </cell>
        </row>
        <row r="41">
          <cell r="D41">
            <v>9031.4000000000015</v>
          </cell>
          <cell r="F41">
            <v>33271</v>
          </cell>
        </row>
        <row r="42">
          <cell r="D42">
            <v>4496.04</v>
          </cell>
        </row>
        <row r="44">
          <cell r="D44">
            <v>15</v>
          </cell>
          <cell r="F44">
            <v>-15</v>
          </cell>
        </row>
        <row r="45">
          <cell r="D45">
            <v>1646.65</v>
          </cell>
        </row>
        <row r="57">
          <cell r="D57">
            <v>270732</v>
          </cell>
          <cell r="F57">
            <v>-270732</v>
          </cell>
        </row>
        <row r="58">
          <cell r="D58">
            <v>4640.17</v>
          </cell>
          <cell r="F58">
            <v>66169.78</v>
          </cell>
        </row>
        <row r="59">
          <cell r="F59">
            <v>168823.31</v>
          </cell>
        </row>
        <row r="60">
          <cell r="D60">
            <v>16359.2</v>
          </cell>
        </row>
        <row r="61">
          <cell r="D61">
            <v>9753.880000000001</v>
          </cell>
          <cell r="F61">
            <v>5</v>
          </cell>
        </row>
        <row r="62">
          <cell r="D62">
            <v>355.88</v>
          </cell>
          <cell r="F62">
            <v>163.11000000000001</v>
          </cell>
        </row>
        <row r="67">
          <cell r="D67">
            <v>24132.93</v>
          </cell>
          <cell r="F67">
            <v>71983.460000000006</v>
          </cell>
        </row>
        <row r="75">
          <cell r="D75">
            <v>32427.4</v>
          </cell>
        </row>
        <row r="76">
          <cell r="D76">
            <v>8734.6499999999978</v>
          </cell>
        </row>
        <row r="77">
          <cell r="D77">
            <v>4472.45</v>
          </cell>
        </row>
        <row r="78">
          <cell r="D78">
            <v>27981.960000000003</v>
          </cell>
          <cell r="F78">
            <v>2611</v>
          </cell>
        </row>
        <row r="79">
          <cell r="D79">
            <v>16512.12</v>
          </cell>
        </row>
        <row r="80">
          <cell r="D80">
            <v>21641.840000000004</v>
          </cell>
        </row>
        <row r="81">
          <cell r="D81">
            <v>11136.26</v>
          </cell>
        </row>
        <row r="84">
          <cell r="D84">
            <v>96492.239999999991</v>
          </cell>
          <cell r="F84">
            <v>123</v>
          </cell>
        </row>
        <row r="89">
          <cell r="D89">
            <v>137620.32</v>
          </cell>
        </row>
        <row r="90">
          <cell r="D90">
            <v>34304.629999999997</v>
          </cell>
        </row>
        <row r="91">
          <cell r="D91">
            <v>11074.05</v>
          </cell>
        </row>
        <row r="92">
          <cell r="D92">
            <v>108488.16999999998</v>
          </cell>
        </row>
        <row r="93">
          <cell r="D93">
            <v>6453.54</v>
          </cell>
        </row>
        <row r="94">
          <cell r="D94">
            <v>3053.4300000000003</v>
          </cell>
        </row>
        <row r="98">
          <cell r="D98">
            <v>20663.879999999997</v>
          </cell>
        </row>
        <row r="99">
          <cell r="D99">
            <v>5686.37</v>
          </cell>
        </row>
        <row r="100">
          <cell r="D100">
            <v>2246.6799999999998</v>
          </cell>
        </row>
        <row r="101">
          <cell r="D101">
            <v>147.19</v>
          </cell>
        </row>
        <row r="102">
          <cell r="D102">
            <v>4582.67</v>
          </cell>
        </row>
        <row r="115">
          <cell r="D115">
            <v>42529.39</v>
          </cell>
        </row>
        <row r="116">
          <cell r="D116">
            <v>8389.7999999999993</v>
          </cell>
        </row>
        <row r="117">
          <cell r="D117">
            <v>10650.130000000001</v>
          </cell>
        </row>
        <row r="119">
          <cell r="D119">
            <v>552</v>
          </cell>
        </row>
        <row r="124">
          <cell r="D124">
            <v>62352.03</v>
          </cell>
        </row>
        <row r="125">
          <cell r="D125">
            <v>29726.06</v>
          </cell>
        </row>
        <row r="128">
          <cell r="D128">
            <v>21366.05</v>
          </cell>
        </row>
        <row r="130">
          <cell r="D130">
            <v>14583.071</v>
          </cell>
        </row>
        <row r="131">
          <cell r="D131">
            <v>6952.42</v>
          </cell>
        </row>
        <row r="134">
          <cell r="D134">
            <v>5728.5800000000008</v>
          </cell>
        </row>
        <row r="136">
          <cell r="D136">
            <v>297509.44</v>
          </cell>
        </row>
        <row r="137">
          <cell r="D137">
            <v>165695.52999999997</v>
          </cell>
        </row>
        <row r="138">
          <cell r="D138">
            <v>303739.10000000003</v>
          </cell>
        </row>
        <row r="139">
          <cell r="D139">
            <v>85158.46</v>
          </cell>
        </row>
        <row r="141">
          <cell r="D141">
            <v>69820.62</v>
          </cell>
        </row>
        <row r="142">
          <cell r="D142">
            <v>38753.35</v>
          </cell>
        </row>
        <row r="143">
          <cell r="D143">
            <v>71039.37</v>
          </cell>
        </row>
        <row r="144">
          <cell r="D144">
            <v>19917.099999999999</v>
          </cell>
        </row>
        <row r="146">
          <cell r="D146">
            <v>10500</v>
          </cell>
        </row>
        <row r="150">
          <cell r="D150">
            <v>9548.3499999999985</v>
          </cell>
        </row>
        <row r="151">
          <cell r="D151">
            <v>53961.049999999996</v>
          </cell>
        </row>
        <row r="152">
          <cell r="D152">
            <v>3292.18</v>
          </cell>
        </row>
        <row r="160">
          <cell r="D160">
            <v>287.98</v>
          </cell>
        </row>
        <row r="161">
          <cell r="D161">
            <v>2653.4300000000003</v>
          </cell>
        </row>
        <row r="177">
          <cell r="D177">
            <v>270971.26999999996</v>
          </cell>
        </row>
        <row r="178">
          <cell r="D178">
            <v>71076.539999999979</v>
          </cell>
        </row>
        <row r="179">
          <cell r="D179">
            <v>50107.33</v>
          </cell>
        </row>
        <row r="180">
          <cell r="D180">
            <v>11253.39</v>
          </cell>
        </row>
        <row r="183">
          <cell r="D183">
            <v>143743.52000000002</v>
          </cell>
        </row>
        <row r="184">
          <cell r="D184">
            <v>36092.46</v>
          </cell>
        </row>
        <row r="189">
          <cell r="D189">
            <v>954.5</v>
          </cell>
        </row>
        <row r="192">
          <cell r="D192">
            <v>24486.959999999999</v>
          </cell>
        </row>
        <row r="203">
          <cell r="D203">
            <v>3707.58</v>
          </cell>
        </row>
        <row r="205">
          <cell r="D205">
            <v>203941.06000000003</v>
          </cell>
        </row>
        <row r="206">
          <cell r="D206">
            <v>9147.8599999999988</v>
          </cell>
        </row>
        <row r="207">
          <cell r="D207">
            <v>31888.070000000003</v>
          </cell>
        </row>
        <row r="211">
          <cell r="D211">
            <v>66749.290000000008</v>
          </cell>
        </row>
        <row r="212">
          <cell r="D212">
            <v>17848.850000000002</v>
          </cell>
        </row>
        <row r="213">
          <cell r="D213">
            <v>4962.5</v>
          </cell>
        </row>
        <row r="216">
          <cell r="D216">
            <v>6081.88</v>
          </cell>
        </row>
        <row r="221">
          <cell r="D221">
            <v>4110153.17</v>
          </cell>
        </row>
      </sheetData>
      <sheetData sheetId="8" refreshError="1"/>
      <sheetData sheetId="9" refreshError="1"/>
      <sheetData sheetId="10">
        <row r="9">
          <cell r="C9">
            <v>6760</v>
          </cell>
          <cell r="D9">
            <v>0</v>
          </cell>
          <cell r="E9">
            <v>4381</v>
          </cell>
          <cell r="F9">
            <v>1586</v>
          </cell>
          <cell r="G9">
            <v>0</v>
          </cell>
          <cell r="H9">
            <v>2032</v>
          </cell>
          <cell r="I9">
            <v>437</v>
          </cell>
          <cell r="J9">
            <v>45</v>
          </cell>
          <cell r="K9">
            <v>0</v>
          </cell>
        </row>
      </sheetData>
      <sheetData sheetId="1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Grou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E10">
            <v>1795781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1450831</v>
          </cell>
          <cell r="G21">
            <v>0</v>
          </cell>
        </row>
        <row r="27">
          <cell r="E27">
            <v>21304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316444</v>
          </cell>
          <cell r="G37">
            <v>0</v>
          </cell>
        </row>
        <row r="42">
          <cell r="E42">
            <v>42257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176608</v>
          </cell>
          <cell r="G52">
            <v>0</v>
          </cell>
        </row>
        <row r="67">
          <cell r="E67">
            <v>61365</v>
          </cell>
          <cell r="G67">
            <v>-908</v>
          </cell>
        </row>
        <row r="85">
          <cell r="C85">
            <v>165.15849056603773</v>
          </cell>
          <cell r="E85">
            <v>165.15979381443299</v>
          </cell>
          <cell r="G85">
            <v>165.15938864628822</v>
          </cell>
          <cell r="I85">
            <v>165.15740740740742</v>
          </cell>
        </row>
      </sheetData>
      <sheetData sheetId="6" refreshError="1"/>
      <sheetData sheetId="7">
        <row r="10">
          <cell r="D10">
            <v>0</v>
          </cell>
          <cell r="F10">
            <v>152934</v>
          </cell>
        </row>
        <row r="11">
          <cell r="D11">
            <v>0</v>
          </cell>
        </row>
        <row r="12">
          <cell r="D12">
            <v>179394</v>
          </cell>
          <cell r="F12">
            <v>-152934</v>
          </cell>
        </row>
        <row r="13">
          <cell r="D13">
            <v>34204</v>
          </cell>
          <cell r="F13">
            <v>-174</v>
          </cell>
        </row>
        <row r="14">
          <cell r="D14">
            <v>0</v>
          </cell>
        </row>
        <row r="15">
          <cell r="D15">
            <v>0</v>
          </cell>
        </row>
        <row r="16">
          <cell r="D16">
            <v>192388</v>
          </cell>
          <cell r="F16">
            <v>37162</v>
          </cell>
        </row>
        <row r="17">
          <cell r="D17">
            <v>216</v>
          </cell>
          <cell r="F17">
            <v>-216</v>
          </cell>
        </row>
        <row r="18">
          <cell r="D18">
            <v>13790</v>
          </cell>
        </row>
        <row r="19">
          <cell r="D19">
            <v>10961</v>
          </cell>
        </row>
        <row r="20">
          <cell r="D20">
            <v>6249</v>
          </cell>
        </row>
        <row r="21">
          <cell r="D21">
            <v>12761</v>
          </cell>
        </row>
        <row r="22">
          <cell r="D22">
            <v>0</v>
          </cell>
        </row>
        <row r="23">
          <cell r="D23">
            <v>3996</v>
          </cell>
        </row>
        <row r="24">
          <cell r="D24">
            <v>0</v>
          </cell>
        </row>
        <row r="25">
          <cell r="D25">
            <v>3189</v>
          </cell>
        </row>
        <row r="26">
          <cell r="D26">
            <v>179549</v>
          </cell>
        </row>
        <row r="27">
          <cell r="D27">
            <v>-6302</v>
          </cell>
          <cell r="F27">
            <v>-619</v>
          </cell>
        </row>
        <row r="28">
          <cell r="D28">
            <v>0</v>
          </cell>
          <cell r="F28">
            <v>0</v>
          </cell>
        </row>
        <row r="29">
          <cell r="D29">
            <v>42495</v>
          </cell>
          <cell r="F29">
            <v>-42495</v>
          </cell>
        </row>
        <row r="30">
          <cell r="D30">
            <v>0</v>
          </cell>
          <cell r="F30">
            <v>0</v>
          </cell>
        </row>
        <row r="31">
          <cell r="D31">
            <v>0</v>
          </cell>
        </row>
        <row r="32">
          <cell r="D32">
            <v>68180</v>
          </cell>
        </row>
        <row r="33">
          <cell r="D33">
            <v>0</v>
          </cell>
          <cell r="F33">
            <v>0</v>
          </cell>
        </row>
        <row r="34">
          <cell r="D34">
            <v>16</v>
          </cell>
        </row>
        <row r="35">
          <cell r="D35">
            <v>0</v>
          </cell>
          <cell r="F35">
            <v>0</v>
          </cell>
        </row>
        <row r="36">
          <cell r="D36">
            <v>6167</v>
          </cell>
        </row>
        <row r="37">
          <cell r="D37">
            <v>790</v>
          </cell>
        </row>
        <row r="38">
          <cell r="D38">
            <v>264</v>
          </cell>
          <cell r="F38">
            <v>-264</v>
          </cell>
        </row>
        <row r="39">
          <cell r="D39">
            <v>3749</v>
          </cell>
        </row>
        <row r="40">
          <cell r="D40">
            <v>5277</v>
          </cell>
          <cell r="F40">
            <v>-5277</v>
          </cell>
        </row>
        <row r="41">
          <cell r="D41">
            <v>52717</v>
          </cell>
        </row>
        <row r="42">
          <cell r="D42">
            <v>72</v>
          </cell>
        </row>
        <row r="43">
          <cell r="D43">
            <v>3571</v>
          </cell>
          <cell r="F43">
            <v>-3571</v>
          </cell>
        </row>
        <row r="44">
          <cell r="D44">
            <v>0</v>
          </cell>
        </row>
        <row r="45">
          <cell r="D45">
            <v>3874</v>
          </cell>
          <cell r="F45">
            <v>-169</v>
          </cell>
        </row>
        <row r="57">
          <cell r="D57">
            <v>0</v>
          </cell>
        </row>
        <row r="58">
          <cell r="D58">
            <v>142091</v>
          </cell>
        </row>
        <row r="59">
          <cell r="D59">
            <v>287820</v>
          </cell>
        </row>
        <row r="60">
          <cell r="D60">
            <v>10202</v>
          </cell>
        </row>
        <row r="61">
          <cell r="D61">
            <v>56743</v>
          </cell>
        </row>
        <row r="62">
          <cell r="D62">
            <v>6908</v>
          </cell>
        </row>
        <row r="63">
          <cell r="D63">
            <v>0</v>
          </cell>
        </row>
        <row r="64">
          <cell r="D64">
            <v>0</v>
          </cell>
        </row>
        <row r="65">
          <cell r="D65">
            <v>1834</v>
          </cell>
        </row>
        <row r="66">
          <cell r="D66">
            <v>21841</v>
          </cell>
          <cell r="F66">
            <v>-701</v>
          </cell>
        </row>
        <row r="67">
          <cell r="D67">
            <v>72093</v>
          </cell>
        </row>
        <row r="68">
          <cell r="D68">
            <v>0</v>
          </cell>
        </row>
        <row r="69">
          <cell r="D69">
            <v>6454</v>
          </cell>
        </row>
        <row r="70">
          <cell r="D70">
            <v>0</v>
          </cell>
        </row>
        <row r="71">
          <cell r="D71">
            <v>0</v>
          </cell>
        </row>
        <row r="75">
          <cell r="D75">
            <v>24555</v>
          </cell>
        </row>
        <row r="76">
          <cell r="D76">
            <v>8138</v>
          </cell>
        </row>
        <row r="77">
          <cell r="D77">
            <v>1103</v>
          </cell>
        </row>
        <row r="78">
          <cell r="D78">
            <v>0</v>
          </cell>
        </row>
        <row r="79">
          <cell r="D79">
            <v>798</v>
          </cell>
        </row>
        <row r="80">
          <cell r="D80">
            <v>25121</v>
          </cell>
        </row>
        <row r="81">
          <cell r="D81">
            <v>5226</v>
          </cell>
        </row>
        <row r="82">
          <cell r="D82">
            <v>3938</v>
          </cell>
        </row>
        <row r="83">
          <cell r="D83">
            <v>2756</v>
          </cell>
        </row>
        <row r="84">
          <cell r="D84">
            <v>61492</v>
          </cell>
        </row>
        <row r="85">
          <cell r="D85">
            <v>0</v>
          </cell>
        </row>
        <row r="89">
          <cell r="D89">
            <v>103941</v>
          </cell>
        </row>
        <row r="90">
          <cell r="D90">
            <v>17020</v>
          </cell>
        </row>
        <row r="91">
          <cell r="D91">
            <v>3187</v>
          </cell>
        </row>
        <row r="92">
          <cell r="D92">
            <v>80486</v>
          </cell>
          <cell r="F92">
            <v>-220</v>
          </cell>
        </row>
        <row r="93">
          <cell r="D93">
            <v>6190</v>
          </cell>
        </row>
        <row r="94">
          <cell r="D94">
            <v>0</v>
          </cell>
        </row>
        <row r="98">
          <cell r="D98">
            <v>0</v>
          </cell>
        </row>
        <row r="99">
          <cell r="D99">
            <v>0</v>
          </cell>
        </row>
        <row r="100">
          <cell r="D100">
            <v>0</v>
          </cell>
        </row>
        <row r="101">
          <cell r="D101">
            <v>46785</v>
          </cell>
        </row>
        <row r="102">
          <cell r="D102">
            <v>4068</v>
          </cell>
        </row>
        <row r="103">
          <cell r="D103">
            <v>0</v>
          </cell>
        </row>
        <row r="115">
          <cell r="D115">
            <v>0</v>
          </cell>
        </row>
        <row r="116">
          <cell r="D116">
            <v>0</v>
          </cell>
        </row>
        <row r="117">
          <cell r="D117">
            <v>5431</v>
          </cell>
        </row>
        <row r="118">
          <cell r="D118">
            <v>90492</v>
          </cell>
        </row>
        <row r="119">
          <cell r="D119">
            <v>0</v>
          </cell>
        </row>
        <row r="124">
          <cell r="D124">
            <v>0</v>
          </cell>
        </row>
        <row r="125">
          <cell r="D125">
            <v>130846</v>
          </cell>
        </row>
        <row r="126">
          <cell r="D126">
            <v>0</v>
          </cell>
        </row>
        <row r="127">
          <cell r="D127">
            <v>0</v>
          </cell>
        </row>
        <row r="128">
          <cell r="D128">
            <v>30243</v>
          </cell>
        </row>
        <row r="130">
          <cell r="D130">
            <v>0</v>
          </cell>
        </row>
        <row r="131">
          <cell r="D131">
            <v>29816</v>
          </cell>
        </row>
        <row r="132">
          <cell r="D132">
            <v>0</v>
          </cell>
        </row>
        <row r="133">
          <cell r="D133">
            <v>0</v>
          </cell>
        </row>
        <row r="134">
          <cell r="D134">
            <v>8646</v>
          </cell>
        </row>
        <row r="136">
          <cell r="D136">
            <v>138916</v>
          </cell>
        </row>
        <row r="137">
          <cell r="D137">
            <v>257560</v>
          </cell>
        </row>
        <row r="138">
          <cell r="D138">
            <v>328488</v>
          </cell>
          <cell r="F138">
            <v>9361</v>
          </cell>
        </row>
        <row r="139">
          <cell r="D139">
            <v>9361</v>
          </cell>
          <cell r="F139">
            <v>-9361</v>
          </cell>
        </row>
        <row r="141">
          <cell r="D141">
            <v>157896</v>
          </cell>
          <cell r="F141">
            <v>-128026</v>
          </cell>
        </row>
        <row r="142">
          <cell r="D142">
            <v>0</v>
          </cell>
          <cell r="F142">
            <v>55381</v>
          </cell>
        </row>
        <row r="143">
          <cell r="D143">
            <v>0</v>
          </cell>
          <cell r="F143">
            <v>72645</v>
          </cell>
        </row>
        <row r="144">
          <cell r="D144">
            <v>0</v>
          </cell>
        </row>
        <row r="146">
          <cell r="D146">
            <v>23025</v>
          </cell>
        </row>
        <row r="147">
          <cell r="D147">
            <v>0</v>
          </cell>
        </row>
        <row r="148">
          <cell r="D148">
            <v>0</v>
          </cell>
        </row>
        <row r="149">
          <cell r="D149">
            <v>0</v>
          </cell>
        </row>
        <row r="150">
          <cell r="D150">
            <v>687</v>
          </cell>
        </row>
        <row r="151">
          <cell r="D151">
            <v>60518</v>
          </cell>
        </row>
        <row r="152">
          <cell r="D152">
            <v>2843</v>
          </cell>
        </row>
        <row r="153">
          <cell r="D153">
            <v>0</v>
          </cell>
        </row>
        <row r="154">
          <cell r="D154">
            <v>0</v>
          </cell>
        </row>
        <row r="156">
          <cell r="D156">
            <v>0</v>
          </cell>
        </row>
        <row r="157">
          <cell r="D157">
            <v>0</v>
          </cell>
        </row>
        <row r="158">
          <cell r="D158">
            <v>0</v>
          </cell>
        </row>
        <row r="159">
          <cell r="D159">
            <v>0</v>
          </cell>
        </row>
        <row r="160">
          <cell r="D160">
            <v>0</v>
          </cell>
        </row>
        <row r="161">
          <cell r="D161">
            <v>9284</v>
          </cell>
          <cell r="F161">
            <v>-352</v>
          </cell>
        </row>
        <row r="175">
          <cell r="D175">
            <v>0</v>
          </cell>
        </row>
        <row r="176">
          <cell r="D176">
            <v>0</v>
          </cell>
        </row>
        <row r="177">
          <cell r="D177">
            <v>0</v>
          </cell>
        </row>
        <row r="178">
          <cell r="D178">
            <v>0</v>
          </cell>
        </row>
        <row r="179">
          <cell r="D179">
            <v>0</v>
          </cell>
        </row>
        <row r="180">
          <cell r="D180">
            <v>0</v>
          </cell>
        </row>
        <row r="181">
          <cell r="D181">
            <v>0</v>
          </cell>
        </row>
        <row r="182">
          <cell r="D182">
            <v>0</v>
          </cell>
        </row>
        <row r="183">
          <cell r="D183">
            <v>0</v>
          </cell>
        </row>
        <row r="184">
          <cell r="D184">
            <v>0</v>
          </cell>
        </row>
        <row r="185">
          <cell r="D185">
            <v>0</v>
          </cell>
        </row>
        <row r="186">
          <cell r="D186">
            <v>0</v>
          </cell>
        </row>
        <row r="187">
          <cell r="D187">
            <v>0</v>
          </cell>
        </row>
        <row r="188">
          <cell r="D188">
            <v>0</v>
          </cell>
        </row>
        <row r="189">
          <cell r="D189">
            <v>0</v>
          </cell>
        </row>
        <row r="190">
          <cell r="D190">
            <v>0</v>
          </cell>
        </row>
        <row r="191">
          <cell r="D191">
            <v>0</v>
          </cell>
        </row>
        <row r="192">
          <cell r="D192">
            <v>0</v>
          </cell>
        </row>
        <row r="193">
          <cell r="D193">
            <v>399</v>
          </cell>
        </row>
        <row r="194">
          <cell r="D194">
            <v>190727</v>
          </cell>
          <cell r="F194">
            <v>7038</v>
          </cell>
        </row>
        <row r="195">
          <cell r="D195">
            <v>10169</v>
          </cell>
          <cell r="F195">
            <v>375</v>
          </cell>
        </row>
        <row r="196">
          <cell r="D196">
            <v>0</v>
          </cell>
        </row>
        <row r="197">
          <cell r="D197">
            <v>166718</v>
          </cell>
          <cell r="F197">
            <v>6152</v>
          </cell>
        </row>
        <row r="198">
          <cell r="D198">
            <v>10189</v>
          </cell>
        </row>
        <row r="199">
          <cell r="D199">
            <v>0</v>
          </cell>
        </row>
        <row r="200">
          <cell r="D200">
            <v>0</v>
          </cell>
        </row>
        <row r="201">
          <cell r="D201">
            <v>0</v>
          </cell>
        </row>
        <row r="202">
          <cell r="D202">
            <v>0</v>
          </cell>
        </row>
        <row r="203">
          <cell r="D203">
            <v>0</v>
          </cell>
        </row>
        <row r="204">
          <cell r="D204">
            <v>0</v>
          </cell>
        </row>
        <row r="205">
          <cell r="D205">
            <v>121326</v>
          </cell>
          <cell r="F205">
            <v>-7755</v>
          </cell>
        </row>
        <row r="206">
          <cell r="D206">
            <v>651</v>
          </cell>
        </row>
        <row r="207">
          <cell r="D207">
            <v>0</v>
          </cell>
        </row>
        <row r="211">
          <cell r="D211">
            <v>70193</v>
          </cell>
        </row>
        <row r="212">
          <cell r="D212">
            <v>15434</v>
          </cell>
        </row>
        <row r="213">
          <cell r="D213">
            <v>5691</v>
          </cell>
        </row>
        <row r="214">
          <cell r="D214">
            <v>0</v>
          </cell>
        </row>
        <row r="215">
          <cell r="D215">
            <v>0</v>
          </cell>
        </row>
        <row r="216">
          <cell r="D216">
            <v>936</v>
          </cell>
        </row>
        <row r="221">
          <cell r="D221">
            <v>3694842</v>
          </cell>
        </row>
      </sheetData>
      <sheetData sheetId="8" refreshError="1"/>
      <sheetData sheetId="9" refreshError="1"/>
      <sheetData sheetId="10">
        <row r="9">
          <cell r="C9">
            <v>9143</v>
          </cell>
          <cell r="D9">
            <v>0</v>
          </cell>
          <cell r="E9">
            <v>2803</v>
          </cell>
          <cell r="F9">
            <v>46</v>
          </cell>
          <cell r="G9">
            <v>0</v>
          </cell>
          <cell r="H9">
            <v>1916</v>
          </cell>
          <cell r="I9">
            <v>214</v>
          </cell>
          <cell r="J9">
            <v>0</v>
          </cell>
          <cell r="K9">
            <v>383</v>
          </cell>
        </row>
        <row r="22">
          <cell r="N22">
            <v>98</v>
          </cell>
        </row>
        <row r="24">
          <cell r="N24">
            <v>98</v>
          </cell>
        </row>
        <row r="28">
          <cell r="N28">
            <v>35770</v>
          </cell>
        </row>
        <row r="30">
          <cell r="N30">
            <v>0.40550740844282918</v>
          </cell>
        </row>
        <row r="32">
          <cell r="N32">
            <v>0.2556052558009505</v>
          </cell>
        </row>
        <row r="34">
          <cell r="N34">
            <v>0.63033436745949667</v>
          </cell>
        </row>
      </sheetData>
      <sheetData sheetId="11" refreshError="1"/>
      <sheetData sheetId="12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4592889.4900000012</v>
          </cell>
          <cell r="G10">
            <v>-238012.05999999994</v>
          </cell>
        </row>
        <row r="15">
          <cell r="E15">
            <v>0</v>
          </cell>
          <cell r="G15">
            <v>0</v>
          </cell>
        </row>
        <row r="21">
          <cell r="E21">
            <v>4228617.49</v>
          </cell>
          <cell r="G21">
            <v>115411.96999999997</v>
          </cell>
        </row>
        <row r="27">
          <cell r="E27">
            <v>2480045.9400000004</v>
          </cell>
          <cell r="G27">
            <v>69627.399999999965</v>
          </cell>
        </row>
        <row r="32">
          <cell r="E32">
            <v>0</v>
          </cell>
          <cell r="G32">
            <v>0</v>
          </cell>
        </row>
        <row r="37">
          <cell r="E37">
            <v>1264414.8599999999</v>
          </cell>
          <cell r="G37">
            <v>52972.689999999995</v>
          </cell>
        </row>
        <row r="42">
          <cell r="E42">
            <v>0</v>
          </cell>
          <cell r="G42">
            <v>232219.11999999994</v>
          </cell>
        </row>
        <row r="47">
          <cell r="E47">
            <v>426797.14</v>
          </cell>
          <cell r="G47">
            <v>-232219</v>
          </cell>
        </row>
        <row r="52">
          <cell r="E52">
            <v>0</v>
          </cell>
          <cell r="G52">
            <v>0</v>
          </cell>
        </row>
        <row r="67">
          <cell r="E67">
            <v>-1510748.8399999999</v>
          </cell>
          <cell r="G67">
            <v>0</v>
          </cell>
        </row>
        <row r="85">
          <cell r="C85">
            <v>289.24440440440446</v>
          </cell>
          <cell r="E85">
            <v>301.98064755838641</v>
          </cell>
          <cell r="G85">
            <v>314.08582564102568</v>
          </cell>
          <cell r="I85">
            <v>395.0310574948665</v>
          </cell>
        </row>
      </sheetData>
      <sheetData sheetId="6"/>
      <sheetData sheetId="7">
        <row r="10">
          <cell r="F10">
            <v>136413.51</v>
          </cell>
        </row>
        <row r="11">
          <cell r="F11">
            <v>13641</v>
          </cell>
        </row>
        <row r="12">
          <cell r="D12">
            <v>162941</v>
          </cell>
        </row>
        <row r="13">
          <cell r="D13">
            <v>36738.69</v>
          </cell>
        </row>
        <row r="16">
          <cell r="D16">
            <v>663698.35</v>
          </cell>
          <cell r="F16">
            <v>34137</v>
          </cell>
        </row>
        <row r="17">
          <cell r="D17">
            <v>9827.5</v>
          </cell>
        </row>
        <row r="18">
          <cell r="D18">
            <v>17582.22</v>
          </cell>
        </row>
        <row r="19">
          <cell r="D19">
            <v>43302.42</v>
          </cell>
        </row>
        <row r="20">
          <cell r="D20">
            <v>30315.919999999998</v>
          </cell>
        </row>
        <row r="21">
          <cell r="D21">
            <v>49465.33</v>
          </cell>
          <cell r="F21">
            <v>-16142</v>
          </cell>
        </row>
        <row r="22">
          <cell r="D22">
            <v>37786.18</v>
          </cell>
        </row>
        <row r="24">
          <cell r="D24">
            <v>522.39</v>
          </cell>
        </row>
        <row r="26">
          <cell r="D26">
            <v>383567.8</v>
          </cell>
        </row>
        <row r="27">
          <cell r="D27">
            <v>15471.01</v>
          </cell>
          <cell r="F27">
            <v>-15471</v>
          </cell>
        </row>
        <row r="28">
          <cell r="F28">
            <v>0</v>
          </cell>
        </row>
        <row r="29">
          <cell r="D29">
            <v>549546.55000000005</v>
          </cell>
          <cell r="F29">
            <v>-549546.55000000005</v>
          </cell>
        </row>
        <row r="30">
          <cell r="F30">
            <v>0</v>
          </cell>
        </row>
        <row r="31">
          <cell r="D31">
            <v>4589.13</v>
          </cell>
        </row>
        <row r="32">
          <cell r="F32">
            <v>14535</v>
          </cell>
        </row>
        <row r="33">
          <cell r="D33">
            <v>3616.63</v>
          </cell>
          <cell r="F33">
            <v>-3616.63</v>
          </cell>
        </row>
        <row r="35">
          <cell r="D35">
            <v>2878.7</v>
          </cell>
          <cell r="F35">
            <v>-2878.7</v>
          </cell>
        </row>
        <row r="38">
          <cell r="D38">
            <v>397.93</v>
          </cell>
        </row>
        <row r="39">
          <cell r="D39">
            <v>8166.06</v>
          </cell>
        </row>
        <row r="40">
          <cell r="D40">
            <v>27556.93</v>
          </cell>
        </row>
        <row r="41">
          <cell r="D41">
            <v>137652.01999999999</v>
          </cell>
        </row>
        <row r="42">
          <cell r="D42">
            <v>1038.1099999999999</v>
          </cell>
        </row>
        <row r="45">
          <cell r="D45">
            <v>196438.09</v>
          </cell>
          <cell r="F45">
            <v>-150055</v>
          </cell>
        </row>
        <row r="57">
          <cell r="D57">
            <v>900000</v>
          </cell>
        </row>
        <row r="58">
          <cell r="D58">
            <v>12022</v>
          </cell>
        </row>
        <row r="60">
          <cell r="D60">
            <v>887.48</v>
          </cell>
        </row>
        <row r="61">
          <cell r="D61">
            <v>16550</v>
          </cell>
          <cell r="F61">
            <v>-14535</v>
          </cell>
        </row>
        <row r="62">
          <cell r="D62">
            <v>18015.09</v>
          </cell>
        </row>
        <row r="63">
          <cell r="F63">
            <v>13871.77</v>
          </cell>
        </row>
        <row r="65">
          <cell r="D65">
            <v>4882.68</v>
          </cell>
        </row>
        <row r="66">
          <cell r="D66">
            <v>74924.94</v>
          </cell>
          <cell r="F66">
            <v>-15331.63</v>
          </cell>
        </row>
        <row r="67">
          <cell r="D67">
            <v>49451.49</v>
          </cell>
        </row>
        <row r="68">
          <cell r="F68">
            <v>1599.24</v>
          </cell>
        </row>
        <row r="75">
          <cell r="D75">
            <v>34651.93</v>
          </cell>
        </row>
        <row r="76">
          <cell r="D76">
            <v>12056.56</v>
          </cell>
        </row>
        <row r="77">
          <cell r="D77">
            <v>12236</v>
          </cell>
        </row>
        <row r="79">
          <cell r="D79">
            <v>19481.3</v>
          </cell>
        </row>
        <row r="80">
          <cell r="D80">
            <v>17240.25</v>
          </cell>
        </row>
        <row r="81">
          <cell r="D81">
            <v>1571</v>
          </cell>
        </row>
        <row r="82">
          <cell r="D82">
            <v>13169.31</v>
          </cell>
        </row>
        <row r="84">
          <cell r="D84">
            <v>150157.18</v>
          </cell>
        </row>
        <row r="89">
          <cell r="D89">
            <v>281922.46999999997</v>
          </cell>
        </row>
        <row r="90">
          <cell r="D90">
            <v>46895.360000000001</v>
          </cell>
        </row>
        <row r="91">
          <cell r="D91">
            <v>31284.34</v>
          </cell>
        </row>
        <row r="92">
          <cell r="D92">
            <v>287423.19</v>
          </cell>
        </row>
        <row r="93">
          <cell r="D93">
            <v>27167.21</v>
          </cell>
        </row>
        <row r="94">
          <cell r="D94">
            <v>125</v>
          </cell>
        </row>
        <row r="98">
          <cell r="D98">
            <v>43519.89</v>
          </cell>
        </row>
        <row r="99">
          <cell r="D99">
            <v>5368.01</v>
          </cell>
        </row>
        <row r="100">
          <cell r="D100">
            <v>11937.85</v>
          </cell>
        </row>
        <row r="101">
          <cell r="D101">
            <v>1219.2</v>
          </cell>
        </row>
        <row r="102">
          <cell r="D102">
            <v>5887.14</v>
          </cell>
        </row>
        <row r="103">
          <cell r="D103">
            <v>7437.91</v>
          </cell>
        </row>
        <row r="115">
          <cell r="D115">
            <v>127248.45</v>
          </cell>
        </row>
        <row r="116">
          <cell r="D116">
            <v>17202.59</v>
          </cell>
        </row>
        <row r="117">
          <cell r="D117">
            <v>36946.74</v>
          </cell>
        </row>
        <row r="118">
          <cell r="D118">
            <v>4811.3999999999996</v>
          </cell>
        </row>
        <row r="119">
          <cell r="D119">
            <v>1212.1500000000001</v>
          </cell>
        </row>
        <row r="125">
          <cell r="D125">
            <v>531905.09</v>
          </cell>
        </row>
        <row r="128">
          <cell r="D128">
            <v>71489.33</v>
          </cell>
        </row>
        <row r="131">
          <cell r="D131">
            <v>75228.289999999994</v>
          </cell>
        </row>
        <row r="134">
          <cell r="D134">
            <v>20741.990000000002</v>
          </cell>
        </row>
        <row r="136">
          <cell r="D136">
            <v>1002567.86</v>
          </cell>
        </row>
        <row r="137">
          <cell r="D137">
            <v>245236.37</v>
          </cell>
        </row>
        <row r="138">
          <cell r="D138">
            <v>1135646.44</v>
          </cell>
        </row>
        <row r="139">
          <cell r="D139">
            <v>695632.59000000008</v>
          </cell>
        </row>
        <row r="141">
          <cell r="D141">
            <v>158088.82</v>
          </cell>
        </row>
        <row r="142">
          <cell r="D142">
            <v>38669.760000000002</v>
          </cell>
        </row>
        <row r="143">
          <cell r="D143">
            <v>179073.07</v>
          </cell>
        </row>
        <row r="144">
          <cell r="D144">
            <v>111687.19</v>
          </cell>
        </row>
        <row r="146">
          <cell r="D146">
            <v>186651.73</v>
          </cell>
        </row>
        <row r="150">
          <cell r="D150">
            <v>12372.5</v>
          </cell>
        </row>
        <row r="151">
          <cell r="D151">
            <v>281452.36</v>
          </cell>
        </row>
        <row r="152">
          <cell r="D152">
            <v>1726.84</v>
          </cell>
        </row>
        <row r="153">
          <cell r="D153">
            <v>1275</v>
          </cell>
        </row>
        <row r="160">
          <cell r="D160">
            <v>1474.09</v>
          </cell>
        </row>
        <row r="161">
          <cell r="D161">
            <v>57542.62</v>
          </cell>
        </row>
        <row r="194">
          <cell r="D194">
            <v>763689.75</v>
          </cell>
          <cell r="F194">
            <v>-97170.03</v>
          </cell>
        </row>
        <row r="195">
          <cell r="D195">
            <v>206772.69</v>
          </cell>
          <cell r="F195">
            <v>-26309.29</v>
          </cell>
        </row>
        <row r="197">
          <cell r="D197">
            <v>733823</v>
          </cell>
          <cell r="F197">
            <v>-93369.83</v>
          </cell>
        </row>
        <row r="198">
          <cell r="D198">
            <v>120733.68</v>
          </cell>
        </row>
        <row r="205">
          <cell r="D205">
            <v>1032646.82</v>
          </cell>
          <cell r="F205">
            <v>-297434.78999999998</v>
          </cell>
        </row>
        <row r="206">
          <cell r="D206">
            <v>84889.75</v>
          </cell>
        </row>
        <row r="207">
          <cell r="D207">
            <v>6884.48</v>
          </cell>
        </row>
        <row r="211">
          <cell r="D211">
            <v>212146.66</v>
          </cell>
        </row>
        <row r="212">
          <cell r="D212">
            <v>50454.21</v>
          </cell>
        </row>
        <row r="213">
          <cell r="D213">
            <v>18850.689999999999</v>
          </cell>
        </row>
        <row r="216">
          <cell r="D216">
            <v>21640.400000000001</v>
          </cell>
        </row>
        <row r="221">
          <cell r="D221">
            <v>12718999.43</v>
          </cell>
        </row>
      </sheetData>
      <sheetData sheetId="8"/>
      <sheetData sheetId="9"/>
      <sheetData sheetId="10">
        <row r="9">
          <cell r="C9">
            <v>18387</v>
          </cell>
          <cell r="D9">
            <v>46</v>
          </cell>
          <cell r="E9">
            <v>7797</v>
          </cell>
          <cell r="F9">
            <v>5262</v>
          </cell>
          <cell r="H9">
            <v>4329</v>
          </cell>
          <cell r="I9">
            <v>1491</v>
          </cell>
          <cell r="J9">
            <v>654</v>
          </cell>
        </row>
        <row r="22">
          <cell r="N22">
            <v>124</v>
          </cell>
        </row>
        <row r="24">
          <cell r="N24">
            <v>124</v>
          </cell>
        </row>
        <row r="28">
          <cell r="N28">
            <v>45260</v>
          </cell>
        </row>
        <row r="30">
          <cell r="N30">
            <v>0.83884224480777725</v>
          </cell>
        </row>
        <row r="32">
          <cell r="N32">
            <v>0.40726911179849756</v>
          </cell>
        </row>
        <row r="34">
          <cell r="N34">
            <v>0.48551335405362694</v>
          </cell>
        </row>
      </sheetData>
      <sheetData sheetId="1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E10">
            <v>130170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2862459</v>
          </cell>
          <cell r="G21">
            <v>0</v>
          </cell>
        </row>
        <row r="27">
          <cell r="E27">
            <v>2229626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785544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72982</v>
          </cell>
          <cell r="G47">
            <v>0</v>
          </cell>
        </row>
        <row r="52">
          <cell r="E52">
            <v>-3459</v>
          </cell>
          <cell r="G52">
            <v>0</v>
          </cell>
        </row>
        <row r="67">
          <cell r="E67">
            <v>504691</v>
          </cell>
          <cell r="G67">
            <v>0</v>
          </cell>
        </row>
        <row r="85">
          <cell r="C85">
            <v>548.76628352490422</v>
          </cell>
          <cell r="E85">
            <v>920.04100946372239</v>
          </cell>
          <cell r="G85">
            <v>482.10986547085201</v>
          </cell>
          <cell r="I85">
            <v>403.69642857142856</v>
          </cell>
        </row>
      </sheetData>
      <sheetData sheetId="6" refreshError="1"/>
      <sheetData sheetId="7">
        <row r="10">
          <cell r="F10">
            <v>99075</v>
          </cell>
        </row>
        <row r="12">
          <cell r="D12">
            <v>109164</v>
          </cell>
        </row>
        <row r="13">
          <cell r="D13">
            <v>23278</v>
          </cell>
          <cell r="F13">
            <v>11924</v>
          </cell>
        </row>
        <row r="16">
          <cell r="D16">
            <v>332082</v>
          </cell>
          <cell r="F16">
            <v>2745</v>
          </cell>
        </row>
        <row r="17">
          <cell r="D17">
            <v>23844</v>
          </cell>
        </row>
        <row r="18">
          <cell r="D18">
            <v>15592</v>
          </cell>
        </row>
        <row r="19">
          <cell r="D19">
            <v>20048</v>
          </cell>
        </row>
        <row r="20">
          <cell r="D20">
            <v>13070</v>
          </cell>
        </row>
        <row r="21">
          <cell r="D21">
            <v>5771</v>
          </cell>
        </row>
        <row r="23">
          <cell r="D23">
            <v>21010</v>
          </cell>
        </row>
        <row r="24">
          <cell r="D24">
            <v>535</v>
          </cell>
        </row>
        <row r="26">
          <cell r="D26">
            <v>39590</v>
          </cell>
        </row>
        <row r="27">
          <cell r="D27">
            <v>1344</v>
          </cell>
        </row>
        <row r="28">
          <cell r="F28">
            <v>0</v>
          </cell>
        </row>
        <row r="29">
          <cell r="D29">
            <v>96315</v>
          </cell>
          <cell r="F29">
            <v>-96315</v>
          </cell>
        </row>
        <row r="30">
          <cell r="D30">
            <v>-300</v>
          </cell>
          <cell r="F30">
            <v>300</v>
          </cell>
        </row>
        <row r="31">
          <cell r="D31">
            <v>3677</v>
          </cell>
        </row>
        <row r="32">
          <cell r="F32">
            <v>5630</v>
          </cell>
        </row>
        <row r="33">
          <cell r="D33">
            <v>-85</v>
          </cell>
          <cell r="F33">
            <v>85</v>
          </cell>
        </row>
        <row r="35">
          <cell r="D35">
            <v>2107</v>
          </cell>
          <cell r="F35">
            <v>-2107</v>
          </cell>
        </row>
        <row r="38">
          <cell r="D38">
            <v>1096</v>
          </cell>
        </row>
        <row r="39">
          <cell r="D39">
            <v>6036</v>
          </cell>
        </row>
        <row r="40">
          <cell r="D40">
            <v>10325</v>
          </cell>
        </row>
        <row r="41">
          <cell r="D41">
            <v>79059</v>
          </cell>
          <cell r="F41">
            <v>-7022.07</v>
          </cell>
        </row>
        <row r="42">
          <cell r="D42">
            <v>302</v>
          </cell>
        </row>
        <row r="45">
          <cell r="D45">
            <v>119163</v>
          </cell>
          <cell r="F45">
            <v>-110999</v>
          </cell>
        </row>
        <row r="57">
          <cell r="D57">
            <v>488863</v>
          </cell>
        </row>
        <row r="58">
          <cell r="D58">
            <v>15408</v>
          </cell>
        </row>
        <row r="60">
          <cell r="D60">
            <v>34800</v>
          </cell>
          <cell r="F60">
            <v>-34800</v>
          </cell>
        </row>
        <row r="61">
          <cell r="D61">
            <v>11329</v>
          </cell>
          <cell r="F61">
            <v>-5630</v>
          </cell>
        </row>
        <row r="62">
          <cell r="D62">
            <v>10920</v>
          </cell>
        </row>
        <row r="65">
          <cell r="D65">
            <v>4389</v>
          </cell>
        </row>
        <row r="66">
          <cell r="D66">
            <v>64855</v>
          </cell>
          <cell r="F66">
            <v>-10649</v>
          </cell>
        </row>
        <row r="67">
          <cell r="D67">
            <v>27422</v>
          </cell>
        </row>
        <row r="69">
          <cell r="F69">
            <v>34800</v>
          </cell>
        </row>
        <row r="75">
          <cell r="D75">
            <v>50103</v>
          </cell>
        </row>
        <row r="76">
          <cell r="D76">
            <v>10994</v>
          </cell>
        </row>
        <row r="77">
          <cell r="D77">
            <v>13435</v>
          </cell>
        </row>
        <row r="79">
          <cell r="D79">
            <v>5970</v>
          </cell>
        </row>
        <row r="80">
          <cell r="D80">
            <v>7353</v>
          </cell>
        </row>
        <row r="81">
          <cell r="D81">
            <v>2878</v>
          </cell>
        </row>
        <row r="82">
          <cell r="D82">
            <v>19549</v>
          </cell>
        </row>
        <row r="84">
          <cell r="D84">
            <v>106583</v>
          </cell>
        </row>
        <row r="85">
          <cell r="D85">
            <v>0</v>
          </cell>
        </row>
        <row r="89">
          <cell r="D89">
            <v>153067</v>
          </cell>
        </row>
        <row r="90">
          <cell r="D90">
            <v>23609</v>
          </cell>
        </row>
        <row r="91">
          <cell r="D91">
            <v>38039</v>
          </cell>
        </row>
        <row r="92">
          <cell r="D92">
            <v>117656</v>
          </cell>
        </row>
        <row r="93">
          <cell r="D93">
            <v>15317</v>
          </cell>
        </row>
        <row r="94">
          <cell r="D94">
            <v>2018</v>
          </cell>
        </row>
        <row r="98">
          <cell r="D98">
            <v>13355</v>
          </cell>
        </row>
        <row r="99">
          <cell r="D99">
            <v>1701</v>
          </cell>
        </row>
        <row r="100">
          <cell r="D100">
            <v>154</v>
          </cell>
        </row>
        <row r="102">
          <cell r="D102">
            <v>3179</v>
          </cell>
        </row>
        <row r="103">
          <cell r="D103">
            <v>709</v>
          </cell>
        </row>
        <row r="115">
          <cell r="D115">
            <v>42419</v>
          </cell>
        </row>
        <row r="116">
          <cell r="D116">
            <v>5477</v>
          </cell>
        </row>
        <row r="117">
          <cell r="D117">
            <v>8648</v>
          </cell>
        </row>
        <row r="118">
          <cell r="D118">
            <v>7570</v>
          </cell>
        </row>
        <row r="119">
          <cell r="D119">
            <v>75</v>
          </cell>
        </row>
        <row r="125">
          <cell r="D125">
            <v>368348</v>
          </cell>
        </row>
        <row r="131">
          <cell r="D131">
            <v>74987</v>
          </cell>
        </row>
        <row r="136">
          <cell r="D136">
            <v>369775</v>
          </cell>
        </row>
        <row r="137">
          <cell r="D137">
            <v>174214</v>
          </cell>
        </row>
        <row r="138">
          <cell r="D138">
            <v>322084</v>
          </cell>
        </row>
        <row r="139">
          <cell r="D139">
            <v>86436</v>
          </cell>
        </row>
        <row r="141">
          <cell r="D141">
            <v>55650</v>
          </cell>
        </row>
        <row r="142">
          <cell r="D142">
            <v>20147</v>
          </cell>
        </row>
        <row r="143">
          <cell r="D143">
            <v>57551</v>
          </cell>
        </row>
        <row r="146">
          <cell r="D146">
            <v>95668</v>
          </cell>
        </row>
        <row r="150">
          <cell r="D150">
            <v>5703</v>
          </cell>
        </row>
        <row r="151">
          <cell r="D151">
            <v>108588</v>
          </cell>
        </row>
        <row r="152">
          <cell r="D152">
            <v>2505</v>
          </cell>
        </row>
        <row r="153">
          <cell r="D153">
            <v>4569</v>
          </cell>
        </row>
        <row r="157">
          <cell r="D157">
            <v>584</v>
          </cell>
        </row>
        <row r="161">
          <cell r="D161">
            <v>49544</v>
          </cell>
        </row>
        <row r="194">
          <cell r="D194">
            <v>663634</v>
          </cell>
          <cell r="F194">
            <v>-34059</v>
          </cell>
        </row>
        <row r="195">
          <cell r="D195">
            <v>120454</v>
          </cell>
          <cell r="F195">
            <v>-6182</v>
          </cell>
        </row>
        <row r="197">
          <cell r="D197">
            <v>585939</v>
          </cell>
          <cell r="F197">
            <v>-30072</v>
          </cell>
        </row>
        <row r="198">
          <cell r="D198">
            <v>73221</v>
          </cell>
        </row>
        <row r="205">
          <cell r="D205">
            <v>638152</v>
          </cell>
          <cell r="F205">
            <v>-180886</v>
          </cell>
        </row>
        <row r="206">
          <cell r="D206">
            <v>15391</v>
          </cell>
        </row>
        <row r="207">
          <cell r="D207">
            <v>10569</v>
          </cell>
        </row>
        <row r="211">
          <cell r="D211">
            <v>24103</v>
          </cell>
        </row>
        <row r="212">
          <cell r="D212">
            <v>6162</v>
          </cell>
        </row>
        <row r="213">
          <cell r="D213">
            <v>49608</v>
          </cell>
        </row>
        <row r="216">
          <cell r="D216">
            <v>6182</v>
          </cell>
        </row>
        <row r="221">
          <cell r="D221">
            <v>6220635</v>
          </cell>
        </row>
      </sheetData>
      <sheetData sheetId="8" refreshError="1"/>
      <sheetData sheetId="9" refreshError="1"/>
      <sheetData sheetId="10">
        <row r="9">
          <cell r="C9">
            <v>721</v>
          </cell>
          <cell r="E9">
            <v>4922</v>
          </cell>
          <cell r="F9">
            <v>4874</v>
          </cell>
          <cell r="H9">
            <v>1360</v>
          </cell>
          <cell r="I9">
            <v>0</v>
          </cell>
          <cell r="J9">
            <v>334</v>
          </cell>
          <cell r="K9">
            <v>228</v>
          </cell>
        </row>
        <row r="22">
          <cell r="N22">
            <v>40</v>
          </cell>
        </row>
        <row r="24">
          <cell r="N24">
            <v>10</v>
          </cell>
        </row>
        <row r="28">
          <cell r="N28">
            <v>14600</v>
          </cell>
        </row>
        <row r="30">
          <cell r="N30">
            <v>0.85198630136986298</v>
          </cell>
        </row>
        <row r="32">
          <cell r="N32">
            <v>4.9383561643835616E-2</v>
          </cell>
        </row>
        <row r="34">
          <cell r="N34">
            <v>5.7962858750703436E-2</v>
          </cell>
        </row>
      </sheetData>
      <sheetData sheetId="11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E10">
            <v>2218217.6100000003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1866116.3800000008</v>
          </cell>
          <cell r="G21">
            <v>0</v>
          </cell>
        </row>
        <row r="27">
          <cell r="E27">
            <v>1309780.7</v>
          </cell>
          <cell r="G27">
            <v>0</v>
          </cell>
        </row>
        <row r="32">
          <cell r="E32">
            <v>57235.32</v>
          </cell>
          <cell r="G32">
            <v>0</v>
          </cell>
        </row>
        <row r="37">
          <cell r="E37">
            <v>657629.89</v>
          </cell>
          <cell r="G37">
            <v>0</v>
          </cell>
        </row>
        <row r="42">
          <cell r="E42">
            <v>255988.11000000002</v>
          </cell>
          <cell r="G42">
            <v>0</v>
          </cell>
        </row>
        <row r="47">
          <cell r="E47">
            <v>15827.62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11223.19</v>
          </cell>
          <cell r="G67">
            <v>-7784.43</v>
          </cell>
        </row>
        <row r="85">
          <cell r="C85">
            <v>212.34198767334362</v>
          </cell>
          <cell r="E85">
            <v>215.7211159737418</v>
          </cell>
        </row>
      </sheetData>
      <sheetData sheetId="6" refreshError="1"/>
      <sheetData sheetId="7">
        <row r="10">
          <cell r="D10">
            <v>164920.58499999996</v>
          </cell>
        </row>
        <row r="12">
          <cell r="D12">
            <v>199084.11999999997</v>
          </cell>
          <cell r="F12">
            <v>-62222.35</v>
          </cell>
        </row>
        <row r="13">
          <cell r="D13">
            <v>96803.89</v>
          </cell>
        </row>
        <row r="15">
          <cell r="D15">
            <v>275520.03000000003</v>
          </cell>
          <cell r="F15">
            <v>-275520.03000000003</v>
          </cell>
        </row>
        <row r="16">
          <cell r="F16">
            <v>669803</v>
          </cell>
        </row>
        <row r="17">
          <cell r="D17">
            <v>200</v>
          </cell>
        </row>
        <row r="18">
          <cell r="D18">
            <v>29578.02</v>
          </cell>
        </row>
        <row r="19">
          <cell r="D19">
            <v>11879.580000000002</v>
          </cell>
        </row>
        <row r="20">
          <cell r="D20">
            <v>18074.89</v>
          </cell>
          <cell r="F20">
            <v>-8.65</v>
          </cell>
        </row>
        <row r="21">
          <cell r="D21">
            <v>10705.32</v>
          </cell>
          <cell r="F21">
            <v>74773</v>
          </cell>
        </row>
        <row r="23">
          <cell r="D23">
            <v>18999.29</v>
          </cell>
        </row>
        <row r="24">
          <cell r="D24">
            <v>33818.479999999996</v>
          </cell>
        </row>
        <row r="26">
          <cell r="D26">
            <v>267792.26</v>
          </cell>
          <cell r="F26">
            <v>-17.059999999999999</v>
          </cell>
        </row>
        <row r="27">
          <cell r="D27">
            <v>8898.68</v>
          </cell>
          <cell r="F27">
            <v>12891.49</v>
          </cell>
        </row>
        <row r="28">
          <cell r="F28">
            <v>0</v>
          </cell>
        </row>
        <row r="29">
          <cell r="D29">
            <v>124268.13099999999</v>
          </cell>
          <cell r="F29">
            <v>-124268.13099999999</v>
          </cell>
        </row>
        <row r="30">
          <cell r="F30">
            <v>0</v>
          </cell>
        </row>
        <row r="32">
          <cell r="D32">
            <v>81384.890000000014</v>
          </cell>
        </row>
        <row r="33">
          <cell r="F33">
            <v>0</v>
          </cell>
        </row>
        <row r="35">
          <cell r="D35">
            <v>91.52</v>
          </cell>
          <cell r="F35">
            <v>-91.52</v>
          </cell>
        </row>
        <row r="39">
          <cell r="D39">
            <v>14875.31</v>
          </cell>
          <cell r="F39">
            <v>403</v>
          </cell>
        </row>
        <row r="40">
          <cell r="D40">
            <v>29828.87</v>
          </cell>
          <cell r="F40">
            <v>-29828.87</v>
          </cell>
        </row>
        <row r="41">
          <cell r="D41">
            <v>10827.01</v>
          </cell>
          <cell r="F41">
            <v>48884</v>
          </cell>
        </row>
        <row r="42">
          <cell r="D42">
            <v>2882.46</v>
          </cell>
        </row>
        <row r="44">
          <cell r="D44">
            <v>7</v>
          </cell>
        </row>
        <row r="45">
          <cell r="D45">
            <v>2309.37</v>
          </cell>
          <cell r="F45">
            <v>-1735.74</v>
          </cell>
        </row>
        <row r="57">
          <cell r="D57">
            <v>299614.66200000001</v>
          </cell>
          <cell r="F57">
            <v>-299614.66200000001</v>
          </cell>
        </row>
        <row r="58">
          <cell r="D58">
            <v>16095.960000000001</v>
          </cell>
          <cell r="F58">
            <v>76179.72</v>
          </cell>
        </row>
        <row r="59">
          <cell r="F59">
            <v>278429.28000000003</v>
          </cell>
        </row>
        <row r="60">
          <cell r="D60">
            <v>73586.490000000005</v>
          </cell>
        </row>
        <row r="61">
          <cell r="D61">
            <v>13878.689999999999</v>
          </cell>
          <cell r="F61">
            <v>8</v>
          </cell>
        </row>
        <row r="62">
          <cell r="D62">
            <v>449.4</v>
          </cell>
          <cell r="F62">
            <v>86.69</v>
          </cell>
        </row>
        <row r="67">
          <cell r="D67">
            <v>32614.960000000003</v>
          </cell>
          <cell r="F67">
            <v>81162.84</v>
          </cell>
        </row>
        <row r="75">
          <cell r="D75">
            <v>47263.98</v>
          </cell>
        </row>
        <row r="76">
          <cell r="D76">
            <v>15116.58</v>
          </cell>
        </row>
        <row r="77">
          <cell r="D77">
            <v>28172.54</v>
          </cell>
          <cell r="F77">
            <v>-411.5</v>
          </cell>
        </row>
        <row r="78">
          <cell r="D78">
            <v>28284.14</v>
          </cell>
          <cell r="F78">
            <v>3837</v>
          </cell>
        </row>
        <row r="79">
          <cell r="D79">
            <v>24356.289999999997</v>
          </cell>
        </row>
        <row r="80">
          <cell r="D80">
            <v>55447.100000000006</v>
          </cell>
        </row>
        <row r="81">
          <cell r="D81">
            <v>673.71</v>
          </cell>
        </row>
        <row r="84">
          <cell r="D84">
            <v>144949.97</v>
          </cell>
          <cell r="F84">
            <v>180</v>
          </cell>
        </row>
        <row r="85">
          <cell r="D85">
            <v>1226.9299999999998</v>
          </cell>
          <cell r="F85">
            <v>-4210.92</v>
          </cell>
        </row>
        <row r="89">
          <cell r="D89">
            <v>211542.05</v>
          </cell>
        </row>
        <row r="90">
          <cell r="D90">
            <v>53260.74</v>
          </cell>
        </row>
        <row r="91">
          <cell r="D91">
            <v>2311.7999999999997</v>
          </cell>
        </row>
        <row r="92">
          <cell r="D92">
            <v>182837.98</v>
          </cell>
        </row>
        <row r="93">
          <cell r="D93">
            <v>24.62</v>
          </cell>
        </row>
        <row r="94">
          <cell r="D94">
            <v>20403.080000000002</v>
          </cell>
          <cell r="F94">
            <v>-738</v>
          </cell>
        </row>
        <row r="98">
          <cell r="D98">
            <v>45067.090000000004</v>
          </cell>
        </row>
        <row r="99">
          <cell r="D99">
            <v>12911.01</v>
          </cell>
        </row>
        <row r="100">
          <cell r="D100">
            <v>8444.7999999999993</v>
          </cell>
        </row>
        <row r="102">
          <cell r="D102">
            <v>9594.09</v>
          </cell>
        </row>
        <row r="103">
          <cell r="D103">
            <v>120</v>
          </cell>
        </row>
        <row r="115">
          <cell r="D115">
            <v>57971.210000000006</v>
          </cell>
        </row>
        <row r="116">
          <cell r="D116">
            <v>15310.84</v>
          </cell>
        </row>
        <row r="117">
          <cell r="D117">
            <v>26696.82</v>
          </cell>
        </row>
        <row r="118">
          <cell r="D118">
            <v>4050.25</v>
          </cell>
        </row>
        <row r="119">
          <cell r="D119">
            <v>90</v>
          </cell>
        </row>
        <row r="124">
          <cell r="D124">
            <v>138123.79999999999</v>
          </cell>
        </row>
        <row r="125">
          <cell r="D125">
            <v>44035.640000000007</v>
          </cell>
        </row>
        <row r="128">
          <cell r="D128">
            <v>41245.089999999997</v>
          </cell>
        </row>
        <row r="130">
          <cell r="D130">
            <v>38474.86</v>
          </cell>
        </row>
        <row r="131">
          <cell r="D131">
            <v>12266.28</v>
          </cell>
        </row>
        <row r="134">
          <cell r="D134">
            <v>8955.06</v>
          </cell>
        </row>
        <row r="136">
          <cell r="D136">
            <v>423634.99</v>
          </cell>
        </row>
        <row r="137">
          <cell r="D137">
            <v>189316.65999999997</v>
          </cell>
        </row>
        <row r="138">
          <cell r="D138">
            <v>648947.77</v>
          </cell>
        </row>
        <row r="139">
          <cell r="D139">
            <v>53705.909999999996</v>
          </cell>
        </row>
        <row r="141">
          <cell r="D141">
            <v>118004.98000000001</v>
          </cell>
        </row>
        <row r="142">
          <cell r="D142">
            <v>52734.81</v>
          </cell>
        </row>
        <row r="143">
          <cell r="D143">
            <v>180991.04</v>
          </cell>
        </row>
        <row r="144">
          <cell r="D144">
            <v>14959.97</v>
          </cell>
        </row>
        <row r="146">
          <cell r="D146">
            <v>28000</v>
          </cell>
        </row>
        <row r="150">
          <cell r="D150">
            <v>2690.29</v>
          </cell>
        </row>
        <row r="151">
          <cell r="D151">
            <v>80168.590000000011</v>
          </cell>
          <cell r="F151">
            <v>-100</v>
          </cell>
        </row>
        <row r="152">
          <cell r="D152">
            <v>4866.6400000000003</v>
          </cell>
        </row>
        <row r="160">
          <cell r="D160">
            <v>287.98</v>
          </cell>
        </row>
        <row r="161">
          <cell r="D161">
            <v>1730.7800000000002</v>
          </cell>
          <cell r="F161">
            <v>-537.11</v>
          </cell>
        </row>
        <row r="177">
          <cell r="D177">
            <v>275060.96000000002</v>
          </cell>
        </row>
        <row r="178">
          <cell r="D178">
            <v>79390.570000000007</v>
          </cell>
        </row>
        <row r="179">
          <cell r="D179">
            <v>92669.5</v>
          </cell>
        </row>
        <row r="180">
          <cell r="D180">
            <v>24257.1</v>
          </cell>
        </row>
        <row r="183">
          <cell r="D183">
            <v>140739.25</v>
          </cell>
        </row>
        <row r="184">
          <cell r="D184">
            <v>36470.33</v>
          </cell>
        </row>
        <row r="188">
          <cell r="D188">
            <v>980.35</v>
          </cell>
        </row>
        <row r="189">
          <cell r="D189">
            <v>9724.3099999999977</v>
          </cell>
        </row>
        <row r="191">
          <cell r="D191">
            <v>2460.63</v>
          </cell>
        </row>
        <row r="192">
          <cell r="D192">
            <v>31053.579999999994</v>
          </cell>
        </row>
        <row r="203">
          <cell r="D203">
            <v>12620.55</v>
          </cell>
        </row>
        <row r="205">
          <cell r="D205">
            <v>202781.55</v>
          </cell>
        </row>
        <row r="206">
          <cell r="D206">
            <v>2880</v>
          </cell>
        </row>
        <row r="207">
          <cell r="D207">
            <v>24885.75</v>
          </cell>
        </row>
        <row r="211">
          <cell r="D211">
            <v>104785.49</v>
          </cell>
        </row>
        <row r="212">
          <cell r="D212">
            <v>25486.300000000003</v>
          </cell>
        </row>
        <row r="213">
          <cell r="D213">
            <v>2780.69</v>
          </cell>
        </row>
        <row r="216">
          <cell r="D216">
            <v>35712.28</v>
          </cell>
        </row>
        <row r="221">
          <cell r="D221">
            <v>6022997.8029999994</v>
          </cell>
        </row>
      </sheetData>
      <sheetData sheetId="8" refreshError="1"/>
      <sheetData sheetId="9" refreshError="1"/>
      <sheetData sheetId="10">
        <row r="9">
          <cell r="C9">
            <v>12566</v>
          </cell>
          <cell r="E9">
            <v>3540</v>
          </cell>
          <cell r="F9">
            <v>3166</v>
          </cell>
          <cell r="G9">
            <v>229</v>
          </cell>
          <cell r="H9">
            <v>3078</v>
          </cell>
          <cell r="I9">
            <v>1447</v>
          </cell>
          <cell r="J9">
            <v>85</v>
          </cell>
        </row>
      </sheetData>
      <sheetData sheetId="11" refreshError="1"/>
      <sheetData sheetId="12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85">
          <cell r="I85">
            <v>216.2859967051071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Explanation of Misc Rev"/>
      <sheetName val="Sch C"/>
      <sheetName val="Sch C-1"/>
      <sheetName val="FCP Adjustments"/>
      <sheetName val="Sch C-2"/>
      <sheetName val="Sch D"/>
      <sheetName val="Summary"/>
      <sheetName val="Trial Bal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E10">
            <v>1497710.37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797021.46000000008</v>
          </cell>
          <cell r="G21">
            <v>0</v>
          </cell>
        </row>
        <row r="27">
          <cell r="E27">
            <v>4127.08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356592.81</v>
          </cell>
          <cell r="G37">
            <v>0</v>
          </cell>
        </row>
        <row r="42">
          <cell r="E42">
            <v>172870.56</v>
          </cell>
          <cell r="G42">
            <v>0</v>
          </cell>
        </row>
        <row r="47">
          <cell r="E47">
            <v>134006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58425.05</v>
          </cell>
          <cell r="G67">
            <v>0</v>
          </cell>
        </row>
        <row r="85">
          <cell r="C85">
            <v>143.8109756097561</v>
          </cell>
          <cell r="E85">
            <v>125.57829931972789</v>
          </cell>
          <cell r="G85">
            <v>201.44234408602148</v>
          </cell>
          <cell r="I85">
            <v>188.67303529411762</v>
          </cell>
        </row>
      </sheetData>
      <sheetData sheetId="6" refreshError="1"/>
      <sheetData sheetId="7" refreshError="1"/>
      <sheetData sheetId="8">
        <row r="10">
          <cell r="D10">
            <v>62940.09</v>
          </cell>
          <cell r="F10">
            <v>21667</v>
          </cell>
        </row>
        <row r="12">
          <cell r="D12">
            <v>33729.360000000001</v>
          </cell>
        </row>
        <row r="13">
          <cell r="D13">
            <v>125116.63</v>
          </cell>
          <cell r="F13">
            <v>-113304</v>
          </cell>
        </row>
        <row r="15">
          <cell r="D15">
            <v>85939.25</v>
          </cell>
          <cell r="F15">
            <v>-85939</v>
          </cell>
        </row>
        <row r="16">
          <cell r="F16">
            <v>81180</v>
          </cell>
        </row>
        <row r="17">
          <cell r="D17">
            <v>1494.38</v>
          </cell>
          <cell r="F17">
            <v>-1494</v>
          </cell>
        </row>
        <row r="18">
          <cell r="D18">
            <v>7014.31</v>
          </cell>
        </row>
        <row r="19">
          <cell r="D19">
            <v>8988.7000000000007</v>
          </cell>
        </row>
        <row r="20">
          <cell r="D20">
            <v>8558.66</v>
          </cell>
        </row>
        <row r="21">
          <cell r="D21">
            <v>5151.3999999999996</v>
          </cell>
        </row>
        <row r="23">
          <cell r="D23">
            <v>5799.81</v>
          </cell>
        </row>
        <row r="24">
          <cell r="D24">
            <v>24610.65</v>
          </cell>
        </row>
        <row r="26">
          <cell r="D26">
            <v>216840.45</v>
          </cell>
        </row>
        <row r="27">
          <cell r="D27">
            <v>135.06</v>
          </cell>
        </row>
        <row r="28">
          <cell r="F28">
            <v>0</v>
          </cell>
        </row>
        <row r="29">
          <cell r="D29">
            <v>30362.26</v>
          </cell>
          <cell r="F29">
            <v>-30362.26</v>
          </cell>
        </row>
        <row r="30">
          <cell r="F30">
            <v>0</v>
          </cell>
        </row>
        <row r="31">
          <cell r="D31">
            <v>26901.54</v>
          </cell>
        </row>
        <row r="32">
          <cell r="D32">
            <v>20801.59</v>
          </cell>
        </row>
        <row r="33">
          <cell r="F33">
            <v>0</v>
          </cell>
        </row>
        <row r="35">
          <cell r="F35">
            <v>0</v>
          </cell>
        </row>
        <row r="39">
          <cell r="D39">
            <v>4516.03</v>
          </cell>
        </row>
        <row r="40">
          <cell r="D40">
            <v>3519.18</v>
          </cell>
          <cell r="F40">
            <v>-3519</v>
          </cell>
        </row>
        <row r="42">
          <cell r="D42">
            <v>2377.0300000000002</v>
          </cell>
        </row>
        <row r="43">
          <cell r="D43">
            <v>5060.51</v>
          </cell>
        </row>
        <row r="44">
          <cell r="D44">
            <v>2493.6999999999998</v>
          </cell>
        </row>
        <row r="45">
          <cell r="D45">
            <v>21232.639999999999</v>
          </cell>
          <cell r="F45">
            <v>-21233</v>
          </cell>
        </row>
        <row r="57">
          <cell r="D57">
            <v>432000</v>
          </cell>
        </row>
        <row r="58">
          <cell r="D58">
            <v>1970.7</v>
          </cell>
        </row>
        <row r="60">
          <cell r="D60">
            <v>7581.8</v>
          </cell>
        </row>
        <row r="61">
          <cell r="D61">
            <v>15276.49</v>
          </cell>
        </row>
        <row r="65">
          <cell r="D65">
            <v>1035</v>
          </cell>
        </row>
        <row r="66">
          <cell r="D66">
            <v>370.62</v>
          </cell>
        </row>
        <row r="67">
          <cell r="D67">
            <v>2948.24</v>
          </cell>
        </row>
        <row r="75">
          <cell r="D75">
            <v>22759.02</v>
          </cell>
        </row>
        <row r="76">
          <cell r="F76">
            <v>2271.9824160683843</v>
          </cell>
        </row>
        <row r="77">
          <cell r="D77">
            <v>1406.68</v>
          </cell>
        </row>
        <row r="79">
          <cell r="D79">
            <v>752.34</v>
          </cell>
        </row>
        <row r="80">
          <cell r="D80">
            <v>4243.6400000000003</v>
          </cell>
        </row>
        <row r="81">
          <cell r="D81">
            <v>9687.73</v>
          </cell>
        </row>
        <row r="82">
          <cell r="D82">
            <v>13375.64</v>
          </cell>
        </row>
        <row r="83">
          <cell r="D83">
            <v>11184.5</v>
          </cell>
        </row>
        <row r="84">
          <cell r="D84">
            <v>74267.64</v>
          </cell>
        </row>
        <row r="89">
          <cell r="D89">
            <v>123030.69</v>
          </cell>
        </row>
        <row r="90">
          <cell r="F90">
            <v>12281.880516681314</v>
          </cell>
        </row>
        <row r="91">
          <cell r="D91">
            <v>5807.5</v>
          </cell>
        </row>
        <row r="92">
          <cell r="D92">
            <v>142362.4</v>
          </cell>
        </row>
        <row r="93">
          <cell r="D93">
            <v>12839.32</v>
          </cell>
        </row>
        <row r="100">
          <cell r="D100">
            <v>1933.34</v>
          </cell>
        </row>
        <row r="101">
          <cell r="D101">
            <v>41272.58</v>
          </cell>
        </row>
        <row r="102">
          <cell r="D102">
            <v>6369.72</v>
          </cell>
        </row>
        <row r="103">
          <cell r="D103">
            <v>63.7</v>
          </cell>
        </row>
        <row r="117">
          <cell r="D117">
            <v>10081.280000000001</v>
          </cell>
        </row>
        <row r="118">
          <cell r="D118">
            <v>73004.070000000007</v>
          </cell>
        </row>
        <row r="125">
          <cell r="D125">
            <v>73033.710000000006</v>
          </cell>
        </row>
        <row r="127">
          <cell r="D127">
            <v>22910.400000000001</v>
          </cell>
        </row>
        <row r="131">
          <cell r="F131">
            <v>7290.7930526111277</v>
          </cell>
        </row>
        <row r="133">
          <cell r="F133">
            <v>2287.0943452351248</v>
          </cell>
        </row>
        <row r="136">
          <cell r="D136">
            <v>331901.49</v>
          </cell>
        </row>
        <row r="137">
          <cell r="D137">
            <v>56119.51</v>
          </cell>
        </row>
        <row r="138">
          <cell r="D138">
            <v>421480.81</v>
          </cell>
        </row>
        <row r="141">
          <cell r="F141">
            <v>33132.988553412957</v>
          </cell>
        </row>
        <row r="142">
          <cell r="F142">
            <v>5602.2860350917508</v>
          </cell>
        </row>
        <row r="143">
          <cell r="F143">
            <v>42075.493102526358</v>
          </cell>
        </row>
        <row r="146">
          <cell r="D146">
            <v>10300</v>
          </cell>
        </row>
        <row r="150">
          <cell r="D150">
            <v>5653.28</v>
          </cell>
        </row>
        <row r="151">
          <cell r="D151">
            <v>93503.54</v>
          </cell>
        </row>
        <row r="152">
          <cell r="D152">
            <v>1539.69</v>
          </cell>
        </row>
        <row r="153">
          <cell r="D153">
            <v>4847.5</v>
          </cell>
        </row>
        <row r="157">
          <cell r="D157">
            <v>1575</v>
          </cell>
        </row>
        <row r="188">
          <cell r="D188">
            <v>157.53</v>
          </cell>
        </row>
        <row r="193">
          <cell r="D193">
            <v>2915.8</v>
          </cell>
        </row>
        <row r="194">
          <cell r="D194">
            <v>95896.79</v>
          </cell>
          <cell r="F194">
            <v>-47949</v>
          </cell>
        </row>
        <row r="195">
          <cell r="D195">
            <v>2671.69</v>
          </cell>
        </row>
        <row r="197">
          <cell r="D197">
            <v>45426.87</v>
          </cell>
          <cell r="F197">
            <v>-22713.5</v>
          </cell>
        </row>
        <row r="198">
          <cell r="D198">
            <v>7103.84</v>
          </cell>
        </row>
        <row r="200">
          <cell r="D200">
            <v>1482.25</v>
          </cell>
        </row>
        <row r="202">
          <cell r="D202">
            <v>680</v>
          </cell>
        </row>
        <row r="205">
          <cell r="D205">
            <v>60386.33</v>
          </cell>
        </row>
        <row r="206">
          <cell r="D206">
            <v>1200</v>
          </cell>
        </row>
        <row r="207">
          <cell r="D207">
            <v>1823.72</v>
          </cell>
        </row>
        <row r="211">
          <cell r="D211">
            <v>83752.710000000006</v>
          </cell>
        </row>
        <row r="212">
          <cell r="F212">
            <v>8360.8470144177863</v>
          </cell>
        </row>
        <row r="213">
          <cell r="D213">
            <v>10150</v>
          </cell>
        </row>
        <row r="214">
          <cell r="D214">
            <v>280</v>
          </cell>
        </row>
        <row r="216">
          <cell r="D216">
            <v>41.52</v>
          </cell>
        </row>
        <row r="221">
          <cell r="D221">
            <v>3056041.85</v>
          </cell>
        </row>
      </sheetData>
      <sheetData sheetId="9" refreshError="1"/>
      <sheetData sheetId="10" refreshError="1"/>
      <sheetData sheetId="11" refreshError="1"/>
      <sheetData sheetId="12">
        <row r="9">
          <cell r="C9">
            <v>9905</v>
          </cell>
          <cell r="E9">
            <v>1839</v>
          </cell>
          <cell r="F9">
            <v>24</v>
          </cell>
          <cell r="H9">
            <v>2084</v>
          </cell>
          <cell r="I9">
            <v>914</v>
          </cell>
          <cell r="J9">
            <v>1102</v>
          </cell>
        </row>
        <row r="22">
          <cell r="N22">
            <v>53</v>
          </cell>
        </row>
        <row r="24">
          <cell r="N24">
            <v>53</v>
          </cell>
        </row>
        <row r="28">
          <cell r="N28">
            <v>19345</v>
          </cell>
        </row>
        <row r="30">
          <cell r="N30">
            <v>0.82026363401395708</v>
          </cell>
        </row>
        <row r="32">
          <cell r="N32">
            <v>0.5120186094598087</v>
          </cell>
        </row>
        <row r="34">
          <cell r="N34">
            <v>0.62421225107133849</v>
          </cell>
        </row>
      </sheetData>
      <sheetData sheetId="13" refreshError="1"/>
      <sheetData sheetId="1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E10">
            <v>11930118</v>
          </cell>
          <cell r="G10">
            <v>-607011</v>
          </cell>
        </row>
        <row r="15">
          <cell r="E15">
            <v>0</v>
          </cell>
          <cell r="G15">
            <v>607011</v>
          </cell>
        </row>
        <row r="21">
          <cell r="E21">
            <v>4276667</v>
          </cell>
          <cell r="G21">
            <v>0</v>
          </cell>
        </row>
        <row r="27">
          <cell r="E27">
            <v>0</v>
          </cell>
          <cell r="G27">
            <v>2217891</v>
          </cell>
        </row>
        <row r="32">
          <cell r="E32">
            <v>0</v>
          </cell>
          <cell r="G32">
            <v>0</v>
          </cell>
        </row>
        <row r="37">
          <cell r="E37">
            <v>3901312</v>
          </cell>
          <cell r="G37">
            <v>-2217891</v>
          </cell>
        </row>
        <row r="42">
          <cell r="E42">
            <v>0</v>
          </cell>
          <cell r="G42">
            <v>14347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-27240</v>
          </cell>
          <cell r="G67">
            <v>0</v>
          </cell>
        </row>
      </sheetData>
      <sheetData sheetId="6" refreshError="1"/>
      <sheetData sheetId="7">
        <row r="10">
          <cell r="F10">
            <v>224387</v>
          </cell>
        </row>
        <row r="12">
          <cell r="D12">
            <v>1161796</v>
          </cell>
          <cell r="F12">
            <v>-224387</v>
          </cell>
        </row>
        <row r="13">
          <cell r="D13">
            <v>187873</v>
          </cell>
        </row>
        <row r="14">
          <cell r="D14">
            <v>1027</v>
          </cell>
        </row>
        <row r="17">
          <cell r="D17">
            <v>77770</v>
          </cell>
        </row>
        <row r="18">
          <cell r="D18">
            <v>70370</v>
          </cell>
        </row>
        <row r="19">
          <cell r="D19">
            <v>28609</v>
          </cell>
        </row>
        <row r="20">
          <cell r="D20">
            <v>86262</v>
          </cell>
        </row>
        <row r="21">
          <cell r="D21">
            <v>95478</v>
          </cell>
          <cell r="F21">
            <v>11020</v>
          </cell>
        </row>
        <row r="23">
          <cell r="D23">
            <v>45254</v>
          </cell>
        </row>
        <row r="26">
          <cell r="D26">
            <v>512597</v>
          </cell>
        </row>
        <row r="27">
          <cell r="D27">
            <v>9614</v>
          </cell>
          <cell r="F27">
            <v>-3634</v>
          </cell>
        </row>
        <row r="28">
          <cell r="F28">
            <v>0</v>
          </cell>
        </row>
        <row r="29">
          <cell r="D29">
            <v>184317</v>
          </cell>
          <cell r="F29">
            <v>-184317</v>
          </cell>
        </row>
        <row r="30">
          <cell r="F30">
            <v>0</v>
          </cell>
        </row>
        <row r="31">
          <cell r="D31">
            <v>108763</v>
          </cell>
        </row>
        <row r="32">
          <cell r="D32">
            <v>105714</v>
          </cell>
        </row>
        <row r="33">
          <cell r="F33">
            <v>0</v>
          </cell>
        </row>
        <row r="35">
          <cell r="F35">
            <v>0</v>
          </cell>
        </row>
        <row r="36">
          <cell r="D36">
            <v>121568</v>
          </cell>
        </row>
        <row r="37">
          <cell r="D37">
            <v>19659</v>
          </cell>
        </row>
        <row r="39">
          <cell r="D39">
            <v>6322</v>
          </cell>
        </row>
        <row r="41">
          <cell r="D41">
            <v>71451</v>
          </cell>
        </row>
        <row r="42">
          <cell r="D42">
            <v>22849</v>
          </cell>
        </row>
        <row r="45">
          <cell r="D45">
            <v>-87049</v>
          </cell>
          <cell r="F45">
            <v>119716</v>
          </cell>
        </row>
        <row r="57">
          <cell r="D57">
            <v>355200</v>
          </cell>
          <cell r="F57">
            <v>-355200</v>
          </cell>
        </row>
        <row r="58">
          <cell r="D58">
            <v>175766</v>
          </cell>
          <cell r="F58">
            <v>118749</v>
          </cell>
        </row>
        <row r="59">
          <cell r="D59">
            <v>366215</v>
          </cell>
          <cell r="F59">
            <v>253055</v>
          </cell>
        </row>
        <row r="60">
          <cell r="D60">
            <v>152</v>
          </cell>
        </row>
        <row r="61">
          <cell r="D61">
            <v>39681</v>
          </cell>
          <cell r="F61">
            <v>9235</v>
          </cell>
        </row>
        <row r="66">
          <cell r="D66">
            <v>59934</v>
          </cell>
        </row>
        <row r="67">
          <cell r="D67">
            <v>278444</v>
          </cell>
        </row>
        <row r="75">
          <cell r="D75">
            <v>163932</v>
          </cell>
        </row>
        <row r="76">
          <cell r="D76">
            <v>26509</v>
          </cell>
        </row>
        <row r="77">
          <cell r="D77">
            <v>70926</v>
          </cell>
        </row>
        <row r="78">
          <cell r="D78">
            <v>26872</v>
          </cell>
        </row>
        <row r="79">
          <cell r="D79">
            <v>33707</v>
          </cell>
        </row>
        <row r="80">
          <cell r="D80">
            <v>92088</v>
          </cell>
        </row>
        <row r="81">
          <cell r="D81">
            <v>30740</v>
          </cell>
          <cell r="F81">
            <v>5358</v>
          </cell>
        </row>
        <row r="82">
          <cell r="D82">
            <v>97436</v>
          </cell>
        </row>
        <row r="83">
          <cell r="D83">
            <v>21448</v>
          </cell>
        </row>
        <row r="84">
          <cell r="D84">
            <v>281396</v>
          </cell>
        </row>
        <row r="85">
          <cell r="D85">
            <v>11601</v>
          </cell>
        </row>
        <row r="89">
          <cell r="D89">
            <v>497660</v>
          </cell>
        </row>
        <row r="90">
          <cell r="D90">
            <v>80476</v>
          </cell>
        </row>
        <row r="92">
          <cell r="D92">
            <v>463388</v>
          </cell>
          <cell r="F92">
            <v>-83765</v>
          </cell>
        </row>
        <row r="93">
          <cell r="D93">
            <v>52446</v>
          </cell>
        </row>
        <row r="98">
          <cell r="D98">
            <v>104670</v>
          </cell>
        </row>
        <row r="99">
          <cell r="D99">
            <v>16926</v>
          </cell>
        </row>
        <row r="100">
          <cell r="D100">
            <v>14198</v>
          </cell>
        </row>
        <row r="102">
          <cell r="D102">
            <v>19298</v>
          </cell>
        </row>
        <row r="115">
          <cell r="D115">
            <v>285648</v>
          </cell>
        </row>
        <row r="116">
          <cell r="D116">
            <v>46192</v>
          </cell>
        </row>
        <row r="117">
          <cell r="D117">
            <v>92511</v>
          </cell>
        </row>
        <row r="118">
          <cell r="D118">
            <v>7712</v>
          </cell>
        </row>
        <row r="125">
          <cell r="D125">
            <v>727755</v>
          </cell>
        </row>
        <row r="128">
          <cell r="D128">
            <v>539049</v>
          </cell>
        </row>
        <row r="131">
          <cell r="D131">
            <v>117685</v>
          </cell>
        </row>
        <row r="134">
          <cell r="D134">
            <v>87169</v>
          </cell>
        </row>
        <row r="136">
          <cell r="D136">
            <v>2879089</v>
          </cell>
        </row>
        <row r="137">
          <cell r="D137">
            <v>485014</v>
          </cell>
        </row>
        <row r="138">
          <cell r="D138">
            <v>1989136</v>
          </cell>
        </row>
        <row r="139">
          <cell r="D139">
            <v>1651292</v>
          </cell>
        </row>
        <row r="141">
          <cell r="D141">
            <v>465576</v>
          </cell>
        </row>
        <row r="142">
          <cell r="D142">
            <v>78431</v>
          </cell>
        </row>
        <row r="143">
          <cell r="D143">
            <v>321662</v>
          </cell>
        </row>
        <row r="144">
          <cell r="D144">
            <v>267030</v>
          </cell>
        </row>
        <row r="146">
          <cell r="D146">
            <v>80453</v>
          </cell>
        </row>
        <row r="147">
          <cell r="D147">
            <v>45432</v>
          </cell>
        </row>
        <row r="150">
          <cell r="D150">
            <v>27549</v>
          </cell>
        </row>
        <row r="151">
          <cell r="D151">
            <v>1476910</v>
          </cell>
        </row>
        <row r="152">
          <cell r="D152">
            <v>68125</v>
          </cell>
        </row>
        <row r="153">
          <cell r="D153">
            <v>172897</v>
          </cell>
        </row>
        <row r="161">
          <cell r="D161">
            <v>211354</v>
          </cell>
        </row>
        <row r="194">
          <cell r="D194">
            <v>979581</v>
          </cell>
        </row>
        <row r="195">
          <cell r="D195">
            <v>146673</v>
          </cell>
        </row>
        <row r="197">
          <cell r="D197">
            <v>644703</v>
          </cell>
        </row>
        <row r="198">
          <cell r="D198">
            <v>213933</v>
          </cell>
        </row>
        <row r="205">
          <cell r="D205">
            <v>1181376</v>
          </cell>
        </row>
        <row r="206">
          <cell r="D206">
            <v>59684</v>
          </cell>
        </row>
        <row r="211">
          <cell r="D211">
            <v>377494</v>
          </cell>
        </row>
        <row r="212">
          <cell r="D212">
            <v>61044</v>
          </cell>
        </row>
        <row r="213">
          <cell r="D213">
            <v>4331</v>
          </cell>
        </row>
        <row r="216">
          <cell r="D216">
            <v>16168</v>
          </cell>
        </row>
        <row r="221">
          <cell r="D221">
            <v>22020011</v>
          </cell>
        </row>
      </sheetData>
      <sheetData sheetId="8" refreshError="1"/>
      <sheetData sheetId="9" refreshError="1"/>
      <sheetData sheetId="10">
        <row r="9">
          <cell r="C9">
            <v>26255</v>
          </cell>
          <cell r="D9">
            <v>1161</v>
          </cell>
          <cell r="E9">
            <v>10022</v>
          </cell>
          <cell r="F9">
            <v>5243</v>
          </cell>
          <cell r="H9">
            <v>4022</v>
          </cell>
          <cell r="I9">
            <v>79</v>
          </cell>
        </row>
        <row r="22">
          <cell r="N22">
            <v>160</v>
          </cell>
        </row>
        <row r="24">
          <cell r="N24">
            <v>160</v>
          </cell>
        </row>
        <row r="28">
          <cell r="N28">
            <v>58400</v>
          </cell>
        </row>
        <row r="30">
          <cell r="N30">
            <v>0.8010616438356164</v>
          </cell>
        </row>
        <row r="32">
          <cell r="N32">
            <v>0.46945205479452057</v>
          </cell>
        </row>
        <row r="34">
          <cell r="N34">
            <v>0.58603736479842683</v>
          </cell>
        </row>
      </sheetData>
      <sheetData sheetId="11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Grou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E10">
            <v>428195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2042748</v>
          </cell>
          <cell r="G21">
            <v>0</v>
          </cell>
        </row>
        <row r="27">
          <cell r="E27">
            <v>148509</v>
          </cell>
          <cell r="G27">
            <v>0</v>
          </cell>
        </row>
        <row r="32">
          <cell r="E32">
            <v>4517657</v>
          </cell>
          <cell r="G32">
            <v>-2809860</v>
          </cell>
        </row>
        <row r="37">
          <cell r="E37">
            <v>2408466</v>
          </cell>
          <cell r="G37">
            <v>2805276</v>
          </cell>
        </row>
        <row r="42">
          <cell r="E42">
            <v>25207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-4584</v>
          </cell>
          <cell r="G52">
            <v>4584</v>
          </cell>
        </row>
        <row r="67">
          <cell r="E67">
            <v>64750</v>
          </cell>
          <cell r="G67">
            <v>-13282</v>
          </cell>
        </row>
        <row r="85">
          <cell r="C85">
            <v>207.19871813075031</v>
          </cell>
          <cell r="E85">
            <v>207.19867355269676</v>
          </cell>
          <cell r="G85">
            <v>207.19873246344537</v>
          </cell>
          <cell r="I85">
            <v>207.19885163640672</v>
          </cell>
        </row>
      </sheetData>
      <sheetData sheetId="6" refreshError="1"/>
      <sheetData sheetId="7">
        <row r="10">
          <cell r="D10">
            <v>0</v>
          </cell>
          <cell r="F10">
            <v>135798</v>
          </cell>
        </row>
        <row r="11">
          <cell r="D11">
            <v>0</v>
          </cell>
        </row>
        <row r="12">
          <cell r="D12">
            <v>353802</v>
          </cell>
          <cell r="F12">
            <v>-135798</v>
          </cell>
        </row>
        <row r="13">
          <cell r="D13">
            <v>93521</v>
          </cell>
        </row>
        <row r="14">
          <cell r="D14">
            <v>0</v>
          </cell>
        </row>
        <row r="15">
          <cell r="D15">
            <v>0</v>
          </cell>
          <cell r="F15">
            <v>481522</v>
          </cell>
        </row>
        <row r="16">
          <cell r="D16">
            <v>481522</v>
          </cell>
          <cell r="F16">
            <v>-481522</v>
          </cell>
        </row>
        <row r="17">
          <cell r="D17">
            <v>5546</v>
          </cell>
          <cell r="F17">
            <v>-5546</v>
          </cell>
        </row>
        <row r="18">
          <cell r="D18">
            <v>76227</v>
          </cell>
        </row>
        <row r="19">
          <cell r="D19">
            <v>8574</v>
          </cell>
        </row>
        <row r="20">
          <cell r="D20">
            <v>37740</v>
          </cell>
        </row>
        <row r="21">
          <cell r="D21">
            <v>5146</v>
          </cell>
        </row>
        <row r="22">
          <cell r="D22">
            <v>0</v>
          </cell>
        </row>
        <row r="23">
          <cell r="D23">
            <v>15919</v>
          </cell>
        </row>
        <row r="24">
          <cell r="D24">
            <v>5654</v>
          </cell>
        </row>
        <row r="25">
          <cell r="D25">
            <v>0</v>
          </cell>
        </row>
        <row r="26">
          <cell r="D26">
            <v>0</v>
          </cell>
        </row>
        <row r="27">
          <cell r="D27">
            <v>826</v>
          </cell>
        </row>
        <row r="28">
          <cell r="D28">
            <v>0</v>
          </cell>
          <cell r="F28">
            <v>0</v>
          </cell>
        </row>
        <row r="29">
          <cell r="D29">
            <v>43527</v>
          </cell>
          <cell r="F29">
            <v>-43527</v>
          </cell>
        </row>
        <row r="30">
          <cell r="D30">
            <v>375</v>
          </cell>
          <cell r="F30">
            <v>-375</v>
          </cell>
        </row>
        <row r="31">
          <cell r="D31">
            <v>0</v>
          </cell>
        </row>
        <row r="32">
          <cell r="D32">
            <v>83213</v>
          </cell>
        </row>
        <row r="33">
          <cell r="D33">
            <v>0</v>
          </cell>
          <cell r="F33">
            <v>0</v>
          </cell>
        </row>
        <row r="34">
          <cell r="D34">
            <v>83</v>
          </cell>
        </row>
        <row r="35">
          <cell r="D35">
            <v>0</v>
          </cell>
          <cell r="F35">
            <v>0</v>
          </cell>
        </row>
        <row r="36">
          <cell r="D36">
            <v>70294</v>
          </cell>
        </row>
        <row r="37">
          <cell r="D37">
            <v>8593</v>
          </cell>
        </row>
        <row r="38">
          <cell r="D38">
            <v>2629</v>
          </cell>
          <cell r="F38">
            <v>-2629</v>
          </cell>
        </row>
        <row r="39">
          <cell r="D39">
            <v>8226</v>
          </cell>
        </row>
        <row r="40">
          <cell r="D40">
            <v>28731</v>
          </cell>
          <cell r="F40">
            <v>-28731</v>
          </cell>
        </row>
        <row r="41">
          <cell r="D41">
            <v>72665</v>
          </cell>
        </row>
        <row r="42">
          <cell r="D42">
            <v>1622</v>
          </cell>
        </row>
        <row r="43">
          <cell r="D43">
            <v>1884</v>
          </cell>
          <cell r="F43">
            <v>-1884</v>
          </cell>
        </row>
        <row r="44">
          <cell r="D44">
            <v>0</v>
          </cell>
        </row>
        <row r="45">
          <cell r="D45">
            <v>426885</v>
          </cell>
          <cell r="F45">
            <v>-375419</v>
          </cell>
        </row>
        <row r="57">
          <cell r="D57">
            <v>0</v>
          </cell>
        </row>
        <row r="58">
          <cell r="D58">
            <v>546</v>
          </cell>
        </row>
        <row r="59">
          <cell r="D59">
            <v>0</v>
          </cell>
        </row>
        <row r="60">
          <cell r="D60">
            <v>0</v>
          </cell>
        </row>
        <row r="61">
          <cell r="D61">
            <v>20013</v>
          </cell>
        </row>
        <row r="62">
          <cell r="D62">
            <v>805</v>
          </cell>
        </row>
        <row r="63">
          <cell r="D63">
            <v>0</v>
          </cell>
        </row>
        <row r="64">
          <cell r="D64">
            <v>0</v>
          </cell>
        </row>
        <row r="65">
          <cell r="D65">
            <v>1707</v>
          </cell>
        </row>
        <row r="66">
          <cell r="D66">
            <v>21619</v>
          </cell>
        </row>
        <row r="67">
          <cell r="D67">
            <v>16727</v>
          </cell>
        </row>
        <row r="68">
          <cell r="D68">
            <v>0</v>
          </cell>
        </row>
        <row r="69">
          <cell r="D69">
            <v>911</v>
          </cell>
        </row>
        <row r="70">
          <cell r="D70">
            <v>0</v>
          </cell>
        </row>
        <row r="71">
          <cell r="D71">
            <v>0</v>
          </cell>
        </row>
        <row r="75">
          <cell r="D75">
            <v>65752</v>
          </cell>
        </row>
        <row r="76">
          <cell r="D76">
            <v>24637</v>
          </cell>
        </row>
        <row r="77">
          <cell r="D77">
            <v>17140</v>
          </cell>
        </row>
        <row r="78">
          <cell r="D78">
            <v>0</v>
          </cell>
        </row>
        <row r="79">
          <cell r="D79">
            <v>6685</v>
          </cell>
        </row>
        <row r="80">
          <cell r="D80">
            <v>23139</v>
          </cell>
        </row>
        <row r="81">
          <cell r="D81">
            <v>27691</v>
          </cell>
        </row>
        <row r="82">
          <cell r="D82">
            <v>18388</v>
          </cell>
        </row>
        <row r="83">
          <cell r="D83">
            <v>30014</v>
          </cell>
        </row>
        <row r="84">
          <cell r="D84">
            <v>212314</v>
          </cell>
        </row>
        <row r="85">
          <cell r="D85">
            <v>332</v>
          </cell>
        </row>
        <row r="89">
          <cell r="D89">
            <v>417992</v>
          </cell>
        </row>
        <row r="90">
          <cell r="D90">
            <v>83232</v>
          </cell>
        </row>
        <row r="91">
          <cell r="D91">
            <v>19741</v>
          </cell>
        </row>
        <row r="92">
          <cell r="D92">
            <v>339531</v>
          </cell>
          <cell r="F92">
            <v>3877</v>
          </cell>
        </row>
        <row r="93">
          <cell r="D93">
            <v>24428</v>
          </cell>
        </row>
        <row r="94">
          <cell r="D94">
            <v>0</v>
          </cell>
        </row>
        <row r="98">
          <cell r="D98">
            <v>60939</v>
          </cell>
        </row>
        <row r="99">
          <cell r="D99">
            <v>10939</v>
          </cell>
        </row>
        <row r="100">
          <cell r="D100">
            <v>6010</v>
          </cell>
        </row>
        <row r="101">
          <cell r="D101">
            <v>33</v>
          </cell>
        </row>
        <row r="102">
          <cell r="D102">
            <v>12520</v>
          </cell>
        </row>
        <row r="103">
          <cell r="D103">
            <v>0</v>
          </cell>
        </row>
        <row r="115">
          <cell r="D115">
            <v>140618</v>
          </cell>
        </row>
        <row r="116">
          <cell r="D116">
            <v>32654</v>
          </cell>
        </row>
        <row r="117">
          <cell r="D117">
            <v>45936</v>
          </cell>
        </row>
        <row r="118">
          <cell r="D118">
            <v>508</v>
          </cell>
        </row>
        <row r="119">
          <cell r="D119">
            <v>10232</v>
          </cell>
        </row>
        <row r="124">
          <cell r="D124">
            <v>0</v>
          </cell>
        </row>
        <row r="125">
          <cell r="D125">
            <v>404698</v>
          </cell>
        </row>
        <row r="126">
          <cell r="D126">
            <v>0</v>
          </cell>
        </row>
        <row r="127">
          <cell r="D127">
            <v>0</v>
          </cell>
        </row>
        <row r="128">
          <cell r="D128">
            <v>59517</v>
          </cell>
        </row>
        <row r="130">
          <cell r="D130">
            <v>0</v>
          </cell>
        </row>
        <row r="131">
          <cell r="D131">
            <v>49954</v>
          </cell>
        </row>
        <row r="132">
          <cell r="D132">
            <v>0</v>
          </cell>
        </row>
        <row r="133">
          <cell r="D133">
            <v>0</v>
          </cell>
        </row>
        <row r="134">
          <cell r="D134">
            <v>16131</v>
          </cell>
        </row>
        <row r="136">
          <cell r="D136">
            <v>1010886</v>
          </cell>
        </row>
        <row r="137">
          <cell r="D137">
            <v>311324</v>
          </cell>
        </row>
        <row r="138">
          <cell r="D138">
            <v>1369684</v>
          </cell>
          <cell r="F138">
            <v>68506</v>
          </cell>
        </row>
        <row r="139">
          <cell r="D139">
            <v>68506</v>
          </cell>
          <cell r="F139">
            <v>-68506</v>
          </cell>
        </row>
        <row r="141">
          <cell r="D141">
            <v>580741</v>
          </cell>
          <cell r="F141">
            <v>-368068</v>
          </cell>
        </row>
        <row r="142">
          <cell r="D142">
            <v>0</v>
          </cell>
          <cell r="F142">
            <v>65497</v>
          </cell>
        </row>
        <row r="143">
          <cell r="D143">
            <v>0</v>
          </cell>
          <cell r="F143">
            <v>302571</v>
          </cell>
        </row>
        <row r="144">
          <cell r="D144">
            <v>0</v>
          </cell>
        </row>
        <row r="146">
          <cell r="D146">
            <v>42975</v>
          </cell>
        </row>
        <row r="147">
          <cell r="D147">
            <v>0</v>
          </cell>
        </row>
        <row r="148">
          <cell r="D148">
            <v>0</v>
          </cell>
        </row>
        <row r="149">
          <cell r="D149">
            <v>0</v>
          </cell>
        </row>
        <row r="150">
          <cell r="D150">
            <v>469</v>
          </cell>
        </row>
        <row r="151">
          <cell r="D151">
            <v>139660</v>
          </cell>
        </row>
        <row r="152">
          <cell r="D152">
            <v>20034</v>
          </cell>
        </row>
        <row r="153">
          <cell r="D153">
            <v>0</v>
          </cell>
        </row>
        <row r="154">
          <cell r="D154">
            <v>0</v>
          </cell>
        </row>
        <row r="156">
          <cell r="D156">
            <v>0</v>
          </cell>
        </row>
        <row r="157">
          <cell r="D157">
            <v>0</v>
          </cell>
        </row>
        <row r="158">
          <cell r="D158">
            <v>0</v>
          </cell>
        </row>
        <row r="159">
          <cell r="D159">
            <v>0</v>
          </cell>
        </row>
        <row r="160">
          <cell r="D160">
            <v>0</v>
          </cell>
        </row>
        <row r="161">
          <cell r="D161">
            <v>66755</v>
          </cell>
        </row>
        <row r="175">
          <cell r="D175">
            <v>0</v>
          </cell>
        </row>
        <row r="176">
          <cell r="D176">
            <v>0</v>
          </cell>
        </row>
        <row r="177">
          <cell r="D177">
            <v>0</v>
          </cell>
        </row>
        <row r="178">
          <cell r="D178">
            <v>0</v>
          </cell>
        </row>
        <row r="179">
          <cell r="D179">
            <v>0</v>
          </cell>
        </row>
        <row r="180">
          <cell r="D180">
            <v>0</v>
          </cell>
        </row>
        <row r="181">
          <cell r="D181">
            <v>0</v>
          </cell>
        </row>
        <row r="182">
          <cell r="D182">
            <v>0</v>
          </cell>
        </row>
        <row r="183">
          <cell r="D183">
            <v>0</v>
          </cell>
        </row>
        <row r="184">
          <cell r="D184">
            <v>0</v>
          </cell>
        </row>
        <row r="185">
          <cell r="D185">
            <v>0</v>
          </cell>
        </row>
        <row r="186">
          <cell r="D186">
            <v>0</v>
          </cell>
        </row>
        <row r="187">
          <cell r="D187">
            <v>0</v>
          </cell>
        </row>
        <row r="188">
          <cell r="D188">
            <v>178</v>
          </cell>
        </row>
        <row r="189">
          <cell r="D189">
            <v>1714</v>
          </cell>
        </row>
        <row r="190">
          <cell r="D190">
            <v>0</v>
          </cell>
        </row>
        <row r="191">
          <cell r="D191">
            <v>1442</v>
          </cell>
        </row>
        <row r="192">
          <cell r="D192">
            <v>0</v>
          </cell>
        </row>
        <row r="193">
          <cell r="D193">
            <v>9160</v>
          </cell>
        </row>
        <row r="194">
          <cell r="D194">
            <v>310429</v>
          </cell>
        </row>
        <row r="195">
          <cell r="D195">
            <v>61028</v>
          </cell>
        </row>
        <row r="196">
          <cell r="D196">
            <v>0</v>
          </cell>
        </row>
        <row r="197">
          <cell r="D197">
            <v>165893</v>
          </cell>
        </row>
        <row r="198">
          <cell r="D198">
            <v>40293</v>
          </cell>
        </row>
        <row r="199">
          <cell r="D199">
            <v>0</v>
          </cell>
        </row>
        <row r="200">
          <cell r="D200">
            <v>0</v>
          </cell>
        </row>
        <row r="201">
          <cell r="D201">
            <v>0</v>
          </cell>
        </row>
        <row r="202">
          <cell r="D202">
            <v>0</v>
          </cell>
        </row>
        <row r="203">
          <cell r="D203">
            <v>0</v>
          </cell>
        </row>
        <row r="204">
          <cell r="D204">
            <v>0</v>
          </cell>
        </row>
        <row r="205">
          <cell r="D205">
            <v>223230</v>
          </cell>
        </row>
        <row r="206">
          <cell r="D206">
            <v>8551</v>
          </cell>
        </row>
        <row r="207">
          <cell r="D207">
            <v>4834</v>
          </cell>
        </row>
        <row r="211">
          <cell r="D211">
            <v>234690</v>
          </cell>
        </row>
        <row r="212">
          <cell r="D212">
            <v>64029</v>
          </cell>
        </row>
        <row r="213">
          <cell r="D213">
            <v>6164</v>
          </cell>
        </row>
        <row r="214">
          <cell r="D214">
            <v>0</v>
          </cell>
        </row>
        <row r="215">
          <cell r="D215">
            <v>0</v>
          </cell>
        </row>
        <row r="216">
          <cell r="D216">
            <v>11686</v>
          </cell>
        </row>
        <row r="221">
          <cell r="D221">
            <v>8811592</v>
          </cell>
        </row>
      </sheetData>
      <sheetData sheetId="8" refreshError="1"/>
      <sheetData sheetId="9" refreshError="1"/>
      <sheetData sheetId="10">
        <row r="9">
          <cell r="C9">
            <v>2110</v>
          </cell>
          <cell r="D9">
            <v>0</v>
          </cell>
          <cell r="E9">
            <v>4041</v>
          </cell>
          <cell r="F9">
            <v>257</v>
          </cell>
          <cell r="G9">
            <v>4397</v>
          </cell>
          <cell r="H9">
            <v>25163</v>
          </cell>
          <cell r="I9">
            <v>125</v>
          </cell>
          <cell r="J9">
            <v>0</v>
          </cell>
          <cell r="K9">
            <v>0</v>
          </cell>
        </row>
        <row r="22">
          <cell r="N22">
            <v>108</v>
          </cell>
        </row>
        <row r="24">
          <cell r="N24">
            <v>108</v>
          </cell>
        </row>
        <row r="28">
          <cell r="N28">
            <v>39420</v>
          </cell>
        </row>
        <row r="30">
          <cell r="N30">
            <v>0.91560121765601221</v>
          </cell>
        </row>
        <row r="32">
          <cell r="N32">
            <v>5.3526128868594619E-2</v>
          </cell>
        </row>
        <row r="34">
          <cell r="N34">
            <v>5.8460089213975004E-2</v>
          </cell>
        </row>
      </sheetData>
      <sheetData sheetId="11" refreshError="1"/>
      <sheetData sheetId="12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E10">
            <v>1523619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127877</v>
          </cell>
          <cell r="G21">
            <v>0</v>
          </cell>
        </row>
        <row r="27">
          <cell r="E27">
            <v>0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98972</v>
          </cell>
          <cell r="G37">
            <v>0</v>
          </cell>
        </row>
        <row r="42">
          <cell r="E42">
            <v>27217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49519</v>
          </cell>
          <cell r="G67">
            <v>0</v>
          </cell>
        </row>
        <row r="85">
          <cell r="C85">
            <v>158.09160305343511</v>
          </cell>
          <cell r="E85">
            <v>199.70297029702971</v>
          </cell>
          <cell r="G85">
            <v>209.375</v>
          </cell>
          <cell r="I85">
            <v>133.92592592592592</v>
          </cell>
        </row>
      </sheetData>
      <sheetData sheetId="6" refreshError="1"/>
      <sheetData sheetId="7">
        <row r="10">
          <cell r="D10">
            <v>107485</v>
          </cell>
        </row>
        <row r="12">
          <cell r="D12">
            <v>26200</v>
          </cell>
          <cell r="F12">
            <v>-347</v>
          </cell>
        </row>
        <row r="13">
          <cell r="D13">
            <v>10524</v>
          </cell>
        </row>
        <row r="17">
          <cell r="D17">
            <v>550</v>
          </cell>
        </row>
        <row r="18">
          <cell r="D18">
            <v>3244</v>
          </cell>
        </row>
        <row r="19">
          <cell r="D19">
            <v>8604</v>
          </cell>
        </row>
        <row r="20">
          <cell r="D20">
            <v>5491</v>
          </cell>
        </row>
        <row r="21">
          <cell r="D21">
            <v>5397</v>
          </cell>
        </row>
        <row r="23">
          <cell r="D23">
            <v>2456</v>
          </cell>
        </row>
        <row r="24">
          <cell r="D24">
            <v>5201</v>
          </cell>
        </row>
        <row r="26">
          <cell r="D26">
            <v>144779</v>
          </cell>
        </row>
        <row r="28">
          <cell r="F28">
            <v>0</v>
          </cell>
        </row>
        <row r="29">
          <cell r="F29">
            <v>0</v>
          </cell>
        </row>
        <row r="30">
          <cell r="F30">
            <v>0</v>
          </cell>
        </row>
        <row r="31">
          <cell r="D31">
            <v>11862</v>
          </cell>
        </row>
        <row r="32">
          <cell r="D32">
            <v>22359</v>
          </cell>
        </row>
        <row r="33">
          <cell r="F33">
            <v>0</v>
          </cell>
        </row>
        <row r="34">
          <cell r="D34">
            <v>339</v>
          </cell>
        </row>
        <row r="35">
          <cell r="F35">
            <v>0</v>
          </cell>
        </row>
        <row r="39">
          <cell r="D39">
            <v>5754</v>
          </cell>
        </row>
        <row r="40">
          <cell r="D40">
            <v>1919</v>
          </cell>
        </row>
        <row r="41">
          <cell r="D41">
            <v>7963</v>
          </cell>
        </row>
        <row r="42">
          <cell r="D42">
            <v>389</v>
          </cell>
        </row>
        <row r="43">
          <cell r="D43">
            <v>6568</v>
          </cell>
          <cell r="F43">
            <v>-6568</v>
          </cell>
        </row>
        <row r="45">
          <cell r="D45">
            <v>33241</v>
          </cell>
          <cell r="F45">
            <v>-200</v>
          </cell>
        </row>
        <row r="57">
          <cell r="D57">
            <v>234024</v>
          </cell>
        </row>
        <row r="65">
          <cell r="D65">
            <v>746</v>
          </cell>
        </row>
        <row r="75">
          <cell r="D75">
            <v>18803</v>
          </cell>
        </row>
        <row r="76">
          <cell r="D76">
            <v>1653</v>
          </cell>
        </row>
        <row r="77">
          <cell r="D77">
            <v>2409</v>
          </cell>
        </row>
        <row r="78">
          <cell r="D78">
            <v>7576</v>
          </cell>
        </row>
        <row r="80">
          <cell r="D80">
            <v>23197</v>
          </cell>
        </row>
        <row r="81">
          <cell r="D81">
            <v>130254</v>
          </cell>
          <cell r="F81">
            <v>-130254</v>
          </cell>
        </row>
        <row r="82">
          <cell r="D82">
            <v>7148</v>
          </cell>
        </row>
        <row r="84">
          <cell r="D84">
            <v>25004</v>
          </cell>
        </row>
        <row r="85">
          <cell r="D85">
            <v>2047</v>
          </cell>
        </row>
        <row r="89">
          <cell r="D89">
            <v>62862</v>
          </cell>
        </row>
        <row r="90">
          <cell r="D90">
            <v>10317</v>
          </cell>
        </row>
        <row r="91">
          <cell r="D91">
            <v>7294</v>
          </cell>
        </row>
        <row r="92">
          <cell r="D92">
            <v>59304</v>
          </cell>
        </row>
        <row r="93">
          <cell r="D93">
            <v>6392</v>
          </cell>
        </row>
        <row r="94">
          <cell r="D94">
            <v>731</v>
          </cell>
        </row>
        <row r="98">
          <cell r="F98">
            <v>8982</v>
          </cell>
        </row>
        <row r="99">
          <cell r="F99">
            <v>852</v>
          </cell>
        </row>
        <row r="100">
          <cell r="D100">
            <v>1689</v>
          </cell>
        </row>
        <row r="103">
          <cell r="D103">
            <v>1531</v>
          </cell>
        </row>
        <row r="115">
          <cell r="D115">
            <v>35926</v>
          </cell>
          <cell r="F115">
            <v>-8982</v>
          </cell>
        </row>
        <row r="116">
          <cell r="D116">
            <v>3408</v>
          </cell>
          <cell r="F116">
            <v>-852</v>
          </cell>
        </row>
        <row r="117">
          <cell r="D117">
            <v>8362</v>
          </cell>
        </row>
        <row r="118">
          <cell r="D118">
            <v>1109</v>
          </cell>
        </row>
        <row r="125">
          <cell r="D125">
            <v>79482</v>
          </cell>
        </row>
        <row r="136">
          <cell r="D136">
            <v>158088</v>
          </cell>
        </row>
        <row r="137">
          <cell r="D137">
            <v>98446</v>
          </cell>
        </row>
        <row r="138">
          <cell r="D138">
            <v>232187</v>
          </cell>
        </row>
        <row r="142">
          <cell r="D142">
            <v>29378</v>
          </cell>
        </row>
        <row r="143">
          <cell r="D143">
            <v>20991</v>
          </cell>
        </row>
        <row r="146">
          <cell r="D146">
            <v>12000</v>
          </cell>
        </row>
        <row r="149">
          <cell r="D149">
            <v>9786</v>
          </cell>
        </row>
        <row r="150">
          <cell r="D150">
            <v>1676</v>
          </cell>
        </row>
        <row r="151">
          <cell r="D151">
            <v>46022</v>
          </cell>
        </row>
        <row r="152">
          <cell r="D152">
            <v>7103</v>
          </cell>
        </row>
        <row r="161">
          <cell r="D161">
            <v>7196</v>
          </cell>
        </row>
        <row r="177">
          <cell r="D177">
            <v>22875</v>
          </cell>
        </row>
        <row r="179">
          <cell r="D179">
            <v>7810</v>
          </cell>
        </row>
        <row r="183">
          <cell r="D183">
            <v>14541</v>
          </cell>
        </row>
        <row r="185">
          <cell r="D185">
            <v>4322</v>
          </cell>
        </row>
        <row r="205">
          <cell r="D205">
            <v>13977</v>
          </cell>
        </row>
        <row r="211">
          <cell r="D211">
            <v>54865</v>
          </cell>
        </row>
        <row r="212">
          <cell r="D212">
            <v>4886</v>
          </cell>
        </row>
        <row r="213">
          <cell r="D213">
            <v>8939</v>
          </cell>
        </row>
        <row r="216">
          <cell r="D216">
            <v>3319</v>
          </cell>
        </row>
        <row r="221">
          <cell r="D221">
            <v>1900000</v>
          </cell>
        </row>
      </sheetData>
      <sheetData sheetId="8" refreshError="1"/>
      <sheetData sheetId="9" refreshError="1"/>
      <sheetData sheetId="10">
        <row r="9">
          <cell r="C9">
            <v>8712</v>
          </cell>
          <cell r="E9">
            <v>292</v>
          </cell>
          <cell r="H9">
            <v>561</v>
          </cell>
          <cell r="I9">
            <v>146</v>
          </cell>
        </row>
        <row r="22">
          <cell r="N22">
            <v>31</v>
          </cell>
        </row>
        <row r="28">
          <cell r="N28">
            <v>11315</v>
          </cell>
        </row>
        <row r="30">
          <cell r="N30">
            <v>0.85824127264692884</v>
          </cell>
        </row>
        <row r="32">
          <cell r="N32">
            <v>0.76995139195757845</v>
          </cell>
        </row>
        <row r="34">
          <cell r="N34">
            <v>0.89712696941612602</v>
          </cell>
        </row>
      </sheetData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2100892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749968</v>
          </cell>
          <cell r="G21">
            <v>0</v>
          </cell>
        </row>
        <row r="27">
          <cell r="E27">
            <v>562178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257106</v>
          </cell>
          <cell r="G37">
            <v>0</v>
          </cell>
        </row>
        <row r="42">
          <cell r="E42">
            <v>0</v>
          </cell>
          <cell r="G42">
            <v>60858</v>
          </cell>
        </row>
        <row r="47">
          <cell r="E47">
            <v>545156</v>
          </cell>
          <cell r="G47">
            <v>-60858</v>
          </cell>
        </row>
        <row r="52">
          <cell r="E52">
            <v>4050</v>
          </cell>
          <cell r="G52">
            <v>0</v>
          </cell>
        </row>
        <row r="67">
          <cell r="E67">
            <v>70658</v>
          </cell>
          <cell r="G67">
            <v>57684</v>
          </cell>
        </row>
        <row r="85">
          <cell r="C85">
            <v>227.22654462242562</v>
          </cell>
          <cell r="E85">
            <v>250.11160714285714</v>
          </cell>
          <cell r="G85">
            <v>291.54838709677421</v>
          </cell>
          <cell r="I85">
            <v>287.18846153846152</v>
          </cell>
        </row>
      </sheetData>
      <sheetData sheetId="6"/>
      <sheetData sheetId="7">
        <row r="10">
          <cell r="D10">
            <v>0</v>
          </cell>
          <cell r="F10">
            <v>91020</v>
          </cell>
        </row>
        <row r="11">
          <cell r="D11">
            <v>0</v>
          </cell>
          <cell r="F11">
            <v>0</v>
          </cell>
        </row>
        <row r="12">
          <cell r="D12">
            <v>43344</v>
          </cell>
          <cell r="F12">
            <v>0</v>
          </cell>
        </row>
        <row r="13">
          <cell r="D13">
            <v>30716</v>
          </cell>
          <cell r="F13">
            <v>17996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0</v>
          </cell>
        </row>
        <row r="16">
          <cell r="D16">
            <v>230350</v>
          </cell>
          <cell r="F16">
            <v>-1326</v>
          </cell>
        </row>
        <row r="17">
          <cell r="D17">
            <v>10452</v>
          </cell>
          <cell r="F17">
            <v>0</v>
          </cell>
        </row>
        <row r="18">
          <cell r="D18">
            <v>16619</v>
          </cell>
          <cell r="F18">
            <v>0</v>
          </cell>
        </row>
        <row r="19">
          <cell r="D19">
            <v>20034</v>
          </cell>
          <cell r="F19">
            <v>0</v>
          </cell>
        </row>
        <row r="20">
          <cell r="D20">
            <v>10771</v>
          </cell>
          <cell r="F20">
            <v>0</v>
          </cell>
        </row>
        <row r="21">
          <cell r="D21">
            <v>20044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15618</v>
          </cell>
          <cell r="F23">
            <v>0</v>
          </cell>
        </row>
        <row r="24">
          <cell r="D24">
            <v>0</v>
          </cell>
          <cell r="F24">
            <v>0</v>
          </cell>
        </row>
        <row r="25">
          <cell r="D25">
            <v>965</v>
          </cell>
          <cell r="F25">
            <v>0</v>
          </cell>
        </row>
        <row r="26">
          <cell r="D26">
            <v>247909</v>
          </cell>
          <cell r="F26">
            <v>0</v>
          </cell>
        </row>
        <row r="27">
          <cell r="D27">
            <v>0</v>
          </cell>
          <cell r="F27">
            <v>57684</v>
          </cell>
        </row>
        <row r="28">
          <cell r="D28">
            <v>0</v>
          </cell>
          <cell r="F28">
            <v>0</v>
          </cell>
        </row>
        <row r="29">
          <cell r="D29">
            <v>126058</v>
          </cell>
          <cell r="F29">
            <v>-126058</v>
          </cell>
        </row>
        <row r="30">
          <cell r="D30">
            <v>0</v>
          </cell>
          <cell r="F30">
            <v>0</v>
          </cell>
        </row>
        <row r="31">
          <cell r="D31">
            <v>205</v>
          </cell>
          <cell r="F31">
            <v>0</v>
          </cell>
        </row>
        <row r="32">
          <cell r="D32">
            <v>600</v>
          </cell>
          <cell r="F32">
            <v>10562</v>
          </cell>
        </row>
        <row r="33">
          <cell r="D33">
            <v>117</v>
          </cell>
          <cell r="F33">
            <v>-117</v>
          </cell>
        </row>
        <row r="34">
          <cell r="D34">
            <v>0</v>
          </cell>
          <cell r="F34">
            <v>0</v>
          </cell>
        </row>
        <row r="35">
          <cell r="D35">
            <v>849</v>
          </cell>
          <cell r="F35">
            <v>-849</v>
          </cell>
        </row>
        <row r="36">
          <cell r="D36">
            <v>0</v>
          </cell>
          <cell r="F36">
            <v>0</v>
          </cell>
        </row>
        <row r="37">
          <cell r="D37">
            <v>0</v>
          </cell>
          <cell r="F37">
            <v>0</v>
          </cell>
        </row>
        <row r="38">
          <cell r="D38">
            <v>0</v>
          </cell>
          <cell r="F38">
            <v>0</v>
          </cell>
        </row>
        <row r="39">
          <cell r="D39">
            <v>6125</v>
          </cell>
          <cell r="F39">
            <v>0</v>
          </cell>
        </row>
        <row r="40">
          <cell r="D40">
            <v>21823</v>
          </cell>
          <cell r="F40">
            <v>0</v>
          </cell>
        </row>
        <row r="41">
          <cell r="D41">
            <v>43729</v>
          </cell>
          <cell r="F41">
            <v>-5923</v>
          </cell>
        </row>
        <row r="42">
          <cell r="D42">
            <v>1062</v>
          </cell>
          <cell r="F42">
            <v>0</v>
          </cell>
        </row>
        <row r="43">
          <cell r="D43">
            <v>0</v>
          </cell>
          <cell r="F43">
            <v>0</v>
          </cell>
        </row>
        <row r="44">
          <cell r="D44">
            <v>0</v>
          </cell>
          <cell r="F44">
            <v>0</v>
          </cell>
        </row>
        <row r="45">
          <cell r="D45">
            <v>9032</v>
          </cell>
          <cell r="F45">
            <v>-109016</v>
          </cell>
        </row>
        <row r="57">
          <cell r="D57">
            <v>385685</v>
          </cell>
          <cell r="F57">
            <v>0</v>
          </cell>
        </row>
        <row r="58">
          <cell r="D58">
            <v>26311</v>
          </cell>
          <cell r="F58">
            <v>0</v>
          </cell>
        </row>
        <row r="59">
          <cell r="D59">
            <v>0</v>
          </cell>
          <cell r="F59">
            <v>0</v>
          </cell>
        </row>
        <row r="60">
          <cell r="D60">
            <v>40000</v>
          </cell>
          <cell r="F60">
            <v>0</v>
          </cell>
        </row>
        <row r="61">
          <cell r="D61">
            <v>13600</v>
          </cell>
          <cell r="F61">
            <v>-10562</v>
          </cell>
        </row>
        <row r="62">
          <cell r="D62">
            <v>0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2689</v>
          </cell>
          <cell r="F65">
            <v>0</v>
          </cell>
        </row>
        <row r="66">
          <cell r="D66">
            <v>31994</v>
          </cell>
          <cell r="F66">
            <v>-2999.46</v>
          </cell>
        </row>
        <row r="67">
          <cell r="D67">
            <v>48323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0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38782</v>
          </cell>
          <cell r="F75">
            <v>0</v>
          </cell>
        </row>
        <row r="76">
          <cell r="D76">
            <v>4933</v>
          </cell>
          <cell r="F76">
            <v>0</v>
          </cell>
        </row>
        <row r="77">
          <cell r="D77">
            <v>8387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10838</v>
          </cell>
          <cell r="F79">
            <v>0</v>
          </cell>
        </row>
        <row r="80">
          <cell r="D80">
            <v>8772</v>
          </cell>
          <cell r="F80">
            <v>0</v>
          </cell>
        </row>
        <row r="81">
          <cell r="D81">
            <v>2006</v>
          </cell>
          <cell r="F81">
            <v>0</v>
          </cell>
        </row>
        <row r="82">
          <cell r="D82">
            <v>1712</v>
          </cell>
          <cell r="F82">
            <v>0</v>
          </cell>
        </row>
        <row r="83">
          <cell r="D83">
            <v>0</v>
          </cell>
          <cell r="F83">
            <v>0</v>
          </cell>
        </row>
        <row r="84">
          <cell r="D84">
            <v>62231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164962</v>
          </cell>
          <cell r="F89">
            <v>0</v>
          </cell>
        </row>
        <row r="90">
          <cell r="D90">
            <v>24398</v>
          </cell>
          <cell r="F90">
            <v>0</v>
          </cell>
        </row>
        <row r="91">
          <cell r="D91">
            <v>16501</v>
          </cell>
          <cell r="F91">
            <v>0</v>
          </cell>
        </row>
        <row r="92">
          <cell r="D92">
            <v>129541</v>
          </cell>
          <cell r="F92">
            <v>0</v>
          </cell>
        </row>
        <row r="93">
          <cell r="D93">
            <v>10025</v>
          </cell>
          <cell r="F93">
            <v>0</v>
          </cell>
        </row>
        <row r="94">
          <cell r="D94">
            <v>200</v>
          </cell>
          <cell r="F94">
            <v>0</v>
          </cell>
        </row>
        <row r="98">
          <cell r="D98">
            <v>59</v>
          </cell>
          <cell r="F98">
            <v>0</v>
          </cell>
        </row>
        <row r="99">
          <cell r="D99">
            <v>7</v>
          </cell>
          <cell r="F99">
            <v>0</v>
          </cell>
        </row>
        <row r="100">
          <cell r="D100">
            <v>196</v>
          </cell>
          <cell r="F100">
            <v>0</v>
          </cell>
        </row>
        <row r="101">
          <cell r="D101">
            <v>0</v>
          </cell>
          <cell r="F101">
            <v>0</v>
          </cell>
        </row>
        <row r="102">
          <cell r="D102">
            <v>2092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80721</v>
          </cell>
          <cell r="F115">
            <v>0</v>
          </cell>
        </row>
        <row r="116">
          <cell r="D116">
            <v>12544</v>
          </cell>
          <cell r="F116">
            <v>0</v>
          </cell>
        </row>
        <row r="117">
          <cell r="D117">
            <v>17139</v>
          </cell>
          <cell r="F117">
            <v>0</v>
          </cell>
        </row>
        <row r="118">
          <cell r="D118">
            <v>44</v>
          </cell>
          <cell r="F118">
            <v>0</v>
          </cell>
        </row>
        <row r="119">
          <cell r="D119">
            <v>75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0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222269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0</v>
          </cell>
          <cell r="F131">
            <v>0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33895</v>
          </cell>
          <cell r="F134">
            <v>0</v>
          </cell>
        </row>
        <row r="136">
          <cell r="D136">
            <v>385584</v>
          </cell>
          <cell r="F136">
            <v>0</v>
          </cell>
        </row>
        <row r="137">
          <cell r="D137">
            <v>92108</v>
          </cell>
          <cell r="F137">
            <v>0</v>
          </cell>
        </row>
        <row r="138">
          <cell r="D138">
            <v>643232</v>
          </cell>
          <cell r="F138">
            <v>0</v>
          </cell>
        </row>
        <row r="139">
          <cell r="D139">
            <v>0</v>
          </cell>
          <cell r="F139">
            <v>0</v>
          </cell>
        </row>
        <row r="141">
          <cell r="D141">
            <v>68962</v>
          </cell>
          <cell r="F141">
            <v>0</v>
          </cell>
        </row>
        <row r="142">
          <cell r="D142">
            <v>16474</v>
          </cell>
          <cell r="F142">
            <v>0</v>
          </cell>
        </row>
        <row r="143">
          <cell r="D143">
            <v>115043</v>
          </cell>
          <cell r="F143">
            <v>0</v>
          </cell>
        </row>
        <row r="144">
          <cell r="D144">
            <v>0</v>
          </cell>
          <cell r="F144">
            <v>0</v>
          </cell>
        </row>
        <row r="146">
          <cell r="D146">
            <v>75053</v>
          </cell>
          <cell r="F146">
            <v>0</v>
          </cell>
        </row>
        <row r="147">
          <cell r="D147">
            <v>34368</v>
          </cell>
          <cell r="F147">
            <v>0</v>
          </cell>
        </row>
        <row r="148">
          <cell r="D148">
            <v>5400</v>
          </cell>
          <cell r="F148">
            <v>0</v>
          </cell>
        </row>
        <row r="149">
          <cell r="D149">
            <v>5291</v>
          </cell>
          <cell r="F149">
            <v>0</v>
          </cell>
        </row>
        <row r="150">
          <cell r="D150">
            <v>13216</v>
          </cell>
          <cell r="F150">
            <v>0</v>
          </cell>
        </row>
        <row r="151">
          <cell r="D151">
            <v>87707</v>
          </cell>
          <cell r="F151">
            <v>0</v>
          </cell>
        </row>
        <row r="152">
          <cell r="D152">
            <v>1768</v>
          </cell>
          <cell r="F152">
            <v>0</v>
          </cell>
        </row>
        <row r="153">
          <cell r="D153">
            <v>4658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1514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90156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0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139098</v>
          </cell>
          <cell r="F194">
            <v>-2493.58</v>
          </cell>
        </row>
        <row r="195">
          <cell r="D195">
            <v>31668</v>
          </cell>
          <cell r="F195">
            <v>-567.71</v>
          </cell>
        </row>
        <row r="196">
          <cell r="D196">
            <v>0</v>
          </cell>
          <cell r="F196">
            <v>0</v>
          </cell>
        </row>
        <row r="197">
          <cell r="D197">
            <v>118740</v>
          </cell>
          <cell r="F197">
            <v>-2128.63</v>
          </cell>
        </row>
        <row r="198">
          <cell r="D198">
            <v>22539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233739</v>
          </cell>
          <cell r="F205">
            <v>-63371.56</v>
          </cell>
        </row>
        <row r="206">
          <cell r="D206">
            <v>13945</v>
          </cell>
          <cell r="F206">
            <v>0</v>
          </cell>
        </row>
        <row r="207">
          <cell r="D207">
            <v>1923</v>
          </cell>
          <cell r="F207">
            <v>0</v>
          </cell>
        </row>
        <row r="211">
          <cell r="D211">
            <v>81738</v>
          </cell>
          <cell r="F211">
            <v>0</v>
          </cell>
        </row>
        <row r="212">
          <cell r="D212">
            <v>9753</v>
          </cell>
          <cell r="F212">
            <v>0</v>
          </cell>
        </row>
        <row r="213">
          <cell r="D213">
            <v>8871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6628</v>
          </cell>
          <cell r="F216">
            <v>0</v>
          </cell>
        </row>
        <row r="221">
          <cell r="D221">
            <v>4566529</v>
          </cell>
        </row>
      </sheetData>
      <sheetData sheetId="8"/>
      <sheetData sheetId="9"/>
      <sheetData sheetId="10">
        <row r="9">
          <cell r="C9">
            <v>12306</v>
          </cell>
          <cell r="D9">
            <v>0</v>
          </cell>
          <cell r="E9">
            <v>1470</v>
          </cell>
          <cell r="F9">
            <v>1506</v>
          </cell>
          <cell r="G9">
            <v>0</v>
          </cell>
          <cell r="H9">
            <v>696</v>
          </cell>
          <cell r="I9">
            <v>309</v>
          </cell>
          <cell r="J9">
            <v>2972</v>
          </cell>
          <cell r="K9">
            <v>18</v>
          </cell>
        </row>
        <row r="22">
          <cell r="N22">
            <v>76</v>
          </cell>
        </row>
        <row r="24">
          <cell r="N24">
            <v>76</v>
          </cell>
        </row>
        <row r="28">
          <cell r="N28">
            <v>27740</v>
          </cell>
        </row>
        <row r="30">
          <cell r="N30">
            <v>0.69491708723864454</v>
          </cell>
        </row>
        <row r="32">
          <cell r="N32">
            <v>0.44361932227829848</v>
          </cell>
        </row>
        <row r="34">
          <cell r="N34">
            <v>0.63837734087254239</v>
          </cell>
        </row>
      </sheetData>
      <sheetData sheetId="1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E10">
            <v>1322138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920341</v>
          </cell>
          <cell r="G21">
            <v>0</v>
          </cell>
        </row>
        <row r="27">
          <cell r="E27">
            <v>353317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306317</v>
          </cell>
          <cell r="G37">
            <v>0</v>
          </cell>
        </row>
        <row r="42">
          <cell r="E42">
            <v>145576</v>
          </cell>
          <cell r="G42">
            <v>0</v>
          </cell>
        </row>
        <row r="47">
          <cell r="E47">
            <v>9651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100</v>
          </cell>
          <cell r="G67">
            <v>-100</v>
          </cell>
        </row>
      </sheetData>
      <sheetData sheetId="6" refreshError="1"/>
      <sheetData sheetId="7">
        <row r="10">
          <cell r="D10">
            <v>70065</v>
          </cell>
        </row>
        <row r="12">
          <cell r="D12">
            <v>111652</v>
          </cell>
          <cell r="F12">
            <v>-48386</v>
          </cell>
        </row>
        <row r="13">
          <cell r="D13">
            <v>52136</v>
          </cell>
        </row>
        <row r="15">
          <cell r="D15">
            <v>131140</v>
          </cell>
          <cell r="F15">
            <v>-131140</v>
          </cell>
        </row>
        <row r="16">
          <cell r="F16">
            <v>415330</v>
          </cell>
        </row>
        <row r="17">
          <cell r="D17">
            <v>550</v>
          </cell>
        </row>
        <row r="18">
          <cell r="D18">
            <v>12259</v>
          </cell>
        </row>
        <row r="19">
          <cell r="D19">
            <v>8008</v>
          </cell>
        </row>
        <row r="20">
          <cell r="D20">
            <v>10191</v>
          </cell>
        </row>
        <row r="21">
          <cell r="F21">
            <v>68405</v>
          </cell>
        </row>
        <row r="23">
          <cell r="D23">
            <v>20341</v>
          </cell>
        </row>
        <row r="24">
          <cell r="D24">
            <v>18433</v>
          </cell>
        </row>
        <row r="26">
          <cell r="D26">
            <v>143021</v>
          </cell>
        </row>
        <row r="27">
          <cell r="D27">
            <v>4767</v>
          </cell>
          <cell r="F27">
            <v>8153</v>
          </cell>
        </row>
        <row r="28">
          <cell r="F28">
            <v>0</v>
          </cell>
        </row>
        <row r="29">
          <cell r="D29">
            <v>246341</v>
          </cell>
          <cell r="F29">
            <v>-246341</v>
          </cell>
        </row>
        <row r="30">
          <cell r="D30">
            <v>-375</v>
          </cell>
          <cell r="F30">
            <v>375</v>
          </cell>
        </row>
        <row r="32">
          <cell r="D32">
            <v>31008</v>
          </cell>
        </row>
        <row r="33">
          <cell r="F33">
            <v>0</v>
          </cell>
        </row>
        <row r="35">
          <cell r="F35">
            <v>0</v>
          </cell>
        </row>
        <row r="39">
          <cell r="D39">
            <v>6988</v>
          </cell>
          <cell r="F39">
            <v>8487</v>
          </cell>
        </row>
        <row r="40">
          <cell r="D40">
            <v>11391</v>
          </cell>
          <cell r="F40">
            <v>-11391</v>
          </cell>
        </row>
        <row r="41">
          <cell r="D41">
            <v>15071</v>
          </cell>
        </row>
        <row r="42">
          <cell r="D42">
            <v>2362</v>
          </cell>
        </row>
        <row r="44">
          <cell r="D44">
            <v>1450</v>
          </cell>
        </row>
        <row r="45">
          <cell r="D45">
            <v>4317</v>
          </cell>
          <cell r="F45">
            <v>-233</v>
          </cell>
        </row>
        <row r="57">
          <cell r="D57">
            <v>443437</v>
          </cell>
        </row>
        <row r="58">
          <cell r="D58">
            <v>182168</v>
          </cell>
          <cell r="F58">
            <v>10745</v>
          </cell>
        </row>
        <row r="59">
          <cell r="F59">
            <v>26427</v>
          </cell>
        </row>
        <row r="60">
          <cell r="D60">
            <v>19542</v>
          </cell>
        </row>
        <row r="61">
          <cell r="D61">
            <v>7330</v>
          </cell>
          <cell r="F61">
            <v>597</v>
          </cell>
        </row>
        <row r="62">
          <cell r="D62">
            <v>7180</v>
          </cell>
        </row>
        <row r="67">
          <cell r="D67">
            <v>38453</v>
          </cell>
          <cell r="F67">
            <v>31554</v>
          </cell>
        </row>
        <row r="75">
          <cell r="D75">
            <v>24471</v>
          </cell>
        </row>
        <row r="76">
          <cell r="D76">
            <v>7993</v>
          </cell>
        </row>
        <row r="77">
          <cell r="D77">
            <v>1897</v>
          </cell>
        </row>
        <row r="78">
          <cell r="D78">
            <v>18538</v>
          </cell>
          <cell r="F78">
            <v>1781</v>
          </cell>
        </row>
        <row r="79">
          <cell r="D79">
            <v>8090</v>
          </cell>
        </row>
        <row r="80">
          <cell r="D80">
            <v>28688</v>
          </cell>
        </row>
        <row r="82">
          <cell r="D82">
            <v>9158</v>
          </cell>
        </row>
        <row r="84">
          <cell r="D84">
            <v>59047</v>
          </cell>
          <cell r="F84">
            <v>1466</v>
          </cell>
        </row>
        <row r="85">
          <cell r="D85">
            <v>68</v>
          </cell>
        </row>
        <row r="89">
          <cell r="D89">
            <v>80523</v>
          </cell>
        </row>
        <row r="90">
          <cell r="D90">
            <v>23386</v>
          </cell>
        </row>
        <row r="91">
          <cell r="D91">
            <v>931</v>
          </cell>
        </row>
        <row r="92">
          <cell r="D92">
            <v>78783</v>
          </cell>
        </row>
        <row r="93">
          <cell r="D93">
            <v>1633</v>
          </cell>
        </row>
        <row r="94">
          <cell r="D94">
            <v>2985</v>
          </cell>
        </row>
        <row r="98">
          <cell r="D98">
            <v>11402</v>
          </cell>
        </row>
        <row r="99">
          <cell r="D99">
            <v>1446</v>
          </cell>
        </row>
        <row r="100">
          <cell r="D100">
            <v>2942</v>
          </cell>
        </row>
        <row r="102">
          <cell r="D102">
            <v>1092</v>
          </cell>
        </row>
        <row r="115">
          <cell r="D115">
            <v>42004</v>
          </cell>
        </row>
        <row r="116">
          <cell r="D116">
            <v>11491</v>
          </cell>
        </row>
        <row r="117">
          <cell r="D117">
            <v>12157</v>
          </cell>
        </row>
        <row r="118">
          <cell r="D118">
            <v>2018</v>
          </cell>
        </row>
        <row r="124">
          <cell r="D124">
            <v>45569</v>
          </cell>
        </row>
        <row r="125">
          <cell r="D125">
            <v>43888</v>
          </cell>
        </row>
        <row r="128">
          <cell r="D128">
            <v>21309</v>
          </cell>
        </row>
        <row r="130">
          <cell r="D130">
            <v>13228</v>
          </cell>
        </row>
        <row r="131">
          <cell r="D131">
            <v>12684</v>
          </cell>
        </row>
        <row r="134">
          <cell r="D134">
            <v>3172</v>
          </cell>
        </row>
        <row r="136">
          <cell r="D136">
            <v>330974</v>
          </cell>
        </row>
        <row r="137">
          <cell r="D137">
            <v>111313</v>
          </cell>
        </row>
        <row r="138">
          <cell r="D138">
            <v>239214</v>
          </cell>
        </row>
        <row r="139">
          <cell r="D139">
            <v>28701</v>
          </cell>
        </row>
        <row r="141">
          <cell r="D141">
            <v>95651</v>
          </cell>
        </row>
        <row r="142">
          <cell r="D142">
            <v>32199</v>
          </cell>
        </row>
        <row r="143">
          <cell r="D143">
            <v>69109</v>
          </cell>
        </row>
        <row r="144">
          <cell r="D144">
            <v>8291</v>
          </cell>
        </row>
        <row r="146">
          <cell r="D146">
            <v>20000</v>
          </cell>
        </row>
        <row r="147">
          <cell r="D147">
            <v>1010</v>
          </cell>
        </row>
        <row r="149">
          <cell r="D149">
            <v>3185</v>
          </cell>
        </row>
        <row r="150">
          <cell r="D150">
            <v>16181</v>
          </cell>
        </row>
        <row r="151">
          <cell r="D151">
            <v>63654</v>
          </cell>
        </row>
        <row r="152">
          <cell r="D152">
            <v>1540</v>
          </cell>
        </row>
        <row r="158">
          <cell r="D158">
            <v>494</v>
          </cell>
        </row>
        <row r="161">
          <cell r="D161">
            <v>146</v>
          </cell>
        </row>
        <row r="177">
          <cell r="D177">
            <v>156542</v>
          </cell>
        </row>
        <row r="178">
          <cell r="D178">
            <v>47218</v>
          </cell>
        </row>
        <row r="179">
          <cell r="D179">
            <v>39905</v>
          </cell>
        </row>
        <row r="180">
          <cell r="D180">
            <v>11586</v>
          </cell>
        </row>
        <row r="183">
          <cell r="D183">
            <v>53748</v>
          </cell>
        </row>
        <row r="184">
          <cell r="D184">
            <v>14776</v>
          </cell>
        </row>
        <row r="188">
          <cell r="D188">
            <v>3177</v>
          </cell>
        </row>
        <row r="189">
          <cell r="D189">
            <v>820</v>
          </cell>
        </row>
        <row r="192">
          <cell r="D192">
            <v>14055</v>
          </cell>
        </row>
        <row r="203">
          <cell r="D203">
            <v>29442</v>
          </cell>
        </row>
        <row r="205">
          <cell r="D205">
            <v>119397</v>
          </cell>
        </row>
        <row r="207">
          <cell r="D207">
            <v>26701</v>
          </cell>
        </row>
        <row r="211">
          <cell r="D211">
            <v>58775</v>
          </cell>
        </row>
        <row r="212">
          <cell r="D212">
            <v>15291</v>
          </cell>
        </row>
        <row r="213">
          <cell r="D213">
            <v>8971</v>
          </cell>
        </row>
        <row r="216">
          <cell r="D216">
            <v>15595</v>
          </cell>
        </row>
        <row r="221">
          <cell r="D221">
            <v>3807480</v>
          </cell>
        </row>
      </sheetData>
      <sheetData sheetId="8" refreshError="1"/>
      <sheetData sheetId="9" refreshError="1"/>
      <sheetData sheetId="10">
        <row r="9">
          <cell r="C9">
            <v>7142</v>
          </cell>
          <cell r="E9">
            <v>1787</v>
          </cell>
          <cell r="F9">
            <v>903</v>
          </cell>
          <cell r="G9">
            <v>0</v>
          </cell>
          <cell r="H9">
            <v>1346</v>
          </cell>
          <cell r="I9">
            <v>783</v>
          </cell>
          <cell r="J9">
            <v>31</v>
          </cell>
        </row>
      </sheetData>
      <sheetData sheetId="1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85">
          <cell r="I85">
            <v>214.66467065868264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1 (2)"/>
      <sheetName val="Sch C-1 (3)"/>
      <sheetName val="Sch C-1 (4)"/>
      <sheetName val="Sch C-1 (5)"/>
      <sheetName val="Sch C-1 (6)"/>
      <sheetName val="Sch C-2"/>
      <sheetName val="Sch D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E10">
            <v>1724359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1524407</v>
          </cell>
          <cell r="G21">
            <v>0</v>
          </cell>
        </row>
        <row r="27">
          <cell r="E27">
            <v>346995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495218</v>
          </cell>
          <cell r="G37">
            <v>0</v>
          </cell>
        </row>
        <row r="42">
          <cell r="E42">
            <v>0</v>
          </cell>
          <cell r="G42">
            <v>72216</v>
          </cell>
        </row>
        <row r="47">
          <cell r="E47">
            <v>73052</v>
          </cell>
          <cell r="G47">
            <v>-72216</v>
          </cell>
        </row>
        <row r="52">
          <cell r="E52">
            <v>0</v>
          </cell>
          <cell r="G52">
            <v>0</v>
          </cell>
        </row>
        <row r="67">
          <cell r="E67">
            <v>2107</v>
          </cell>
          <cell r="G67">
            <v>-2580</v>
          </cell>
        </row>
        <row r="85">
          <cell r="C85">
            <v>253.125</v>
          </cell>
          <cell r="E85">
            <v>223.41573033707866</v>
          </cell>
          <cell r="G85">
            <v>233.0766917293233</v>
          </cell>
        </row>
      </sheetData>
      <sheetData sheetId="6" refreshError="1"/>
      <sheetData sheetId="7">
        <row r="10">
          <cell r="D10">
            <v>77578</v>
          </cell>
          <cell r="F10">
            <v>17801</v>
          </cell>
        </row>
        <row r="12">
          <cell r="D12">
            <v>119702</v>
          </cell>
          <cell r="F12">
            <v>-26</v>
          </cell>
        </row>
        <row r="13">
          <cell r="D13">
            <v>49106</v>
          </cell>
          <cell r="F13">
            <v>-9964</v>
          </cell>
        </row>
        <row r="16">
          <cell r="D16">
            <v>166207</v>
          </cell>
          <cell r="F16">
            <v>145384</v>
          </cell>
        </row>
        <row r="17">
          <cell r="D17">
            <v>7234</v>
          </cell>
          <cell r="F17">
            <v>-7234</v>
          </cell>
        </row>
        <row r="18">
          <cell r="D18">
            <v>15064</v>
          </cell>
          <cell r="F18">
            <v>-3079</v>
          </cell>
        </row>
        <row r="19">
          <cell r="D19">
            <v>19327</v>
          </cell>
          <cell r="F19">
            <v>-2636</v>
          </cell>
        </row>
        <row r="20">
          <cell r="D20">
            <v>14432</v>
          </cell>
        </row>
        <row r="21">
          <cell r="D21">
            <v>2112</v>
          </cell>
          <cell r="F21">
            <v>-2112</v>
          </cell>
        </row>
        <row r="23">
          <cell r="D23">
            <v>19736</v>
          </cell>
        </row>
        <row r="24">
          <cell r="D24">
            <v>23816</v>
          </cell>
        </row>
        <row r="26">
          <cell r="D26">
            <v>204004</v>
          </cell>
        </row>
        <row r="28">
          <cell r="F28">
            <v>0</v>
          </cell>
        </row>
        <row r="29">
          <cell r="D29">
            <v>214599</v>
          </cell>
          <cell r="F29">
            <v>-214599</v>
          </cell>
        </row>
        <row r="30">
          <cell r="F30">
            <v>0</v>
          </cell>
        </row>
        <row r="31">
          <cell r="D31">
            <v>17618</v>
          </cell>
          <cell r="F31">
            <v>1698</v>
          </cell>
        </row>
        <row r="32">
          <cell r="D32">
            <v>53669</v>
          </cell>
          <cell r="F32">
            <v>-467</v>
          </cell>
        </row>
        <row r="33">
          <cell r="F33">
            <v>0</v>
          </cell>
        </row>
        <row r="34">
          <cell r="D34">
            <v>13</v>
          </cell>
        </row>
        <row r="35">
          <cell r="F35">
            <v>0</v>
          </cell>
        </row>
        <row r="36">
          <cell r="D36">
            <v>15229</v>
          </cell>
        </row>
        <row r="37">
          <cell r="D37">
            <v>2100</v>
          </cell>
          <cell r="F37">
            <v>111</v>
          </cell>
        </row>
        <row r="39">
          <cell r="D39">
            <v>733</v>
          </cell>
        </row>
        <row r="41">
          <cell r="D41">
            <v>4131</v>
          </cell>
        </row>
        <row r="43">
          <cell r="F43">
            <v>7265</v>
          </cell>
        </row>
        <row r="44">
          <cell r="D44">
            <v>2719</v>
          </cell>
          <cell r="F44">
            <v>-2719</v>
          </cell>
        </row>
        <row r="45">
          <cell r="D45">
            <v>65765</v>
          </cell>
          <cell r="F45">
            <v>-60311</v>
          </cell>
        </row>
        <row r="57">
          <cell r="D57">
            <v>1021693</v>
          </cell>
        </row>
        <row r="58">
          <cell r="D58">
            <v>14991</v>
          </cell>
          <cell r="F58">
            <v>93036</v>
          </cell>
        </row>
        <row r="60">
          <cell r="D60">
            <v>16394</v>
          </cell>
        </row>
        <row r="61">
          <cell r="D61">
            <v>10933</v>
          </cell>
        </row>
        <row r="65">
          <cell r="D65">
            <v>2084</v>
          </cell>
        </row>
        <row r="66">
          <cell r="D66">
            <v>26815</v>
          </cell>
          <cell r="F66">
            <v>17317</v>
          </cell>
        </row>
        <row r="67">
          <cell r="D67">
            <v>63628</v>
          </cell>
          <cell r="F67">
            <v>-27445</v>
          </cell>
        </row>
        <row r="69">
          <cell r="D69">
            <v>3351</v>
          </cell>
        </row>
        <row r="70">
          <cell r="D70">
            <v>15170</v>
          </cell>
        </row>
        <row r="71">
          <cell r="D71">
            <v>1089</v>
          </cell>
          <cell r="F71">
            <v>-112</v>
          </cell>
        </row>
        <row r="75">
          <cell r="D75">
            <v>42405</v>
          </cell>
        </row>
        <row r="76">
          <cell r="D76">
            <v>4091</v>
          </cell>
          <cell r="F76">
            <v>299</v>
          </cell>
        </row>
        <row r="77">
          <cell r="D77">
            <v>9650</v>
          </cell>
        </row>
        <row r="79">
          <cell r="D79">
            <v>5809</v>
          </cell>
          <cell r="F79">
            <v>4601</v>
          </cell>
        </row>
        <row r="80">
          <cell r="D80">
            <v>11082</v>
          </cell>
        </row>
        <row r="81">
          <cell r="D81">
            <v>33815</v>
          </cell>
        </row>
        <row r="82">
          <cell r="D82">
            <v>9112</v>
          </cell>
        </row>
        <row r="83">
          <cell r="D83">
            <v>5766</v>
          </cell>
        </row>
        <row r="84">
          <cell r="D84">
            <v>100479</v>
          </cell>
        </row>
        <row r="89">
          <cell r="D89">
            <v>156100</v>
          </cell>
        </row>
        <row r="90">
          <cell r="D90">
            <v>29890</v>
          </cell>
          <cell r="F90">
            <v>1140</v>
          </cell>
        </row>
        <row r="92">
          <cell r="D92">
            <v>103636</v>
          </cell>
          <cell r="F92">
            <v>-141</v>
          </cell>
        </row>
        <row r="93">
          <cell r="D93">
            <v>13390</v>
          </cell>
          <cell r="F93">
            <v>-18</v>
          </cell>
        </row>
        <row r="94">
          <cell r="D94">
            <v>388</v>
          </cell>
        </row>
        <row r="100">
          <cell r="D100">
            <v>84</v>
          </cell>
        </row>
        <row r="101">
          <cell r="D101">
            <v>89312</v>
          </cell>
        </row>
        <row r="102">
          <cell r="D102">
            <v>147</v>
          </cell>
        </row>
        <row r="117">
          <cell r="D117">
            <v>4781</v>
          </cell>
        </row>
        <row r="118">
          <cell r="D118">
            <v>128692</v>
          </cell>
        </row>
        <row r="125">
          <cell r="D125">
            <v>211634</v>
          </cell>
          <cell r="F125">
            <v>10768</v>
          </cell>
        </row>
        <row r="128">
          <cell r="D128">
            <v>29048</v>
          </cell>
        </row>
        <row r="134">
          <cell r="D134">
            <v>48842</v>
          </cell>
          <cell r="F134">
            <v>2717</v>
          </cell>
        </row>
        <row r="136">
          <cell r="D136">
            <v>187358</v>
          </cell>
        </row>
        <row r="137">
          <cell r="D137">
            <v>267367</v>
          </cell>
        </row>
        <row r="138">
          <cell r="D138">
            <v>369396</v>
          </cell>
        </row>
        <row r="139">
          <cell r="D139">
            <v>5758</v>
          </cell>
        </row>
        <row r="141">
          <cell r="D141">
            <v>27278</v>
          </cell>
        </row>
        <row r="142">
          <cell r="D142">
            <v>38927</v>
          </cell>
        </row>
        <row r="143">
          <cell r="D143">
            <v>53781</v>
          </cell>
        </row>
        <row r="144">
          <cell r="D144">
            <v>838</v>
          </cell>
          <cell r="F144">
            <v>6046</v>
          </cell>
        </row>
        <row r="146">
          <cell r="D146">
            <v>29450</v>
          </cell>
        </row>
        <row r="151">
          <cell r="D151">
            <v>60150</v>
          </cell>
        </row>
        <row r="152">
          <cell r="D152">
            <v>730</v>
          </cell>
        </row>
        <row r="153">
          <cell r="F153">
            <v>2540</v>
          </cell>
        </row>
        <row r="161">
          <cell r="D161">
            <v>26833</v>
          </cell>
          <cell r="F161">
            <v>-15241</v>
          </cell>
        </row>
        <row r="188">
          <cell r="D188">
            <v>1713</v>
          </cell>
          <cell r="F188">
            <v>-931</v>
          </cell>
        </row>
        <row r="189">
          <cell r="F189">
            <v>36</v>
          </cell>
        </row>
        <row r="191">
          <cell r="D191">
            <v>162</v>
          </cell>
          <cell r="F191">
            <v>896</v>
          </cell>
        </row>
        <row r="194">
          <cell r="D194">
            <v>115725</v>
          </cell>
          <cell r="F194">
            <v>30510</v>
          </cell>
        </row>
        <row r="195">
          <cell r="D195">
            <v>19784</v>
          </cell>
          <cell r="F195">
            <v>-3209</v>
          </cell>
        </row>
        <row r="197">
          <cell r="D197">
            <v>238691</v>
          </cell>
          <cell r="F197">
            <v>-61419</v>
          </cell>
        </row>
        <row r="198">
          <cell r="D198">
            <v>5916</v>
          </cell>
        </row>
        <row r="205">
          <cell r="D205">
            <v>138629</v>
          </cell>
        </row>
        <row r="206">
          <cell r="D206">
            <v>4725</v>
          </cell>
        </row>
        <row r="207">
          <cell r="D207">
            <v>954</v>
          </cell>
          <cell r="F207">
            <v>-18416</v>
          </cell>
        </row>
        <row r="211">
          <cell r="D211">
            <v>89287</v>
          </cell>
        </row>
        <row r="212">
          <cell r="D212">
            <v>24648</v>
          </cell>
          <cell r="F212">
            <v>635</v>
          </cell>
        </row>
        <row r="213">
          <cell r="D213">
            <v>23285</v>
          </cell>
        </row>
        <row r="214">
          <cell r="F214">
            <v>6200</v>
          </cell>
        </row>
        <row r="216">
          <cell r="D216">
            <v>3137</v>
          </cell>
        </row>
        <row r="221">
          <cell r="D221">
            <v>5043717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9">
          <cell r="C9">
            <v>10693</v>
          </cell>
          <cell r="E9">
            <v>2524</v>
          </cell>
          <cell r="F9">
            <v>800</v>
          </cell>
          <cell r="H9">
            <v>2117</v>
          </cell>
          <cell r="I9">
            <v>432</v>
          </cell>
          <cell r="J9">
            <v>5</v>
          </cell>
        </row>
        <row r="22">
          <cell r="N22">
            <v>130</v>
          </cell>
        </row>
        <row r="24">
          <cell r="N24">
            <v>130</v>
          </cell>
        </row>
        <row r="28">
          <cell r="N28">
            <v>39520</v>
          </cell>
        </row>
        <row r="30">
          <cell r="N30">
            <v>0.41930668016194333</v>
          </cell>
        </row>
        <row r="32">
          <cell r="N32">
            <v>0.27057186234817815</v>
          </cell>
        </row>
        <row r="34">
          <cell r="N34">
            <v>0.64528392975680404</v>
          </cell>
        </row>
      </sheetData>
      <sheetData sheetId="16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heet1"/>
      <sheetName val="Sch A Pg 3"/>
      <sheetName val="Sch B"/>
      <sheetName val="Sch B Misc Income "/>
      <sheetName val="Sch B-1"/>
      <sheetName val="Sch C"/>
      <sheetName val="Sch C Misc Items Detail"/>
      <sheetName val="Sch C-1"/>
      <sheetName val="Sch C-1 (2)"/>
      <sheetName val="Sch C-2"/>
      <sheetName val="Sch D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0">
          <cell r="E10">
            <v>7979524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2822985</v>
          </cell>
          <cell r="G21">
            <v>0</v>
          </cell>
        </row>
        <row r="27">
          <cell r="E27">
            <v>1583969</v>
          </cell>
          <cell r="G27">
            <v>0</v>
          </cell>
        </row>
        <row r="32">
          <cell r="E32">
            <v>83659</v>
          </cell>
          <cell r="G32">
            <v>0</v>
          </cell>
        </row>
        <row r="37">
          <cell r="E37">
            <v>1220423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745265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87370</v>
          </cell>
          <cell r="G67">
            <v>0</v>
          </cell>
        </row>
        <row r="85">
          <cell r="C85">
            <v>182.93396226415095</v>
          </cell>
          <cell r="E85">
            <v>182.1867321867322</v>
          </cell>
          <cell r="G85">
            <v>193.96243875884593</v>
          </cell>
          <cell r="I85">
            <v>193.32494758909854</v>
          </cell>
        </row>
      </sheetData>
      <sheetData sheetId="7" refreshError="1"/>
      <sheetData sheetId="8" refreshError="1"/>
      <sheetData sheetId="9">
        <row r="10">
          <cell r="D10">
            <v>293887</v>
          </cell>
          <cell r="F10">
            <v>20982</v>
          </cell>
        </row>
        <row r="11">
          <cell r="D11">
            <v>19500</v>
          </cell>
          <cell r="F11">
            <v>1392</v>
          </cell>
        </row>
        <row r="12">
          <cell r="D12">
            <v>393146</v>
          </cell>
          <cell r="F12">
            <v>-20905.300000000003</v>
          </cell>
        </row>
        <row r="13">
          <cell r="D13">
            <v>1555290</v>
          </cell>
          <cell r="F13">
            <v>-1395816.33</v>
          </cell>
        </row>
        <row r="14">
          <cell r="D14">
            <v>0</v>
          </cell>
        </row>
        <row r="15">
          <cell r="D15">
            <v>0</v>
          </cell>
        </row>
        <row r="16">
          <cell r="D16">
            <v>726887</v>
          </cell>
          <cell r="F16">
            <v>268541.23035706556</v>
          </cell>
        </row>
        <row r="17">
          <cell r="D17">
            <v>0</v>
          </cell>
        </row>
        <row r="18">
          <cell r="D18">
            <v>12185</v>
          </cell>
        </row>
        <row r="19">
          <cell r="D19">
            <v>34225</v>
          </cell>
          <cell r="F19">
            <v>-3662.8539999999998</v>
          </cell>
        </row>
        <row r="20">
          <cell r="D20">
            <v>33129</v>
          </cell>
        </row>
        <row r="21">
          <cell r="D21">
            <v>9782</v>
          </cell>
        </row>
        <row r="22">
          <cell r="D22">
            <v>0</v>
          </cell>
        </row>
        <row r="23">
          <cell r="D23">
            <v>6383</v>
          </cell>
        </row>
        <row r="24">
          <cell r="D24">
            <v>118631</v>
          </cell>
          <cell r="F24">
            <v>-31032</v>
          </cell>
        </row>
        <row r="25">
          <cell r="D25">
            <v>0</v>
          </cell>
        </row>
        <row r="26">
          <cell r="D26">
            <v>720613</v>
          </cell>
        </row>
        <row r="27">
          <cell r="D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-7352</v>
          </cell>
          <cell r="F29">
            <v>7352</v>
          </cell>
        </row>
        <row r="30">
          <cell r="D30">
            <v>0</v>
          </cell>
          <cell r="F30">
            <v>0</v>
          </cell>
        </row>
        <row r="31">
          <cell r="D31">
            <v>172368</v>
          </cell>
        </row>
        <row r="32">
          <cell r="D32">
            <v>212160</v>
          </cell>
          <cell r="F32">
            <v>-56852.15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</row>
        <row r="35">
          <cell r="D35">
            <v>35</v>
          </cell>
          <cell r="F35">
            <v>-35</v>
          </cell>
        </row>
        <row r="36">
          <cell r="D36">
            <v>0</v>
          </cell>
        </row>
        <row r="37">
          <cell r="D37">
            <v>0</v>
          </cell>
        </row>
        <row r="38">
          <cell r="D38">
            <v>3254</v>
          </cell>
          <cell r="F38">
            <v>-3254</v>
          </cell>
        </row>
        <row r="39">
          <cell r="D39">
            <v>14515</v>
          </cell>
        </row>
        <row r="40">
          <cell r="D40">
            <v>13282</v>
          </cell>
        </row>
        <row r="41">
          <cell r="D41">
            <v>45295</v>
          </cell>
        </row>
        <row r="42">
          <cell r="D42">
            <v>7403</v>
          </cell>
        </row>
        <row r="43">
          <cell r="D43">
            <v>12976</v>
          </cell>
        </row>
        <row r="44">
          <cell r="D44">
            <v>132</v>
          </cell>
        </row>
        <row r="45">
          <cell r="D45">
            <v>36158</v>
          </cell>
          <cell r="F45">
            <v>-61858</v>
          </cell>
        </row>
        <row r="57">
          <cell r="D57">
            <v>689535</v>
          </cell>
        </row>
        <row r="58">
          <cell r="D58">
            <v>2825</v>
          </cell>
        </row>
        <row r="59">
          <cell r="D59">
            <v>0</v>
          </cell>
        </row>
        <row r="60">
          <cell r="D60">
            <v>141918</v>
          </cell>
        </row>
        <row r="61">
          <cell r="D61">
            <v>23098</v>
          </cell>
        </row>
        <row r="62">
          <cell r="D62">
            <v>8708</v>
          </cell>
        </row>
        <row r="63">
          <cell r="D63">
            <v>0</v>
          </cell>
        </row>
        <row r="64">
          <cell r="D64">
            <v>0</v>
          </cell>
        </row>
        <row r="65">
          <cell r="D65">
            <v>5370</v>
          </cell>
        </row>
        <row r="66">
          <cell r="D66">
            <v>3479</v>
          </cell>
        </row>
        <row r="67">
          <cell r="D67">
            <v>121362</v>
          </cell>
        </row>
        <row r="68">
          <cell r="D68">
            <v>0</v>
          </cell>
        </row>
        <row r="69">
          <cell r="D69">
            <v>10324</v>
          </cell>
        </row>
        <row r="70">
          <cell r="D70">
            <v>0</v>
          </cell>
        </row>
        <row r="71">
          <cell r="D71">
            <v>0</v>
          </cell>
        </row>
        <row r="75">
          <cell r="D75">
            <v>132838</v>
          </cell>
          <cell r="F75">
            <v>9484</v>
          </cell>
        </row>
        <row r="76">
          <cell r="D76">
            <v>0</v>
          </cell>
          <cell r="F76">
            <v>21743</v>
          </cell>
        </row>
        <row r="77">
          <cell r="D77">
            <v>48072</v>
          </cell>
        </row>
        <row r="78">
          <cell r="D78">
            <v>0</v>
          </cell>
        </row>
        <row r="79">
          <cell r="D79">
            <v>14427</v>
          </cell>
        </row>
        <row r="80">
          <cell r="D80">
            <v>41091</v>
          </cell>
        </row>
        <row r="81">
          <cell r="D81">
            <v>41473</v>
          </cell>
        </row>
        <row r="82">
          <cell r="D82">
            <v>4091</v>
          </cell>
        </row>
        <row r="83">
          <cell r="D83">
            <v>0</v>
          </cell>
        </row>
        <row r="84">
          <cell r="D84">
            <v>317364</v>
          </cell>
        </row>
        <row r="85">
          <cell r="D85">
            <v>0</v>
          </cell>
        </row>
        <row r="89">
          <cell r="D89">
            <v>384788</v>
          </cell>
          <cell r="F89">
            <v>27472</v>
          </cell>
        </row>
        <row r="90">
          <cell r="D90">
            <v>0</v>
          </cell>
          <cell r="F90">
            <v>62981</v>
          </cell>
        </row>
        <row r="91">
          <cell r="D91">
            <v>30732</v>
          </cell>
        </row>
        <row r="92">
          <cell r="D92">
            <v>316212</v>
          </cell>
        </row>
        <row r="93">
          <cell r="D93">
            <v>45588</v>
          </cell>
        </row>
        <row r="94">
          <cell r="D94">
            <v>0</v>
          </cell>
        </row>
        <row r="98">
          <cell r="D98">
            <v>51716</v>
          </cell>
          <cell r="F98">
            <v>3692</v>
          </cell>
        </row>
        <row r="99">
          <cell r="D99">
            <v>0</v>
          </cell>
          <cell r="F99">
            <v>8464</v>
          </cell>
        </row>
        <row r="100">
          <cell r="D100">
            <v>7435</v>
          </cell>
        </row>
        <row r="101">
          <cell r="D101">
            <v>0</v>
          </cell>
        </row>
        <row r="102">
          <cell r="D102">
            <v>18842</v>
          </cell>
        </row>
        <row r="103">
          <cell r="D103">
            <v>0</v>
          </cell>
        </row>
        <row r="115">
          <cell r="D115">
            <v>204337</v>
          </cell>
          <cell r="F115">
            <v>14589</v>
          </cell>
        </row>
        <row r="116">
          <cell r="D116">
            <v>0</v>
          </cell>
          <cell r="F116">
            <v>33446</v>
          </cell>
        </row>
        <row r="117">
          <cell r="D117">
            <v>46095</v>
          </cell>
        </row>
        <row r="118">
          <cell r="D118">
            <v>-200</v>
          </cell>
        </row>
        <row r="119">
          <cell r="D119">
            <v>0</v>
          </cell>
        </row>
        <row r="124">
          <cell r="D124">
            <v>0</v>
          </cell>
        </row>
        <row r="125">
          <cell r="D125">
            <v>211341</v>
          </cell>
          <cell r="F125">
            <v>15089</v>
          </cell>
        </row>
        <row r="126">
          <cell r="D126">
            <v>156151</v>
          </cell>
          <cell r="F126">
            <v>11148</v>
          </cell>
        </row>
        <row r="127">
          <cell r="D127">
            <v>0</v>
          </cell>
          <cell r="F127">
            <v>0</v>
          </cell>
        </row>
        <row r="128">
          <cell r="D128">
            <v>203218</v>
          </cell>
          <cell r="F128">
            <v>14509</v>
          </cell>
        </row>
        <row r="130">
          <cell r="D130">
            <v>0</v>
          </cell>
        </row>
        <row r="131">
          <cell r="D131">
            <v>0</v>
          </cell>
          <cell r="F131">
            <v>34592</v>
          </cell>
        </row>
        <row r="132">
          <cell r="D132">
            <v>0</v>
          </cell>
          <cell r="F132">
            <v>25558</v>
          </cell>
        </row>
        <row r="133">
          <cell r="D133">
            <v>0</v>
          </cell>
          <cell r="F133">
            <v>0</v>
          </cell>
        </row>
        <row r="134">
          <cell r="D134">
            <v>0</v>
          </cell>
          <cell r="F134">
            <v>33262</v>
          </cell>
        </row>
        <row r="136">
          <cell r="D136">
            <v>1384216</v>
          </cell>
          <cell r="F136">
            <v>98825</v>
          </cell>
        </row>
        <row r="137">
          <cell r="D137">
            <v>430066</v>
          </cell>
          <cell r="F137">
            <v>30704</v>
          </cell>
        </row>
        <row r="138">
          <cell r="D138">
            <v>1592046</v>
          </cell>
          <cell r="F138">
            <v>110959.7175</v>
          </cell>
        </row>
        <row r="139">
          <cell r="D139">
            <v>100391</v>
          </cell>
          <cell r="F139">
            <v>7167</v>
          </cell>
        </row>
        <row r="141">
          <cell r="D141">
            <v>0</v>
          </cell>
          <cell r="F141">
            <v>226567</v>
          </cell>
        </row>
        <row r="142">
          <cell r="D142">
            <v>0</v>
          </cell>
          <cell r="F142">
            <v>70392</v>
          </cell>
        </row>
        <row r="143">
          <cell r="D143">
            <v>0</v>
          </cell>
          <cell r="F143">
            <v>260215.00193875001</v>
          </cell>
        </row>
        <row r="144">
          <cell r="D144">
            <v>0</v>
          </cell>
          <cell r="F144">
            <v>16432</v>
          </cell>
        </row>
        <row r="146">
          <cell r="D146">
            <v>100000</v>
          </cell>
        </row>
        <row r="147">
          <cell r="D147">
            <v>0</v>
          </cell>
        </row>
        <row r="148">
          <cell r="D148">
            <v>0</v>
          </cell>
        </row>
        <row r="149">
          <cell r="D149">
            <v>1401</v>
          </cell>
        </row>
        <row r="150">
          <cell r="D150">
            <v>25195</v>
          </cell>
        </row>
        <row r="151">
          <cell r="D151">
            <v>314018</v>
          </cell>
        </row>
        <row r="152">
          <cell r="D152">
            <v>811</v>
          </cell>
        </row>
        <row r="153">
          <cell r="D153">
            <v>3142</v>
          </cell>
        </row>
        <row r="154">
          <cell r="D154">
            <v>0</v>
          </cell>
        </row>
        <row r="156">
          <cell r="D156">
            <v>0</v>
          </cell>
        </row>
        <row r="157">
          <cell r="D157">
            <v>0</v>
          </cell>
        </row>
        <row r="158">
          <cell r="D158">
            <v>0</v>
          </cell>
        </row>
        <row r="159">
          <cell r="D159">
            <v>0</v>
          </cell>
        </row>
        <row r="161">
          <cell r="D161">
            <v>1275</v>
          </cell>
        </row>
        <row r="175">
          <cell r="D175">
            <v>0</v>
          </cell>
        </row>
        <row r="176">
          <cell r="D176">
            <v>0</v>
          </cell>
        </row>
        <row r="177">
          <cell r="D177">
            <v>379532</v>
          </cell>
          <cell r="F177">
            <v>27096</v>
          </cell>
        </row>
        <row r="178">
          <cell r="D178">
            <v>0</v>
          </cell>
          <cell r="F178">
            <v>62121</v>
          </cell>
        </row>
        <row r="179">
          <cell r="D179">
            <v>119180</v>
          </cell>
          <cell r="F179">
            <v>8509</v>
          </cell>
        </row>
        <row r="180">
          <cell r="D180">
            <v>0</v>
          </cell>
          <cell r="F180">
            <v>19507</v>
          </cell>
        </row>
        <row r="181">
          <cell r="D181">
            <v>0</v>
          </cell>
        </row>
        <row r="182">
          <cell r="D182">
            <v>0</v>
          </cell>
        </row>
        <row r="183">
          <cell r="D183">
            <v>217106</v>
          </cell>
          <cell r="F183">
            <v>15500</v>
          </cell>
        </row>
        <row r="184">
          <cell r="D184">
            <v>0</v>
          </cell>
          <cell r="F184">
            <v>35536</v>
          </cell>
        </row>
        <row r="185">
          <cell r="D185">
            <v>0</v>
          </cell>
        </row>
        <row r="186">
          <cell r="D186">
            <v>0</v>
          </cell>
        </row>
        <row r="187">
          <cell r="D187">
            <v>0</v>
          </cell>
        </row>
        <row r="188">
          <cell r="D188">
            <v>2942</v>
          </cell>
        </row>
        <row r="189">
          <cell r="D189">
            <v>0</v>
          </cell>
        </row>
        <row r="190">
          <cell r="D190">
            <v>0</v>
          </cell>
        </row>
        <row r="191">
          <cell r="D191">
            <v>0</v>
          </cell>
        </row>
        <row r="192">
          <cell r="D192">
            <v>0</v>
          </cell>
        </row>
        <row r="193">
          <cell r="D193">
            <v>0</v>
          </cell>
        </row>
        <row r="194">
          <cell r="D194">
            <v>0</v>
          </cell>
        </row>
        <row r="195">
          <cell r="D195">
            <v>13971</v>
          </cell>
        </row>
        <row r="196">
          <cell r="D196">
            <v>0</v>
          </cell>
        </row>
        <row r="197">
          <cell r="D197">
            <v>199</v>
          </cell>
        </row>
        <row r="198">
          <cell r="D198">
            <v>83574</v>
          </cell>
        </row>
        <row r="199">
          <cell r="D199">
            <v>319899</v>
          </cell>
        </row>
        <row r="200">
          <cell r="D200">
            <v>0</v>
          </cell>
        </row>
        <row r="201">
          <cell r="D201">
            <v>0</v>
          </cell>
        </row>
        <row r="202">
          <cell r="D202">
            <v>0</v>
          </cell>
        </row>
        <row r="203">
          <cell r="D203">
            <v>0</v>
          </cell>
        </row>
        <row r="204">
          <cell r="D204">
            <v>0</v>
          </cell>
        </row>
        <row r="205">
          <cell r="D205">
            <v>366217</v>
          </cell>
        </row>
        <row r="206">
          <cell r="D206">
            <v>40531</v>
          </cell>
        </row>
        <row r="207">
          <cell r="D207">
            <v>49691</v>
          </cell>
        </row>
        <row r="211">
          <cell r="D211">
            <v>195660</v>
          </cell>
          <cell r="F211">
            <v>13969</v>
          </cell>
        </row>
        <row r="212">
          <cell r="D212">
            <v>0</v>
          </cell>
          <cell r="F212">
            <v>32025</v>
          </cell>
        </row>
        <row r="213">
          <cell r="D213">
            <v>9252</v>
          </cell>
        </row>
        <row r="214">
          <cell r="D214">
            <v>0</v>
          </cell>
        </row>
        <row r="215">
          <cell r="D215">
            <v>0</v>
          </cell>
        </row>
        <row r="216">
          <cell r="D216">
            <v>10730</v>
          </cell>
        </row>
        <row r="221">
          <cell r="D221">
            <v>13477159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>
        <row r="9">
          <cell r="C9">
            <v>36432</v>
          </cell>
          <cell r="E9">
            <v>5376</v>
          </cell>
          <cell r="F9">
            <v>3620</v>
          </cell>
          <cell r="G9">
            <v>100</v>
          </cell>
          <cell r="H9">
            <v>6486</v>
          </cell>
          <cell r="J9">
            <v>4163</v>
          </cell>
          <cell r="K9">
            <v>6</v>
          </cell>
        </row>
        <row r="22">
          <cell r="N22">
            <v>221</v>
          </cell>
        </row>
        <row r="24">
          <cell r="N24">
            <v>221</v>
          </cell>
        </row>
        <row r="28">
          <cell r="N28">
            <v>80665</v>
          </cell>
        </row>
        <row r="30">
          <cell r="N30">
            <v>0.69649786152606463</v>
          </cell>
        </row>
        <row r="32">
          <cell r="N32">
            <v>0.45164569515899089</v>
          </cell>
        </row>
        <row r="34">
          <cell r="N34">
            <v>0.64845237883345497</v>
          </cell>
        </row>
      </sheetData>
      <sheetData sheetId="15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E10">
            <v>1496228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6318556</v>
          </cell>
          <cell r="G21">
            <v>0</v>
          </cell>
        </row>
        <row r="27">
          <cell r="E27">
            <v>1354013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588943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19064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2017</v>
          </cell>
          <cell r="G67">
            <v>0</v>
          </cell>
        </row>
        <row r="85">
          <cell r="C85">
            <v>360.20771513353117</v>
          </cell>
          <cell r="E85">
            <v>360.21037463976944</v>
          </cell>
          <cell r="G85">
            <v>360.21010101010103</v>
          </cell>
          <cell r="I85">
            <v>357.85620915032678</v>
          </cell>
        </row>
      </sheetData>
      <sheetData sheetId="6" refreshError="1"/>
      <sheetData sheetId="7">
        <row r="10">
          <cell r="D10">
            <v>99071</v>
          </cell>
        </row>
        <row r="12">
          <cell r="D12">
            <v>175676</v>
          </cell>
        </row>
        <row r="13">
          <cell r="D13">
            <v>679085</v>
          </cell>
          <cell r="F13">
            <v>-632078</v>
          </cell>
        </row>
        <row r="16">
          <cell r="D16">
            <v>414000</v>
          </cell>
          <cell r="F16">
            <v>-166233</v>
          </cell>
        </row>
        <row r="18">
          <cell r="D18">
            <v>7726</v>
          </cell>
        </row>
        <row r="19">
          <cell r="D19">
            <v>13939</v>
          </cell>
        </row>
        <row r="20">
          <cell r="D20">
            <v>15960</v>
          </cell>
        </row>
        <row r="21">
          <cell r="D21">
            <v>16536</v>
          </cell>
        </row>
        <row r="23">
          <cell r="D23">
            <v>63082</v>
          </cell>
        </row>
        <row r="24">
          <cell r="D24">
            <v>2863</v>
          </cell>
        </row>
        <row r="26">
          <cell r="D26">
            <v>154283</v>
          </cell>
        </row>
        <row r="27">
          <cell r="D27">
            <v>29642</v>
          </cell>
          <cell r="F27">
            <v>-618</v>
          </cell>
        </row>
        <row r="28">
          <cell r="F28">
            <v>0</v>
          </cell>
        </row>
        <row r="29">
          <cell r="D29">
            <v>9596</v>
          </cell>
          <cell r="F29">
            <v>-9596</v>
          </cell>
        </row>
        <row r="30">
          <cell r="F30">
            <v>0</v>
          </cell>
        </row>
        <row r="31">
          <cell r="D31">
            <v>81913</v>
          </cell>
        </row>
        <row r="32">
          <cell r="D32">
            <v>60974</v>
          </cell>
        </row>
        <row r="33">
          <cell r="F33">
            <v>0</v>
          </cell>
        </row>
        <row r="35">
          <cell r="F35">
            <v>0</v>
          </cell>
        </row>
        <row r="36">
          <cell r="D36">
            <v>89184</v>
          </cell>
        </row>
        <row r="37">
          <cell r="F37">
            <v>15258</v>
          </cell>
        </row>
        <row r="39">
          <cell r="D39">
            <v>1081</v>
          </cell>
        </row>
        <row r="40">
          <cell r="D40">
            <v>6491</v>
          </cell>
        </row>
        <row r="42">
          <cell r="D42">
            <v>8416</v>
          </cell>
        </row>
        <row r="43">
          <cell r="D43">
            <v>8820</v>
          </cell>
        </row>
        <row r="45">
          <cell r="D45">
            <v>14193</v>
          </cell>
          <cell r="F45">
            <v>-300</v>
          </cell>
        </row>
        <row r="58">
          <cell r="D58">
            <v>563483</v>
          </cell>
        </row>
        <row r="59">
          <cell r="D59">
            <v>457676</v>
          </cell>
        </row>
        <row r="60">
          <cell r="D60">
            <v>76977</v>
          </cell>
        </row>
        <row r="61">
          <cell r="D61">
            <v>5806</v>
          </cell>
        </row>
        <row r="65">
          <cell r="D65">
            <v>4480</v>
          </cell>
        </row>
        <row r="66">
          <cell r="D66">
            <v>37160</v>
          </cell>
        </row>
        <row r="69">
          <cell r="D69">
            <v>2952</v>
          </cell>
        </row>
        <row r="75">
          <cell r="D75">
            <v>44409</v>
          </cell>
        </row>
        <row r="76">
          <cell r="F76">
            <v>7598</v>
          </cell>
        </row>
        <row r="77">
          <cell r="D77">
            <v>28401</v>
          </cell>
        </row>
        <row r="79">
          <cell r="D79">
            <v>77225</v>
          </cell>
        </row>
        <row r="80">
          <cell r="D80">
            <v>30705</v>
          </cell>
        </row>
        <row r="81">
          <cell r="D81">
            <v>11165</v>
          </cell>
        </row>
        <row r="83">
          <cell r="D83">
            <v>8189</v>
          </cell>
        </row>
        <row r="84">
          <cell r="D84">
            <v>158156</v>
          </cell>
        </row>
        <row r="89">
          <cell r="D89">
            <v>392149</v>
          </cell>
        </row>
        <row r="90">
          <cell r="F90">
            <v>67092</v>
          </cell>
        </row>
        <row r="91">
          <cell r="D91">
            <v>20019</v>
          </cell>
        </row>
        <row r="92">
          <cell r="D92">
            <v>271354</v>
          </cell>
          <cell r="F92">
            <v>-1099</v>
          </cell>
        </row>
        <row r="93">
          <cell r="D93">
            <v>54404</v>
          </cell>
        </row>
        <row r="94">
          <cell r="D94">
            <v>18248</v>
          </cell>
        </row>
        <row r="100">
          <cell r="D100">
            <v>19282</v>
          </cell>
        </row>
        <row r="102">
          <cell r="D102">
            <v>1138</v>
          </cell>
        </row>
        <row r="115">
          <cell r="D115">
            <v>107904</v>
          </cell>
        </row>
        <row r="116">
          <cell r="F116">
            <v>18461</v>
          </cell>
        </row>
        <row r="117">
          <cell r="D117">
            <v>30381</v>
          </cell>
        </row>
        <row r="125">
          <cell r="D125">
            <v>314586</v>
          </cell>
        </row>
        <row r="128">
          <cell r="D128">
            <v>25063</v>
          </cell>
        </row>
        <row r="131">
          <cell r="F131">
            <v>53822</v>
          </cell>
        </row>
        <row r="134">
          <cell r="F134">
            <v>4288</v>
          </cell>
        </row>
        <row r="136">
          <cell r="D136">
            <v>930562</v>
          </cell>
        </row>
        <row r="137">
          <cell r="D137">
            <v>290532</v>
          </cell>
        </row>
        <row r="138">
          <cell r="D138">
            <v>879709</v>
          </cell>
        </row>
        <row r="141">
          <cell r="F141">
            <v>159208</v>
          </cell>
        </row>
        <row r="142">
          <cell r="F142">
            <v>49707</v>
          </cell>
        </row>
        <row r="143">
          <cell r="F143">
            <v>150508</v>
          </cell>
        </row>
        <row r="146">
          <cell r="D146">
            <v>29400</v>
          </cell>
        </row>
        <row r="150">
          <cell r="D150">
            <v>19625</v>
          </cell>
        </row>
        <row r="151">
          <cell r="D151">
            <v>218899</v>
          </cell>
        </row>
        <row r="152">
          <cell r="D152">
            <v>2595</v>
          </cell>
        </row>
        <row r="161">
          <cell r="D161">
            <v>3938</v>
          </cell>
        </row>
        <row r="177">
          <cell r="D177">
            <v>295579</v>
          </cell>
        </row>
        <row r="178">
          <cell r="F178">
            <v>50570</v>
          </cell>
        </row>
        <row r="183">
          <cell r="D183">
            <v>233909</v>
          </cell>
        </row>
        <row r="184">
          <cell r="F184">
            <v>40019</v>
          </cell>
        </row>
        <row r="188">
          <cell r="D188">
            <v>37891</v>
          </cell>
        </row>
        <row r="189">
          <cell r="D189">
            <v>604</v>
          </cell>
        </row>
        <row r="194">
          <cell r="D194">
            <v>364720</v>
          </cell>
        </row>
        <row r="195">
          <cell r="D195">
            <v>71318</v>
          </cell>
        </row>
        <row r="197">
          <cell r="D197">
            <v>84753</v>
          </cell>
        </row>
        <row r="198">
          <cell r="D198">
            <v>135938</v>
          </cell>
        </row>
        <row r="205">
          <cell r="D205">
            <v>421898</v>
          </cell>
        </row>
        <row r="206">
          <cell r="D206">
            <v>44608</v>
          </cell>
        </row>
        <row r="207">
          <cell r="D207">
            <v>12663</v>
          </cell>
        </row>
        <row r="211">
          <cell r="D211">
            <v>90871</v>
          </cell>
        </row>
        <row r="212">
          <cell r="F212">
            <v>15547</v>
          </cell>
        </row>
        <row r="213">
          <cell r="D213">
            <v>11460</v>
          </cell>
        </row>
        <row r="216">
          <cell r="D216">
            <v>6313</v>
          </cell>
        </row>
        <row r="221">
          <cell r="D221">
            <v>8901628</v>
          </cell>
        </row>
      </sheetData>
      <sheetData sheetId="8" refreshError="1"/>
      <sheetData sheetId="9" refreshError="1"/>
      <sheetData sheetId="10">
        <row r="9">
          <cell r="C9">
            <v>8291</v>
          </cell>
          <cell r="E9">
            <v>10884</v>
          </cell>
          <cell r="F9">
            <v>3766</v>
          </cell>
          <cell r="H9">
            <v>1638</v>
          </cell>
          <cell r="J9">
            <v>60</v>
          </cell>
        </row>
        <row r="22">
          <cell r="N22">
            <v>120</v>
          </cell>
        </row>
        <row r="24">
          <cell r="N24">
            <v>120</v>
          </cell>
        </row>
        <row r="28">
          <cell r="N28">
            <v>43800</v>
          </cell>
        </row>
        <row r="30">
          <cell r="N30">
            <v>0.56253424657534246</v>
          </cell>
        </row>
        <row r="32">
          <cell r="N32">
            <v>0.18929223744292237</v>
          </cell>
        </row>
        <row r="34">
          <cell r="N34">
            <v>0.33649904622752547</v>
          </cell>
        </row>
      </sheetData>
      <sheetData sheetId="11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E10">
            <v>7064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1537296</v>
          </cell>
          <cell r="G21">
            <v>0</v>
          </cell>
        </row>
        <row r="27">
          <cell r="E27">
            <v>51455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22391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9458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0</v>
          </cell>
          <cell r="G67">
            <v>0</v>
          </cell>
        </row>
        <row r="85">
          <cell r="C85" t="str">
            <v/>
          </cell>
          <cell r="E85" t="str">
            <v/>
          </cell>
          <cell r="G85" t="str">
            <v/>
          </cell>
          <cell r="I85">
            <v>447.82</v>
          </cell>
        </row>
      </sheetData>
      <sheetData sheetId="6" refreshError="1"/>
      <sheetData sheetId="7">
        <row r="10">
          <cell r="D10">
            <v>82588</v>
          </cell>
        </row>
        <row r="12">
          <cell r="D12">
            <v>69913</v>
          </cell>
        </row>
        <row r="13">
          <cell r="D13">
            <v>136986</v>
          </cell>
          <cell r="F13">
            <v>-114050</v>
          </cell>
        </row>
        <row r="16">
          <cell r="D16">
            <v>10000</v>
          </cell>
          <cell r="F16">
            <v>-10000</v>
          </cell>
        </row>
        <row r="18">
          <cell r="D18">
            <v>6072</v>
          </cell>
        </row>
        <row r="19">
          <cell r="D19">
            <v>4721</v>
          </cell>
        </row>
        <row r="20">
          <cell r="D20">
            <v>14572</v>
          </cell>
        </row>
        <row r="21">
          <cell r="D21">
            <v>4057</v>
          </cell>
        </row>
        <row r="23">
          <cell r="D23">
            <v>24324</v>
          </cell>
        </row>
        <row r="24">
          <cell r="D24">
            <v>635</v>
          </cell>
        </row>
        <row r="26">
          <cell r="D26">
            <v>1586</v>
          </cell>
        </row>
        <row r="28">
          <cell r="F28">
            <v>0</v>
          </cell>
        </row>
        <row r="29">
          <cell r="F29">
            <v>0</v>
          </cell>
        </row>
        <row r="30">
          <cell r="F30">
            <v>0</v>
          </cell>
        </row>
        <row r="31">
          <cell r="D31">
            <v>12330</v>
          </cell>
        </row>
        <row r="33">
          <cell r="F33">
            <v>0</v>
          </cell>
        </row>
        <row r="35">
          <cell r="F35">
            <v>0</v>
          </cell>
        </row>
        <row r="36">
          <cell r="D36">
            <v>12178</v>
          </cell>
        </row>
        <row r="37">
          <cell r="F37">
            <v>1831</v>
          </cell>
        </row>
        <row r="39">
          <cell r="D39">
            <v>63</v>
          </cell>
        </row>
        <row r="40">
          <cell r="D40">
            <v>4888</v>
          </cell>
        </row>
        <row r="42">
          <cell r="D42">
            <v>2997</v>
          </cell>
        </row>
        <row r="43">
          <cell r="D43">
            <v>4417</v>
          </cell>
        </row>
        <row r="45">
          <cell r="D45">
            <v>7726</v>
          </cell>
        </row>
        <row r="58">
          <cell r="D58">
            <v>186321</v>
          </cell>
        </row>
        <row r="59">
          <cell r="D59">
            <v>84044</v>
          </cell>
        </row>
        <row r="60">
          <cell r="D60">
            <v>17500</v>
          </cell>
        </row>
        <row r="61">
          <cell r="D61">
            <v>16885</v>
          </cell>
        </row>
        <row r="65">
          <cell r="D65">
            <v>1210</v>
          </cell>
        </row>
        <row r="66">
          <cell r="D66">
            <v>11514</v>
          </cell>
        </row>
        <row r="75">
          <cell r="D75">
            <v>26833</v>
          </cell>
        </row>
        <row r="76">
          <cell r="F76">
            <v>4035</v>
          </cell>
        </row>
        <row r="77">
          <cell r="D77">
            <v>2026</v>
          </cell>
        </row>
        <row r="79">
          <cell r="D79">
            <v>52162</v>
          </cell>
        </row>
        <row r="80">
          <cell r="D80">
            <v>3863</v>
          </cell>
        </row>
        <row r="81">
          <cell r="D81">
            <v>3805</v>
          </cell>
        </row>
        <row r="82">
          <cell r="D82">
            <v>287</v>
          </cell>
        </row>
        <row r="83">
          <cell r="D83">
            <v>271</v>
          </cell>
        </row>
        <row r="84">
          <cell r="D84">
            <v>14897</v>
          </cell>
        </row>
        <row r="89">
          <cell r="D89">
            <v>83398</v>
          </cell>
        </row>
        <row r="90">
          <cell r="F90">
            <v>12542</v>
          </cell>
        </row>
        <row r="91">
          <cell r="D91">
            <v>4054</v>
          </cell>
        </row>
        <row r="92">
          <cell r="D92">
            <v>26633</v>
          </cell>
        </row>
        <row r="93">
          <cell r="D93">
            <v>5355</v>
          </cell>
        </row>
        <row r="94">
          <cell r="D94">
            <v>1839</v>
          </cell>
        </row>
        <row r="100">
          <cell r="D100">
            <v>4537</v>
          </cell>
        </row>
        <row r="102">
          <cell r="D102">
            <v>19767</v>
          </cell>
        </row>
        <row r="115">
          <cell r="D115">
            <v>20704</v>
          </cell>
        </row>
        <row r="116">
          <cell r="F116">
            <v>3114</v>
          </cell>
        </row>
        <row r="117">
          <cell r="D117">
            <v>6137</v>
          </cell>
        </row>
        <row r="125">
          <cell r="D125">
            <v>92980</v>
          </cell>
        </row>
        <row r="128">
          <cell r="D128">
            <v>7630</v>
          </cell>
        </row>
        <row r="131">
          <cell r="F131">
            <v>13983</v>
          </cell>
        </row>
        <row r="134">
          <cell r="F134">
            <v>1147</v>
          </cell>
        </row>
        <row r="136">
          <cell r="D136">
            <v>194659</v>
          </cell>
        </row>
        <row r="137">
          <cell r="D137">
            <v>43613</v>
          </cell>
        </row>
        <row r="138">
          <cell r="D138">
            <v>144146</v>
          </cell>
        </row>
        <row r="141">
          <cell r="F141">
            <v>29275</v>
          </cell>
        </row>
        <row r="142">
          <cell r="F142">
            <v>6559</v>
          </cell>
        </row>
        <row r="143">
          <cell r="F143">
            <v>21678</v>
          </cell>
        </row>
        <row r="146">
          <cell r="D146">
            <v>17500</v>
          </cell>
        </row>
        <row r="150">
          <cell r="D150">
            <v>4468</v>
          </cell>
        </row>
        <row r="151">
          <cell r="D151">
            <v>39990</v>
          </cell>
        </row>
        <row r="152">
          <cell r="D152">
            <v>111</v>
          </cell>
        </row>
        <row r="177">
          <cell r="D177">
            <v>44813</v>
          </cell>
        </row>
        <row r="178">
          <cell r="F178">
            <v>6739</v>
          </cell>
        </row>
        <row r="183">
          <cell r="D183">
            <v>39927</v>
          </cell>
        </row>
        <row r="184">
          <cell r="F184">
            <v>6005</v>
          </cell>
        </row>
        <row r="188">
          <cell r="D188">
            <v>9271</v>
          </cell>
        </row>
        <row r="191">
          <cell r="D191">
            <v>1016</v>
          </cell>
        </row>
        <row r="194">
          <cell r="D194">
            <v>148367</v>
          </cell>
        </row>
        <row r="197">
          <cell r="D197">
            <v>82322</v>
          </cell>
        </row>
        <row r="198">
          <cell r="D198">
            <v>16478</v>
          </cell>
        </row>
        <row r="205">
          <cell r="D205">
            <v>94230</v>
          </cell>
        </row>
        <row r="206">
          <cell r="D206">
            <v>8086</v>
          </cell>
        </row>
        <row r="207">
          <cell r="D207">
            <v>66</v>
          </cell>
        </row>
        <row r="211">
          <cell r="D211">
            <v>47493</v>
          </cell>
        </row>
        <row r="212">
          <cell r="F212">
            <v>7142</v>
          </cell>
        </row>
        <row r="213">
          <cell r="D213">
            <v>3497</v>
          </cell>
        </row>
        <row r="216">
          <cell r="D216">
            <v>667</v>
          </cell>
        </row>
        <row r="221">
          <cell r="D221">
            <v>2035425</v>
          </cell>
        </row>
      </sheetData>
      <sheetData sheetId="8" refreshError="1"/>
      <sheetData sheetId="9" refreshError="1"/>
      <sheetData sheetId="10">
        <row r="9">
          <cell r="C9">
            <v>40</v>
          </cell>
          <cell r="E9">
            <v>3009</v>
          </cell>
          <cell r="F9">
            <v>101</v>
          </cell>
          <cell r="H9">
            <v>50</v>
          </cell>
          <cell r="J9">
            <v>24</v>
          </cell>
        </row>
        <row r="22">
          <cell r="N22">
            <v>52</v>
          </cell>
        </row>
        <row r="24">
          <cell r="N24">
            <v>52</v>
          </cell>
        </row>
        <row r="28">
          <cell r="N28">
            <v>8372</v>
          </cell>
        </row>
        <row r="30">
          <cell r="N30">
            <v>0.38509316770186336</v>
          </cell>
        </row>
        <row r="32">
          <cell r="N32">
            <v>4.7778308647873869E-3</v>
          </cell>
        </row>
        <row r="34">
          <cell r="N34">
            <v>1.2406947890818859E-2</v>
          </cell>
        </row>
      </sheetData>
      <sheetData sheetId="1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E10">
            <v>398302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2174419</v>
          </cell>
          <cell r="G21">
            <v>0</v>
          </cell>
        </row>
        <row r="27">
          <cell r="E27">
            <v>111304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17974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1444</v>
          </cell>
          <cell r="G67">
            <v>0</v>
          </cell>
        </row>
        <row r="85">
          <cell r="C85">
            <v>50</v>
          </cell>
          <cell r="E85">
            <v>50</v>
          </cell>
          <cell r="G85">
            <v>50.192982456140349</v>
          </cell>
          <cell r="I85">
            <v>50.024390243902438</v>
          </cell>
        </row>
      </sheetData>
      <sheetData sheetId="6" refreshError="1"/>
      <sheetData sheetId="7">
        <row r="10">
          <cell r="D10">
            <v>85350</v>
          </cell>
        </row>
        <row r="12">
          <cell r="D12">
            <v>46159</v>
          </cell>
        </row>
        <row r="13">
          <cell r="D13">
            <v>191304</v>
          </cell>
          <cell r="F13">
            <v>-170466</v>
          </cell>
        </row>
        <row r="16">
          <cell r="D16">
            <v>92500</v>
          </cell>
          <cell r="F16">
            <v>-1335</v>
          </cell>
        </row>
        <row r="18">
          <cell r="D18">
            <v>16455</v>
          </cell>
        </row>
        <row r="19">
          <cell r="D19">
            <v>9846</v>
          </cell>
        </row>
        <row r="20">
          <cell r="D20">
            <v>6187</v>
          </cell>
        </row>
        <row r="21">
          <cell r="D21">
            <v>7033</v>
          </cell>
        </row>
        <row r="23">
          <cell r="D23">
            <v>24969</v>
          </cell>
        </row>
        <row r="24">
          <cell r="D24">
            <v>220</v>
          </cell>
        </row>
        <row r="26">
          <cell r="D26">
            <v>37648</v>
          </cell>
        </row>
        <row r="27">
          <cell r="D27">
            <v>3951</v>
          </cell>
          <cell r="F27">
            <v>-6</v>
          </cell>
        </row>
        <row r="28">
          <cell r="F28">
            <v>0</v>
          </cell>
        </row>
        <row r="29">
          <cell r="D29">
            <v>-9875</v>
          </cell>
          <cell r="F29">
            <v>9875</v>
          </cell>
        </row>
        <row r="30">
          <cell r="F30">
            <v>0</v>
          </cell>
        </row>
        <row r="31">
          <cell r="D31">
            <v>19321</v>
          </cell>
        </row>
        <row r="32">
          <cell r="D32">
            <v>19450</v>
          </cell>
        </row>
        <row r="33">
          <cell r="F33">
            <v>0</v>
          </cell>
        </row>
        <row r="35">
          <cell r="F35">
            <v>0</v>
          </cell>
        </row>
        <row r="36">
          <cell r="D36">
            <v>8845</v>
          </cell>
        </row>
        <row r="37">
          <cell r="F37">
            <v>1402</v>
          </cell>
        </row>
        <row r="39">
          <cell r="D39">
            <v>448</v>
          </cell>
        </row>
        <row r="40">
          <cell r="D40">
            <v>5047</v>
          </cell>
        </row>
        <row r="42">
          <cell r="D42">
            <v>1360</v>
          </cell>
        </row>
        <row r="43">
          <cell r="D43">
            <v>4455</v>
          </cell>
        </row>
        <row r="45">
          <cell r="D45">
            <v>8753</v>
          </cell>
        </row>
        <row r="58">
          <cell r="D58">
            <v>182761</v>
          </cell>
        </row>
        <row r="59">
          <cell r="D59">
            <v>134077</v>
          </cell>
        </row>
        <row r="60">
          <cell r="D60">
            <v>33240</v>
          </cell>
        </row>
        <row r="65">
          <cell r="D65">
            <v>4480</v>
          </cell>
        </row>
        <row r="66">
          <cell r="D66">
            <v>36582</v>
          </cell>
        </row>
        <row r="69">
          <cell r="D69">
            <v>6718</v>
          </cell>
        </row>
        <row r="75">
          <cell r="D75">
            <v>33990</v>
          </cell>
        </row>
        <row r="76">
          <cell r="F76">
            <v>5386</v>
          </cell>
        </row>
        <row r="77">
          <cell r="D77">
            <v>3300</v>
          </cell>
        </row>
        <row r="78">
          <cell r="D78">
            <v>640</v>
          </cell>
        </row>
        <row r="79">
          <cell r="D79">
            <v>10051</v>
          </cell>
        </row>
        <row r="80">
          <cell r="D80">
            <v>11992</v>
          </cell>
        </row>
        <row r="81">
          <cell r="D81">
            <v>1350</v>
          </cell>
        </row>
        <row r="82">
          <cell r="D82">
            <v>612</v>
          </cell>
        </row>
        <row r="83">
          <cell r="D83">
            <v>8167</v>
          </cell>
        </row>
        <row r="84">
          <cell r="D84">
            <v>45815</v>
          </cell>
        </row>
        <row r="85">
          <cell r="D85">
            <v>1083</v>
          </cell>
        </row>
        <row r="89">
          <cell r="D89">
            <v>130175</v>
          </cell>
        </row>
        <row r="90">
          <cell r="F90">
            <v>20628</v>
          </cell>
        </row>
        <row r="91">
          <cell r="D91">
            <v>6855</v>
          </cell>
        </row>
        <row r="92">
          <cell r="D92">
            <v>62245</v>
          </cell>
          <cell r="F92">
            <v>-1438</v>
          </cell>
        </row>
        <row r="93">
          <cell r="D93">
            <v>8723</v>
          </cell>
        </row>
        <row r="94">
          <cell r="D94">
            <v>863</v>
          </cell>
        </row>
        <row r="100">
          <cell r="D100">
            <v>3091</v>
          </cell>
        </row>
        <row r="102">
          <cell r="D102">
            <v>1125</v>
          </cell>
        </row>
        <row r="103">
          <cell r="D103">
            <v>49</v>
          </cell>
        </row>
        <row r="115">
          <cell r="D115">
            <v>51705</v>
          </cell>
        </row>
        <row r="116">
          <cell r="F116">
            <v>8193</v>
          </cell>
        </row>
        <row r="117">
          <cell r="D117">
            <v>6167</v>
          </cell>
        </row>
        <row r="119">
          <cell r="D119">
            <v>383</v>
          </cell>
        </row>
        <row r="125">
          <cell r="D125">
            <v>143126</v>
          </cell>
        </row>
        <row r="128">
          <cell r="D128">
            <v>1321</v>
          </cell>
        </row>
        <row r="131">
          <cell r="F131">
            <v>22680</v>
          </cell>
        </row>
        <row r="134">
          <cell r="F134">
            <v>209</v>
          </cell>
        </row>
        <row r="136">
          <cell r="D136">
            <v>375430</v>
          </cell>
        </row>
        <row r="137">
          <cell r="D137">
            <v>40876</v>
          </cell>
        </row>
        <row r="138">
          <cell r="D138">
            <v>246091</v>
          </cell>
        </row>
        <row r="141">
          <cell r="F141">
            <v>59491</v>
          </cell>
        </row>
        <row r="142">
          <cell r="F142">
            <v>6477</v>
          </cell>
        </row>
        <row r="143">
          <cell r="F143">
            <v>38996</v>
          </cell>
        </row>
        <row r="146">
          <cell r="D146">
            <v>16200</v>
          </cell>
        </row>
        <row r="150">
          <cell r="D150">
            <v>9737</v>
          </cell>
        </row>
        <row r="151">
          <cell r="D151">
            <v>38728</v>
          </cell>
        </row>
        <row r="152">
          <cell r="D152">
            <v>823</v>
          </cell>
        </row>
        <row r="188">
          <cell r="D188">
            <v>4130</v>
          </cell>
        </row>
        <row r="194">
          <cell r="D194">
            <v>449983</v>
          </cell>
        </row>
        <row r="198">
          <cell r="D198">
            <v>18593</v>
          </cell>
        </row>
        <row r="205">
          <cell r="D205">
            <v>190801</v>
          </cell>
        </row>
        <row r="206">
          <cell r="D206">
            <v>12266</v>
          </cell>
        </row>
        <row r="207">
          <cell r="D207">
            <v>1173</v>
          </cell>
        </row>
        <row r="211">
          <cell r="D211">
            <v>44203</v>
          </cell>
        </row>
        <row r="212">
          <cell r="F212">
            <v>7004</v>
          </cell>
        </row>
        <row r="213">
          <cell r="D213">
            <v>10584</v>
          </cell>
        </row>
        <row r="216">
          <cell r="D216">
            <v>3167</v>
          </cell>
        </row>
        <row r="221">
          <cell r="D221">
            <v>2972897</v>
          </cell>
        </row>
      </sheetData>
      <sheetData sheetId="8" refreshError="1"/>
      <sheetData sheetId="9" refreshError="1"/>
      <sheetData sheetId="10">
        <row r="9">
          <cell r="C9">
            <v>2342</v>
          </cell>
          <cell r="E9">
            <v>4323</v>
          </cell>
          <cell r="F9">
            <v>142</v>
          </cell>
          <cell r="H9">
            <v>359</v>
          </cell>
        </row>
        <row r="22">
          <cell r="N22">
            <v>30</v>
          </cell>
        </row>
        <row r="24">
          <cell r="N24">
            <v>30</v>
          </cell>
        </row>
        <row r="28">
          <cell r="N28">
            <v>10950</v>
          </cell>
        </row>
        <row r="30">
          <cell r="N30">
            <v>0.65442922374429224</v>
          </cell>
        </row>
        <row r="32">
          <cell r="N32">
            <v>0.21388127853881278</v>
          </cell>
        </row>
        <row r="34">
          <cell r="N34">
            <v>0.32682109963717554</v>
          </cell>
        </row>
      </sheetData>
      <sheetData sheetId="1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ummary"/>
      <sheetName val="Sch D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2786319.45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1845285.7699999998</v>
          </cell>
          <cell r="G21">
            <v>0</v>
          </cell>
        </row>
        <row r="27">
          <cell r="E27">
            <v>667427.93999999994</v>
          </cell>
          <cell r="G27">
            <v>-13650</v>
          </cell>
        </row>
        <row r="32">
          <cell r="E32">
            <v>0</v>
          </cell>
          <cell r="G32">
            <v>0</v>
          </cell>
        </row>
        <row r="37">
          <cell r="E37">
            <v>1014233.89</v>
          </cell>
          <cell r="G37">
            <v>0</v>
          </cell>
        </row>
        <row r="42">
          <cell r="E42">
            <v>258887.19999999998</v>
          </cell>
          <cell r="G42">
            <v>0</v>
          </cell>
        </row>
        <row r="47">
          <cell r="E47">
            <v>0</v>
          </cell>
          <cell r="G47">
            <v>13650</v>
          </cell>
        </row>
        <row r="52">
          <cell r="E52">
            <v>76105.789999999994</v>
          </cell>
          <cell r="G52">
            <v>0</v>
          </cell>
        </row>
        <row r="67">
          <cell r="E67">
            <v>35010.550000000003</v>
          </cell>
          <cell r="G67">
            <v>0</v>
          </cell>
        </row>
        <row r="85">
          <cell r="C85">
            <v>198.08154706430568</v>
          </cell>
          <cell r="E85">
            <v>89.096558317399612</v>
          </cell>
          <cell r="G85">
            <v>112.96809680968097</v>
          </cell>
          <cell r="I85">
            <v>163.12809917355372</v>
          </cell>
        </row>
      </sheetData>
      <sheetData sheetId="6"/>
      <sheetData sheetId="7">
        <row r="10">
          <cell r="D10">
            <v>74928.55</v>
          </cell>
          <cell r="F10">
            <v>0</v>
          </cell>
        </row>
        <row r="11">
          <cell r="D11">
            <v>0</v>
          </cell>
          <cell r="F11">
            <v>0</v>
          </cell>
        </row>
        <row r="12">
          <cell r="D12">
            <v>103962.99</v>
          </cell>
          <cell r="F12">
            <v>0</v>
          </cell>
        </row>
        <row r="13">
          <cell r="D13">
            <v>25918.63</v>
          </cell>
          <cell r="F13">
            <v>0</v>
          </cell>
        </row>
        <row r="14">
          <cell r="D14">
            <v>30490.99</v>
          </cell>
          <cell r="F14">
            <v>0</v>
          </cell>
        </row>
        <row r="15">
          <cell r="D15">
            <v>0</v>
          </cell>
          <cell r="F15">
            <v>0</v>
          </cell>
        </row>
        <row r="16">
          <cell r="D16">
            <v>0</v>
          </cell>
          <cell r="F16">
            <v>0</v>
          </cell>
        </row>
        <row r="17">
          <cell r="D17">
            <v>-226.41</v>
          </cell>
          <cell r="F17">
            <v>0</v>
          </cell>
        </row>
        <row r="18">
          <cell r="D18">
            <v>10517.3</v>
          </cell>
          <cell r="F18">
            <v>0</v>
          </cell>
        </row>
        <row r="19">
          <cell r="D19">
            <v>483920.11</v>
          </cell>
          <cell r="F19">
            <v>0</v>
          </cell>
        </row>
        <row r="20">
          <cell r="D20">
            <v>15709.3</v>
          </cell>
          <cell r="F20">
            <v>0</v>
          </cell>
        </row>
        <row r="21">
          <cell r="D21">
            <v>0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8867.84</v>
          </cell>
          <cell r="F23">
            <v>0</v>
          </cell>
        </row>
        <row r="24">
          <cell r="D24">
            <v>9109.0499999999993</v>
          </cell>
          <cell r="F24">
            <v>0</v>
          </cell>
        </row>
        <row r="25">
          <cell r="D25">
            <v>8169.43</v>
          </cell>
          <cell r="F25">
            <v>0</v>
          </cell>
        </row>
        <row r="26">
          <cell r="D26">
            <v>0</v>
          </cell>
          <cell r="F26">
            <v>0</v>
          </cell>
        </row>
        <row r="27">
          <cell r="D27">
            <v>23832.23</v>
          </cell>
          <cell r="F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155523.91</v>
          </cell>
          <cell r="F29">
            <v>-155523.91</v>
          </cell>
        </row>
        <row r="30">
          <cell r="D30">
            <v>0</v>
          </cell>
          <cell r="F30">
            <v>0</v>
          </cell>
        </row>
        <row r="31">
          <cell r="D31">
            <v>15257.28</v>
          </cell>
          <cell r="F31">
            <v>0</v>
          </cell>
        </row>
        <row r="32">
          <cell r="D32">
            <v>-1559.03</v>
          </cell>
          <cell r="F32">
            <v>0</v>
          </cell>
        </row>
        <row r="33">
          <cell r="D33">
            <v>0</v>
          </cell>
          <cell r="F33">
            <v>0</v>
          </cell>
        </row>
        <row r="34">
          <cell r="D34">
            <v>0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44850.04</v>
          </cell>
          <cell r="F36">
            <v>0</v>
          </cell>
        </row>
        <row r="37">
          <cell r="D37">
            <v>14119.02</v>
          </cell>
          <cell r="F37">
            <v>0</v>
          </cell>
        </row>
        <row r="38">
          <cell r="D38">
            <v>379.58</v>
          </cell>
          <cell r="F38">
            <v>0</v>
          </cell>
        </row>
        <row r="39">
          <cell r="D39">
            <v>8453.73</v>
          </cell>
          <cell r="F39">
            <v>0</v>
          </cell>
        </row>
        <row r="40">
          <cell r="D40">
            <v>208.14</v>
          </cell>
          <cell r="F40">
            <v>0</v>
          </cell>
        </row>
        <row r="41">
          <cell r="D41">
            <v>40237.550000000003</v>
          </cell>
          <cell r="F41">
            <v>0</v>
          </cell>
        </row>
        <row r="42">
          <cell r="D42">
            <v>631.20000000000005</v>
          </cell>
          <cell r="F42">
            <v>0</v>
          </cell>
        </row>
        <row r="43">
          <cell r="D43">
            <v>19524.29</v>
          </cell>
          <cell r="F43">
            <v>0</v>
          </cell>
        </row>
        <row r="44">
          <cell r="D44">
            <v>0</v>
          </cell>
          <cell r="F44">
            <v>0</v>
          </cell>
        </row>
        <row r="45">
          <cell r="D45">
            <v>208.05</v>
          </cell>
          <cell r="F45">
            <v>0</v>
          </cell>
        </row>
        <row r="57">
          <cell r="D57">
            <v>0</v>
          </cell>
          <cell r="F57">
            <v>0</v>
          </cell>
        </row>
        <row r="58">
          <cell r="D58">
            <v>508206.92</v>
          </cell>
          <cell r="F58">
            <v>0</v>
          </cell>
        </row>
        <row r="59">
          <cell r="D59">
            <v>0</v>
          </cell>
          <cell r="F59">
            <v>0</v>
          </cell>
        </row>
        <row r="60">
          <cell r="D60">
            <v>0</v>
          </cell>
          <cell r="F60">
            <v>0</v>
          </cell>
        </row>
        <row r="61">
          <cell r="D61">
            <v>0</v>
          </cell>
          <cell r="F61">
            <v>0</v>
          </cell>
        </row>
        <row r="62">
          <cell r="D62">
            <v>0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0</v>
          </cell>
          <cell r="F65">
            <v>0</v>
          </cell>
        </row>
        <row r="66">
          <cell r="D66">
            <v>4442.6099999999997</v>
          </cell>
          <cell r="F66">
            <v>0</v>
          </cell>
        </row>
        <row r="67">
          <cell r="D67">
            <v>173444.34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0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58174.48</v>
          </cell>
          <cell r="F75">
            <v>0</v>
          </cell>
        </row>
        <row r="76">
          <cell r="D76">
            <v>5450.24</v>
          </cell>
          <cell r="F76">
            <v>0</v>
          </cell>
        </row>
        <row r="77">
          <cell r="D77">
            <v>-142.75</v>
          </cell>
          <cell r="F77">
            <v>0</v>
          </cell>
        </row>
        <row r="78">
          <cell r="D78">
            <v>4121.74</v>
          </cell>
          <cell r="F78">
            <v>0</v>
          </cell>
        </row>
        <row r="79">
          <cell r="D79">
            <v>0</v>
          </cell>
          <cell r="F79">
            <v>0</v>
          </cell>
        </row>
        <row r="80">
          <cell r="D80">
            <v>73571.28</v>
          </cell>
          <cell r="F80">
            <v>0</v>
          </cell>
        </row>
        <row r="81">
          <cell r="D81">
            <v>45885.42</v>
          </cell>
          <cell r="F81">
            <v>0</v>
          </cell>
        </row>
        <row r="82">
          <cell r="D82">
            <v>65144.25</v>
          </cell>
          <cell r="F82">
            <v>0</v>
          </cell>
        </row>
        <row r="83">
          <cell r="D83">
            <v>8871.7099999999991</v>
          </cell>
          <cell r="F83">
            <v>0</v>
          </cell>
        </row>
        <row r="84">
          <cell r="D84">
            <v>132577.96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234662.5</v>
          </cell>
          <cell r="F89">
            <v>0</v>
          </cell>
        </row>
        <row r="90">
          <cell r="D90">
            <v>36809.35</v>
          </cell>
          <cell r="F90">
            <v>0</v>
          </cell>
        </row>
        <row r="91">
          <cell r="D91">
            <v>5809.1</v>
          </cell>
          <cell r="F91">
            <v>0</v>
          </cell>
        </row>
        <row r="92">
          <cell r="D92">
            <v>235567.54</v>
          </cell>
          <cell r="F92">
            <v>0</v>
          </cell>
        </row>
        <row r="93">
          <cell r="D93">
            <v>22191.91</v>
          </cell>
          <cell r="F93">
            <v>0</v>
          </cell>
        </row>
        <row r="94">
          <cell r="D94">
            <v>1298.6600000000001</v>
          </cell>
          <cell r="F94">
            <v>0</v>
          </cell>
        </row>
        <row r="98">
          <cell r="D98">
            <v>44865.15</v>
          </cell>
          <cell r="F98">
            <v>0</v>
          </cell>
        </row>
        <row r="99">
          <cell r="D99">
            <v>5675.39</v>
          </cell>
          <cell r="F99">
            <v>0</v>
          </cell>
        </row>
        <row r="100">
          <cell r="D100">
            <v>8096.45</v>
          </cell>
          <cell r="F100">
            <v>0</v>
          </cell>
        </row>
        <row r="101">
          <cell r="D101">
            <v>100</v>
          </cell>
          <cell r="F101">
            <v>0</v>
          </cell>
        </row>
        <row r="102">
          <cell r="D102">
            <v>20622.189999999999</v>
          </cell>
          <cell r="F102">
            <v>0</v>
          </cell>
        </row>
        <row r="103">
          <cell r="D103">
            <v>98.35</v>
          </cell>
          <cell r="F103">
            <v>0</v>
          </cell>
        </row>
        <row r="115">
          <cell r="D115">
            <v>154176.87</v>
          </cell>
          <cell r="F115">
            <v>0</v>
          </cell>
        </row>
        <row r="116">
          <cell r="D116">
            <v>52116.87</v>
          </cell>
          <cell r="F116">
            <v>0</v>
          </cell>
        </row>
        <row r="117">
          <cell r="D117">
            <v>14614.87</v>
          </cell>
          <cell r="F117">
            <v>0</v>
          </cell>
        </row>
        <row r="118">
          <cell r="D118">
            <v>0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177279.7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29319.3</v>
          </cell>
          <cell r="F127">
            <v>0</v>
          </cell>
        </row>
        <row r="128">
          <cell r="D128">
            <v>92138.92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55509.97</v>
          </cell>
          <cell r="F131">
            <v>-22569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5448</v>
          </cell>
        </row>
        <row r="134">
          <cell r="D134">
            <v>0</v>
          </cell>
          <cell r="F134">
            <v>17121</v>
          </cell>
        </row>
        <row r="136">
          <cell r="D136">
            <v>503205.21</v>
          </cell>
          <cell r="F136">
            <v>0</v>
          </cell>
        </row>
        <row r="137">
          <cell r="D137">
            <v>419502.76</v>
          </cell>
          <cell r="F137">
            <v>0</v>
          </cell>
        </row>
        <row r="138">
          <cell r="D138">
            <v>980276.63</v>
          </cell>
          <cell r="F138">
            <v>0</v>
          </cell>
        </row>
        <row r="139">
          <cell r="D139">
            <v>0</v>
          </cell>
          <cell r="F139">
            <v>0</v>
          </cell>
        </row>
        <row r="141">
          <cell r="D141">
            <v>0</v>
          </cell>
          <cell r="F141">
            <v>84734</v>
          </cell>
        </row>
        <row r="142">
          <cell r="D142">
            <v>0</v>
          </cell>
          <cell r="F142">
            <v>70640</v>
          </cell>
        </row>
        <row r="143">
          <cell r="D143">
            <v>320441.55</v>
          </cell>
          <cell r="F143">
            <v>-155374</v>
          </cell>
        </row>
        <row r="144">
          <cell r="D144">
            <v>0</v>
          </cell>
          <cell r="F144">
            <v>0</v>
          </cell>
        </row>
        <row r="146">
          <cell r="D146">
            <v>41627.08</v>
          </cell>
          <cell r="F146">
            <v>0</v>
          </cell>
        </row>
        <row r="147">
          <cell r="D147">
            <v>0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0</v>
          </cell>
          <cell r="F149">
            <v>0</v>
          </cell>
        </row>
        <row r="150">
          <cell r="D150">
            <v>0</v>
          </cell>
          <cell r="F150">
            <v>0</v>
          </cell>
        </row>
        <row r="151">
          <cell r="D151">
            <v>136975.98000000001</v>
          </cell>
          <cell r="F151">
            <v>0</v>
          </cell>
        </row>
        <row r="152">
          <cell r="D152">
            <v>38226.239999999998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749.4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0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80828.259999999995</v>
          </cell>
          <cell r="F177">
            <v>0</v>
          </cell>
        </row>
        <row r="178">
          <cell r="D178">
            <v>52891.76</v>
          </cell>
          <cell r="F178">
            <v>-31725</v>
          </cell>
        </row>
        <row r="179">
          <cell r="D179">
            <v>26843.17</v>
          </cell>
          <cell r="F179">
            <v>0</v>
          </cell>
        </row>
        <row r="180">
          <cell r="D180">
            <v>0</v>
          </cell>
          <cell r="F180">
            <v>7030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94301.11</v>
          </cell>
          <cell r="F183">
            <v>0</v>
          </cell>
        </row>
        <row r="184">
          <cell r="D184">
            <v>0</v>
          </cell>
          <cell r="F184">
            <v>24695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1908.16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49150.5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386313.95</v>
          </cell>
          <cell r="F194">
            <v>-210734</v>
          </cell>
        </row>
        <row r="195">
          <cell r="D195">
            <v>0</v>
          </cell>
          <cell r="F195">
            <v>42765</v>
          </cell>
        </row>
        <row r="196">
          <cell r="D196">
            <v>0</v>
          </cell>
          <cell r="F196">
            <v>0</v>
          </cell>
        </row>
        <row r="197">
          <cell r="D197">
            <v>0</v>
          </cell>
          <cell r="F197">
            <v>167969</v>
          </cell>
        </row>
        <row r="198">
          <cell r="D198">
            <v>0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310135.93</v>
          </cell>
          <cell r="F205">
            <v>0</v>
          </cell>
        </row>
        <row r="206">
          <cell r="D206">
            <v>14720.52</v>
          </cell>
          <cell r="F206">
            <v>0</v>
          </cell>
        </row>
        <row r="207">
          <cell r="D207">
            <v>0</v>
          </cell>
          <cell r="F207">
            <v>0</v>
          </cell>
        </row>
        <row r="211">
          <cell r="D211">
            <v>170007.66</v>
          </cell>
          <cell r="F211">
            <v>0</v>
          </cell>
        </row>
        <row r="212">
          <cell r="D212">
            <v>41926.18</v>
          </cell>
          <cell r="F212">
            <v>0</v>
          </cell>
        </row>
        <row r="213">
          <cell r="D213">
            <v>3057.9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1166.55</v>
          </cell>
          <cell r="F216">
            <v>0</v>
          </cell>
        </row>
        <row r="221">
          <cell r="D221">
            <v>7037991.54</v>
          </cell>
        </row>
      </sheetData>
      <sheetData sheetId="8"/>
      <sheetData sheetId="9"/>
      <sheetData sheetId="10"/>
      <sheetData sheetId="11">
        <row r="9">
          <cell r="C9">
            <v>16568</v>
          </cell>
          <cell r="D9">
            <v>0</v>
          </cell>
          <cell r="E9">
            <v>4505</v>
          </cell>
          <cell r="F9">
            <v>2288</v>
          </cell>
          <cell r="G9">
            <v>0</v>
          </cell>
          <cell r="H9">
            <v>7266</v>
          </cell>
          <cell r="I9">
            <v>1761</v>
          </cell>
          <cell r="J9">
            <v>70</v>
          </cell>
          <cell r="K9">
            <v>434</v>
          </cell>
        </row>
        <row r="22">
          <cell r="N22">
            <v>172</v>
          </cell>
        </row>
        <row r="24">
          <cell r="N24">
            <v>172</v>
          </cell>
        </row>
        <row r="28">
          <cell r="N28">
            <v>62780</v>
          </cell>
        </row>
        <row r="30">
          <cell r="N30">
            <v>0.52392481682064351</v>
          </cell>
        </row>
        <row r="32">
          <cell r="N32">
            <v>0.26390570245301054</v>
          </cell>
        </row>
        <row r="34">
          <cell r="N34">
            <v>0.50370910859783535</v>
          </cell>
        </row>
      </sheetData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1 (cont.)"/>
      <sheetName val="Sch C-2"/>
      <sheetName val="Sch D"/>
      <sheetName val="Summary"/>
      <sheetName val="Grouping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2838730</v>
          </cell>
          <cell r="G10">
            <v>30157</v>
          </cell>
        </row>
        <row r="15">
          <cell r="E15">
            <v>0</v>
          </cell>
          <cell r="G15">
            <v>0</v>
          </cell>
        </row>
        <row r="21">
          <cell r="E21">
            <v>1210664</v>
          </cell>
          <cell r="G21">
            <v>-679</v>
          </cell>
        </row>
        <row r="27">
          <cell r="E27">
            <v>168855</v>
          </cell>
          <cell r="G27">
            <v>16414</v>
          </cell>
        </row>
        <row r="32">
          <cell r="E32">
            <v>0</v>
          </cell>
          <cell r="G32">
            <v>0</v>
          </cell>
        </row>
        <row r="37">
          <cell r="E37">
            <v>194745</v>
          </cell>
          <cell r="G37">
            <v>-32150</v>
          </cell>
        </row>
        <row r="42">
          <cell r="E42">
            <v>82580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267033</v>
          </cell>
          <cell r="G52">
            <v>-18836</v>
          </cell>
        </row>
        <row r="67">
          <cell r="E67">
            <v>-938</v>
          </cell>
          <cell r="G67">
            <v>1024</v>
          </cell>
        </row>
        <row r="85">
          <cell r="C85">
            <v>190</v>
          </cell>
          <cell r="E85">
            <v>190</v>
          </cell>
          <cell r="G85">
            <v>190.10638297872342</v>
          </cell>
          <cell r="I85">
            <v>199.33839479392626</v>
          </cell>
        </row>
      </sheetData>
      <sheetData sheetId="6"/>
      <sheetData sheetId="7">
        <row r="10">
          <cell r="D10">
            <v>109718</v>
          </cell>
          <cell r="F10">
            <v>2808</v>
          </cell>
        </row>
        <row r="11">
          <cell r="D11">
            <v>0</v>
          </cell>
          <cell r="F11">
            <v>0</v>
          </cell>
        </row>
        <row r="12">
          <cell r="D12">
            <v>142505</v>
          </cell>
          <cell r="F12">
            <v>-2808</v>
          </cell>
        </row>
        <row r="13">
          <cell r="D13">
            <v>53833</v>
          </cell>
          <cell r="F13">
            <v>-25151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0</v>
          </cell>
        </row>
        <row r="16">
          <cell r="D16">
            <v>382592</v>
          </cell>
          <cell r="F16">
            <v>-103535</v>
          </cell>
        </row>
        <row r="17">
          <cell r="D17">
            <v>6036</v>
          </cell>
          <cell r="F17">
            <v>-6036</v>
          </cell>
        </row>
        <row r="18">
          <cell r="D18">
            <v>41547</v>
          </cell>
          <cell r="F18">
            <v>0</v>
          </cell>
        </row>
        <row r="19">
          <cell r="D19">
            <v>9136</v>
          </cell>
          <cell r="F19">
            <v>-2425</v>
          </cell>
        </row>
        <row r="20">
          <cell r="D20">
            <v>15005</v>
          </cell>
          <cell r="F20">
            <v>0</v>
          </cell>
        </row>
        <row r="21">
          <cell r="D21">
            <v>14247</v>
          </cell>
          <cell r="F21">
            <v>4000</v>
          </cell>
        </row>
        <row r="22">
          <cell r="D22">
            <v>0</v>
          </cell>
          <cell r="F22">
            <v>0</v>
          </cell>
        </row>
        <row r="23">
          <cell r="D23">
            <v>32813</v>
          </cell>
          <cell r="F23">
            <v>0</v>
          </cell>
        </row>
        <row r="24">
          <cell r="D24">
            <v>0</v>
          </cell>
          <cell r="F24">
            <v>0</v>
          </cell>
        </row>
        <row r="25">
          <cell r="D25">
            <v>0</v>
          </cell>
          <cell r="F25">
            <v>0</v>
          </cell>
        </row>
        <row r="26">
          <cell r="D26">
            <v>268160</v>
          </cell>
          <cell r="F26">
            <v>0</v>
          </cell>
        </row>
        <row r="27">
          <cell r="D27">
            <v>0</v>
          </cell>
          <cell r="F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79974</v>
          </cell>
          <cell r="F29">
            <v>-79974</v>
          </cell>
        </row>
        <row r="30">
          <cell r="D30">
            <v>0</v>
          </cell>
          <cell r="F30">
            <v>0</v>
          </cell>
        </row>
        <row r="31">
          <cell r="D31">
            <v>0</v>
          </cell>
          <cell r="F31">
            <v>0</v>
          </cell>
        </row>
        <row r="32">
          <cell r="D32">
            <v>25562</v>
          </cell>
          <cell r="F32">
            <v>0</v>
          </cell>
        </row>
        <row r="33">
          <cell r="D33">
            <v>0</v>
          </cell>
          <cell r="F33">
            <v>0</v>
          </cell>
        </row>
        <row r="34">
          <cell r="D34">
            <v>4019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0</v>
          </cell>
          <cell r="F36">
            <v>0</v>
          </cell>
        </row>
        <row r="37">
          <cell r="D37">
            <v>0</v>
          </cell>
          <cell r="F37">
            <v>0</v>
          </cell>
        </row>
        <row r="38">
          <cell r="D38">
            <v>0</v>
          </cell>
          <cell r="F38">
            <v>0</v>
          </cell>
        </row>
        <row r="39">
          <cell r="D39">
            <v>9969</v>
          </cell>
          <cell r="F39">
            <v>0</v>
          </cell>
        </row>
        <row r="40">
          <cell r="D40">
            <v>0</v>
          </cell>
          <cell r="F40">
            <v>0</v>
          </cell>
        </row>
        <row r="41">
          <cell r="D41">
            <v>21087</v>
          </cell>
          <cell r="F41">
            <v>1668</v>
          </cell>
        </row>
        <row r="42">
          <cell r="D42">
            <v>664</v>
          </cell>
          <cell r="F42">
            <v>0</v>
          </cell>
        </row>
        <row r="43">
          <cell r="D43">
            <v>7644</v>
          </cell>
          <cell r="F43">
            <v>-7644</v>
          </cell>
        </row>
        <row r="44">
          <cell r="D44">
            <v>0</v>
          </cell>
          <cell r="F44">
            <v>0</v>
          </cell>
        </row>
        <row r="45">
          <cell r="D45">
            <v>26173</v>
          </cell>
          <cell r="F45">
            <v>-13339</v>
          </cell>
        </row>
        <row r="57">
          <cell r="D57">
            <v>307836</v>
          </cell>
          <cell r="F57">
            <v>-307836</v>
          </cell>
        </row>
        <row r="58">
          <cell r="D58">
            <v>0</v>
          </cell>
          <cell r="F58">
            <v>26931</v>
          </cell>
        </row>
        <row r="59">
          <cell r="D59">
            <v>0</v>
          </cell>
          <cell r="F59">
            <v>74680</v>
          </cell>
        </row>
        <row r="60">
          <cell r="D60">
            <v>0</v>
          </cell>
          <cell r="F60">
            <v>27514</v>
          </cell>
        </row>
        <row r="61">
          <cell r="D61">
            <v>11084</v>
          </cell>
          <cell r="F61">
            <v>-7551</v>
          </cell>
        </row>
        <row r="62">
          <cell r="D62">
            <v>48</v>
          </cell>
          <cell r="F62">
            <v>-48</v>
          </cell>
        </row>
        <row r="63">
          <cell r="D63">
            <v>47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0</v>
          </cell>
          <cell r="F65">
            <v>11084</v>
          </cell>
        </row>
        <row r="66">
          <cell r="D66">
            <v>0</v>
          </cell>
          <cell r="F66">
            <v>0</v>
          </cell>
        </row>
        <row r="67">
          <cell r="D67">
            <v>0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0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71705</v>
          </cell>
          <cell r="F75">
            <v>0</v>
          </cell>
        </row>
        <row r="76">
          <cell r="D76">
            <v>7468</v>
          </cell>
          <cell r="F76">
            <v>1143</v>
          </cell>
        </row>
        <row r="77">
          <cell r="D77">
            <v>14298</v>
          </cell>
          <cell r="F77">
            <v>0</v>
          </cell>
        </row>
        <row r="78">
          <cell r="D78">
            <v>1625</v>
          </cell>
          <cell r="F78">
            <v>0</v>
          </cell>
        </row>
        <row r="79">
          <cell r="D79">
            <v>6375</v>
          </cell>
          <cell r="F79">
            <v>0</v>
          </cell>
        </row>
        <row r="80">
          <cell r="D80">
            <v>8728</v>
          </cell>
          <cell r="F80">
            <v>0</v>
          </cell>
        </row>
        <row r="81">
          <cell r="D81">
            <v>40673</v>
          </cell>
          <cell r="F81">
            <v>0</v>
          </cell>
        </row>
        <row r="82">
          <cell r="D82">
            <v>0</v>
          </cell>
          <cell r="F82">
            <v>0</v>
          </cell>
        </row>
        <row r="83">
          <cell r="D83">
            <v>5808</v>
          </cell>
          <cell r="F83">
            <v>0</v>
          </cell>
        </row>
        <row r="84">
          <cell r="D84">
            <v>91222</v>
          </cell>
          <cell r="F84">
            <v>0</v>
          </cell>
        </row>
        <row r="85">
          <cell r="D85">
            <v>10128</v>
          </cell>
          <cell r="F85">
            <v>40992</v>
          </cell>
        </row>
        <row r="89">
          <cell r="D89">
            <v>0</v>
          </cell>
          <cell r="F89">
            <v>0</v>
          </cell>
        </row>
        <row r="90">
          <cell r="D90">
            <v>0</v>
          </cell>
          <cell r="F90">
            <v>0</v>
          </cell>
        </row>
        <row r="91">
          <cell r="D91">
            <v>415289</v>
          </cell>
          <cell r="F91">
            <v>-123801</v>
          </cell>
        </row>
        <row r="92">
          <cell r="D92">
            <v>2379</v>
          </cell>
          <cell r="F92">
            <v>123801</v>
          </cell>
        </row>
        <row r="93">
          <cell r="D93">
            <v>1738</v>
          </cell>
          <cell r="F93">
            <v>0</v>
          </cell>
        </row>
        <row r="94">
          <cell r="D94">
            <v>29</v>
          </cell>
          <cell r="F94">
            <v>244</v>
          </cell>
        </row>
        <row r="98">
          <cell r="D98">
            <v>0</v>
          </cell>
          <cell r="F98">
            <v>0</v>
          </cell>
        </row>
        <row r="99">
          <cell r="D99">
            <v>0</v>
          </cell>
          <cell r="F99">
            <v>0</v>
          </cell>
        </row>
        <row r="100">
          <cell r="D100">
            <v>834</v>
          </cell>
          <cell r="F100">
            <v>0</v>
          </cell>
        </row>
        <row r="101">
          <cell r="D101">
            <v>83043</v>
          </cell>
          <cell r="F101">
            <v>0</v>
          </cell>
        </row>
        <row r="102">
          <cell r="D102">
            <v>333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0</v>
          </cell>
          <cell r="F115">
            <v>0</v>
          </cell>
        </row>
        <row r="116">
          <cell r="D116">
            <v>0</v>
          </cell>
          <cell r="F116">
            <v>0</v>
          </cell>
        </row>
        <row r="117">
          <cell r="D117">
            <v>0</v>
          </cell>
          <cell r="F117">
            <v>0</v>
          </cell>
        </row>
        <row r="118">
          <cell r="D118">
            <v>124565</v>
          </cell>
          <cell r="F118">
            <v>0</v>
          </cell>
        </row>
        <row r="119">
          <cell r="D119">
            <v>0</v>
          </cell>
          <cell r="F119">
            <v>19</v>
          </cell>
        </row>
        <row r="124">
          <cell r="D124">
            <v>0</v>
          </cell>
          <cell r="F124">
            <v>0</v>
          </cell>
        </row>
        <row r="125">
          <cell r="D125">
            <v>319910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55866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31492</v>
          </cell>
          <cell r="F131">
            <v>5101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5677</v>
          </cell>
          <cell r="F134">
            <v>891</v>
          </cell>
        </row>
        <row r="136">
          <cell r="D136">
            <v>136221</v>
          </cell>
          <cell r="F136">
            <v>3329</v>
          </cell>
        </row>
        <row r="137">
          <cell r="D137">
            <v>407983</v>
          </cell>
          <cell r="F137">
            <v>9588</v>
          </cell>
        </row>
        <row r="138">
          <cell r="D138">
            <v>480002</v>
          </cell>
          <cell r="F138">
            <v>11048</v>
          </cell>
        </row>
        <row r="139">
          <cell r="D139">
            <v>23965</v>
          </cell>
          <cell r="F139">
            <v>-23965</v>
          </cell>
        </row>
        <row r="141">
          <cell r="D141">
            <v>0</v>
          </cell>
          <cell r="F141">
            <v>22418</v>
          </cell>
        </row>
        <row r="142">
          <cell r="D142">
            <v>0</v>
          </cell>
          <cell r="F142">
            <v>50678</v>
          </cell>
        </row>
        <row r="143">
          <cell r="D143">
            <v>0</v>
          </cell>
          <cell r="F143">
            <v>54112</v>
          </cell>
        </row>
        <row r="144">
          <cell r="D144">
            <v>110494</v>
          </cell>
          <cell r="F144">
            <v>-110494</v>
          </cell>
        </row>
        <row r="146">
          <cell r="D146">
            <v>25400</v>
          </cell>
          <cell r="F146">
            <v>0</v>
          </cell>
        </row>
        <row r="147">
          <cell r="D147">
            <v>463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0</v>
          </cell>
          <cell r="F149">
            <v>0</v>
          </cell>
        </row>
        <row r="150">
          <cell r="D150">
            <v>33348</v>
          </cell>
          <cell r="F150">
            <v>0</v>
          </cell>
        </row>
        <row r="151">
          <cell r="D151">
            <v>85896</v>
          </cell>
          <cell r="F151">
            <v>193</v>
          </cell>
        </row>
        <row r="152">
          <cell r="D152">
            <v>3898</v>
          </cell>
          <cell r="F152">
            <v>0</v>
          </cell>
        </row>
        <row r="153">
          <cell r="D153">
            <v>17905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93146</v>
          </cell>
          <cell r="F161">
            <v>64691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8920</v>
          </cell>
          <cell r="F188">
            <v>1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8920</v>
          </cell>
          <cell r="F191">
            <v>0</v>
          </cell>
        </row>
        <row r="192">
          <cell r="D192">
            <v>6592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187062</v>
          </cell>
          <cell r="F194">
            <v>-2347</v>
          </cell>
        </row>
        <row r="195">
          <cell r="D195">
            <v>111701</v>
          </cell>
          <cell r="F195">
            <v>11503</v>
          </cell>
        </row>
        <row r="196">
          <cell r="D196">
            <v>0</v>
          </cell>
          <cell r="F196">
            <v>0</v>
          </cell>
        </row>
        <row r="197">
          <cell r="D197">
            <v>183931</v>
          </cell>
          <cell r="F197">
            <v>-40247</v>
          </cell>
        </row>
        <row r="198">
          <cell r="D198">
            <v>0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172229</v>
          </cell>
          <cell r="F205">
            <v>0</v>
          </cell>
        </row>
        <row r="206">
          <cell r="D206">
            <v>0</v>
          </cell>
          <cell r="F206">
            <v>0</v>
          </cell>
        </row>
        <row r="207">
          <cell r="D207">
            <v>6310</v>
          </cell>
          <cell r="F207">
            <v>0</v>
          </cell>
        </row>
        <row r="211">
          <cell r="D211">
            <v>81662</v>
          </cell>
          <cell r="F211">
            <v>0</v>
          </cell>
        </row>
        <row r="212">
          <cell r="D212">
            <v>8405</v>
          </cell>
          <cell r="F212">
            <v>1302</v>
          </cell>
        </row>
        <row r="213">
          <cell r="D213">
            <v>18097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11529</v>
          </cell>
          <cell r="F216">
            <v>14</v>
          </cell>
        </row>
        <row r="221">
          <cell r="D221">
            <v>5092963</v>
          </cell>
        </row>
      </sheetData>
      <sheetData sheetId="8"/>
      <sheetData sheetId="9"/>
      <sheetData sheetId="10"/>
      <sheetData sheetId="11">
        <row r="9">
          <cell r="C9">
            <v>15435</v>
          </cell>
          <cell r="D9">
            <v>0</v>
          </cell>
          <cell r="E9">
            <v>1959</v>
          </cell>
          <cell r="F9">
            <v>362</v>
          </cell>
          <cell r="G9">
            <v>0</v>
          </cell>
          <cell r="H9">
            <v>833</v>
          </cell>
          <cell r="I9">
            <v>473</v>
          </cell>
          <cell r="J9">
            <v>0</v>
          </cell>
          <cell r="K9">
            <v>707</v>
          </cell>
        </row>
        <row r="22">
          <cell r="N22">
            <v>99</v>
          </cell>
        </row>
        <row r="24">
          <cell r="N24">
            <v>99</v>
          </cell>
        </row>
        <row r="28">
          <cell r="N28">
            <v>36135</v>
          </cell>
        </row>
        <row r="30">
          <cell r="N30">
            <v>0.54708731147087308</v>
          </cell>
        </row>
        <row r="32">
          <cell r="N32">
            <v>0.42714819427148193</v>
          </cell>
        </row>
        <row r="34">
          <cell r="N34">
            <v>0.78076786888562899</v>
          </cell>
        </row>
      </sheetData>
      <sheetData sheetId="12"/>
      <sheetData sheetId="13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E10">
            <v>2771574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1509343</v>
          </cell>
          <cell r="G21">
            <v>0</v>
          </cell>
        </row>
        <row r="27">
          <cell r="E27">
            <v>0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902788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27253</v>
          </cell>
          <cell r="G67">
            <v>0</v>
          </cell>
        </row>
        <row r="85">
          <cell r="C85">
            <v>177.45</v>
          </cell>
          <cell r="E85">
            <v>185.50882352941179</v>
          </cell>
          <cell r="G85">
            <v>196.9462037735849</v>
          </cell>
          <cell r="I85">
            <v>185.85222967309303</v>
          </cell>
        </row>
      </sheetData>
      <sheetData sheetId="6" refreshError="1"/>
      <sheetData sheetId="7">
        <row r="10">
          <cell r="D10">
            <v>92783</v>
          </cell>
        </row>
        <row r="12">
          <cell r="D12">
            <v>69511</v>
          </cell>
        </row>
        <row r="13">
          <cell r="D13">
            <v>57542</v>
          </cell>
        </row>
        <row r="15">
          <cell r="D15">
            <v>232063</v>
          </cell>
        </row>
        <row r="17">
          <cell r="D17">
            <v>2865</v>
          </cell>
          <cell r="F17">
            <v>-2865</v>
          </cell>
        </row>
        <row r="18">
          <cell r="D18">
            <v>14224</v>
          </cell>
        </row>
        <row r="19">
          <cell r="D19">
            <v>12498</v>
          </cell>
        </row>
        <row r="20">
          <cell r="D20">
            <v>42666</v>
          </cell>
        </row>
        <row r="23">
          <cell r="D23">
            <v>9073</v>
          </cell>
        </row>
        <row r="26">
          <cell r="D26">
            <v>343704</v>
          </cell>
        </row>
        <row r="28">
          <cell r="F28">
            <v>0</v>
          </cell>
        </row>
        <row r="29">
          <cell r="D29">
            <v>12996</v>
          </cell>
          <cell r="F29">
            <v>-12996</v>
          </cell>
        </row>
        <row r="30">
          <cell r="F30">
            <v>0</v>
          </cell>
        </row>
        <row r="32">
          <cell r="D32">
            <v>40495</v>
          </cell>
        </row>
        <row r="33">
          <cell r="F33">
            <v>0</v>
          </cell>
        </row>
        <row r="35">
          <cell r="F35">
            <v>0</v>
          </cell>
        </row>
        <row r="36">
          <cell r="D36">
            <v>6926</v>
          </cell>
        </row>
        <row r="41">
          <cell r="D41">
            <v>656</v>
          </cell>
        </row>
        <row r="42">
          <cell r="D42">
            <v>3985</v>
          </cell>
        </row>
        <row r="43">
          <cell r="D43">
            <v>8721</v>
          </cell>
          <cell r="F43">
            <v>-8721</v>
          </cell>
        </row>
        <row r="58">
          <cell r="D58">
            <v>644523</v>
          </cell>
        </row>
        <row r="67">
          <cell r="D67">
            <v>84464</v>
          </cell>
        </row>
        <row r="75">
          <cell r="D75">
            <v>33821</v>
          </cell>
        </row>
        <row r="76">
          <cell r="D76">
            <v>16406</v>
          </cell>
        </row>
        <row r="77">
          <cell r="D77">
            <v>3947</v>
          </cell>
        </row>
        <row r="78">
          <cell r="D78">
            <v>331</v>
          </cell>
        </row>
        <row r="79">
          <cell r="D79">
            <v>1719</v>
          </cell>
        </row>
        <row r="81">
          <cell r="D81">
            <v>64635</v>
          </cell>
        </row>
        <row r="83">
          <cell r="D83">
            <v>3374</v>
          </cell>
        </row>
        <row r="84">
          <cell r="D84">
            <v>121980</v>
          </cell>
        </row>
        <row r="89">
          <cell r="D89">
            <v>250679</v>
          </cell>
        </row>
        <row r="90">
          <cell r="D90">
            <v>59446</v>
          </cell>
        </row>
        <row r="91">
          <cell r="D91">
            <v>9507</v>
          </cell>
        </row>
        <row r="92">
          <cell r="D92">
            <v>222196</v>
          </cell>
        </row>
        <row r="93">
          <cell r="D93">
            <v>22662</v>
          </cell>
        </row>
        <row r="98">
          <cell r="D98">
            <v>58943</v>
          </cell>
        </row>
        <row r="99">
          <cell r="D99">
            <v>18209</v>
          </cell>
        </row>
        <row r="100">
          <cell r="D100">
            <v>6501</v>
          </cell>
        </row>
        <row r="102">
          <cell r="D102">
            <v>7418</v>
          </cell>
        </row>
        <row r="115">
          <cell r="D115">
            <v>146695</v>
          </cell>
        </row>
        <row r="116">
          <cell r="D116">
            <v>64572</v>
          </cell>
        </row>
        <row r="117">
          <cell r="D117">
            <v>59551</v>
          </cell>
        </row>
        <row r="124">
          <cell r="D124">
            <v>166773</v>
          </cell>
        </row>
        <row r="125">
          <cell r="F125">
            <v>73791</v>
          </cell>
        </row>
        <row r="131">
          <cell r="F131">
            <v>24104</v>
          </cell>
        </row>
        <row r="136">
          <cell r="D136">
            <v>342370</v>
          </cell>
          <cell r="F136">
            <v>-73791</v>
          </cell>
        </row>
        <row r="137">
          <cell r="D137">
            <v>459174</v>
          </cell>
        </row>
        <row r="138">
          <cell r="D138">
            <v>916155</v>
          </cell>
        </row>
        <row r="139">
          <cell r="D139">
            <v>12112</v>
          </cell>
        </row>
        <row r="143">
          <cell r="D143">
            <v>514470</v>
          </cell>
          <cell r="F143">
            <v>-24104</v>
          </cell>
        </row>
        <row r="147">
          <cell r="D147">
            <v>66955</v>
          </cell>
        </row>
        <row r="151">
          <cell r="D151">
            <v>211766</v>
          </cell>
        </row>
        <row r="177">
          <cell r="D177">
            <v>162312</v>
          </cell>
        </row>
        <row r="178">
          <cell r="D178">
            <v>58521</v>
          </cell>
        </row>
        <row r="194">
          <cell r="D194">
            <v>9288</v>
          </cell>
        </row>
        <row r="197">
          <cell r="D197">
            <v>1327</v>
          </cell>
        </row>
        <row r="198">
          <cell r="D198">
            <v>28298</v>
          </cell>
        </row>
        <row r="205">
          <cell r="D205">
            <v>173965</v>
          </cell>
        </row>
        <row r="206">
          <cell r="D206">
            <v>22735</v>
          </cell>
        </row>
        <row r="211">
          <cell r="D211">
            <v>94621</v>
          </cell>
        </row>
        <row r="212">
          <cell r="D212">
            <v>25037</v>
          </cell>
        </row>
        <row r="213">
          <cell r="D213">
            <v>25491</v>
          </cell>
        </row>
        <row r="216">
          <cell r="D216">
            <v>4956</v>
          </cell>
        </row>
        <row r="221">
          <cell r="D221">
            <v>6148613</v>
          </cell>
        </row>
      </sheetData>
      <sheetData sheetId="8" refreshError="1"/>
      <sheetData sheetId="9" refreshError="1"/>
      <sheetData sheetId="10">
        <row r="9">
          <cell r="C9">
            <v>17275</v>
          </cell>
          <cell r="E9">
            <v>3291</v>
          </cell>
          <cell r="H9">
            <v>4833</v>
          </cell>
        </row>
        <row r="22">
          <cell r="N22">
            <v>90</v>
          </cell>
        </row>
        <row r="24">
          <cell r="N24">
            <v>90</v>
          </cell>
        </row>
        <row r="28">
          <cell r="N28">
            <v>32850</v>
          </cell>
        </row>
        <row r="30">
          <cell r="N30">
            <v>0.77318112633181124</v>
          </cell>
        </row>
        <row r="32">
          <cell r="N32">
            <v>0.52587519025875196</v>
          </cell>
        </row>
        <row r="34">
          <cell r="N34">
            <v>0.68014488759399983</v>
          </cell>
        </row>
      </sheetData>
      <sheetData sheetId="1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E10">
            <v>903498.47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694274.45</v>
          </cell>
          <cell r="G21">
            <v>0</v>
          </cell>
        </row>
        <row r="27">
          <cell r="E27">
            <v>205645.27999999997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284871.38999999996</v>
          </cell>
          <cell r="G37">
            <v>0</v>
          </cell>
        </row>
        <row r="42">
          <cell r="E42">
            <v>0</v>
          </cell>
          <cell r="G42">
            <v>82872</v>
          </cell>
        </row>
        <row r="47">
          <cell r="E47">
            <v>207781.01999999996</v>
          </cell>
          <cell r="G47">
            <v>-82872</v>
          </cell>
        </row>
        <row r="52">
          <cell r="E52">
            <v>0</v>
          </cell>
          <cell r="G52">
            <v>0</v>
          </cell>
        </row>
        <row r="67">
          <cell r="E67">
            <v>101974.65</v>
          </cell>
          <cell r="G67">
            <v>0</v>
          </cell>
        </row>
        <row r="85">
          <cell r="C85">
            <v>276.74661654135338</v>
          </cell>
          <cell r="E85">
            <v>143.80464601769913</v>
          </cell>
          <cell r="G85">
            <v>191.97780564263326</v>
          </cell>
          <cell r="I85">
            <v>196.85053658536589</v>
          </cell>
        </row>
      </sheetData>
      <sheetData sheetId="6" refreshError="1"/>
      <sheetData sheetId="7">
        <row r="10">
          <cell r="F10">
            <v>60704</v>
          </cell>
        </row>
        <row r="12">
          <cell r="D12">
            <v>44541</v>
          </cell>
        </row>
        <row r="13">
          <cell r="D13">
            <v>19697.28</v>
          </cell>
          <cell r="F13">
            <v>15106</v>
          </cell>
        </row>
        <row r="16">
          <cell r="D16">
            <v>133950.68</v>
          </cell>
          <cell r="F16">
            <v>9162</v>
          </cell>
        </row>
        <row r="17">
          <cell r="D17">
            <v>10282.59</v>
          </cell>
        </row>
        <row r="18">
          <cell r="D18">
            <v>18666.88</v>
          </cell>
        </row>
        <row r="19">
          <cell r="D19">
            <v>24593.31</v>
          </cell>
        </row>
        <row r="20">
          <cell r="D20">
            <v>9311.02</v>
          </cell>
        </row>
        <row r="21">
          <cell r="D21">
            <v>14855.91</v>
          </cell>
        </row>
        <row r="23">
          <cell r="D23">
            <v>19593.5</v>
          </cell>
        </row>
        <row r="24">
          <cell r="D24">
            <v>485.54</v>
          </cell>
        </row>
        <row r="26">
          <cell r="D26">
            <v>120377.59</v>
          </cell>
        </row>
        <row r="27">
          <cell r="D27">
            <v>-5874.1</v>
          </cell>
        </row>
        <row r="28">
          <cell r="F28">
            <v>0</v>
          </cell>
        </row>
        <row r="29">
          <cell r="D29">
            <v>49279.18</v>
          </cell>
          <cell r="F29">
            <v>-49279.18</v>
          </cell>
        </row>
        <row r="30">
          <cell r="F30">
            <v>0</v>
          </cell>
        </row>
        <row r="31">
          <cell r="D31">
            <v>885.79</v>
          </cell>
        </row>
        <row r="32">
          <cell r="D32">
            <v>100</v>
          </cell>
          <cell r="F32">
            <v>6863</v>
          </cell>
        </row>
        <row r="33">
          <cell r="F33">
            <v>0</v>
          </cell>
        </row>
        <row r="35">
          <cell r="D35">
            <v>1342.78</v>
          </cell>
          <cell r="F35">
            <v>-1342.78</v>
          </cell>
        </row>
        <row r="38">
          <cell r="D38">
            <v>206.32</v>
          </cell>
        </row>
        <row r="39">
          <cell r="D39">
            <v>1255.9000000000001</v>
          </cell>
        </row>
        <row r="40">
          <cell r="D40">
            <v>8578.76</v>
          </cell>
        </row>
        <row r="41">
          <cell r="D41">
            <v>32211.53</v>
          </cell>
          <cell r="F41">
            <v>-5556</v>
          </cell>
        </row>
        <row r="45">
          <cell r="D45">
            <v>93187</v>
          </cell>
          <cell r="F45">
            <v>-75810</v>
          </cell>
        </row>
        <row r="57">
          <cell r="D57">
            <v>69600</v>
          </cell>
        </row>
        <row r="58">
          <cell r="D58">
            <v>12258.96</v>
          </cell>
        </row>
        <row r="60">
          <cell r="F60">
            <v>2917</v>
          </cell>
        </row>
        <row r="61">
          <cell r="D61">
            <v>9370.7999999999993</v>
          </cell>
          <cell r="F61">
            <v>-6863</v>
          </cell>
        </row>
        <row r="65">
          <cell r="D65">
            <v>1155.96</v>
          </cell>
        </row>
        <row r="66">
          <cell r="D66">
            <v>41522.6</v>
          </cell>
          <cell r="F66">
            <v>-8537</v>
          </cell>
        </row>
        <row r="67">
          <cell r="D67">
            <v>37784.5</v>
          </cell>
        </row>
        <row r="69">
          <cell r="D69">
            <v>2916.78</v>
          </cell>
          <cell r="F69">
            <v>-2917</v>
          </cell>
        </row>
        <row r="75">
          <cell r="D75">
            <v>28018.93</v>
          </cell>
        </row>
        <row r="76">
          <cell r="D76">
            <v>3593.03</v>
          </cell>
        </row>
        <row r="77">
          <cell r="D77">
            <v>5472.07</v>
          </cell>
        </row>
        <row r="79">
          <cell r="D79">
            <v>9636.68</v>
          </cell>
        </row>
        <row r="80">
          <cell r="D80">
            <v>5451.25</v>
          </cell>
        </row>
        <row r="81">
          <cell r="D81">
            <v>849.43</v>
          </cell>
        </row>
        <row r="82">
          <cell r="D82">
            <v>3318.76</v>
          </cell>
        </row>
        <row r="84">
          <cell r="D84">
            <v>37968.959999999999</v>
          </cell>
        </row>
        <row r="85">
          <cell r="D85">
            <v>0</v>
          </cell>
        </row>
        <row r="89">
          <cell r="D89">
            <v>101525.72</v>
          </cell>
        </row>
        <row r="90">
          <cell r="D90">
            <v>14050.88</v>
          </cell>
        </row>
        <row r="91">
          <cell r="D91">
            <v>6186</v>
          </cell>
        </row>
        <row r="92">
          <cell r="D92">
            <v>76340.78</v>
          </cell>
        </row>
        <row r="93">
          <cell r="D93">
            <v>5221.95</v>
          </cell>
        </row>
        <row r="94">
          <cell r="D94">
            <v>761.5</v>
          </cell>
        </row>
        <row r="98">
          <cell r="D98">
            <v>16609.080000000002</v>
          </cell>
        </row>
        <row r="99">
          <cell r="D99">
            <v>1989.45</v>
          </cell>
        </row>
        <row r="100">
          <cell r="D100">
            <v>22.28</v>
          </cell>
        </row>
        <row r="102">
          <cell r="D102">
            <v>2209.84</v>
          </cell>
        </row>
        <row r="103">
          <cell r="D103">
            <v>2805.77</v>
          </cell>
        </row>
        <row r="115">
          <cell r="D115">
            <v>34842.82</v>
          </cell>
        </row>
        <row r="116">
          <cell r="D116">
            <v>4188.54</v>
          </cell>
        </row>
        <row r="117">
          <cell r="D117">
            <v>1595.85</v>
          </cell>
        </row>
        <row r="118">
          <cell r="D118">
            <v>845</v>
          </cell>
        </row>
        <row r="119">
          <cell r="D119">
            <v>0</v>
          </cell>
        </row>
        <row r="125">
          <cell r="D125">
            <v>106457</v>
          </cell>
        </row>
        <row r="131">
          <cell r="D131">
            <v>12719</v>
          </cell>
        </row>
        <row r="136">
          <cell r="D136">
            <v>169641</v>
          </cell>
        </row>
        <row r="137">
          <cell r="D137">
            <v>68811</v>
          </cell>
        </row>
        <row r="138">
          <cell r="D138">
            <v>294724</v>
          </cell>
        </row>
        <row r="141">
          <cell r="D141">
            <v>28434</v>
          </cell>
        </row>
        <row r="142">
          <cell r="D142">
            <v>11533</v>
          </cell>
        </row>
        <row r="143">
          <cell r="D143">
            <v>49398</v>
          </cell>
        </row>
        <row r="146">
          <cell r="D146">
            <v>44090.9</v>
          </cell>
        </row>
        <row r="147">
          <cell r="D147">
            <v>372.98</v>
          </cell>
        </row>
        <row r="150">
          <cell r="D150">
            <v>3345</v>
          </cell>
        </row>
        <row r="151">
          <cell r="D151">
            <v>47902.76</v>
          </cell>
        </row>
        <row r="152">
          <cell r="D152">
            <v>371.55</v>
          </cell>
        </row>
        <row r="153">
          <cell r="D153">
            <v>16244</v>
          </cell>
        </row>
        <row r="156">
          <cell r="D156">
            <v>0</v>
          </cell>
        </row>
        <row r="157">
          <cell r="D157">
            <v>0</v>
          </cell>
        </row>
        <row r="158">
          <cell r="D158">
            <v>0</v>
          </cell>
        </row>
        <row r="159">
          <cell r="D159">
            <v>0</v>
          </cell>
        </row>
        <row r="160">
          <cell r="D160">
            <v>3943</v>
          </cell>
        </row>
        <row r="161">
          <cell r="D161">
            <v>31680.74</v>
          </cell>
        </row>
        <row r="194">
          <cell r="D194">
            <v>164720.41</v>
          </cell>
        </row>
        <row r="195">
          <cell r="D195">
            <v>12250.14</v>
          </cell>
        </row>
        <row r="197">
          <cell r="D197">
            <v>107090.89</v>
          </cell>
        </row>
        <row r="198">
          <cell r="D198">
            <v>8206.1299999999992</v>
          </cell>
        </row>
        <row r="205">
          <cell r="D205">
            <v>129828.2</v>
          </cell>
          <cell r="F205">
            <v>-44805</v>
          </cell>
        </row>
        <row r="206">
          <cell r="D206">
            <v>4823.66</v>
          </cell>
        </row>
        <row r="207">
          <cell r="D207">
            <v>2111.3200000000002</v>
          </cell>
        </row>
        <row r="211">
          <cell r="D211">
            <v>26161.09</v>
          </cell>
        </row>
        <row r="212">
          <cell r="D212">
            <v>16553.240000000002</v>
          </cell>
        </row>
        <row r="213">
          <cell r="D213">
            <v>8649.36</v>
          </cell>
        </row>
        <row r="216">
          <cell r="D216">
            <v>689.14</v>
          </cell>
        </row>
        <row r="221">
          <cell r="D221">
            <v>2506394.17</v>
          </cell>
        </row>
      </sheetData>
      <sheetData sheetId="8" refreshError="1"/>
      <sheetData sheetId="9" refreshError="1"/>
      <sheetData sheetId="10">
        <row r="9">
          <cell r="C9">
            <v>5342</v>
          </cell>
          <cell r="E9">
            <v>1398</v>
          </cell>
          <cell r="F9">
            <v>683</v>
          </cell>
          <cell r="H9">
            <v>1155</v>
          </cell>
          <cell r="I9">
            <v>752</v>
          </cell>
          <cell r="J9">
            <v>365</v>
          </cell>
        </row>
        <row r="22">
          <cell r="N22">
            <v>46</v>
          </cell>
        </row>
        <row r="24">
          <cell r="N24">
            <v>46</v>
          </cell>
        </row>
        <row r="28">
          <cell r="N28">
            <v>16790</v>
          </cell>
        </row>
        <row r="30">
          <cell r="N30">
            <v>0.57742703990470523</v>
          </cell>
        </row>
        <row r="32">
          <cell r="N32">
            <v>0.31816557474687313</v>
          </cell>
        </row>
        <row r="34">
          <cell r="N34">
            <v>0.55100567302733361</v>
          </cell>
        </row>
      </sheetData>
      <sheetData sheetId="1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Explanation of Misc. Rev."/>
      <sheetName val="Sch C"/>
      <sheetName val="Sch C-1"/>
      <sheetName val="FCP Adjustments"/>
      <sheetName val="Sch C-2"/>
      <sheetName val="Sch D"/>
      <sheetName val="Summary"/>
      <sheetName val="Trial Balance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3242182.91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493769.41000000003</v>
          </cell>
          <cell r="G21">
            <v>0</v>
          </cell>
        </row>
        <row r="27">
          <cell r="E27">
            <v>134436.53</v>
          </cell>
          <cell r="G27">
            <v>-125000</v>
          </cell>
        </row>
        <row r="32">
          <cell r="E32">
            <v>34264.32</v>
          </cell>
          <cell r="G32">
            <v>0</v>
          </cell>
        </row>
        <row r="37">
          <cell r="E37">
            <v>1772599.3900000001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2158978.8199999998</v>
          </cell>
          <cell r="G67">
            <v>0</v>
          </cell>
        </row>
        <row r="85">
          <cell r="C85">
            <v>183.71951732673267</v>
          </cell>
          <cell r="E85">
            <v>194.58</v>
          </cell>
          <cell r="G85">
            <v>178.06091549295775</v>
          </cell>
          <cell r="I85">
            <v>192.77341312056734</v>
          </cell>
        </row>
      </sheetData>
      <sheetData sheetId="6"/>
      <sheetData sheetId="7"/>
      <sheetData sheetId="8">
        <row r="10">
          <cell r="D10">
            <v>100114.46</v>
          </cell>
        </row>
        <row r="12">
          <cell r="D12">
            <v>131034.09</v>
          </cell>
        </row>
        <row r="13">
          <cell r="D13">
            <v>1796094.4</v>
          </cell>
          <cell r="F13">
            <v>-1686948</v>
          </cell>
        </row>
        <row r="15">
          <cell r="D15">
            <v>184127.42</v>
          </cell>
          <cell r="F15">
            <v>-184127</v>
          </cell>
        </row>
        <row r="16">
          <cell r="F16">
            <v>200061</v>
          </cell>
        </row>
        <row r="18">
          <cell r="D18">
            <v>31584.720000000001</v>
          </cell>
        </row>
        <row r="19">
          <cell r="D19">
            <v>14911.65</v>
          </cell>
        </row>
        <row r="20">
          <cell r="D20">
            <v>13084.68</v>
          </cell>
        </row>
        <row r="21">
          <cell r="D21">
            <v>12990</v>
          </cell>
        </row>
        <row r="23">
          <cell r="D23">
            <v>18267.560000000001</v>
          </cell>
        </row>
        <row r="24">
          <cell r="D24">
            <v>15822.16</v>
          </cell>
        </row>
        <row r="26">
          <cell r="D26">
            <v>439410.45</v>
          </cell>
        </row>
        <row r="27">
          <cell r="D27">
            <v>50.97</v>
          </cell>
        </row>
        <row r="28">
          <cell r="F28">
            <v>0</v>
          </cell>
        </row>
        <row r="29">
          <cell r="D29">
            <v>17159.14</v>
          </cell>
          <cell r="F29">
            <v>-17159.14</v>
          </cell>
        </row>
        <row r="30">
          <cell r="F30">
            <v>0</v>
          </cell>
        </row>
        <row r="31">
          <cell r="D31">
            <v>87335.92</v>
          </cell>
        </row>
        <row r="32">
          <cell r="D32">
            <v>29017.9</v>
          </cell>
        </row>
        <row r="33">
          <cell r="F33">
            <v>0</v>
          </cell>
        </row>
        <row r="35">
          <cell r="D35">
            <v>8</v>
          </cell>
          <cell r="F35">
            <v>-8</v>
          </cell>
        </row>
        <row r="39">
          <cell r="D39">
            <v>9827.8700000000008</v>
          </cell>
        </row>
        <row r="40">
          <cell r="D40">
            <v>11680.4</v>
          </cell>
          <cell r="F40">
            <v>-11680</v>
          </cell>
        </row>
        <row r="42">
          <cell r="D42">
            <v>683.75</v>
          </cell>
        </row>
        <row r="45">
          <cell r="D45">
            <v>636018.94999999995</v>
          </cell>
          <cell r="F45">
            <v>-636019</v>
          </cell>
        </row>
        <row r="58">
          <cell r="D58">
            <v>198451.72</v>
          </cell>
        </row>
        <row r="61">
          <cell r="D61">
            <v>5399.76</v>
          </cell>
        </row>
        <row r="62">
          <cell r="D62">
            <v>8590.75</v>
          </cell>
        </row>
        <row r="65">
          <cell r="D65">
            <v>2025.62</v>
          </cell>
        </row>
        <row r="67">
          <cell r="D67">
            <v>-145.38999999999999</v>
          </cell>
        </row>
        <row r="75">
          <cell r="D75">
            <v>164570.35999999999</v>
          </cell>
        </row>
        <row r="76">
          <cell r="F76">
            <v>77708.69103632748</v>
          </cell>
        </row>
        <row r="77">
          <cell r="D77">
            <v>-3532.92</v>
          </cell>
        </row>
        <row r="79">
          <cell r="D79">
            <v>25185.61</v>
          </cell>
        </row>
        <row r="80">
          <cell r="D80">
            <v>23471.759999999998</v>
          </cell>
        </row>
        <row r="81">
          <cell r="D81">
            <v>33527.25</v>
          </cell>
        </row>
        <row r="82">
          <cell r="D82">
            <v>47060.94</v>
          </cell>
        </row>
        <row r="83">
          <cell r="D83">
            <v>3869.1</v>
          </cell>
        </row>
        <row r="84">
          <cell r="D84">
            <v>195251.27</v>
          </cell>
        </row>
        <row r="89">
          <cell r="D89">
            <v>283803.78999999998</v>
          </cell>
        </row>
        <row r="90">
          <cell r="F90">
            <v>134009.67848675037</v>
          </cell>
        </row>
        <row r="91">
          <cell r="D91">
            <v>8833.52</v>
          </cell>
        </row>
        <row r="92">
          <cell r="D92">
            <v>259969.57</v>
          </cell>
        </row>
        <row r="93">
          <cell r="D93">
            <v>34179.1</v>
          </cell>
        </row>
        <row r="98">
          <cell r="D98">
            <v>26266.55</v>
          </cell>
        </row>
        <row r="99">
          <cell r="F99">
            <v>12402.836200517806</v>
          </cell>
        </row>
        <row r="100">
          <cell r="D100">
            <v>1565.19</v>
          </cell>
        </row>
        <row r="102">
          <cell r="D102">
            <v>1122.51</v>
          </cell>
        </row>
        <row r="115">
          <cell r="D115">
            <v>229194.91</v>
          </cell>
        </row>
        <row r="116">
          <cell r="F116">
            <v>108223.84084405529</v>
          </cell>
        </row>
        <row r="117">
          <cell r="D117">
            <v>57893.14</v>
          </cell>
        </row>
        <row r="125">
          <cell r="D125">
            <v>84047.18</v>
          </cell>
        </row>
        <row r="126">
          <cell r="D126">
            <v>70250.899999999994</v>
          </cell>
        </row>
        <row r="127">
          <cell r="D127">
            <v>37269.71</v>
          </cell>
        </row>
        <row r="131">
          <cell r="F131">
            <v>39686.346575984899</v>
          </cell>
        </row>
        <row r="132">
          <cell r="F132">
            <v>33171.863287677916</v>
          </cell>
        </row>
        <row r="133">
          <cell r="F133">
            <v>17598.432545225791</v>
          </cell>
        </row>
        <row r="136">
          <cell r="D136">
            <v>568976.18999999994</v>
          </cell>
        </row>
        <row r="137">
          <cell r="D137">
            <v>498520.79</v>
          </cell>
        </row>
        <row r="138">
          <cell r="D138">
            <v>1170041.45</v>
          </cell>
        </row>
        <row r="141">
          <cell r="F141">
            <v>268665.60269866796</v>
          </cell>
        </row>
        <row r="142">
          <cell r="F142">
            <v>235397.17629162318</v>
          </cell>
        </row>
        <row r="143">
          <cell r="F143">
            <v>552483.3848437022</v>
          </cell>
        </row>
        <row r="146">
          <cell r="D146">
            <v>16800</v>
          </cell>
        </row>
        <row r="150">
          <cell r="D150">
            <v>6085.43</v>
          </cell>
        </row>
        <row r="151">
          <cell r="D151">
            <v>190433.86</v>
          </cell>
        </row>
        <row r="152">
          <cell r="D152">
            <v>1366.91</v>
          </cell>
        </row>
        <row r="153">
          <cell r="D153">
            <v>1876.4</v>
          </cell>
        </row>
        <row r="177">
          <cell r="D177">
            <v>172046.43</v>
          </cell>
        </row>
        <row r="178">
          <cell r="F178">
            <v>81238.826194298555</v>
          </cell>
        </row>
        <row r="183">
          <cell r="D183">
            <v>59501.43</v>
          </cell>
        </row>
        <row r="184">
          <cell r="F184">
            <v>28096.057152027053</v>
          </cell>
        </row>
        <row r="188">
          <cell r="D188">
            <v>1151.92</v>
          </cell>
        </row>
        <row r="191">
          <cell r="D191">
            <v>50.35</v>
          </cell>
        </row>
        <row r="193">
          <cell r="D193">
            <v>669.47</v>
          </cell>
        </row>
        <row r="198">
          <cell r="D198">
            <v>4320.6400000000003</v>
          </cell>
        </row>
        <row r="205">
          <cell r="D205">
            <v>90300.33</v>
          </cell>
        </row>
        <row r="206">
          <cell r="D206">
            <v>23965.040000000001</v>
          </cell>
        </row>
        <row r="211">
          <cell r="D211">
            <v>208104.92</v>
          </cell>
        </row>
        <row r="212">
          <cell r="F212">
            <v>98265.331201922687</v>
          </cell>
        </row>
        <row r="213">
          <cell r="D213">
            <v>14148.71</v>
          </cell>
        </row>
        <row r="221">
          <cell r="D221">
            <v>8375706.6600000001</v>
          </cell>
        </row>
      </sheetData>
      <sheetData sheetId="9"/>
      <sheetData sheetId="10"/>
      <sheetData sheetId="11"/>
      <sheetData sheetId="12">
        <row r="9">
          <cell r="C9">
            <v>18872</v>
          </cell>
          <cell r="E9">
            <v>1453</v>
          </cell>
          <cell r="F9">
            <v>36</v>
          </cell>
          <cell r="G9">
            <v>186</v>
          </cell>
          <cell r="H9">
            <v>9459</v>
          </cell>
        </row>
        <row r="22">
          <cell r="N22">
            <v>110</v>
          </cell>
        </row>
        <row r="24">
          <cell r="N24">
            <v>110</v>
          </cell>
        </row>
        <row r="28">
          <cell r="N28">
            <v>40150</v>
          </cell>
        </row>
        <row r="30">
          <cell r="N30">
            <v>0.74734744707347445</v>
          </cell>
        </row>
        <row r="32">
          <cell r="N32">
            <v>0.4700373599003736</v>
          </cell>
        </row>
        <row r="34">
          <cell r="N34">
            <v>0.62894087849096847</v>
          </cell>
        </row>
      </sheetData>
      <sheetData sheetId="13"/>
      <sheetData sheetId="14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Grouping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177676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748914</v>
          </cell>
          <cell r="G21">
            <v>0</v>
          </cell>
        </row>
        <row r="27">
          <cell r="E27">
            <v>155511</v>
          </cell>
          <cell r="G27">
            <v>0</v>
          </cell>
        </row>
        <row r="32">
          <cell r="E32">
            <v>3890260</v>
          </cell>
          <cell r="G32">
            <v>-2323808</v>
          </cell>
        </row>
        <row r="37">
          <cell r="E37">
            <v>1557787</v>
          </cell>
          <cell r="G37">
            <v>2322089</v>
          </cell>
        </row>
        <row r="42">
          <cell r="E42">
            <v>34220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-1719</v>
          </cell>
          <cell r="G52">
            <v>1719</v>
          </cell>
        </row>
        <row r="67">
          <cell r="E67">
            <v>14871</v>
          </cell>
          <cell r="G67">
            <v>-10869</v>
          </cell>
        </row>
        <row r="85">
          <cell r="C85">
            <v>179.6042979211328</v>
          </cell>
          <cell r="E85">
            <v>179.3016966659178</v>
          </cell>
          <cell r="G85">
            <v>179.60428592168631</v>
          </cell>
          <cell r="I85">
            <v>179.604311026814</v>
          </cell>
        </row>
      </sheetData>
      <sheetData sheetId="6"/>
      <sheetData sheetId="7">
        <row r="10">
          <cell r="D10">
            <v>0</v>
          </cell>
          <cell r="F10">
            <v>134692</v>
          </cell>
        </row>
        <row r="11">
          <cell r="D11">
            <v>0</v>
          </cell>
          <cell r="F11">
            <v>0</v>
          </cell>
        </row>
        <row r="12">
          <cell r="D12">
            <v>288842</v>
          </cell>
          <cell r="F12">
            <v>-134692</v>
          </cell>
        </row>
        <row r="13">
          <cell r="D13">
            <v>36444</v>
          </cell>
          <cell r="F13">
            <v>0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328415</v>
          </cell>
        </row>
        <row r="16">
          <cell r="D16">
            <v>328415</v>
          </cell>
          <cell r="F16">
            <v>-328415</v>
          </cell>
        </row>
        <row r="17">
          <cell r="D17">
            <v>1175</v>
          </cell>
          <cell r="F17">
            <v>-1175</v>
          </cell>
        </row>
        <row r="18">
          <cell r="D18">
            <v>44881</v>
          </cell>
          <cell r="F18">
            <v>0</v>
          </cell>
        </row>
        <row r="19">
          <cell r="D19">
            <v>12497</v>
          </cell>
          <cell r="F19">
            <v>0</v>
          </cell>
        </row>
        <row r="20">
          <cell r="D20">
            <v>17883</v>
          </cell>
          <cell r="F20">
            <v>0</v>
          </cell>
        </row>
        <row r="21">
          <cell r="D21">
            <v>3511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13048</v>
          </cell>
          <cell r="F23">
            <v>0</v>
          </cell>
        </row>
        <row r="24">
          <cell r="D24">
            <v>3736</v>
          </cell>
          <cell r="F24">
            <v>0</v>
          </cell>
        </row>
        <row r="25">
          <cell r="D25">
            <v>0</v>
          </cell>
          <cell r="F25">
            <v>0</v>
          </cell>
        </row>
        <row r="26">
          <cell r="D26">
            <v>0</v>
          </cell>
          <cell r="F26">
            <v>0</v>
          </cell>
        </row>
        <row r="27">
          <cell r="D27">
            <v>902</v>
          </cell>
          <cell r="F27">
            <v>-7</v>
          </cell>
        </row>
        <row r="28">
          <cell r="D28">
            <v>0</v>
          </cell>
          <cell r="F28">
            <v>0</v>
          </cell>
        </row>
        <row r="29">
          <cell r="D29">
            <v>7883</v>
          </cell>
          <cell r="F29">
            <v>-7883</v>
          </cell>
        </row>
        <row r="30">
          <cell r="D30">
            <v>0</v>
          </cell>
          <cell r="F30">
            <v>0</v>
          </cell>
        </row>
        <row r="31">
          <cell r="D31">
            <v>0</v>
          </cell>
          <cell r="F31">
            <v>0</v>
          </cell>
        </row>
        <row r="32">
          <cell r="D32">
            <v>64493</v>
          </cell>
          <cell r="F32">
            <v>0</v>
          </cell>
        </row>
        <row r="33">
          <cell r="D33">
            <v>0</v>
          </cell>
          <cell r="F33">
            <v>0</v>
          </cell>
        </row>
        <row r="34">
          <cell r="D34">
            <v>663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3732</v>
          </cell>
          <cell r="F36">
            <v>0</v>
          </cell>
        </row>
        <row r="37">
          <cell r="D37">
            <v>96</v>
          </cell>
          <cell r="F37">
            <v>0</v>
          </cell>
        </row>
        <row r="38">
          <cell r="D38">
            <v>130</v>
          </cell>
          <cell r="F38">
            <v>-130</v>
          </cell>
        </row>
        <row r="39">
          <cell r="D39">
            <v>9253</v>
          </cell>
          <cell r="F39">
            <v>0</v>
          </cell>
        </row>
        <row r="40">
          <cell r="D40">
            <v>13604</v>
          </cell>
          <cell r="F40">
            <v>-13604</v>
          </cell>
        </row>
        <row r="41">
          <cell r="D41">
            <v>74768</v>
          </cell>
          <cell r="F41">
            <v>0</v>
          </cell>
        </row>
        <row r="42">
          <cell r="D42">
            <v>349</v>
          </cell>
          <cell r="F42">
            <v>0</v>
          </cell>
        </row>
        <row r="43">
          <cell r="D43">
            <v>12241</v>
          </cell>
          <cell r="F43">
            <v>-12241</v>
          </cell>
        </row>
        <row r="44">
          <cell r="D44">
            <v>0</v>
          </cell>
          <cell r="F44">
            <v>0</v>
          </cell>
        </row>
        <row r="45">
          <cell r="D45">
            <v>313580</v>
          </cell>
          <cell r="F45">
            <v>-288835</v>
          </cell>
        </row>
        <row r="57">
          <cell r="D57">
            <v>0</v>
          </cell>
          <cell r="F57">
            <v>0</v>
          </cell>
        </row>
        <row r="58">
          <cell r="D58">
            <v>727</v>
          </cell>
          <cell r="F58">
            <v>0</v>
          </cell>
        </row>
        <row r="59">
          <cell r="D59">
            <v>0</v>
          </cell>
          <cell r="F59">
            <v>0</v>
          </cell>
        </row>
        <row r="60">
          <cell r="D60">
            <v>0</v>
          </cell>
          <cell r="F60">
            <v>0</v>
          </cell>
        </row>
        <row r="61">
          <cell r="D61">
            <v>23553</v>
          </cell>
          <cell r="F61">
            <v>0</v>
          </cell>
        </row>
        <row r="62">
          <cell r="D62">
            <v>0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2992</v>
          </cell>
          <cell r="F65">
            <v>0</v>
          </cell>
        </row>
        <row r="66">
          <cell r="D66">
            <v>21399</v>
          </cell>
          <cell r="F66">
            <v>0</v>
          </cell>
        </row>
        <row r="67">
          <cell r="D67">
            <v>18644</v>
          </cell>
          <cell r="F67">
            <v>0</v>
          </cell>
        </row>
        <row r="68">
          <cell r="D68">
            <v>0</v>
          </cell>
          <cell r="F68">
            <v>0</v>
          </cell>
        </row>
        <row r="69">
          <cell r="D69">
            <v>0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67586</v>
          </cell>
          <cell r="F75">
            <v>0</v>
          </cell>
        </row>
        <row r="76">
          <cell r="D76">
            <v>16460</v>
          </cell>
          <cell r="F76">
            <v>0</v>
          </cell>
        </row>
        <row r="77">
          <cell r="D77">
            <v>11883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3421</v>
          </cell>
          <cell r="F79">
            <v>0</v>
          </cell>
        </row>
        <row r="80">
          <cell r="D80">
            <v>12726</v>
          </cell>
          <cell r="F80">
            <v>0</v>
          </cell>
        </row>
        <row r="81">
          <cell r="D81">
            <v>22571</v>
          </cell>
          <cell r="F81">
            <v>0</v>
          </cell>
        </row>
        <row r="82">
          <cell r="D82">
            <v>22059</v>
          </cell>
          <cell r="F82">
            <v>0</v>
          </cell>
        </row>
        <row r="83">
          <cell r="D83">
            <v>11023</v>
          </cell>
          <cell r="F83">
            <v>0</v>
          </cell>
        </row>
        <row r="84">
          <cell r="D84">
            <v>164775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303246</v>
          </cell>
          <cell r="F89">
            <v>0</v>
          </cell>
        </row>
        <row r="90">
          <cell r="D90">
            <v>63822</v>
          </cell>
          <cell r="F90">
            <v>0</v>
          </cell>
        </row>
        <row r="91">
          <cell r="D91">
            <v>6745</v>
          </cell>
          <cell r="F91">
            <v>0</v>
          </cell>
        </row>
        <row r="92">
          <cell r="D92">
            <v>273719</v>
          </cell>
          <cell r="F92">
            <v>-9027</v>
          </cell>
        </row>
        <row r="93">
          <cell r="D93">
            <v>32273</v>
          </cell>
          <cell r="F93">
            <v>0</v>
          </cell>
        </row>
        <row r="94">
          <cell r="D94">
            <v>490</v>
          </cell>
          <cell r="F94">
            <v>0</v>
          </cell>
        </row>
        <row r="98">
          <cell r="D98">
            <v>52994</v>
          </cell>
          <cell r="F98">
            <v>0</v>
          </cell>
        </row>
        <row r="99">
          <cell r="D99">
            <v>9906</v>
          </cell>
          <cell r="F99">
            <v>0</v>
          </cell>
        </row>
        <row r="100">
          <cell r="D100">
            <v>4647</v>
          </cell>
          <cell r="F100">
            <v>0</v>
          </cell>
        </row>
        <row r="101">
          <cell r="D101">
            <v>0</v>
          </cell>
          <cell r="F101">
            <v>0</v>
          </cell>
        </row>
        <row r="102">
          <cell r="D102">
            <v>6433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134973</v>
          </cell>
          <cell r="F115">
            <v>0</v>
          </cell>
        </row>
        <row r="116">
          <cell r="D116">
            <v>31086</v>
          </cell>
          <cell r="F116">
            <v>0</v>
          </cell>
        </row>
        <row r="117">
          <cell r="D117">
            <v>26865</v>
          </cell>
          <cell r="F117">
            <v>0</v>
          </cell>
        </row>
        <row r="118">
          <cell r="D118">
            <v>160</v>
          </cell>
          <cell r="F118">
            <v>0</v>
          </cell>
        </row>
        <row r="119">
          <cell r="D119">
            <v>105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371606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47051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71799</v>
          </cell>
          <cell r="F131">
            <v>0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6082</v>
          </cell>
          <cell r="F134">
            <v>0</v>
          </cell>
        </row>
        <row r="136">
          <cell r="D136">
            <v>320624</v>
          </cell>
          <cell r="F136">
            <v>0</v>
          </cell>
        </row>
        <row r="137">
          <cell r="D137">
            <v>534247</v>
          </cell>
          <cell r="F137">
            <v>0</v>
          </cell>
        </row>
        <row r="138">
          <cell r="D138">
            <v>909450</v>
          </cell>
          <cell r="F138">
            <v>12400</v>
          </cell>
        </row>
        <row r="139">
          <cell r="D139">
            <v>12400</v>
          </cell>
          <cell r="F139">
            <v>-12400</v>
          </cell>
        </row>
        <row r="141">
          <cell r="D141">
            <v>310970</v>
          </cell>
          <cell r="F141">
            <v>-254853</v>
          </cell>
        </row>
        <row r="142">
          <cell r="D142">
            <v>0</v>
          </cell>
          <cell r="F142">
            <v>93506</v>
          </cell>
        </row>
        <row r="143">
          <cell r="D143">
            <v>0</v>
          </cell>
          <cell r="F143">
            <v>161346</v>
          </cell>
        </row>
        <row r="144">
          <cell r="D144">
            <v>0</v>
          </cell>
          <cell r="F144">
            <v>0</v>
          </cell>
        </row>
        <row r="146">
          <cell r="D146">
            <v>35625</v>
          </cell>
          <cell r="F146">
            <v>0</v>
          </cell>
        </row>
        <row r="147">
          <cell r="D147">
            <v>0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0</v>
          </cell>
          <cell r="F149">
            <v>0</v>
          </cell>
        </row>
        <row r="150">
          <cell r="D150">
            <v>225</v>
          </cell>
          <cell r="F150">
            <v>0</v>
          </cell>
        </row>
        <row r="151">
          <cell r="D151">
            <v>88022</v>
          </cell>
          <cell r="F151">
            <v>0</v>
          </cell>
        </row>
        <row r="152">
          <cell r="D152">
            <v>11523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18278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1680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0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545</v>
          </cell>
          <cell r="F193">
            <v>0</v>
          </cell>
        </row>
        <row r="194">
          <cell r="D194">
            <v>135003</v>
          </cell>
          <cell r="F194">
            <v>0</v>
          </cell>
        </row>
        <row r="195">
          <cell r="D195">
            <v>51152</v>
          </cell>
          <cell r="F195">
            <v>0</v>
          </cell>
        </row>
        <row r="196">
          <cell r="D196">
            <v>0</v>
          </cell>
          <cell r="F196">
            <v>0</v>
          </cell>
        </row>
        <row r="197">
          <cell r="D197">
            <v>75672</v>
          </cell>
          <cell r="F197">
            <v>0</v>
          </cell>
        </row>
        <row r="198">
          <cell r="D198">
            <v>12102</v>
          </cell>
          <cell r="F198">
            <v>0</v>
          </cell>
        </row>
        <row r="199">
          <cell r="D199">
            <v>0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126069</v>
          </cell>
          <cell r="F205">
            <v>0</v>
          </cell>
        </row>
        <row r="206">
          <cell r="D206">
            <v>8661</v>
          </cell>
          <cell r="F206">
            <v>0</v>
          </cell>
        </row>
        <row r="207">
          <cell r="D207">
            <v>0</v>
          </cell>
          <cell r="F207">
            <v>0</v>
          </cell>
        </row>
        <row r="211">
          <cell r="D211">
            <v>202393</v>
          </cell>
          <cell r="F211">
            <v>0</v>
          </cell>
        </row>
        <row r="212">
          <cell r="D212">
            <v>48608</v>
          </cell>
          <cell r="F212">
            <v>0</v>
          </cell>
        </row>
        <row r="213">
          <cell r="D213">
            <v>13010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8428</v>
          </cell>
          <cell r="F216">
            <v>0</v>
          </cell>
        </row>
        <row r="221">
          <cell r="D221">
            <v>6020634</v>
          </cell>
        </row>
      </sheetData>
      <sheetData sheetId="8"/>
      <sheetData sheetId="9"/>
      <sheetData sheetId="10">
        <row r="9">
          <cell r="C9">
            <v>983</v>
          </cell>
          <cell r="D9">
            <v>0</v>
          </cell>
          <cell r="E9">
            <v>1413</v>
          </cell>
          <cell r="F9">
            <v>329</v>
          </cell>
          <cell r="G9">
            <v>4090</v>
          </cell>
          <cell r="H9">
            <v>21612</v>
          </cell>
          <cell r="I9">
            <v>165</v>
          </cell>
          <cell r="J9">
            <v>0</v>
          </cell>
          <cell r="K9">
            <v>0</v>
          </cell>
        </row>
        <row r="22">
          <cell r="N22">
            <v>81</v>
          </cell>
        </row>
        <row r="24">
          <cell r="N24">
            <v>5</v>
          </cell>
        </row>
        <row r="28">
          <cell r="N28">
            <v>29565</v>
          </cell>
        </row>
        <row r="30">
          <cell r="N30">
            <v>0.9670894638931169</v>
          </cell>
        </row>
        <row r="32">
          <cell r="N32">
            <v>3.3248773888043294E-2</v>
          </cell>
        </row>
        <row r="34">
          <cell r="N34">
            <v>3.4380246222719638E-2</v>
          </cell>
        </row>
      </sheetData>
      <sheetData sheetId="11"/>
      <sheetData sheetId="12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1 (2)"/>
      <sheetName val="Sch C-1 (3)"/>
      <sheetName val="Sch C-1 (4)"/>
      <sheetName val="Sch C-1 (5)"/>
      <sheetName val="Sch C-1 (6)"/>
      <sheetName val="Sch C-2"/>
      <sheetName val="Sch D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1002185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1004420</v>
          </cell>
          <cell r="G21">
            <v>0</v>
          </cell>
        </row>
        <row r="27">
          <cell r="E27">
            <v>331508</v>
          </cell>
          <cell r="G27">
            <v>0</v>
          </cell>
        </row>
        <row r="32">
          <cell r="E32">
            <v>395515</v>
          </cell>
          <cell r="G32">
            <v>0</v>
          </cell>
        </row>
        <row r="37">
          <cell r="E37">
            <v>593562</v>
          </cell>
          <cell r="G37">
            <v>0</v>
          </cell>
        </row>
        <row r="42">
          <cell r="E42">
            <v>0</v>
          </cell>
          <cell r="G42">
            <v>170340</v>
          </cell>
        </row>
        <row r="47">
          <cell r="E47">
            <v>176503</v>
          </cell>
          <cell r="G47">
            <v>-170340</v>
          </cell>
        </row>
        <row r="52">
          <cell r="E52">
            <v>0</v>
          </cell>
          <cell r="G52">
            <v>0</v>
          </cell>
        </row>
        <row r="67">
          <cell r="E67">
            <v>2075</v>
          </cell>
          <cell r="G67">
            <v>-2292</v>
          </cell>
        </row>
        <row r="85">
          <cell r="C85">
            <v>251.3594890510949</v>
          </cell>
          <cell r="E85">
            <v>239.50787401574803</v>
          </cell>
          <cell r="G85">
            <v>237.63320463320463</v>
          </cell>
        </row>
      </sheetData>
      <sheetData sheetId="6"/>
      <sheetData sheetId="7">
        <row r="10">
          <cell r="D10">
            <v>112299</v>
          </cell>
          <cell r="F10">
            <v>-16782</v>
          </cell>
        </row>
        <row r="11">
          <cell r="D11">
            <v>0</v>
          </cell>
          <cell r="F11">
            <v>0</v>
          </cell>
        </row>
        <row r="12">
          <cell r="D12">
            <v>131719</v>
          </cell>
          <cell r="F12">
            <v>-427</v>
          </cell>
        </row>
        <row r="13">
          <cell r="D13">
            <v>42936</v>
          </cell>
          <cell r="F13">
            <v>-5639</v>
          </cell>
        </row>
        <row r="14">
          <cell r="D14">
            <v>0</v>
          </cell>
          <cell r="F14">
            <v>0</v>
          </cell>
        </row>
        <row r="15">
          <cell r="D15">
            <v>0</v>
          </cell>
          <cell r="F15">
            <v>0</v>
          </cell>
        </row>
        <row r="16">
          <cell r="D16">
            <v>149746</v>
          </cell>
          <cell r="F16">
            <v>64744</v>
          </cell>
        </row>
        <row r="17">
          <cell r="D17">
            <v>3459</v>
          </cell>
          <cell r="F17">
            <v>-3459</v>
          </cell>
        </row>
        <row r="18">
          <cell r="D18">
            <v>15582</v>
          </cell>
          <cell r="F18">
            <v>-6242</v>
          </cell>
        </row>
        <row r="19">
          <cell r="D19">
            <v>11196</v>
          </cell>
          <cell r="F19">
            <v>-1280</v>
          </cell>
        </row>
        <row r="20">
          <cell r="D20">
            <v>13930</v>
          </cell>
          <cell r="F20">
            <v>0</v>
          </cell>
        </row>
        <row r="21">
          <cell r="D21">
            <v>1790</v>
          </cell>
          <cell r="F21">
            <v>-1790</v>
          </cell>
        </row>
        <row r="22">
          <cell r="D22">
            <v>0</v>
          </cell>
          <cell r="F22">
            <v>0</v>
          </cell>
        </row>
        <row r="23">
          <cell r="D23">
            <v>10573</v>
          </cell>
          <cell r="F23">
            <v>0</v>
          </cell>
        </row>
        <row r="24">
          <cell r="D24">
            <v>17756</v>
          </cell>
          <cell r="F24">
            <v>0</v>
          </cell>
        </row>
        <row r="25">
          <cell r="D25">
            <v>0</v>
          </cell>
          <cell r="F25">
            <v>0</v>
          </cell>
        </row>
        <row r="26">
          <cell r="D26">
            <v>172141</v>
          </cell>
          <cell r="F26">
            <v>0</v>
          </cell>
        </row>
        <row r="27">
          <cell r="D27">
            <v>0</v>
          </cell>
          <cell r="F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305282</v>
          </cell>
          <cell r="F29">
            <v>-305282</v>
          </cell>
        </row>
        <row r="30">
          <cell r="D30">
            <v>0</v>
          </cell>
          <cell r="F30">
            <v>0</v>
          </cell>
        </row>
        <row r="31">
          <cell r="D31">
            <v>18853</v>
          </cell>
          <cell r="F31">
            <v>2843</v>
          </cell>
        </row>
        <row r="32">
          <cell r="D32">
            <v>16520</v>
          </cell>
          <cell r="F32">
            <v>-144</v>
          </cell>
        </row>
        <row r="33">
          <cell r="D33">
            <v>0</v>
          </cell>
          <cell r="F33">
            <v>0</v>
          </cell>
        </row>
        <row r="34">
          <cell r="D34">
            <v>31</v>
          </cell>
          <cell r="F34">
            <v>0</v>
          </cell>
        </row>
        <row r="35">
          <cell r="D35">
            <v>0</v>
          </cell>
          <cell r="F35">
            <v>0</v>
          </cell>
        </row>
        <row r="36">
          <cell r="D36">
            <v>13408</v>
          </cell>
          <cell r="F36">
            <v>0</v>
          </cell>
        </row>
        <row r="37">
          <cell r="D37">
            <v>1842</v>
          </cell>
          <cell r="F37">
            <v>77</v>
          </cell>
        </row>
        <row r="38">
          <cell r="D38">
            <v>0</v>
          </cell>
          <cell r="F38">
            <v>0</v>
          </cell>
        </row>
        <row r="39">
          <cell r="D39">
            <v>85</v>
          </cell>
          <cell r="F39">
            <v>0</v>
          </cell>
        </row>
        <row r="40">
          <cell r="D40">
            <v>0</v>
          </cell>
          <cell r="F40">
            <v>0</v>
          </cell>
        </row>
        <row r="41">
          <cell r="D41">
            <v>3715</v>
          </cell>
          <cell r="F41">
            <v>0</v>
          </cell>
        </row>
        <row r="42">
          <cell r="D42">
            <v>0</v>
          </cell>
          <cell r="F42">
            <v>0</v>
          </cell>
        </row>
        <row r="43">
          <cell r="D43">
            <v>0</v>
          </cell>
          <cell r="F43">
            <v>9207</v>
          </cell>
        </row>
        <row r="44">
          <cell r="D44">
            <v>1328</v>
          </cell>
          <cell r="F44">
            <v>-1328</v>
          </cell>
        </row>
        <row r="45">
          <cell r="D45">
            <v>46671</v>
          </cell>
          <cell r="F45">
            <v>-40595</v>
          </cell>
        </row>
        <row r="57">
          <cell r="D57">
            <v>447033</v>
          </cell>
          <cell r="F57">
            <v>32533</v>
          </cell>
        </row>
        <row r="58">
          <cell r="D58">
            <v>12030</v>
          </cell>
          <cell r="F58">
            <v>43681</v>
          </cell>
        </row>
        <row r="59">
          <cell r="D59">
            <v>0</v>
          </cell>
          <cell r="F59">
            <v>0</v>
          </cell>
        </row>
        <row r="60">
          <cell r="D60">
            <v>10181</v>
          </cell>
          <cell r="F60">
            <v>0</v>
          </cell>
        </row>
        <row r="61">
          <cell r="D61">
            <v>4222</v>
          </cell>
          <cell r="F61">
            <v>0</v>
          </cell>
        </row>
        <row r="62">
          <cell r="D62">
            <v>0</v>
          </cell>
          <cell r="F62">
            <v>0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1040</v>
          </cell>
          <cell r="F65">
            <v>0</v>
          </cell>
        </row>
        <row r="66">
          <cell r="D66">
            <v>42040</v>
          </cell>
          <cell r="F66">
            <v>0</v>
          </cell>
        </row>
        <row r="67">
          <cell r="D67">
            <v>55231</v>
          </cell>
          <cell r="F67">
            <v>-24668</v>
          </cell>
        </row>
        <row r="68">
          <cell r="D68">
            <v>0</v>
          </cell>
          <cell r="F68">
            <v>0</v>
          </cell>
        </row>
        <row r="69">
          <cell r="D69">
            <v>3469</v>
          </cell>
          <cell r="F69">
            <v>0</v>
          </cell>
        </row>
        <row r="70">
          <cell r="D70">
            <v>4144</v>
          </cell>
          <cell r="F70">
            <v>0</v>
          </cell>
        </row>
        <row r="71">
          <cell r="D71">
            <v>3530</v>
          </cell>
          <cell r="F71">
            <v>0</v>
          </cell>
        </row>
        <row r="75">
          <cell r="D75">
            <v>31836</v>
          </cell>
          <cell r="F75">
            <v>0</v>
          </cell>
        </row>
        <row r="76">
          <cell r="D76">
            <v>5833</v>
          </cell>
          <cell r="F76">
            <v>190</v>
          </cell>
        </row>
        <row r="77">
          <cell r="D77">
            <v>4504</v>
          </cell>
          <cell r="F77">
            <v>0</v>
          </cell>
        </row>
        <row r="78">
          <cell r="D78">
            <v>0</v>
          </cell>
          <cell r="F78">
            <v>0</v>
          </cell>
        </row>
        <row r="79">
          <cell r="D79">
            <v>12334</v>
          </cell>
          <cell r="F79">
            <v>11755</v>
          </cell>
        </row>
        <row r="80">
          <cell r="D80">
            <v>5999</v>
          </cell>
          <cell r="F80">
            <v>0</v>
          </cell>
        </row>
        <row r="81">
          <cell r="D81">
            <v>8219</v>
          </cell>
          <cell r="F81">
            <v>0</v>
          </cell>
        </row>
        <row r="82">
          <cell r="D82">
            <v>3426</v>
          </cell>
          <cell r="F82">
            <v>0</v>
          </cell>
        </row>
        <row r="83">
          <cell r="D83">
            <v>4517</v>
          </cell>
          <cell r="F83">
            <v>0</v>
          </cell>
        </row>
        <row r="84">
          <cell r="D84">
            <v>62409</v>
          </cell>
          <cell r="F84">
            <v>0</v>
          </cell>
        </row>
        <row r="85">
          <cell r="D85">
            <v>0</v>
          </cell>
          <cell r="F85">
            <v>0</v>
          </cell>
        </row>
        <row r="89">
          <cell r="D89">
            <v>130057</v>
          </cell>
          <cell r="F89">
            <v>0</v>
          </cell>
        </row>
        <row r="90">
          <cell r="D90">
            <v>14783</v>
          </cell>
          <cell r="F90">
            <v>765</v>
          </cell>
        </row>
        <row r="91">
          <cell r="D91">
            <v>18221</v>
          </cell>
          <cell r="F91">
            <v>0</v>
          </cell>
        </row>
        <row r="92">
          <cell r="D92">
            <v>91792</v>
          </cell>
          <cell r="F92">
            <v>-117</v>
          </cell>
        </row>
        <row r="93">
          <cell r="D93">
            <v>11226</v>
          </cell>
          <cell r="F93">
            <v>-14</v>
          </cell>
        </row>
        <row r="94">
          <cell r="D94">
            <v>0</v>
          </cell>
          <cell r="F94">
            <v>0</v>
          </cell>
        </row>
        <row r="98">
          <cell r="D98">
            <v>0</v>
          </cell>
          <cell r="F98">
            <v>0</v>
          </cell>
        </row>
        <row r="99">
          <cell r="D99">
            <v>0</v>
          </cell>
          <cell r="F99">
            <v>0</v>
          </cell>
        </row>
        <row r="100">
          <cell r="D100">
            <v>94</v>
          </cell>
          <cell r="F100">
            <v>0</v>
          </cell>
        </row>
        <row r="101">
          <cell r="D101">
            <v>31607</v>
          </cell>
          <cell r="F101">
            <v>0</v>
          </cell>
        </row>
        <row r="102">
          <cell r="D102">
            <v>8873</v>
          </cell>
          <cell r="F102">
            <v>0</v>
          </cell>
        </row>
        <row r="103">
          <cell r="D103">
            <v>0</v>
          </cell>
          <cell r="F103">
            <v>0</v>
          </cell>
        </row>
        <row r="115">
          <cell r="D115">
            <v>0</v>
          </cell>
          <cell r="F115">
            <v>0</v>
          </cell>
        </row>
        <row r="116">
          <cell r="D116">
            <v>0</v>
          </cell>
          <cell r="F116">
            <v>0</v>
          </cell>
        </row>
        <row r="117">
          <cell r="D117">
            <v>529</v>
          </cell>
          <cell r="F117">
            <v>0</v>
          </cell>
        </row>
        <row r="118">
          <cell r="D118">
            <v>47410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148355</v>
          </cell>
          <cell r="F125">
            <v>0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25018</v>
          </cell>
          <cell r="F128">
            <v>0</v>
          </cell>
        </row>
        <row r="130">
          <cell r="D130">
            <v>0</v>
          </cell>
          <cell r="F130">
            <v>0</v>
          </cell>
        </row>
        <row r="131">
          <cell r="D131">
            <v>0</v>
          </cell>
          <cell r="F131">
            <v>0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23726</v>
          </cell>
          <cell r="F134">
            <v>998</v>
          </cell>
        </row>
        <row r="136">
          <cell r="D136">
            <v>218204</v>
          </cell>
          <cell r="F136">
            <v>0</v>
          </cell>
        </row>
        <row r="137">
          <cell r="D137">
            <v>214930</v>
          </cell>
          <cell r="F137">
            <v>0</v>
          </cell>
        </row>
        <row r="138">
          <cell r="D138">
            <v>374665</v>
          </cell>
          <cell r="F138">
            <v>0</v>
          </cell>
        </row>
        <row r="139">
          <cell r="D139">
            <v>2939</v>
          </cell>
          <cell r="F139">
            <v>0</v>
          </cell>
        </row>
        <row r="141">
          <cell r="D141">
            <v>30730</v>
          </cell>
          <cell r="F141">
            <v>0</v>
          </cell>
        </row>
        <row r="142">
          <cell r="D142">
            <v>30269</v>
          </cell>
          <cell r="F142">
            <v>0</v>
          </cell>
        </row>
        <row r="143">
          <cell r="D143">
            <v>52764</v>
          </cell>
          <cell r="F143">
            <v>0</v>
          </cell>
        </row>
        <row r="144">
          <cell r="D144">
            <v>414</v>
          </cell>
          <cell r="F144">
            <v>4757</v>
          </cell>
        </row>
        <row r="146">
          <cell r="D146">
            <v>20533</v>
          </cell>
          <cell r="F146">
            <v>0</v>
          </cell>
        </row>
        <row r="147">
          <cell r="D147">
            <v>0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0</v>
          </cell>
          <cell r="F149">
            <v>0</v>
          </cell>
        </row>
        <row r="150">
          <cell r="D150">
            <v>0</v>
          </cell>
          <cell r="F150">
            <v>0</v>
          </cell>
        </row>
        <row r="151">
          <cell r="D151">
            <v>53747</v>
          </cell>
          <cell r="F151">
            <v>0</v>
          </cell>
        </row>
        <row r="152">
          <cell r="D152">
            <v>869</v>
          </cell>
          <cell r="F152">
            <v>0</v>
          </cell>
        </row>
        <row r="153">
          <cell r="D153">
            <v>0</v>
          </cell>
          <cell r="F153">
            <v>5930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34741</v>
          </cell>
          <cell r="F161">
            <v>-11804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1190</v>
          </cell>
          <cell r="F188">
            <v>-263</v>
          </cell>
        </row>
        <row r="189">
          <cell r="D189">
            <v>0</v>
          </cell>
          <cell r="F189">
            <v>3</v>
          </cell>
        </row>
        <row r="190">
          <cell r="D190">
            <v>0</v>
          </cell>
          <cell r="F190">
            <v>0</v>
          </cell>
        </row>
        <row r="191">
          <cell r="D191">
            <v>6</v>
          </cell>
          <cell r="F191">
            <v>260</v>
          </cell>
        </row>
        <row r="192">
          <cell r="D192">
            <v>0</v>
          </cell>
          <cell r="F192">
            <v>0</v>
          </cell>
        </row>
        <row r="193">
          <cell r="D193">
            <v>0</v>
          </cell>
          <cell r="F193">
            <v>0</v>
          </cell>
        </row>
        <row r="194">
          <cell r="D194">
            <v>131945</v>
          </cell>
          <cell r="F194">
            <v>28495</v>
          </cell>
        </row>
        <row r="195">
          <cell r="D195">
            <v>5057</v>
          </cell>
          <cell r="F195">
            <v>-954</v>
          </cell>
        </row>
        <row r="196">
          <cell r="D196">
            <v>0</v>
          </cell>
          <cell r="F196">
            <v>0</v>
          </cell>
        </row>
        <row r="197">
          <cell r="D197">
            <v>186269</v>
          </cell>
          <cell r="F197">
            <v>-59919</v>
          </cell>
        </row>
        <row r="198">
          <cell r="D198">
            <v>14095</v>
          </cell>
          <cell r="F198">
            <v>0</v>
          </cell>
        </row>
        <row r="199">
          <cell r="D199">
            <v>0</v>
          </cell>
          <cell r="F199">
            <v>137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0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122320</v>
          </cell>
          <cell r="F205">
            <v>0</v>
          </cell>
        </row>
        <row r="206">
          <cell r="D206">
            <v>2935</v>
          </cell>
          <cell r="F206">
            <v>0</v>
          </cell>
        </row>
        <row r="207">
          <cell r="D207">
            <v>1344</v>
          </cell>
          <cell r="F207">
            <v>-38186</v>
          </cell>
        </row>
        <row r="211">
          <cell r="D211">
            <v>64279</v>
          </cell>
          <cell r="F211">
            <v>0</v>
          </cell>
        </row>
        <row r="212">
          <cell r="D212">
            <v>11455</v>
          </cell>
          <cell r="F212">
            <v>376</v>
          </cell>
        </row>
        <row r="213">
          <cell r="D213">
            <v>8785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2515</v>
          </cell>
          <cell r="F216">
            <v>281</v>
          </cell>
        </row>
        <row r="221">
          <cell r="D221">
            <v>3951550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9">
          <cell r="C9">
            <v>5847</v>
          </cell>
          <cell r="D9">
            <v>0</v>
          </cell>
          <cell r="E9">
            <v>1755</v>
          </cell>
          <cell r="F9">
            <v>727</v>
          </cell>
          <cell r="G9">
            <v>1877</v>
          </cell>
          <cell r="H9">
            <v>2426</v>
          </cell>
          <cell r="I9">
            <v>994</v>
          </cell>
          <cell r="J9">
            <v>36</v>
          </cell>
          <cell r="K9">
            <v>0</v>
          </cell>
        </row>
        <row r="22">
          <cell r="N22">
            <v>63</v>
          </cell>
        </row>
        <row r="24">
          <cell r="N24">
            <v>63</v>
          </cell>
        </row>
        <row r="28">
          <cell r="N28">
            <v>19152</v>
          </cell>
        </row>
        <row r="30">
          <cell r="N30">
            <v>0.71334586466165417</v>
          </cell>
        </row>
        <row r="32">
          <cell r="N32">
            <v>0.30529448621553884</v>
          </cell>
        </row>
        <row r="34">
          <cell r="N34">
            <v>0.42797540623627578</v>
          </cell>
        </row>
      </sheetData>
      <sheetData sheetId="16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E10">
            <v>2948920.1700000004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1176081.6500000001</v>
          </cell>
          <cell r="G21">
            <v>0</v>
          </cell>
        </row>
        <row r="27">
          <cell r="E27">
            <v>516607.51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217528.88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283824.14</v>
          </cell>
          <cell r="G52">
            <v>0</v>
          </cell>
        </row>
        <row r="67">
          <cell r="E67">
            <v>64601.630000000005</v>
          </cell>
          <cell r="G67">
            <v>-7356.66</v>
          </cell>
        </row>
        <row r="85">
          <cell r="C85">
            <v>245.96432432432431</v>
          </cell>
          <cell r="E85">
            <v>467.71962962962965</v>
          </cell>
          <cell r="G85">
            <v>341.84683453237409</v>
          </cell>
          <cell r="I85">
            <v>211.55847457627121</v>
          </cell>
        </row>
      </sheetData>
      <sheetData sheetId="6" refreshError="1"/>
      <sheetData sheetId="7">
        <row r="10">
          <cell r="D10">
            <v>0</v>
          </cell>
          <cell r="F10">
            <v>79064.59</v>
          </cell>
        </row>
        <row r="11">
          <cell r="D11">
            <v>0</v>
          </cell>
          <cell r="F11">
            <v>0</v>
          </cell>
        </row>
        <row r="12">
          <cell r="D12">
            <v>155995</v>
          </cell>
          <cell r="F12">
            <v>-79064.59</v>
          </cell>
        </row>
        <row r="13">
          <cell r="D13">
            <v>47778</v>
          </cell>
          <cell r="F13">
            <v>0</v>
          </cell>
        </row>
        <row r="14">
          <cell r="D14">
            <v>0</v>
          </cell>
          <cell r="F14">
            <v>0</v>
          </cell>
        </row>
        <row r="15">
          <cell r="D15">
            <v>272746</v>
          </cell>
          <cell r="F15">
            <v>-272745.90999999997</v>
          </cell>
        </row>
        <row r="16">
          <cell r="D16">
            <v>0</v>
          </cell>
          <cell r="F16">
            <v>322826</v>
          </cell>
        </row>
        <row r="17">
          <cell r="D17">
            <v>249</v>
          </cell>
          <cell r="F17">
            <v>-249.12</v>
          </cell>
        </row>
        <row r="18">
          <cell r="D18">
            <v>36302</v>
          </cell>
          <cell r="F18">
            <v>0</v>
          </cell>
        </row>
        <row r="19">
          <cell r="D19">
            <v>19622</v>
          </cell>
          <cell r="F19">
            <v>0</v>
          </cell>
        </row>
        <row r="20">
          <cell r="D20">
            <v>12011</v>
          </cell>
          <cell r="F20">
            <v>1286.1199999999999</v>
          </cell>
        </row>
        <row r="21">
          <cell r="D21">
            <v>0</v>
          </cell>
          <cell r="F21">
            <v>0</v>
          </cell>
        </row>
        <row r="22">
          <cell r="D22">
            <v>0</v>
          </cell>
          <cell r="F22">
            <v>0</v>
          </cell>
        </row>
        <row r="23">
          <cell r="D23">
            <v>8972</v>
          </cell>
          <cell r="F23">
            <v>0</v>
          </cell>
        </row>
        <row r="24">
          <cell r="D24">
            <v>0</v>
          </cell>
          <cell r="F24">
            <v>0</v>
          </cell>
        </row>
        <row r="25">
          <cell r="D25">
            <v>0</v>
          </cell>
          <cell r="F25">
            <v>0</v>
          </cell>
        </row>
        <row r="26">
          <cell r="D26">
            <v>259197</v>
          </cell>
          <cell r="F26">
            <v>0</v>
          </cell>
        </row>
        <row r="27">
          <cell r="D27">
            <v>0</v>
          </cell>
          <cell r="F27">
            <v>0</v>
          </cell>
        </row>
        <row r="28">
          <cell r="D28">
            <v>0</v>
          </cell>
          <cell r="F28">
            <v>0</v>
          </cell>
        </row>
        <row r="29">
          <cell r="D29">
            <v>116885</v>
          </cell>
          <cell r="F29">
            <v>-116885</v>
          </cell>
        </row>
        <row r="30">
          <cell r="D30">
            <v>2036</v>
          </cell>
          <cell r="F30">
            <v>-2036</v>
          </cell>
        </row>
        <row r="31">
          <cell r="D31">
            <v>58047</v>
          </cell>
          <cell r="F31">
            <v>0</v>
          </cell>
        </row>
        <row r="32">
          <cell r="D32">
            <v>73029</v>
          </cell>
          <cell r="F32">
            <v>-2162</v>
          </cell>
        </row>
        <row r="33">
          <cell r="D33">
            <v>0</v>
          </cell>
          <cell r="F33">
            <v>0</v>
          </cell>
        </row>
        <row r="34">
          <cell r="D34">
            <v>1115</v>
          </cell>
        </row>
        <row r="35">
          <cell r="D35">
            <v>37</v>
          </cell>
          <cell r="F35">
            <v>-37</v>
          </cell>
        </row>
        <row r="36">
          <cell r="D36">
            <v>0</v>
          </cell>
          <cell r="F36">
            <v>0</v>
          </cell>
        </row>
        <row r="37">
          <cell r="D37">
            <v>0</v>
          </cell>
          <cell r="F37">
            <v>0</v>
          </cell>
        </row>
        <row r="38">
          <cell r="D38">
            <v>0</v>
          </cell>
          <cell r="F38">
            <v>0</v>
          </cell>
        </row>
        <row r="39">
          <cell r="D39">
            <v>4620</v>
          </cell>
          <cell r="F39">
            <v>0</v>
          </cell>
        </row>
        <row r="40">
          <cell r="D40">
            <v>11244</v>
          </cell>
          <cell r="F40">
            <v>-11243.93</v>
          </cell>
        </row>
        <row r="41">
          <cell r="D41">
            <v>14106</v>
          </cell>
          <cell r="F41">
            <v>0</v>
          </cell>
        </row>
        <row r="42">
          <cell r="D42">
            <v>2108</v>
          </cell>
          <cell r="F42">
            <v>0</v>
          </cell>
        </row>
        <row r="43">
          <cell r="D43">
            <v>13665</v>
          </cell>
          <cell r="F43">
            <v>-13665.23</v>
          </cell>
        </row>
        <row r="44">
          <cell r="D44">
            <v>9</v>
          </cell>
          <cell r="F44">
            <v>-9</v>
          </cell>
        </row>
        <row r="45">
          <cell r="D45">
            <v>237579</v>
          </cell>
          <cell r="F45">
            <v>-202573.07</v>
          </cell>
        </row>
        <row r="57">
          <cell r="D57">
            <v>784954</v>
          </cell>
          <cell r="F57">
            <v>-64622.7</v>
          </cell>
        </row>
        <row r="58">
          <cell r="D58">
            <v>74256</v>
          </cell>
          <cell r="F58">
            <v>-15164.74</v>
          </cell>
        </row>
        <row r="59">
          <cell r="D59">
            <v>0</v>
          </cell>
          <cell r="F59">
            <v>0</v>
          </cell>
        </row>
        <row r="60">
          <cell r="D60">
            <v>52410</v>
          </cell>
          <cell r="F60">
            <v>0</v>
          </cell>
        </row>
        <row r="61">
          <cell r="D61">
            <v>0</v>
          </cell>
          <cell r="F61">
            <v>0</v>
          </cell>
        </row>
        <row r="62">
          <cell r="D62">
            <v>14220</v>
          </cell>
          <cell r="F62">
            <v>-13230.01</v>
          </cell>
        </row>
        <row r="63">
          <cell r="D63">
            <v>0</v>
          </cell>
          <cell r="F63">
            <v>0</v>
          </cell>
        </row>
        <row r="64">
          <cell r="D64">
            <v>0</v>
          </cell>
          <cell r="F64">
            <v>0</v>
          </cell>
        </row>
        <row r="65">
          <cell r="D65">
            <v>0</v>
          </cell>
          <cell r="F65">
            <v>0</v>
          </cell>
        </row>
        <row r="66">
          <cell r="D66">
            <v>0</v>
          </cell>
          <cell r="F66">
            <v>0</v>
          </cell>
        </row>
        <row r="67">
          <cell r="D67">
            <v>49507</v>
          </cell>
          <cell r="F67">
            <v>9828.86</v>
          </cell>
        </row>
        <row r="68">
          <cell r="D68">
            <v>4482</v>
          </cell>
          <cell r="F68">
            <v>0</v>
          </cell>
        </row>
        <row r="69">
          <cell r="D69">
            <v>0</v>
          </cell>
          <cell r="F69">
            <v>0</v>
          </cell>
        </row>
        <row r="70">
          <cell r="D70">
            <v>0</v>
          </cell>
          <cell r="F70">
            <v>0</v>
          </cell>
        </row>
        <row r="71">
          <cell r="D71">
            <v>0</v>
          </cell>
          <cell r="F71">
            <v>0</v>
          </cell>
        </row>
        <row r="75">
          <cell r="D75">
            <v>43530</v>
          </cell>
          <cell r="F75">
            <v>0</v>
          </cell>
        </row>
        <row r="76">
          <cell r="D76">
            <v>7319</v>
          </cell>
          <cell r="F76">
            <v>0</v>
          </cell>
        </row>
        <row r="77">
          <cell r="D77">
            <v>10685</v>
          </cell>
          <cell r="F77">
            <v>3084.77</v>
          </cell>
        </row>
        <row r="78">
          <cell r="D78">
            <v>4579</v>
          </cell>
          <cell r="F78">
            <v>0</v>
          </cell>
        </row>
        <row r="79">
          <cell r="D79">
            <v>0</v>
          </cell>
          <cell r="F79">
            <v>0</v>
          </cell>
        </row>
        <row r="80">
          <cell r="D80">
            <v>34193</v>
          </cell>
          <cell r="F80">
            <v>0</v>
          </cell>
        </row>
        <row r="81">
          <cell r="D81">
            <v>5417</v>
          </cell>
          <cell r="F81">
            <v>0</v>
          </cell>
        </row>
        <row r="82">
          <cell r="D82">
            <v>0</v>
          </cell>
          <cell r="F82">
            <v>0</v>
          </cell>
        </row>
        <row r="83">
          <cell r="D83">
            <v>4839</v>
          </cell>
          <cell r="F83">
            <v>0</v>
          </cell>
        </row>
        <row r="84">
          <cell r="D84">
            <v>131248</v>
          </cell>
          <cell r="F84">
            <v>0</v>
          </cell>
        </row>
        <row r="85">
          <cell r="D85">
            <v>25464</v>
          </cell>
          <cell r="F85">
            <v>0</v>
          </cell>
        </row>
        <row r="89">
          <cell r="D89">
            <v>96268</v>
          </cell>
          <cell r="F89">
            <v>0</v>
          </cell>
        </row>
        <row r="90">
          <cell r="D90">
            <v>8193</v>
          </cell>
          <cell r="F90">
            <v>0</v>
          </cell>
        </row>
        <row r="91">
          <cell r="D91">
            <v>253283</v>
          </cell>
          <cell r="F91">
            <v>0</v>
          </cell>
        </row>
        <row r="92">
          <cell r="D92">
            <v>40299</v>
          </cell>
          <cell r="F92">
            <v>0</v>
          </cell>
        </row>
        <row r="93">
          <cell r="D93">
            <v>3835</v>
          </cell>
          <cell r="F93">
            <v>0</v>
          </cell>
        </row>
        <row r="94">
          <cell r="D94">
            <v>0</v>
          </cell>
          <cell r="F94">
            <v>0</v>
          </cell>
        </row>
        <row r="98">
          <cell r="D98">
            <v>0</v>
          </cell>
          <cell r="F98">
            <v>0</v>
          </cell>
        </row>
        <row r="99">
          <cell r="D99">
            <v>0</v>
          </cell>
          <cell r="F99">
            <v>0</v>
          </cell>
        </row>
        <row r="100">
          <cell r="D100">
            <v>3772</v>
          </cell>
          <cell r="F100">
            <v>0</v>
          </cell>
        </row>
        <row r="101">
          <cell r="D101">
            <v>53450</v>
          </cell>
          <cell r="F101">
            <v>0</v>
          </cell>
        </row>
        <row r="102">
          <cell r="D102">
            <v>-1674</v>
          </cell>
          <cell r="F102">
            <v>11365.34</v>
          </cell>
        </row>
        <row r="103">
          <cell r="D103">
            <v>0</v>
          </cell>
          <cell r="F103">
            <v>0</v>
          </cell>
        </row>
        <row r="115">
          <cell r="D115">
            <v>0</v>
          </cell>
          <cell r="F115">
            <v>0</v>
          </cell>
        </row>
        <row r="116">
          <cell r="D116">
            <v>0</v>
          </cell>
          <cell r="F116">
            <v>0</v>
          </cell>
        </row>
        <row r="117">
          <cell r="D117">
            <v>10486</v>
          </cell>
          <cell r="F117">
            <v>0</v>
          </cell>
        </row>
        <row r="118">
          <cell r="D118">
            <v>80590</v>
          </cell>
          <cell r="F118">
            <v>0</v>
          </cell>
        </row>
        <row r="119">
          <cell r="D119">
            <v>0</v>
          </cell>
          <cell r="F119">
            <v>0</v>
          </cell>
        </row>
        <row r="124">
          <cell r="D124">
            <v>0</v>
          </cell>
          <cell r="F124">
            <v>0</v>
          </cell>
        </row>
        <row r="125">
          <cell r="D125">
            <v>0</v>
          </cell>
          <cell r="F125">
            <v>242093.6</v>
          </cell>
        </row>
        <row r="126">
          <cell r="D126">
            <v>0</v>
          </cell>
          <cell r="F126">
            <v>0</v>
          </cell>
        </row>
        <row r="127">
          <cell r="D127">
            <v>0</v>
          </cell>
          <cell r="F127">
            <v>0</v>
          </cell>
        </row>
        <row r="128">
          <cell r="D128">
            <v>287647.98</v>
          </cell>
          <cell r="F128">
            <v>-242093.6</v>
          </cell>
        </row>
        <row r="130">
          <cell r="D130">
            <v>0</v>
          </cell>
          <cell r="F130">
            <v>0</v>
          </cell>
        </row>
        <row r="131">
          <cell r="D131">
            <v>0</v>
          </cell>
          <cell r="F131">
            <v>0</v>
          </cell>
        </row>
        <row r="132">
          <cell r="D132">
            <v>0</v>
          </cell>
          <cell r="F132">
            <v>0</v>
          </cell>
        </row>
        <row r="133">
          <cell r="D133">
            <v>0</v>
          </cell>
          <cell r="F133">
            <v>0</v>
          </cell>
        </row>
        <row r="134">
          <cell r="D134">
            <v>52168.41</v>
          </cell>
          <cell r="F134">
            <v>0</v>
          </cell>
        </row>
        <row r="136">
          <cell r="D136">
            <v>350194.33</v>
          </cell>
          <cell r="F136">
            <v>1482.09</v>
          </cell>
        </row>
        <row r="137">
          <cell r="D137">
            <v>391536.37</v>
          </cell>
          <cell r="F137">
            <v>-1482.09</v>
          </cell>
        </row>
        <row r="138">
          <cell r="D138">
            <v>536347.01</v>
          </cell>
          <cell r="F138">
            <v>0</v>
          </cell>
        </row>
        <row r="139">
          <cell r="D139">
            <v>0</v>
          </cell>
          <cell r="F139">
            <v>0</v>
          </cell>
        </row>
        <row r="141">
          <cell r="D141">
            <v>0</v>
          </cell>
          <cell r="F141">
            <v>0</v>
          </cell>
        </row>
        <row r="142">
          <cell r="D142">
            <v>47020.4</v>
          </cell>
          <cell r="F142">
            <v>0</v>
          </cell>
        </row>
        <row r="143">
          <cell r="D143">
            <v>58491.98</v>
          </cell>
          <cell r="F143">
            <v>0</v>
          </cell>
        </row>
        <row r="144">
          <cell r="D144">
            <v>78559.100000000006</v>
          </cell>
          <cell r="F144">
            <v>0</v>
          </cell>
        </row>
        <row r="146">
          <cell r="D146">
            <v>53734.400000000001</v>
          </cell>
          <cell r="F146">
            <v>0</v>
          </cell>
        </row>
        <row r="147">
          <cell r="D147">
            <v>0</v>
          </cell>
          <cell r="F147">
            <v>0</v>
          </cell>
        </row>
        <row r="148">
          <cell r="D148">
            <v>0</v>
          </cell>
          <cell r="F148">
            <v>0</v>
          </cell>
        </row>
        <row r="149">
          <cell r="D149">
            <v>0</v>
          </cell>
          <cell r="F149">
            <v>0</v>
          </cell>
        </row>
        <row r="150">
          <cell r="D150">
            <v>9370.99</v>
          </cell>
          <cell r="F150">
            <v>0</v>
          </cell>
        </row>
        <row r="151">
          <cell r="D151">
            <v>62993.64</v>
          </cell>
          <cell r="F151">
            <v>7154.27</v>
          </cell>
        </row>
        <row r="152">
          <cell r="D152">
            <v>38465.65</v>
          </cell>
          <cell r="F152">
            <v>0</v>
          </cell>
        </row>
        <row r="153">
          <cell r="D153">
            <v>0</v>
          </cell>
          <cell r="F153">
            <v>0</v>
          </cell>
        </row>
        <row r="154">
          <cell r="D154">
            <v>0</v>
          </cell>
          <cell r="F154">
            <v>0</v>
          </cell>
        </row>
        <row r="156">
          <cell r="D156">
            <v>0</v>
          </cell>
          <cell r="F156">
            <v>0</v>
          </cell>
        </row>
        <row r="157">
          <cell r="D157">
            <v>0</v>
          </cell>
          <cell r="F157">
            <v>0</v>
          </cell>
        </row>
        <row r="158">
          <cell r="D158">
            <v>0</v>
          </cell>
          <cell r="F158">
            <v>0</v>
          </cell>
        </row>
        <row r="159">
          <cell r="D159">
            <v>0</v>
          </cell>
          <cell r="F159">
            <v>0</v>
          </cell>
        </row>
        <row r="160">
          <cell r="D160">
            <v>0</v>
          </cell>
          <cell r="F160">
            <v>0</v>
          </cell>
        </row>
        <row r="161">
          <cell r="D161">
            <v>39549.129999999997</v>
          </cell>
          <cell r="F161">
            <v>0</v>
          </cell>
        </row>
        <row r="175">
          <cell r="D175">
            <v>0</v>
          </cell>
          <cell r="F175">
            <v>0</v>
          </cell>
        </row>
        <row r="176">
          <cell r="D176">
            <v>0</v>
          </cell>
          <cell r="F176">
            <v>0</v>
          </cell>
        </row>
        <row r="177">
          <cell r="D177">
            <v>0</v>
          </cell>
          <cell r="F177">
            <v>0</v>
          </cell>
        </row>
        <row r="178">
          <cell r="D178">
            <v>0</v>
          </cell>
          <cell r="F178">
            <v>0</v>
          </cell>
        </row>
        <row r="179">
          <cell r="D179">
            <v>0</v>
          </cell>
          <cell r="F179">
            <v>0</v>
          </cell>
        </row>
        <row r="180">
          <cell r="D180">
            <v>0</v>
          </cell>
          <cell r="F180">
            <v>0</v>
          </cell>
        </row>
        <row r="181">
          <cell r="D181">
            <v>0</v>
          </cell>
          <cell r="F181">
            <v>0</v>
          </cell>
        </row>
        <row r="182">
          <cell r="D182">
            <v>0</v>
          </cell>
          <cell r="F182">
            <v>0</v>
          </cell>
        </row>
        <row r="183">
          <cell r="D183">
            <v>0</v>
          </cell>
          <cell r="F183">
            <v>0</v>
          </cell>
        </row>
        <row r="184">
          <cell r="D184">
            <v>0</v>
          </cell>
          <cell r="F184">
            <v>0</v>
          </cell>
        </row>
        <row r="185">
          <cell r="D185">
            <v>0</v>
          </cell>
          <cell r="F185">
            <v>0</v>
          </cell>
        </row>
        <row r="186">
          <cell r="D186">
            <v>0</v>
          </cell>
          <cell r="F186">
            <v>0</v>
          </cell>
        </row>
        <row r="187">
          <cell r="D187">
            <v>0</v>
          </cell>
          <cell r="F187">
            <v>0</v>
          </cell>
        </row>
        <row r="188">
          <cell r="D188">
            <v>918.63</v>
          </cell>
          <cell r="F188">
            <v>0</v>
          </cell>
        </row>
        <row r="189">
          <cell r="D189">
            <v>0</v>
          </cell>
          <cell r="F189">
            <v>0</v>
          </cell>
        </row>
        <row r="190">
          <cell r="D190">
            <v>0</v>
          </cell>
          <cell r="F190">
            <v>0</v>
          </cell>
        </row>
        <row r="191">
          <cell r="D191">
            <v>405</v>
          </cell>
          <cell r="F191">
            <v>0</v>
          </cell>
        </row>
        <row r="192">
          <cell r="D192">
            <v>0</v>
          </cell>
          <cell r="F192">
            <v>0</v>
          </cell>
        </row>
        <row r="193">
          <cell r="D193">
            <v>12756.84</v>
          </cell>
          <cell r="F193">
            <v>-12756.84</v>
          </cell>
        </row>
        <row r="194">
          <cell r="D194">
            <v>502968.61</v>
          </cell>
          <cell r="F194">
            <v>-17347.39</v>
          </cell>
        </row>
        <row r="195">
          <cell r="D195">
            <v>38186.97</v>
          </cell>
          <cell r="F195">
            <v>-1317.07</v>
          </cell>
        </row>
        <row r="196">
          <cell r="D196">
            <v>0</v>
          </cell>
          <cell r="F196">
            <v>0</v>
          </cell>
        </row>
        <row r="197">
          <cell r="D197">
            <v>40875.74</v>
          </cell>
          <cell r="F197">
            <v>-1409.8</v>
          </cell>
        </row>
        <row r="198">
          <cell r="D198">
            <v>22249.48</v>
          </cell>
          <cell r="F198">
            <v>0</v>
          </cell>
        </row>
        <row r="199">
          <cell r="D199">
            <v>4060.76</v>
          </cell>
          <cell r="F199">
            <v>0</v>
          </cell>
        </row>
        <row r="200">
          <cell r="D200">
            <v>0</v>
          </cell>
          <cell r="F200">
            <v>0</v>
          </cell>
        </row>
        <row r="201">
          <cell r="D201">
            <v>0</v>
          </cell>
          <cell r="F201">
            <v>0</v>
          </cell>
        </row>
        <row r="202">
          <cell r="D202">
            <v>0</v>
          </cell>
          <cell r="F202">
            <v>0</v>
          </cell>
        </row>
        <row r="203">
          <cell r="D203">
            <v>34008.83</v>
          </cell>
          <cell r="F203">
            <v>0</v>
          </cell>
        </row>
        <row r="204">
          <cell r="D204">
            <v>0</v>
          </cell>
          <cell r="F204">
            <v>0</v>
          </cell>
        </row>
        <row r="205">
          <cell r="D205">
            <v>161611.5</v>
          </cell>
          <cell r="F205">
            <v>0</v>
          </cell>
        </row>
        <row r="206">
          <cell r="D206">
            <v>4082.37</v>
          </cell>
          <cell r="F206">
            <v>0</v>
          </cell>
        </row>
        <row r="207">
          <cell r="D207">
            <v>2897.6</v>
          </cell>
          <cell r="F207">
            <v>0</v>
          </cell>
        </row>
        <row r="211">
          <cell r="D211">
            <v>194611.46</v>
          </cell>
          <cell r="F211">
            <v>0</v>
          </cell>
        </row>
        <row r="212">
          <cell r="D212">
            <v>38529.69</v>
          </cell>
          <cell r="F212">
            <v>0</v>
          </cell>
        </row>
        <row r="213">
          <cell r="D213">
            <v>18643.12</v>
          </cell>
          <cell r="F213">
            <v>0</v>
          </cell>
        </row>
        <row r="214">
          <cell r="D214">
            <v>0</v>
          </cell>
          <cell r="F214">
            <v>0</v>
          </cell>
        </row>
        <row r="215">
          <cell r="D215">
            <v>0</v>
          </cell>
          <cell r="F215">
            <v>0</v>
          </cell>
        </row>
        <row r="216">
          <cell r="D216">
            <v>4951.59</v>
          </cell>
          <cell r="F216">
            <v>0</v>
          </cell>
        </row>
        <row r="221">
          <cell r="D221">
            <v>6230794.5800000001</v>
          </cell>
        </row>
      </sheetData>
      <sheetData sheetId="8" refreshError="1"/>
      <sheetData sheetId="9" refreshError="1"/>
      <sheetData sheetId="10">
        <row r="9">
          <cell r="C9">
            <v>15546</v>
          </cell>
          <cell r="D9">
            <v>0</v>
          </cell>
          <cell r="E9">
            <v>2574</v>
          </cell>
          <cell r="F9">
            <v>1608</v>
          </cell>
          <cell r="G9">
            <v>0</v>
          </cell>
          <cell r="H9">
            <v>725</v>
          </cell>
          <cell r="I9">
            <v>800</v>
          </cell>
          <cell r="J9">
            <v>0</v>
          </cell>
          <cell r="K9">
            <v>331</v>
          </cell>
        </row>
        <row r="22">
          <cell r="N22">
            <v>120</v>
          </cell>
        </row>
        <row r="24">
          <cell r="N24">
            <v>120</v>
          </cell>
        </row>
        <row r="28">
          <cell r="N28">
            <v>43800</v>
          </cell>
        </row>
        <row r="30">
          <cell r="N30">
            <v>0.49278538812785389</v>
          </cell>
        </row>
        <row r="32">
          <cell r="N32">
            <v>0.35493150684931507</v>
          </cell>
        </row>
        <row r="34">
          <cell r="N34">
            <v>0.72025574499629352</v>
          </cell>
        </row>
      </sheetData>
      <sheetData sheetId="11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Grou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E10">
            <v>1736988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1578488</v>
          </cell>
          <cell r="G21">
            <v>0</v>
          </cell>
        </row>
        <row r="27">
          <cell r="E27">
            <v>238635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623396</v>
          </cell>
          <cell r="G37">
            <v>0</v>
          </cell>
        </row>
        <row r="42">
          <cell r="E42">
            <v>148172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149411</v>
          </cell>
          <cell r="G52">
            <v>0</v>
          </cell>
        </row>
        <row r="67">
          <cell r="E67">
            <v>72243</v>
          </cell>
          <cell r="G67">
            <v>-3756</v>
          </cell>
        </row>
        <row r="85">
          <cell r="C85">
            <v>157.66133866133868</v>
          </cell>
          <cell r="E85">
            <v>157.66256590509667</v>
          </cell>
          <cell r="G85">
            <v>157.66290983606558</v>
          </cell>
          <cell r="I85">
            <v>157.66150178784267</v>
          </cell>
        </row>
      </sheetData>
      <sheetData sheetId="6" refreshError="1"/>
      <sheetData sheetId="7">
        <row r="10">
          <cell r="D10">
            <v>0</v>
          </cell>
          <cell r="F10">
            <v>142963</v>
          </cell>
        </row>
        <row r="11">
          <cell r="D11">
            <v>0</v>
          </cell>
        </row>
        <row r="12">
          <cell r="D12">
            <v>187950</v>
          </cell>
          <cell r="F12">
            <v>-142963</v>
          </cell>
        </row>
        <row r="13">
          <cell r="D13">
            <v>23552</v>
          </cell>
        </row>
        <row r="14">
          <cell r="D14">
            <v>0</v>
          </cell>
        </row>
        <row r="15">
          <cell r="D15">
            <v>0</v>
          </cell>
        </row>
        <row r="16">
          <cell r="D16">
            <v>227209</v>
          </cell>
          <cell r="F16">
            <v>7516</v>
          </cell>
        </row>
        <row r="17">
          <cell r="D17">
            <v>967</v>
          </cell>
          <cell r="F17">
            <v>-967</v>
          </cell>
        </row>
        <row r="18">
          <cell r="D18">
            <v>20736</v>
          </cell>
        </row>
        <row r="19">
          <cell r="D19">
            <v>9547</v>
          </cell>
        </row>
        <row r="20">
          <cell r="D20">
            <v>10085</v>
          </cell>
          <cell r="F20">
            <v>-263</v>
          </cell>
        </row>
        <row r="21">
          <cell r="D21">
            <v>7166</v>
          </cell>
        </row>
        <row r="22">
          <cell r="D22">
            <v>0</v>
          </cell>
        </row>
        <row r="23">
          <cell r="D23">
            <v>5433</v>
          </cell>
        </row>
        <row r="24">
          <cell r="D24">
            <v>9576</v>
          </cell>
        </row>
        <row r="25">
          <cell r="D25">
            <v>1980</v>
          </cell>
        </row>
        <row r="26">
          <cell r="D26">
            <v>218712</v>
          </cell>
        </row>
        <row r="27">
          <cell r="D27">
            <v>195676</v>
          </cell>
          <cell r="F27">
            <v>-192511</v>
          </cell>
        </row>
        <row r="28">
          <cell r="D28">
            <v>0</v>
          </cell>
          <cell r="F28">
            <v>0</v>
          </cell>
        </row>
        <row r="29">
          <cell r="D29">
            <v>90647</v>
          </cell>
          <cell r="F29">
            <v>-90647</v>
          </cell>
        </row>
        <row r="30">
          <cell r="D30">
            <v>0</v>
          </cell>
          <cell r="F30">
            <v>0</v>
          </cell>
        </row>
        <row r="31">
          <cell r="D31">
            <v>0</v>
          </cell>
        </row>
        <row r="32">
          <cell r="D32">
            <v>64200</v>
          </cell>
        </row>
        <row r="33">
          <cell r="D33">
            <v>0</v>
          </cell>
          <cell r="F33">
            <v>0</v>
          </cell>
        </row>
        <row r="34">
          <cell r="D34">
            <v>270</v>
          </cell>
        </row>
        <row r="35">
          <cell r="D35">
            <v>0</v>
          </cell>
          <cell r="F35">
            <v>0</v>
          </cell>
        </row>
        <row r="36">
          <cell r="D36">
            <v>37301</v>
          </cell>
        </row>
        <row r="37">
          <cell r="D37">
            <v>6130</v>
          </cell>
        </row>
        <row r="38">
          <cell r="D38">
            <v>55</v>
          </cell>
          <cell r="F38">
            <v>-55</v>
          </cell>
        </row>
        <row r="39">
          <cell r="D39">
            <v>4923</v>
          </cell>
        </row>
        <row r="40">
          <cell r="D40">
            <v>4151</v>
          </cell>
          <cell r="F40">
            <v>-4151</v>
          </cell>
        </row>
        <row r="41">
          <cell r="D41">
            <v>45888</v>
          </cell>
        </row>
        <row r="42">
          <cell r="D42">
            <v>376</v>
          </cell>
        </row>
        <row r="43">
          <cell r="D43">
            <v>7900</v>
          </cell>
          <cell r="F43">
            <v>-7900</v>
          </cell>
        </row>
        <row r="44">
          <cell r="D44">
            <v>0</v>
          </cell>
        </row>
        <row r="45">
          <cell r="D45">
            <v>7124</v>
          </cell>
          <cell r="F45">
            <v>-487</v>
          </cell>
        </row>
        <row r="57">
          <cell r="D57">
            <v>0</v>
          </cell>
        </row>
        <row r="58">
          <cell r="D58">
            <v>12435</v>
          </cell>
        </row>
        <row r="59">
          <cell r="D59">
            <v>0</v>
          </cell>
          <cell r="F59">
            <v>192495</v>
          </cell>
        </row>
        <row r="60">
          <cell r="D60">
            <v>10596</v>
          </cell>
        </row>
        <row r="61">
          <cell r="D61">
            <v>10771</v>
          </cell>
        </row>
        <row r="62">
          <cell r="D62">
            <v>7061</v>
          </cell>
        </row>
        <row r="63">
          <cell r="D63">
            <v>0</v>
          </cell>
        </row>
        <row r="64">
          <cell r="D64">
            <v>0</v>
          </cell>
        </row>
        <row r="65">
          <cell r="D65">
            <v>4252</v>
          </cell>
        </row>
        <row r="66">
          <cell r="D66">
            <v>19986</v>
          </cell>
          <cell r="F66">
            <v>-356</v>
          </cell>
        </row>
        <row r="67">
          <cell r="D67">
            <v>279688</v>
          </cell>
        </row>
        <row r="68">
          <cell r="D68">
            <v>0</v>
          </cell>
        </row>
        <row r="69">
          <cell r="D69">
            <v>3057</v>
          </cell>
        </row>
        <row r="70">
          <cell r="D70">
            <v>0</v>
          </cell>
        </row>
        <row r="71">
          <cell r="D71">
            <v>0</v>
          </cell>
        </row>
        <row r="75">
          <cell r="D75">
            <v>33744</v>
          </cell>
        </row>
        <row r="76">
          <cell r="D76">
            <v>7275</v>
          </cell>
        </row>
        <row r="77">
          <cell r="D77">
            <v>9214</v>
          </cell>
        </row>
        <row r="78">
          <cell r="D78">
            <v>0</v>
          </cell>
        </row>
        <row r="79">
          <cell r="D79">
            <v>-88</v>
          </cell>
        </row>
        <row r="80">
          <cell r="D80">
            <v>5992</v>
          </cell>
        </row>
        <row r="81">
          <cell r="D81">
            <v>13849</v>
          </cell>
        </row>
        <row r="82">
          <cell r="D82">
            <v>12081</v>
          </cell>
        </row>
        <row r="83">
          <cell r="D83">
            <v>8069</v>
          </cell>
        </row>
        <row r="84">
          <cell r="D84">
            <v>67234</v>
          </cell>
        </row>
        <row r="85">
          <cell r="D85">
            <v>0</v>
          </cell>
        </row>
        <row r="89">
          <cell r="D89">
            <v>138848</v>
          </cell>
        </row>
        <row r="90">
          <cell r="D90">
            <v>32566</v>
          </cell>
        </row>
        <row r="91">
          <cell r="D91">
            <v>1476</v>
          </cell>
        </row>
        <row r="92">
          <cell r="D92">
            <v>94824</v>
          </cell>
          <cell r="F92">
            <v>-3253</v>
          </cell>
        </row>
        <row r="93">
          <cell r="D93">
            <v>14692</v>
          </cell>
        </row>
        <row r="94">
          <cell r="D94">
            <v>0</v>
          </cell>
        </row>
        <row r="98">
          <cell r="D98">
            <v>0</v>
          </cell>
        </row>
        <row r="99">
          <cell r="D99">
            <v>0</v>
          </cell>
        </row>
        <row r="100">
          <cell r="D100">
            <v>36</v>
          </cell>
        </row>
        <row r="101">
          <cell r="D101">
            <v>41869</v>
          </cell>
        </row>
        <row r="102">
          <cell r="D102">
            <v>5760</v>
          </cell>
        </row>
        <row r="103">
          <cell r="D103">
            <v>0</v>
          </cell>
        </row>
        <row r="115">
          <cell r="D115">
            <v>0</v>
          </cell>
        </row>
        <row r="116">
          <cell r="D116">
            <v>0</v>
          </cell>
        </row>
        <row r="117">
          <cell r="D117">
            <v>5571</v>
          </cell>
        </row>
        <row r="118">
          <cell r="D118">
            <v>65179</v>
          </cell>
        </row>
        <row r="119">
          <cell r="D119">
            <v>0</v>
          </cell>
        </row>
        <row r="124">
          <cell r="D124">
            <v>0</v>
          </cell>
        </row>
        <row r="125">
          <cell r="D125">
            <v>157426</v>
          </cell>
        </row>
        <row r="126">
          <cell r="D126">
            <v>0</v>
          </cell>
        </row>
        <row r="127">
          <cell r="D127">
            <v>0</v>
          </cell>
        </row>
        <row r="128">
          <cell r="D128">
            <v>37861</v>
          </cell>
        </row>
        <row r="130">
          <cell r="D130">
            <v>0</v>
          </cell>
        </row>
        <row r="131">
          <cell r="D131">
            <v>16957</v>
          </cell>
        </row>
        <row r="132">
          <cell r="D132">
            <v>0</v>
          </cell>
        </row>
        <row r="133">
          <cell r="D133">
            <v>0</v>
          </cell>
        </row>
        <row r="134">
          <cell r="D134">
            <v>10164</v>
          </cell>
        </row>
        <row r="136">
          <cell r="D136">
            <v>220768</v>
          </cell>
        </row>
        <row r="137">
          <cell r="D137">
            <v>204676</v>
          </cell>
        </row>
        <row r="138">
          <cell r="D138">
            <v>380494</v>
          </cell>
          <cell r="F138">
            <v>22911</v>
          </cell>
        </row>
        <row r="139">
          <cell r="D139">
            <v>22911</v>
          </cell>
          <cell r="F139">
            <v>-22911</v>
          </cell>
        </row>
        <row r="141">
          <cell r="D141">
            <v>140493</v>
          </cell>
          <cell r="F141">
            <v>-103072</v>
          </cell>
        </row>
        <row r="142">
          <cell r="D142">
            <v>0</v>
          </cell>
          <cell r="F142">
            <v>34693</v>
          </cell>
        </row>
        <row r="143">
          <cell r="D143">
            <v>0</v>
          </cell>
          <cell r="F143">
            <v>68379</v>
          </cell>
        </row>
        <row r="144">
          <cell r="D144">
            <v>0</v>
          </cell>
        </row>
        <row r="146">
          <cell r="D146">
            <v>20575</v>
          </cell>
        </row>
        <row r="147">
          <cell r="D147">
            <v>0</v>
          </cell>
        </row>
        <row r="148">
          <cell r="D148">
            <v>0</v>
          </cell>
        </row>
        <row r="149">
          <cell r="D149">
            <v>3617</v>
          </cell>
        </row>
        <row r="150">
          <cell r="D150">
            <v>539</v>
          </cell>
        </row>
        <row r="151">
          <cell r="D151">
            <v>75702</v>
          </cell>
          <cell r="F151">
            <v>-1860</v>
          </cell>
        </row>
        <row r="152">
          <cell r="D152">
            <v>2914</v>
          </cell>
        </row>
        <row r="153">
          <cell r="D153">
            <v>0</v>
          </cell>
        </row>
        <row r="154">
          <cell r="D154">
            <v>0</v>
          </cell>
        </row>
        <row r="156">
          <cell r="D156">
            <v>0</v>
          </cell>
        </row>
        <row r="157">
          <cell r="D157">
            <v>0</v>
          </cell>
        </row>
        <row r="158">
          <cell r="D158">
            <v>0</v>
          </cell>
        </row>
        <row r="159">
          <cell r="D159">
            <v>0</v>
          </cell>
        </row>
        <row r="160">
          <cell r="D160">
            <v>0</v>
          </cell>
        </row>
        <row r="161">
          <cell r="D161">
            <v>8328</v>
          </cell>
          <cell r="F161">
            <v>-412</v>
          </cell>
        </row>
        <row r="175">
          <cell r="D175">
            <v>0</v>
          </cell>
        </row>
        <row r="176">
          <cell r="D176">
            <v>0</v>
          </cell>
        </row>
        <row r="177">
          <cell r="D177">
            <v>0</v>
          </cell>
        </row>
        <row r="178">
          <cell r="D178">
            <v>0</v>
          </cell>
        </row>
        <row r="179">
          <cell r="D179">
            <v>0</v>
          </cell>
        </row>
        <row r="180">
          <cell r="D180">
            <v>0</v>
          </cell>
        </row>
        <row r="181">
          <cell r="D181">
            <v>0</v>
          </cell>
        </row>
        <row r="182">
          <cell r="D182">
            <v>0</v>
          </cell>
        </row>
        <row r="183">
          <cell r="D183">
            <v>0</v>
          </cell>
        </row>
        <row r="184">
          <cell r="D184">
            <v>0</v>
          </cell>
        </row>
        <row r="185">
          <cell r="D185">
            <v>0</v>
          </cell>
        </row>
        <row r="186">
          <cell r="D186">
            <v>0</v>
          </cell>
        </row>
        <row r="187">
          <cell r="D187">
            <v>0</v>
          </cell>
        </row>
        <row r="188">
          <cell r="D188">
            <v>0</v>
          </cell>
        </row>
        <row r="189">
          <cell r="D189">
            <v>0</v>
          </cell>
        </row>
        <row r="190">
          <cell r="D190">
            <v>0</v>
          </cell>
        </row>
        <row r="191">
          <cell r="D191">
            <v>0</v>
          </cell>
        </row>
        <row r="192">
          <cell r="D192">
            <v>0</v>
          </cell>
        </row>
        <row r="193">
          <cell r="D193">
            <v>3558</v>
          </cell>
        </row>
        <row r="194">
          <cell r="D194">
            <v>268786</v>
          </cell>
          <cell r="F194">
            <v>9918</v>
          </cell>
        </row>
        <row r="195">
          <cell r="D195">
            <v>27228</v>
          </cell>
          <cell r="F195">
            <v>1005</v>
          </cell>
        </row>
        <row r="196">
          <cell r="D196">
            <v>0</v>
          </cell>
        </row>
        <row r="197">
          <cell r="D197">
            <v>181593</v>
          </cell>
          <cell r="F197">
            <v>6701</v>
          </cell>
        </row>
        <row r="198">
          <cell r="D198">
            <v>13063</v>
          </cell>
          <cell r="F198">
            <v>-359</v>
          </cell>
        </row>
        <row r="199">
          <cell r="D199">
            <v>0</v>
          </cell>
        </row>
        <row r="200">
          <cell r="D200">
            <v>0</v>
          </cell>
        </row>
        <row r="201">
          <cell r="D201">
            <v>0</v>
          </cell>
        </row>
        <row r="202">
          <cell r="D202">
            <v>0</v>
          </cell>
        </row>
        <row r="203">
          <cell r="D203">
            <v>0</v>
          </cell>
        </row>
        <row r="204">
          <cell r="D204">
            <v>0</v>
          </cell>
        </row>
        <row r="205">
          <cell r="D205">
            <v>134711</v>
          </cell>
          <cell r="F205">
            <v>-8591</v>
          </cell>
        </row>
        <row r="206">
          <cell r="D206">
            <v>1006</v>
          </cell>
        </row>
        <row r="207">
          <cell r="D207">
            <v>2424</v>
          </cell>
          <cell r="F207">
            <v>-151</v>
          </cell>
        </row>
        <row r="211">
          <cell r="D211">
            <v>71446</v>
          </cell>
        </row>
        <row r="212">
          <cell r="D212">
            <v>14992</v>
          </cell>
        </row>
        <row r="213">
          <cell r="D213">
            <v>2242</v>
          </cell>
        </row>
        <row r="214">
          <cell r="D214">
            <v>0</v>
          </cell>
        </row>
        <row r="215">
          <cell r="D215">
            <v>0</v>
          </cell>
        </row>
        <row r="216">
          <cell r="D216">
            <v>3599</v>
          </cell>
        </row>
        <row r="221">
          <cell r="D221">
            <v>4121664</v>
          </cell>
        </row>
      </sheetData>
      <sheetData sheetId="8" refreshError="1"/>
      <sheetData sheetId="9" refreshError="1"/>
      <sheetData sheetId="10">
        <row r="9">
          <cell r="C9">
            <v>8768</v>
          </cell>
          <cell r="D9">
            <v>0</v>
          </cell>
          <cell r="E9">
            <v>2922</v>
          </cell>
          <cell r="F9">
            <v>505</v>
          </cell>
          <cell r="G9">
            <v>0</v>
          </cell>
          <cell r="H9">
            <v>3954</v>
          </cell>
          <cell r="I9">
            <v>796</v>
          </cell>
          <cell r="J9">
            <v>0</v>
          </cell>
          <cell r="K9">
            <v>579</v>
          </cell>
        </row>
        <row r="22">
          <cell r="N22">
            <v>84</v>
          </cell>
        </row>
        <row r="24">
          <cell r="N24">
            <v>84</v>
          </cell>
        </row>
        <row r="28">
          <cell r="N28">
            <v>30660</v>
          </cell>
        </row>
        <row r="30">
          <cell r="N30">
            <v>0.57155903457273316</v>
          </cell>
        </row>
        <row r="32">
          <cell r="N32">
            <v>0.28597521200260928</v>
          </cell>
        </row>
        <row r="34">
          <cell r="N34">
            <v>0.50034238758274374</v>
          </cell>
        </row>
      </sheetData>
      <sheetData sheetId="11" refreshError="1"/>
      <sheetData sheetId="1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Grou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E10">
            <v>2475305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1238251</v>
          </cell>
          <cell r="G21">
            <v>0</v>
          </cell>
        </row>
        <row r="27">
          <cell r="E27">
            <v>263412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347391</v>
          </cell>
          <cell r="G37">
            <v>0</v>
          </cell>
        </row>
        <row r="42">
          <cell r="E42">
            <v>648999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77286</v>
          </cell>
          <cell r="G52">
            <v>0</v>
          </cell>
        </row>
        <row r="67">
          <cell r="E67">
            <v>32749</v>
          </cell>
          <cell r="G67">
            <v>-1256</v>
          </cell>
        </row>
        <row r="85">
          <cell r="C85">
            <v>168.55430711610487</v>
          </cell>
          <cell r="E85">
            <v>168.55530973451329</v>
          </cell>
          <cell r="G85">
            <v>168.55424063116371</v>
          </cell>
          <cell r="I85">
            <v>168.55457746478874</v>
          </cell>
        </row>
      </sheetData>
      <sheetData sheetId="6" refreshError="1"/>
      <sheetData sheetId="7">
        <row r="10">
          <cell r="D10">
            <v>0</v>
          </cell>
          <cell r="F10">
            <v>173704</v>
          </cell>
        </row>
        <row r="11">
          <cell r="D11">
            <v>0</v>
          </cell>
        </row>
        <row r="12">
          <cell r="D12">
            <v>264529</v>
          </cell>
          <cell r="F12">
            <v>-173704</v>
          </cell>
        </row>
        <row r="13">
          <cell r="D13">
            <v>34877</v>
          </cell>
        </row>
        <row r="14">
          <cell r="D14">
            <v>0</v>
          </cell>
        </row>
        <row r="15">
          <cell r="D15">
            <v>0</v>
          </cell>
        </row>
        <row r="16">
          <cell r="D16">
            <v>253356</v>
          </cell>
          <cell r="F16">
            <v>24046</v>
          </cell>
        </row>
        <row r="17">
          <cell r="D17">
            <v>0</v>
          </cell>
        </row>
        <row r="18">
          <cell r="D18">
            <v>16249</v>
          </cell>
        </row>
        <row r="19">
          <cell r="D19">
            <v>10793</v>
          </cell>
        </row>
        <row r="20">
          <cell r="D20">
            <v>8242</v>
          </cell>
        </row>
        <row r="21">
          <cell r="D21">
            <v>18658</v>
          </cell>
        </row>
        <row r="22">
          <cell r="D22">
            <v>0</v>
          </cell>
        </row>
        <row r="23">
          <cell r="D23">
            <v>3707</v>
          </cell>
        </row>
        <row r="24">
          <cell r="D24">
            <v>10365</v>
          </cell>
        </row>
        <row r="25">
          <cell r="D25">
            <v>1833</v>
          </cell>
        </row>
        <row r="26">
          <cell r="D26">
            <v>298360</v>
          </cell>
        </row>
        <row r="27">
          <cell r="D27">
            <v>16450</v>
          </cell>
          <cell r="F27">
            <v>-130</v>
          </cell>
        </row>
        <row r="28">
          <cell r="D28">
            <v>0</v>
          </cell>
          <cell r="F28">
            <v>0</v>
          </cell>
        </row>
        <row r="29">
          <cell r="D29">
            <v>118980</v>
          </cell>
          <cell r="F29">
            <v>-118980</v>
          </cell>
        </row>
        <row r="30">
          <cell r="D30">
            <v>0</v>
          </cell>
          <cell r="F30">
            <v>0</v>
          </cell>
        </row>
        <row r="31">
          <cell r="D31">
            <v>0</v>
          </cell>
        </row>
        <row r="32">
          <cell r="D32">
            <v>55140</v>
          </cell>
        </row>
        <row r="33">
          <cell r="D33">
            <v>0</v>
          </cell>
          <cell r="F33">
            <v>0</v>
          </cell>
        </row>
        <row r="34">
          <cell r="D34">
            <v>121</v>
          </cell>
        </row>
        <row r="35">
          <cell r="D35">
            <v>0</v>
          </cell>
          <cell r="F35">
            <v>0</v>
          </cell>
        </row>
        <row r="36">
          <cell r="D36">
            <v>0</v>
          </cell>
        </row>
        <row r="37">
          <cell r="D37">
            <v>0</v>
          </cell>
        </row>
        <row r="38">
          <cell r="D38">
            <v>23</v>
          </cell>
          <cell r="F38">
            <v>-23</v>
          </cell>
        </row>
        <row r="39">
          <cell r="D39">
            <v>3028</v>
          </cell>
        </row>
        <row r="40">
          <cell r="D40">
            <v>3159</v>
          </cell>
          <cell r="F40">
            <v>-3159</v>
          </cell>
        </row>
        <row r="41">
          <cell r="D41">
            <v>55087</v>
          </cell>
          <cell r="F41">
            <v>-1565</v>
          </cell>
        </row>
        <row r="42">
          <cell r="D42">
            <v>104</v>
          </cell>
        </row>
        <row r="43">
          <cell r="D43">
            <v>3358</v>
          </cell>
          <cell r="F43">
            <v>-3358</v>
          </cell>
        </row>
        <row r="44">
          <cell r="D44">
            <v>0</v>
          </cell>
        </row>
        <row r="45">
          <cell r="D45">
            <v>3967</v>
          </cell>
          <cell r="F45">
            <v>-480</v>
          </cell>
        </row>
        <row r="57">
          <cell r="D57">
            <v>0</v>
          </cell>
        </row>
        <row r="58">
          <cell r="D58">
            <v>89654</v>
          </cell>
        </row>
        <row r="59">
          <cell r="D59">
            <v>66763</v>
          </cell>
        </row>
        <row r="60">
          <cell r="D60">
            <v>28945</v>
          </cell>
        </row>
        <row r="61">
          <cell r="D61">
            <v>20138</v>
          </cell>
        </row>
        <row r="62">
          <cell r="D62">
            <v>7642</v>
          </cell>
        </row>
        <row r="63">
          <cell r="D63">
            <v>0</v>
          </cell>
        </row>
        <row r="64">
          <cell r="D64">
            <v>0</v>
          </cell>
        </row>
        <row r="65">
          <cell r="D65">
            <v>0</v>
          </cell>
        </row>
        <row r="66">
          <cell r="D66">
            <v>35836</v>
          </cell>
          <cell r="F66">
            <v>-848</v>
          </cell>
        </row>
        <row r="67">
          <cell r="D67">
            <v>42173</v>
          </cell>
        </row>
        <row r="68">
          <cell r="D68">
            <v>0</v>
          </cell>
        </row>
        <row r="69">
          <cell r="D69">
            <v>5008</v>
          </cell>
        </row>
        <row r="70">
          <cell r="D70">
            <v>0</v>
          </cell>
        </row>
        <row r="71">
          <cell r="D71">
            <v>0</v>
          </cell>
        </row>
        <row r="75">
          <cell r="D75">
            <v>41502</v>
          </cell>
        </row>
        <row r="76">
          <cell r="D76">
            <v>4752</v>
          </cell>
        </row>
        <row r="77">
          <cell r="D77">
            <v>5918</v>
          </cell>
        </row>
        <row r="78">
          <cell r="D78">
            <v>0</v>
          </cell>
        </row>
        <row r="79">
          <cell r="D79">
            <v>440</v>
          </cell>
        </row>
        <row r="80">
          <cell r="D80">
            <v>18116</v>
          </cell>
        </row>
        <row r="81">
          <cell r="D81">
            <v>12648</v>
          </cell>
        </row>
        <row r="82">
          <cell r="D82">
            <v>6955</v>
          </cell>
        </row>
        <row r="83">
          <cell r="D83">
            <v>0</v>
          </cell>
        </row>
        <row r="84">
          <cell r="D84">
            <v>61290</v>
          </cell>
        </row>
        <row r="85">
          <cell r="D85">
            <v>0</v>
          </cell>
        </row>
        <row r="89">
          <cell r="D89">
            <v>176007</v>
          </cell>
        </row>
        <row r="90">
          <cell r="D90">
            <v>35052</v>
          </cell>
        </row>
        <row r="91">
          <cell r="D91">
            <v>2618</v>
          </cell>
        </row>
        <row r="92">
          <cell r="D92">
            <v>124640</v>
          </cell>
          <cell r="F92">
            <v>-446</v>
          </cell>
        </row>
        <row r="93">
          <cell r="D93">
            <v>11159</v>
          </cell>
        </row>
        <row r="94">
          <cell r="D94">
            <v>0</v>
          </cell>
        </row>
        <row r="98">
          <cell r="D98">
            <v>0</v>
          </cell>
        </row>
        <row r="99">
          <cell r="D99">
            <v>0</v>
          </cell>
        </row>
        <row r="100">
          <cell r="D100">
            <v>0</v>
          </cell>
        </row>
        <row r="101">
          <cell r="D101">
            <v>55011</v>
          </cell>
        </row>
        <row r="102">
          <cell r="D102">
            <v>9150</v>
          </cell>
        </row>
        <row r="103">
          <cell r="D103">
            <v>0</v>
          </cell>
        </row>
        <row r="115">
          <cell r="D115">
            <v>0</v>
          </cell>
        </row>
        <row r="116">
          <cell r="D116">
            <v>0</v>
          </cell>
        </row>
        <row r="117">
          <cell r="D117">
            <v>11535</v>
          </cell>
        </row>
        <row r="118">
          <cell r="D118">
            <v>103100</v>
          </cell>
        </row>
        <row r="119">
          <cell r="D119">
            <v>0</v>
          </cell>
        </row>
        <row r="124">
          <cell r="D124">
            <v>0</v>
          </cell>
        </row>
        <row r="125">
          <cell r="D125">
            <v>172359</v>
          </cell>
        </row>
        <row r="126">
          <cell r="D126">
            <v>0</v>
          </cell>
        </row>
        <row r="127">
          <cell r="D127">
            <v>0</v>
          </cell>
        </row>
        <row r="128">
          <cell r="D128">
            <v>44497</v>
          </cell>
        </row>
        <row r="130">
          <cell r="D130">
            <v>0</v>
          </cell>
        </row>
        <row r="131">
          <cell r="D131">
            <v>25350</v>
          </cell>
        </row>
        <row r="132">
          <cell r="D132">
            <v>0</v>
          </cell>
        </row>
        <row r="133">
          <cell r="D133">
            <v>0</v>
          </cell>
        </row>
        <row r="134">
          <cell r="D134">
            <v>13744</v>
          </cell>
        </row>
        <row r="136">
          <cell r="D136">
            <v>485139</v>
          </cell>
        </row>
        <row r="137">
          <cell r="D137">
            <v>93885</v>
          </cell>
        </row>
        <row r="138">
          <cell r="D138">
            <v>575485</v>
          </cell>
          <cell r="F138">
            <v>14027</v>
          </cell>
        </row>
        <row r="139">
          <cell r="D139">
            <v>14027</v>
          </cell>
          <cell r="F139">
            <v>-14027</v>
          </cell>
        </row>
        <row r="141">
          <cell r="D141">
            <v>222172</v>
          </cell>
          <cell r="F141">
            <v>-129933</v>
          </cell>
        </row>
        <row r="142">
          <cell r="D142">
            <v>0</v>
          </cell>
          <cell r="F142">
            <v>17850</v>
          </cell>
        </row>
        <row r="143">
          <cell r="D143">
            <v>0</v>
          </cell>
          <cell r="F143">
            <v>112083</v>
          </cell>
        </row>
        <row r="144">
          <cell r="D144">
            <v>0</v>
          </cell>
        </row>
        <row r="146">
          <cell r="D146">
            <v>38000</v>
          </cell>
        </row>
        <row r="147">
          <cell r="D147">
            <v>0</v>
          </cell>
        </row>
        <row r="148">
          <cell r="D148">
            <v>0</v>
          </cell>
        </row>
        <row r="149">
          <cell r="D149">
            <v>0</v>
          </cell>
        </row>
        <row r="150">
          <cell r="D150">
            <v>1220</v>
          </cell>
        </row>
        <row r="151">
          <cell r="D151">
            <v>63753</v>
          </cell>
          <cell r="F151">
            <v>-577</v>
          </cell>
        </row>
        <row r="152">
          <cell r="D152">
            <v>2807</v>
          </cell>
        </row>
        <row r="153">
          <cell r="D153">
            <v>0</v>
          </cell>
        </row>
        <row r="154">
          <cell r="D154">
            <v>0</v>
          </cell>
        </row>
        <row r="156">
          <cell r="D156">
            <v>0</v>
          </cell>
        </row>
        <row r="157">
          <cell r="D157">
            <v>0</v>
          </cell>
        </row>
        <row r="158">
          <cell r="D158">
            <v>700</v>
          </cell>
        </row>
        <row r="159">
          <cell r="D159">
            <v>0</v>
          </cell>
        </row>
        <row r="160">
          <cell r="D160">
            <v>0</v>
          </cell>
        </row>
        <row r="161">
          <cell r="D161">
            <v>13667</v>
          </cell>
          <cell r="F161">
            <v>-522</v>
          </cell>
        </row>
        <row r="175">
          <cell r="D175">
            <v>0</v>
          </cell>
        </row>
        <row r="176">
          <cell r="D176">
            <v>0</v>
          </cell>
        </row>
        <row r="177">
          <cell r="D177">
            <v>0</v>
          </cell>
        </row>
        <row r="178">
          <cell r="D178">
            <v>0</v>
          </cell>
        </row>
        <row r="179">
          <cell r="D179">
            <v>0</v>
          </cell>
        </row>
        <row r="180">
          <cell r="D180">
            <v>0</v>
          </cell>
        </row>
        <row r="181">
          <cell r="D181">
            <v>0</v>
          </cell>
        </row>
        <row r="182">
          <cell r="D182">
            <v>0</v>
          </cell>
        </row>
        <row r="183">
          <cell r="D183">
            <v>0</v>
          </cell>
        </row>
        <row r="184">
          <cell r="D184">
            <v>0</v>
          </cell>
        </row>
        <row r="185">
          <cell r="D185">
            <v>0</v>
          </cell>
        </row>
        <row r="186">
          <cell r="D186">
            <v>0</v>
          </cell>
        </row>
        <row r="187">
          <cell r="D187">
            <v>0</v>
          </cell>
        </row>
        <row r="188">
          <cell r="D188">
            <v>0</v>
          </cell>
        </row>
        <row r="189">
          <cell r="D189">
            <v>0</v>
          </cell>
        </row>
        <row r="190">
          <cell r="D190">
            <v>0</v>
          </cell>
        </row>
        <row r="191">
          <cell r="D191">
            <v>0</v>
          </cell>
        </row>
        <row r="192">
          <cell r="D192">
            <v>27</v>
          </cell>
        </row>
        <row r="193">
          <cell r="D193">
            <v>3345</v>
          </cell>
        </row>
        <row r="194">
          <cell r="D194">
            <v>219126</v>
          </cell>
          <cell r="F194">
            <v>8086</v>
          </cell>
        </row>
        <row r="195">
          <cell r="D195">
            <v>116950</v>
          </cell>
          <cell r="F195">
            <v>4315</v>
          </cell>
        </row>
        <row r="196">
          <cell r="D196">
            <v>0</v>
          </cell>
        </row>
        <row r="197">
          <cell r="D197">
            <v>185314</v>
          </cell>
          <cell r="F197">
            <v>6838</v>
          </cell>
        </row>
        <row r="198">
          <cell r="D198">
            <v>22582</v>
          </cell>
        </row>
        <row r="199">
          <cell r="D199">
            <v>0</v>
          </cell>
        </row>
        <row r="200">
          <cell r="D200">
            <v>0</v>
          </cell>
        </row>
        <row r="201">
          <cell r="D201">
            <v>0</v>
          </cell>
        </row>
        <row r="202">
          <cell r="D202">
            <v>0</v>
          </cell>
        </row>
        <row r="203">
          <cell r="D203">
            <v>0</v>
          </cell>
        </row>
        <row r="204">
          <cell r="D204">
            <v>0</v>
          </cell>
        </row>
        <row r="205">
          <cell r="D205">
            <v>81431</v>
          </cell>
          <cell r="F205">
            <v>-5545</v>
          </cell>
        </row>
        <row r="206">
          <cell r="D206">
            <v>18</v>
          </cell>
        </row>
        <row r="207">
          <cell r="D207">
            <v>446</v>
          </cell>
        </row>
        <row r="211">
          <cell r="D211">
            <v>96774</v>
          </cell>
        </row>
        <row r="212">
          <cell r="D212">
            <v>22820</v>
          </cell>
        </row>
        <row r="213">
          <cell r="D213">
            <v>4692</v>
          </cell>
        </row>
        <row r="214">
          <cell r="D214">
            <v>0</v>
          </cell>
        </row>
        <row r="215">
          <cell r="D215">
            <v>0</v>
          </cell>
        </row>
        <row r="216">
          <cell r="D216">
            <v>1693</v>
          </cell>
        </row>
        <row r="221">
          <cell r="D221">
            <v>4678461</v>
          </cell>
        </row>
      </sheetData>
      <sheetData sheetId="8" refreshError="1"/>
      <sheetData sheetId="9" refreshError="1"/>
      <sheetData sheetId="10">
        <row r="9">
          <cell r="C9">
            <v>13657</v>
          </cell>
          <cell r="D9">
            <v>0</v>
          </cell>
          <cell r="E9">
            <v>2047</v>
          </cell>
          <cell r="F9">
            <v>726</v>
          </cell>
          <cell r="G9">
            <v>0</v>
          </cell>
          <cell r="H9">
            <v>2061</v>
          </cell>
          <cell r="I9">
            <v>3548</v>
          </cell>
          <cell r="J9">
            <v>0</v>
          </cell>
          <cell r="K9">
            <v>131</v>
          </cell>
        </row>
        <row r="22">
          <cell r="N22">
            <v>77.339726027397262</v>
          </cell>
        </row>
        <row r="24">
          <cell r="N24">
            <v>77.339726027397262</v>
          </cell>
        </row>
        <row r="28">
          <cell r="N28">
            <v>28229</v>
          </cell>
        </row>
        <row r="30">
          <cell r="N30">
            <v>0.78536257040631974</v>
          </cell>
        </row>
        <row r="32">
          <cell r="N32">
            <v>0.48379326224804281</v>
          </cell>
        </row>
        <row r="34">
          <cell r="N34">
            <v>0.61601262967974746</v>
          </cell>
        </row>
      </sheetData>
      <sheetData sheetId="11" refreshError="1"/>
      <sheetData sheetId="12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  <sheetName val="Grou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E10">
            <v>7631533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2730954</v>
          </cell>
          <cell r="G21">
            <v>0</v>
          </cell>
        </row>
        <row r="27">
          <cell r="E27">
            <v>1774118</v>
          </cell>
          <cell r="G27">
            <v>0</v>
          </cell>
        </row>
        <row r="32">
          <cell r="E32">
            <v>296140</v>
          </cell>
          <cell r="G32">
            <v>0</v>
          </cell>
        </row>
        <row r="37">
          <cell r="E37">
            <v>578912</v>
          </cell>
          <cell r="G37">
            <v>0</v>
          </cell>
        </row>
        <row r="42">
          <cell r="E42">
            <v>481503</v>
          </cell>
          <cell r="G42">
            <v>0</v>
          </cell>
        </row>
        <row r="47">
          <cell r="E47">
            <v>0</v>
          </cell>
          <cell r="G47">
            <v>0</v>
          </cell>
        </row>
        <row r="52">
          <cell r="E52">
            <v>505343</v>
          </cell>
          <cell r="G52">
            <v>0</v>
          </cell>
        </row>
        <row r="67">
          <cell r="E67">
            <v>-122655</v>
          </cell>
          <cell r="G67">
            <v>-3970</v>
          </cell>
        </row>
        <row r="85">
          <cell r="C85">
            <v>221.04302477183833</v>
          </cell>
          <cell r="E85">
            <v>221.04321907600595</v>
          </cell>
          <cell r="G85">
            <v>221.04289940828403</v>
          </cell>
          <cell r="I85">
            <v>221.04356435643564</v>
          </cell>
        </row>
      </sheetData>
      <sheetData sheetId="6" refreshError="1"/>
      <sheetData sheetId="7">
        <row r="10">
          <cell r="D10">
            <v>0</v>
          </cell>
          <cell r="F10">
            <v>131237</v>
          </cell>
        </row>
        <row r="11">
          <cell r="D11">
            <v>0</v>
          </cell>
        </row>
        <row r="12">
          <cell r="D12">
            <v>368506</v>
          </cell>
          <cell r="F12">
            <v>-131237</v>
          </cell>
        </row>
        <row r="13">
          <cell r="D13">
            <v>19490</v>
          </cell>
        </row>
        <row r="14">
          <cell r="D14">
            <v>0</v>
          </cell>
        </row>
        <row r="15">
          <cell r="D15">
            <v>0</v>
          </cell>
        </row>
        <row r="16">
          <cell r="D16">
            <v>693694</v>
          </cell>
          <cell r="F16">
            <v>207093</v>
          </cell>
        </row>
        <row r="17">
          <cell r="D17">
            <v>691</v>
          </cell>
          <cell r="F17">
            <v>-691</v>
          </cell>
        </row>
        <row r="18">
          <cell r="D18">
            <v>21736</v>
          </cell>
        </row>
        <row r="19">
          <cell r="D19">
            <v>9014</v>
          </cell>
        </row>
        <row r="20">
          <cell r="D20">
            <v>21808</v>
          </cell>
        </row>
        <row r="21">
          <cell r="D21">
            <v>19205</v>
          </cell>
        </row>
        <row r="22">
          <cell r="D22">
            <v>0</v>
          </cell>
        </row>
        <row r="23">
          <cell r="D23">
            <v>4994</v>
          </cell>
        </row>
        <row r="24">
          <cell r="D24">
            <v>0</v>
          </cell>
        </row>
        <row r="25">
          <cell r="D25">
            <v>557</v>
          </cell>
        </row>
        <row r="26">
          <cell r="D26">
            <v>563082</v>
          </cell>
        </row>
        <row r="27">
          <cell r="D27">
            <v>39832</v>
          </cell>
          <cell r="F27">
            <v>-189</v>
          </cell>
        </row>
        <row r="28">
          <cell r="D28">
            <v>0</v>
          </cell>
          <cell r="F28">
            <v>0</v>
          </cell>
        </row>
        <row r="29">
          <cell r="D29">
            <v>671855</v>
          </cell>
          <cell r="F29">
            <v>-671855</v>
          </cell>
        </row>
        <row r="30">
          <cell r="D30">
            <v>0</v>
          </cell>
          <cell r="F30">
            <v>0</v>
          </cell>
        </row>
        <row r="31">
          <cell r="D31">
            <v>0</v>
          </cell>
        </row>
        <row r="32">
          <cell r="D32">
            <v>137880</v>
          </cell>
        </row>
        <row r="33">
          <cell r="D33">
            <v>0</v>
          </cell>
          <cell r="F33">
            <v>0</v>
          </cell>
        </row>
        <row r="34">
          <cell r="D34">
            <v>433</v>
          </cell>
        </row>
        <row r="35">
          <cell r="D35">
            <v>0</v>
          </cell>
          <cell r="F35">
            <v>0</v>
          </cell>
        </row>
        <row r="36">
          <cell r="D36">
            <v>0</v>
          </cell>
        </row>
        <row r="37">
          <cell r="D37">
            <v>0</v>
          </cell>
        </row>
        <row r="38">
          <cell r="D38">
            <v>287</v>
          </cell>
          <cell r="F38">
            <v>-287</v>
          </cell>
        </row>
        <row r="39">
          <cell r="D39">
            <v>6916</v>
          </cell>
        </row>
        <row r="40">
          <cell r="D40">
            <v>6250</v>
          </cell>
          <cell r="F40">
            <v>-6250</v>
          </cell>
        </row>
        <row r="41">
          <cell r="D41">
            <v>319649</v>
          </cell>
          <cell r="F41">
            <v>-23675</v>
          </cell>
        </row>
        <row r="42">
          <cell r="D42">
            <v>466</v>
          </cell>
        </row>
        <row r="43">
          <cell r="D43">
            <v>9533</v>
          </cell>
          <cell r="F43">
            <v>-9533</v>
          </cell>
        </row>
        <row r="44">
          <cell r="D44">
            <v>0</v>
          </cell>
        </row>
        <row r="45">
          <cell r="D45">
            <v>12811</v>
          </cell>
          <cell r="F45">
            <v>-440</v>
          </cell>
        </row>
        <row r="57">
          <cell r="D57">
            <v>1200000</v>
          </cell>
        </row>
        <row r="58">
          <cell r="D58">
            <v>37800</v>
          </cell>
        </row>
        <row r="59">
          <cell r="D59">
            <v>0</v>
          </cell>
        </row>
        <row r="60">
          <cell r="D60">
            <v>119265</v>
          </cell>
        </row>
        <row r="61">
          <cell r="D61">
            <v>17960</v>
          </cell>
        </row>
        <row r="62">
          <cell r="D62">
            <v>9492</v>
          </cell>
        </row>
        <row r="63">
          <cell r="D63">
            <v>0</v>
          </cell>
        </row>
        <row r="64">
          <cell r="D64">
            <v>0</v>
          </cell>
        </row>
        <row r="65">
          <cell r="D65">
            <v>0</v>
          </cell>
        </row>
        <row r="66">
          <cell r="D66">
            <v>343858</v>
          </cell>
          <cell r="F66">
            <v>-2214</v>
          </cell>
        </row>
        <row r="67">
          <cell r="D67">
            <v>72740</v>
          </cell>
        </row>
        <row r="68">
          <cell r="D68">
            <v>0</v>
          </cell>
        </row>
        <row r="69">
          <cell r="D69">
            <v>7054</v>
          </cell>
        </row>
        <row r="70">
          <cell r="D70">
            <v>0</v>
          </cell>
        </row>
        <row r="71">
          <cell r="D71">
            <v>0</v>
          </cell>
        </row>
        <row r="75">
          <cell r="D75">
            <v>59989</v>
          </cell>
        </row>
        <row r="76">
          <cell r="D76">
            <v>9682</v>
          </cell>
        </row>
        <row r="77">
          <cell r="D77">
            <v>13662</v>
          </cell>
        </row>
        <row r="78">
          <cell r="D78">
            <v>0</v>
          </cell>
        </row>
        <row r="79">
          <cell r="D79">
            <v>12571</v>
          </cell>
        </row>
        <row r="80">
          <cell r="D80">
            <v>21891</v>
          </cell>
        </row>
        <row r="81">
          <cell r="D81">
            <v>31894</v>
          </cell>
        </row>
        <row r="82">
          <cell r="D82">
            <v>12181</v>
          </cell>
        </row>
        <row r="83">
          <cell r="D83">
            <v>0</v>
          </cell>
        </row>
        <row r="84">
          <cell r="D84">
            <v>182340</v>
          </cell>
        </row>
        <row r="85">
          <cell r="D85">
            <v>0</v>
          </cell>
        </row>
        <row r="89">
          <cell r="D89">
            <v>347254</v>
          </cell>
        </row>
        <row r="90">
          <cell r="D90">
            <v>55755</v>
          </cell>
        </row>
        <row r="91">
          <cell r="D91">
            <v>28007</v>
          </cell>
        </row>
        <row r="92">
          <cell r="D92">
            <v>257076</v>
          </cell>
          <cell r="F92">
            <v>-3741</v>
          </cell>
        </row>
        <row r="93">
          <cell r="D93">
            <v>31027</v>
          </cell>
        </row>
        <row r="94">
          <cell r="D94">
            <v>0</v>
          </cell>
        </row>
        <row r="98">
          <cell r="D98">
            <v>0</v>
          </cell>
        </row>
        <row r="99">
          <cell r="D99">
            <v>0</v>
          </cell>
        </row>
        <row r="100">
          <cell r="D100">
            <v>238</v>
          </cell>
        </row>
        <row r="101">
          <cell r="D101">
            <v>92481</v>
          </cell>
        </row>
        <row r="102">
          <cell r="D102">
            <v>17053</v>
          </cell>
        </row>
        <row r="103">
          <cell r="D103">
            <v>0</v>
          </cell>
        </row>
        <row r="115">
          <cell r="D115">
            <v>0</v>
          </cell>
        </row>
        <row r="116">
          <cell r="D116">
            <v>0</v>
          </cell>
        </row>
        <row r="117">
          <cell r="D117">
            <v>14743</v>
          </cell>
        </row>
        <row r="118">
          <cell r="D118">
            <v>255252</v>
          </cell>
        </row>
        <row r="119">
          <cell r="D119">
            <v>0</v>
          </cell>
        </row>
        <row r="124">
          <cell r="D124">
            <v>0</v>
          </cell>
        </row>
        <row r="125">
          <cell r="D125">
            <v>298546</v>
          </cell>
        </row>
        <row r="126">
          <cell r="D126">
            <v>0</v>
          </cell>
        </row>
        <row r="127">
          <cell r="D127">
            <v>0</v>
          </cell>
        </row>
        <row r="128">
          <cell r="D128">
            <v>77239</v>
          </cell>
        </row>
        <row r="130">
          <cell r="D130">
            <v>0</v>
          </cell>
        </row>
        <row r="131">
          <cell r="D131">
            <v>18617</v>
          </cell>
        </row>
        <row r="132">
          <cell r="D132">
            <v>0</v>
          </cell>
        </row>
        <row r="133">
          <cell r="D133">
            <v>0</v>
          </cell>
        </row>
        <row r="134">
          <cell r="D134">
            <v>13597</v>
          </cell>
        </row>
        <row r="136">
          <cell r="D136">
            <v>2171315</v>
          </cell>
        </row>
        <row r="137">
          <cell r="D137">
            <v>636295</v>
          </cell>
        </row>
        <row r="138">
          <cell r="D138">
            <v>1407543</v>
          </cell>
          <cell r="F138">
            <v>75300</v>
          </cell>
        </row>
        <row r="139">
          <cell r="D139">
            <v>75300</v>
          </cell>
          <cell r="F139">
            <v>-75300</v>
          </cell>
        </row>
        <row r="141">
          <cell r="D141">
            <v>851316</v>
          </cell>
          <cell r="F141">
            <v>-420481</v>
          </cell>
        </row>
        <row r="142">
          <cell r="D142">
            <v>0</v>
          </cell>
          <cell r="F142">
            <v>126254</v>
          </cell>
        </row>
        <row r="143">
          <cell r="D143">
            <v>0</v>
          </cell>
          <cell r="F143">
            <v>294227</v>
          </cell>
        </row>
        <row r="144">
          <cell r="D144">
            <v>0</v>
          </cell>
        </row>
        <row r="146">
          <cell r="D146">
            <v>130898</v>
          </cell>
        </row>
        <row r="147">
          <cell r="D147">
            <v>0</v>
          </cell>
        </row>
        <row r="148">
          <cell r="D148">
            <v>0</v>
          </cell>
        </row>
        <row r="149">
          <cell r="D149">
            <v>0</v>
          </cell>
        </row>
        <row r="150">
          <cell r="D150">
            <v>2810</v>
          </cell>
        </row>
        <row r="151">
          <cell r="D151">
            <v>503887</v>
          </cell>
          <cell r="F151">
            <v>-18813</v>
          </cell>
        </row>
        <row r="152">
          <cell r="D152">
            <v>14656</v>
          </cell>
        </row>
        <row r="153">
          <cell r="D153">
            <v>0</v>
          </cell>
        </row>
        <row r="154">
          <cell r="D154">
            <v>0</v>
          </cell>
        </row>
        <row r="156">
          <cell r="D156">
            <v>0</v>
          </cell>
        </row>
        <row r="157">
          <cell r="D157">
            <v>0</v>
          </cell>
        </row>
        <row r="158">
          <cell r="D158">
            <v>0</v>
          </cell>
        </row>
        <row r="159">
          <cell r="D159">
            <v>0</v>
          </cell>
        </row>
        <row r="160">
          <cell r="D160">
            <v>0</v>
          </cell>
        </row>
        <row r="161">
          <cell r="D161">
            <v>54245</v>
          </cell>
          <cell r="F161">
            <v>-3346</v>
          </cell>
        </row>
        <row r="175">
          <cell r="D175">
            <v>0</v>
          </cell>
        </row>
        <row r="176">
          <cell r="D176">
            <v>0</v>
          </cell>
        </row>
        <row r="177">
          <cell r="D177">
            <v>0</v>
          </cell>
        </row>
        <row r="178">
          <cell r="D178">
            <v>0</v>
          </cell>
        </row>
        <row r="179">
          <cell r="D179">
            <v>0</v>
          </cell>
        </row>
        <row r="180">
          <cell r="D180">
            <v>0</v>
          </cell>
        </row>
        <row r="181">
          <cell r="D181">
            <v>0</v>
          </cell>
        </row>
        <row r="182">
          <cell r="D182">
            <v>0</v>
          </cell>
        </row>
        <row r="183">
          <cell r="D183">
            <v>0</v>
          </cell>
        </row>
        <row r="184">
          <cell r="D184">
            <v>0</v>
          </cell>
        </row>
        <row r="185">
          <cell r="D185">
            <v>0</v>
          </cell>
        </row>
        <row r="186">
          <cell r="D186">
            <v>0</v>
          </cell>
        </row>
        <row r="187">
          <cell r="D187">
            <v>0</v>
          </cell>
        </row>
        <row r="188">
          <cell r="D188">
            <v>59</v>
          </cell>
        </row>
        <row r="189">
          <cell r="D189">
            <v>0</v>
          </cell>
        </row>
        <row r="190">
          <cell r="D190">
            <v>0</v>
          </cell>
        </row>
        <row r="191">
          <cell r="D191">
            <v>0</v>
          </cell>
        </row>
        <row r="192">
          <cell r="D192">
            <v>0</v>
          </cell>
        </row>
        <row r="193">
          <cell r="D193">
            <v>1100</v>
          </cell>
        </row>
        <row r="194">
          <cell r="D194">
            <v>723163</v>
          </cell>
          <cell r="F194">
            <v>26685</v>
          </cell>
        </row>
        <row r="195">
          <cell r="D195">
            <v>242050</v>
          </cell>
          <cell r="F195">
            <v>8932</v>
          </cell>
        </row>
        <row r="196">
          <cell r="D196">
            <v>0</v>
          </cell>
        </row>
        <row r="197">
          <cell r="D197">
            <v>524244</v>
          </cell>
          <cell r="F197">
            <v>19345</v>
          </cell>
        </row>
        <row r="198">
          <cell r="D198">
            <v>116554</v>
          </cell>
        </row>
        <row r="199">
          <cell r="D199">
            <v>0</v>
          </cell>
        </row>
        <row r="200">
          <cell r="D200">
            <v>0</v>
          </cell>
        </row>
        <row r="201">
          <cell r="D201">
            <v>0</v>
          </cell>
        </row>
        <row r="202">
          <cell r="D202">
            <v>0</v>
          </cell>
        </row>
        <row r="203">
          <cell r="D203">
            <v>0</v>
          </cell>
        </row>
        <row r="204">
          <cell r="D204">
            <v>0</v>
          </cell>
        </row>
        <row r="205">
          <cell r="D205">
            <v>531073</v>
          </cell>
          <cell r="F205">
            <v>-31653</v>
          </cell>
        </row>
        <row r="206">
          <cell r="D206">
            <v>52489</v>
          </cell>
        </row>
        <row r="207">
          <cell r="D207">
            <v>4104</v>
          </cell>
        </row>
        <row r="211">
          <cell r="D211">
            <v>175613</v>
          </cell>
        </row>
        <row r="212">
          <cell r="D212">
            <v>37195</v>
          </cell>
        </row>
        <row r="213">
          <cell r="D213">
            <v>16625</v>
          </cell>
        </row>
        <row r="214">
          <cell r="D214">
            <v>0</v>
          </cell>
        </row>
        <row r="215">
          <cell r="D215">
            <v>0</v>
          </cell>
        </row>
        <row r="216">
          <cell r="D216">
            <v>3964</v>
          </cell>
        </row>
        <row r="221">
          <cell r="D221">
            <v>14864451</v>
          </cell>
        </row>
      </sheetData>
      <sheetData sheetId="8" refreshError="1"/>
      <sheetData sheetId="9" refreshError="1"/>
      <sheetData sheetId="10">
        <row r="9">
          <cell r="C9">
            <v>29483</v>
          </cell>
          <cell r="D9">
            <v>0</v>
          </cell>
          <cell r="E9">
            <v>4488</v>
          </cell>
          <cell r="F9">
            <v>3590</v>
          </cell>
          <cell r="G9">
            <v>313</v>
          </cell>
          <cell r="H9">
            <v>2619</v>
          </cell>
          <cell r="I9">
            <v>2420</v>
          </cell>
          <cell r="J9">
            <v>0</v>
          </cell>
          <cell r="K9">
            <v>1813</v>
          </cell>
        </row>
        <row r="22">
          <cell r="N22">
            <v>184</v>
          </cell>
        </row>
        <row r="24">
          <cell r="N24">
            <v>184</v>
          </cell>
        </row>
        <row r="28">
          <cell r="N28">
            <v>67160</v>
          </cell>
        </row>
        <row r="30">
          <cell r="N30">
            <v>0.66596188207266227</v>
          </cell>
        </row>
        <row r="32">
          <cell r="N32">
            <v>0.43899642644431208</v>
          </cell>
        </row>
        <row r="34">
          <cell r="N34">
            <v>0.65919152170996742</v>
          </cell>
        </row>
      </sheetData>
      <sheetData sheetId="11" refreshError="1"/>
      <sheetData sheetId="1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Sch A Pg 1"/>
      <sheetName val="Sch A Pg 2"/>
      <sheetName val="Sch A Pg 3"/>
      <sheetName val="Sch B"/>
      <sheetName val="Sch B-1"/>
      <sheetName val="Sch C"/>
      <sheetName val="Sch C-1"/>
      <sheetName val="Sch C-2"/>
      <sheetName val="Sch D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E10">
            <v>1923779.21</v>
          </cell>
          <cell r="G10">
            <v>0</v>
          </cell>
        </row>
        <row r="15">
          <cell r="E15">
            <v>0</v>
          </cell>
          <cell r="G15">
            <v>0</v>
          </cell>
        </row>
        <row r="21">
          <cell r="E21">
            <v>2238348.65</v>
          </cell>
          <cell r="G21">
            <v>0</v>
          </cell>
        </row>
        <row r="27">
          <cell r="E27">
            <v>468401.56999999995</v>
          </cell>
          <cell r="G27">
            <v>0</v>
          </cell>
        </row>
        <row r="32">
          <cell r="E32">
            <v>0</v>
          </cell>
          <cell r="G32">
            <v>0</v>
          </cell>
        </row>
        <row r="37">
          <cell r="E37">
            <v>704843.57000000007</v>
          </cell>
          <cell r="G37">
            <v>0</v>
          </cell>
        </row>
        <row r="42">
          <cell r="E42">
            <v>0</v>
          </cell>
          <cell r="G42">
            <v>0</v>
          </cell>
        </row>
        <row r="47">
          <cell r="E47">
            <v>123107.07999999999</v>
          </cell>
          <cell r="G47">
            <v>0</v>
          </cell>
        </row>
        <row r="52">
          <cell r="E52">
            <v>0</v>
          </cell>
          <cell r="G52">
            <v>0</v>
          </cell>
        </row>
        <row r="67">
          <cell r="E67">
            <v>129993.76</v>
          </cell>
          <cell r="G67">
            <v>0</v>
          </cell>
        </row>
        <row r="85">
          <cell r="C85">
            <v>193.50524781341107</v>
          </cell>
          <cell r="E85">
            <v>199.59541860465112</v>
          </cell>
          <cell r="G85">
            <v>194.11415669205658</v>
          </cell>
          <cell r="I85">
            <v>195.64405286343612</v>
          </cell>
        </row>
      </sheetData>
      <sheetData sheetId="6" refreshError="1"/>
      <sheetData sheetId="7">
        <row r="10">
          <cell r="D10">
            <v>0</v>
          </cell>
          <cell r="F10">
            <v>89179</v>
          </cell>
        </row>
        <row r="12">
          <cell r="D12">
            <v>142591.56</v>
          </cell>
          <cell r="F12">
            <v>0</v>
          </cell>
        </row>
        <row r="13">
          <cell r="D13">
            <v>33875.949999999997</v>
          </cell>
          <cell r="F13">
            <v>7620.44</v>
          </cell>
        </row>
        <row r="16">
          <cell r="D16">
            <v>288567.17</v>
          </cell>
          <cell r="F16">
            <v>-14603</v>
          </cell>
        </row>
        <row r="17">
          <cell r="D17">
            <v>1399.37</v>
          </cell>
        </row>
        <row r="18">
          <cell r="D18">
            <v>25376.19</v>
          </cell>
        </row>
        <row r="19">
          <cell r="D19">
            <v>22722.13</v>
          </cell>
        </row>
        <row r="20">
          <cell r="D20">
            <v>16239.34</v>
          </cell>
        </row>
        <row r="21">
          <cell r="D21">
            <v>21082.62</v>
          </cell>
        </row>
        <row r="23">
          <cell r="D23">
            <v>21802.09</v>
          </cell>
        </row>
        <row r="24">
          <cell r="D24">
            <v>1795.38</v>
          </cell>
        </row>
        <row r="26">
          <cell r="D26">
            <v>223531</v>
          </cell>
        </row>
        <row r="27">
          <cell r="D27">
            <v>52189</v>
          </cell>
        </row>
        <row r="28">
          <cell r="F28">
            <v>0</v>
          </cell>
        </row>
        <row r="29">
          <cell r="D29">
            <v>41448.18</v>
          </cell>
          <cell r="F29">
            <v>-41448.18</v>
          </cell>
        </row>
        <row r="30">
          <cell r="F30">
            <v>0</v>
          </cell>
        </row>
        <row r="31">
          <cell r="D31">
            <v>828.37</v>
          </cell>
        </row>
        <row r="32">
          <cell r="F32">
            <v>18439</v>
          </cell>
        </row>
        <row r="33">
          <cell r="D33">
            <v>18.809999999999999</v>
          </cell>
          <cell r="F33">
            <v>-18.809999999999999</v>
          </cell>
        </row>
        <row r="35">
          <cell r="D35">
            <v>-4385.01</v>
          </cell>
          <cell r="F35">
            <v>4385.01</v>
          </cell>
        </row>
        <row r="38">
          <cell r="D38">
            <v>38.5</v>
          </cell>
        </row>
        <row r="39">
          <cell r="D39">
            <v>7235.57</v>
          </cell>
        </row>
        <row r="40">
          <cell r="D40">
            <v>14121.41</v>
          </cell>
        </row>
        <row r="41">
          <cell r="D41">
            <v>56749.48</v>
          </cell>
          <cell r="F41">
            <v>-8062.41</v>
          </cell>
        </row>
        <row r="42">
          <cell r="D42">
            <v>101.5</v>
          </cell>
        </row>
        <row r="45">
          <cell r="D45">
            <v>82842.679999999993</v>
          </cell>
          <cell r="F45">
            <v>-96799.2</v>
          </cell>
        </row>
        <row r="58">
          <cell r="D58">
            <v>37421.550000000003</v>
          </cell>
        </row>
        <row r="61">
          <cell r="D61">
            <v>18438.849999999999</v>
          </cell>
          <cell r="F61">
            <v>-18439</v>
          </cell>
        </row>
        <row r="62">
          <cell r="D62">
            <v>8401.99</v>
          </cell>
        </row>
        <row r="66">
          <cell r="D66">
            <v>50231.06</v>
          </cell>
          <cell r="F66">
            <v>-8810.5499999999993</v>
          </cell>
        </row>
        <row r="67">
          <cell r="D67">
            <v>41025.410000000003</v>
          </cell>
        </row>
        <row r="69">
          <cell r="D69">
            <v>5488.53</v>
          </cell>
        </row>
        <row r="70">
          <cell r="D70">
            <v>-49000</v>
          </cell>
        </row>
        <row r="71">
          <cell r="D71">
            <v>0</v>
          </cell>
        </row>
        <row r="75">
          <cell r="D75">
            <v>58322.04</v>
          </cell>
        </row>
        <row r="76">
          <cell r="D76">
            <v>20390.64</v>
          </cell>
        </row>
        <row r="77">
          <cell r="D77">
            <v>16634.060000000001</v>
          </cell>
        </row>
        <row r="79">
          <cell r="D79">
            <v>1868.81</v>
          </cell>
        </row>
        <row r="80">
          <cell r="D80">
            <v>16662.11</v>
          </cell>
        </row>
        <row r="81">
          <cell r="D81">
            <v>1035</v>
          </cell>
        </row>
        <row r="82">
          <cell r="D82">
            <v>13445.85</v>
          </cell>
        </row>
        <row r="84">
          <cell r="D84">
            <v>125898.47</v>
          </cell>
        </row>
        <row r="85">
          <cell r="D85">
            <v>0</v>
          </cell>
        </row>
        <row r="89">
          <cell r="D89">
            <v>152015.21</v>
          </cell>
        </row>
        <row r="90">
          <cell r="D90">
            <v>26360.76</v>
          </cell>
        </row>
        <row r="91">
          <cell r="D91">
            <v>10886.86</v>
          </cell>
        </row>
        <row r="92">
          <cell r="D92">
            <v>161867.26999999999</v>
          </cell>
        </row>
        <row r="93">
          <cell r="D93">
            <v>14750.31</v>
          </cell>
        </row>
        <row r="94">
          <cell r="D94">
            <v>1722.16</v>
          </cell>
        </row>
        <row r="98">
          <cell r="D98">
            <v>54409.52</v>
          </cell>
        </row>
        <row r="99">
          <cell r="D99">
            <v>13823.83</v>
          </cell>
        </row>
        <row r="100">
          <cell r="D100">
            <v>3049.51</v>
          </cell>
        </row>
        <row r="101">
          <cell r="D101">
            <v>0</v>
          </cell>
        </row>
        <row r="102">
          <cell r="D102">
            <v>3709.43</v>
          </cell>
        </row>
        <row r="103">
          <cell r="D103">
            <v>625.82000000000005</v>
          </cell>
        </row>
        <row r="115">
          <cell r="D115">
            <v>82231.59</v>
          </cell>
        </row>
        <row r="116">
          <cell r="D116">
            <v>15413.18</v>
          </cell>
        </row>
        <row r="117">
          <cell r="D117">
            <v>11709.68</v>
          </cell>
        </row>
        <row r="118">
          <cell r="D118">
            <v>0</v>
          </cell>
        </row>
        <row r="119">
          <cell r="D119">
            <v>40</v>
          </cell>
        </row>
        <row r="124">
          <cell r="D124">
            <v>212540.03</v>
          </cell>
        </row>
        <row r="130">
          <cell r="D130">
            <v>31684.400000000001</v>
          </cell>
        </row>
        <row r="136">
          <cell r="D136">
            <v>386661.28</v>
          </cell>
        </row>
        <row r="137">
          <cell r="D137">
            <v>211850.3</v>
          </cell>
        </row>
        <row r="138">
          <cell r="D138">
            <v>526211</v>
          </cell>
        </row>
        <row r="139">
          <cell r="D139">
            <v>59158.58</v>
          </cell>
        </row>
        <row r="141">
          <cell r="D141">
            <v>81741.429999999993</v>
          </cell>
        </row>
        <row r="142">
          <cell r="D142">
            <v>45679.040000000001</v>
          </cell>
        </row>
        <row r="143">
          <cell r="D143">
            <v>112998.93</v>
          </cell>
        </row>
        <row r="144">
          <cell r="D144">
            <v>18016.009999999998</v>
          </cell>
        </row>
        <row r="146">
          <cell r="D146">
            <v>70848.460000000006</v>
          </cell>
        </row>
        <row r="150">
          <cell r="D150">
            <v>8490</v>
          </cell>
        </row>
        <row r="151">
          <cell r="D151">
            <v>109341.35</v>
          </cell>
        </row>
        <row r="152">
          <cell r="D152">
            <v>2423.3000000000002</v>
          </cell>
        </row>
        <row r="153">
          <cell r="D153">
            <v>7497.42</v>
          </cell>
        </row>
        <row r="160">
          <cell r="D160">
            <v>850.37</v>
          </cell>
        </row>
        <row r="161">
          <cell r="D161">
            <v>40008.69</v>
          </cell>
        </row>
        <row r="194">
          <cell r="D194">
            <v>330914.5</v>
          </cell>
          <cell r="F194">
            <v>-35655.33</v>
          </cell>
        </row>
        <row r="195">
          <cell r="D195">
            <v>24276.080000000002</v>
          </cell>
          <cell r="F195">
            <v>-2615.6799999999998</v>
          </cell>
        </row>
        <row r="196">
          <cell r="D196">
            <v>0</v>
          </cell>
        </row>
        <row r="197">
          <cell r="D197">
            <v>297382.81</v>
          </cell>
          <cell r="F197">
            <v>-32042.33</v>
          </cell>
        </row>
        <row r="198">
          <cell r="D198">
            <v>22184.21</v>
          </cell>
        </row>
        <row r="205">
          <cell r="D205">
            <v>315895.61</v>
          </cell>
          <cell r="F205">
            <v>-95528.22</v>
          </cell>
        </row>
        <row r="206">
          <cell r="D206">
            <v>38158.480000000003</v>
          </cell>
        </row>
        <row r="207">
          <cell r="D207">
            <v>-87367.15</v>
          </cell>
        </row>
        <row r="211">
          <cell r="D211">
            <v>96171</v>
          </cell>
        </row>
        <row r="212">
          <cell r="D212">
            <v>19658.57</v>
          </cell>
        </row>
        <row r="213">
          <cell r="D213">
            <v>17909.55</v>
          </cell>
        </row>
        <row r="214">
          <cell r="D214">
            <v>0</v>
          </cell>
        </row>
        <row r="215">
          <cell r="D215">
            <v>0</v>
          </cell>
        </row>
        <row r="216">
          <cell r="D216">
            <v>1992.11</v>
          </cell>
        </row>
        <row r="221">
          <cell r="D221">
            <v>4972227</v>
          </cell>
        </row>
      </sheetData>
      <sheetData sheetId="8" refreshError="1"/>
      <sheetData sheetId="9" refreshError="1"/>
      <sheetData sheetId="10">
        <row r="9">
          <cell r="C9">
            <v>10147</v>
          </cell>
          <cell r="D9">
            <v>0</v>
          </cell>
          <cell r="E9">
            <v>4115</v>
          </cell>
          <cell r="F9">
            <v>1146</v>
          </cell>
          <cell r="H9">
            <v>3421</v>
          </cell>
          <cell r="I9">
            <v>701</v>
          </cell>
          <cell r="J9">
            <v>0</v>
          </cell>
          <cell r="K9">
            <v>179</v>
          </cell>
        </row>
        <row r="22">
          <cell r="N22">
            <v>84</v>
          </cell>
        </row>
        <row r="24">
          <cell r="N24">
            <v>84</v>
          </cell>
        </row>
        <row r="28">
          <cell r="N28">
            <v>30660</v>
          </cell>
        </row>
        <row r="30">
          <cell r="N30">
            <v>0.64282452707110238</v>
          </cell>
        </row>
        <row r="32">
          <cell r="N32">
            <v>0.33095238095238094</v>
          </cell>
        </row>
        <row r="34">
          <cell r="N34">
            <v>0.51484093561317168</v>
          </cell>
        </row>
      </sheetData>
      <sheetData sheetId="1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4.bin"/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.bin"/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6.bin"/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9.bin"/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2.bin"/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6.bin"/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.bin"/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2.bin"/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5.bin"/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8.bin"/><Relationship Id="rId2" Type="http://schemas.openxmlformats.org/officeDocument/2006/relationships/printerSettings" Target="../printerSettings/printerSettings67.bin"/><Relationship Id="rId1" Type="http://schemas.openxmlformats.org/officeDocument/2006/relationships/printerSettings" Target="../printerSettings/printerSettings6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1.bin"/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3.bin"/><Relationship Id="rId1" Type="http://schemas.openxmlformats.org/officeDocument/2006/relationships/printerSettings" Target="../printerSettings/printerSettings72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6.bin"/><Relationship Id="rId2" Type="http://schemas.openxmlformats.org/officeDocument/2006/relationships/printerSettings" Target="../printerSettings/printerSettings75.bin"/><Relationship Id="rId1" Type="http://schemas.openxmlformats.org/officeDocument/2006/relationships/printerSettings" Target="../printerSettings/printerSettings74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3.bin"/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6.bin"/><Relationship Id="rId2" Type="http://schemas.openxmlformats.org/officeDocument/2006/relationships/printerSettings" Target="../printerSettings/printerSettings85.bin"/><Relationship Id="rId1" Type="http://schemas.openxmlformats.org/officeDocument/2006/relationships/printerSettings" Target="../printerSettings/printerSettings84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9.bin"/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2.bin"/><Relationship Id="rId2" Type="http://schemas.openxmlformats.org/officeDocument/2006/relationships/printerSettings" Target="../printerSettings/printerSettings91.bin"/><Relationship Id="rId1" Type="http://schemas.openxmlformats.org/officeDocument/2006/relationships/printerSettings" Target="../printerSettings/printerSettings90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5.bin"/><Relationship Id="rId2" Type="http://schemas.openxmlformats.org/officeDocument/2006/relationships/printerSettings" Target="../printerSettings/printerSettings94.bin"/><Relationship Id="rId1" Type="http://schemas.openxmlformats.org/officeDocument/2006/relationships/printerSettings" Target="../printerSettings/printerSettings9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9.bin"/><Relationship Id="rId2" Type="http://schemas.openxmlformats.org/officeDocument/2006/relationships/printerSettings" Target="../printerSettings/printerSettings98.bin"/><Relationship Id="rId1" Type="http://schemas.openxmlformats.org/officeDocument/2006/relationships/printerSettings" Target="../printerSettings/printerSettings9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3.bin"/><Relationship Id="rId2" Type="http://schemas.openxmlformats.org/officeDocument/2006/relationships/printerSettings" Target="../printerSettings/printerSettings102.bin"/><Relationship Id="rId1" Type="http://schemas.openxmlformats.org/officeDocument/2006/relationships/printerSettings" Target="../printerSettings/printerSettings10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9.bin"/><Relationship Id="rId2" Type="http://schemas.openxmlformats.org/officeDocument/2006/relationships/printerSettings" Target="../printerSettings/printerSettings108.bin"/><Relationship Id="rId1" Type="http://schemas.openxmlformats.org/officeDocument/2006/relationships/printerSettings" Target="../printerSettings/printerSettings10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2.bin"/><Relationship Id="rId2" Type="http://schemas.openxmlformats.org/officeDocument/2006/relationships/printerSettings" Target="../printerSettings/printerSettings111.bin"/><Relationship Id="rId1" Type="http://schemas.openxmlformats.org/officeDocument/2006/relationships/printerSettings" Target="../printerSettings/printerSettings110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5.bin"/><Relationship Id="rId2" Type="http://schemas.openxmlformats.org/officeDocument/2006/relationships/printerSettings" Target="../printerSettings/printerSettings114.bin"/><Relationship Id="rId1" Type="http://schemas.openxmlformats.org/officeDocument/2006/relationships/printerSettings" Target="../printerSettings/printerSettings11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8.bin"/><Relationship Id="rId2" Type="http://schemas.openxmlformats.org/officeDocument/2006/relationships/printerSettings" Target="../printerSettings/printerSettings117.bin"/><Relationship Id="rId1" Type="http://schemas.openxmlformats.org/officeDocument/2006/relationships/printerSettings" Target="../printerSettings/printerSettings116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1.bin"/><Relationship Id="rId2" Type="http://schemas.openxmlformats.org/officeDocument/2006/relationships/printerSettings" Target="../printerSettings/printerSettings120.bin"/><Relationship Id="rId1" Type="http://schemas.openxmlformats.org/officeDocument/2006/relationships/printerSettings" Target="../printerSettings/printerSettings119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4.bin"/><Relationship Id="rId2" Type="http://schemas.openxmlformats.org/officeDocument/2006/relationships/printerSettings" Target="../printerSettings/printerSettings123.bin"/><Relationship Id="rId1" Type="http://schemas.openxmlformats.org/officeDocument/2006/relationships/printerSettings" Target="../printerSettings/printerSettings122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7.bin"/><Relationship Id="rId2" Type="http://schemas.openxmlformats.org/officeDocument/2006/relationships/printerSettings" Target="../printerSettings/printerSettings126.bin"/><Relationship Id="rId1" Type="http://schemas.openxmlformats.org/officeDocument/2006/relationships/printerSettings" Target="../printerSettings/printerSettings125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0.bin"/><Relationship Id="rId2" Type="http://schemas.openxmlformats.org/officeDocument/2006/relationships/printerSettings" Target="../printerSettings/printerSettings129.bin"/><Relationship Id="rId1" Type="http://schemas.openxmlformats.org/officeDocument/2006/relationships/printerSettings" Target="../printerSettings/printerSettings128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4.bin"/><Relationship Id="rId2" Type="http://schemas.openxmlformats.org/officeDocument/2006/relationships/printerSettings" Target="../printerSettings/printerSettings133.bin"/><Relationship Id="rId1" Type="http://schemas.openxmlformats.org/officeDocument/2006/relationships/printerSettings" Target="../printerSettings/printerSettings132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7.bin"/><Relationship Id="rId2" Type="http://schemas.openxmlformats.org/officeDocument/2006/relationships/printerSettings" Target="../printerSettings/printerSettings136.bin"/><Relationship Id="rId1" Type="http://schemas.openxmlformats.org/officeDocument/2006/relationships/printerSettings" Target="../printerSettings/printerSettings135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0.bin"/><Relationship Id="rId2" Type="http://schemas.openxmlformats.org/officeDocument/2006/relationships/printerSettings" Target="../printerSettings/printerSettings139.bin"/><Relationship Id="rId1" Type="http://schemas.openxmlformats.org/officeDocument/2006/relationships/printerSettings" Target="../printerSettings/printerSettings13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4.bin"/><Relationship Id="rId2" Type="http://schemas.openxmlformats.org/officeDocument/2006/relationships/printerSettings" Target="../printerSettings/printerSettings143.bin"/><Relationship Id="rId1" Type="http://schemas.openxmlformats.org/officeDocument/2006/relationships/printerSettings" Target="../printerSettings/printerSettings142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7.bin"/><Relationship Id="rId2" Type="http://schemas.openxmlformats.org/officeDocument/2006/relationships/printerSettings" Target="../printerSettings/printerSettings146.bin"/><Relationship Id="rId1" Type="http://schemas.openxmlformats.org/officeDocument/2006/relationships/printerSettings" Target="../printerSettings/printerSettings145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1.bin"/><Relationship Id="rId2" Type="http://schemas.openxmlformats.org/officeDocument/2006/relationships/printerSettings" Target="../printerSettings/printerSettings150.bin"/><Relationship Id="rId1" Type="http://schemas.openxmlformats.org/officeDocument/2006/relationships/printerSettings" Target="../printerSettings/printerSettings149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4.bin"/><Relationship Id="rId2" Type="http://schemas.openxmlformats.org/officeDocument/2006/relationships/printerSettings" Target="../printerSettings/printerSettings153.bin"/><Relationship Id="rId1" Type="http://schemas.openxmlformats.org/officeDocument/2006/relationships/printerSettings" Target="../printerSettings/printerSettings152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9.bin"/><Relationship Id="rId2" Type="http://schemas.openxmlformats.org/officeDocument/2006/relationships/printerSettings" Target="../printerSettings/printerSettings158.bin"/><Relationship Id="rId1" Type="http://schemas.openxmlformats.org/officeDocument/2006/relationships/printerSettings" Target="../printerSettings/printerSettings157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2.bin"/><Relationship Id="rId2" Type="http://schemas.openxmlformats.org/officeDocument/2006/relationships/printerSettings" Target="../printerSettings/printerSettings161.bin"/><Relationship Id="rId1" Type="http://schemas.openxmlformats.org/officeDocument/2006/relationships/printerSettings" Target="../printerSettings/printerSettings1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5.bin"/><Relationship Id="rId2" Type="http://schemas.openxmlformats.org/officeDocument/2006/relationships/printerSettings" Target="../printerSettings/printerSettings164.bin"/><Relationship Id="rId1" Type="http://schemas.openxmlformats.org/officeDocument/2006/relationships/printerSettings" Target="../printerSettings/printerSettings163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8.bin"/><Relationship Id="rId2" Type="http://schemas.openxmlformats.org/officeDocument/2006/relationships/printerSettings" Target="../printerSettings/printerSettings167.bin"/><Relationship Id="rId1" Type="http://schemas.openxmlformats.org/officeDocument/2006/relationships/printerSettings" Target="../printerSettings/printerSettings166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4.bin"/><Relationship Id="rId2" Type="http://schemas.openxmlformats.org/officeDocument/2006/relationships/printerSettings" Target="../printerSettings/printerSettings173.bin"/><Relationship Id="rId1" Type="http://schemas.openxmlformats.org/officeDocument/2006/relationships/printerSettings" Target="../printerSettings/printerSettings172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7.bin"/><Relationship Id="rId2" Type="http://schemas.openxmlformats.org/officeDocument/2006/relationships/printerSettings" Target="../printerSettings/printerSettings176.bin"/><Relationship Id="rId1" Type="http://schemas.openxmlformats.org/officeDocument/2006/relationships/printerSettings" Target="../printerSettings/printerSettings175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0.bin"/><Relationship Id="rId2" Type="http://schemas.openxmlformats.org/officeDocument/2006/relationships/printerSettings" Target="../printerSettings/printerSettings179.bin"/><Relationship Id="rId1" Type="http://schemas.openxmlformats.org/officeDocument/2006/relationships/printerSettings" Target="../printerSettings/printerSettings178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3.bin"/><Relationship Id="rId2" Type="http://schemas.openxmlformats.org/officeDocument/2006/relationships/printerSettings" Target="../printerSettings/printerSettings182.bin"/><Relationship Id="rId1" Type="http://schemas.openxmlformats.org/officeDocument/2006/relationships/printerSettings" Target="../printerSettings/printerSettings18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6.bin"/><Relationship Id="rId2" Type="http://schemas.openxmlformats.org/officeDocument/2006/relationships/printerSettings" Target="../printerSettings/printerSettings185.bin"/><Relationship Id="rId1" Type="http://schemas.openxmlformats.org/officeDocument/2006/relationships/printerSettings" Target="../printerSettings/printerSettings184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9.bin"/><Relationship Id="rId2" Type="http://schemas.openxmlformats.org/officeDocument/2006/relationships/printerSettings" Target="../printerSettings/printerSettings188.bin"/><Relationship Id="rId1" Type="http://schemas.openxmlformats.org/officeDocument/2006/relationships/printerSettings" Target="../printerSettings/printerSettings187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2.bin"/><Relationship Id="rId2" Type="http://schemas.openxmlformats.org/officeDocument/2006/relationships/printerSettings" Target="../printerSettings/printerSettings191.bin"/><Relationship Id="rId1" Type="http://schemas.openxmlformats.org/officeDocument/2006/relationships/printerSettings" Target="../printerSettings/printerSettings190.bin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5.bin"/><Relationship Id="rId2" Type="http://schemas.openxmlformats.org/officeDocument/2006/relationships/printerSettings" Target="../printerSettings/printerSettings194.bin"/><Relationship Id="rId1" Type="http://schemas.openxmlformats.org/officeDocument/2006/relationships/printerSettings" Target="../printerSettings/printerSettings19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8.bin"/><Relationship Id="rId2" Type="http://schemas.openxmlformats.org/officeDocument/2006/relationships/printerSettings" Target="../printerSettings/printerSettings197.bin"/><Relationship Id="rId1" Type="http://schemas.openxmlformats.org/officeDocument/2006/relationships/printerSettings" Target="../printerSettings/printerSettings196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1.bin"/><Relationship Id="rId2" Type="http://schemas.openxmlformats.org/officeDocument/2006/relationships/printerSettings" Target="../printerSettings/printerSettings200.bin"/><Relationship Id="rId1" Type="http://schemas.openxmlformats.org/officeDocument/2006/relationships/printerSettings" Target="../printerSettings/printerSettings19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E28CAB"/>
    <pageSetUpPr fitToPage="1"/>
  </sheetPr>
  <dimension ref="A1:Q245"/>
  <sheetViews>
    <sheetView showGridLines="0" tabSelected="1" zoomScaleNormal="100" workbookViewId="0">
      <pane xSplit="2" topLeftCell="C1" activePane="topRight" state="frozen"/>
      <selection activeCell="N1" sqref="N1"/>
      <selection pane="topRight" activeCell="C1" sqref="C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440" t="s">
        <v>533</v>
      </c>
      <c r="B1" s="139" t="s">
        <v>304</v>
      </c>
      <c r="C1" s="523" t="s">
        <v>676</v>
      </c>
      <c r="D1" s="478"/>
      <c r="E1" s="478"/>
      <c r="F1" s="478"/>
      <c r="G1" s="478"/>
      <c r="H1" s="478"/>
      <c r="I1" s="479"/>
    </row>
    <row r="2" spans="1:14" ht="23">
      <c r="B2" s="143" t="s">
        <v>189</v>
      </c>
      <c r="C2" s="485" t="s">
        <v>446</v>
      </c>
      <c r="D2" s="144"/>
    </row>
    <row r="3" spans="1:14">
      <c r="A3" s="145"/>
      <c r="B3" s="140" t="s">
        <v>79</v>
      </c>
      <c r="C3" s="495">
        <v>41821</v>
      </c>
      <c r="D3" s="144"/>
      <c r="E3" s="147"/>
    </row>
    <row r="4" spans="1:14">
      <c r="A4" s="145"/>
      <c r="B4" s="148" t="s">
        <v>80</v>
      </c>
      <c r="C4" s="495">
        <v>42185</v>
      </c>
      <c r="D4" s="144"/>
      <c r="E4" s="149"/>
      <c r="G4" s="150"/>
    </row>
    <row r="5" spans="1:14">
      <c r="A5" s="145"/>
      <c r="B5" s="148"/>
      <c r="C5" s="151"/>
      <c r="D5" s="144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144"/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490">
        <f>'[1]Sch B'!E10</f>
        <v>1582711</v>
      </c>
      <c r="D11" s="490">
        <f>'[1]Sch B'!G10</f>
        <v>0</v>
      </c>
      <c r="E11" s="171">
        <f>C11+D11</f>
        <v>1582711</v>
      </c>
      <c r="F11" s="171"/>
      <c r="G11" s="171">
        <f t="shared" ref="G11:G20" si="0">E11+F11</f>
        <v>1582711</v>
      </c>
      <c r="H11" s="172">
        <f t="shared" ref="H11:H21" si="1">IF($G$21=0,0,G11/$G$21)</f>
        <v>0.58168144350963125</v>
      </c>
      <c r="I11" s="337"/>
      <c r="J11" s="368" t="s">
        <v>344</v>
      </c>
      <c r="K11" s="369">
        <f>G21</f>
        <v>2720924</v>
      </c>
      <c r="M11" s="359">
        <f>IFERROR(G11/G219,0)</f>
        <v>168.08740441801189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490">
        <f>'[1]Sch B'!E15</f>
        <v>0</v>
      </c>
      <c r="D12" s="490">
        <f>'[1]Sch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7"/>
      <c r="J12" s="370" t="s">
        <v>345</v>
      </c>
      <c r="K12" s="371">
        <f>G208</f>
        <v>2459928.7300000004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490">
        <f>'[1]Sch B'!E21</f>
        <v>309341</v>
      </c>
      <c r="D13" s="490">
        <f>'[1]Sch B'!G21</f>
        <v>0</v>
      </c>
      <c r="E13" s="171">
        <f t="shared" si="2"/>
        <v>309341</v>
      </c>
      <c r="F13" s="171"/>
      <c r="G13" s="171">
        <f t="shared" si="0"/>
        <v>309341</v>
      </c>
      <c r="H13" s="172">
        <f t="shared" si="1"/>
        <v>0.11368968776783181</v>
      </c>
      <c r="I13" s="337"/>
      <c r="J13" s="370" t="s">
        <v>346</v>
      </c>
      <c r="K13" s="371">
        <f>G228</f>
        <v>13410</v>
      </c>
      <c r="M13" s="359">
        <f t="shared" si="3"/>
        <v>668.12311015118792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490">
        <f>'[1]Sch B'!E27</f>
        <v>197249</v>
      </c>
      <c r="D14" s="490">
        <f>'[1]Sch B'!G27</f>
        <v>0</v>
      </c>
      <c r="E14" s="171">
        <f t="shared" si="2"/>
        <v>197249</v>
      </c>
      <c r="F14" s="175"/>
      <c r="G14" s="175">
        <f>E14+F14</f>
        <v>197249</v>
      </c>
      <c r="H14" s="176">
        <f t="shared" si="1"/>
        <v>7.2493388275453485E-2</v>
      </c>
      <c r="I14" s="338"/>
      <c r="J14" s="370" t="s">
        <v>347</v>
      </c>
      <c r="K14" s="371">
        <f>G231</f>
        <v>52</v>
      </c>
      <c r="M14" s="359">
        <f t="shared" si="3"/>
        <v>229.09291521486642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490">
        <f>'[1]Sch B'!E32</f>
        <v>0</v>
      </c>
      <c r="D15" s="490">
        <f>'[1]Sch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7"/>
      <c r="J15" s="370" t="s">
        <v>348</v>
      </c>
      <c r="K15" s="371">
        <f>G235</f>
        <v>18980</v>
      </c>
      <c r="M15" s="359">
        <f t="shared" si="3"/>
        <v>0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490">
        <f>'[1]Sch B'!E37</f>
        <v>409657</v>
      </c>
      <c r="D16" s="490">
        <f>'[1]Sch B'!G37</f>
        <v>0</v>
      </c>
      <c r="E16" s="171">
        <f t="shared" si="2"/>
        <v>409657</v>
      </c>
      <c r="F16" s="171"/>
      <c r="G16" s="171">
        <f t="shared" si="0"/>
        <v>409657</v>
      </c>
      <c r="H16" s="172">
        <f t="shared" si="1"/>
        <v>0.15055804572270301</v>
      </c>
      <c r="I16" s="337"/>
      <c r="J16" s="372"/>
      <c r="K16" s="371"/>
      <c r="M16" s="359">
        <f t="shared" si="3"/>
        <v>162.36900515259612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490">
        <f>'[1]Sch B'!E42</f>
        <v>24111</v>
      </c>
      <c r="D17" s="490">
        <f>'[1]Sch B'!G42</f>
        <v>0</v>
      </c>
      <c r="E17" s="171">
        <f t="shared" si="2"/>
        <v>24111</v>
      </c>
      <c r="F17" s="171"/>
      <c r="G17" s="171">
        <f>E17+F17</f>
        <v>24111</v>
      </c>
      <c r="H17" s="172">
        <f t="shared" si="1"/>
        <v>8.8613279900504379E-3</v>
      </c>
      <c r="I17" s="337"/>
      <c r="J17" s="370" t="s">
        <v>156</v>
      </c>
      <c r="K17" s="371">
        <f>J208</f>
        <v>68853.919999999998</v>
      </c>
      <c r="M17" s="359">
        <f t="shared" si="3"/>
        <v>164.0204081632653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490">
        <f>'[1]Sch B'!E47</f>
        <v>0</v>
      </c>
      <c r="D18" s="490">
        <f>'[1]Sch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337"/>
      <c r="J18" s="373" t="s">
        <v>252</v>
      </c>
      <c r="K18" s="374">
        <f>K208</f>
        <v>73749.039999999994</v>
      </c>
      <c r="M18" s="359">
        <f t="shared" si="3"/>
        <v>0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490">
        <f>'[1]Sch B'!E52</f>
        <v>0</v>
      </c>
      <c r="D19" s="490">
        <f>'[1]Sch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337"/>
      <c r="J19" s="168"/>
      <c r="K19" s="168"/>
      <c r="M19" s="359">
        <f t="shared" si="3"/>
        <v>0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490">
        <f>'[1]Sch B'!E67</f>
        <v>202166</v>
      </c>
      <c r="D20" s="490">
        <f>'[1]Sch B'!G67</f>
        <v>-4311</v>
      </c>
      <c r="E20" s="171">
        <f t="shared" si="2"/>
        <v>197855</v>
      </c>
      <c r="F20" s="171"/>
      <c r="G20" s="171">
        <f t="shared" si="0"/>
        <v>197855</v>
      </c>
      <c r="H20" s="172">
        <f t="shared" si="1"/>
        <v>7.2716106734329961E-2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490">
        <f>SUM(C11:C20)</f>
        <v>2725235</v>
      </c>
      <c r="D21" s="490">
        <f>SUM(D11:D20)</f>
        <v>-4311</v>
      </c>
      <c r="E21" s="171">
        <f>SUM(E11:E20)</f>
        <v>2720924</v>
      </c>
      <c r="F21" s="171">
        <f>SUM(F11:F20)</f>
        <v>0</v>
      </c>
      <c r="G21" s="171">
        <f>SUM(G11:G20)</f>
        <v>2720924</v>
      </c>
      <c r="H21" s="172">
        <f t="shared" si="1"/>
        <v>1</v>
      </c>
      <c r="I21" s="337"/>
      <c r="J21" s="168"/>
      <c r="K21" s="168"/>
      <c r="M21" s="359">
        <f>IFERROR(G21/G228,0)</f>
        <v>202.90260999254289</v>
      </c>
      <c r="N21" s="359">
        <f>SUMMARY!J24</f>
        <v>264.67475627099196</v>
      </c>
    </row>
    <row r="22" spans="1:14">
      <c r="A22" s="145"/>
      <c r="B22" s="179"/>
      <c r="C22" s="151"/>
      <c r="D22" s="144"/>
      <c r="F22" s="144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4">
      <c r="A24" s="181" t="s">
        <v>161</v>
      </c>
      <c r="B24" s="148" t="s">
        <v>12</v>
      </c>
      <c r="M24" s="363"/>
      <c r="N24" s="363"/>
    </row>
    <row r="25" spans="1:14" s="167" customFormat="1">
      <c r="A25" s="169" t="s">
        <v>83</v>
      </c>
      <c r="B25" s="170" t="s">
        <v>14</v>
      </c>
      <c r="C25" s="490">
        <f>'[1]Sch C'!D10</f>
        <v>62629</v>
      </c>
      <c r="D25" s="490">
        <f>'[1]Sch C'!F10</f>
        <v>3740.7</v>
      </c>
      <c r="E25" s="171">
        <f t="shared" ref="E25:E60" si="4">C25+D25</f>
        <v>66369.7</v>
      </c>
      <c r="F25" s="171"/>
      <c r="G25" s="182">
        <f>E25+F25</f>
        <v>66369.7</v>
      </c>
      <c r="H25" s="172">
        <f>IF($G$208=0,0,G25/$G$208)</f>
        <v>2.6980334507496071E-2</v>
      </c>
      <c r="I25" s="337"/>
      <c r="J25" s="183">
        <v>1990.08</v>
      </c>
      <c r="K25" s="183">
        <v>2180.08</v>
      </c>
      <c r="M25" s="359">
        <f>G25/G$228</f>
        <v>4.9492692020879936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490">
        <f>'[1]Sch C'!D11</f>
        <v>0</v>
      </c>
      <c r="D26" s="490">
        <f>'[1]Sch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490">
        <f>'[1]Sch C'!D12</f>
        <v>36412</v>
      </c>
      <c r="D27" s="490">
        <f>'[1]Sch C'!F12</f>
        <v>2844.32</v>
      </c>
      <c r="E27" s="171">
        <f t="shared" si="4"/>
        <v>39256.32</v>
      </c>
      <c r="F27" s="171"/>
      <c r="G27" s="171">
        <f t="shared" si="5"/>
        <v>39256.32</v>
      </c>
      <c r="H27" s="172">
        <f t="shared" si="6"/>
        <v>1.5958315995602032E-2</v>
      </c>
      <c r="I27" s="337"/>
      <c r="J27" s="185">
        <v>2001.05</v>
      </c>
      <c r="K27" s="185">
        <v>2139.21</v>
      </c>
      <c r="M27" s="359">
        <f t="shared" si="7"/>
        <v>2.9273914988814318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490">
        <f>'[1]Sch C'!D13</f>
        <v>271186</v>
      </c>
      <c r="D28" s="490">
        <f>'[1]Sch C'!F13</f>
        <v>-253061.87</v>
      </c>
      <c r="E28" s="171">
        <f t="shared" si="4"/>
        <v>18124.130000000005</v>
      </c>
      <c r="F28" s="171"/>
      <c r="G28" s="171">
        <f t="shared" si="5"/>
        <v>18124.130000000005</v>
      </c>
      <c r="H28" s="172">
        <f t="shared" si="6"/>
        <v>7.3677459753071798E-3</v>
      </c>
      <c r="I28" s="337"/>
      <c r="J28" s="168"/>
      <c r="K28" s="168"/>
      <c r="M28" s="359">
        <f t="shared" si="7"/>
        <v>1.3515384041759884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490">
        <f>'[1]Sch C'!D14</f>
        <v>0</v>
      </c>
      <c r="D29" s="490">
        <f>'[1]Sch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490">
        <f>'[1]Sch C'!D15</f>
        <v>0</v>
      </c>
      <c r="D30" s="490">
        <f>'[1]Sch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7"/>
      <c r="J30" s="168"/>
      <c r="K30" s="168"/>
      <c r="M30" s="359">
        <f t="shared" si="7"/>
        <v>0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490">
        <f>'[1]Sch C'!D16</f>
        <v>184825</v>
      </c>
      <c r="D31" s="490">
        <f>'[1]Sch C'!F16</f>
        <v>-15401.89</v>
      </c>
      <c r="E31" s="171">
        <f t="shared" si="4"/>
        <v>169423.11</v>
      </c>
      <c r="F31" s="171"/>
      <c r="G31" s="171">
        <f t="shared" si="5"/>
        <v>169423.11</v>
      </c>
      <c r="H31" s="172">
        <f t="shared" si="6"/>
        <v>6.8873178289193746E-2</v>
      </c>
      <c r="I31" s="337"/>
      <c r="J31" s="168"/>
      <c r="K31" s="168"/>
      <c r="M31" s="359">
        <f t="shared" si="7"/>
        <v>12.634087248322146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490">
        <f>'[1]Sch C'!D17</f>
        <v>0</v>
      </c>
      <c r="D32" s="490">
        <f>'[1]Sch C'!F17</f>
        <v>0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7"/>
      <c r="J32" s="168"/>
      <c r="K32" s="168"/>
      <c r="M32" s="359">
        <f t="shared" si="7"/>
        <v>0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490">
        <f>'[1]Sch C'!D18</f>
        <v>7907</v>
      </c>
      <c r="D33" s="490">
        <f>'[1]Sch C'!F18</f>
        <v>0</v>
      </c>
      <c r="E33" s="171">
        <f t="shared" si="4"/>
        <v>7907</v>
      </c>
      <c r="F33" s="171"/>
      <c r="G33" s="171">
        <f t="shared" si="5"/>
        <v>7907</v>
      </c>
      <c r="H33" s="172">
        <f t="shared" si="6"/>
        <v>3.2143207661142273E-3</v>
      </c>
      <c r="I33" s="337"/>
      <c r="J33" s="168"/>
      <c r="K33" s="168"/>
      <c r="M33" s="359">
        <f t="shared" si="7"/>
        <v>0.58963460104399701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490">
        <f>'[1]Sch C'!D19</f>
        <v>6846</v>
      </c>
      <c r="D34" s="490">
        <f>'[1]Sch C'!F19</f>
        <v>0</v>
      </c>
      <c r="E34" s="171">
        <f t="shared" si="4"/>
        <v>6846</v>
      </c>
      <c r="F34" s="171"/>
      <c r="G34" s="171">
        <f t="shared" si="5"/>
        <v>6846</v>
      </c>
      <c r="H34" s="172">
        <f t="shared" si="6"/>
        <v>2.7830074572932845E-3</v>
      </c>
      <c r="I34" s="337"/>
      <c r="J34" s="168"/>
      <c r="K34" s="168"/>
      <c r="M34" s="359">
        <f t="shared" si="7"/>
        <v>0.51051454138702457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490">
        <f>'[1]Sch C'!D20</f>
        <v>2808</v>
      </c>
      <c r="D35" s="490">
        <f>'[1]Sch C'!F20</f>
        <v>0</v>
      </c>
      <c r="E35" s="171">
        <f t="shared" si="4"/>
        <v>2808</v>
      </c>
      <c r="F35" s="171"/>
      <c r="G35" s="171">
        <f t="shared" si="5"/>
        <v>2808</v>
      </c>
      <c r="H35" s="172">
        <f t="shared" si="6"/>
        <v>1.1414964855506198E-3</v>
      </c>
      <c r="I35" s="337"/>
      <c r="J35" s="168"/>
      <c r="K35" s="168"/>
      <c r="M35" s="359">
        <f t="shared" si="7"/>
        <v>0.20939597315436242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490">
        <f>'[1]Sch C'!D21</f>
        <v>12559</v>
      </c>
      <c r="D36" s="490">
        <f>'[1]Sch C'!F21</f>
        <v>0</v>
      </c>
      <c r="E36" s="171">
        <f t="shared" si="4"/>
        <v>12559</v>
      </c>
      <c r="F36" s="171"/>
      <c r="G36" s="171">
        <f t="shared" si="5"/>
        <v>12559</v>
      </c>
      <c r="H36" s="172">
        <f t="shared" si="6"/>
        <v>5.1054324651104823E-3</v>
      </c>
      <c r="I36" s="337"/>
      <c r="J36" s="168"/>
      <c r="K36" s="168"/>
      <c r="M36" s="359">
        <f t="shared" si="7"/>
        <v>0.93653989560029827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490">
        <f>'[1]Sch C'!D22</f>
        <v>0</v>
      </c>
      <c r="D37" s="490">
        <f>'[1]Sch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490">
        <f>'[1]Sch C'!D23</f>
        <v>3822</v>
      </c>
      <c r="D38" s="490">
        <f>'[1]Sch C'!F23</f>
        <v>0</v>
      </c>
      <c r="E38" s="171">
        <f t="shared" si="4"/>
        <v>3822</v>
      </c>
      <c r="F38" s="171"/>
      <c r="G38" s="171">
        <f t="shared" si="5"/>
        <v>3822</v>
      </c>
      <c r="H38" s="172">
        <f t="shared" si="6"/>
        <v>1.5537035497772324E-3</v>
      </c>
      <c r="I38" s="337"/>
      <c r="J38" s="168"/>
      <c r="K38" s="168"/>
      <c r="M38" s="359">
        <f t="shared" si="7"/>
        <v>0.28501118568232664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490">
        <f>'[1]Sch C'!D24</f>
        <v>0</v>
      </c>
      <c r="D39" s="490">
        <f>'[1]Sch C'!F24</f>
        <v>0</v>
      </c>
      <c r="E39" s="171">
        <f t="shared" si="4"/>
        <v>0</v>
      </c>
      <c r="F39" s="171"/>
      <c r="G39" s="171">
        <f t="shared" si="5"/>
        <v>0</v>
      </c>
      <c r="H39" s="172">
        <f t="shared" si="6"/>
        <v>0</v>
      </c>
      <c r="I39" s="337"/>
      <c r="J39" s="168"/>
      <c r="K39" s="168"/>
      <c r="M39" s="359">
        <f t="shared" si="7"/>
        <v>0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490">
        <f>'[1]Sch C'!D25</f>
        <v>0</v>
      </c>
      <c r="D40" s="490">
        <f>'[1]Sch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337"/>
      <c r="J40" s="168"/>
      <c r="K40" s="168"/>
      <c r="M40" s="359">
        <f t="shared" si="7"/>
        <v>0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490">
        <f>'[1]Sch C'!D26</f>
        <v>185740</v>
      </c>
      <c r="D41" s="490">
        <f>'[1]Sch C'!F26</f>
        <v>0</v>
      </c>
      <c r="E41" s="171">
        <f t="shared" si="4"/>
        <v>185740</v>
      </c>
      <c r="F41" s="171"/>
      <c r="G41" s="171">
        <f t="shared" si="5"/>
        <v>185740</v>
      </c>
      <c r="H41" s="172">
        <f t="shared" si="6"/>
        <v>7.5506252573423124E-2</v>
      </c>
      <c r="I41" s="337"/>
      <c r="J41" s="168"/>
      <c r="K41" s="168"/>
      <c r="M41" s="359">
        <f t="shared" si="7"/>
        <v>13.850857568978375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490">
        <f>'[1]Sch C'!D27</f>
        <v>0</v>
      </c>
      <c r="D42" s="490">
        <f>'[1]Sch C'!F27</f>
        <v>0</v>
      </c>
      <c r="E42" s="171">
        <f t="shared" si="4"/>
        <v>0</v>
      </c>
      <c r="F42" s="171"/>
      <c r="G42" s="171">
        <f t="shared" si="5"/>
        <v>0</v>
      </c>
      <c r="H42" s="172">
        <f t="shared" si="6"/>
        <v>0</v>
      </c>
      <c r="I42" s="337"/>
      <c r="J42" s="168"/>
      <c r="K42" s="168"/>
      <c r="M42" s="359">
        <f t="shared" si="7"/>
        <v>0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490">
        <f>'[1]Sch C'!D28</f>
        <v>0</v>
      </c>
      <c r="D43" s="490">
        <f>'[1]Sch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490">
        <f>'[1]Sch C'!D29</f>
        <v>54256</v>
      </c>
      <c r="D44" s="490">
        <f>'[1]Sch C'!F29</f>
        <v>-54256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490">
        <f>'[1]Sch C'!D30</f>
        <v>0</v>
      </c>
      <c r="D45" s="490">
        <f>'[1]Sch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490">
        <f>'[1]Sch C'!D31</f>
        <v>22914</v>
      </c>
      <c r="D46" s="490">
        <f>'[1]Sch C'!F31</f>
        <v>0</v>
      </c>
      <c r="E46" s="171">
        <f t="shared" si="4"/>
        <v>22914</v>
      </c>
      <c r="F46" s="171"/>
      <c r="G46" s="171">
        <f t="shared" si="5"/>
        <v>22914</v>
      </c>
      <c r="H46" s="172">
        <f t="shared" si="6"/>
        <v>9.3149040134996083E-3</v>
      </c>
      <c r="I46" s="337"/>
      <c r="J46" s="168"/>
      <c r="K46" s="168"/>
      <c r="M46" s="359">
        <f t="shared" si="7"/>
        <v>1.708724832214765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490">
        <f>'[1]Sch C'!D32</f>
        <v>17229</v>
      </c>
      <c r="D47" s="490">
        <f>'[1]Sch C'!F32</f>
        <v>0</v>
      </c>
      <c r="E47" s="171">
        <f t="shared" si="4"/>
        <v>17229</v>
      </c>
      <c r="F47" s="171"/>
      <c r="G47" s="171">
        <f t="shared" si="5"/>
        <v>17229</v>
      </c>
      <c r="H47" s="172">
        <f t="shared" si="6"/>
        <v>7.0038614492705228E-3</v>
      </c>
      <c r="I47" s="337"/>
      <c r="J47" s="168"/>
      <c r="K47" s="168"/>
      <c r="M47" s="359">
        <f t="shared" si="7"/>
        <v>1.2847874720357941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490">
        <f>'[1]Sch C'!D33</f>
        <v>0</v>
      </c>
      <c r="D48" s="490">
        <f>'[1]Sch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490">
        <f>'[1]Sch C'!D34</f>
        <v>0</v>
      </c>
      <c r="D49" s="490">
        <f>'[1]Sch C'!F34</f>
        <v>0</v>
      </c>
      <c r="E49" s="171">
        <f t="shared" si="4"/>
        <v>0</v>
      </c>
      <c r="F49" s="171"/>
      <c r="G49" s="171">
        <f t="shared" si="5"/>
        <v>0</v>
      </c>
      <c r="H49" s="172">
        <f t="shared" si="6"/>
        <v>0</v>
      </c>
      <c r="I49" s="337"/>
      <c r="J49" s="168"/>
      <c r="K49" s="168"/>
      <c r="M49" s="359">
        <f t="shared" si="7"/>
        <v>0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490">
        <f>'[1]Sch C'!D35</f>
        <v>0</v>
      </c>
      <c r="D50" s="490">
        <f>'[1]Sch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490">
        <f>'[1]Sch C'!D36</f>
        <v>0</v>
      </c>
      <c r="D51" s="490">
        <f>'[1]Sch C'!F36</f>
        <v>0</v>
      </c>
      <c r="E51" s="171">
        <f t="shared" si="4"/>
        <v>0</v>
      </c>
      <c r="F51" s="171"/>
      <c r="G51" s="171">
        <f t="shared" si="5"/>
        <v>0</v>
      </c>
      <c r="H51" s="172">
        <f t="shared" si="6"/>
        <v>0</v>
      </c>
      <c r="I51" s="337"/>
      <c r="J51" s="183">
        <v>0</v>
      </c>
      <c r="K51" s="183">
        <v>0</v>
      </c>
      <c r="M51" s="359">
        <f t="shared" si="7"/>
        <v>0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490">
        <f>'[1]Sch C'!D37</f>
        <v>0</v>
      </c>
      <c r="D52" s="490">
        <f>'[1]Sch C'!F37</f>
        <v>0</v>
      </c>
      <c r="E52" s="171">
        <f t="shared" si="4"/>
        <v>0</v>
      </c>
      <c r="F52" s="171"/>
      <c r="G52" s="171">
        <f t="shared" si="5"/>
        <v>0</v>
      </c>
      <c r="H52" s="172">
        <f t="shared" si="6"/>
        <v>0</v>
      </c>
      <c r="I52" s="337"/>
      <c r="J52" s="168"/>
      <c r="K52" s="168"/>
      <c r="M52" s="359">
        <f t="shared" si="7"/>
        <v>0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490">
        <f>'[1]Sch C'!D38</f>
        <v>0</v>
      </c>
      <c r="D53" s="490">
        <f>'[1]Sch C'!F38</f>
        <v>0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7"/>
      <c r="J53" s="168"/>
      <c r="K53" s="168"/>
      <c r="M53" s="359">
        <f t="shared" si="7"/>
        <v>0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490">
        <f>'[1]Sch C'!D39</f>
        <v>2335</v>
      </c>
      <c r="D54" s="490">
        <f>'[1]Sch C'!F39</f>
        <v>0</v>
      </c>
      <c r="E54" s="171">
        <f t="shared" si="4"/>
        <v>2335</v>
      </c>
      <c r="F54" s="171"/>
      <c r="G54" s="171">
        <f t="shared" si="5"/>
        <v>2335</v>
      </c>
      <c r="H54" s="172">
        <f t="shared" si="6"/>
        <v>9.4921449208002038E-4</v>
      </c>
      <c r="I54" s="337"/>
      <c r="J54" s="168"/>
      <c r="K54" s="168"/>
      <c r="M54" s="359">
        <f t="shared" si="7"/>
        <v>0.17412378821774796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490">
        <f>'[1]Sch C'!D40</f>
        <v>6311</v>
      </c>
      <c r="D55" s="490">
        <f>'[1]Sch C'!F40</f>
        <v>-6311</v>
      </c>
      <c r="E55" s="171">
        <f t="shared" si="4"/>
        <v>0</v>
      </c>
      <c r="F55" s="171"/>
      <c r="G55" s="171">
        <f t="shared" si="5"/>
        <v>0</v>
      </c>
      <c r="H55" s="172">
        <f t="shared" si="6"/>
        <v>0</v>
      </c>
      <c r="I55" s="337"/>
      <c r="J55" s="168"/>
      <c r="K55" s="168"/>
      <c r="M55" s="359">
        <f t="shared" si="7"/>
        <v>0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490">
        <f>'[1]Sch C'!D41</f>
        <v>0</v>
      </c>
      <c r="D56" s="490">
        <f>'[1]Sch C'!F41</f>
        <v>0</v>
      </c>
      <c r="E56" s="171">
        <f t="shared" si="4"/>
        <v>0</v>
      </c>
      <c r="F56" s="171"/>
      <c r="G56" s="171">
        <f t="shared" si="5"/>
        <v>0</v>
      </c>
      <c r="H56" s="172">
        <f t="shared" si="6"/>
        <v>0</v>
      </c>
      <c r="I56" s="337"/>
      <c r="J56" s="168"/>
      <c r="K56" s="168"/>
      <c r="M56" s="359">
        <f t="shared" si="7"/>
        <v>0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490">
        <f>'[1]Sch C'!D42</f>
        <v>325</v>
      </c>
      <c r="D57" s="490">
        <f>'[1]Sch C'!F42</f>
        <v>0</v>
      </c>
      <c r="E57" s="171">
        <f t="shared" si="4"/>
        <v>325</v>
      </c>
      <c r="F57" s="171"/>
      <c r="G57" s="171">
        <f t="shared" si="5"/>
        <v>325</v>
      </c>
      <c r="H57" s="172">
        <f t="shared" si="6"/>
        <v>1.32117648790581E-4</v>
      </c>
      <c r="I57" s="337"/>
      <c r="J57" s="168"/>
      <c r="K57" s="168"/>
      <c r="M57" s="359">
        <f t="shared" si="7"/>
        <v>2.4235645041014168E-2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490">
        <f>'[1]Sch C'!D43</f>
        <v>5206</v>
      </c>
      <c r="D58" s="490">
        <f>'[1]Sch C'!F43</f>
        <v>0</v>
      </c>
      <c r="E58" s="171">
        <f t="shared" si="4"/>
        <v>5206</v>
      </c>
      <c r="F58" s="171"/>
      <c r="G58" s="171">
        <f t="shared" si="5"/>
        <v>5206</v>
      </c>
      <c r="H58" s="172">
        <f t="shared" si="6"/>
        <v>2.1163214757038912E-3</v>
      </c>
      <c r="I58" s="337"/>
      <c r="J58" s="168"/>
      <c r="K58" s="168"/>
      <c r="M58" s="359">
        <f t="shared" si="7"/>
        <v>0.38821774794929159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490">
        <f>'[1]Sch C'!D44</f>
        <v>0</v>
      </c>
      <c r="D59" s="490">
        <f>'[1]Sch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7"/>
      <c r="J59" s="168"/>
      <c r="K59" s="168"/>
      <c r="M59" s="359">
        <f t="shared" si="7"/>
        <v>0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490">
        <f>'[1]Sch C'!D45</f>
        <v>26640</v>
      </c>
      <c r="D60" s="490">
        <f>'[1]Sch C'!F45</f>
        <v>-4311</v>
      </c>
      <c r="E60" s="171">
        <f t="shared" si="4"/>
        <v>22329</v>
      </c>
      <c r="F60" s="171"/>
      <c r="G60" s="171">
        <f t="shared" si="5"/>
        <v>22329</v>
      </c>
      <c r="H60" s="172">
        <f t="shared" si="6"/>
        <v>9.0770922456765626E-3</v>
      </c>
      <c r="I60" s="337"/>
      <c r="J60" s="168"/>
      <c r="K60" s="168"/>
      <c r="M60" s="359">
        <f t="shared" si="7"/>
        <v>1.6651006711409395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490">
        <f>SUM(C25:C60)</f>
        <v>909950</v>
      </c>
      <c r="D61" s="490">
        <f>SUM(D25:D60)</f>
        <v>-326756.74</v>
      </c>
      <c r="E61" s="171">
        <f t="shared" ref="E61:F61" si="8">SUM(E25:E60)</f>
        <v>583193.26</v>
      </c>
      <c r="F61" s="171">
        <f t="shared" si="8"/>
        <v>0</v>
      </c>
      <c r="G61" s="171">
        <f>SUM(G25:G60)</f>
        <v>583193.26</v>
      </c>
      <c r="H61" s="186">
        <f t="shared" si="6"/>
        <v>0.2370772993898892</v>
      </c>
      <c r="I61" s="339"/>
      <c r="J61" s="168"/>
      <c r="K61" s="168"/>
      <c r="M61" s="364">
        <f>G61/G$228</f>
        <v>43.489430275913499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I62" s="340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490">
        <f>'[1]Sch C'!D57</f>
        <v>290282</v>
      </c>
      <c r="D64" s="490">
        <f>'[1]Sch C'!F57</f>
        <v>-154253.37</v>
      </c>
      <c r="E64" s="171">
        <f t="shared" ref="E64:E78" si="9">C64+D64</f>
        <v>136028.63</v>
      </c>
      <c r="F64" s="171"/>
      <c r="G64" s="171">
        <f t="shared" ref="G64:G78" si="10">E64+F64</f>
        <v>136028.63</v>
      </c>
      <c r="H64" s="172">
        <f t="shared" ref="H64:H79" si="11">IF($G$208=0,0,G64/$G$208)</f>
        <v>5.5297793119396588E-2</v>
      </c>
      <c r="I64" s="337"/>
      <c r="J64" s="190"/>
      <c r="K64" s="168"/>
      <c r="M64" s="359">
        <f t="shared" ref="M64:M79" si="12">G64/G$228</f>
        <v>10.143820283370619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490">
        <f>'[1]Sch C'!D58</f>
        <v>88939</v>
      </c>
      <c r="D65" s="490">
        <f>'[1]Sch C'!F58</f>
        <v>0</v>
      </c>
      <c r="E65" s="171">
        <f t="shared" si="9"/>
        <v>88939</v>
      </c>
      <c r="F65" s="171"/>
      <c r="G65" s="171">
        <f t="shared" si="10"/>
        <v>88939</v>
      </c>
      <c r="H65" s="172">
        <f t="shared" si="11"/>
        <v>3.615511251010918E-2</v>
      </c>
      <c r="I65" s="337"/>
      <c r="J65" s="190"/>
      <c r="K65" s="168"/>
      <c r="M65" s="359">
        <f t="shared" si="12"/>
        <v>6.6322893363161821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490">
        <f>'[1]Sch C'!D59</f>
        <v>0</v>
      </c>
      <c r="D66" s="490">
        <f>'[1]Sch C'!F59</f>
        <v>0</v>
      </c>
      <c r="E66" s="171">
        <f t="shared" si="9"/>
        <v>0</v>
      </c>
      <c r="F66" s="171"/>
      <c r="G66" s="171">
        <f t="shared" si="10"/>
        <v>0</v>
      </c>
      <c r="H66" s="172">
        <f t="shared" si="11"/>
        <v>0</v>
      </c>
      <c r="I66" s="337"/>
      <c r="J66" s="190"/>
      <c r="K66" s="168"/>
      <c r="M66" s="359">
        <f t="shared" si="12"/>
        <v>0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490">
        <f>'[1]Sch C'!D60</f>
        <v>0</v>
      </c>
      <c r="D67" s="490">
        <f>'[1]Sch C'!F60</f>
        <v>0</v>
      </c>
      <c r="E67" s="171">
        <f t="shared" si="9"/>
        <v>0</v>
      </c>
      <c r="F67" s="171"/>
      <c r="G67" s="171">
        <f t="shared" si="10"/>
        <v>0</v>
      </c>
      <c r="H67" s="172">
        <f t="shared" si="11"/>
        <v>0</v>
      </c>
      <c r="I67" s="337"/>
      <c r="J67" s="193"/>
      <c r="K67" s="168"/>
      <c r="M67" s="359">
        <f t="shared" si="12"/>
        <v>0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490">
        <f>'[1]Sch C'!D61</f>
        <v>4091</v>
      </c>
      <c r="D68" s="490">
        <f>'[1]Sch C'!F61</f>
        <v>0</v>
      </c>
      <c r="E68" s="171">
        <f t="shared" si="9"/>
        <v>4091</v>
      </c>
      <c r="F68" s="171"/>
      <c r="G68" s="171">
        <f t="shared" si="10"/>
        <v>4091</v>
      </c>
      <c r="H68" s="172">
        <f t="shared" si="11"/>
        <v>1.6630563113915902E-3</v>
      </c>
      <c r="I68" s="337"/>
      <c r="J68" s="193"/>
      <c r="K68" s="168"/>
      <c r="M68" s="359">
        <f t="shared" si="12"/>
        <v>0.30507084265473527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490">
        <f>'[1]Sch C'!D62</f>
        <v>0</v>
      </c>
      <c r="D69" s="490">
        <f>'[1]Sch C'!F62</f>
        <v>0</v>
      </c>
      <c r="E69" s="171">
        <f t="shared" si="9"/>
        <v>0</v>
      </c>
      <c r="F69" s="171"/>
      <c r="G69" s="171">
        <f t="shared" si="10"/>
        <v>0</v>
      </c>
      <c r="H69" s="172">
        <f t="shared" si="11"/>
        <v>0</v>
      </c>
      <c r="I69" s="337"/>
      <c r="J69" s="195"/>
      <c r="K69" s="168"/>
      <c r="M69" s="359">
        <f t="shared" si="12"/>
        <v>0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490">
        <f>'[1]Sch C'!D63</f>
        <v>0</v>
      </c>
      <c r="D70" s="490">
        <f>'[1]Sch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7"/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490">
        <f>'[1]Sch C'!D64</f>
        <v>0</v>
      </c>
      <c r="D71" s="490">
        <f>'[1]Sch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490">
        <f>'[1]Sch C'!D65</f>
        <v>5320</v>
      </c>
      <c r="D72" s="490">
        <f>'[1]Sch C'!F65</f>
        <v>0</v>
      </c>
      <c r="E72" s="171">
        <f t="shared" si="9"/>
        <v>5320</v>
      </c>
      <c r="F72" s="171"/>
      <c r="G72" s="171">
        <f t="shared" si="10"/>
        <v>5320</v>
      </c>
      <c r="H72" s="172">
        <f t="shared" si="11"/>
        <v>2.1626642817412028E-3</v>
      </c>
      <c r="I72" s="337"/>
      <c r="J72" s="195"/>
      <c r="K72" s="168"/>
      <c r="M72" s="359">
        <f t="shared" si="12"/>
        <v>0.39671886651752425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490">
        <f>'[1]Sch C'!D66</f>
        <v>0</v>
      </c>
      <c r="D73" s="490">
        <f>'[1]Sch C'!F66</f>
        <v>0</v>
      </c>
      <c r="E73" s="171">
        <f t="shared" si="9"/>
        <v>0</v>
      </c>
      <c r="F73" s="171"/>
      <c r="G73" s="171">
        <f t="shared" si="10"/>
        <v>0</v>
      </c>
      <c r="H73" s="172">
        <f t="shared" si="11"/>
        <v>0</v>
      </c>
      <c r="I73" s="337"/>
      <c r="J73" s="195"/>
      <c r="K73" s="168"/>
      <c r="M73" s="359">
        <f t="shared" si="12"/>
        <v>0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490">
        <f>'[1]Sch C'!D67</f>
        <v>0</v>
      </c>
      <c r="D74" s="490">
        <f>'[1]Sch C'!F67</f>
        <v>0</v>
      </c>
      <c r="E74" s="171">
        <f t="shared" si="9"/>
        <v>0</v>
      </c>
      <c r="F74" s="171"/>
      <c r="G74" s="171">
        <f t="shared" si="10"/>
        <v>0</v>
      </c>
      <c r="H74" s="172">
        <f t="shared" si="11"/>
        <v>0</v>
      </c>
      <c r="I74" s="337"/>
      <c r="J74" s="195"/>
      <c r="K74" s="168"/>
      <c r="M74" s="359">
        <f t="shared" si="12"/>
        <v>0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490">
        <f>'[1]Sch C'!D68</f>
        <v>0</v>
      </c>
      <c r="D75" s="490">
        <f>'[1]Sch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490">
        <f>'[1]Sch C'!D69</f>
        <v>0</v>
      </c>
      <c r="D76" s="490">
        <f>'[1]Sch C'!F69</f>
        <v>0</v>
      </c>
      <c r="E76" s="171">
        <f t="shared" si="9"/>
        <v>0</v>
      </c>
      <c r="F76" s="171"/>
      <c r="G76" s="171">
        <f t="shared" si="10"/>
        <v>0</v>
      </c>
      <c r="H76" s="172">
        <f t="shared" si="11"/>
        <v>0</v>
      </c>
      <c r="I76" s="337"/>
      <c r="J76" s="195"/>
      <c r="K76" s="168"/>
      <c r="M76" s="359">
        <f t="shared" si="12"/>
        <v>0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490">
        <f>'[1]Sch C'!D70</f>
        <v>0</v>
      </c>
      <c r="D77" s="490">
        <f>'[1]Sch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7"/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490">
        <f>'[1]Sch C'!D71</f>
        <v>0</v>
      </c>
      <c r="D78" s="490">
        <f>'[1]Sch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7"/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490">
        <f>SUM(C64:C78)</f>
        <v>388632</v>
      </c>
      <c r="D79" s="490">
        <f>SUM(D64:D78)</f>
        <v>-154253.37</v>
      </c>
      <c r="E79" s="171">
        <f t="shared" ref="E79:F79" si="13">SUM(E64:E78)</f>
        <v>234378.63</v>
      </c>
      <c r="F79" s="171">
        <f t="shared" si="13"/>
        <v>0</v>
      </c>
      <c r="G79" s="171">
        <f>SUM(G64:G78)</f>
        <v>234378.63</v>
      </c>
      <c r="H79" s="172">
        <f t="shared" si="11"/>
        <v>9.5278626222638552E-2</v>
      </c>
      <c r="I79" s="337"/>
      <c r="J79" s="195"/>
      <c r="K79" s="168"/>
      <c r="M79" s="359">
        <f t="shared" si="12"/>
        <v>17.47789932885906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490">
        <f>'[1]Sch C'!D75</f>
        <v>34853</v>
      </c>
      <c r="D82" s="490">
        <f>'[1]Sch C'!F75</f>
        <v>3046.32</v>
      </c>
      <c r="E82" s="171">
        <f t="shared" ref="E82:E92" si="14">C82+D82</f>
        <v>37899.32</v>
      </c>
      <c r="F82" s="171"/>
      <c r="G82" s="171">
        <f t="shared" ref="G82:G92" si="15">E82+F82</f>
        <v>37899.32</v>
      </c>
      <c r="H82" s="172">
        <f t="shared" ref="H82:H93" si="16">IF($G$208=0,0,G82/$G$208)</f>
        <v>1.5406673997421053E-2</v>
      </c>
      <c r="I82" s="337"/>
      <c r="J82" s="183">
        <v>1813.83</v>
      </c>
      <c r="K82" s="183">
        <v>1949.84</v>
      </c>
      <c r="M82" s="359">
        <f t="shared" ref="M82:M92" si="17">G82/G$228</f>
        <v>2.8261983594332589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490">
        <f>'[1]Sch C'!D76</f>
        <v>0</v>
      </c>
      <c r="D83" s="490">
        <f>'[1]Sch C'!F76</f>
        <v>6378</v>
      </c>
      <c r="E83" s="171">
        <f t="shared" si="14"/>
        <v>6378</v>
      </c>
      <c r="F83" s="171"/>
      <c r="G83" s="171">
        <f t="shared" si="15"/>
        <v>6378</v>
      </c>
      <c r="H83" s="172">
        <f t="shared" si="16"/>
        <v>2.5927580430348479E-3</v>
      </c>
      <c r="I83" s="337"/>
      <c r="J83" s="168"/>
      <c r="K83" s="168"/>
      <c r="M83" s="359">
        <f t="shared" si="17"/>
        <v>0.47561521252796418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490">
        <f>'[1]Sch C'!D77</f>
        <v>9834</v>
      </c>
      <c r="D84" s="490">
        <f>'[1]Sch C'!F77</f>
        <v>0</v>
      </c>
      <c r="E84" s="171">
        <f t="shared" si="14"/>
        <v>9834</v>
      </c>
      <c r="F84" s="171"/>
      <c r="G84" s="171">
        <f t="shared" si="15"/>
        <v>9834</v>
      </c>
      <c r="H84" s="172">
        <f t="shared" si="16"/>
        <v>3.9976767944817646E-3</v>
      </c>
      <c r="I84" s="337"/>
      <c r="J84" s="168"/>
      <c r="K84" s="168"/>
      <c r="M84" s="359">
        <f t="shared" si="17"/>
        <v>0.73333333333333328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490">
        <f>'[1]Sch C'!D78</f>
        <v>0</v>
      </c>
      <c r="D85" s="490">
        <f>'[1]Sch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I85" s="337"/>
      <c r="J85" s="168"/>
      <c r="K85" s="168"/>
      <c r="M85" s="359">
        <f t="shared" si="17"/>
        <v>0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490">
        <f>'[1]Sch C'!D79</f>
        <v>0</v>
      </c>
      <c r="D86" s="490">
        <f>'[1]Sch C'!F79</f>
        <v>0</v>
      </c>
      <c r="E86" s="171">
        <f t="shared" si="14"/>
        <v>0</v>
      </c>
      <c r="F86" s="171"/>
      <c r="G86" s="171">
        <f>E86+F86</f>
        <v>0</v>
      </c>
      <c r="H86" s="172">
        <f t="shared" si="16"/>
        <v>0</v>
      </c>
      <c r="I86" s="337"/>
      <c r="J86" s="168"/>
      <c r="K86" s="168"/>
      <c r="M86" s="359">
        <f t="shared" si="17"/>
        <v>0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490">
        <f>'[1]Sch C'!D80</f>
        <v>22898</v>
      </c>
      <c r="D87" s="490">
        <f>'[1]Sch C'!F80</f>
        <v>0</v>
      </c>
      <c r="E87" s="171">
        <f t="shared" si="14"/>
        <v>22898</v>
      </c>
      <c r="F87" s="171"/>
      <c r="G87" s="171">
        <f t="shared" si="15"/>
        <v>22898</v>
      </c>
      <c r="H87" s="172">
        <f t="shared" si="16"/>
        <v>9.3083997600206872E-3</v>
      </c>
      <c r="I87" s="337"/>
      <c r="J87" s="168"/>
      <c r="K87" s="168"/>
      <c r="M87" s="359">
        <f t="shared" si="17"/>
        <v>1.707531692766592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490">
        <f>'[1]Sch C'!D81</f>
        <v>0</v>
      </c>
      <c r="D88" s="490">
        <f>'[1]Sch C'!F81</f>
        <v>0</v>
      </c>
      <c r="E88" s="171">
        <f t="shared" si="14"/>
        <v>0</v>
      </c>
      <c r="F88" s="171"/>
      <c r="G88" s="171">
        <f t="shared" si="15"/>
        <v>0</v>
      </c>
      <c r="H88" s="172">
        <f t="shared" si="16"/>
        <v>0</v>
      </c>
      <c r="I88" s="337"/>
      <c r="J88" s="168"/>
      <c r="K88" s="168"/>
      <c r="M88" s="359">
        <f t="shared" si="17"/>
        <v>0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490">
        <f>'[1]Sch C'!D82</f>
        <v>0</v>
      </c>
      <c r="D89" s="490">
        <f>'[1]Sch C'!F82</f>
        <v>0</v>
      </c>
      <c r="E89" s="171">
        <f t="shared" si="14"/>
        <v>0</v>
      </c>
      <c r="F89" s="171"/>
      <c r="G89" s="171">
        <f t="shared" si="15"/>
        <v>0</v>
      </c>
      <c r="H89" s="172">
        <f t="shared" si="16"/>
        <v>0</v>
      </c>
      <c r="I89" s="337"/>
      <c r="J89" s="168"/>
      <c r="K89" s="168"/>
      <c r="M89" s="359">
        <f t="shared" si="17"/>
        <v>0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490">
        <f>'[1]Sch C'!D83</f>
        <v>0</v>
      </c>
      <c r="D90" s="490">
        <f>'[1]Sch C'!F83</f>
        <v>0</v>
      </c>
      <c r="E90" s="171">
        <f t="shared" si="14"/>
        <v>0</v>
      </c>
      <c r="F90" s="171"/>
      <c r="G90" s="171">
        <f t="shared" si="15"/>
        <v>0</v>
      </c>
      <c r="H90" s="172">
        <f t="shared" si="16"/>
        <v>0</v>
      </c>
      <c r="I90" s="337"/>
      <c r="J90" s="168"/>
      <c r="K90" s="168"/>
      <c r="M90" s="359">
        <f t="shared" si="17"/>
        <v>0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490">
        <f>'[1]Sch C'!D84</f>
        <v>36592</v>
      </c>
      <c r="D91" s="490">
        <f>'[1]Sch C'!F84</f>
        <v>0</v>
      </c>
      <c r="E91" s="171">
        <f t="shared" si="14"/>
        <v>36592</v>
      </c>
      <c r="F91" s="171"/>
      <c r="G91" s="171">
        <f t="shared" si="15"/>
        <v>36592</v>
      </c>
      <c r="H91" s="172">
        <f t="shared" si="16"/>
        <v>1.4875227706292122E-2</v>
      </c>
      <c r="I91" s="337"/>
      <c r="J91" s="168"/>
      <c r="K91" s="168"/>
      <c r="M91" s="359">
        <f t="shared" si="17"/>
        <v>2.728709917971663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490">
        <f>'[1]Sch C'!D85</f>
        <v>0</v>
      </c>
      <c r="D92" s="490">
        <f>'[1]Sch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7"/>
      <c r="J92" s="168"/>
      <c r="K92" s="168"/>
      <c r="M92" s="359">
        <f t="shared" si="17"/>
        <v>0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490">
        <f>SUM(C82:C92)</f>
        <v>104177</v>
      </c>
      <c r="D93" s="490">
        <f>SUM(D82:D92)</f>
        <v>9424.32</v>
      </c>
      <c r="E93" s="171">
        <f t="shared" ref="E93:F93" si="18">SUM(E82:E92)</f>
        <v>113601.32</v>
      </c>
      <c r="F93" s="171">
        <f t="shared" si="18"/>
        <v>0</v>
      </c>
      <c r="G93" s="171">
        <f>SUM(G82:G92)</f>
        <v>113601.32</v>
      </c>
      <c r="H93" s="172">
        <f t="shared" si="16"/>
        <v>4.6180736301250476E-2</v>
      </c>
      <c r="I93" s="337"/>
      <c r="J93" s="168"/>
      <c r="K93" s="168"/>
      <c r="M93" s="364">
        <f>G93/G$228</f>
        <v>8.4713885160328122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490">
        <f>'[1]Sch C'!D89</f>
        <v>103109</v>
      </c>
      <c r="D96" s="490">
        <f>'[1]Sch C'!F89</f>
        <v>9854.68</v>
      </c>
      <c r="E96" s="171">
        <f t="shared" ref="E96:E101" si="19">C96+D96</f>
        <v>112963.68</v>
      </c>
      <c r="F96" s="171"/>
      <c r="G96" s="171">
        <f t="shared" ref="G96:G101" si="20">E96+F96</f>
        <v>112963.68</v>
      </c>
      <c r="H96" s="172">
        <f t="shared" ref="H96:H102" si="21">IF($G$208=0,0,G96/$G$208)</f>
        <v>4.5921525539481776E-2</v>
      </c>
      <c r="I96" s="337"/>
      <c r="J96" s="183">
        <v>8340.7999999999993</v>
      </c>
      <c r="K96" s="183">
        <v>9095.85</v>
      </c>
      <c r="M96" s="364">
        <f t="shared" ref="M96:M101" si="22">G96/G$228</f>
        <v>8.4238389261744953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490">
        <f>'[1]Sch C'!D90</f>
        <v>0</v>
      </c>
      <c r="D97" s="490">
        <f>'[1]Sch C'!F90</f>
        <v>18868.68</v>
      </c>
      <c r="E97" s="171">
        <f t="shared" si="19"/>
        <v>18868.68</v>
      </c>
      <c r="F97" s="171"/>
      <c r="G97" s="171">
        <f t="shared" si="20"/>
        <v>18868.68</v>
      </c>
      <c r="H97" s="172">
        <f t="shared" si="21"/>
        <v>7.6704173457903379E-3</v>
      </c>
      <c r="I97" s="337"/>
      <c r="J97" s="168"/>
      <c r="K97" s="168"/>
      <c r="M97" s="364">
        <f t="shared" si="22"/>
        <v>1.4070604026845637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490">
        <f>'[1]Sch C'!D91</f>
        <v>72099</v>
      </c>
      <c r="D98" s="490">
        <f>'[1]Sch C'!F91</f>
        <v>0</v>
      </c>
      <c r="E98" s="171">
        <f t="shared" si="19"/>
        <v>72099</v>
      </c>
      <c r="F98" s="171"/>
      <c r="G98" s="171">
        <f t="shared" si="20"/>
        <v>72099</v>
      </c>
      <c r="H98" s="172">
        <f t="shared" si="21"/>
        <v>2.9309385723544919E-2</v>
      </c>
      <c r="I98" s="337"/>
      <c r="J98" s="168"/>
      <c r="K98" s="168"/>
      <c r="M98" s="364">
        <f t="shared" si="22"/>
        <v>5.3765100671140935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490">
        <f>'[1]Sch C'!D92</f>
        <v>7202</v>
      </c>
      <c r="D99" s="490">
        <f>'[1]Sch C'!F92</f>
        <v>0</v>
      </c>
      <c r="E99" s="171">
        <f t="shared" si="19"/>
        <v>7202</v>
      </c>
      <c r="F99" s="171"/>
      <c r="G99" s="171">
        <f t="shared" si="20"/>
        <v>7202</v>
      </c>
      <c r="H99" s="172">
        <f t="shared" si="21"/>
        <v>2.9277270971992749E-3</v>
      </c>
      <c r="I99" s="337"/>
      <c r="J99" s="168"/>
      <c r="K99" s="168"/>
      <c r="M99" s="364">
        <f t="shared" si="22"/>
        <v>0.53706189410887395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490">
        <f>'[1]Sch C'!D93</f>
        <v>0</v>
      </c>
      <c r="D100" s="490">
        <f>'[1]Sch C'!F93</f>
        <v>0</v>
      </c>
      <c r="E100" s="171">
        <f t="shared" si="19"/>
        <v>0</v>
      </c>
      <c r="F100" s="171"/>
      <c r="G100" s="171">
        <f t="shared" si="20"/>
        <v>0</v>
      </c>
      <c r="H100" s="172">
        <f t="shared" si="21"/>
        <v>0</v>
      </c>
      <c r="I100" s="337"/>
      <c r="J100" s="168"/>
      <c r="K100" s="168"/>
      <c r="M100" s="364">
        <f t="shared" si="22"/>
        <v>0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490">
        <f>'[1]Sch C'!D94</f>
        <v>0</v>
      </c>
      <c r="D101" s="490">
        <f>'[1]Sch C'!F94</f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I101" s="337"/>
      <c r="J101" s="168"/>
      <c r="K101" s="168"/>
      <c r="M101" s="364">
        <f t="shared" si="22"/>
        <v>0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490">
        <f>SUM(C96:C101)</f>
        <v>182410</v>
      </c>
      <c r="D102" s="490">
        <f>SUM(D96:D101)</f>
        <v>28723.360000000001</v>
      </c>
      <c r="E102" s="171">
        <f t="shared" ref="E102:F102" si="23">SUM(E96:E101)</f>
        <v>211133.36</v>
      </c>
      <c r="F102" s="171">
        <f t="shared" si="23"/>
        <v>0</v>
      </c>
      <c r="G102" s="171">
        <f>SUM(G96:G101)</f>
        <v>211133.36</v>
      </c>
      <c r="H102" s="172">
        <f t="shared" si="21"/>
        <v>8.5829055706016302E-2</v>
      </c>
      <c r="I102" s="337"/>
      <c r="J102" s="168"/>
      <c r="K102" s="168"/>
      <c r="M102" s="364">
        <f>G102/G$228</f>
        <v>15.744471290082027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490">
        <f>'[1]Sch C'!D98</f>
        <v>21882</v>
      </c>
      <c r="D105" s="490">
        <f>'[1]Sch C'!F98</f>
        <v>1773.35</v>
      </c>
      <c r="E105" s="171">
        <f t="shared" ref="E105:E110" si="24">C105+D105</f>
        <v>23655.35</v>
      </c>
      <c r="F105" s="171"/>
      <c r="G105" s="171">
        <f t="shared" ref="G105:G110" si="25">E105+F105</f>
        <v>23655.35</v>
      </c>
      <c r="H105" s="172">
        <f t="shared" ref="H105:H111" si="26">IF($G$208=0,0,G105/$G$208)</f>
        <v>9.6162745332869851E-3</v>
      </c>
      <c r="I105" s="337"/>
      <c r="J105" s="183">
        <v>2362.35</v>
      </c>
      <c r="K105" s="183">
        <v>2565.35</v>
      </c>
      <c r="M105" s="364">
        <f t="shared" ref="M105:M110" si="27">G105/G$228</f>
        <v>1.7640082028337061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490">
        <f>'[1]Sch C'!D99</f>
        <v>0</v>
      </c>
      <c r="D106" s="490">
        <f>'[1]Sch C'!F99</f>
        <v>4004.35</v>
      </c>
      <c r="E106" s="171">
        <f t="shared" si="24"/>
        <v>4004.35</v>
      </c>
      <c r="F106" s="171"/>
      <c r="G106" s="171">
        <f t="shared" si="25"/>
        <v>4004.35</v>
      </c>
      <c r="H106" s="172">
        <f t="shared" si="26"/>
        <v>1.6278317136448092E-3</v>
      </c>
      <c r="I106" s="337"/>
      <c r="J106" s="168"/>
      <c r="K106" s="168"/>
      <c r="M106" s="364">
        <f t="shared" si="27"/>
        <v>0.29860924683072332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490">
        <f>'[1]Sch C'!D100</f>
        <v>1384</v>
      </c>
      <c r="D107" s="490">
        <f>'[1]Sch C'!F100</f>
        <v>0</v>
      </c>
      <c r="E107" s="171">
        <f t="shared" si="24"/>
        <v>1384</v>
      </c>
      <c r="F107" s="171"/>
      <c r="G107" s="171">
        <f t="shared" si="25"/>
        <v>1384</v>
      </c>
      <c r="H107" s="172">
        <f t="shared" si="26"/>
        <v>5.6261792592665876E-4</v>
      </c>
      <c r="I107" s="337"/>
      <c r="J107" s="168"/>
      <c r="K107" s="168"/>
      <c r="M107" s="364">
        <f t="shared" si="27"/>
        <v>0.10320656226696495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490">
        <f>'[1]Sch C'!D101</f>
        <v>0</v>
      </c>
      <c r="D108" s="490">
        <f>'[1]Sch C'!F101</f>
        <v>0</v>
      </c>
      <c r="E108" s="171">
        <f t="shared" si="24"/>
        <v>0</v>
      </c>
      <c r="F108" s="171"/>
      <c r="G108" s="171">
        <f t="shared" si="25"/>
        <v>0</v>
      </c>
      <c r="H108" s="172">
        <f t="shared" si="26"/>
        <v>0</v>
      </c>
      <c r="I108" s="337"/>
      <c r="J108" s="168"/>
      <c r="K108" s="168"/>
      <c r="M108" s="364">
        <f t="shared" si="27"/>
        <v>0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490">
        <f>'[1]Sch C'!D102</f>
        <v>1363</v>
      </c>
      <c r="D109" s="490">
        <f>'[1]Sch C'!F102</f>
        <v>0</v>
      </c>
      <c r="E109" s="171">
        <f t="shared" si="24"/>
        <v>1363</v>
      </c>
      <c r="F109" s="171"/>
      <c r="G109" s="171">
        <f t="shared" si="25"/>
        <v>1363</v>
      </c>
      <c r="H109" s="172">
        <f t="shared" si="26"/>
        <v>5.5408109323557507E-4</v>
      </c>
      <c r="I109" s="337"/>
      <c r="J109" s="168"/>
      <c r="K109" s="168"/>
      <c r="M109" s="364">
        <f t="shared" si="27"/>
        <v>0.10164056674123788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490">
        <f>'[1]Sch C'!D103</f>
        <v>0</v>
      </c>
      <c r="D110" s="490">
        <f>'[1]Sch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7"/>
      <c r="J110" s="168"/>
      <c r="K110" s="168"/>
      <c r="M110" s="364">
        <f t="shared" si="27"/>
        <v>0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490">
        <f>SUM(C105:C110)</f>
        <v>24629</v>
      </c>
      <c r="D111" s="490">
        <f>SUM(D105:D110)</f>
        <v>5777.7</v>
      </c>
      <c r="E111" s="171">
        <f t="shared" ref="E111:F111" si="28">SUM(E105:E110)</f>
        <v>30406.699999999997</v>
      </c>
      <c r="F111" s="171">
        <f t="shared" si="28"/>
        <v>0</v>
      </c>
      <c r="G111" s="171">
        <f>SUM(G105:G110)</f>
        <v>30406.699999999997</v>
      </c>
      <c r="H111" s="172">
        <f t="shared" si="26"/>
        <v>1.2360805266094026E-2</v>
      </c>
      <c r="I111" s="337"/>
      <c r="J111" s="168"/>
      <c r="K111" s="168"/>
      <c r="M111" s="364">
        <f>G111/G$228</f>
        <v>2.267464578672632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490">
        <f>'[1]Sch C'!D115</f>
        <v>36143</v>
      </c>
      <c r="D114" s="490">
        <f>'[1]Sch C'!F115</f>
        <v>5589.84</v>
      </c>
      <c r="E114" s="171">
        <f t="shared" ref="E114:E118" si="29">C114+D114</f>
        <v>41732.839999999997</v>
      </c>
      <c r="F114" s="171"/>
      <c r="G114" s="171">
        <f>E114+F114</f>
        <v>41732.839999999997</v>
      </c>
      <c r="H114" s="172">
        <f t="shared" ref="H114:H119" si="30">IF($G$208=0,0,G114/$G$208)</f>
        <v>1.6965060609703108E-2</v>
      </c>
      <c r="I114" s="337"/>
      <c r="J114" s="183">
        <v>3952.85</v>
      </c>
      <c r="K114" s="183">
        <v>4375.8500000000004</v>
      </c>
      <c r="M114" s="364">
        <f t="shared" ref="M114:M119" si="31">G114/G$228</f>
        <v>3.1120686055182696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490">
        <f>'[1]Sch C'!D116</f>
        <v>0</v>
      </c>
      <c r="D115" s="490">
        <f>'[1]Sch C'!F116</f>
        <v>6614.08</v>
      </c>
      <c r="E115" s="171">
        <f t="shared" si="29"/>
        <v>6614.08</v>
      </c>
      <c r="F115" s="171"/>
      <c r="G115" s="171">
        <f>E115+F115</f>
        <v>6614.08</v>
      </c>
      <c r="H115" s="172">
        <f t="shared" si="30"/>
        <v>2.6887283031163259E-3</v>
      </c>
      <c r="I115" s="337"/>
      <c r="J115" s="168"/>
      <c r="K115" s="168"/>
      <c r="M115" s="364">
        <f t="shared" si="31"/>
        <v>0.49321998508575687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490">
        <f>'[1]Sch C'!D117</f>
        <v>9014</v>
      </c>
      <c r="D116" s="490">
        <f>'[1]Sch C'!F117</f>
        <v>0</v>
      </c>
      <c r="E116" s="171">
        <f t="shared" si="29"/>
        <v>9014</v>
      </c>
      <c r="F116" s="171"/>
      <c r="G116" s="171">
        <f>E116+F116</f>
        <v>9014</v>
      </c>
      <c r="H116" s="172">
        <f t="shared" si="30"/>
        <v>3.6643338036870679E-3</v>
      </c>
      <c r="I116" s="337"/>
      <c r="J116" s="168"/>
      <c r="K116" s="168"/>
      <c r="M116" s="364">
        <f t="shared" si="31"/>
        <v>0.67218493661446677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490">
        <f>'[1]Sch C'!D118</f>
        <v>0</v>
      </c>
      <c r="D117" s="490">
        <f>'[1]Sch C'!F118</f>
        <v>0</v>
      </c>
      <c r="E117" s="171">
        <f t="shared" si="29"/>
        <v>0</v>
      </c>
      <c r="F117" s="171"/>
      <c r="G117" s="171">
        <f>E117+F117</f>
        <v>0</v>
      </c>
      <c r="H117" s="172">
        <f t="shared" si="30"/>
        <v>0</v>
      </c>
      <c r="I117" s="337"/>
      <c r="J117" s="168"/>
      <c r="K117" s="168"/>
      <c r="M117" s="364">
        <f t="shared" si="31"/>
        <v>0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490">
        <f>'[1]Sch C'!D119</f>
        <v>0</v>
      </c>
      <c r="D118" s="490">
        <f>'[1]Sch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337"/>
      <c r="J118" s="168"/>
      <c r="K118" s="168"/>
      <c r="M118" s="364">
        <f t="shared" si="31"/>
        <v>0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490">
        <f>SUM(C114:C118)</f>
        <v>45157</v>
      </c>
      <c r="D119" s="490">
        <f>SUM(D114:D118)</f>
        <v>12203.92</v>
      </c>
      <c r="E119" s="171">
        <f t="shared" ref="E119:F119" si="32">SUM(E114:E118)</f>
        <v>57360.92</v>
      </c>
      <c r="F119" s="171">
        <f t="shared" si="32"/>
        <v>0</v>
      </c>
      <c r="G119" s="171">
        <f>SUM(G114:G118)</f>
        <v>57360.92</v>
      </c>
      <c r="H119" s="172">
        <f t="shared" si="30"/>
        <v>2.33181227165065E-2</v>
      </c>
      <c r="I119" s="337"/>
      <c r="J119" s="168"/>
      <c r="K119" s="168"/>
      <c r="M119" s="364">
        <f t="shared" si="31"/>
        <v>4.2774735272184934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1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490">
        <f>'[1]Sch C'!D124</f>
        <v>0</v>
      </c>
      <c r="D123" s="490">
        <f>'[1]Sch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7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0.77002560279620991</v>
      </c>
    </row>
    <row r="124" spans="1:14" s="167" customFormat="1">
      <c r="B124" s="163" t="s">
        <v>194</v>
      </c>
      <c r="C124" s="490">
        <f>'[1]Sch C'!D125</f>
        <v>113097</v>
      </c>
      <c r="D124" s="490">
        <f>'[1]Sch C'!F125</f>
        <v>7872.87</v>
      </c>
      <c r="E124" s="171">
        <f t="shared" si="33"/>
        <v>120969.87</v>
      </c>
      <c r="F124" s="171"/>
      <c r="G124" s="171">
        <f>E124+F124</f>
        <v>120969.87</v>
      </c>
      <c r="H124" s="172">
        <f>IF($G$208=0,0,G124/$G$208)</f>
        <v>4.9176168612006889E-2</v>
      </c>
      <c r="I124" s="337"/>
      <c r="J124" s="183">
        <v>3977.05</v>
      </c>
      <c r="K124" s="183">
        <v>4220.05</v>
      </c>
      <c r="M124" s="364">
        <f t="shared" si="34"/>
        <v>9.0208702460850105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490">
        <f>'[1]Sch C'!D126</f>
        <v>0</v>
      </c>
      <c r="D125" s="490">
        <f>'[1]Sch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7"/>
      <c r="J125" s="183">
        <v>0</v>
      </c>
      <c r="K125" s="183">
        <v>0</v>
      </c>
      <c r="M125" s="364">
        <f t="shared" si="34"/>
        <v>0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490">
        <f>'[1]Sch C'!D127</f>
        <v>0</v>
      </c>
      <c r="D126" s="490">
        <f>'[1]Sch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7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490">
        <f>'[1]Sch C'!D128</f>
        <v>18870</v>
      </c>
      <c r="D127" s="490">
        <f>'[1]Sch C'!F128</f>
        <v>1797.24</v>
      </c>
      <c r="E127" s="171">
        <f t="shared" si="33"/>
        <v>20667.240000000002</v>
      </c>
      <c r="F127" s="171"/>
      <c r="G127" s="171">
        <f>E127+F127</f>
        <v>20667.240000000002</v>
      </c>
      <c r="H127" s="172">
        <f>IF($G$208=0,0,G127/$G$208)</f>
        <v>8.4015604793558386E-3</v>
      </c>
      <c r="I127" s="337"/>
      <c r="J127" s="183">
        <v>1371.35</v>
      </c>
      <c r="K127" s="183">
        <v>1496.05</v>
      </c>
      <c r="M127" s="364">
        <f t="shared" si="34"/>
        <v>1.5411812080536913</v>
      </c>
      <c r="N127" s="359">
        <f>SUMMARY!J130</f>
        <v>2.5140796974413586</v>
      </c>
    </row>
    <row r="128" spans="1:14" s="167" customFormat="1" ht="15.5">
      <c r="A128" s="169" t="s">
        <v>95</v>
      </c>
      <c r="B128" s="170" t="s">
        <v>152</v>
      </c>
      <c r="C128" s="580"/>
      <c r="D128" s="580"/>
      <c r="E128"/>
      <c r="F128" s="205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490">
        <f>'[1]Sch C'!D130</f>
        <v>0</v>
      </c>
      <c r="D129" s="490">
        <f>'[1]Sch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7"/>
      <c r="J129" s="204"/>
      <c r="K129" s="204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490">
        <f>'[1]Sch C'!D131</f>
        <v>0</v>
      </c>
      <c r="D130" s="490">
        <f>'[1]Sch C'!F131</f>
        <v>20696.46</v>
      </c>
      <c r="E130" s="171">
        <f t="shared" si="35"/>
        <v>20696.46</v>
      </c>
      <c r="F130" s="171"/>
      <c r="G130" s="171">
        <f>E130+F130</f>
        <v>20696.46</v>
      </c>
      <c r="H130" s="172">
        <f>IF($G$208=0,0,G130/$G$208)</f>
        <v>8.4134388722717172E-3</v>
      </c>
      <c r="I130" s="337"/>
      <c r="J130" s="204"/>
      <c r="K130" s="204"/>
      <c r="M130" s="364">
        <f t="shared" si="34"/>
        <v>1.5433601789709173</v>
      </c>
      <c r="N130" s="359">
        <f>SUMMARY!J133</f>
        <v>1.0792348507966931</v>
      </c>
    </row>
    <row r="131" spans="1:14" s="167" customFormat="1">
      <c r="B131" s="163" t="s">
        <v>195</v>
      </c>
      <c r="C131" s="490">
        <f>'[1]Sch C'!D132</f>
        <v>0</v>
      </c>
      <c r="D131" s="490">
        <f>'[1]Sch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7"/>
      <c r="J131" s="168"/>
      <c r="K131" s="168"/>
      <c r="M131" s="364">
        <f t="shared" si="34"/>
        <v>0</v>
      </c>
      <c r="N131" s="359">
        <f>SUMMARY!J134</f>
        <v>8.2765628075518377E-2</v>
      </c>
    </row>
    <row r="132" spans="1:14" s="167" customFormat="1">
      <c r="B132" s="163" t="s">
        <v>196</v>
      </c>
      <c r="C132" s="490">
        <f>'[1]Sch C'!D133</f>
        <v>0</v>
      </c>
      <c r="D132" s="490">
        <f>'[1]Sch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490">
        <f>'[1]Sch C'!D134</f>
        <v>0</v>
      </c>
      <c r="D133" s="490">
        <f>'[1]Sch C'!F134</f>
        <v>3453.16</v>
      </c>
      <c r="E133" s="171">
        <f t="shared" si="35"/>
        <v>3453.16</v>
      </c>
      <c r="F133" s="171"/>
      <c r="G133" s="171">
        <f>E133+F133</f>
        <v>3453.16</v>
      </c>
      <c r="H133" s="172">
        <f>IF($G$208=0,0,G133/$G$208)</f>
        <v>1.4037642464544082E-3</v>
      </c>
      <c r="I133" s="337"/>
      <c r="J133" s="168"/>
      <c r="K133" s="168"/>
      <c r="M133" s="364">
        <f t="shared" si="34"/>
        <v>0.25750633855331839</v>
      </c>
      <c r="N133" s="359">
        <f>SUMMARY!J136</f>
        <v>0.48951420004915208</v>
      </c>
    </row>
    <row r="134" spans="1:14" s="167" customFormat="1" ht="15.5">
      <c r="A134" s="169" t="s">
        <v>86</v>
      </c>
      <c r="B134" s="170" t="s">
        <v>64</v>
      </c>
      <c r="C134" s="196"/>
      <c r="D134" s="196"/>
      <c r="E134"/>
      <c r="F134" s="196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490">
        <f>'[1]Sch C'!D136</f>
        <v>151639</v>
      </c>
      <c r="D135" s="490">
        <f>'[1]Sch C'!F136</f>
        <v>9455.7199999999993</v>
      </c>
      <c r="E135" s="171">
        <f t="shared" ref="E135:E138" si="36">C135+D135</f>
        <v>161094.72</v>
      </c>
      <c r="F135" s="171"/>
      <c r="G135" s="171">
        <f>E135+F135</f>
        <v>161094.72</v>
      </c>
      <c r="H135" s="172">
        <f>IF($G$208=0,0,G135/$G$208)</f>
        <v>6.5487555812236878E-2</v>
      </c>
      <c r="I135" s="337"/>
      <c r="J135" s="183">
        <v>5859</v>
      </c>
      <c r="K135" s="183">
        <v>6168.45</v>
      </c>
      <c r="M135" s="364">
        <f t="shared" si="34"/>
        <v>12.013029082774048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490">
        <f>'[1]Sch C'!D137</f>
        <v>98046</v>
      </c>
      <c r="D136" s="490">
        <f>'[1]Sch C'!F137</f>
        <v>6104.03</v>
      </c>
      <c r="E136" s="171">
        <f t="shared" si="36"/>
        <v>104150.03</v>
      </c>
      <c r="F136" s="171"/>
      <c r="G136" s="171">
        <f>E136+F136</f>
        <v>104150.03</v>
      </c>
      <c r="H136" s="172">
        <f>IF($G$208=0,0,G136/$G$208)</f>
        <v>4.2338637184826076E-2</v>
      </c>
      <c r="I136" s="337"/>
      <c r="J136" s="183">
        <v>4473.5</v>
      </c>
      <c r="K136" s="183">
        <v>4720</v>
      </c>
      <c r="M136" s="364">
        <f t="shared" si="34"/>
        <v>7.766594332587621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490">
        <f>'[1]Sch C'!D138</f>
        <v>313718</v>
      </c>
      <c r="D137" s="490">
        <f>'[1]Sch C'!F138</f>
        <v>25204.87</v>
      </c>
      <c r="E137" s="171">
        <f t="shared" si="36"/>
        <v>338922.87</v>
      </c>
      <c r="F137" s="171"/>
      <c r="G137" s="171">
        <f>E137+F137</f>
        <v>338922.87</v>
      </c>
      <c r="H137" s="172">
        <f>IF($G$208=0,0,G137/$G$208)</f>
        <v>0.13777751601770996</v>
      </c>
      <c r="I137" s="337"/>
      <c r="J137" s="183">
        <v>29245.760000000002</v>
      </c>
      <c r="K137" s="183">
        <v>30953.260000000002</v>
      </c>
      <c r="M137" s="364">
        <f t="shared" si="34"/>
        <v>25.273890380313198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490">
        <f>'[1]Sch C'!D139</f>
        <v>0</v>
      </c>
      <c r="D138" s="490">
        <f>'[1]Sch C'!F139</f>
        <v>0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7"/>
      <c r="J138" s="183">
        <v>0</v>
      </c>
      <c r="K138" s="183">
        <v>0</v>
      </c>
      <c r="M138" s="364">
        <f t="shared" si="34"/>
        <v>0</v>
      </c>
      <c r="N138" s="359">
        <f>SUMMARY!J141</f>
        <v>2.553029289205647</v>
      </c>
    </row>
    <row r="139" spans="1:14" s="167" customFormat="1" ht="15.5">
      <c r="A139" s="169" t="s">
        <v>96</v>
      </c>
      <c r="B139" s="170" t="s">
        <v>153</v>
      </c>
      <c r="C139" s="196"/>
      <c r="D139" s="196"/>
      <c r="E139"/>
      <c r="F139" s="196"/>
      <c r="G139" s="196"/>
      <c r="H139" s="197"/>
      <c r="I139" s="337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490">
        <f>'[1]Sch C'!D141</f>
        <v>0</v>
      </c>
      <c r="D140" s="490">
        <f>'[1]Sch C'!F141</f>
        <v>27749.55</v>
      </c>
      <c r="E140" s="171">
        <f t="shared" ref="E140:E143" si="37">C140+D140</f>
        <v>27749.55</v>
      </c>
      <c r="F140" s="171"/>
      <c r="G140" s="171">
        <f>E140+F140</f>
        <v>27749.55</v>
      </c>
      <c r="H140" s="172">
        <f>IF($G$208=0,0,G140/$G$208)</f>
        <v>1.128063169537436E-2</v>
      </c>
      <c r="I140" s="337"/>
      <c r="J140" s="168"/>
      <c r="K140" s="168"/>
      <c r="M140" s="364">
        <f t="shared" si="34"/>
        <v>2.0693176733780758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490">
        <f>'[1]Sch C'!D142</f>
        <v>0</v>
      </c>
      <c r="D141" s="490">
        <f>'[1]Sch C'!F142</f>
        <v>17942.169999999998</v>
      </c>
      <c r="E141" s="171">
        <f t="shared" si="37"/>
        <v>17942.169999999998</v>
      </c>
      <c r="F141" s="171"/>
      <c r="G141" s="171">
        <f>E141+F141</f>
        <v>17942.169999999998</v>
      </c>
      <c r="H141" s="172">
        <f>IF($G$208=0,0,G141/$G$208)</f>
        <v>7.2937763526181492E-3</v>
      </c>
      <c r="I141" s="337"/>
      <c r="J141" s="168"/>
      <c r="K141" s="168"/>
      <c r="M141" s="364">
        <f t="shared" si="34"/>
        <v>1.3379694258016404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490">
        <f>'[1]Sch C'!D143</f>
        <v>0</v>
      </c>
      <c r="D142" s="490">
        <f>'[1]Sch C'!F143</f>
        <v>57409.599999999999</v>
      </c>
      <c r="E142" s="171">
        <f t="shared" si="37"/>
        <v>57409.599999999999</v>
      </c>
      <c r="F142" s="171"/>
      <c r="G142" s="171">
        <f>E142+F142</f>
        <v>57409.599999999999</v>
      </c>
      <c r="H142" s="172">
        <f>IF($G$208=0,0,G142/$G$208)</f>
        <v>2.3337911907716117E-2</v>
      </c>
      <c r="I142" s="337"/>
      <c r="J142" s="168"/>
      <c r="K142" s="168"/>
      <c r="M142" s="364">
        <f t="shared" si="34"/>
        <v>4.2811036539895602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490">
        <f>'[1]Sch C'!D144</f>
        <v>0</v>
      </c>
      <c r="D143" s="490">
        <f>'[1]Sch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7"/>
      <c r="J143" s="168"/>
      <c r="K143" s="168"/>
      <c r="M143" s="364">
        <f t="shared" si="34"/>
        <v>0</v>
      </c>
      <c r="N143" s="359">
        <f>SUMMARY!J146</f>
        <v>0.71727598372518497</v>
      </c>
    </row>
    <row r="144" spans="1:14" s="167" customFormat="1" ht="15.5">
      <c r="A144" s="169" t="s">
        <v>87</v>
      </c>
      <c r="B144" s="170" t="s">
        <v>98</v>
      </c>
      <c r="C144" s="196"/>
      <c r="D144" s="196"/>
      <c r="E144"/>
      <c r="F144" s="196"/>
      <c r="G144" s="196"/>
      <c r="H144" s="197"/>
      <c r="I144" s="337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490">
        <f>'[1]Sch C'!D146</f>
        <v>24000</v>
      </c>
      <c r="D145" s="490">
        <f>'[1]Sch C'!F146</f>
        <v>0</v>
      </c>
      <c r="E145" s="171">
        <f t="shared" ref="E145:E153" si="38">C145+D145</f>
        <v>24000</v>
      </c>
      <c r="F145" s="171"/>
      <c r="G145" s="171">
        <f t="shared" ref="G145:G153" si="39">E145+F145</f>
        <v>24000</v>
      </c>
      <c r="H145" s="172">
        <f t="shared" ref="H145:H153" si="40">IF($G$208=0,0,G145/$G$208)</f>
        <v>9.7563802183813653E-3</v>
      </c>
      <c r="I145" s="337"/>
      <c r="J145" s="183">
        <v>0</v>
      </c>
      <c r="K145" s="183">
        <v>0</v>
      </c>
      <c r="M145" s="364">
        <f t="shared" si="34"/>
        <v>1.7897091722595078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490">
        <f>'[1]Sch C'!D147</f>
        <v>0</v>
      </c>
      <c r="D146" s="490">
        <f>'[1]Sch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337"/>
      <c r="J146" s="183">
        <v>0</v>
      </c>
      <c r="K146" s="183">
        <v>0</v>
      </c>
      <c r="M146" s="364">
        <f t="shared" si="34"/>
        <v>0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490">
        <f>'[1]Sch C'!D148</f>
        <v>0</v>
      </c>
      <c r="D147" s="490">
        <f>'[1]Sch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7"/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490">
        <f>'[1]Sch C'!D149</f>
        <v>0</v>
      </c>
      <c r="D148" s="490">
        <f>'[1]Sch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7"/>
      <c r="J148" s="183">
        <v>0</v>
      </c>
      <c r="K148" s="183">
        <v>0</v>
      </c>
      <c r="M148" s="364">
        <f t="shared" si="34"/>
        <v>0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490">
        <f>'[1]Sch C'!D150</f>
        <v>24231</v>
      </c>
      <c r="D149" s="490">
        <f>'[1]Sch C'!F150</f>
        <v>0</v>
      </c>
      <c r="E149" s="171">
        <f t="shared" si="38"/>
        <v>24231</v>
      </c>
      <c r="F149" s="171"/>
      <c r="G149" s="171">
        <f t="shared" si="39"/>
        <v>24231</v>
      </c>
      <c r="H149" s="172">
        <f t="shared" si="40"/>
        <v>9.8502853779832856E-3</v>
      </c>
      <c r="I149" s="337"/>
      <c r="J149" s="183">
        <v>0</v>
      </c>
      <c r="K149" s="183">
        <v>0</v>
      </c>
      <c r="M149" s="364">
        <f t="shared" si="34"/>
        <v>1.8069351230425057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490">
        <f>'[1]Sch C'!D151</f>
        <v>53298</v>
      </c>
      <c r="D150" s="490">
        <f>'[1]Sch C'!F151</f>
        <v>0</v>
      </c>
      <c r="E150" s="171">
        <f t="shared" si="38"/>
        <v>53298</v>
      </c>
      <c r="F150" s="171"/>
      <c r="G150" s="171">
        <f t="shared" si="39"/>
        <v>53298</v>
      </c>
      <c r="H150" s="172">
        <f t="shared" si="40"/>
        <v>2.1666481369970417E-2</v>
      </c>
      <c r="I150" s="337"/>
      <c r="J150" s="168"/>
      <c r="K150" s="168"/>
      <c r="M150" s="364">
        <f t="shared" si="34"/>
        <v>3.9744966442953018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490">
        <f>'[1]Sch C'!D152</f>
        <v>0</v>
      </c>
      <c r="D151" s="490">
        <f>'[1]Sch C'!F152</f>
        <v>0</v>
      </c>
      <c r="E151" s="171">
        <f t="shared" si="38"/>
        <v>0</v>
      </c>
      <c r="F151" s="171"/>
      <c r="G151" s="171">
        <f t="shared" si="39"/>
        <v>0</v>
      </c>
      <c r="H151" s="172">
        <f t="shared" si="40"/>
        <v>0</v>
      </c>
      <c r="I151" s="337"/>
      <c r="J151" s="168"/>
      <c r="K151" s="168"/>
      <c r="M151" s="364">
        <f t="shared" si="34"/>
        <v>0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490">
        <f>'[1]Sch C'!D153</f>
        <v>0</v>
      </c>
      <c r="D152" s="490">
        <f>'[1]Sch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7"/>
      <c r="J152" s="168"/>
      <c r="K152" s="168"/>
      <c r="M152" s="364">
        <f t="shared" si="34"/>
        <v>0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490">
        <f>'[1]Sch C'!D154</f>
        <v>0</v>
      </c>
      <c r="D153" s="490">
        <f>'[1]Sch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 ht="15.5">
      <c r="A154" s="169"/>
      <c r="B154" s="209" t="s">
        <v>101</v>
      </c>
      <c r="C154" s="572"/>
      <c r="D154" s="572"/>
      <c r="E154"/>
      <c r="F154" s="210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490">
        <f>'[1]Sch C'!D156</f>
        <v>0</v>
      </c>
      <c r="D155" s="490">
        <f>'[1]Sch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490">
        <f>'[1]Sch C'!D157</f>
        <v>0</v>
      </c>
      <c r="D156" s="490">
        <f>'[1]Sch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490">
        <f>'[1]Sch C'!D158</f>
        <v>0</v>
      </c>
      <c r="D157" s="490">
        <f>'[1]Sch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7"/>
      <c r="J157" s="168"/>
      <c r="K157" s="168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490">
        <f>'[1]Sch C'!D159</f>
        <v>0</v>
      </c>
      <c r="D158" s="490">
        <f>'[1]Sch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490">
        <f>'[1]Sch C'!D160</f>
        <v>0</v>
      </c>
      <c r="D159" s="490">
        <f>'[1]Sch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7"/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490">
        <f>'[1]Sch C'!D161</f>
        <v>1075</v>
      </c>
      <c r="D160" s="490">
        <f>'[1]Sch C'!F161</f>
        <v>0</v>
      </c>
      <c r="E160" s="171">
        <f t="shared" si="41"/>
        <v>1075</v>
      </c>
      <c r="F160" s="171"/>
      <c r="G160" s="171">
        <f t="shared" si="42"/>
        <v>1075</v>
      </c>
      <c r="H160" s="172">
        <f t="shared" si="43"/>
        <v>4.3700453061499867E-4</v>
      </c>
      <c r="I160" s="337"/>
      <c r="J160" s="168"/>
      <c r="K160" s="168"/>
      <c r="M160" s="364">
        <f t="shared" si="34"/>
        <v>8.0164056674123782E-2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490">
        <f>SUM(C123:C160)</f>
        <v>797974</v>
      </c>
      <c r="D161" s="490">
        <f>SUM(D123:D160)</f>
        <v>177685.66999999998</v>
      </c>
      <c r="E161" s="171">
        <f t="shared" ref="E161:F161" si="44">SUM(E123:E160)</f>
        <v>975659.67</v>
      </c>
      <c r="F161" s="171">
        <f t="shared" si="44"/>
        <v>0</v>
      </c>
      <c r="G161" s="171">
        <f>SUM(G123:G160)</f>
        <v>975659.67</v>
      </c>
      <c r="H161" s="172">
        <f t="shared" si="43"/>
        <v>0.39662111267752048</v>
      </c>
      <c r="I161" s="337"/>
      <c r="J161" s="168"/>
      <c r="K161" s="168"/>
      <c r="M161" s="364">
        <f>G161/G$228</f>
        <v>72.75612751677852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337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7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490">
        <f>'[1]Sch C'!D175</f>
        <v>0</v>
      </c>
      <c r="D164" s="490">
        <f>'[1]Sch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490">
        <f>'[1]Sch C'!D176</f>
        <v>0</v>
      </c>
      <c r="D165" s="490">
        <f>'[1]Sch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490">
        <f>'[1]Sch C'!D177</f>
        <v>0</v>
      </c>
      <c r="D166" s="490">
        <f>'[1]Sch C'!F177</f>
        <v>0</v>
      </c>
      <c r="E166" s="171">
        <f t="shared" si="45"/>
        <v>0</v>
      </c>
      <c r="F166" s="216"/>
      <c r="G166" s="171">
        <f t="shared" si="46"/>
        <v>0</v>
      </c>
      <c r="H166" s="172">
        <f t="shared" si="47"/>
        <v>0</v>
      </c>
      <c r="I166" s="343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490">
        <f>'[1]Sch C'!D178</f>
        <v>0</v>
      </c>
      <c r="D167" s="490">
        <f>'[1]Sch C'!F178</f>
        <v>0</v>
      </c>
      <c r="E167" s="171">
        <f t="shared" si="45"/>
        <v>0</v>
      </c>
      <c r="F167" s="216"/>
      <c r="G167" s="171">
        <f t="shared" si="46"/>
        <v>0</v>
      </c>
      <c r="H167" s="172">
        <f t="shared" si="47"/>
        <v>0</v>
      </c>
      <c r="I167" s="344"/>
      <c r="J167" s="222"/>
      <c r="K167" s="222"/>
      <c r="L167" s="218"/>
      <c r="M167" s="364">
        <f t="shared" si="48"/>
        <v>0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490">
        <f>'[1]Sch C'!D179</f>
        <v>0</v>
      </c>
      <c r="D168" s="490">
        <f>'[1]Sch C'!F179</f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343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490">
        <f>'[1]Sch C'!D180</f>
        <v>0</v>
      </c>
      <c r="D169" s="490">
        <f>'[1]Sch C'!F180</f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344"/>
      <c r="J169" s="222"/>
      <c r="K169" s="222"/>
      <c r="L169" s="218"/>
      <c r="M169" s="364">
        <f t="shared" si="48"/>
        <v>0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490">
        <f>'[1]Sch C'!D181</f>
        <v>0</v>
      </c>
      <c r="D170" s="490">
        <f>'[1]Sch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3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490">
        <f>'[1]Sch C'!D182</f>
        <v>0</v>
      </c>
      <c r="D171" s="490">
        <f>'[1]Sch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490">
        <f>'[1]Sch C'!D183</f>
        <v>0</v>
      </c>
      <c r="D172" s="490">
        <f>'[1]Sch C'!F183</f>
        <v>0</v>
      </c>
      <c r="E172" s="171">
        <f t="shared" si="45"/>
        <v>0</v>
      </c>
      <c r="F172" s="216"/>
      <c r="G172" s="171">
        <f t="shared" si="46"/>
        <v>0</v>
      </c>
      <c r="H172" s="172">
        <f t="shared" si="47"/>
        <v>0</v>
      </c>
      <c r="I172" s="343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490">
        <f>'[1]Sch C'!D184</f>
        <v>0</v>
      </c>
      <c r="D173" s="490">
        <f>'[1]Sch C'!F184</f>
        <v>0</v>
      </c>
      <c r="E173" s="171">
        <f t="shared" si="45"/>
        <v>0</v>
      </c>
      <c r="F173" s="216"/>
      <c r="G173" s="171">
        <f t="shared" si="46"/>
        <v>0</v>
      </c>
      <c r="H173" s="172">
        <f t="shared" si="47"/>
        <v>0</v>
      </c>
      <c r="I173" s="344"/>
      <c r="J173" s="222"/>
      <c r="K173" s="222"/>
      <c r="L173" s="218"/>
      <c r="M173" s="364">
        <f t="shared" si="48"/>
        <v>0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490">
        <f>'[1]Sch C'!D185</f>
        <v>0</v>
      </c>
      <c r="D174" s="490">
        <f>'[1]Sch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3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490">
        <f>'[1]Sch C'!D186</f>
        <v>0</v>
      </c>
      <c r="D175" s="490">
        <f>'[1]Sch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490">
        <f>'[1]Sch C'!D187</f>
        <v>0</v>
      </c>
      <c r="D176" s="490">
        <f>'[1]Sch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490">
        <f>'[1]Sch C'!D188</f>
        <v>664</v>
      </c>
      <c r="D177" s="490">
        <f>'[1]Sch C'!F188</f>
        <v>0</v>
      </c>
      <c r="E177" s="171">
        <f t="shared" si="45"/>
        <v>664</v>
      </c>
      <c r="F177" s="216"/>
      <c r="G177" s="171">
        <f t="shared" si="46"/>
        <v>664</v>
      </c>
      <c r="H177" s="172">
        <f t="shared" si="47"/>
        <v>2.6992651937521778E-4</v>
      </c>
      <c r="I177" s="337"/>
      <c r="J177" s="223"/>
      <c r="K177" s="218"/>
      <c r="L177" s="220"/>
      <c r="M177" s="364">
        <f t="shared" si="48"/>
        <v>4.9515287099179718E-2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490">
        <f>'[1]Sch C'!D189</f>
        <v>0</v>
      </c>
      <c r="D178" s="490">
        <f>'[1]Sch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337"/>
      <c r="J178" s="223"/>
      <c r="K178" s="218"/>
      <c r="L178" s="220"/>
      <c r="M178" s="364">
        <f t="shared" si="48"/>
        <v>0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490">
        <f>'[1]Sch C'!D190</f>
        <v>0</v>
      </c>
      <c r="D179" s="490">
        <f>'[1]Sch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490">
        <f>'[1]Sch C'!D191</f>
        <v>342</v>
      </c>
      <c r="D180" s="490">
        <f>'[1]Sch C'!F191</f>
        <v>0</v>
      </c>
      <c r="E180" s="171">
        <f t="shared" si="45"/>
        <v>342</v>
      </c>
      <c r="F180" s="216"/>
      <c r="G180" s="171">
        <f t="shared" si="46"/>
        <v>342</v>
      </c>
      <c r="H180" s="172">
        <f t="shared" si="47"/>
        <v>1.3902841811193445E-4</v>
      </c>
      <c r="I180" s="337"/>
      <c r="J180" s="223"/>
      <c r="K180" s="218"/>
      <c r="L180" s="220"/>
      <c r="M180" s="364">
        <f t="shared" si="48"/>
        <v>2.5503355704697986E-2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490">
        <f>'[1]Sch C'!D192</f>
        <v>0</v>
      </c>
      <c r="D181" s="490">
        <f>'[1]Sch C'!F192</f>
        <v>0</v>
      </c>
      <c r="E181" s="171">
        <f t="shared" si="45"/>
        <v>0</v>
      </c>
      <c r="F181" s="216"/>
      <c r="G181" s="171">
        <f t="shared" si="46"/>
        <v>0</v>
      </c>
      <c r="H181" s="172">
        <f t="shared" si="47"/>
        <v>0</v>
      </c>
      <c r="I181" s="337"/>
      <c r="J181" s="223"/>
      <c r="K181" s="218"/>
      <c r="L181" s="220"/>
      <c r="M181" s="364">
        <f t="shared" si="48"/>
        <v>0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490">
        <f>'[1]Sch C'!D193</f>
        <v>0</v>
      </c>
      <c r="D182" s="490">
        <f>'[1]Sch C'!F193</f>
        <v>0</v>
      </c>
      <c r="E182" s="171">
        <f t="shared" si="45"/>
        <v>0</v>
      </c>
      <c r="F182" s="216"/>
      <c r="G182" s="171">
        <f t="shared" si="46"/>
        <v>0</v>
      </c>
      <c r="H182" s="172">
        <f t="shared" si="47"/>
        <v>0</v>
      </c>
      <c r="I182" s="337"/>
      <c r="J182" s="223"/>
      <c r="K182" s="218"/>
      <c r="L182" s="220"/>
      <c r="M182" s="364">
        <f t="shared" si="48"/>
        <v>0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490">
        <f>'[1]Sch C'!D194</f>
        <v>66086</v>
      </c>
      <c r="D183" s="490">
        <f>'[1]Sch C'!F194</f>
        <v>0</v>
      </c>
      <c r="E183" s="171">
        <f t="shared" si="45"/>
        <v>66086</v>
      </c>
      <c r="F183" s="216"/>
      <c r="G183" s="171">
        <f t="shared" si="46"/>
        <v>66086</v>
      </c>
      <c r="H183" s="172">
        <f t="shared" si="47"/>
        <v>2.6865005962997957E-2</v>
      </c>
      <c r="I183" s="337"/>
      <c r="J183" s="223"/>
      <c r="K183" s="218"/>
      <c r="M183" s="364">
        <f t="shared" si="48"/>
        <v>4.9281133482475763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490">
        <f>'[1]Sch C'!D195</f>
        <v>1826</v>
      </c>
      <c r="D184" s="490">
        <f>'[1]Sch C'!F195</f>
        <v>0</v>
      </c>
      <c r="E184" s="171">
        <f t="shared" si="45"/>
        <v>1826</v>
      </c>
      <c r="F184" s="216"/>
      <c r="G184" s="171">
        <f t="shared" si="46"/>
        <v>1826</v>
      </c>
      <c r="H184" s="172">
        <f t="shared" si="47"/>
        <v>7.422979282818489E-4</v>
      </c>
      <c r="I184" s="337"/>
      <c r="J184" s="223"/>
      <c r="K184" s="218"/>
      <c r="M184" s="364">
        <f t="shared" si="48"/>
        <v>0.13616703952274423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490">
        <f>'[1]Sch C'!D196</f>
        <v>0</v>
      </c>
      <c r="D185" s="490">
        <f>'[1]Sch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490">
        <f>'[1]Sch C'!D197</f>
        <v>42679</v>
      </c>
      <c r="D186" s="490">
        <f>'[1]Sch C'!F197</f>
        <v>0</v>
      </c>
      <c r="E186" s="171">
        <f t="shared" si="45"/>
        <v>42679</v>
      </c>
      <c r="F186" s="216"/>
      <c r="G186" s="171">
        <f t="shared" si="46"/>
        <v>42679</v>
      </c>
      <c r="H186" s="172">
        <f t="shared" si="47"/>
        <v>1.7349689639179097E-2</v>
      </c>
      <c r="I186" s="337"/>
      <c r="J186" s="223"/>
      <c r="K186" s="218"/>
      <c r="M186" s="364">
        <f t="shared" si="48"/>
        <v>3.1826249067859806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490">
        <f>'[1]Sch C'!D198</f>
        <v>8876</v>
      </c>
      <c r="D187" s="490">
        <f>'[1]Sch C'!F198</f>
        <v>0</v>
      </c>
      <c r="E187" s="171">
        <f t="shared" si="45"/>
        <v>8876</v>
      </c>
      <c r="F187" s="216"/>
      <c r="G187" s="171">
        <f t="shared" si="46"/>
        <v>8876</v>
      </c>
      <c r="H187" s="172">
        <f t="shared" si="47"/>
        <v>3.6082346174313752E-3</v>
      </c>
      <c r="I187" s="337"/>
      <c r="J187" s="223"/>
      <c r="K187" s="218"/>
      <c r="M187" s="364">
        <f t="shared" si="48"/>
        <v>0.6618941088739746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490">
        <f>'[1]Sch C'!D199</f>
        <v>0</v>
      </c>
      <c r="D188" s="490">
        <f>'[1]Sch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7"/>
      <c r="J188" s="223"/>
      <c r="K188" s="218"/>
      <c r="M188" s="364">
        <f t="shared" si="48"/>
        <v>0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490">
        <f>'[1]Sch C'!D200</f>
        <v>0</v>
      </c>
      <c r="D189" s="490">
        <f>'[1]Sch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7"/>
      <c r="J189" s="223"/>
      <c r="K189" s="218"/>
      <c r="M189" s="364">
        <f t="shared" si="48"/>
        <v>0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490">
        <f>'[1]Sch C'!D201</f>
        <v>0</v>
      </c>
      <c r="D190" s="490">
        <f>'[1]Sch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7"/>
      <c r="J190" s="223"/>
      <c r="K190" s="218"/>
      <c r="M190" s="364">
        <f t="shared" si="48"/>
        <v>0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490">
        <f>'[1]Sch C'!D202</f>
        <v>0</v>
      </c>
      <c r="D191" s="490">
        <f>'[1]Sch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490">
        <f>'[1]Sch C'!D203</f>
        <v>0</v>
      </c>
      <c r="D192" s="490">
        <f>'[1]Sch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7"/>
      <c r="J192" s="223"/>
      <c r="K192" s="218"/>
      <c r="M192" s="364">
        <f t="shared" si="48"/>
        <v>0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490">
        <f>'[1]Sch C'!D204</f>
        <v>0</v>
      </c>
      <c r="D193" s="490">
        <f>'[1]Sch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490">
        <f>'[1]Sch C'!D205</f>
        <v>59073</v>
      </c>
      <c r="D194" s="490">
        <f>'[1]Sch C'!F205</f>
        <v>0</v>
      </c>
      <c r="E194" s="171">
        <f t="shared" si="45"/>
        <v>59073</v>
      </c>
      <c r="F194" s="216"/>
      <c r="G194" s="171">
        <f t="shared" si="46"/>
        <v>59073</v>
      </c>
      <c r="H194" s="172">
        <f t="shared" si="47"/>
        <v>2.4014110360018433E-2</v>
      </c>
      <c r="I194" s="337"/>
      <c r="J194" s="223"/>
      <c r="K194" s="218"/>
      <c r="M194" s="364">
        <f t="shared" si="48"/>
        <v>4.4051454138702457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490">
        <f>'[1]Sch C'!D206</f>
        <v>3158</v>
      </c>
      <c r="D195" s="490">
        <f>'[1]Sch C'!F206</f>
        <v>0</v>
      </c>
      <c r="E195" s="171">
        <f t="shared" si="45"/>
        <v>3158</v>
      </c>
      <c r="F195" s="216"/>
      <c r="G195" s="171">
        <f t="shared" si="46"/>
        <v>3158</v>
      </c>
      <c r="H195" s="172">
        <f t="shared" si="47"/>
        <v>1.2837770304020147E-3</v>
      </c>
      <c r="I195" s="337"/>
      <c r="J195" s="223"/>
      <c r="K195" s="218"/>
      <c r="M195" s="364">
        <f t="shared" si="48"/>
        <v>0.2354958985831469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490">
        <f>'[1]Sch C'!D207</f>
        <v>0</v>
      </c>
      <c r="D196" s="490">
        <f>'[1]Sch C'!F207</f>
        <v>0</v>
      </c>
      <c r="E196" s="171">
        <f t="shared" si="45"/>
        <v>0</v>
      </c>
      <c r="F196" s="216"/>
      <c r="G196" s="171">
        <f t="shared" si="46"/>
        <v>0</v>
      </c>
      <c r="H196" s="172">
        <f t="shared" si="47"/>
        <v>0</v>
      </c>
      <c r="I196" s="337"/>
      <c r="J196" s="223"/>
      <c r="K196" s="218"/>
      <c r="M196" s="364">
        <f t="shared" si="48"/>
        <v>0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490">
        <f>SUM(C164:C196)</f>
        <v>182704</v>
      </c>
      <c r="D197" s="490">
        <f>SUM(D164:D196)</f>
        <v>0</v>
      </c>
      <c r="E197" s="171">
        <f t="shared" ref="E197:F197" si="49">SUM(E164:E196)</f>
        <v>182704</v>
      </c>
      <c r="F197" s="171">
        <f t="shared" si="49"/>
        <v>0</v>
      </c>
      <c r="G197" s="171">
        <f>SUM(G164:G196)</f>
        <v>182704</v>
      </c>
      <c r="H197" s="172">
        <f>IF($G$208=0,0,G197/$G$208)</f>
        <v>7.4272070475797883E-2</v>
      </c>
      <c r="I197" s="337"/>
      <c r="J197" s="168"/>
      <c r="K197" s="168"/>
      <c r="M197" s="364">
        <f>G197/G$228</f>
        <v>13.624459358687547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165"/>
      <c r="G198" s="165"/>
      <c r="H198" s="198"/>
      <c r="I198" s="341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1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490">
        <f>'[1]Sch C'!D211</f>
        <v>49070</v>
      </c>
      <c r="D200" s="490">
        <f>'[1]Sch C'!F211</f>
        <v>3682.18</v>
      </c>
      <c r="E200" s="171">
        <f t="shared" ref="E200:E205" si="50">C200+D200</f>
        <v>52752.18</v>
      </c>
      <c r="F200" s="171"/>
      <c r="G200" s="171">
        <f t="shared" ref="G200:G205" si="51">E200+F200</f>
        <v>52752.18</v>
      </c>
      <c r="H200" s="172">
        <f t="shared" ref="H200:H206" si="52">IF($G$208=0,0,G200/$G$208)</f>
        <v>2.1444596892853881E-2</v>
      </c>
      <c r="I200" s="337"/>
      <c r="J200" s="183">
        <v>3466.3</v>
      </c>
      <c r="K200" s="183">
        <v>3885.05</v>
      </c>
      <c r="M200" s="364">
        <f t="shared" ref="M200:M205" si="53">G200/G$228</f>
        <v>3.9337941834451904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490">
        <f>'[1]Sch C'!D212</f>
        <v>0</v>
      </c>
      <c r="D201" s="490">
        <f>'[1]Sch C'!F212</f>
        <v>8979.69</v>
      </c>
      <c r="E201" s="171">
        <f t="shared" si="50"/>
        <v>8979.69</v>
      </c>
      <c r="F201" s="171"/>
      <c r="G201" s="171">
        <f t="shared" si="51"/>
        <v>8979.69</v>
      </c>
      <c r="H201" s="172">
        <f t="shared" si="52"/>
        <v>3.650386245133207E-3</v>
      </c>
      <c r="I201" s="337"/>
      <c r="J201" s="168"/>
      <c r="K201" s="168"/>
      <c r="M201" s="364">
        <f t="shared" si="53"/>
        <v>0.66962639821029091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490">
        <f>'[1]Sch C'!D213</f>
        <v>7915</v>
      </c>
      <c r="D202" s="490">
        <f>'[1]Sch C'!F213</f>
        <v>0</v>
      </c>
      <c r="E202" s="171">
        <f t="shared" si="50"/>
        <v>7915</v>
      </c>
      <c r="F202" s="171"/>
      <c r="G202" s="171">
        <f t="shared" si="51"/>
        <v>7915</v>
      </c>
      <c r="H202" s="172">
        <f t="shared" si="52"/>
        <v>3.2175728928536878E-3</v>
      </c>
      <c r="I202" s="337"/>
      <c r="J202" s="168"/>
      <c r="K202" s="168"/>
      <c r="M202" s="364">
        <f t="shared" si="53"/>
        <v>0.59023117076808351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490">
        <f>'[1]Sch C'!D214</f>
        <v>0</v>
      </c>
      <c r="D203" s="490">
        <f>'[1]Sch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>
        <f t="shared" si="53"/>
        <v>0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490">
        <f>'[1]Sch C'!D215</f>
        <v>0</v>
      </c>
      <c r="D204" s="490">
        <f>'[1]Sch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490">
        <f>'[1]Sch C'!D216</f>
        <v>1844</v>
      </c>
      <c r="D205" s="490">
        <f>'[1]Sch C'!F216</f>
        <v>0</v>
      </c>
      <c r="E205" s="171">
        <f t="shared" si="50"/>
        <v>1844</v>
      </c>
      <c r="F205" s="171"/>
      <c r="G205" s="171">
        <f t="shared" si="51"/>
        <v>1844</v>
      </c>
      <c r="H205" s="172">
        <f t="shared" si="52"/>
        <v>7.4961521344563489E-4</v>
      </c>
      <c r="I205" s="337"/>
      <c r="J205" s="168"/>
      <c r="K205" s="168"/>
      <c r="M205" s="364">
        <f t="shared" si="53"/>
        <v>0.13750932140193886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490">
        <f>SUM(C200:C205)</f>
        <v>58829</v>
      </c>
      <c r="D206" s="490">
        <f>SUM(D200:D205)</f>
        <v>12661.87</v>
      </c>
      <c r="E206" s="171">
        <f t="shared" ref="E206:F206" si="54">SUM(E200:E205)</f>
        <v>71490.87</v>
      </c>
      <c r="F206" s="171">
        <f t="shared" si="54"/>
        <v>0</v>
      </c>
      <c r="G206" s="171">
        <f>SUM(G200:G205)</f>
        <v>71490.87</v>
      </c>
      <c r="H206" s="172">
        <f t="shared" si="52"/>
        <v>2.9062171244286408E-2</v>
      </c>
      <c r="I206" s="337"/>
      <c r="J206" s="168"/>
      <c r="K206" s="168"/>
      <c r="M206" s="364">
        <f>G206/G$228</f>
        <v>5.3311610738255029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577">
        <f>SUM(C25:C206)/2</f>
        <v>2694462</v>
      </c>
      <c r="D208" s="577">
        <f>SUM(D25:D206)/2</f>
        <v>-234533.27000000005</v>
      </c>
      <c r="E208" s="171">
        <f t="shared" ref="E208:F208" si="55">SUM(E25:E206)/2</f>
        <v>2459928.7300000004</v>
      </c>
      <c r="F208" s="171">
        <f t="shared" si="55"/>
        <v>0</v>
      </c>
      <c r="G208" s="171">
        <f>SUM(G25:G206)/2</f>
        <v>2459928.7300000004</v>
      </c>
      <c r="H208" s="172">
        <f>IF($G$208=0,0,G208/$G$208)</f>
        <v>1</v>
      </c>
      <c r="I208" s="337"/>
      <c r="J208" s="183">
        <f>SUM(J25:J200)</f>
        <v>68853.919999999998</v>
      </c>
      <c r="K208" s="183">
        <f>SUM(K25:K200)</f>
        <v>73749.039999999994</v>
      </c>
      <c r="M208" s="364">
        <f>G208/G$228</f>
        <v>183.43987546607013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490">
        <f>'[1]Sch C'!D221</f>
        <v>2694462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577">
        <f>C208-C211</f>
        <v>0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231"/>
      <c r="D213" s="232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577">
        <f>C21-C208</f>
        <v>30773</v>
      </c>
      <c r="D215" s="577">
        <f>D21-D208</f>
        <v>230222.27000000005</v>
      </c>
      <c r="E215" s="171">
        <f t="shared" ref="E215:F215" si="56">E21-E208</f>
        <v>260995.26999999955</v>
      </c>
      <c r="F215" s="171">
        <f t="shared" si="56"/>
        <v>0</v>
      </c>
      <c r="G215" s="171">
        <f>G21-G208</f>
        <v>260995.26999999955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491">
        <f>'[1]Sch D'!C9</f>
        <v>9416</v>
      </c>
      <c r="D219" s="578"/>
      <c r="E219" s="235">
        <f t="shared" ref="E219:G227" si="57">C219+D219</f>
        <v>9416</v>
      </c>
      <c r="F219" s="234"/>
      <c r="G219" s="235">
        <f t="shared" si="57"/>
        <v>9416</v>
      </c>
      <c r="H219" s="172">
        <f t="shared" ref="H219:H228" si="58">IF($G$228=0,0,G219/$G$228)</f>
        <v>0.70216256524981358</v>
      </c>
      <c r="I219" s="337"/>
      <c r="J219" s="168"/>
      <c r="K219" s="168"/>
    </row>
    <row r="220" spans="1:14">
      <c r="A220" s="163"/>
      <c r="B220" s="170" t="s">
        <v>217</v>
      </c>
      <c r="C220" s="491">
        <f>'[1]Sch D'!D9</f>
        <v>0</v>
      </c>
      <c r="D220" s="578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7"/>
      <c r="J220" s="168"/>
      <c r="K220" s="168"/>
    </row>
    <row r="221" spans="1:14">
      <c r="A221" s="163"/>
      <c r="B221" s="170" t="s">
        <v>72</v>
      </c>
      <c r="C221" s="491">
        <f>'[1]Sch D'!E9</f>
        <v>463</v>
      </c>
      <c r="D221" s="578"/>
      <c r="E221" s="235">
        <f t="shared" si="59"/>
        <v>463</v>
      </c>
      <c r="F221" s="234"/>
      <c r="G221" s="235">
        <f t="shared" si="57"/>
        <v>463</v>
      </c>
      <c r="H221" s="172">
        <f t="shared" si="58"/>
        <v>3.4526472781506341E-2</v>
      </c>
      <c r="I221" s="337"/>
      <c r="J221" s="168"/>
      <c r="K221" s="168"/>
    </row>
    <row r="222" spans="1:14">
      <c r="A222" s="163"/>
      <c r="B222" s="202" t="s">
        <v>334</v>
      </c>
      <c r="C222" s="491">
        <f>'[1]Sch D'!F9</f>
        <v>861</v>
      </c>
      <c r="D222" s="578"/>
      <c r="E222" s="235">
        <f>C222+D222</f>
        <v>861</v>
      </c>
      <c r="F222" s="234"/>
      <c r="G222" s="235">
        <f>E222+F222</f>
        <v>861</v>
      </c>
      <c r="H222" s="172">
        <f t="shared" si="58"/>
        <v>6.420581655480985E-2</v>
      </c>
      <c r="I222" s="337"/>
      <c r="J222" s="168"/>
      <c r="K222" s="168"/>
    </row>
    <row r="223" spans="1:14">
      <c r="A223" s="163"/>
      <c r="B223" s="170" t="s">
        <v>73</v>
      </c>
      <c r="C223" s="491">
        <f>'[1]Sch D'!G9</f>
        <v>0</v>
      </c>
      <c r="D223" s="578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7"/>
      <c r="J223" s="168"/>
      <c r="K223" s="168"/>
    </row>
    <row r="224" spans="1:14">
      <c r="A224" s="163"/>
      <c r="B224" s="170" t="s">
        <v>74</v>
      </c>
      <c r="C224" s="491">
        <f>'[1]Sch D'!H9</f>
        <v>2523</v>
      </c>
      <c r="D224" s="578"/>
      <c r="E224" s="235">
        <f t="shared" si="59"/>
        <v>2523</v>
      </c>
      <c r="F224" s="234"/>
      <c r="G224" s="235">
        <f t="shared" si="57"/>
        <v>2523</v>
      </c>
      <c r="H224" s="172">
        <f t="shared" si="58"/>
        <v>0.18814317673378075</v>
      </c>
      <c r="I224" s="337"/>
      <c r="J224" s="168"/>
      <c r="K224" s="168"/>
    </row>
    <row r="225" spans="1:11">
      <c r="A225" s="163"/>
      <c r="B225" s="170" t="s">
        <v>236</v>
      </c>
      <c r="C225" s="491">
        <f>'[1]Sch D'!I9</f>
        <v>147</v>
      </c>
      <c r="D225" s="578"/>
      <c r="E225" s="235">
        <f t="shared" si="59"/>
        <v>147</v>
      </c>
      <c r="F225" s="234"/>
      <c r="G225" s="235">
        <f t="shared" si="57"/>
        <v>147</v>
      </c>
      <c r="H225" s="172">
        <f t="shared" si="58"/>
        <v>1.0961968680089485E-2</v>
      </c>
      <c r="I225" s="337"/>
      <c r="J225" s="168"/>
      <c r="K225" s="168"/>
    </row>
    <row r="226" spans="1:11">
      <c r="A226" s="163"/>
      <c r="B226" s="170" t="s">
        <v>235</v>
      </c>
      <c r="C226" s="491">
        <f>'[1]Sch D'!J9</f>
        <v>0</v>
      </c>
      <c r="D226" s="578"/>
      <c r="E226" s="235">
        <f>C226+D226</f>
        <v>0</v>
      </c>
      <c r="F226" s="234"/>
      <c r="G226" s="235">
        <f>E226+F226</f>
        <v>0</v>
      </c>
      <c r="H226" s="172">
        <f t="shared" si="58"/>
        <v>0</v>
      </c>
      <c r="I226" s="337"/>
      <c r="J226" s="168"/>
      <c r="K226" s="168"/>
    </row>
    <row r="227" spans="1:11">
      <c r="A227" s="163"/>
      <c r="B227" s="170" t="s">
        <v>179</v>
      </c>
      <c r="C227" s="491">
        <f>'[1]Sch D'!K9</f>
        <v>0</v>
      </c>
      <c r="D227" s="578"/>
      <c r="E227" s="235">
        <f t="shared" si="59"/>
        <v>0</v>
      </c>
      <c r="F227" s="234"/>
      <c r="G227" s="235">
        <f t="shared" si="57"/>
        <v>0</v>
      </c>
      <c r="H227" s="172">
        <f t="shared" si="58"/>
        <v>0</v>
      </c>
      <c r="I227" s="337"/>
      <c r="J227" s="168"/>
      <c r="K227" s="168"/>
    </row>
    <row r="228" spans="1:11" ht="13.5" thickBot="1">
      <c r="A228" s="163"/>
      <c r="B228" s="236" t="s">
        <v>75</v>
      </c>
      <c r="C228" s="578">
        <f>SUM(C219:C227)</f>
        <v>13410</v>
      </c>
      <c r="D228" s="578">
        <f>SUM(D219:D227)</f>
        <v>0</v>
      </c>
      <c r="E228" s="237">
        <f>SUM(E219:E227)</f>
        <v>13410</v>
      </c>
      <c r="F228" s="237">
        <f>SUM(F219:F227)</f>
        <v>0</v>
      </c>
      <c r="G228" s="237">
        <f>SUM(G219:G227)</f>
        <v>13410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238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231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492">
        <f>'[1]Sch D'!N22</f>
        <v>52</v>
      </c>
      <c r="D231" s="574"/>
      <c r="E231" s="235">
        <f>C231+D231</f>
        <v>52</v>
      </c>
      <c r="F231" s="235"/>
      <c r="G231" s="235">
        <f>E231+F231</f>
        <v>52</v>
      </c>
      <c r="H231" s="167"/>
      <c r="J231" s="168"/>
      <c r="K231" s="168"/>
    </row>
    <row r="232" spans="1:11">
      <c r="A232" s="163"/>
      <c r="B232" s="202" t="s">
        <v>290</v>
      </c>
      <c r="C232" s="492">
        <f>'[1]Sch D'!N24</f>
        <v>52</v>
      </c>
      <c r="D232" s="574"/>
      <c r="E232" s="235">
        <f>C232+D232</f>
        <v>52</v>
      </c>
      <c r="F232" s="235"/>
      <c r="G232" s="235">
        <f>E232+F232</f>
        <v>52</v>
      </c>
      <c r="H232" s="167"/>
      <c r="J232" s="168"/>
      <c r="K232" s="168"/>
    </row>
    <row r="233" spans="1:11">
      <c r="A233" s="163"/>
      <c r="B233" s="202" t="s">
        <v>76</v>
      </c>
      <c r="C233" s="579">
        <f>$C$4-$C$3+1</f>
        <v>365</v>
      </c>
      <c r="D233" s="489"/>
      <c r="E233" s="235">
        <f>C233+D233</f>
        <v>365</v>
      </c>
      <c r="F233" s="240"/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242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492">
        <f>'[1]Sch D'!N28</f>
        <v>18980</v>
      </c>
      <c r="D235" s="489"/>
      <c r="E235" s="234">
        <f>E231*E233</f>
        <v>18980</v>
      </c>
      <c r="F235" s="240"/>
      <c r="G235" s="234">
        <f>G231*G233</f>
        <v>18980</v>
      </c>
      <c r="H235" s="167"/>
      <c r="J235" s="168"/>
      <c r="K235" s="168"/>
    </row>
    <row r="236" spans="1:11" ht="26">
      <c r="A236" s="163"/>
      <c r="B236" s="244" t="s">
        <v>336</v>
      </c>
      <c r="C236" s="493">
        <f>'[1]Sch D'!N30</f>
        <v>0.70653319283456273</v>
      </c>
      <c r="D236" s="240"/>
      <c r="E236" s="245">
        <f>IFERROR(E228/E235,"0")</f>
        <v>0.70653319283456273</v>
      </c>
      <c r="F236" s="246"/>
      <c r="G236" s="245">
        <f>IFERROR(G228/G235,"0")</f>
        <v>0.70653319283456273</v>
      </c>
      <c r="H236" s="167"/>
      <c r="J236" s="168"/>
      <c r="K236" s="168"/>
    </row>
    <row r="237" spans="1:11" ht="26">
      <c r="A237" s="163"/>
      <c r="B237" s="244" t="s">
        <v>337</v>
      </c>
      <c r="C237" s="493">
        <f>'[1]Sch D'!N32</f>
        <v>0.49610115911485775</v>
      </c>
      <c r="D237" s="240"/>
      <c r="E237" s="245">
        <f>IFERROR((E219+E220)/E235,"0")</f>
        <v>0.49610115911485775</v>
      </c>
      <c r="F237" s="246"/>
      <c r="G237" s="245">
        <f>IFERROR((G219+G220)/G235,"0")</f>
        <v>0.49610115911485775</v>
      </c>
      <c r="H237" s="167"/>
      <c r="J237" s="168"/>
      <c r="K237" s="168"/>
    </row>
    <row r="238" spans="1:11" ht="26">
      <c r="A238" s="163"/>
      <c r="B238" s="244" t="s">
        <v>338</v>
      </c>
      <c r="C238" s="493">
        <f>'[1]Sch D'!N34</f>
        <v>0.70216256524981358</v>
      </c>
      <c r="D238" s="240"/>
      <c r="E238" s="245">
        <f>IFERROR((E237/E236),"0")</f>
        <v>0.70216256524981358</v>
      </c>
      <c r="F238" s="246"/>
      <c r="G238" s="245">
        <f>IFERROR((G237/G236),"0")</f>
        <v>0.70216256524981358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490">
        <f>'[1]Sch B'!C85</f>
        <v>162.85019710906701</v>
      </c>
    </row>
    <row r="242" spans="2:7">
      <c r="F242" s="142" t="s">
        <v>341</v>
      </c>
      <c r="G242" s="490">
        <f>'[1]Sch B'!E85</f>
        <v>154.87967479674796</v>
      </c>
    </row>
    <row r="243" spans="2:7">
      <c r="F243" s="142" t="s">
        <v>342</v>
      </c>
      <c r="G243" s="490">
        <f>'[1]Sch B'!G85</f>
        <v>166.14563106796118</v>
      </c>
    </row>
    <row r="244" spans="2:7">
      <c r="F244" s="142" t="s">
        <v>343</v>
      </c>
      <c r="G244" s="490">
        <f>'[1]Sch B'!I85</f>
        <v>166</v>
      </c>
    </row>
    <row r="245" spans="2:7">
      <c r="F245" s="142"/>
    </row>
  </sheetData>
  <customSheetViews>
    <customSheetView guid="{8B6AA640-12E9-11D5-ABB1-E7A21A3D4A14}" showGridLines="0" showRuler="0">
      <pageMargins left="0.75" right="0.75" top="1" bottom="1" header="0.5" footer="0.5"/>
      <headerFooter alignWithMargins="0"/>
    </customSheetView>
    <customSheetView guid="{00D6F160-3E2B-11D5-8BE5-C1A1C12816BD}" showPageBreaks="1" showGridLines="0" showRuler="0">
      <selection activeCell="F14" sqref="F14"/>
      <pageMargins left="0" right="0" top="0" bottom="1" header="0.5" footer="0.5"/>
      <printOptions horizontalCentered="1"/>
      <pageSetup scale="70" orientation="portrait" horizontalDpi="300" verticalDpi="300" r:id="rId1"/>
      <headerFooter alignWithMargins="0"/>
    </customSheetView>
  </customSheetViews>
  <phoneticPr fontId="0" type="noConversion"/>
  <printOptions horizontalCentered="1"/>
  <pageMargins left="0" right="0" top="0" bottom="1" header="0.5" footer="0.5"/>
  <pageSetup scale="49" fitToHeight="4" orientation="landscape" horizontalDpi="300" verticalDpi="300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>
    <tabColor rgb="FFE28CAB"/>
  </sheetPr>
  <dimension ref="A1:Q245"/>
  <sheetViews>
    <sheetView showGridLines="0" zoomScale="90" zoomScaleNormal="90" workbookViewId="0">
      <selection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478"/>
      <c r="E1" s="478"/>
      <c r="F1" s="478"/>
      <c r="G1" s="478"/>
      <c r="H1" s="478"/>
      <c r="I1" s="479"/>
    </row>
    <row r="2" spans="1:14" ht="23">
      <c r="B2" s="143" t="s">
        <v>189</v>
      </c>
      <c r="C2" s="247" t="s">
        <v>354</v>
      </c>
      <c r="D2" s="247"/>
      <c r="E2" s="144"/>
    </row>
    <row r="3" spans="1:14">
      <c r="A3" s="145"/>
      <c r="B3" s="140" t="s">
        <v>79</v>
      </c>
      <c r="C3" s="495">
        <v>41821</v>
      </c>
      <c r="D3" s="144"/>
      <c r="E3" s="147"/>
    </row>
    <row r="4" spans="1:14">
      <c r="A4" s="145"/>
      <c r="B4" s="148" t="s">
        <v>80</v>
      </c>
      <c r="C4" s="495">
        <v>42185</v>
      </c>
      <c r="D4" s="144"/>
      <c r="E4" s="149"/>
      <c r="G4" s="150"/>
    </row>
    <row r="5" spans="1:14">
      <c r="A5" s="145"/>
      <c r="B5" s="148"/>
      <c r="C5" s="151"/>
      <c r="D5" s="144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144"/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490">
        <f>'[10]Sch B'!E10</f>
        <v>3753677</v>
      </c>
      <c r="D11" s="490">
        <f>'[10]Sch B'!G10</f>
        <v>0</v>
      </c>
      <c r="E11" s="171">
        <f>C11+D11</f>
        <v>3753677</v>
      </c>
      <c r="F11" s="171"/>
      <c r="G11" s="171">
        <f t="shared" ref="G11:G20" si="0">E11+F11</f>
        <v>3753677</v>
      </c>
      <c r="H11" s="172">
        <f t="shared" ref="H11:H21" si="1">IF($G$21=0,0,G11/$G$21)</f>
        <v>0.67319045665932142</v>
      </c>
      <c r="I11" s="337"/>
      <c r="J11" s="368" t="s">
        <v>344</v>
      </c>
      <c r="K11" s="369">
        <f>G21</f>
        <v>5575951</v>
      </c>
      <c r="M11" s="359">
        <f>IFERROR(G11/G219,0)</f>
        <v>176.41946703012644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490">
        <f>'[10]Sch B'!E15</f>
        <v>0</v>
      </c>
      <c r="D12" s="490">
        <f>'[10]Sch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7"/>
      <c r="J12" s="370" t="s">
        <v>345</v>
      </c>
      <c r="K12" s="371">
        <f>G208</f>
        <v>5097028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490">
        <f>'[10]Sch B'!E21</f>
        <v>851877</v>
      </c>
      <c r="D13" s="490">
        <f>'[10]Sch B'!G21</f>
        <v>0</v>
      </c>
      <c r="E13" s="171">
        <f t="shared" si="2"/>
        <v>851877</v>
      </c>
      <c r="F13" s="171"/>
      <c r="G13" s="171">
        <f t="shared" si="0"/>
        <v>851877</v>
      </c>
      <c r="H13" s="172">
        <f t="shared" si="1"/>
        <v>0.15277698817654603</v>
      </c>
      <c r="I13" s="337"/>
      <c r="J13" s="370" t="s">
        <v>346</v>
      </c>
      <c r="K13" s="371">
        <f>G228</f>
        <v>27263</v>
      </c>
      <c r="M13" s="359">
        <f t="shared" si="3"/>
        <v>579.11420802175394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490">
        <f>'[10]Sch B'!E27</f>
        <v>248648</v>
      </c>
      <c r="D14" s="490">
        <f>'[10]Sch B'!G27</f>
        <v>0</v>
      </c>
      <c r="E14" s="171">
        <f t="shared" si="2"/>
        <v>248648</v>
      </c>
      <c r="F14" s="175"/>
      <c r="G14" s="175">
        <f>E14+F14</f>
        <v>248648</v>
      </c>
      <c r="H14" s="176">
        <f t="shared" si="1"/>
        <v>4.4592931322387876E-2</v>
      </c>
      <c r="I14" s="338"/>
      <c r="J14" s="370" t="s">
        <v>347</v>
      </c>
      <c r="K14" s="371">
        <f>G231</f>
        <v>90</v>
      </c>
      <c r="M14" s="359">
        <f t="shared" si="3"/>
        <v>474.51908396946567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490">
        <f>'[10]Sch B'!E32</f>
        <v>0</v>
      </c>
      <c r="D15" s="490">
        <f>'[10]Sch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7"/>
      <c r="J15" s="370" t="s">
        <v>348</v>
      </c>
      <c r="K15" s="371">
        <f>G235</f>
        <v>32850</v>
      </c>
      <c r="M15" s="359">
        <f t="shared" si="3"/>
        <v>0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490">
        <f>'[10]Sch B'!E37</f>
        <v>117285</v>
      </c>
      <c r="D16" s="490">
        <f>'[10]Sch B'!G37</f>
        <v>0</v>
      </c>
      <c r="E16" s="171">
        <f t="shared" si="2"/>
        <v>117285</v>
      </c>
      <c r="F16" s="171"/>
      <c r="G16" s="171">
        <f t="shared" si="0"/>
        <v>117285</v>
      </c>
      <c r="H16" s="172">
        <f t="shared" si="1"/>
        <v>2.1034080105797201E-2</v>
      </c>
      <c r="I16" s="337"/>
      <c r="J16" s="372"/>
      <c r="K16" s="371"/>
      <c r="M16" s="359">
        <f t="shared" si="3"/>
        <v>143.03048780487805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490">
        <f>'[10]Sch B'!E42</f>
        <v>514167</v>
      </c>
      <c r="D17" s="490">
        <f>'[10]Sch B'!G42</f>
        <v>0</v>
      </c>
      <c r="E17" s="171">
        <f t="shared" si="2"/>
        <v>514167</v>
      </c>
      <c r="F17" s="171"/>
      <c r="G17" s="171">
        <f>E17+F17</f>
        <v>514167</v>
      </c>
      <c r="H17" s="172">
        <f t="shared" si="1"/>
        <v>9.2211534857461988E-2</v>
      </c>
      <c r="I17" s="337"/>
      <c r="J17" s="370" t="s">
        <v>156</v>
      </c>
      <c r="K17" s="371">
        <f>J208</f>
        <v>123179</v>
      </c>
      <c r="M17" s="359">
        <f t="shared" si="3"/>
        <v>173.82251521298176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490">
        <f>'[10]Sch B'!E47</f>
        <v>0</v>
      </c>
      <c r="D18" s="490">
        <f>'[10]Sch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337"/>
      <c r="J18" s="373" t="s">
        <v>252</v>
      </c>
      <c r="K18" s="374">
        <f>K208</f>
        <v>161925</v>
      </c>
      <c r="M18" s="359">
        <f t="shared" si="3"/>
        <v>0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490">
        <f>'[10]Sch B'!E52</f>
        <v>51811</v>
      </c>
      <c r="D19" s="490">
        <f>'[10]Sch B'!G52</f>
        <v>0</v>
      </c>
      <c r="E19" s="171">
        <f t="shared" si="2"/>
        <v>51811</v>
      </c>
      <c r="F19" s="171"/>
      <c r="G19" s="171">
        <f t="shared" si="0"/>
        <v>51811</v>
      </c>
      <c r="H19" s="172">
        <f t="shared" si="1"/>
        <v>9.2918678804745601E-3</v>
      </c>
      <c r="I19" s="337"/>
      <c r="J19" s="168"/>
      <c r="K19" s="168"/>
      <c r="M19" s="359">
        <f t="shared" si="3"/>
        <v>243.24413145539907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490">
        <f>'[10]Sch B'!E67</f>
        <v>41027</v>
      </c>
      <c r="D20" s="490">
        <f>'[10]Sch B'!G67</f>
        <v>-2541</v>
      </c>
      <c r="E20" s="171">
        <f t="shared" si="2"/>
        <v>38486</v>
      </c>
      <c r="F20" s="171"/>
      <c r="G20" s="171">
        <f t="shared" si="0"/>
        <v>38486</v>
      </c>
      <c r="H20" s="172">
        <f t="shared" si="1"/>
        <v>6.9021409980109224E-3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490">
        <f>SUM(C11:C20)</f>
        <v>5578492</v>
      </c>
      <c r="D21" s="490">
        <f>SUM(D11:D20)</f>
        <v>-2541</v>
      </c>
      <c r="E21" s="171">
        <f>SUM(E11:E20)</f>
        <v>5575951</v>
      </c>
      <c r="F21" s="171">
        <f>SUM(F11:F20)</f>
        <v>0</v>
      </c>
      <c r="G21" s="171">
        <f>SUM(G11:G20)</f>
        <v>5575951</v>
      </c>
      <c r="H21" s="172">
        <f t="shared" si="1"/>
        <v>1</v>
      </c>
      <c r="I21" s="337"/>
      <c r="J21" s="168"/>
      <c r="K21" s="168"/>
      <c r="M21" s="359">
        <f>IFERROR(G21/G228,0)</f>
        <v>204.52448373253128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4">
      <c r="A24" s="181" t="s">
        <v>161</v>
      </c>
      <c r="B24" s="148" t="s">
        <v>12</v>
      </c>
      <c r="M24" s="363"/>
      <c r="N24" s="363"/>
    </row>
    <row r="25" spans="1:14" s="167" customFormat="1">
      <c r="A25" s="169" t="s">
        <v>83</v>
      </c>
      <c r="B25" s="170" t="s">
        <v>14</v>
      </c>
      <c r="C25" s="490">
        <f>'[10]Sch C'!D10</f>
        <v>0</v>
      </c>
      <c r="D25" s="490">
        <f>'[10]Sch C'!F10</f>
        <v>103889</v>
      </c>
      <c r="E25" s="171">
        <f t="shared" ref="E25:E60" si="4">C25+D25</f>
        <v>103889</v>
      </c>
      <c r="F25" s="171"/>
      <c r="G25" s="182">
        <f>E25+F25</f>
        <v>103889</v>
      </c>
      <c r="H25" s="172">
        <f>IF($G$208=0,0,G25/$G$208)</f>
        <v>2.0382269824689995E-2</v>
      </c>
      <c r="I25" s="337"/>
      <c r="J25" s="183">
        <v>2232</v>
      </c>
      <c r="K25" s="183">
        <v>2490</v>
      </c>
      <c r="M25" s="359">
        <f>G25/G$228</f>
        <v>3.8106224553424055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490">
        <f>'[10]Sch C'!D11</f>
        <v>0</v>
      </c>
      <c r="D26" s="490">
        <f>'[10]Sch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490">
        <f>'[10]Sch C'!D12</f>
        <v>225980</v>
      </c>
      <c r="D27" s="490">
        <f>'[10]Sch C'!F12</f>
        <v>-103889</v>
      </c>
      <c r="E27" s="171">
        <f t="shared" si="4"/>
        <v>122091</v>
      </c>
      <c r="F27" s="171"/>
      <c r="G27" s="171">
        <f t="shared" si="5"/>
        <v>122091</v>
      </c>
      <c r="H27" s="172">
        <f t="shared" si="6"/>
        <v>2.3953370473931083E-2</v>
      </c>
      <c r="I27" s="337"/>
      <c r="J27" s="185">
        <v>5598</v>
      </c>
      <c r="K27" s="185">
        <v>6127</v>
      </c>
      <c r="M27" s="359">
        <f t="shared" si="7"/>
        <v>4.4782672486520196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490">
        <f>'[10]Sch C'!D13</f>
        <v>16536</v>
      </c>
      <c r="D28" s="490">
        <f>'[10]Sch C'!F13</f>
        <v>0</v>
      </c>
      <c r="E28" s="171">
        <f t="shared" si="4"/>
        <v>16536</v>
      </c>
      <c r="F28" s="171"/>
      <c r="G28" s="171">
        <f t="shared" si="5"/>
        <v>16536</v>
      </c>
      <c r="H28" s="172">
        <f t="shared" si="6"/>
        <v>3.2442435081777069E-3</v>
      </c>
      <c r="I28" s="337"/>
      <c r="J28" s="168"/>
      <c r="K28" s="168"/>
      <c r="M28" s="359">
        <f t="shared" si="7"/>
        <v>0.60653633129149398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490">
        <f>'[10]Sch C'!D14</f>
        <v>0</v>
      </c>
      <c r="D29" s="490">
        <f>'[10]Sch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490">
        <f>'[10]Sch C'!D15</f>
        <v>0</v>
      </c>
      <c r="D30" s="490">
        <f>'[10]Sch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7"/>
      <c r="J30" s="168"/>
      <c r="K30" s="168"/>
      <c r="M30" s="359">
        <f t="shared" si="7"/>
        <v>0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490">
        <f>'[10]Sch C'!D16</f>
        <v>111166</v>
      </c>
      <c r="D31" s="490">
        <f>'[10]Sch C'!F16</f>
        <v>186020</v>
      </c>
      <c r="E31" s="171">
        <f t="shared" si="4"/>
        <v>297186</v>
      </c>
      <c r="F31" s="171"/>
      <c r="G31" s="171">
        <f t="shared" si="5"/>
        <v>297186</v>
      </c>
      <c r="H31" s="172">
        <f t="shared" si="6"/>
        <v>5.830574209127358E-2</v>
      </c>
      <c r="I31" s="337"/>
      <c r="J31" s="168"/>
      <c r="K31" s="168"/>
      <c r="M31" s="359">
        <f t="shared" si="7"/>
        <v>10.900707919157833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490">
        <f>'[10]Sch C'!D17</f>
        <v>213</v>
      </c>
      <c r="D32" s="490">
        <f>'[10]Sch C'!F17</f>
        <v>-213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7"/>
      <c r="J32" s="168"/>
      <c r="K32" s="168"/>
      <c r="M32" s="359">
        <f t="shared" si="7"/>
        <v>0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490">
        <f>'[10]Sch C'!D18</f>
        <v>15321</v>
      </c>
      <c r="D33" s="490">
        <f>'[10]Sch C'!F18</f>
        <v>0</v>
      </c>
      <c r="E33" s="171">
        <f t="shared" si="4"/>
        <v>15321</v>
      </c>
      <c r="F33" s="171"/>
      <c r="G33" s="171">
        <f t="shared" si="5"/>
        <v>15321</v>
      </c>
      <c r="H33" s="172">
        <f t="shared" si="6"/>
        <v>3.0058693026602953E-3</v>
      </c>
      <c r="I33" s="337"/>
      <c r="J33" s="168"/>
      <c r="K33" s="168"/>
      <c r="M33" s="359">
        <f t="shared" si="7"/>
        <v>0.56197043612221698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490">
        <f>'[10]Sch C'!D19</f>
        <v>10131</v>
      </c>
      <c r="D34" s="490">
        <f>'[10]Sch C'!F19</f>
        <v>0</v>
      </c>
      <c r="E34" s="171">
        <f t="shared" si="4"/>
        <v>10131</v>
      </c>
      <c r="F34" s="171"/>
      <c r="G34" s="171">
        <f t="shared" si="5"/>
        <v>10131</v>
      </c>
      <c r="H34" s="172">
        <f t="shared" si="6"/>
        <v>1.9876288692155506E-3</v>
      </c>
      <c r="I34" s="337"/>
      <c r="J34" s="168"/>
      <c r="K34" s="168"/>
      <c r="M34" s="359">
        <f t="shared" si="7"/>
        <v>0.37160253823863842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490">
        <f>'[10]Sch C'!D20</f>
        <v>10073</v>
      </c>
      <c r="D35" s="490">
        <f>'[10]Sch C'!F20</f>
        <v>0</v>
      </c>
      <c r="E35" s="171">
        <f t="shared" si="4"/>
        <v>10073</v>
      </c>
      <c r="F35" s="171"/>
      <c r="G35" s="171">
        <f t="shared" si="5"/>
        <v>10073</v>
      </c>
      <c r="H35" s="172">
        <f t="shared" si="6"/>
        <v>1.9762496890344725E-3</v>
      </c>
      <c r="I35" s="337"/>
      <c r="J35" s="168"/>
      <c r="K35" s="168"/>
      <c r="M35" s="359">
        <f t="shared" si="7"/>
        <v>0.36947511279022849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490">
        <f>'[10]Sch C'!D21</f>
        <v>45444</v>
      </c>
      <c r="D36" s="490">
        <f>'[10]Sch C'!F21</f>
        <v>0</v>
      </c>
      <c r="E36" s="171">
        <f t="shared" si="4"/>
        <v>45444</v>
      </c>
      <c r="F36" s="171"/>
      <c r="G36" s="171">
        <f t="shared" si="5"/>
        <v>45444</v>
      </c>
      <c r="H36" s="172">
        <f t="shared" si="6"/>
        <v>8.9157838646364111E-3</v>
      </c>
      <c r="I36" s="337"/>
      <c r="J36" s="168"/>
      <c r="K36" s="168"/>
      <c r="M36" s="359">
        <f t="shared" si="7"/>
        <v>1.6668745185782929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490">
        <f>'[10]Sch C'!D22</f>
        <v>0</v>
      </c>
      <c r="D37" s="490">
        <f>'[10]Sch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490">
        <f>'[10]Sch C'!D23</f>
        <v>2737</v>
      </c>
      <c r="D38" s="490">
        <f>'[10]Sch C'!F23</f>
        <v>0</v>
      </c>
      <c r="E38" s="171">
        <f t="shared" si="4"/>
        <v>2737</v>
      </c>
      <c r="F38" s="171"/>
      <c r="G38" s="171">
        <f t="shared" si="5"/>
        <v>2737</v>
      </c>
      <c r="H38" s="172">
        <f t="shared" si="6"/>
        <v>5.3697958888983938E-4</v>
      </c>
      <c r="I38" s="337"/>
      <c r="J38" s="168"/>
      <c r="K38" s="168"/>
      <c r="M38" s="359">
        <f t="shared" si="7"/>
        <v>0.10039247331548252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490">
        <f>'[10]Sch C'!D24</f>
        <v>10246</v>
      </c>
      <c r="D39" s="490">
        <f>'[10]Sch C'!F24</f>
        <v>0</v>
      </c>
      <c r="E39" s="171">
        <f t="shared" si="4"/>
        <v>10246</v>
      </c>
      <c r="F39" s="171"/>
      <c r="G39" s="171">
        <f t="shared" si="5"/>
        <v>10246</v>
      </c>
      <c r="H39" s="172">
        <f t="shared" si="6"/>
        <v>2.0101910368159641E-3</v>
      </c>
      <c r="I39" s="337"/>
      <c r="J39" s="168"/>
      <c r="K39" s="168"/>
      <c r="M39" s="359">
        <f t="shared" si="7"/>
        <v>0.37582070938634782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490">
        <f>'[10]Sch C'!D25</f>
        <v>2659</v>
      </c>
      <c r="D40" s="490">
        <f>'[10]Sch C'!F25</f>
        <v>0</v>
      </c>
      <c r="E40" s="171">
        <f t="shared" si="4"/>
        <v>2659</v>
      </c>
      <c r="F40" s="171"/>
      <c r="G40" s="171">
        <f t="shared" si="5"/>
        <v>2659</v>
      </c>
      <c r="H40" s="172">
        <f t="shared" si="6"/>
        <v>5.2167655347390679E-4</v>
      </c>
      <c r="I40" s="337"/>
      <c r="J40" s="168"/>
      <c r="K40" s="168"/>
      <c r="M40" s="359">
        <f t="shared" si="7"/>
        <v>9.7531452884862271E-2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490">
        <f>'[10]Sch C'!D26</f>
        <v>388890</v>
      </c>
      <c r="D41" s="490">
        <f>'[10]Sch C'!F26</f>
        <v>0</v>
      </c>
      <c r="E41" s="171">
        <f t="shared" si="4"/>
        <v>388890</v>
      </c>
      <c r="F41" s="171"/>
      <c r="G41" s="171">
        <f t="shared" si="5"/>
        <v>388890</v>
      </c>
      <c r="H41" s="172">
        <f t="shared" si="6"/>
        <v>7.629740311412847E-2</v>
      </c>
      <c r="I41" s="337"/>
      <c r="J41" s="168"/>
      <c r="K41" s="168"/>
      <c r="M41" s="359">
        <f t="shared" si="7"/>
        <v>14.264387631588599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490">
        <f>'[10]Sch C'!D27</f>
        <v>-50061</v>
      </c>
      <c r="D42" s="490">
        <f>'[10]Sch C'!F27</f>
        <v>-189</v>
      </c>
      <c r="E42" s="171">
        <f t="shared" si="4"/>
        <v>-50250</v>
      </c>
      <c r="F42" s="171"/>
      <c r="G42" s="171">
        <f t="shared" si="5"/>
        <v>-50250</v>
      </c>
      <c r="H42" s="172">
        <f t="shared" si="6"/>
        <v>-9.85868627757195E-3</v>
      </c>
      <c r="I42" s="337"/>
      <c r="J42" s="168"/>
      <c r="K42" s="168"/>
      <c r="M42" s="359">
        <f t="shared" si="7"/>
        <v>-1.8431573928034333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490">
        <f>'[10]Sch C'!D28</f>
        <v>0</v>
      </c>
      <c r="D43" s="490">
        <f>'[10]Sch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490">
        <f>'[10]Sch C'!D29</f>
        <v>69950</v>
      </c>
      <c r="D44" s="490">
        <f>'[10]Sch C'!F29</f>
        <v>-69950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490">
        <f>'[10]Sch C'!D30</f>
        <v>0</v>
      </c>
      <c r="D45" s="490">
        <f>'[10]Sch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490">
        <f>'[10]Sch C'!D31</f>
        <v>0</v>
      </c>
      <c r="D46" s="490">
        <f>'[10]Sch C'!F31</f>
        <v>0</v>
      </c>
      <c r="E46" s="171">
        <f t="shared" si="4"/>
        <v>0</v>
      </c>
      <c r="F46" s="171"/>
      <c r="G46" s="171">
        <f t="shared" si="5"/>
        <v>0</v>
      </c>
      <c r="H46" s="172">
        <f t="shared" si="6"/>
        <v>0</v>
      </c>
      <c r="I46" s="337"/>
      <c r="J46" s="168"/>
      <c r="K46" s="168"/>
      <c r="M46" s="359">
        <f t="shared" si="7"/>
        <v>0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490">
        <f>'[10]Sch C'!D32</f>
        <v>70460</v>
      </c>
      <c r="D47" s="490">
        <f>'[10]Sch C'!F32</f>
        <v>0</v>
      </c>
      <c r="E47" s="171">
        <f t="shared" si="4"/>
        <v>70460</v>
      </c>
      <c r="F47" s="171"/>
      <c r="G47" s="171">
        <f t="shared" si="5"/>
        <v>70460</v>
      </c>
      <c r="H47" s="172">
        <f t="shared" si="6"/>
        <v>1.3823741992392429E-2</v>
      </c>
      <c r="I47" s="337"/>
      <c r="J47" s="168"/>
      <c r="K47" s="168"/>
      <c r="M47" s="359">
        <f t="shared" si="7"/>
        <v>2.5844551223269634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490">
        <f>'[10]Sch C'!D33</f>
        <v>0</v>
      </c>
      <c r="D48" s="490">
        <f>'[10]Sch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490">
        <f>'[10]Sch C'!D34</f>
        <v>170</v>
      </c>
      <c r="D49" s="490">
        <f>'[10]Sch C'!F34</f>
        <v>0</v>
      </c>
      <c r="E49" s="171">
        <f t="shared" si="4"/>
        <v>170</v>
      </c>
      <c r="F49" s="171"/>
      <c r="G49" s="171">
        <f t="shared" si="5"/>
        <v>170</v>
      </c>
      <c r="H49" s="172">
        <f t="shared" si="6"/>
        <v>3.3352769496263314E-5</v>
      </c>
      <c r="I49" s="337"/>
      <c r="J49" s="168"/>
      <c r="K49" s="168"/>
      <c r="M49" s="359">
        <f t="shared" si="7"/>
        <v>6.235557348787734E-3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490">
        <f>'[10]Sch C'!D35</f>
        <v>4125</v>
      </c>
      <c r="D50" s="490">
        <f>'[10]Sch C'!F35</f>
        <v>-4125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490">
        <f>'[10]Sch C'!D36</f>
        <v>0</v>
      </c>
      <c r="D51" s="490">
        <f>'[10]Sch C'!F36</f>
        <v>0</v>
      </c>
      <c r="E51" s="171">
        <f t="shared" si="4"/>
        <v>0</v>
      </c>
      <c r="F51" s="171"/>
      <c r="G51" s="171">
        <f t="shared" si="5"/>
        <v>0</v>
      </c>
      <c r="H51" s="172">
        <f t="shared" si="6"/>
        <v>0</v>
      </c>
      <c r="I51" s="337"/>
      <c r="J51" s="183">
        <v>0</v>
      </c>
      <c r="K51" s="183">
        <v>0</v>
      </c>
      <c r="M51" s="359">
        <f t="shared" si="7"/>
        <v>0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490">
        <f>'[10]Sch C'!D37</f>
        <v>0</v>
      </c>
      <c r="D52" s="490">
        <f>'[10]Sch C'!F37</f>
        <v>0</v>
      </c>
      <c r="E52" s="171">
        <f t="shared" si="4"/>
        <v>0</v>
      </c>
      <c r="F52" s="171"/>
      <c r="G52" s="171">
        <f t="shared" si="5"/>
        <v>0</v>
      </c>
      <c r="H52" s="172">
        <f t="shared" si="6"/>
        <v>0</v>
      </c>
      <c r="I52" s="337"/>
      <c r="J52" s="168"/>
      <c r="K52" s="168"/>
      <c r="M52" s="359">
        <f t="shared" si="7"/>
        <v>0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490">
        <f>'[10]Sch C'!D38</f>
        <v>192</v>
      </c>
      <c r="D53" s="490">
        <f>'[10]Sch C'!F38</f>
        <v>-192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7"/>
      <c r="J53" s="168"/>
      <c r="K53" s="168"/>
      <c r="M53" s="359">
        <f t="shared" si="7"/>
        <v>0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490">
        <f>'[10]Sch C'!D39</f>
        <v>8271</v>
      </c>
      <c r="D54" s="490">
        <f>'[10]Sch C'!F39</f>
        <v>0</v>
      </c>
      <c r="E54" s="171">
        <f t="shared" si="4"/>
        <v>8271</v>
      </c>
      <c r="F54" s="171"/>
      <c r="G54" s="171">
        <f t="shared" si="5"/>
        <v>8271</v>
      </c>
      <c r="H54" s="172">
        <f t="shared" si="6"/>
        <v>1.6227103323740815E-3</v>
      </c>
      <c r="I54" s="337"/>
      <c r="J54" s="168"/>
      <c r="K54" s="168"/>
      <c r="M54" s="359">
        <f t="shared" si="7"/>
        <v>0.30337820489307854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490">
        <f>'[10]Sch C'!D40</f>
        <v>5108</v>
      </c>
      <c r="D55" s="490">
        <f>'[10]Sch C'!F40</f>
        <v>-5108</v>
      </c>
      <c r="E55" s="171">
        <f t="shared" si="4"/>
        <v>0</v>
      </c>
      <c r="F55" s="171"/>
      <c r="G55" s="171">
        <f t="shared" si="5"/>
        <v>0</v>
      </c>
      <c r="H55" s="172">
        <f t="shared" si="6"/>
        <v>0</v>
      </c>
      <c r="I55" s="337"/>
      <c r="J55" s="168"/>
      <c r="K55" s="168"/>
      <c r="M55" s="359">
        <f t="shared" si="7"/>
        <v>0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490">
        <f>'[10]Sch C'!D41</f>
        <v>102560</v>
      </c>
      <c r="D56" s="490">
        <f>'[10]Sch C'!F41</f>
        <v>-5908</v>
      </c>
      <c r="E56" s="171">
        <f t="shared" si="4"/>
        <v>96652</v>
      </c>
      <c r="F56" s="171"/>
      <c r="G56" s="171">
        <f t="shared" si="5"/>
        <v>96652</v>
      </c>
      <c r="H56" s="172">
        <f t="shared" si="6"/>
        <v>1.8962422807957891E-2</v>
      </c>
      <c r="I56" s="337"/>
      <c r="J56" s="168"/>
      <c r="K56" s="168"/>
      <c r="M56" s="359">
        <f t="shared" si="7"/>
        <v>3.5451711110296005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490">
        <f>'[10]Sch C'!D42</f>
        <v>192</v>
      </c>
      <c r="D57" s="490">
        <f>'[10]Sch C'!F42</f>
        <v>0</v>
      </c>
      <c r="E57" s="171">
        <f t="shared" si="4"/>
        <v>192</v>
      </c>
      <c r="F57" s="171"/>
      <c r="G57" s="171">
        <f t="shared" si="5"/>
        <v>192</v>
      </c>
      <c r="H57" s="172">
        <f t="shared" si="6"/>
        <v>3.7669010254603273E-5</v>
      </c>
      <c r="I57" s="337"/>
      <c r="J57" s="168"/>
      <c r="K57" s="168"/>
      <c r="M57" s="359">
        <f t="shared" si="7"/>
        <v>7.0425118292190879E-3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490">
        <f>'[10]Sch C'!D43</f>
        <v>9722</v>
      </c>
      <c r="D58" s="490">
        <f>'[10]Sch C'!F43</f>
        <v>-9722</v>
      </c>
      <c r="E58" s="171">
        <f t="shared" si="4"/>
        <v>0</v>
      </c>
      <c r="F58" s="171"/>
      <c r="G58" s="171">
        <f t="shared" si="5"/>
        <v>0</v>
      </c>
      <c r="H58" s="172">
        <f t="shared" si="6"/>
        <v>0</v>
      </c>
      <c r="I58" s="337"/>
      <c r="J58" s="168"/>
      <c r="K58" s="168"/>
      <c r="M58" s="359">
        <f t="shared" si="7"/>
        <v>0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490">
        <f>'[10]Sch C'!D44</f>
        <v>0</v>
      </c>
      <c r="D59" s="490">
        <f>'[10]Sch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7"/>
      <c r="J59" s="168"/>
      <c r="K59" s="168"/>
      <c r="M59" s="359">
        <f t="shared" si="7"/>
        <v>0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490">
        <f>'[10]Sch C'!D45</f>
        <v>9148</v>
      </c>
      <c r="D60" s="490">
        <f>'[10]Sch C'!F45</f>
        <v>-125</v>
      </c>
      <c r="E60" s="171">
        <f t="shared" si="4"/>
        <v>9023</v>
      </c>
      <c r="F60" s="171"/>
      <c r="G60" s="171">
        <f t="shared" si="5"/>
        <v>9023</v>
      </c>
      <c r="H60" s="172">
        <f t="shared" si="6"/>
        <v>1.770247289204611E-3</v>
      </c>
      <c r="I60" s="337"/>
      <c r="J60" s="168"/>
      <c r="K60" s="168"/>
      <c r="M60" s="359">
        <f t="shared" si="7"/>
        <v>0.33096137622418664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490">
        <f>SUM(C25:C60)</f>
        <v>1069233</v>
      </c>
      <c r="D61" s="490">
        <f>SUM(D25:D60)</f>
        <v>90488</v>
      </c>
      <c r="E61" s="171">
        <f t="shared" ref="E61:F61" si="8">SUM(E25:E60)</f>
        <v>1159721</v>
      </c>
      <c r="F61" s="171">
        <f t="shared" si="8"/>
        <v>0</v>
      </c>
      <c r="G61" s="171">
        <f>SUM(G25:G60)</f>
        <v>1159721</v>
      </c>
      <c r="H61" s="186">
        <f t="shared" si="6"/>
        <v>0.22752886584103521</v>
      </c>
      <c r="I61" s="339"/>
      <c r="J61" s="168"/>
      <c r="K61" s="168"/>
      <c r="M61" s="364">
        <f>G61/G$228</f>
        <v>42.538275318196824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I62" s="340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490">
        <f>'[10]Sch C'!D57</f>
        <v>0</v>
      </c>
      <c r="D64" s="490">
        <f>'[10]Sch C'!F57</f>
        <v>0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I64" s="337"/>
      <c r="J64" s="190"/>
      <c r="K64" s="168"/>
      <c r="M64" s="359">
        <f t="shared" ref="M64:M79" si="12">G64/G$228</f>
        <v>0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490">
        <f>'[10]Sch C'!D58</f>
        <v>81702</v>
      </c>
      <c r="D65" s="490">
        <f>'[10]Sch C'!F58</f>
        <v>0</v>
      </c>
      <c r="E65" s="171">
        <f t="shared" si="9"/>
        <v>81702</v>
      </c>
      <c r="F65" s="171"/>
      <c r="G65" s="171">
        <f t="shared" si="10"/>
        <v>81702</v>
      </c>
      <c r="H65" s="172">
        <f t="shared" si="11"/>
        <v>1.6029341019904147E-2</v>
      </c>
      <c r="I65" s="337"/>
      <c r="J65" s="190"/>
      <c r="K65" s="168"/>
      <c r="M65" s="359">
        <f t="shared" si="12"/>
        <v>2.9968088618273852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490">
        <f>'[10]Sch C'!D59</f>
        <v>82595</v>
      </c>
      <c r="D66" s="490">
        <f>'[10]Sch C'!F59</f>
        <v>0</v>
      </c>
      <c r="E66" s="171">
        <f t="shared" si="9"/>
        <v>82595</v>
      </c>
      <c r="F66" s="171"/>
      <c r="G66" s="171">
        <f t="shared" si="10"/>
        <v>82595</v>
      </c>
      <c r="H66" s="172">
        <f t="shared" si="11"/>
        <v>1.6204541156140402E-2</v>
      </c>
      <c r="I66" s="337"/>
      <c r="J66" s="190"/>
      <c r="K66" s="168"/>
      <c r="M66" s="359">
        <f t="shared" si="12"/>
        <v>3.029563877783076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490">
        <f>'[10]Sch C'!D60</f>
        <v>45830</v>
      </c>
      <c r="D67" s="490">
        <f>'[10]Sch C'!F60</f>
        <v>0</v>
      </c>
      <c r="E67" s="171">
        <f t="shared" si="9"/>
        <v>45830</v>
      </c>
      <c r="F67" s="171"/>
      <c r="G67" s="171">
        <f t="shared" si="10"/>
        <v>45830</v>
      </c>
      <c r="H67" s="172">
        <f t="shared" si="11"/>
        <v>8.9915142706691042E-3</v>
      </c>
      <c r="I67" s="337"/>
      <c r="J67" s="193"/>
      <c r="K67" s="168"/>
      <c r="M67" s="359">
        <f t="shared" si="12"/>
        <v>1.6810329017349521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490">
        <f>'[10]Sch C'!D61</f>
        <v>20913</v>
      </c>
      <c r="D68" s="490">
        <f>'[10]Sch C'!F61</f>
        <v>0</v>
      </c>
      <c r="E68" s="171">
        <f t="shared" si="9"/>
        <v>20913</v>
      </c>
      <c r="F68" s="171"/>
      <c r="G68" s="171">
        <f t="shared" si="10"/>
        <v>20913</v>
      </c>
      <c r="H68" s="172">
        <f t="shared" si="11"/>
        <v>4.1029792263256159E-3</v>
      </c>
      <c r="I68" s="337"/>
      <c r="J68" s="193"/>
      <c r="K68" s="168"/>
      <c r="M68" s="359">
        <f t="shared" si="12"/>
        <v>0.76708359314822283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490">
        <f>'[10]Sch C'!D62</f>
        <v>7573</v>
      </c>
      <c r="D69" s="490">
        <f>'[10]Sch C'!F62</f>
        <v>0</v>
      </c>
      <c r="E69" s="171">
        <f t="shared" si="9"/>
        <v>7573</v>
      </c>
      <c r="F69" s="171"/>
      <c r="G69" s="171">
        <f t="shared" si="10"/>
        <v>7573</v>
      </c>
      <c r="H69" s="172">
        <f t="shared" si="11"/>
        <v>1.4857677846776593E-3</v>
      </c>
      <c r="I69" s="337"/>
      <c r="J69" s="195"/>
      <c r="K69" s="168"/>
      <c r="M69" s="359">
        <f t="shared" si="12"/>
        <v>0.27777574001393829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490">
        <f>'[10]Sch C'!D63</f>
        <v>0</v>
      </c>
      <c r="D70" s="490">
        <f>'[10]Sch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7"/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490">
        <f>'[10]Sch C'!D64</f>
        <v>0</v>
      </c>
      <c r="D71" s="490">
        <f>'[10]Sch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490">
        <f>'[10]Sch C'!D65</f>
        <v>0</v>
      </c>
      <c r="D72" s="490">
        <f>'[10]Sch C'!F65</f>
        <v>0</v>
      </c>
      <c r="E72" s="171">
        <f t="shared" si="9"/>
        <v>0</v>
      </c>
      <c r="F72" s="171"/>
      <c r="G72" s="171">
        <f t="shared" si="10"/>
        <v>0</v>
      </c>
      <c r="H72" s="172">
        <f t="shared" si="11"/>
        <v>0</v>
      </c>
      <c r="I72" s="337"/>
      <c r="J72" s="195"/>
      <c r="K72" s="168"/>
      <c r="M72" s="359">
        <f t="shared" si="12"/>
        <v>0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490">
        <f>'[10]Sch C'!D66</f>
        <v>45188</v>
      </c>
      <c r="D73" s="490">
        <f>'[10]Sch C'!F66</f>
        <v>-289</v>
      </c>
      <c r="E73" s="171">
        <f t="shared" si="9"/>
        <v>44899</v>
      </c>
      <c r="F73" s="171"/>
      <c r="G73" s="171">
        <f t="shared" si="10"/>
        <v>44899</v>
      </c>
      <c r="H73" s="172">
        <f t="shared" si="11"/>
        <v>8.8088588094866263E-3</v>
      </c>
      <c r="I73" s="337"/>
      <c r="J73" s="195"/>
      <c r="K73" s="168"/>
      <c r="M73" s="359">
        <f t="shared" si="12"/>
        <v>1.6468840553130617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490">
        <f>'[10]Sch C'!D67</f>
        <v>48998</v>
      </c>
      <c r="D74" s="490">
        <f>'[10]Sch C'!F67</f>
        <v>0</v>
      </c>
      <c r="E74" s="171">
        <f t="shared" si="9"/>
        <v>48998</v>
      </c>
      <c r="F74" s="171"/>
      <c r="G74" s="171">
        <f t="shared" si="10"/>
        <v>48998</v>
      </c>
      <c r="H74" s="172">
        <f t="shared" si="11"/>
        <v>9.6130529398700572E-3</v>
      </c>
      <c r="I74" s="337"/>
      <c r="J74" s="195"/>
      <c r="K74" s="168"/>
      <c r="M74" s="359">
        <f t="shared" si="12"/>
        <v>1.7972343469170671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490">
        <f>'[10]Sch C'!D68</f>
        <v>0</v>
      </c>
      <c r="D75" s="490">
        <f>'[10]Sch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490">
        <f>'[10]Sch C'!D69</f>
        <v>4701</v>
      </c>
      <c r="D76" s="490">
        <f>'[10]Sch C'!F69</f>
        <v>0</v>
      </c>
      <c r="E76" s="171">
        <f t="shared" si="9"/>
        <v>4701</v>
      </c>
      <c r="F76" s="171"/>
      <c r="G76" s="171">
        <f t="shared" si="10"/>
        <v>4701</v>
      </c>
      <c r="H76" s="172">
        <f t="shared" si="11"/>
        <v>9.2230217295255197E-4</v>
      </c>
      <c r="I76" s="337"/>
      <c r="J76" s="195"/>
      <c r="K76" s="168"/>
      <c r="M76" s="359">
        <f t="shared" si="12"/>
        <v>0.17243150056853612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490">
        <f>'[10]Sch C'!D70</f>
        <v>0</v>
      </c>
      <c r="D77" s="490">
        <f>'[10]Sch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7"/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490">
        <f>'[10]Sch C'!D71</f>
        <v>0</v>
      </c>
      <c r="D78" s="490">
        <f>'[10]Sch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7"/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490">
        <f>SUM(C64:C78)</f>
        <v>337500</v>
      </c>
      <c r="D79" s="490">
        <f>SUM(D64:D78)</f>
        <v>-289</v>
      </c>
      <c r="E79" s="171">
        <f t="shared" ref="E79:F79" si="13">SUM(E64:E78)</f>
        <v>337211</v>
      </c>
      <c r="F79" s="171">
        <f t="shared" si="13"/>
        <v>0</v>
      </c>
      <c r="G79" s="171">
        <f>SUM(G64:G78)</f>
        <v>337211</v>
      </c>
      <c r="H79" s="172">
        <f t="shared" si="11"/>
        <v>6.6158357380026164E-2</v>
      </c>
      <c r="I79" s="337"/>
      <c r="J79" s="195"/>
      <c r="K79" s="168"/>
      <c r="M79" s="359">
        <f t="shared" si="12"/>
        <v>12.368814877306239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490">
        <f>'[10]Sch C'!D75</f>
        <v>38528</v>
      </c>
      <c r="D82" s="490">
        <f>'[10]Sch C'!F75</f>
        <v>0</v>
      </c>
      <c r="E82" s="171">
        <f t="shared" ref="E82:E92" si="14">C82+D82</f>
        <v>38528</v>
      </c>
      <c r="F82" s="171"/>
      <c r="G82" s="171">
        <f t="shared" ref="G82:G92" si="15">E82+F82</f>
        <v>38528</v>
      </c>
      <c r="H82" s="172">
        <f t="shared" ref="H82:H93" si="16">IF($G$208=0,0,G82/$G$208)</f>
        <v>7.5589147244237232E-3</v>
      </c>
      <c r="I82" s="337"/>
      <c r="J82" s="183">
        <v>1951</v>
      </c>
      <c r="K82" s="183">
        <v>2099</v>
      </c>
      <c r="M82" s="359">
        <f t="shared" ref="M82:M92" si="17">G82/G$228</f>
        <v>1.4131973737299637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490">
        <f>'[10]Sch C'!D76</f>
        <v>6620</v>
      </c>
      <c r="D83" s="490">
        <f>'[10]Sch C'!F76</f>
        <v>0</v>
      </c>
      <c r="E83" s="171">
        <f t="shared" si="14"/>
        <v>6620</v>
      </c>
      <c r="F83" s="171"/>
      <c r="G83" s="171">
        <f t="shared" si="15"/>
        <v>6620</v>
      </c>
      <c r="H83" s="172">
        <f t="shared" si="16"/>
        <v>1.298796082736842E-3</v>
      </c>
      <c r="I83" s="337"/>
      <c r="J83" s="168"/>
      <c r="K83" s="168"/>
      <c r="M83" s="359">
        <f t="shared" si="17"/>
        <v>0.24281993911161648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490">
        <f>'[10]Sch C'!D77</f>
        <v>11147</v>
      </c>
      <c r="D84" s="490">
        <f>'[10]Sch C'!F77</f>
        <v>0</v>
      </c>
      <c r="E84" s="171">
        <f t="shared" si="14"/>
        <v>11147</v>
      </c>
      <c r="F84" s="171"/>
      <c r="G84" s="171">
        <f t="shared" si="15"/>
        <v>11147</v>
      </c>
      <c r="H84" s="172">
        <f t="shared" si="16"/>
        <v>2.1869607151461597E-3</v>
      </c>
      <c r="I84" s="337"/>
      <c r="J84" s="168"/>
      <c r="K84" s="168"/>
      <c r="M84" s="359">
        <f t="shared" si="17"/>
        <v>0.40886916333492279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490">
        <f>'[10]Sch C'!D78</f>
        <v>0</v>
      </c>
      <c r="D85" s="490">
        <f>'[10]Sch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I85" s="337"/>
      <c r="J85" s="168"/>
      <c r="K85" s="168"/>
      <c r="M85" s="359">
        <f t="shared" si="17"/>
        <v>0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490">
        <f>'[10]Sch C'!D79</f>
        <v>3583</v>
      </c>
      <c r="D86" s="490">
        <f>'[10]Sch C'!F79</f>
        <v>0</v>
      </c>
      <c r="E86" s="171">
        <f t="shared" si="14"/>
        <v>3583</v>
      </c>
      <c r="F86" s="171"/>
      <c r="G86" s="171">
        <f>E86+F86</f>
        <v>3583</v>
      </c>
      <c r="H86" s="172">
        <f t="shared" si="16"/>
        <v>7.0295866532418501E-4</v>
      </c>
      <c r="I86" s="337"/>
      <c r="J86" s="168"/>
      <c r="K86" s="168"/>
      <c r="M86" s="359">
        <f t="shared" si="17"/>
        <v>0.13142354106297913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490">
        <f>'[10]Sch C'!D80</f>
        <v>24110</v>
      </c>
      <c r="D87" s="490">
        <f>'[10]Sch C'!F80</f>
        <v>0</v>
      </c>
      <c r="E87" s="171">
        <f t="shared" si="14"/>
        <v>24110</v>
      </c>
      <c r="F87" s="171"/>
      <c r="G87" s="171">
        <f t="shared" si="15"/>
        <v>24110</v>
      </c>
      <c r="H87" s="172">
        <f t="shared" si="16"/>
        <v>4.7302074856171083E-3</v>
      </c>
      <c r="I87" s="337"/>
      <c r="J87" s="168"/>
      <c r="K87" s="168"/>
      <c r="M87" s="359">
        <f t="shared" si="17"/>
        <v>0.8843487510545428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490">
        <f>'[10]Sch C'!D81</f>
        <v>22947</v>
      </c>
      <c r="D88" s="490">
        <f>'[10]Sch C'!F81</f>
        <v>0</v>
      </c>
      <c r="E88" s="171">
        <f t="shared" si="14"/>
        <v>22947</v>
      </c>
      <c r="F88" s="171"/>
      <c r="G88" s="171">
        <f t="shared" si="15"/>
        <v>22947</v>
      </c>
      <c r="H88" s="172">
        <f t="shared" si="16"/>
        <v>4.5020353037103188E-3</v>
      </c>
      <c r="I88" s="337"/>
      <c r="J88" s="168"/>
      <c r="K88" s="168"/>
      <c r="M88" s="359">
        <f t="shared" si="17"/>
        <v>0.84169020283901264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490">
        <f>'[10]Sch C'!D82</f>
        <v>8498</v>
      </c>
      <c r="D89" s="490">
        <f>'[10]Sch C'!F82</f>
        <v>0</v>
      </c>
      <c r="E89" s="171">
        <f t="shared" si="14"/>
        <v>8498</v>
      </c>
      <c r="F89" s="171"/>
      <c r="G89" s="171">
        <f t="shared" si="15"/>
        <v>8498</v>
      </c>
      <c r="H89" s="172">
        <f t="shared" si="16"/>
        <v>1.6672460892896801E-3</v>
      </c>
      <c r="I89" s="337"/>
      <c r="J89" s="168"/>
      <c r="K89" s="168"/>
      <c r="M89" s="359">
        <f t="shared" si="17"/>
        <v>0.31170450794116566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490">
        <f>'[10]Sch C'!D83</f>
        <v>0</v>
      </c>
      <c r="D90" s="490">
        <f>'[10]Sch C'!F83</f>
        <v>0</v>
      </c>
      <c r="E90" s="171">
        <f t="shared" si="14"/>
        <v>0</v>
      </c>
      <c r="F90" s="171"/>
      <c r="G90" s="171">
        <f t="shared" si="15"/>
        <v>0</v>
      </c>
      <c r="H90" s="172">
        <f t="shared" si="16"/>
        <v>0</v>
      </c>
      <c r="I90" s="337"/>
      <c r="J90" s="168"/>
      <c r="K90" s="168"/>
      <c r="M90" s="359">
        <f t="shared" si="17"/>
        <v>0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490">
        <f>'[10]Sch C'!D84</f>
        <v>82274</v>
      </c>
      <c r="D91" s="490">
        <f>'[10]Sch C'!F84</f>
        <v>0</v>
      </c>
      <c r="E91" s="171">
        <f t="shared" si="14"/>
        <v>82274</v>
      </c>
      <c r="F91" s="171"/>
      <c r="G91" s="171">
        <f t="shared" si="15"/>
        <v>82274</v>
      </c>
      <c r="H91" s="172">
        <f t="shared" si="16"/>
        <v>1.6141563279620987E-2</v>
      </c>
      <c r="I91" s="337"/>
      <c r="J91" s="168"/>
      <c r="K91" s="168"/>
      <c r="M91" s="359">
        <f t="shared" si="17"/>
        <v>3.0177896783186005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490">
        <f>'[10]Sch C'!D85</f>
        <v>0</v>
      </c>
      <c r="D92" s="490">
        <f>'[10]Sch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7"/>
      <c r="J92" s="168"/>
      <c r="K92" s="168"/>
      <c r="M92" s="359">
        <f t="shared" si="17"/>
        <v>0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490">
        <f>SUM(C82:C92)</f>
        <v>197707</v>
      </c>
      <c r="D93" s="490">
        <f>SUM(D82:D92)</f>
        <v>0</v>
      </c>
      <c r="E93" s="171">
        <f t="shared" ref="E93:F93" si="18">SUM(E82:E92)</f>
        <v>197707</v>
      </c>
      <c r="F93" s="171">
        <f t="shared" si="18"/>
        <v>0</v>
      </c>
      <c r="G93" s="171">
        <f>SUM(G82:G92)</f>
        <v>197707</v>
      </c>
      <c r="H93" s="172">
        <f t="shared" si="16"/>
        <v>3.8788682345869005E-2</v>
      </c>
      <c r="I93" s="337"/>
      <c r="J93" s="168"/>
      <c r="K93" s="168"/>
      <c r="M93" s="364">
        <f>G93/G$228</f>
        <v>7.2518431573928037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490">
        <f>'[10]Sch C'!D89</f>
        <v>179138</v>
      </c>
      <c r="D96" s="490">
        <f>'[10]Sch C'!F89</f>
        <v>0</v>
      </c>
      <c r="E96" s="171">
        <f t="shared" ref="E96:E101" si="19">C96+D96</f>
        <v>179138</v>
      </c>
      <c r="F96" s="171"/>
      <c r="G96" s="171">
        <f t="shared" ref="G96:G101" si="20">E96+F96</f>
        <v>179138</v>
      </c>
      <c r="H96" s="172">
        <f t="shared" ref="H96:H102" si="21">IF($G$208=0,0,G96/$G$208)</f>
        <v>3.5145578953068336E-2</v>
      </c>
      <c r="I96" s="337"/>
      <c r="J96" s="183">
        <v>15364</v>
      </c>
      <c r="K96" s="183">
        <v>17023</v>
      </c>
      <c r="M96" s="364">
        <f t="shared" ref="M96:M101" si="22">G96/G$228</f>
        <v>6.5707368961596302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490">
        <f>'[10]Sch C'!D90</f>
        <v>42921</v>
      </c>
      <c r="D97" s="490">
        <f>'[10]Sch C'!F90</f>
        <v>0</v>
      </c>
      <c r="E97" s="171">
        <f t="shared" si="19"/>
        <v>42921</v>
      </c>
      <c r="F97" s="171"/>
      <c r="G97" s="171">
        <f t="shared" si="20"/>
        <v>42921</v>
      </c>
      <c r="H97" s="172">
        <f t="shared" si="21"/>
        <v>8.4207895267595159E-3</v>
      </c>
      <c r="I97" s="337"/>
      <c r="J97" s="168"/>
      <c r="K97" s="168"/>
      <c r="M97" s="364">
        <f t="shared" si="22"/>
        <v>1.5743315115724608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490">
        <f>'[10]Sch C'!D91</f>
        <v>16258</v>
      </c>
      <c r="D98" s="490">
        <f>'[10]Sch C'!F91</f>
        <v>0</v>
      </c>
      <c r="E98" s="171">
        <f t="shared" si="19"/>
        <v>16258</v>
      </c>
      <c r="F98" s="171"/>
      <c r="G98" s="171">
        <f t="shared" si="20"/>
        <v>16258</v>
      </c>
      <c r="H98" s="172">
        <f t="shared" si="21"/>
        <v>3.1897019204132292E-3</v>
      </c>
      <c r="I98" s="337"/>
      <c r="J98" s="168"/>
      <c r="K98" s="168"/>
      <c r="M98" s="364">
        <f t="shared" si="22"/>
        <v>0.5963393610387705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490">
        <f>'[10]Sch C'!D92</f>
        <v>154521</v>
      </c>
      <c r="D99" s="490">
        <f>'[10]Sch C'!F92</f>
        <v>-2027</v>
      </c>
      <c r="E99" s="171">
        <f t="shared" si="19"/>
        <v>152494</v>
      </c>
      <c r="F99" s="171"/>
      <c r="G99" s="171">
        <f t="shared" si="20"/>
        <v>152494</v>
      </c>
      <c r="H99" s="172">
        <f t="shared" si="21"/>
        <v>2.9918219009195161E-2</v>
      </c>
      <c r="I99" s="337"/>
      <c r="J99" s="168"/>
      <c r="K99" s="168"/>
      <c r="M99" s="364">
        <f t="shared" si="22"/>
        <v>5.5934416608590398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490">
        <f>'[10]Sch C'!D93</f>
        <v>16964</v>
      </c>
      <c r="D100" s="490">
        <f>'[10]Sch C'!F93</f>
        <v>0</v>
      </c>
      <c r="E100" s="171">
        <f t="shared" si="19"/>
        <v>16964</v>
      </c>
      <c r="F100" s="171"/>
      <c r="G100" s="171">
        <f t="shared" si="20"/>
        <v>16964</v>
      </c>
      <c r="H100" s="172">
        <f t="shared" si="21"/>
        <v>3.3282140102035931E-3</v>
      </c>
      <c r="I100" s="337"/>
      <c r="J100" s="168"/>
      <c r="K100" s="168"/>
      <c r="M100" s="364">
        <f t="shared" si="22"/>
        <v>0.62223526391079487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490">
        <f>'[10]Sch C'!D94</f>
        <v>11</v>
      </c>
      <c r="D101" s="490">
        <f>'[10]Sch C'!F94</f>
        <v>0</v>
      </c>
      <c r="E101" s="171">
        <f t="shared" si="19"/>
        <v>11</v>
      </c>
      <c r="F101" s="171"/>
      <c r="G101" s="171">
        <f t="shared" si="20"/>
        <v>11</v>
      </c>
      <c r="H101" s="172">
        <f t="shared" si="21"/>
        <v>2.1581203791699792E-6</v>
      </c>
      <c r="I101" s="337"/>
      <c r="J101" s="168"/>
      <c r="K101" s="168"/>
      <c r="M101" s="364">
        <f t="shared" si="22"/>
        <v>4.034772402156769E-4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490">
        <f>SUM(C96:C101)</f>
        <v>409813</v>
      </c>
      <c r="D102" s="490">
        <f>SUM(D96:D101)</f>
        <v>-2027</v>
      </c>
      <c r="E102" s="171">
        <f t="shared" ref="E102:F102" si="23">SUM(E96:E101)</f>
        <v>407786</v>
      </c>
      <c r="F102" s="171">
        <f t="shared" si="23"/>
        <v>0</v>
      </c>
      <c r="G102" s="171">
        <f>SUM(G96:G101)</f>
        <v>407786</v>
      </c>
      <c r="H102" s="172">
        <f t="shared" si="21"/>
        <v>8.0004661540019006E-2</v>
      </c>
      <c r="I102" s="337"/>
      <c r="J102" s="168"/>
      <c r="K102" s="168"/>
      <c r="M102" s="364">
        <f>G102/G$228</f>
        <v>14.957488170780913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490">
        <f>'[10]Sch C'!D98</f>
        <v>0</v>
      </c>
      <c r="D105" s="490">
        <f>'[10]Sch C'!F98</f>
        <v>0</v>
      </c>
      <c r="E105" s="171">
        <f t="shared" ref="E105:E110" si="24">C105+D105</f>
        <v>0</v>
      </c>
      <c r="F105" s="171"/>
      <c r="G105" s="171">
        <f t="shared" ref="G105:G110" si="25">E105+F105</f>
        <v>0</v>
      </c>
      <c r="H105" s="172">
        <f t="shared" ref="H105:H111" si="26">IF($G$208=0,0,G105/$G$208)</f>
        <v>0</v>
      </c>
      <c r="I105" s="337"/>
      <c r="J105" s="183">
        <v>0</v>
      </c>
      <c r="K105" s="183">
        <v>0</v>
      </c>
      <c r="M105" s="364">
        <f t="shared" ref="M105:M110" si="27">G105/G$228</f>
        <v>0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490">
        <f>'[10]Sch C'!D99</f>
        <v>0</v>
      </c>
      <c r="D106" s="490">
        <f>'[10]Sch C'!F99</f>
        <v>0</v>
      </c>
      <c r="E106" s="171">
        <f t="shared" si="24"/>
        <v>0</v>
      </c>
      <c r="F106" s="171"/>
      <c r="G106" s="171">
        <f t="shared" si="25"/>
        <v>0</v>
      </c>
      <c r="H106" s="172">
        <f t="shared" si="26"/>
        <v>0</v>
      </c>
      <c r="I106" s="337"/>
      <c r="J106" s="168"/>
      <c r="K106" s="168"/>
      <c r="M106" s="364">
        <f t="shared" si="27"/>
        <v>0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490">
        <f>'[10]Sch C'!D100</f>
        <v>14</v>
      </c>
      <c r="D107" s="490">
        <f>'[10]Sch C'!F100</f>
        <v>0</v>
      </c>
      <c r="E107" s="171">
        <f t="shared" si="24"/>
        <v>14</v>
      </c>
      <c r="F107" s="171"/>
      <c r="G107" s="171">
        <f t="shared" si="25"/>
        <v>14</v>
      </c>
      <c r="H107" s="172">
        <f t="shared" si="26"/>
        <v>2.7466986643981552E-6</v>
      </c>
      <c r="I107" s="337"/>
      <c r="J107" s="168"/>
      <c r="K107" s="168"/>
      <c r="M107" s="364">
        <f t="shared" si="27"/>
        <v>5.1351648754722513E-4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490">
        <f>'[10]Sch C'!D101</f>
        <v>50964</v>
      </c>
      <c r="D108" s="490">
        <f>'[10]Sch C'!F101</f>
        <v>0</v>
      </c>
      <c r="E108" s="171">
        <f t="shared" si="24"/>
        <v>50964</v>
      </c>
      <c r="F108" s="171"/>
      <c r="G108" s="171">
        <f t="shared" si="25"/>
        <v>50964</v>
      </c>
      <c r="H108" s="172">
        <f t="shared" si="26"/>
        <v>9.9987679094562555E-3</v>
      </c>
      <c r="I108" s="337"/>
      <c r="J108" s="168"/>
      <c r="K108" s="168"/>
      <c r="M108" s="364">
        <f t="shared" si="27"/>
        <v>1.8693467336683418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490">
        <f>'[10]Sch C'!D102</f>
        <v>7170</v>
      </c>
      <c r="D109" s="490">
        <f>'[10]Sch C'!F102</f>
        <v>0</v>
      </c>
      <c r="E109" s="171">
        <f t="shared" si="24"/>
        <v>7170</v>
      </c>
      <c r="F109" s="171"/>
      <c r="G109" s="171">
        <f t="shared" si="25"/>
        <v>7170</v>
      </c>
      <c r="H109" s="172">
        <f t="shared" si="26"/>
        <v>1.4067021016953409E-3</v>
      </c>
      <c r="I109" s="337"/>
      <c r="J109" s="168"/>
      <c r="K109" s="168"/>
      <c r="M109" s="364">
        <f t="shared" si="27"/>
        <v>0.26299380112240034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490">
        <f>'[10]Sch C'!D103</f>
        <v>0</v>
      </c>
      <c r="D110" s="490">
        <f>'[10]Sch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7"/>
      <c r="J110" s="168"/>
      <c r="K110" s="168"/>
      <c r="M110" s="364">
        <f t="shared" si="27"/>
        <v>0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490">
        <f>SUM(C105:C110)</f>
        <v>58148</v>
      </c>
      <c r="D111" s="490">
        <f>SUM(D105:D110)</f>
        <v>0</v>
      </c>
      <c r="E111" s="171">
        <f t="shared" ref="E111:F111" si="28">SUM(E105:E110)</f>
        <v>58148</v>
      </c>
      <c r="F111" s="171">
        <f t="shared" si="28"/>
        <v>0</v>
      </c>
      <c r="G111" s="171">
        <f>SUM(G105:G110)</f>
        <v>58148</v>
      </c>
      <c r="H111" s="172">
        <f t="shared" si="26"/>
        <v>1.1408216709815995E-2</v>
      </c>
      <c r="I111" s="337"/>
      <c r="J111" s="168"/>
      <c r="K111" s="168"/>
      <c r="M111" s="364">
        <f>G111/G$228</f>
        <v>2.1328540512782892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490">
        <f>'[10]Sch C'!D115</f>
        <v>0</v>
      </c>
      <c r="D114" s="490">
        <f>'[10]Sch C'!F115</f>
        <v>0</v>
      </c>
      <c r="E114" s="171">
        <f t="shared" ref="E114:E118" si="29">C114+D114</f>
        <v>0</v>
      </c>
      <c r="F114" s="171"/>
      <c r="G114" s="171">
        <f>E114+F114</f>
        <v>0</v>
      </c>
      <c r="H114" s="172">
        <f t="shared" ref="H114:H119" si="30">IF($G$208=0,0,G114/$G$208)</f>
        <v>0</v>
      </c>
      <c r="I114" s="337"/>
      <c r="J114" s="183">
        <v>0</v>
      </c>
      <c r="K114" s="183">
        <v>0</v>
      </c>
      <c r="M114" s="364">
        <f t="shared" ref="M114:M119" si="31">G114/G$228</f>
        <v>0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490">
        <f>'[10]Sch C'!D116</f>
        <v>0</v>
      </c>
      <c r="D115" s="490">
        <f>'[10]Sch C'!F116</f>
        <v>0</v>
      </c>
      <c r="E115" s="171">
        <f t="shared" si="29"/>
        <v>0</v>
      </c>
      <c r="F115" s="171"/>
      <c r="G115" s="171">
        <f>E115+F115</f>
        <v>0</v>
      </c>
      <c r="H115" s="172">
        <f t="shared" si="30"/>
        <v>0</v>
      </c>
      <c r="I115" s="337"/>
      <c r="J115" s="168"/>
      <c r="K115" s="168"/>
      <c r="M115" s="364">
        <f t="shared" si="31"/>
        <v>0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490">
        <f>'[10]Sch C'!D117</f>
        <v>9324</v>
      </c>
      <c r="D116" s="490">
        <f>'[10]Sch C'!F117</f>
        <v>0</v>
      </c>
      <c r="E116" s="171">
        <f t="shared" si="29"/>
        <v>9324</v>
      </c>
      <c r="F116" s="171"/>
      <c r="G116" s="171">
        <f>E116+F116</f>
        <v>9324</v>
      </c>
      <c r="H116" s="172">
        <f t="shared" si="30"/>
        <v>1.8293013104891712E-3</v>
      </c>
      <c r="I116" s="337"/>
      <c r="J116" s="168"/>
      <c r="K116" s="168"/>
      <c r="M116" s="364">
        <f t="shared" si="31"/>
        <v>0.34200198070645199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490">
        <f>'[10]Sch C'!D118</f>
        <v>102459</v>
      </c>
      <c r="D117" s="490">
        <f>'[10]Sch C'!F118</f>
        <v>0</v>
      </c>
      <c r="E117" s="171">
        <f t="shared" si="29"/>
        <v>102459</v>
      </c>
      <c r="F117" s="171"/>
      <c r="G117" s="171">
        <f>E117+F117</f>
        <v>102459</v>
      </c>
      <c r="H117" s="172">
        <f t="shared" si="30"/>
        <v>2.0101714175397897E-2</v>
      </c>
      <c r="I117" s="337"/>
      <c r="J117" s="168"/>
      <c r="K117" s="168"/>
      <c r="M117" s="364">
        <f t="shared" si="31"/>
        <v>3.7581704141143675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490">
        <f>'[10]Sch C'!D119</f>
        <v>0</v>
      </c>
      <c r="D118" s="490">
        <f>'[10]Sch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337"/>
      <c r="J118" s="168"/>
      <c r="K118" s="168"/>
      <c r="M118" s="364">
        <f t="shared" si="31"/>
        <v>0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490">
        <f>SUM(C114:C118)</f>
        <v>111783</v>
      </c>
      <c r="D119" s="490">
        <f>SUM(D114:D118)</f>
        <v>0</v>
      </c>
      <c r="E119" s="171">
        <f t="shared" ref="E119:F119" si="32">SUM(E114:E118)</f>
        <v>111783</v>
      </c>
      <c r="F119" s="171">
        <f t="shared" si="32"/>
        <v>0</v>
      </c>
      <c r="G119" s="171">
        <f>SUM(G114:G118)</f>
        <v>111783</v>
      </c>
      <c r="H119" s="172">
        <f t="shared" si="30"/>
        <v>2.1931015485887068E-2</v>
      </c>
      <c r="I119" s="337"/>
      <c r="J119" s="168"/>
      <c r="K119" s="168"/>
      <c r="M119" s="364">
        <f t="shared" si="31"/>
        <v>4.1001723948208193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1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490">
        <f>'[10]Sch C'!D124</f>
        <v>0</v>
      </c>
      <c r="D123" s="490">
        <f>'[10]Sch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7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0.77002560279620991</v>
      </c>
    </row>
    <row r="124" spans="1:14" s="167" customFormat="1">
      <c r="B124" s="163" t="s">
        <v>194</v>
      </c>
      <c r="C124" s="490">
        <f>'[10]Sch C'!D125</f>
        <v>173505</v>
      </c>
      <c r="D124" s="490">
        <f>'[10]Sch C'!F125</f>
        <v>0</v>
      </c>
      <c r="E124" s="171">
        <f t="shared" si="33"/>
        <v>173505</v>
      </c>
      <c r="F124" s="171"/>
      <c r="G124" s="171">
        <f>E124+F124</f>
        <v>173505</v>
      </c>
      <c r="H124" s="172">
        <f>IF($G$208=0,0,G124/$G$208)</f>
        <v>3.4040425126171565E-2</v>
      </c>
      <c r="I124" s="337"/>
      <c r="J124" s="183">
        <v>3919</v>
      </c>
      <c r="K124" s="183">
        <v>4393</v>
      </c>
      <c r="M124" s="364">
        <f t="shared" si="34"/>
        <v>6.3641198694200929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490">
        <f>'[10]Sch C'!D126</f>
        <v>0</v>
      </c>
      <c r="D125" s="490">
        <f>'[10]Sch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7"/>
      <c r="J125" s="183">
        <v>0</v>
      </c>
      <c r="K125" s="183">
        <v>0</v>
      </c>
      <c r="M125" s="364">
        <f t="shared" si="34"/>
        <v>0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490">
        <f>'[10]Sch C'!D127</f>
        <v>0</v>
      </c>
      <c r="D126" s="490">
        <f>'[10]Sch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7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490">
        <f>'[10]Sch C'!D128</f>
        <v>57955</v>
      </c>
      <c r="D127" s="490">
        <f>'[10]Sch C'!F128</f>
        <v>0</v>
      </c>
      <c r="E127" s="171">
        <f t="shared" si="33"/>
        <v>57955</v>
      </c>
      <c r="F127" s="171"/>
      <c r="G127" s="171">
        <f>E127+F127</f>
        <v>57955</v>
      </c>
      <c r="H127" s="172">
        <f>IF($G$208=0,0,G127/$G$208)</f>
        <v>1.1370351506799648E-2</v>
      </c>
      <c r="I127" s="337"/>
      <c r="J127" s="183">
        <v>3499</v>
      </c>
      <c r="K127" s="183">
        <v>3986</v>
      </c>
      <c r="M127" s="364">
        <f t="shared" si="34"/>
        <v>2.1257748596999595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205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490">
        <f>'[10]Sch C'!D130</f>
        <v>0</v>
      </c>
      <c r="D129" s="490">
        <f>'[10]Sch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7"/>
      <c r="J129" s="204"/>
      <c r="K129" s="204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490">
        <f>'[10]Sch C'!D131</f>
        <v>12578</v>
      </c>
      <c r="D130" s="490">
        <f>'[10]Sch C'!F131</f>
        <v>0</v>
      </c>
      <c r="E130" s="171">
        <f t="shared" si="35"/>
        <v>12578</v>
      </c>
      <c r="F130" s="171"/>
      <c r="G130" s="171">
        <f>E130+F130</f>
        <v>12578</v>
      </c>
      <c r="H130" s="172">
        <f>IF($G$208=0,0,G130/$G$208)</f>
        <v>2.4677125571999996E-3</v>
      </c>
      <c r="I130" s="337"/>
      <c r="J130" s="204"/>
      <c r="K130" s="204"/>
      <c r="M130" s="364">
        <f t="shared" si="34"/>
        <v>0.46135788431207131</v>
      </c>
      <c r="N130" s="359">
        <f>SUMMARY!J133</f>
        <v>1.0792348507966931</v>
      </c>
    </row>
    <row r="131" spans="1:14" s="167" customFormat="1">
      <c r="B131" s="163" t="s">
        <v>195</v>
      </c>
      <c r="C131" s="490">
        <f>'[10]Sch C'!D132</f>
        <v>0</v>
      </c>
      <c r="D131" s="490">
        <f>'[10]Sch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7"/>
      <c r="J131" s="168"/>
      <c r="K131" s="168"/>
      <c r="M131" s="364">
        <f t="shared" si="34"/>
        <v>0</v>
      </c>
      <c r="N131" s="359">
        <f>SUMMARY!J134</f>
        <v>8.2765628075518377E-2</v>
      </c>
    </row>
    <row r="132" spans="1:14" s="167" customFormat="1">
      <c r="B132" s="163" t="s">
        <v>196</v>
      </c>
      <c r="C132" s="490">
        <f>'[10]Sch C'!D133</f>
        <v>0</v>
      </c>
      <c r="D132" s="490">
        <f>'[10]Sch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490">
        <f>'[10]Sch C'!D134</f>
        <v>7251</v>
      </c>
      <c r="D133" s="490">
        <f>'[10]Sch C'!F134</f>
        <v>0</v>
      </c>
      <c r="E133" s="171">
        <f t="shared" si="35"/>
        <v>7251</v>
      </c>
      <c r="F133" s="171"/>
      <c r="G133" s="171">
        <f>E133+F133</f>
        <v>7251</v>
      </c>
      <c r="H133" s="172">
        <f>IF($G$208=0,0,G133/$G$208)</f>
        <v>1.4225937153965016E-3</v>
      </c>
      <c r="I133" s="337"/>
      <c r="J133" s="168"/>
      <c r="K133" s="168"/>
      <c r="M133" s="364">
        <f t="shared" si="34"/>
        <v>0.26596486080035214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490">
        <f>'[10]Sch C'!D136</f>
        <v>553867</v>
      </c>
      <c r="D135" s="490">
        <f>'[10]Sch C'!F136</f>
        <v>0</v>
      </c>
      <c r="E135" s="171">
        <f t="shared" ref="E135:E138" si="36">C135+D135</f>
        <v>553867</v>
      </c>
      <c r="F135" s="171"/>
      <c r="G135" s="171">
        <f>E135+F135</f>
        <v>553867</v>
      </c>
      <c r="H135" s="172">
        <f>IF($G$208=0,0,G135/$G$208)</f>
        <v>0.10866469636815808</v>
      </c>
      <c r="I135" s="337"/>
      <c r="J135" s="183">
        <v>20299</v>
      </c>
      <c r="K135" s="183">
        <v>22595</v>
      </c>
      <c r="M135" s="364">
        <f t="shared" si="34"/>
        <v>20.315702600594211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490">
        <f>'[10]Sch C'!D137</f>
        <v>222311</v>
      </c>
      <c r="D136" s="490">
        <f>'[10]Sch C'!F137</f>
        <v>0</v>
      </c>
      <c r="E136" s="171">
        <f t="shared" si="36"/>
        <v>222311</v>
      </c>
      <c r="F136" s="171"/>
      <c r="G136" s="171">
        <f>E136+F136</f>
        <v>222311</v>
      </c>
      <c r="H136" s="172">
        <f>IF($G$208=0,0,G136/$G$208)</f>
        <v>4.3615809055787019E-2</v>
      </c>
      <c r="I136" s="337"/>
      <c r="J136" s="183">
        <v>9660</v>
      </c>
      <c r="K136" s="183">
        <v>10596</v>
      </c>
      <c r="M136" s="364">
        <f t="shared" si="34"/>
        <v>8.1543117045079416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490">
        <f>'[10]Sch C'!D138</f>
        <v>660503</v>
      </c>
      <c r="D137" s="490">
        <f>'[10]Sch C'!F138</f>
        <v>26484</v>
      </c>
      <c r="E137" s="171">
        <f t="shared" si="36"/>
        <v>686987</v>
      </c>
      <c r="F137" s="171"/>
      <c r="G137" s="171">
        <f>E137+F137</f>
        <v>686987</v>
      </c>
      <c r="H137" s="172">
        <f>IF($G$208=0,0,G137/$G$208)</f>
        <v>0.13478187681134968</v>
      </c>
      <c r="I137" s="337"/>
      <c r="J137" s="183">
        <v>51249</v>
      </c>
      <c r="K137" s="183">
        <v>82675</v>
      </c>
      <c r="M137" s="364">
        <f t="shared" si="34"/>
        <v>25.198510802186114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490">
        <f>'[10]Sch C'!D139</f>
        <v>26484</v>
      </c>
      <c r="D138" s="490">
        <f>'[10]Sch C'!F139</f>
        <v>-26484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7"/>
      <c r="J138" s="183">
        <v>0</v>
      </c>
      <c r="K138" s="183">
        <v>0</v>
      </c>
      <c r="M138" s="364">
        <f t="shared" si="34"/>
        <v>0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7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490">
        <f>'[10]Sch C'!D141</f>
        <v>261693</v>
      </c>
      <c r="D140" s="490">
        <f>'[10]Sch C'!F141</f>
        <v>-162632</v>
      </c>
      <c r="E140" s="171">
        <f t="shared" ref="E140:E143" si="37">C140+D140</f>
        <v>99061</v>
      </c>
      <c r="F140" s="171"/>
      <c r="G140" s="171">
        <f>E140+F140</f>
        <v>99061</v>
      </c>
      <c r="H140" s="172">
        <f>IF($G$208=0,0,G140/$G$208)</f>
        <v>1.9435051170996118E-2</v>
      </c>
      <c r="I140" s="337"/>
      <c r="J140" s="168"/>
      <c r="K140" s="168"/>
      <c r="M140" s="364">
        <f t="shared" si="34"/>
        <v>3.6335326266368337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490">
        <f>'[10]Sch C'!D142</f>
        <v>0</v>
      </c>
      <c r="D141" s="490">
        <f>'[10]Sch C'!F142</f>
        <v>39762</v>
      </c>
      <c r="E141" s="171">
        <f t="shared" si="37"/>
        <v>39762</v>
      </c>
      <c r="F141" s="171"/>
      <c r="G141" s="171">
        <f>E141+F141</f>
        <v>39762</v>
      </c>
      <c r="H141" s="172">
        <f>IF($G$208=0,0,G141/$G$208)</f>
        <v>7.8010165924142462E-3</v>
      </c>
      <c r="I141" s="337"/>
      <c r="J141" s="168"/>
      <c r="K141" s="168"/>
      <c r="M141" s="364">
        <f t="shared" si="34"/>
        <v>1.4584601841323406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490">
        <f>'[10]Sch C'!D143</f>
        <v>0</v>
      </c>
      <c r="D142" s="490">
        <f>'[10]Sch C'!F143</f>
        <v>122870</v>
      </c>
      <c r="E142" s="171">
        <f t="shared" si="37"/>
        <v>122870</v>
      </c>
      <c r="F142" s="171"/>
      <c r="G142" s="171">
        <f>E142+F142</f>
        <v>122870</v>
      </c>
      <c r="H142" s="172">
        <f>IF($G$208=0,0,G142/$G$208)</f>
        <v>2.4106204635328667E-2</v>
      </c>
      <c r="I142" s="337"/>
      <c r="J142" s="168"/>
      <c r="K142" s="168"/>
      <c r="M142" s="364">
        <f t="shared" si="34"/>
        <v>4.5068407732091114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490">
        <f>'[10]Sch C'!D144</f>
        <v>0</v>
      </c>
      <c r="D143" s="490">
        <f>'[10]Sch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7"/>
      <c r="J143" s="168"/>
      <c r="K143" s="168"/>
      <c r="M143" s="364">
        <f t="shared" si="34"/>
        <v>0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7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490">
        <f>'[10]Sch C'!D146</f>
        <v>30000</v>
      </c>
      <c r="D145" s="490">
        <f>'[10]Sch C'!F146</f>
        <v>0</v>
      </c>
      <c r="E145" s="171">
        <f t="shared" ref="E145:E153" si="38">C145+D145</f>
        <v>30000</v>
      </c>
      <c r="F145" s="171"/>
      <c r="G145" s="171">
        <f t="shared" ref="G145:G153" si="39">E145+F145</f>
        <v>30000</v>
      </c>
      <c r="H145" s="172">
        <f t="shared" ref="H145:H153" si="40">IF($G$208=0,0,G145/$G$208)</f>
        <v>5.8857828522817608E-3</v>
      </c>
      <c r="I145" s="337"/>
      <c r="J145" s="183">
        <v>120</v>
      </c>
      <c r="K145" s="183">
        <v>120</v>
      </c>
      <c r="M145" s="364">
        <f t="shared" si="34"/>
        <v>1.1003924733154826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490">
        <f>'[10]Sch C'!D147</f>
        <v>75763</v>
      </c>
      <c r="D146" s="490">
        <f>'[10]Sch C'!F147</f>
        <v>-59283</v>
      </c>
      <c r="E146" s="171">
        <f t="shared" si="38"/>
        <v>16480</v>
      </c>
      <c r="F146" s="171"/>
      <c r="G146" s="171">
        <f t="shared" si="39"/>
        <v>16480</v>
      </c>
      <c r="H146" s="172">
        <f t="shared" si="40"/>
        <v>3.233256713520114E-3</v>
      </c>
      <c r="I146" s="337"/>
      <c r="J146" s="183">
        <v>321</v>
      </c>
      <c r="K146" s="183">
        <v>321</v>
      </c>
      <c r="M146" s="364">
        <f t="shared" si="34"/>
        <v>0.60448226534130511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490">
        <f>'[10]Sch C'!D148</f>
        <v>0</v>
      </c>
      <c r="D147" s="490">
        <f>'[10]Sch C'!F148</f>
        <v>6132</v>
      </c>
      <c r="E147" s="171">
        <f t="shared" si="38"/>
        <v>6132</v>
      </c>
      <c r="F147" s="171"/>
      <c r="G147" s="171">
        <f t="shared" si="39"/>
        <v>6132</v>
      </c>
      <c r="H147" s="172">
        <f t="shared" si="40"/>
        <v>1.203054015006392E-3</v>
      </c>
      <c r="I147" s="337"/>
      <c r="J147" s="183">
        <v>172</v>
      </c>
      <c r="K147" s="183">
        <v>172</v>
      </c>
      <c r="M147" s="364">
        <f t="shared" si="34"/>
        <v>0.22492022154568464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490">
        <f>'[10]Sch C'!D149</f>
        <v>0</v>
      </c>
      <c r="D148" s="490">
        <f>'[10]Sch C'!F149</f>
        <v>53151</v>
      </c>
      <c r="E148" s="171">
        <f t="shared" si="38"/>
        <v>53151</v>
      </c>
      <c r="F148" s="171"/>
      <c r="G148" s="171">
        <f t="shared" si="39"/>
        <v>53151</v>
      </c>
      <c r="H148" s="172">
        <f t="shared" si="40"/>
        <v>1.0427841479387596E-2</v>
      </c>
      <c r="I148" s="337"/>
      <c r="J148" s="183">
        <v>2346</v>
      </c>
      <c r="K148" s="183">
        <v>2346</v>
      </c>
      <c r="M148" s="364">
        <f t="shared" si="34"/>
        <v>1.9495653449730403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490">
        <f>'[10]Sch C'!D150</f>
        <v>0</v>
      </c>
      <c r="D149" s="490">
        <f>'[10]Sch C'!F150</f>
        <v>0</v>
      </c>
      <c r="E149" s="171">
        <f t="shared" si="38"/>
        <v>0</v>
      </c>
      <c r="F149" s="171"/>
      <c r="G149" s="171">
        <f t="shared" si="39"/>
        <v>0</v>
      </c>
      <c r="H149" s="172">
        <f t="shared" si="40"/>
        <v>0</v>
      </c>
      <c r="I149" s="337"/>
      <c r="J149" s="183">
        <v>0</v>
      </c>
      <c r="K149" s="183">
        <v>0</v>
      </c>
      <c r="M149" s="364">
        <f t="shared" si="34"/>
        <v>0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490">
        <f>'[10]Sch C'!D151</f>
        <v>72095</v>
      </c>
      <c r="D150" s="490">
        <f>'[10]Sch C'!F151</f>
        <v>-925</v>
      </c>
      <c r="E150" s="171">
        <f t="shared" si="38"/>
        <v>71170</v>
      </c>
      <c r="F150" s="171"/>
      <c r="G150" s="171">
        <f t="shared" si="39"/>
        <v>71170</v>
      </c>
      <c r="H150" s="172">
        <f t="shared" si="40"/>
        <v>1.3963038853229765E-2</v>
      </c>
      <c r="I150" s="337"/>
      <c r="J150" s="168"/>
      <c r="K150" s="168"/>
      <c r="M150" s="364">
        <f t="shared" si="34"/>
        <v>2.6104977441954298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490">
        <f>'[10]Sch C'!D152</f>
        <v>4624</v>
      </c>
      <c r="D151" s="490">
        <f>'[10]Sch C'!F152</f>
        <v>0</v>
      </c>
      <c r="E151" s="171">
        <f t="shared" si="38"/>
        <v>4624</v>
      </c>
      <c r="F151" s="171"/>
      <c r="G151" s="171">
        <f t="shared" si="39"/>
        <v>4624</v>
      </c>
      <c r="H151" s="172">
        <f t="shared" si="40"/>
        <v>9.0719533029836208E-4</v>
      </c>
      <c r="I151" s="337"/>
      <c r="J151" s="168"/>
      <c r="K151" s="168"/>
      <c r="M151" s="364">
        <f t="shared" si="34"/>
        <v>0.16960715988702638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490">
        <f>'[10]Sch C'!D153</f>
        <v>0</v>
      </c>
      <c r="D152" s="490">
        <f>'[10]Sch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7"/>
      <c r="J152" s="168"/>
      <c r="K152" s="168"/>
      <c r="M152" s="364">
        <f t="shared" si="34"/>
        <v>0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490">
        <f>'[10]Sch C'!D154</f>
        <v>0</v>
      </c>
      <c r="D153" s="490">
        <f>'[10]Sch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210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490">
        <f>'[10]Sch C'!D156</f>
        <v>0</v>
      </c>
      <c r="D155" s="490">
        <f>'[10]Sch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490">
        <f>'[10]Sch C'!D157</f>
        <v>0</v>
      </c>
      <c r="D156" s="490">
        <f>'[10]Sch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490">
        <f>'[10]Sch C'!D158</f>
        <v>0</v>
      </c>
      <c r="D157" s="490">
        <f>'[10]Sch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7"/>
      <c r="J157" s="168"/>
      <c r="K157" s="168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490">
        <f>'[10]Sch C'!D159</f>
        <v>0</v>
      </c>
      <c r="D158" s="490">
        <f>'[10]Sch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490">
        <f>'[10]Sch C'!D160</f>
        <v>0</v>
      </c>
      <c r="D159" s="490">
        <f>'[10]Sch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7"/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490">
        <f>'[10]Sch C'!D161</f>
        <v>17048</v>
      </c>
      <c r="D160" s="490">
        <f>'[10]Sch C'!F161</f>
        <v>-803</v>
      </c>
      <c r="E160" s="171">
        <f t="shared" si="41"/>
        <v>16245</v>
      </c>
      <c r="F160" s="171"/>
      <c r="G160" s="171">
        <f t="shared" si="42"/>
        <v>16245</v>
      </c>
      <c r="H160" s="172">
        <f t="shared" si="43"/>
        <v>3.1871514145105735E-3</v>
      </c>
      <c r="I160" s="337"/>
      <c r="J160" s="168"/>
      <c r="K160" s="168"/>
      <c r="M160" s="364">
        <f t="shared" si="34"/>
        <v>0.59586252430033382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490">
        <f>SUM(C123:C160)</f>
        <v>2175677</v>
      </c>
      <c r="D161" s="490">
        <f>SUM(D123:D160)</f>
        <v>-1728</v>
      </c>
      <c r="E161" s="171">
        <f t="shared" ref="E161:F161" si="44">SUM(E123:E160)</f>
        <v>2173949</v>
      </c>
      <c r="F161" s="171">
        <f t="shared" si="44"/>
        <v>0</v>
      </c>
      <c r="G161" s="171">
        <f>SUM(G123:G160)</f>
        <v>2173949</v>
      </c>
      <c r="H161" s="172">
        <f t="shared" si="43"/>
        <v>0.42651305819783608</v>
      </c>
      <c r="I161" s="337"/>
      <c r="J161" s="168"/>
      <c r="K161" s="168"/>
      <c r="M161" s="364">
        <f>G161/G$228</f>
        <v>79.739903899057325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337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7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490">
        <f>'[10]Sch C'!D175</f>
        <v>0</v>
      </c>
      <c r="D164" s="490">
        <f>'[10]Sch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490">
        <f>'[10]Sch C'!D176</f>
        <v>0</v>
      </c>
      <c r="D165" s="490">
        <f>'[10]Sch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490">
        <f>'[10]Sch C'!D177</f>
        <v>0</v>
      </c>
      <c r="D166" s="490">
        <f>'[10]Sch C'!F177</f>
        <v>0</v>
      </c>
      <c r="E166" s="171">
        <f t="shared" si="45"/>
        <v>0</v>
      </c>
      <c r="F166" s="216"/>
      <c r="G166" s="171">
        <f t="shared" si="46"/>
        <v>0</v>
      </c>
      <c r="H166" s="172">
        <f t="shared" si="47"/>
        <v>0</v>
      </c>
      <c r="I166" s="343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490">
        <f>'[10]Sch C'!D178</f>
        <v>0</v>
      </c>
      <c r="D167" s="490">
        <f>'[10]Sch C'!F178</f>
        <v>0</v>
      </c>
      <c r="E167" s="171">
        <f t="shared" si="45"/>
        <v>0</v>
      </c>
      <c r="F167" s="216"/>
      <c r="G167" s="171">
        <f t="shared" si="46"/>
        <v>0</v>
      </c>
      <c r="H167" s="172">
        <f t="shared" si="47"/>
        <v>0</v>
      </c>
      <c r="I167" s="344"/>
      <c r="J167" s="222"/>
      <c r="K167" s="222"/>
      <c r="L167" s="218"/>
      <c r="M167" s="364">
        <f t="shared" si="48"/>
        <v>0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490">
        <f>'[10]Sch C'!D179</f>
        <v>0</v>
      </c>
      <c r="D168" s="490">
        <f>'[10]Sch C'!F179</f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343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490">
        <f>'[10]Sch C'!D180</f>
        <v>0</v>
      </c>
      <c r="D169" s="490">
        <f>'[10]Sch C'!F180</f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344"/>
      <c r="J169" s="222"/>
      <c r="K169" s="222"/>
      <c r="L169" s="218"/>
      <c r="M169" s="364">
        <f t="shared" si="48"/>
        <v>0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490">
        <f>'[10]Sch C'!D181</f>
        <v>0</v>
      </c>
      <c r="D170" s="490">
        <f>'[10]Sch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3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490">
        <f>'[10]Sch C'!D182</f>
        <v>0</v>
      </c>
      <c r="D171" s="490">
        <f>'[10]Sch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490">
        <f>'[10]Sch C'!D183</f>
        <v>0</v>
      </c>
      <c r="D172" s="490">
        <f>'[10]Sch C'!F183</f>
        <v>0</v>
      </c>
      <c r="E172" s="171">
        <f t="shared" si="45"/>
        <v>0</v>
      </c>
      <c r="F172" s="216"/>
      <c r="G172" s="171">
        <f t="shared" si="46"/>
        <v>0</v>
      </c>
      <c r="H172" s="172">
        <f t="shared" si="47"/>
        <v>0</v>
      </c>
      <c r="I172" s="343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490">
        <f>'[10]Sch C'!D184</f>
        <v>0</v>
      </c>
      <c r="D173" s="490">
        <f>'[10]Sch C'!F184</f>
        <v>0</v>
      </c>
      <c r="E173" s="171">
        <f t="shared" si="45"/>
        <v>0</v>
      </c>
      <c r="F173" s="216"/>
      <c r="G173" s="171">
        <f t="shared" si="46"/>
        <v>0</v>
      </c>
      <c r="H173" s="172">
        <f t="shared" si="47"/>
        <v>0</v>
      </c>
      <c r="I173" s="344"/>
      <c r="J173" s="222"/>
      <c r="K173" s="222"/>
      <c r="L173" s="218"/>
      <c r="M173" s="364">
        <f t="shared" si="48"/>
        <v>0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490">
        <f>'[10]Sch C'!D185</f>
        <v>0</v>
      </c>
      <c r="D174" s="490">
        <f>'[10]Sch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3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490">
        <f>'[10]Sch C'!D186</f>
        <v>0</v>
      </c>
      <c r="D175" s="490">
        <f>'[10]Sch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490">
        <f>'[10]Sch C'!D187</f>
        <v>0</v>
      </c>
      <c r="D176" s="490">
        <f>'[10]Sch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490">
        <f>'[10]Sch C'!D188</f>
        <v>237</v>
      </c>
      <c r="D177" s="490">
        <f>'[10]Sch C'!F188</f>
        <v>0</v>
      </c>
      <c r="E177" s="171">
        <f t="shared" si="45"/>
        <v>237</v>
      </c>
      <c r="F177" s="216"/>
      <c r="G177" s="171">
        <f t="shared" si="46"/>
        <v>237</v>
      </c>
      <c r="H177" s="172">
        <f t="shared" si="47"/>
        <v>4.6497684533025911E-5</v>
      </c>
      <c r="I177" s="337"/>
      <c r="J177" s="223"/>
      <c r="K177" s="218"/>
      <c r="L177" s="220"/>
      <c r="M177" s="364">
        <f t="shared" si="48"/>
        <v>8.6931005391923111E-3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490">
        <f>'[10]Sch C'!D189</f>
        <v>0</v>
      </c>
      <c r="D178" s="490">
        <f>'[10]Sch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337"/>
      <c r="J178" s="223"/>
      <c r="K178" s="218"/>
      <c r="L178" s="220"/>
      <c r="M178" s="364">
        <f t="shared" si="48"/>
        <v>0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490">
        <f>'[10]Sch C'!D190</f>
        <v>0</v>
      </c>
      <c r="D179" s="490">
        <f>'[10]Sch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490">
        <f>'[10]Sch C'!D191</f>
        <v>0</v>
      </c>
      <c r="D180" s="490">
        <f>'[10]Sch C'!F191</f>
        <v>0</v>
      </c>
      <c r="E180" s="171">
        <f t="shared" si="45"/>
        <v>0</v>
      </c>
      <c r="F180" s="216"/>
      <c r="G180" s="171">
        <f t="shared" si="46"/>
        <v>0</v>
      </c>
      <c r="H180" s="172">
        <f t="shared" si="47"/>
        <v>0</v>
      </c>
      <c r="I180" s="337"/>
      <c r="J180" s="223"/>
      <c r="K180" s="218"/>
      <c r="L180" s="220"/>
      <c r="M180" s="364">
        <f t="shared" si="48"/>
        <v>0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490">
        <f>'[10]Sch C'!D192</f>
        <v>0</v>
      </c>
      <c r="D181" s="490">
        <f>'[10]Sch C'!F192</f>
        <v>0</v>
      </c>
      <c r="E181" s="171">
        <f t="shared" si="45"/>
        <v>0</v>
      </c>
      <c r="F181" s="216"/>
      <c r="G181" s="171">
        <f t="shared" si="46"/>
        <v>0</v>
      </c>
      <c r="H181" s="172">
        <f t="shared" si="47"/>
        <v>0</v>
      </c>
      <c r="I181" s="337"/>
      <c r="J181" s="223"/>
      <c r="K181" s="218"/>
      <c r="L181" s="220"/>
      <c r="M181" s="364">
        <f t="shared" si="48"/>
        <v>0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490">
        <f>'[10]Sch C'!D193</f>
        <v>195</v>
      </c>
      <c r="D182" s="490">
        <f>'[10]Sch C'!F193</f>
        <v>0</v>
      </c>
      <c r="E182" s="171">
        <f t="shared" si="45"/>
        <v>195</v>
      </c>
      <c r="F182" s="216"/>
      <c r="G182" s="171">
        <f t="shared" si="46"/>
        <v>195</v>
      </c>
      <c r="H182" s="172">
        <f t="shared" si="47"/>
        <v>3.825758853983145E-5</v>
      </c>
      <c r="I182" s="337"/>
      <c r="J182" s="223"/>
      <c r="K182" s="218"/>
      <c r="L182" s="220"/>
      <c r="M182" s="364">
        <f t="shared" si="48"/>
        <v>7.1525510765506365E-3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490">
        <f>'[10]Sch C'!D194</f>
        <v>172180</v>
      </c>
      <c r="D183" s="490">
        <f>'[10]Sch C'!F194</f>
        <v>6353</v>
      </c>
      <c r="E183" s="171">
        <f t="shared" si="45"/>
        <v>178533</v>
      </c>
      <c r="F183" s="216"/>
      <c r="G183" s="171">
        <f t="shared" si="46"/>
        <v>178533</v>
      </c>
      <c r="H183" s="172">
        <f t="shared" si="47"/>
        <v>3.5026882332213988E-2</v>
      </c>
      <c r="I183" s="337"/>
      <c r="J183" s="223"/>
      <c r="K183" s="218"/>
      <c r="M183" s="364">
        <f t="shared" si="48"/>
        <v>6.5485456479477682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490">
        <f>'[10]Sch C'!D195</f>
        <v>57877</v>
      </c>
      <c r="D184" s="490">
        <f>'[10]Sch C'!F195</f>
        <v>2136</v>
      </c>
      <c r="E184" s="171">
        <f t="shared" si="45"/>
        <v>60013</v>
      </c>
      <c r="F184" s="216"/>
      <c r="G184" s="171">
        <f t="shared" si="46"/>
        <v>60013</v>
      </c>
      <c r="H184" s="172">
        <f t="shared" si="47"/>
        <v>1.1774116210466177E-2</v>
      </c>
      <c r="I184" s="337"/>
      <c r="J184" s="223"/>
      <c r="K184" s="218"/>
      <c r="M184" s="364">
        <f t="shared" si="48"/>
        <v>2.2012617833694019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490">
        <f>'[10]Sch C'!D196</f>
        <v>0</v>
      </c>
      <c r="D185" s="490">
        <f>'[10]Sch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490">
        <f>'[10]Sch C'!D197</f>
        <v>123178</v>
      </c>
      <c r="D186" s="490">
        <f>'[10]Sch C'!F197</f>
        <v>4545</v>
      </c>
      <c r="E186" s="171">
        <f t="shared" si="45"/>
        <v>127723</v>
      </c>
      <c r="F186" s="216"/>
      <c r="G186" s="171">
        <f t="shared" si="46"/>
        <v>127723</v>
      </c>
      <c r="H186" s="172">
        <f t="shared" si="47"/>
        <v>2.5058328108066113E-2</v>
      </c>
      <c r="I186" s="337"/>
      <c r="J186" s="223"/>
      <c r="K186" s="218"/>
      <c r="M186" s="364">
        <f t="shared" si="48"/>
        <v>4.684847595642446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490">
        <f>'[10]Sch C'!D198</f>
        <v>21361</v>
      </c>
      <c r="D187" s="490">
        <f>'[10]Sch C'!F198</f>
        <v>-1249</v>
      </c>
      <c r="E187" s="171">
        <f t="shared" si="45"/>
        <v>20112</v>
      </c>
      <c r="F187" s="216"/>
      <c r="G187" s="171">
        <f t="shared" si="46"/>
        <v>20112</v>
      </c>
      <c r="H187" s="172">
        <f t="shared" si="47"/>
        <v>3.9458288241696927E-3</v>
      </c>
      <c r="I187" s="337"/>
      <c r="J187" s="223"/>
      <c r="K187" s="218"/>
      <c r="M187" s="364">
        <f t="shared" si="48"/>
        <v>0.73770311411069944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490">
        <f>'[10]Sch C'!D199</f>
        <v>0</v>
      </c>
      <c r="D188" s="490">
        <f>'[10]Sch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7"/>
      <c r="J188" s="223"/>
      <c r="K188" s="218"/>
      <c r="M188" s="364">
        <f t="shared" si="48"/>
        <v>0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490">
        <f>'[10]Sch C'!D200</f>
        <v>0</v>
      </c>
      <c r="D189" s="490">
        <f>'[10]Sch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7"/>
      <c r="J189" s="223"/>
      <c r="K189" s="218"/>
      <c r="M189" s="364">
        <f t="shared" si="48"/>
        <v>0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490">
        <f>'[10]Sch C'!D201</f>
        <v>0</v>
      </c>
      <c r="D190" s="490">
        <f>'[10]Sch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7"/>
      <c r="J190" s="223"/>
      <c r="K190" s="218"/>
      <c r="M190" s="364">
        <f t="shared" si="48"/>
        <v>0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490">
        <f>'[10]Sch C'!D202</f>
        <v>0</v>
      </c>
      <c r="D191" s="490">
        <f>'[10]Sch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490">
        <f>'[10]Sch C'!D203</f>
        <v>0</v>
      </c>
      <c r="D192" s="490">
        <f>'[10]Sch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7"/>
      <c r="J192" s="223"/>
      <c r="K192" s="218"/>
      <c r="M192" s="364">
        <f t="shared" si="48"/>
        <v>0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490">
        <f>'[10]Sch C'!D204</f>
        <v>0</v>
      </c>
      <c r="D193" s="490">
        <f>'[10]Sch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490">
        <f>'[10]Sch C'!D205</f>
        <v>143855</v>
      </c>
      <c r="D194" s="490">
        <f>'[10]Sch C'!F205</f>
        <v>-9718</v>
      </c>
      <c r="E194" s="171">
        <f t="shared" si="45"/>
        <v>134137</v>
      </c>
      <c r="F194" s="216"/>
      <c r="G194" s="171">
        <f t="shared" si="46"/>
        <v>134137</v>
      </c>
      <c r="H194" s="172">
        <f t="shared" si="47"/>
        <v>2.6316708481883954E-2</v>
      </c>
      <c r="I194" s="337"/>
      <c r="J194" s="223"/>
      <c r="K194" s="218"/>
      <c r="M194" s="364">
        <f t="shared" si="48"/>
        <v>4.920111506437296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490">
        <f>'[10]Sch C'!D206</f>
        <v>681</v>
      </c>
      <c r="D195" s="490">
        <f>'[10]Sch C'!F206</f>
        <v>0</v>
      </c>
      <c r="E195" s="171">
        <f t="shared" si="45"/>
        <v>681</v>
      </c>
      <c r="F195" s="216"/>
      <c r="G195" s="171">
        <f t="shared" si="46"/>
        <v>681</v>
      </c>
      <c r="H195" s="172">
        <f t="shared" si="47"/>
        <v>1.3360727074679596E-4</v>
      </c>
      <c r="I195" s="337"/>
      <c r="J195" s="223"/>
      <c r="K195" s="218"/>
      <c r="M195" s="364">
        <f t="shared" si="48"/>
        <v>2.4978909144261454E-2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490">
        <f>'[10]Sch C'!D207</f>
        <v>1044</v>
      </c>
      <c r="D196" s="490">
        <f>'[10]Sch C'!F207</f>
        <v>-71</v>
      </c>
      <c r="E196" s="171">
        <f t="shared" si="45"/>
        <v>973</v>
      </c>
      <c r="F196" s="216"/>
      <c r="G196" s="171">
        <f t="shared" si="46"/>
        <v>973</v>
      </c>
      <c r="H196" s="172">
        <f t="shared" si="47"/>
        <v>1.9089555717567179E-4</v>
      </c>
      <c r="I196" s="337"/>
      <c r="J196" s="223"/>
      <c r="K196" s="218"/>
      <c r="M196" s="364">
        <f t="shared" si="48"/>
        <v>3.5689395884532148E-2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490">
        <f>SUM(C164:C196)</f>
        <v>520608</v>
      </c>
      <c r="D197" s="490">
        <f>SUM(D164:D196)</f>
        <v>1996</v>
      </c>
      <c r="E197" s="171">
        <f t="shared" ref="E197:F197" si="49">SUM(E164:E196)</f>
        <v>522604</v>
      </c>
      <c r="F197" s="171">
        <f t="shared" si="49"/>
        <v>0</v>
      </c>
      <c r="G197" s="171">
        <f>SUM(G164:G196)</f>
        <v>522604</v>
      </c>
      <c r="H197" s="172">
        <f>IF($G$208=0,0,G197/$G$208)</f>
        <v>0.10253112205779524</v>
      </c>
      <c r="I197" s="337"/>
      <c r="J197" s="168"/>
      <c r="K197" s="168"/>
      <c r="M197" s="364">
        <f>G197/G$228</f>
        <v>19.168983604152146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165"/>
      <c r="G198" s="165"/>
      <c r="H198" s="198"/>
      <c r="I198" s="341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1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490">
        <f>'[10]Sch C'!D211</f>
        <v>96876</v>
      </c>
      <c r="D200" s="490">
        <f>'[10]Sch C'!F211</f>
        <v>0</v>
      </c>
      <c r="E200" s="171">
        <f t="shared" ref="E200:E205" si="50">C200+D200</f>
        <v>96876</v>
      </c>
      <c r="F200" s="171"/>
      <c r="G200" s="171">
        <f t="shared" ref="G200:G205" si="51">E200+F200</f>
        <v>96876</v>
      </c>
      <c r="H200" s="172">
        <f t="shared" ref="H200:H206" si="52">IF($G$208=0,0,G200/$G$208)</f>
        <v>1.9006369986588261E-2</v>
      </c>
      <c r="I200" s="337"/>
      <c r="J200" s="183">
        <v>6449</v>
      </c>
      <c r="K200" s="183">
        <v>6982</v>
      </c>
      <c r="M200" s="364">
        <f t="shared" ref="M200:M205" si="53">G200/G$228</f>
        <v>3.5533873748303564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490">
        <f>'[10]Sch C'!D212</f>
        <v>24707</v>
      </c>
      <c r="D201" s="490">
        <f>'[10]Sch C'!F212</f>
        <v>0</v>
      </c>
      <c r="E201" s="171">
        <f t="shared" si="50"/>
        <v>24707</v>
      </c>
      <c r="F201" s="171"/>
      <c r="G201" s="171">
        <f t="shared" si="51"/>
        <v>24707</v>
      </c>
      <c r="H201" s="172">
        <f t="shared" si="52"/>
        <v>4.8473345643775161E-3</v>
      </c>
      <c r="I201" s="337"/>
      <c r="J201" s="168"/>
      <c r="K201" s="168"/>
      <c r="M201" s="364">
        <f t="shared" si="53"/>
        <v>0.90624656127352088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490">
        <f>'[10]Sch C'!D213</f>
        <v>4534</v>
      </c>
      <c r="D202" s="490">
        <f>'[10]Sch C'!F213</f>
        <v>0</v>
      </c>
      <c r="E202" s="171">
        <f t="shared" si="50"/>
        <v>4534</v>
      </c>
      <c r="F202" s="171"/>
      <c r="G202" s="171">
        <f t="shared" si="51"/>
        <v>4534</v>
      </c>
      <c r="H202" s="172">
        <f t="shared" si="52"/>
        <v>8.8953798174151678E-4</v>
      </c>
      <c r="I202" s="337"/>
      <c r="J202" s="168"/>
      <c r="K202" s="168"/>
      <c r="M202" s="364">
        <f t="shared" si="53"/>
        <v>0.16630598246707992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490">
        <f>'[10]Sch C'!D214</f>
        <v>0</v>
      </c>
      <c r="D203" s="490">
        <f>'[10]Sch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>
        <f t="shared" si="53"/>
        <v>0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490">
        <f>'[10]Sch C'!D215</f>
        <v>0</v>
      </c>
      <c r="D204" s="490">
        <f>'[10]Sch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490">
        <f>'[10]Sch C'!D216</f>
        <v>2002</v>
      </c>
      <c r="D205" s="490">
        <f>'[10]Sch C'!F216</f>
        <v>0</v>
      </c>
      <c r="E205" s="171">
        <f t="shared" si="50"/>
        <v>2002</v>
      </c>
      <c r="F205" s="171"/>
      <c r="G205" s="171">
        <f t="shared" si="51"/>
        <v>2002</v>
      </c>
      <c r="H205" s="172">
        <f t="shared" si="52"/>
        <v>3.9277790900893618E-4</v>
      </c>
      <c r="I205" s="337"/>
      <c r="J205" s="168"/>
      <c r="K205" s="168"/>
      <c r="M205" s="364">
        <f t="shared" si="53"/>
        <v>7.3432857719253203E-2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490">
        <f>SUM(C200:C205)</f>
        <v>128119</v>
      </c>
      <c r="D206" s="490">
        <f>SUM(D200:D205)</f>
        <v>0</v>
      </c>
      <c r="E206" s="171">
        <f t="shared" ref="E206:F206" si="54">SUM(E200:E205)</f>
        <v>128119</v>
      </c>
      <c r="F206" s="171">
        <f t="shared" si="54"/>
        <v>0</v>
      </c>
      <c r="G206" s="171">
        <f>SUM(G200:G205)</f>
        <v>128119</v>
      </c>
      <c r="H206" s="172">
        <f t="shared" si="52"/>
        <v>2.5136020441716232E-2</v>
      </c>
      <c r="I206" s="337"/>
      <c r="J206" s="168"/>
      <c r="K206" s="168"/>
      <c r="M206" s="364">
        <f>G206/G$228</f>
        <v>4.6993727762902102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490">
        <f>SUM(C25:C206)/2</f>
        <v>5008588</v>
      </c>
      <c r="D208" s="490">
        <f>SUM(D25:D206)/2</f>
        <v>88440</v>
      </c>
      <c r="E208" s="171">
        <f t="shared" ref="E208:F208" si="55">SUM(E25:E206)/2</f>
        <v>5097028</v>
      </c>
      <c r="F208" s="171">
        <f t="shared" si="55"/>
        <v>0</v>
      </c>
      <c r="G208" s="171">
        <f>SUM(G25:G206)/2</f>
        <v>5097028</v>
      </c>
      <c r="H208" s="172">
        <f>IF($G$208=0,0,G208/$G$208)</f>
        <v>1</v>
      </c>
      <c r="I208" s="337"/>
      <c r="J208" s="183">
        <f>SUM(J25:J200)</f>
        <v>123179</v>
      </c>
      <c r="K208" s="183">
        <f>SUM(K25:K200)</f>
        <v>161925</v>
      </c>
      <c r="M208" s="364">
        <f>G208/G$228</f>
        <v>186.95770824927558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490">
        <f>'[10]Sch C'!D221</f>
        <v>5008588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490">
        <f>C208-C211</f>
        <v>0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585"/>
      <c r="D213" s="232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490">
        <f>C21-C208</f>
        <v>569904</v>
      </c>
      <c r="D215" s="490">
        <f>D21-D208</f>
        <v>-90981</v>
      </c>
      <c r="E215" s="171">
        <f t="shared" ref="E215:F215" si="56">E21-E208</f>
        <v>478923</v>
      </c>
      <c r="F215" s="171">
        <f t="shared" si="56"/>
        <v>0</v>
      </c>
      <c r="G215" s="171">
        <f>G21-G208</f>
        <v>478923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491">
        <f>'[10]Sch D'!C9</f>
        <v>21277</v>
      </c>
      <c r="D219" s="491"/>
      <c r="E219" s="235">
        <f t="shared" ref="E219:G227" si="57">C219+D219</f>
        <v>21277</v>
      </c>
      <c r="F219" s="234"/>
      <c r="G219" s="235">
        <f t="shared" si="57"/>
        <v>21277</v>
      </c>
      <c r="H219" s="172">
        <f t="shared" ref="H219:H228" si="58">IF($G$228=0,0,G219/$G$228)</f>
        <v>0.78043502182445068</v>
      </c>
      <c r="I219" s="337"/>
      <c r="J219" s="168"/>
      <c r="K219" s="168"/>
    </row>
    <row r="220" spans="1:14">
      <c r="A220" s="163"/>
      <c r="B220" s="170" t="s">
        <v>217</v>
      </c>
      <c r="C220" s="491">
        <f>'[10]Sch D'!D9</f>
        <v>0</v>
      </c>
      <c r="D220" s="491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7"/>
      <c r="J220" s="168"/>
      <c r="K220" s="168"/>
    </row>
    <row r="221" spans="1:14">
      <c r="A221" s="163"/>
      <c r="B221" s="170" t="s">
        <v>72</v>
      </c>
      <c r="C221" s="491">
        <f>'[10]Sch D'!E9</f>
        <v>1471</v>
      </c>
      <c r="D221" s="491"/>
      <c r="E221" s="235">
        <f t="shared" si="59"/>
        <v>1471</v>
      </c>
      <c r="F221" s="234"/>
      <c r="G221" s="235">
        <f t="shared" si="57"/>
        <v>1471</v>
      </c>
      <c r="H221" s="172">
        <f t="shared" si="58"/>
        <v>5.3955910941569159E-2</v>
      </c>
      <c r="I221" s="337"/>
      <c r="J221" s="168"/>
      <c r="K221" s="168"/>
    </row>
    <row r="222" spans="1:14">
      <c r="A222" s="163"/>
      <c r="B222" s="202" t="s">
        <v>334</v>
      </c>
      <c r="C222" s="491">
        <f>'[10]Sch D'!F9</f>
        <v>524</v>
      </c>
      <c r="D222" s="491"/>
      <c r="E222" s="235">
        <f>C222+D222</f>
        <v>524</v>
      </c>
      <c r="F222" s="234"/>
      <c r="G222" s="235">
        <f>E222+F222</f>
        <v>524</v>
      </c>
      <c r="H222" s="172">
        <f t="shared" si="58"/>
        <v>1.9220188533910429E-2</v>
      </c>
      <c r="I222" s="337"/>
      <c r="J222" s="168"/>
      <c r="K222" s="168"/>
    </row>
    <row r="223" spans="1:14">
      <c r="A223" s="163"/>
      <c r="B223" s="170" t="s">
        <v>73</v>
      </c>
      <c r="C223" s="491">
        <f>'[10]Sch D'!G9</f>
        <v>0</v>
      </c>
      <c r="D223" s="491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7"/>
      <c r="J223" s="168"/>
      <c r="K223" s="168"/>
    </row>
    <row r="224" spans="1:14">
      <c r="A224" s="163"/>
      <c r="B224" s="170" t="s">
        <v>74</v>
      </c>
      <c r="C224" s="491">
        <f>'[10]Sch D'!H9</f>
        <v>820</v>
      </c>
      <c r="D224" s="491"/>
      <c r="E224" s="235">
        <f t="shared" si="59"/>
        <v>820</v>
      </c>
      <c r="F224" s="234"/>
      <c r="G224" s="235">
        <f t="shared" si="57"/>
        <v>820</v>
      </c>
      <c r="H224" s="172">
        <f t="shared" si="58"/>
        <v>3.0077394270623187E-2</v>
      </c>
      <c r="I224" s="337"/>
      <c r="J224" s="168"/>
      <c r="K224" s="168"/>
    </row>
    <row r="225" spans="1:11">
      <c r="A225" s="163"/>
      <c r="B225" s="170" t="s">
        <v>236</v>
      </c>
      <c r="C225" s="491">
        <f>'[10]Sch D'!I9</f>
        <v>2958</v>
      </c>
      <c r="D225" s="491"/>
      <c r="E225" s="235">
        <f t="shared" si="59"/>
        <v>2958</v>
      </c>
      <c r="F225" s="234"/>
      <c r="G225" s="235">
        <f t="shared" si="57"/>
        <v>2958</v>
      </c>
      <c r="H225" s="172">
        <f t="shared" si="58"/>
        <v>0.10849869786890658</v>
      </c>
      <c r="I225" s="337"/>
      <c r="J225" s="168"/>
      <c r="K225" s="168"/>
    </row>
    <row r="226" spans="1:11">
      <c r="A226" s="163"/>
      <c r="B226" s="170" t="s">
        <v>235</v>
      </c>
      <c r="C226" s="491">
        <f>'[10]Sch D'!J9</f>
        <v>0</v>
      </c>
      <c r="D226" s="491"/>
      <c r="E226" s="235">
        <f>C226+D226</f>
        <v>0</v>
      </c>
      <c r="F226" s="234"/>
      <c r="G226" s="235">
        <f>E226+F226</f>
        <v>0</v>
      </c>
      <c r="H226" s="172">
        <f t="shared" si="58"/>
        <v>0</v>
      </c>
      <c r="I226" s="337"/>
      <c r="J226" s="168"/>
      <c r="K226" s="168"/>
    </row>
    <row r="227" spans="1:11">
      <c r="A227" s="163"/>
      <c r="B227" s="170" t="s">
        <v>179</v>
      </c>
      <c r="C227" s="491">
        <f>'[10]Sch D'!K9</f>
        <v>213</v>
      </c>
      <c r="D227" s="491"/>
      <c r="E227" s="235">
        <f t="shared" si="59"/>
        <v>213</v>
      </c>
      <c r="F227" s="234"/>
      <c r="G227" s="235">
        <f t="shared" si="57"/>
        <v>213</v>
      </c>
      <c r="H227" s="172">
        <f t="shared" si="58"/>
        <v>7.8127865605399256E-3</v>
      </c>
      <c r="I227" s="337"/>
      <c r="J227" s="168"/>
      <c r="K227" s="168"/>
    </row>
    <row r="228" spans="1:11" ht="13.5" thickBot="1">
      <c r="A228" s="163"/>
      <c r="B228" s="236" t="s">
        <v>75</v>
      </c>
      <c r="C228" s="491">
        <f>SUM(C219:C227)</f>
        <v>27263</v>
      </c>
      <c r="D228" s="491">
        <f>SUM(D219:D227)</f>
        <v>0</v>
      </c>
      <c r="E228" s="237">
        <f>SUM(E219:E227)</f>
        <v>27263</v>
      </c>
      <c r="F228" s="237">
        <f>SUM(F219:F227)</f>
        <v>0</v>
      </c>
      <c r="G228" s="237">
        <f>SUM(G219:G227)</f>
        <v>27263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586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585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492">
        <f>'[10]Sch D'!N22</f>
        <v>90</v>
      </c>
      <c r="D231" s="526"/>
      <c r="E231" s="235">
        <f>C231+D231</f>
        <v>90</v>
      </c>
      <c r="F231" s="235"/>
      <c r="G231" s="235">
        <f>E231+F231</f>
        <v>90</v>
      </c>
      <c r="H231" s="167"/>
      <c r="J231" s="168"/>
      <c r="K231" s="168"/>
    </row>
    <row r="232" spans="1:11">
      <c r="A232" s="163"/>
      <c r="B232" s="202" t="s">
        <v>290</v>
      </c>
      <c r="C232" s="492">
        <f>'[10]Sch D'!N24</f>
        <v>90</v>
      </c>
      <c r="D232" s="526"/>
      <c r="E232" s="235">
        <f>C232+D232</f>
        <v>90</v>
      </c>
      <c r="F232" s="235"/>
      <c r="G232" s="235">
        <f>E232+F232</f>
        <v>90</v>
      </c>
      <c r="H232" s="167"/>
      <c r="J232" s="168"/>
      <c r="K232" s="168"/>
    </row>
    <row r="233" spans="1:11">
      <c r="A233" s="163"/>
      <c r="B233" s="202" t="s">
        <v>76</v>
      </c>
      <c r="C233" s="492">
        <f>$C$4-$C$3+1</f>
        <v>365</v>
      </c>
      <c r="D233" s="489"/>
      <c r="E233" s="235">
        <f>C233+D233</f>
        <v>365</v>
      </c>
      <c r="F233" s="240"/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587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492">
        <f>'[10]Sch D'!N28</f>
        <v>32850</v>
      </c>
      <c r="D235" s="489"/>
      <c r="E235" s="234">
        <f>E231*E233</f>
        <v>32850</v>
      </c>
      <c r="F235" s="240"/>
      <c r="G235" s="234">
        <f>G231*G233</f>
        <v>32850</v>
      </c>
      <c r="H235" s="167"/>
      <c r="J235" s="168"/>
      <c r="K235" s="168"/>
    </row>
    <row r="236" spans="1:11" ht="26">
      <c r="A236" s="163"/>
      <c r="B236" s="244" t="s">
        <v>336</v>
      </c>
      <c r="C236" s="493">
        <f>'[10]Sch D'!N30</f>
        <v>0.82992389649923892</v>
      </c>
      <c r="D236" s="240"/>
      <c r="E236" s="245">
        <f>E228/E235</f>
        <v>0.82992389649923892</v>
      </c>
      <c r="F236" s="246"/>
      <c r="G236" s="245">
        <f>G228/G235</f>
        <v>0.82992389649923892</v>
      </c>
      <c r="H236" s="167"/>
      <c r="J236" s="168"/>
      <c r="K236" s="168"/>
    </row>
    <row r="237" spans="1:11" ht="26">
      <c r="A237" s="163"/>
      <c r="B237" s="244" t="s">
        <v>337</v>
      </c>
      <c r="C237" s="493">
        <f>'[10]Sch D'!N32</f>
        <v>0.64770167427701675</v>
      </c>
      <c r="D237" s="240"/>
      <c r="E237" s="245">
        <f>(E219+E220)/E235</f>
        <v>0.64770167427701675</v>
      </c>
      <c r="F237" s="246"/>
      <c r="G237" s="245">
        <f>(G219+G220)/G235</f>
        <v>0.64770167427701675</v>
      </c>
      <c r="H237" s="167"/>
      <c r="J237" s="168"/>
      <c r="K237" s="168"/>
    </row>
    <row r="238" spans="1:11" ht="26">
      <c r="A238" s="163"/>
      <c r="B238" s="244" t="s">
        <v>338</v>
      </c>
      <c r="C238" s="493">
        <f>'[10]Sch D'!N34</f>
        <v>0.78043502182445079</v>
      </c>
      <c r="D238" s="240"/>
      <c r="E238" s="245">
        <f>(E237/E236)</f>
        <v>0.78043502182445079</v>
      </c>
      <c r="F238" s="246"/>
      <c r="G238" s="245">
        <f>(G237/G236)</f>
        <v>0.78043502182445079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490">
        <f>'[10]Sch B'!C85</f>
        <v>143.02702702702703</v>
      </c>
    </row>
    <row r="242" spans="2:7">
      <c r="F242" s="142" t="s">
        <v>341</v>
      </c>
      <c r="G242" s="490">
        <f>'[10]Sch B'!E85</f>
        <v>143.03076923076924</v>
      </c>
    </row>
    <row r="243" spans="2:7">
      <c r="F243" s="142" t="s">
        <v>342</v>
      </c>
      <c r="G243" s="490">
        <f>'[10]Sch B'!G85</f>
        <v>143.02884615384616</v>
      </c>
    </row>
    <row r="244" spans="2:7">
      <c r="F244" s="142" t="s">
        <v>343</v>
      </c>
      <c r="G244" s="490">
        <f>'[10]Sch B'!I85</f>
        <v>143.03286384976525</v>
      </c>
    </row>
    <row r="245" spans="2:7">
      <c r="F245" s="142"/>
    </row>
  </sheetData>
  <customSheetViews>
    <customSheetView guid="{8B6AA640-12E9-11D5-ABB1-E7A21A3D4A14}" showGridLines="0" showRuler="0">
      <selection activeCell="B90" sqref="B90"/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F10" sqref="F10"/>
      <pageMargins left="0" right="0" top="0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E28CAB"/>
  </sheetPr>
  <dimension ref="A1:Q249"/>
  <sheetViews>
    <sheetView showGridLines="0" zoomScale="90" zoomScaleNormal="90" workbookViewId="0">
      <pane xSplit="2" topLeftCell="C1" activePane="topRight" state="frozen"/>
      <selection activeCell="N1" sqref="N1"/>
      <selection pane="topRight" activeCell="N1" sqref="N1"/>
    </sheetView>
  </sheetViews>
  <sheetFormatPr defaultColWidth="8.6640625" defaultRowHeight="13"/>
  <cols>
    <col min="1" max="1" width="8.58203125" style="142" customWidth="1"/>
    <col min="2" max="2" width="45.91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71" t="s">
        <v>536</v>
      </c>
      <c r="D1" s="478"/>
      <c r="E1" s="478"/>
      <c r="F1" s="478"/>
      <c r="G1" s="478"/>
      <c r="H1" s="478"/>
      <c r="I1" s="479"/>
      <c r="J1" s="629" t="s">
        <v>585</v>
      </c>
    </row>
    <row r="2" spans="1:14" ht="23">
      <c r="B2" s="143" t="s">
        <v>189</v>
      </c>
      <c r="C2" s="247" t="s">
        <v>373</v>
      </c>
      <c r="D2" s="247"/>
      <c r="E2" s="629" t="s">
        <v>592</v>
      </c>
      <c r="H2" s="664" t="s">
        <v>676</v>
      </c>
    </row>
    <row r="3" spans="1:14">
      <c r="A3" s="145"/>
      <c r="B3" s="140" t="s">
        <v>79</v>
      </c>
      <c r="C3" s="495">
        <v>41821</v>
      </c>
      <c r="D3" s="144"/>
      <c r="E3" s="147"/>
    </row>
    <row r="4" spans="1:14">
      <c r="A4" s="145"/>
      <c r="B4" s="148" t="s">
        <v>80</v>
      </c>
      <c r="C4" s="495">
        <v>42185</v>
      </c>
      <c r="D4" s="144"/>
      <c r="E4" s="149"/>
      <c r="G4" s="150"/>
    </row>
    <row r="5" spans="1:14">
      <c r="A5" s="145"/>
      <c r="B5" s="148"/>
      <c r="C5" s="151"/>
      <c r="D5" s="144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144"/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513</v>
      </c>
      <c r="C11" s="573">
        <f>'[11]Sch B'!E10</f>
        <v>2121056</v>
      </c>
      <c r="D11" s="573">
        <f>'[11]Sch B'!G10</f>
        <v>-4050</v>
      </c>
      <c r="E11" s="171">
        <f>C11+D11</f>
        <v>2117006</v>
      </c>
      <c r="F11" s="171"/>
      <c r="G11" s="171">
        <f t="shared" ref="G11:G20" si="0">E11+F11</f>
        <v>2117006</v>
      </c>
      <c r="H11" s="172">
        <f t="shared" ref="H11:H21" si="1">IF($G$21=0,0,G11/$G$21)</f>
        <v>0.75556033009006029</v>
      </c>
      <c r="I11" s="458"/>
      <c r="J11" s="368" t="s">
        <v>344</v>
      </c>
      <c r="K11" s="369">
        <f>G21</f>
        <v>2801902</v>
      </c>
      <c r="M11" s="359">
        <f>IFERROR(G11/G219,0)</f>
        <v>249.03023173744265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573">
        <f>'[11]Sch B'!E15</f>
        <v>0</v>
      </c>
      <c r="D12" s="573">
        <f>'[11]Sch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J12" s="370" t="s">
        <v>345</v>
      </c>
      <c r="K12" s="371">
        <f>G208</f>
        <v>3281781.19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573">
        <f>'[11]Sch B'!E21</f>
        <v>0</v>
      </c>
      <c r="D13" s="573">
        <f>'[11]Sch B'!G21</f>
        <v>0</v>
      </c>
      <c r="E13" s="171">
        <f t="shared" si="2"/>
        <v>0</v>
      </c>
      <c r="F13" s="171"/>
      <c r="G13" s="171">
        <f t="shared" si="0"/>
        <v>0</v>
      </c>
      <c r="H13" s="172">
        <f t="shared" si="1"/>
        <v>0</v>
      </c>
      <c r="J13" s="370" t="s">
        <v>346</v>
      </c>
      <c r="K13" s="371">
        <f>G228</f>
        <v>11869</v>
      </c>
      <c r="M13" s="359">
        <f t="shared" si="3"/>
        <v>0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573">
        <f>'[11]Sch B'!E27</f>
        <v>0</v>
      </c>
      <c r="D14" s="573">
        <f>'[11]Sch B'!G27</f>
        <v>0</v>
      </c>
      <c r="E14" s="171">
        <f t="shared" si="2"/>
        <v>0</v>
      </c>
      <c r="F14" s="175"/>
      <c r="G14" s="175">
        <f>E14+F14</f>
        <v>0</v>
      </c>
      <c r="H14" s="176">
        <f t="shared" si="1"/>
        <v>0</v>
      </c>
      <c r="J14" s="370" t="s">
        <v>347</v>
      </c>
      <c r="K14" s="371">
        <f>G231</f>
        <v>36</v>
      </c>
      <c r="M14" s="359">
        <f t="shared" si="3"/>
        <v>0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573">
        <f>'[11]Sch B'!E32</f>
        <v>0</v>
      </c>
      <c r="D15" s="573">
        <f>'[11]Sch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J15" s="370" t="s">
        <v>348</v>
      </c>
      <c r="K15" s="371">
        <f>G235</f>
        <v>13140</v>
      </c>
      <c r="M15" s="359">
        <f t="shared" si="3"/>
        <v>0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573">
        <f>'[11]Sch B'!E37</f>
        <v>632400</v>
      </c>
      <c r="D16" s="573">
        <f>'[11]Sch B'!G37</f>
        <v>0</v>
      </c>
      <c r="E16" s="171">
        <f t="shared" si="2"/>
        <v>632400</v>
      </c>
      <c r="F16" s="171"/>
      <c r="G16" s="171">
        <f t="shared" si="0"/>
        <v>632400</v>
      </c>
      <c r="H16" s="172">
        <f t="shared" si="1"/>
        <v>0.22570382547283951</v>
      </c>
      <c r="J16" s="372"/>
      <c r="K16" s="371"/>
      <c r="M16" s="359">
        <f t="shared" si="3"/>
        <v>206.93717277486911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512</v>
      </c>
      <c r="C17" s="573">
        <f>'[11]Sch B'!E42</f>
        <v>51309</v>
      </c>
      <c r="D17" s="573">
        <f>'[11]Sch B'!G42</f>
        <v>0</v>
      </c>
      <c r="E17" s="171">
        <f t="shared" si="2"/>
        <v>51309</v>
      </c>
      <c r="F17" s="171"/>
      <c r="G17" s="171">
        <f>E17+F17</f>
        <v>51309</v>
      </c>
      <c r="H17" s="172">
        <f t="shared" si="1"/>
        <v>1.8312203638813921E-2</v>
      </c>
      <c r="I17" s="458"/>
      <c r="J17" s="370" t="s">
        <v>156</v>
      </c>
      <c r="K17" s="371">
        <f>J208</f>
        <v>76708</v>
      </c>
      <c r="M17" s="359">
        <f t="shared" si="3"/>
        <v>164.45192307692307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511</v>
      </c>
      <c r="C18" s="573">
        <f>'[11]Sch B'!E47</f>
        <v>0</v>
      </c>
      <c r="D18" s="573">
        <f>'[11]Sch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458"/>
      <c r="J18" s="373" t="s">
        <v>252</v>
      </c>
      <c r="K18" s="374">
        <f>K208</f>
        <v>81074</v>
      </c>
      <c r="M18" s="359">
        <f t="shared" si="3"/>
        <v>0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573">
        <f>'[11]Sch B'!E52</f>
        <v>0</v>
      </c>
      <c r="D19" s="573">
        <f>'[11]Sch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337"/>
      <c r="J19" s="168"/>
      <c r="K19" s="168"/>
      <c r="M19" s="359">
        <f t="shared" si="3"/>
        <v>0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573">
        <f>'[11]Sch B'!E67</f>
        <v>1187</v>
      </c>
      <c r="D20" s="573">
        <f>'[11]Sch B'!G67</f>
        <v>0</v>
      </c>
      <c r="E20" s="171">
        <f t="shared" si="2"/>
        <v>1187</v>
      </c>
      <c r="F20" s="171"/>
      <c r="G20" s="171">
        <f t="shared" si="0"/>
        <v>1187</v>
      </c>
      <c r="H20" s="172">
        <f t="shared" si="1"/>
        <v>4.2364079828630693E-4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573">
        <f>SUM(C11:C20)</f>
        <v>2805952</v>
      </c>
      <c r="D21" s="573">
        <f>SUM(D11:D20)</f>
        <v>-4050</v>
      </c>
      <c r="E21" s="171">
        <f>SUM(E11:E20)</f>
        <v>2801902</v>
      </c>
      <c r="F21" s="171">
        <f>SUM(F11:F20)</f>
        <v>0</v>
      </c>
      <c r="G21" s="171">
        <f>SUM(G11:G20)</f>
        <v>2801902</v>
      </c>
      <c r="H21" s="172">
        <f t="shared" si="1"/>
        <v>1</v>
      </c>
      <c r="I21" s="337"/>
      <c r="J21" s="168"/>
      <c r="K21" s="168"/>
      <c r="M21" s="359">
        <f>IFERROR(G21/G228,0)</f>
        <v>236.06891903277446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4">
      <c r="A24" s="181" t="s">
        <v>161</v>
      </c>
      <c r="B24" s="148" t="s">
        <v>12</v>
      </c>
      <c r="M24" s="363"/>
      <c r="N24" s="363"/>
    </row>
    <row r="25" spans="1:14" s="167" customFormat="1">
      <c r="A25" s="169" t="s">
        <v>83</v>
      </c>
      <c r="B25" s="170" t="s">
        <v>14</v>
      </c>
      <c r="C25" s="573">
        <f>'[11]Sch C'!D10</f>
        <v>93579</v>
      </c>
      <c r="D25" s="573">
        <f>'[11]Sch C'!F10</f>
        <v>0</v>
      </c>
      <c r="E25" s="171">
        <f t="shared" ref="E25:E60" si="4">C25+D25</f>
        <v>93579</v>
      </c>
      <c r="F25" s="171"/>
      <c r="G25" s="182">
        <f>E25+F25</f>
        <v>93579</v>
      </c>
      <c r="H25" s="172">
        <f>IF($G$208=0,0,G25/$G$208)</f>
        <v>2.851469814171249E-2</v>
      </c>
      <c r="I25" s="337"/>
      <c r="J25" s="183">
        <v>1985</v>
      </c>
      <c r="K25" s="183">
        <v>1985</v>
      </c>
      <c r="M25" s="359">
        <f>G25/G$228</f>
        <v>7.8843204987783304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573">
        <f>'[11]Sch C'!D11</f>
        <v>0</v>
      </c>
      <c r="D26" s="573">
        <f>'[11]Sch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414</v>
      </c>
      <c r="C27" s="573">
        <f>'[11]Sch C'!D12</f>
        <v>108108</v>
      </c>
      <c r="D27" s="573">
        <f>'[11]Sch C'!F12</f>
        <v>0</v>
      </c>
      <c r="E27" s="171">
        <f t="shared" si="4"/>
        <v>108108</v>
      </c>
      <c r="F27" s="171"/>
      <c r="G27" s="171">
        <f t="shared" si="5"/>
        <v>108108</v>
      </c>
      <c r="H27" s="172">
        <f t="shared" si="6"/>
        <v>3.2941867157206789E-2</v>
      </c>
      <c r="I27" s="337"/>
      <c r="J27" s="185">
        <v>3456</v>
      </c>
      <c r="K27" s="185">
        <v>3584</v>
      </c>
      <c r="M27" s="359">
        <f t="shared" si="7"/>
        <v>9.1084337349397586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573">
        <f>'[11]Sch C'!D13</f>
        <v>57985</v>
      </c>
      <c r="D28" s="573">
        <f>'[11]Sch C'!F13</f>
        <v>0</v>
      </c>
      <c r="E28" s="171">
        <f t="shared" si="4"/>
        <v>57985</v>
      </c>
      <c r="F28" s="171"/>
      <c r="G28" s="171">
        <f t="shared" si="5"/>
        <v>57985</v>
      </c>
      <c r="H28" s="172">
        <f t="shared" si="6"/>
        <v>1.7668758714532093E-2</v>
      </c>
      <c r="I28" s="337"/>
      <c r="J28" s="168"/>
      <c r="K28" s="168"/>
      <c r="M28" s="359">
        <f t="shared" si="7"/>
        <v>4.8854157890302465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573">
        <f>'[11]Sch C'!D14</f>
        <v>0</v>
      </c>
      <c r="D29" s="573">
        <f>'[11]Sch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573">
        <f>'[11]Sch C'!D15</f>
        <v>29805</v>
      </c>
      <c r="D30" s="573">
        <f>'[11]Sch C'!F15</f>
        <v>0</v>
      </c>
      <c r="E30" s="171">
        <f t="shared" si="4"/>
        <v>29805</v>
      </c>
      <c r="F30" s="171"/>
      <c r="G30" s="171">
        <f t="shared" si="5"/>
        <v>29805</v>
      </c>
      <c r="H30" s="172">
        <f t="shared" si="6"/>
        <v>9.0819583251983971E-3</v>
      </c>
      <c r="I30" s="337"/>
      <c r="J30" s="168"/>
      <c r="K30" s="168"/>
      <c r="M30" s="359">
        <f t="shared" si="7"/>
        <v>2.5111635352599206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573">
        <f>'[11]Sch C'!D16</f>
        <v>0</v>
      </c>
      <c r="D31" s="573">
        <f>'[11]Sch C'!F16</f>
        <v>0</v>
      </c>
      <c r="E31" s="171">
        <f t="shared" si="4"/>
        <v>0</v>
      </c>
      <c r="F31" s="171"/>
      <c r="G31" s="171">
        <f t="shared" si="5"/>
        <v>0</v>
      </c>
      <c r="H31" s="172">
        <f t="shared" si="6"/>
        <v>0</v>
      </c>
      <c r="I31" s="337"/>
      <c r="J31" s="168"/>
      <c r="K31" s="168"/>
      <c r="M31" s="359">
        <f t="shared" si="7"/>
        <v>0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573">
        <f>'[11]Sch C'!D17</f>
        <v>20898</v>
      </c>
      <c r="D32" s="573">
        <f>'[11]Sch C'!F17</f>
        <v>0</v>
      </c>
      <c r="E32" s="171">
        <f t="shared" si="4"/>
        <v>20898</v>
      </c>
      <c r="F32" s="171"/>
      <c r="G32" s="171">
        <f t="shared" si="5"/>
        <v>20898</v>
      </c>
      <c r="H32" s="172">
        <f t="shared" si="6"/>
        <v>6.3678834115080052E-3</v>
      </c>
      <c r="I32" s="337"/>
      <c r="J32" s="168"/>
      <c r="K32" s="168"/>
      <c r="M32" s="359">
        <f t="shared" si="7"/>
        <v>1.7607212065043389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573">
        <f>'[11]Sch C'!D18</f>
        <v>6314</v>
      </c>
      <c r="D33" s="573">
        <f>'[11]Sch C'!F18</f>
        <v>0</v>
      </c>
      <c r="E33" s="171">
        <f t="shared" si="4"/>
        <v>6314</v>
      </c>
      <c r="F33" s="171"/>
      <c r="G33" s="171">
        <f t="shared" si="5"/>
        <v>6314</v>
      </c>
      <c r="H33" s="172">
        <f t="shared" si="6"/>
        <v>1.923955204338288E-3</v>
      </c>
      <c r="I33" s="337"/>
      <c r="J33" s="168"/>
      <c r="K33" s="168"/>
      <c r="M33" s="359">
        <f t="shared" si="7"/>
        <v>0.53197405004633924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573">
        <f>'[11]Sch C'!D19</f>
        <v>18410</v>
      </c>
      <c r="D34" s="573">
        <f>'[11]Sch C'!F19</f>
        <v>0</v>
      </c>
      <c r="E34" s="171">
        <f t="shared" si="4"/>
        <v>18410</v>
      </c>
      <c r="F34" s="171">
        <v>-500</v>
      </c>
      <c r="G34" s="171">
        <f t="shared" si="5"/>
        <v>17910</v>
      </c>
      <c r="H34" s="172">
        <f t="shared" si="6"/>
        <v>5.4574022346687897E-3</v>
      </c>
      <c r="I34" s="337"/>
      <c r="J34" s="168"/>
      <c r="K34" s="168"/>
      <c r="M34" s="359">
        <f t="shared" si="7"/>
        <v>1.5089729547560873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573">
        <f>'[11]Sch C'!D20</f>
        <v>8802</v>
      </c>
      <c r="D35" s="573">
        <f>'[11]Sch C'!F20</f>
        <v>0</v>
      </c>
      <c r="E35" s="171">
        <f t="shared" si="4"/>
        <v>8802</v>
      </c>
      <c r="F35" s="171"/>
      <c r="G35" s="171">
        <f t="shared" si="5"/>
        <v>8802</v>
      </c>
      <c r="H35" s="172">
        <f t="shared" si="6"/>
        <v>2.6820800932191337E-3</v>
      </c>
      <c r="I35" s="337"/>
      <c r="J35" s="168"/>
      <c r="K35" s="168"/>
      <c r="M35" s="359">
        <f t="shared" si="7"/>
        <v>0.74159575364394636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573">
        <f>'[11]Sch C'!D21</f>
        <v>52679</v>
      </c>
      <c r="D36" s="573">
        <f>'[11]Sch C'!F21</f>
        <v>0</v>
      </c>
      <c r="E36" s="171">
        <f t="shared" si="4"/>
        <v>52679</v>
      </c>
      <c r="F36" s="171"/>
      <c r="G36" s="171">
        <f t="shared" si="5"/>
        <v>52679</v>
      </c>
      <c r="H36" s="172">
        <f t="shared" si="6"/>
        <v>1.6051953786717876E-2</v>
      </c>
      <c r="I36" s="337"/>
      <c r="J36" s="168"/>
      <c r="K36" s="168"/>
      <c r="M36" s="359">
        <f t="shared" si="7"/>
        <v>4.4383688600556068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573">
        <f>'[11]Sch C'!D22</f>
        <v>0</v>
      </c>
      <c r="D37" s="573">
        <f>'[11]Sch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573">
        <f>'[11]Sch C'!D23</f>
        <v>3036</v>
      </c>
      <c r="D38" s="573">
        <f>'[11]Sch C'!F23</f>
        <v>0</v>
      </c>
      <c r="E38" s="171">
        <f t="shared" si="4"/>
        <v>3036</v>
      </c>
      <c r="F38" s="171"/>
      <c r="G38" s="171">
        <f t="shared" si="5"/>
        <v>3036</v>
      </c>
      <c r="H38" s="172">
        <f t="shared" si="6"/>
        <v>9.251073804832186E-4</v>
      </c>
      <c r="I38" s="337"/>
      <c r="J38" s="168"/>
      <c r="K38" s="168"/>
      <c r="M38" s="359">
        <f t="shared" si="7"/>
        <v>0.2557924003707136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573">
        <f>'[11]Sch C'!D24</f>
        <v>4151</v>
      </c>
      <c r="D39" s="573">
        <f>'[11]Sch C'!F24</f>
        <v>0</v>
      </c>
      <c r="E39" s="171">
        <f t="shared" si="4"/>
        <v>4151</v>
      </c>
      <c r="F39" s="171"/>
      <c r="G39" s="171">
        <f t="shared" si="5"/>
        <v>4151</v>
      </c>
      <c r="H39" s="172">
        <f t="shared" si="6"/>
        <v>1.2648619026303823E-3</v>
      </c>
      <c r="I39" s="337"/>
      <c r="J39" s="168"/>
      <c r="K39" s="168"/>
      <c r="M39" s="359">
        <f t="shared" si="7"/>
        <v>0.34973460274665091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573">
        <f>'[11]Sch C'!D25</f>
        <v>0</v>
      </c>
      <c r="D40" s="573">
        <f>'[11]Sch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337"/>
      <c r="J40" s="168"/>
      <c r="K40" s="168"/>
      <c r="M40" s="359">
        <f t="shared" si="7"/>
        <v>0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573">
        <f>'[11]Sch C'!D26</f>
        <v>181512</v>
      </c>
      <c r="D41" s="573">
        <f>'[11]Sch C'!F26</f>
        <v>0</v>
      </c>
      <c r="E41" s="171">
        <f t="shared" si="4"/>
        <v>181512</v>
      </c>
      <c r="F41" s="171"/>
      <c r="G41" s="171">
        <f t="shared" si="5"/>
        <v>181512</v>
      </c>
      <c r="H41" s="172">
        <f t="shared" si="6"/>
        <v>5.5308989079799073E-2</v>
      </c>
      <c r="I41" s="337"/>
      <c r="J41" s="168"/>
      <c r="K41" s="168"/>
      <c r="M41" s="359">
        <f t="shared" si="7"/>
        <v>15.292948015839583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573">
        <f>'[11]Sch C'!D27</f>
        <v>0</v>
      </c>
      <c r="D42" s="573">
        <f>'[11]Sch C'!F27</f>
        <v>0</v>
      </c>
      <c r="E42" s="171">
        <f t="shared" si="4"/>
        <v>0</v>
      </c>
      <c r="F42" s="171"/>
      <c r="G42" s="171">
        <f t="shared" si="5"/>
        <v>0</v>
      </c>
      <c r="H42" s="172">
        <f t="shared" si="6"/>
        <v>0</v>
      </c>
      <c r="I42" s="337"/>
      <c r="J42" s="168"/>
      <c r="K42" s="168"/>
      <c r="M42" s="359">
        <f t="shared" si="7"/>
        <v>0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573">
        <f>'[11]Sch C'!D28</f>
        <v>0</v>
      </c>
      <c r="D43" s="573">
        <f>'[11]Sch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573">
        <f>'[11]Sch C'!D29</f>
        <v>0</v>
      </c>
      <c r="D44" s="573">
        <f>'[11]Sch C'!F29</f>
        <v>0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573">
        <f>'[11]Sch C'!D30</f>
        <v>0</v>
      </c>
      <c r="D45" s="573">
        <f>'[11]Sch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573">
        <f>'[11]Sch C'!D31</f>
        <v>33438</v>
      </c>
      <c r="D46" s="573">
        <f>'[11]Sch C'!F31</f>
        <v>0</v>
      </c>
      <c r="E46" s="171">
        <f t="shared" si="4"/>
        <v>33438</v>
      </c>
      <c r="F46" s="171"/>
      <c r="G46" s="171">
        <f t="shared" si="5"/>
        <v>33438</v>
      </c>
      <c r="H46" s="172">
        <f t="shared" si="6"/>
        <v>1.0188979113503908E-2</v>
      </c>
      <c r="I46" s="337"/>
      <c r="J46" s="168"/>
      <c r="K46" s="168"/>
      <c r="M46" s="359">
        <f t="shared" si="7"/>
        <v>2.8172550341225042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573">
        <f>'[11]Sch C'!D32</f>
        <v>6114</v>
      </c>
      <c r="D47" s="573">
        <f>'[11]Sch C'!F32</f>
        <v>0</v>
      </c>
      <c r="E47" s="171">
        <f t="shared" si="4"/>
        <v>6114</v>
      </c>
      <c r="F47" s="171"/>
      <c r="G47" s="171">
        <f t="shared" si="5"/>
        <v>6114</v>
      </c>
      <c r="H47" s="172">
        <f t="shared" si="6"/>
        <v>1.8630126891549404E-3</v>
      </c>
      <c r="I47" s="337"/>
      <c r="J47" s="168"/>
      <c r="K47" s="168"/>
      <c r="M47" s="359">
        <f t="shared" si="7"/>
        <v>0.51512343078608136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573">
        <f>'[11]Sch C'!D33</f>
        <v>28113</v>
      </c>
      <c r="D48" s="573">
        <f>'[11]Sch C'!F33</f>
        <v>-28113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573">
        <f>'[11]Sch C'!D34</f>
        <v>0</v>
      </c>
      <c r="D49" s="573">
        <f>'[11]Sch C'!F34</f>
        <v>0</v>
      </c>
      <c r="E49" s="171">
        <f t="shared" si="4"/>
        <v>0</v>
      </c>
      <c r="F49" s="171"/>
      <c r="G49" s="171">
        <f t="shared" si="5"/>
        <v>0</v>
      </c>
      <c r="H49" s="172">
        <f t="shared" si="6"/>
        <v>0</v>
      </c>
      <c r="I49" s="337"/>
      <c r="J49" s="168"/>
      <c r="K49" s="168"/>
      <c r="M49" s="359">
        <f t="shared" si="7"/>
        <v>0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573">
        <f>'[11]Sch C'!D35</f>
        <v>0</v>
      </c>
      <c r="D50" s="573">
        <f>'[11]Sch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573">
        <f>'[11]Sch C'!D36</f>
        <v>0</v>
      </c>
      <c r="D51" s="573">
        <f>'[11]Sch C'!F36</f>
        <v>0</v>
      </c>
      <c r="E51" s="171">
        <f t="shared" si="4"/>
        <v>0</v>
      </c>
      <c r="F51" s="171"/>
      <c r="G51" s="171">
        <f t="shared" si="5"/>
        <v>0</v>
      </c>
      <c r="H51" s="172">
        <f t="shared" si="6"/>
        <v>0</v>
      </c>
      <c r="I51" s="337"/>
      <c r="J51" s="183">
        <v>0</v>
      </c>
      <c r="K51" s="183">
        <v>0</v>
      </c>
      <c r="M51" s="359">
        <f t="shared" si="7"/>
        <v>0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573">
        <f>'[11]Sch C'!D37</f>
        <v>0</v>
      </c>
      <c r="D52" s="573">
        <f>'[11]Sch C'!F37</f>
        <v>0</v>
      </c>
      <c r="E52" s="171">
        <f t="shared" si="4"/>
        <v>0</v>
      </c>
      <c r="F52" s="171"/>
      <c r="G52" s="171">
        <f t="shared" si="5"/>
        <v>0</v>
      </c>
      <c r="H52" s="172">
        <f t="shared" si="6"/>
        <v>0</v>
      </c>
      <c r="I52" s="337"/>
      <c r="J52" s="168"/>
      <c r="K52" s="168"/>
      <c r="M52" s="359">
        <f t="shared" si="7"/>
        <v>0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573">
        <f>'[11]Sch C'!D38</f>
        <v>0</v>
      </c>
      <c r="D53" s="573">
        <f>'[11]Sch C'!F38</f>
        <v>0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7"/>
      <c r="J53" s="168"/>
      <c r="K53" s="168"/>
      <c r="M53" s="359">
        <f t="shared" si="7"/>
        <v>0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573">
        <f>'[11]Sch C'!D39</f>
        <v>19</v>
      </c>
      <c r="D54" s="573">
        <f>'[11]Sch C'!F39</f>
        <v>0</v>
      </c>
      <c r="E54" s="171">
        <f t="shared" si="4"/>
        <v>19</v>
      </c>
      <c r="F54" s="171"/>
      <c r="G54" s="171">
        <f t="shared" si="5"/>
        <v>19</v>
      </c>
      <c r="H54" s="172">
        <f t="shared" si="6"/>
        <v>5.7895389424180347E-6</v>
      </c>
      <c r="I54" s="337"/>
      <c r="J54" s="168"/>
      <c r="K54" s="168"/>
      <c r="M54" s="359">
        <f t="shared" si="7"/>
        <v>1.6008088297244925E-3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573">
        <f>'[11]Sch C'!D40</f>
        <v>0</v>
      </c>
      <c r="D55" s="573">
        <f>'[11]Sch C'!F40</f>
        <v>0</v>
      </c>
      <c r="E55" s="171">
        <f t="shared" si="4"/>
        <v>0</v>
      </c>
      <c r="F55" s="171"/>
      <c r="G55" s="171">
        <f t="shared" si="5"/>
        <v>0</v>
      </c>
      <c r="H55" s="172">
        <f t="shared" si="6"/>
        <v>0</v>
      </c>
      <c r="I55" s="337"/>
      <c r="J55" s="168"/>
      <c r="K55" s="168"/>
      <c r="M55" s="359">
        <f t="shared" si="7"/>
        <v>0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573">
        <f>'[11]Sch C'!D41</f>
        <v>0</v>
      </c>
      <c r="D56" s="573">
        <f>'[11]Sch C'!F41</f>
        <v>0</v>
      </c>
      <c r="E56" s="171">
        <f t="shared" si="4"/>
        <v>0</v>
      </c>
      <c r="F56" s="171"/>
      <c r="G56" s="171">
        <f t="shared" si="5"/>
        <v>0</v>
      </c>
      <c r="H56" s="172">
        <f t="shared" si="6"/>
        <v>0</v>
      </c>
      <c r="I56" s="337"/>
      <c r="J56" s="168"/>
      <c r="K56" s="168"/>
      <c r="M56" s="359">
        <f t="shared" si="7"/>
        <v>0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573">
        <f>'[11]Sch C'!D42</f>
        <v>0</v>
      </c>
      <c r="D57" s="573">
        <f>'[11]Sch C'!F42</f>
        <v>0</v>
      </c>
      <c r="E57" s="171">
        <f t="shared" si="4"/>
        <v>0</v>
      </c>
      <c r="F57" s="171"/>
      <c r="G57" s="171">
        <f t="shared" si="5"/>
        <v>0</v>
      </c>
      <c r="H57" s="172">
        <f t="shared" si="6"/>
        <v>0</v>
      </c>
      <c r="I57" s="337"/>
      <c r="J57" s="168"/>
      <c r="K57" s="168"/>
      <c r="M57" s="359">
        <f t="shared" si="7"/>
        <v>0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573">
        <f>'[11]Sch C'!D43</f>
        <v>4336</v>
      </c>
      <c r="D58" s="573">
        <f>'[11]Sch C'!F43</f>
        <v>0</v>
      </c>
      <c r="E58" s="171">
        <f t="shared" si="4"/>
        <v>4336</v>
      </c>
      <c r="F58" s="171"/>
      <c r="G58" s="171">
        <f t="shared" si="5"/>
        <v>4336</v>
      </c>
      <c r="H58" s="172">
        <f t="shared" si="6"/>
        <v>1.3212337291749789E-3</v>
      </c>
      <c r="I58" s="337"/>
      <c r="J58" s="168"/>
      <c r="K58" s="168"/>
      <c r="M58" s="359">
        <f t="shared" si="7"/>
        <v>0.36532142556238939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573">
        <f>'[11]Sch C'!D44</f>
        <v>0</v>
      </c>
      <c r="D59" s="573">
        <f>'[11]Sch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7"/>
      <c r="J59" s="168"/>
      <c r="K59" s="168"/>
      <c r="M59" s="359">
        <f t="shared" si="7"/>
        <v>0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573">
        <f>'[11]Sch C'!D45</f>
        <v>0</v>
      </c>
      <c r="D60" s="573">
        <f>'[11]Sch C'!F45</f>
        <v>0</v>
      </c>
      <c r="E60" s="171">
        <f t="shared" si="4"/>
        <v>0</v>
      </c>
      <c r="F60" s="171"/>
      <c r="G60" s="171">
        <f t="shared" si="5"/>
        <v>0</v>
      </c>
      <c r="H60" s="172">
        <f t="shared" si="6"/>
        <v>0</v>
      </c>
      <c r="I60" s="337"/>
      <c r="J60" s="168"/>
      <c r="K60" s="168"/>
      <c r="M60" s="359">
        <f t="shared" si="7"/>
        <v>0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573">
        <f>SUM(C25:C60)</f>
        <v>657299</v>
      </c>
      <c r="D61" s="573">
        <f>SUM(D25:D60)</f>
        <v>-28113</v>
      </c>
      <c r="E61" s="171">
        <f t="shared" ref="E61" si="8">SUM(E25:E60)</f>
        <v>629186</v>
      </c>
      <c r="F61" s="171">
        <f>SUM(F25:F60)</f>
        <v>-500</v>
      </c>
      <c r="G61" s="171">
        <f>SUM(G25:G60)</f>
        <v>628686</v>
      </c>
      <c r="H61" s="186">
        <f t="shared" si="6"/>
        <v>0.19156853050279077</v>
      </c>
      <c r="I61" s="339"/>
      <c r="J61" s="168"/>
      <c r="K61" s="168"/>
      <c r="M61" s="364">
        <f>G61/G$228</f>
        <v>52.96874210127222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I62" s="340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573">
        <f>'[11]Sch C'!D57</f>
        <v>0</v>
      </c>
      <c r="D64" s="573">
        <f>'[11]Sch C'!F57</f>
        <v>0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I64" s="337"/>
      <c r="J64" s="190"/>
      <c r="K64" s="168"/>
      <c r="M64" s="359">
        <f t="shared" ref="M64:M79" si="12">G64/G$228</f>
        <v>0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573">
        <f>'[11]Sch C'!D58</f>
        <v>256689</v>
      </c>
      <c r="D65" s="573">
        <f>'[11]Sch C'!F58</f>
        <v>0</v>
      </c>
      <c r="E65" s="171">
        <f t="shared" si="9"/>
        <v>256689</v>
      </c>
      <c r="F65" s="171"/>
      <c r="G65" s="171">
        <f t="shared" si="10"/>
        <v>256689</v>
      </c>
      <c r="H65" s="172">
        <f t="shared" si="11"/>
        <v>7.8216366399491741E-2</v>
      </c>
      <c r="I65" s="337"/>
      <c r="J65" s="190"/>
      <c r="K65" s="168"/>
      <c r="M65" s="359">
        <f t="shared" si="12"/>
        <v>21.626843036481592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573">
        <f>'[11]Sch C'!D59</f>
        <v>103250</v>
      </c>
      <c r="D66" s="573">
        <f>'[11]Sch C'!F59</f>
        <v>0</v>
      </c>
      <c r="E66" s="171">
        <f t="shared" si="9"/>
        <v>103250</v>
      </c>
      <c r="F66" s="171"/>
      <c r="G66" s="171">
        <f t="shared" si="10"/>
        <v>103250</v>
      </c>
      <c r="H66" s="172">
        <f t="shared" si="11"/>
        <v>3.1461573463403267E-2</v>
      </c>
      <c r="I66" s="337"/>
      <c r="J66" s="190"/>
      <c r="K66" s="168"/>
      <c r="M66" s="359">
        <f t="shared" si="12"/>
        <v>8.6991321931080972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573">
        <f>'[11]Sch C'!D60</f>
        <v>0</v>
      </c>
      <c r="D67" s="573">
        <f>'[11]Sch C'!F60</f>
        <v>0</v>
      </c>
      <c r="E67" s="171">
        <f t="shared" si="9"/>
        <v>0</v>
      </c>
      <c r="F67" s="171"/>
      <c r="G67" s="171">
        <f t="shared" si="10"/>
        <v>0</v>
      </c>
      <c r="H67" s="172">
        <f t="shared" si="11"/>
        <v>0</v>
      </c>
      <c r="I67" s="337"/>
      <c r="J67" s="193"/>
      <c r="K67" s="168"/>
      <c r="M67" s="359">
        <f t="shared" si="12"/>
        <v>0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573">
        <f>'[11]Sch C'!D61</f>
        <v>6385</v>
      </c>
      <c r="D68" s="573">
        <f>'[11]Sch C'!F61</f>
        <v>0</v>
      </c>
      <c r="E68" s="171">
        <f t="shared" si="9"/>
        <v>6385</v>
      </c>
      <c r="F68" s="171"/>
      <c r="G68" s="171">
        <f t="shared" si="10"/>
        <v>6385</v>
      </c>
      <c r="H68" s="172">
        <f t="shared" si="11"/>
        <v>1.9455897972283766E-3</v>
      </c>
      <c r="I68" s="337"/>
      <c r="J68" s="193"/>
      <c r="K68" s="168"/>
      <c r="M68" s="359">
        <f t="shared" si="12"/>
        <v>0.53795601988373076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573">
        <f>'[11]Sch C'!D62</f>
        <v>0</v>
      </c>
      <c r="D69" s="573">
        <f>'[11]Sch C'!F62</f>
        <v>0</v>
      </c>
      <c r="E69" s="171">
        <f t="shared" si="9"/>
        <v>0</v>
      </c>
      <c r="F69" s="171"/>
      <c r="G69" s="171">
        <f t="shared" si="10"/>
        <v>0</v>
      </c>
      <c r="H69" s="172">
        <f t="shared" si="11"/>
        <v>0</v>
      </c>
      <c r="I69" s="337"/>
      <c r="J69" s="195"/>
      <c r="K69" s="168"/>
      <c r="M69" s="359">
        <f t="shared" si="12"/>
        <v>0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573">
        <f>'[11]Sch C'!D63</f>
        <v>0</v>
      </c>
      <c r="D70" s="573">
        <f>'[11]Sch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7"/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573">
        <f>'[11]Sch C'!D64</f>
        <v>0</v>
      </c>
      <c r="D71" s="573">
        <f>'[11]Sch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573">
        <f>'[11]Sch C'!D65</f>
        <v>968</v>
      </c>
      <c r="D72" s="573">
        <f>'[11]Sch C'!F65</f>
        <v>0</v>
      </c>
      <c r="E72" s="171">
        <f t="shared" si="9"/>
        <v>968</v>
      </c>
      <c r="F72" s="171"/>
      <c r="G72" s="171">
        <f t="shared" si="10"/>
        <v>968</v>
      </c>
      <c r="H72" s="172">
        <f t="shared" si="11"/>
        <v>2.9496177348740303E-4</v>
      </c>
      <c r="I72" s="337"/>
      <c r="J72" s="195"/>
      <c r="K72" s="168"/>
      <c r="M72" s="359">
        <f t="shared" si="12"/>
        <v>8.155699721964782E-2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573">
        <f>'[11]Sch C'!D66</f>
        <v>0</v>
      </c>
      <c r="D73" s="573">
        <f>'[11]Sch C'!F66</f>
        <v>0</v>
      </c>
      <c r="E73" s="171">
        <f t="shared" si="9"/>
        <v>0</v>
      </c>
      <c r="F73" s="171"/>
      <c r="G73" s="171">
        <f t="shared" si="10"/>
        <v>0</v>
      </c>
      <c r="H73" s="172">
        <f t="shared" si="11"/>
        <v>0</v>
      </c>
      <c r="I73" s="337"/>
      <c r="J73" s="195"/>
      <c r="K73" s="168"/>
      <c r="M73" s="359">
        <f t="shared" si="12"/>
        <v>0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573">
        <f>'[11]Sch C'!D67</f>
        <v>35444</v>
      </c>
      <c r="D74" s="573">
        <f>'[11]Sch C'!F67</f>
        <v>0</v>
      </c>
      <c r="E74" s="171">
        <f t="shared" si="9"/>
        <v>35444</v>
      </c>
      <c r="F74" s="171"/>
      <c r="G74" s="171">
        <f t="shared" si="10"/>
        <v>35444</v>
      </c>
      <c r="H74" s="172">
        <f t="shared" si="11"/>
        <v>1.0800232540792886E-2</v>
      </c>
      <c r="I74" s="337"/>
      <c r="J74" s="195"/>
      <c r="K74" s="168"/>
      <c r="M74" s="359">
        <f t="shared" si="12"/>
        <v>2.9862667453028897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573">
        <f>'[11]Sch C'!D68</f>
        <v>0</v>
      </c>
      <c r="D75" s="573">
        <f>'[11]Sch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573">
        <f>'[11]Sch C'!D69</f>
        <v>0</v>
      </c>
      <c r="D76" s="573">
        <f>'[11]Sch C'!F69</f>
        <v>0</v>
      </c>
      <c r="E76" s="171">
        <f t="shared" si="9"/>
        <v>0</v>
      </c>
      <c r="F76" s="171"/>
      <c r="G76" s="171">
        <f t="shared" si="10"/>
        <v>0</v>
      </c>
      <c r="H76" s="172">
        <f t="shared" si="11"/>
        <v>0</v>
      </c>
      <c r="I76" s="337"/>
      <c r="J76" s="195"/>
      <c r="K76" s="168"/>
      <c r="M76" s="359">
        <f t="shared" si="12"/>
        <v>0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573">
        <f>'[11]Sch C'!D70</f>
        <v>0</v>
      </c>
      <c r="D77" s="573">
        <f>'[11]Sch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7"/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573">
        <f>'[11]Sch C'!D71</f>
        <v>0</v>
      </c>
      <c r="D78" s="573">
        <f>'[11]Sch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7"/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573">
        <f>SUM(C64:C78)</f>
        <v>402736</v>
      </c>
      <c r="D79" s="573">
        <f>SUM(D64:D78)</f>
        <v>0</v>
      </c>
      <c r="E79" s="171">
        <f t="shared" ref="E79" si="13">SUM(E64:E78)</f>
        <v>402736</v>
      </c>
      <c r="F79" s="171">
        <f>SUM(F64:F78)</f>
        <v>0</v>
      </c>
      <c r="G79" s="171">
        <f>SUM(G64:G78)</f>
        <v>402736</v>
      </c>
      <c r="H79" s="172">
        <f t="shared" si="11"/>
        <v>0.12271872397440367</v>
      </c>
      <c r="I79" s="337"/>
      <c r="J79" s="195"/>
      <c r="K79" s="168"/>
      <c r="M79" s="359">
        <f t="shared" si="12"/>
        <v>33.931754991995959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573">
        <f>'[11]Sch C'!D75</f>
        <v>0</v>
      </c>
      <c r="D82" s="573">
        <f>'[11]Sch C'!F75</f>
        <v>0</v>
      </c>
      <c r="E82" s="171">
        <f t="shared" ref="E82:E92" si="14">C82+D82</f>
        <v>0</v>
      </c>
      <c r="F82" s="171"/>
      <c r="G82" s="171">
        <f t="shared" ref="G82:G92" si="15">E82+F82</f>
        <v>0</v>
      </c>
      <c r="H82" s="172">
        <f t="shared" ref="H82:H93" si="16">IF($G$208=0,0,G82/$G$208)</f>
        <v>0</v>
      </c>
      <c r="I82" s="337"/>
      <c r="J82" s="183">
        <v>0</v>
      </c>
      <c r="K82" s="183">
        <v>0</v>
      </c>
      <c r="M82" s="359">
        <f t="shared" ref="M82:M92" si="17">G82/G$228</f>
        <v>0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573">
        <f>'[11]Sch C'!D76</f>
        <v>0</v>
      </c>
      <c r="D83" s="573">
        <f>'[11]Sch C'!F76</f>
        <v>0</v>
      </c>
      <c r="E83" s="171">
        <f t="shared" si="14"/>
        <v>0</v>
      </c>
      <c r="F83" s="171"/>
      <c r="G83" s="171">
        <f t="shared" si="15"/>
        <v>0</v>
      </c>
      <c r="H83" s="172">
        <f t="shared" si="16"/>
        <v>0</v>
      </c>
      <c r="I83" s="337"/>
      <c r="J83" s="168"/>
      <c r="K83" s="168"/>
      <c r="M83" s="359">
        <f t="shared" si="17"/>
        <v>0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573">
        <f>'[11]Sch C'!D77</f>
        <v>37346</v>
      </c>
      <c r="D84" s="573">
        <f>'[11]Sch C'!F77</f>
        <v>0</v>
      </c>
      <c r="E84" s="171">
        <f t="shared" si="14"/>
        <v>37346</v>
      </c>
      <c r="F84" s="171"/>
      <c r="G84" s="171">
        <f t="shared" si="15"/>
        <v>37346</v>
      </c>
      <c r="H84" s="172">
        <f t="shared" si="16"/>
        <v>1.1379795860186523E-2</v>
      </c>
      <c r="I84" s="337"/>
      <c r="J84" s="168"/>
      <c r="K84" s="168"/>
      <c r="M84" s="359">
        <f t="shared" si="17"/>
        <v>3.1465161344679418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573">
        <f>'[11]Sch C'!D78</f>
        <v>0</v>
      </c>
      <c r="D85" s="573">
        <f>'[11]Sch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I85" s="337"/>
      <c r="J85" s="168"/>
      <c r="K85" s="168"/>
      <c r="M85" s="359">
        <f t="shared" si="17"/>
        <v>0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573">
        <f>'[11]Sch C'!D79</f>
        <v>65979.19</v>
      </c>
      <c r="D86" s="573">
        <f>'[11]Sch C'!F79</f>
        <v>0</v>
      </c>
      <c r="E86" s="171">
        <f t="shared" si="14"/>
        <v>65979.19</v>
      </c>
      <c r="F86" s="171"/>
      <c r="G86" s="171">
        <f>E86+F86</f>
        <v>65979.19</v>
      </c>
      <c r="H86" s="172">
        <f t="shared" si="16"/>
        <v>2.0104688941799925E-2</v>
      </c>
      <c r="I86" s="337"/>
      <c r="J86" s="168"/>
      <c r="K86" s="168"/>
      <c r="M86" s="359">
        <f t="shared" si="17"/>
        <v>5.558951048951049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573">
        <f>'[11]Sch C'!D80</f>
        <v>0</v>
      </c>
      <c r="D87" s="573">
        <f>'[11]Sch C'!F80</f>
        <v>0</v>
      </c>
      <c r="E87" s="171">
        <f t="shared" si="14"/>
        <v>0</v>
      </c>
      <c r="F87" s="171"/>
      <c r="G87" s="171">
        <f t="shared" si="15"/>
        <v>0</v>
      </c>
      <c r="H87" s="172">
        <f t="shared" si="16"/>
        <v>0</v>
      </c>
      <c r="I87" s="337"/>
      <c r="J87" s="168"/>
      <c r="K87" s="168"/>
      <c r="M87" s="359">
        <f t="shared" si="17"/>
        <v>0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573">
        <f>'[11]Sch C'!D81</f>
        <v>32163</v>
      </c>
      <c r="D88" s="573">
        <f>'[11]Sch C'!F81</f>
        <v>0</v>
      </c>
      <c r="E88" s="171">
        <f t="shared" si="14"/>
        <v>32163</v>
      </c>
      <c r="F88" s="171"/>
      <c r="G88" s="171">
        <f t="shared" si="15"/>
        <v>32163</v>
      </c>
      <c r="H88" s="172">
        <f t="shared" si="16"/>
        <v>9.8004705792100657E-3</v>
      </c>
      <c r="I88" s="337"/>
      <c r="J88" s="168"/>
      <c r="K88" s="168"/>
      <c r="M88" s="359">
        <f t="shared" si="17"/>
        <v>2.7098323363383603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573">
        <f>'[11]Sch C'!D82</f>
        <v>8041</v>
      </c>
      <c r="D89" s="573">
        <f>'[11]Sch C'!F82</f>
        <v>0</v>
      </c>
      <c r="E89" s="171">
        <f t="shared" si="14"/>
        <v>8041</v>
      </c>
      <c r="F89" s="171"/>
      <c r="G89" s="171">
        <f t="shared" si="15"/>
        <v>8041</v>
      </c>
      <c r="H89" s="172">
        <f t="shared" si="16"/>
        <v>2.4501938229464959E-3</v>
      </c>
      <c r="I89" s="337"/>
      <c r="J89" s="168"/>
      <c r="K89" s="168"/>
      <c r="M89" s="359">
        <f t="shared" si="17"/>
        <v>0.67747914735866543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573">
        <f>'[11]Sch C'!D83</f>
        <v>0</v>
      </c>
      <c r="D90" s="573">
        <f>'[11]Sch C'!F83</f>
        <v>0</v>
      </c>
      <c r="E90" s="171">
        <f t="shared" si="14"/>
        <v>0</v>
      </c>
      <c r="F90" s="171"/>
      <c r="G90" s="171">
        <f t="shared" si="15"/>
        <v>0</v>
      </c>
      <c r="H90" s="172">
        <f t="shared" si="16"/>
        <v>0</v>
      </c>
      <c r="I90" s="337"/>
      <c r="J90" s="168"/>
      <c r="K90" s="168"/>
      <c r="M90" s="359">
        <f t="shared" si="17"/>
        <v>0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573">
        <f>'[11]Sch C'!D84</f>
        <v>75244</v>
      </c>
      <c r="D91" s="573">
        <f>'[11]Sch C'!F84</f>
        <v>0</v>
      </c>
      <c r="E91" s="171">
        <f t="shared" si="14"/>
        <v>75244</v>
      </c>
      <c r="F91" s="171"/>
      <c r="G91" s="171">
        <f t="shared" si="15"/>
        <v>75244</v>
      </c>
      <c r="H91" s="172">
        <f t="shared" si="16"/>
        <v>2.2927793062279087E-2</v>
      </c>
      <c r="I91" s="337"/>
      <c r="J91" s="168"/>
      <c r="K91" s="168"/>
      <c r="M91" s="359">
        <f t="shared" si="17"/>
        <v>6.3395399780941952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573">
        <f>'[11]Sch C'!D85</f>
        <v>0</v>
      </c>
      <c r="D92" s="573">
        <f>'[11]Sch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7"/>
      <c r="J92" s="168"/>
      <c r="K92" s="168"/>
      <c r="M92" s="359">
        <f t="shared" si="17"/>
        <v>0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573">
        <f>SUM(C82:C92)</f>
        <v>218773.19</v>
      </c>
      <c r="D93" s="573">
        <f>SUM(D82:D92)</f>
        <v>0</v>
      </c>
      <c r="E93" s="171">
        <f t="shared" ref="E93" si="18">SUM(E82:E92)</f>
        <v>218773.19</v>
      </c>
      <c r="F93" s="171">
        <f>SUM(F82:F92)</f>
        <v>0</v>
      </c>
      <c r="G93" s="171">
        <f>SUM(G82:G92)</f>
        <v>218773.19</v>
      </c>
      <c r="H93" s="172">
        <f t="shared" si="16"/>
        <v>6.6662942266422096E-2</v>
      </c>
      <c r="I93" s="337"/>
      <c r="J93" s="168"/>
      <c r="K93" s="168"/>
      <c r="M93" s="364">
        <f>G93/G$228</f>
        <v>18.432318645210213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573">
        <f>'[11]Sch C'!D89</f>
        <v>0</v>
      </c>
      <c r="D96" s="573">
        <f>'[11]Sch C'!F89</f>
        <v>0</v>
      </c>
      <c r="E96" s="171">
        <f t="shared" ref="E96:E101" si="19">C96+D96</f>
        <v>0</v>
      </c>
      <c r="F96" s="171"/>
      <c r="G96" s="171">
        <f t="shared" ref="G96:G101" si="20">E96+F96</f>
        <v>0</v>
      </c>
      <c r="H96" s="172">
        <f t="shared" ref="H96:H102" si="21">IF($G$208=0,0,G96/$G$208)</f>
        <v>0</v>
      </c>
      <c r="I96" s="337"/>
      <c r="J96" s="183">
        <v>0</v>
      </c>
      <c r="K96" s="183">
        <v>0</v>
      </c>
      <c r="M96" s="364">
        <f t="shared" ref="M96:M101" si="22">G96/G$228</f>
        <v>0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573">
        <f>'[11]Sch C'!D90</f>
        <v>0</v>
      </c>
      <c r="D97" s="573">
        <f>'[11]Sch C'!F90</f>
        <v>0</v>
      </c>
      <c r="E97" s="171">
        <f t="shared" si="19"/>
        <v>0</v>
      </c>
      <c r="F97" s="171"/>
      <c r="G97" s="171">
        <f t="shared" si="20"/>
        <v>0</v>
      </c>
      <c r="H97" s="172">
        <f t="shared" si="21"/>
        <v>0</v>
      </c>
      <c r="I97" s="337"/>
      <c r="J97" s="168"/>
      <c r="K97" s="168"/>
      <c r="M97" s="364">
        <f t="shared" si="22"/>
        <v>0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573">
        <f>'[11]Sch C'!D91</f>
        <v>235956</v>
      </c>
      <c r="D98" s="573">
        <f>'[11]Sch C'!F91</f>
        <v>0</v>
      </c>
      <c r="E98" s="171">
        <f t="shared" si="19"/>
        <v>235956</v>
      </c>
      <c r="F98" s="171"/>
      <c r="G98" s="171">
        <f t="shared" si="20"/>
        <v>235956</v>
      </c>
      <c r="H98" s="172">
        <f t="shared" si="21"/>
        <v>7.1898760563009992E-2</v>
      </c>
      <c r="I98" s="337"/>
      <c r="J98" s="168"/>
      <c r="K98" s="168"/>
      <c r="M98" s="364">
        <f t="shared" si="22"/>
        <v>19.880023590866966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573">
        <f>'[11]Sch C'!D92</f>
        <v>16279</v>
      </c>
      <c r="D99" s="573">
        <f>'[11]Sch C'!F92</f>
        <v>0</v>
      </c>
      <c r="E99" s="171">
        <f t="shared" si="19"/>
        <v>16279</v>
      </c>
      <c r="F99" s="171"/>
      <c r="G99" s="171">
        <f t="shared" si="20"/>
        <v>16279</v>
      </c>
      <c r="H99" s="172">
        <f t="shared" si="21"/>
        <v>4.9604160233485892E-3</v>
      </c>
      <c r="I99" s="337"/>
      <c r="J99" s="168"/>
      <c r="K99" s="168"/>
      <c r="M99" s="364">
        <f t="shared" si="22"/>
        <v>1.3715561546886847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573">
        <f>'[11]Sch C'!D93</f>
        <v>0</v>
      </c>
      <c r="D100" s="573">
        <f>'[11]Sch C'!F93</f>
        <v>0</v>
      </c>
      <c r="E100" s="171">
        <f t="shared" si="19"/>
        <v>0</v>
      </c>
      <c r="F100" s="171"/>
      <c r="G100" s="171">
        <f t="shared" si="20"/>
        <v>0</v>
      </c>
      <c r="H100" s="172">
        <f t="shared" si="21"/>
        <v>0</v>
      </c>
      <c r="I100" s="337"/>
      <c r="J100" s="168"/>
      <c r="K100" s="168"/>
      <c r="M100" s="364">
        <f t="shared" si="22"/>
        <v>0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573">
        <f>'[11]Sch C'!D94</f>
        <v>0</v>
      </c>
      <c r="D101" s="573">
        <f>'[11]Sch C'!F94</f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I101" s="337"/>
      <c r="J101" s="168"/>
      <c r="K101" s="168"/>
      <c r="M101" s="364">
        <f t="shared" si="22"/>
        <v>0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573">
        <f>SUM(C96:C101)</f>
        <v>252235</v>
      </c>
      <c r="D102" s="573">
        <f>SUM(D96:D101)</f>
        <v>0</v>
      </c>
      <c r="E102" s="171">
        <f t="shared" ref="E102" si="23">SUM(E96:E101)</f>
        <v>252235</v>
      </c>
      <c r="F102" s="171">
        <f>SUM(F96:F101)</f>
        <v>0</v>
      </c>
      <c r="G102" s="171">
        <f>SUM(G96:G101)</f>
        <v>252235</v>
      </c>
      <c r="H102" s="172">
        <f t="shared" si="21"/>
        <v>7.6859176586358588E-2</v>
      </c>
      <c r="I102" s="337"/>
      <c r="J102" s="168"/>
      <c r="K102" s="168"/>
      <c r="M102" s="364">
        <f>G102/G$228</f>
        <v>21.251579745555649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573">
        <f>'[11]Sch C'!D98</f>
        <v>0</v>
      </c>
      <c r="D105" s="573">
        <f>'[11]Sch C'!F98</f>
        <v>0</v>
      </c>
      <c r="E105" s="171">
        <f t="shared" ref="E105:E110" si="24">C105+D105</f>
        <v>0</v>
      </c>
      <c r="F105" s="171"/>
      <c r="G105" s="171">
        <f t="shared" ref="G105:G110" si="25">E105+F105</f>
        <v>0</v>
      </c>
      <c r="H105" s="172">
        <f t="shared" ref="H105:H111" si="26">IF($G$208=0,0,G105/$G$208)</f>
        <v>0</v>
      </c>
      <c r="I105" s="337"/>
      <c r="J105" s="183">
        <v>0</v>
      </c>
      <c r="K105" s="183">
        <v>0</v>
      </c>
      <c r="M105" s="364">
        <f t="shared" ref="M105:M110" si="27">G105/G$228</f>
        <v>0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573">
        <f>'[11]Sch C'!D99</f>
        <v>0</v>
      </c>
      <c r="D106" s="573">
        <f>'[11]Sch C'!F99</f>
        <v>0</v>
      </c>
      <c r="E106" s="171">
        <f t="shared" si="24"/>
        <v>0</v>
      </c>
      <c r="F106" s="171"/>
      <c r="G106" s="171">
        <f t="shared" si="25"/>
        <v>0</v>
      </c>
      <c r="H106" s="172">
        <f t="shared" si="26"/>
        <v>0</v>
      </c>
      <c r="I106" s="337"/>
      <c r="J106" s="168"/>
      <c r="K106" s="168"/>
      <c r="M106" s="364">
        <f t="shared" si="27"/>
        <v>0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573">
        <f>'[11]Sch C'!D100</f>
        <v>0</v>
      </c>
      <c r="D107" s="573">
        <f>'[11]Sch C'!F100</f>
        <v>0</v>
      </c>
      <c r="E107" s="171">
        <f t="shared" si="24"/>
        <v>0</v>
      </c>
      <c r="F107" s="171"/>
      <c r="G107" s="171">
        <f t="shared" si="25"/>
        <v>0</v>
      </c>
      <c r="H107" s="172">
        <f t="shared" si="26"/>
        <v>0</v>
      </c>
      <c r="I107" s="337"/>
      <c r="J107" s="168"/>
      <c r="K107" s="168"/>
      <c r="M107" s="364">
        <f t="shared" si="27"/>
        <v>0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573">
        <f>'[11]Sch C'!D101</f>
        <v>55256</v>
      </c>
      <c r="D108" s="573">
        <f>'[11]Sch C'!F101</f>
        <v>0</v>
      </c>
      <c r="E108" s="171">
        <f t="shared" si="24"/>
        <v>55256</v>
      </c>
      <c r="F108" s="171"/>
      <c r="G108" s="171">
        <f t="shared" si="25"/>
        <v>55256</v>
      </c>
      <c r="H108" s="172">
        <f t="shared" si="26"/>
        <v>1.6837198094855312E-2</v>
      </c>
      <c r="I108" s="337"/>
      <c r="J108" s="168"/>
      <c r="K108" s="168"/>
      <c r="M108" s="364">
        <f t="shared" si="27"/>
        <v>4.6554890892240293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573">
        <f>'[11]Sch C'!D102</f>
        <v>7651</v>
      </c>
      <c r="D109" s="573">
        <f>'[11]Sch C'!F102</f>
        <v>0</v>
      </c>
      <c r="E109" s="171">
        <f t="shared" si="24"/>
        <v>7651</v>
      </c>
      <c r="F109" s="171"/>
      <c r="G109" s="171">
        <f t="shared" si="25"/>
        <v>7651</v>
      </c>
      <c r="H109" s="172">
        <f t="shared" si="26"/>
        <v>2.3313559183389676E-3</v>
      </c>
      <c r="I109" s="337"/>
      <c r="J109" s="168"/>
      <c r="K109" s="168"/>
      <c r="M109" s="364">
        <f t="shared" si="27"/>
        <v>0.64462043980116268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573">
        <f>'[11]Sch C'!D103</f>
        <v>0</v>
      </c>
      <c r="D110" s="573">
        <f>'[11]Sch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7"/>
      <c r="J110" s="168"/>
      <c r="K110" s="168"/>
      <c r="M110" s="364">
        <f t="shared" si="27"/>
        <v>0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573">
        <f>SUM(C105:C110)</f>
        <v>62907</v>
      </c>
      <c r="D111" s="573">
        <f>SUM(D105:D110)</f>
        <v>0</v>
      </c>
      <c r="E111" s="171">
        <f t="shared" ref="E111" si="28">SUM(E105:E110)</f>
        <v>62907</v>
      </c>
      <c r="F111" s="171">
        <f>SUM(F105:F110)</f>
        <v>0</v>
      </c>
      <c r="G111" s="171">
        <f>SUM(G105:G110)</f>
        <v>62907</v>
      </c>
      <c r="H111" s="172">
        <f t="shared" si="26"/>
        <v>1.916855401319428E-2</v>
      </c>
      <c r="I111" s="337"/>
      <c r="J111" s="168"/>
      <c r="K111" s="168"/>
      <c r="M111" s="364">
        <f>G111/G$228</f>
        <v>5.3001095290251916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573">
        <f>'[11]Sch C'!D115</f>
        <v>106915</v>
      </c>
      <c r="D114" s="573">
        <f>'[11]Sch C'!F115</f>
        <v>0</v>
      </c>
      <c r="E114" s="171">
        <f t="shared" ref="E114:E118" si="29">C114+D114</f>
        <v>106915</v>
      </c>
      <c r="F114" s="171"/>
      <c r="G114" s="171">
        <f>E114+F114</f>
        <v>106915</v>
      </c>
      <c r="H114" s="172">
        <f t="shared" ref="H114:H119" si="30">IF($G$208=0,0,G114/$G$208)</f>
        <v>3.2578345054138119E-2</v>
      </c>
      <c r="I114" s="337"/>
      <c r="J114" s="183">
        <v>8692</v>
      </c>
      <c r="K114" s="183">
        <v>8946</v>
      </c>
      <c r="M114" s="364">
        <f t="shared" ref="M114:M119" si="31">G114/G$228</f>
        <v>9.0079197910523217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573">
        <f>'[11]Sch C'!D116</f>
        <v>29103</v>
      </c>
      <c r="D115" s="573">
        <f>'[11]Sch C'!F116</f>
        <v>0</v>
      </c>
      <c r="E115" s="171">
        <f t="shared" si="29"/>
        <v>29103</v>
      </c>
      <c r="F115" s="171"/>
      <c r="G115" s="171">
        <f>E115+F115</f>
        <v>29103</v>
      </c>
      <c r="H115" s="172">
        <f t="shared" si="30"/>
        <v>8.8680500969048458E-3</v>
      </c>
      <c r="I115" s="337"/>
      <c r="J115" s="168"/>
      <c r="K115" s="168"/>
      <c r="M115" s="364">
        <f t="shared" si="31"/>
        <v>2.4520178616564157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573">
        <f>'[11]Sch C'!D117</f>
        <v>21085</v>
      </c>
      <c r="D116" s="573">
        <f>'[11]Sch C'!F117</f>
        <v>0</v>
      </c>
      <c r="E116" s="171">
        <f t="shared" si="29"/>
        <v>21085</v>
      </c>
      <c r="F116" s="171"/>
      <c r="G116" s="171">
        <f>E116+F116</f>
        <v>21085</v>
      </c>
      <c r="H116" s="172">
        <f t="shared" si="30"/>
        <v>6.4248646632044356E-3</v>
      </c>
      <c r="I116" s="337"/>
      <c r="J116" s="168"/>
      <c r="K116" s="168"/>
      <c r="M116" s="364">
        <f t="shared" si="31"/>
        <v>1.7764765355126801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573">
        <f>'[11]Sch C'!D118</f>
        <v>0</v>
      </c>
      <c r="D117" s="573">
        <f>'[11]Sch C'!F118</f>
        <v>0</v>
      </c>
      <c r="E117" s="171">
        <f t="shared" si="29"/>
        <v>0</v>
      </c>
      <c r="F117" s="171"/>
      <c r="G117" s="171">
        <f>E117+F117</f>
        <v>0</v>
      </c>
      <c r="H117" s="172">
        <f t="shared" si="30"/>
        <v>0</v>
      </c>
      <c r="I117" s="337"/>
      <c r="J117" s="168"/>
      <c r="K117" s="168"/>
      <c r="M117" s="364">
        <f t="shared" si="31"/>
        <v>0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573">
        <f>'[11]Sch C'!D119</f>
        <v>0</v>
      </c>
      <c r="D118" s="573">
        <f>'[11]Sch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337"/>
      <c r="J118" s="168"/>
      <c r="K118" s="168"/>
      <c r="M118" s="364">
        <f t="shared" si="31"/>
        <v>0</v>
      </c>
      <c r="N118" s="359">
        <f>SUMMARY!J121</f>
        <v>1.5050905218317359E-2</v>
      </c>
    </row>
    <row r="119" spans="1:14" s="167" customFormat="1">
      <c r="A119" s="163"/>
      <c r="B119" s="170" t="s">
        <v>413</v>
      </c>
      <c r="C119" s="573">
        <f>SUM(C114:C118)</f>
        <v>157103</v>
      </c>
      <c r="D119" s="573">
        <f>SUM(D114:D118)</f>
        <v>0</v>
      </c>
      <c r="E119" s="171">
        <f t="shared" ref="E119" si="32">SUM(E114:E118)</f>
        <v>157103</v>
      </c>
      <c r="F119" s="171">
        <f>SUM(F114:F118)</f>
        <v>0</v>
      </c>
      <c r="G119" s="171">
        <f>SUM(G114:G118)</f>
        <v>157103</v>
      </c>
      <c r="H119" s="172">
        <f t="shared" si="30"/>
        <v>4.7871259814247398E-2</v>
      </c>
      <c r="I119" s="337"/>
      <c r="J119" s="168"/>
      <c r="K119" s="168"/>
      <c r="M119" s="364">
        <f t="shared" si="31"/>
        <v>13.236414188221417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1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573">
        <f>'[11]Sch C'!D124</f>
        <v>69500</v>
      </c>
      <c r="D123" s="573">
        <f>'[11]Sch C'!F124</f>
        <v>0</v>
      </c>
      <c r="E123" s="171">
        <f t="shared" ref="E123:E127" si="33">C123+D123</f>
        <v>69500</v>
      </c>
      <c r="F123" s="171"/>
      <c r="G123" s="171">
        <f>E123+F123</f>
        <v>69500</v>
      </c>
      <c r="H123" s="172">
        <f>IF($G$208=0,0,G123/$G$208)</f>
        <v>2.117752402621334E-2</v>
      </c>
      <c r="I123" s="337"/>
      <c r="J123" s="183">
        <v>2056</v>
      </c>
      <c r="K123" s="183">
        <v>2136</v>
      </c>
      <c r="M123" s="364">
        <f t="shared" ref="M123:M160" si="34">G123/G$228</f>
        <v>5.8555901929395908</v>
      </c>
      <c r="N123" s="359">
        <f>SUMMARY!J126</f>
        <v>0.77002560279620991</v>
      </c>
    </row>
    <row r="124" spans="1:14" s="167" customFormat="1">
      <c r="B124" s="163" t="s">
        <v>194</v>
      </c>
      <c r="C124" s="573">
        <f>'[11]Sch C'!D125</f>
        <v>0</v>
      </c>
      <c r="D124" s="573">
        <f>'[11]Sch C'!F125</f>
        <v>0</v>
      </c>
      <c r="E124" s="171">
        <f t="shared" si="33"/>
        <v>0</v>
      </c>
      <c r="F124" s="171"/>
      <c r="G124" s="171">
        <f>E124+F124</f>
        <v>0</v>
      </c>
      <c r="H124" s="172">
        <f>IF($G$208=0,0,G124/$G$208)</f>
        <v>0</v>
      </c>
      <c r="I124" s="337"/>
      <c r="J124" s="183">
        <v>0</v>
      </c>
      <c r="K124" s="183">
        <v>0</v>
      </c>
      <c r="M124" s="364">
        <f t="shared" si="34"/>
        <v>0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573">
        <f>'[11]Sch C'!D126</f>
        <v>0</v>
      </c>
      <c r="D125" s="573">
        <f>'[11]Sch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7"/>
      <c r="J125" s="183">
        <v>0</v>
      </c>
      <c r="K125" s="183">
        <v>0</v>
      </c>
      <c r="M125" s="364">
        <f t="shared" si="34"/>
        <v>0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573">
        <f>'[11]Sch C'!D127</f>
        <v>0</v>
      </c>
      <c r="D126" s="573">
        <f>'[11]Sch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7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573">
        <f>'[11]Sch C'!D128</f>
        <v>0</v>
      </c>
      <c r="D127" s="573">
        <f>'[11]Sch C'!F128</f>
        <v>0</v>
      </c>
      <c r="E127" s="171">
        <f t="shared" si="33"/>
        <v>0</v>
      </c>
      <c r="F127" s="171"/>
      <c r="G127" s="171">
        <f>E127+F127</f>
        <v>0</v>
      </c>
      <c r="H127" s="172">
        <f>IF($G$208=0,0,G127/$G$208)</f>
        <v>0</v>
      </c>
      <c r="I127" s="337"/>
      <c r="J127" s="183">
        <v>0</v>
      </c>
      <c r="K127" s="183">
        <v>0</v>
      </c>
      <c r="M127" s="364">
        <f t="shared" si="34"/>
        <v>0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205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573">
        <f>'[11]Sch C'!D130</f>
        <v>16503</v>
      </c>
      <c r="D129" s="573">
        <f>'[11]Sch C'!F130</f>
        <v>0</v>
      </c>
      <c r="E129" s="171">
        <f t="shared" ref="E129:E133" si="35">C129+D129</f>
        <v>16503</v>
      </c>
      <c r="F129" s="171"/>
      <c r="G129" s="171">
        <f>E129+F129</f>
        <v>16503</v>
      </c>
      <c r="H129" s="172">
        <f>IF($G$208=0,0,G129/$G$208)</f>
        <v>5.0286716403539385E-3</v>
      </c>
      <c r="I129" s="337"/>
      <c r="J129" s="204"/>
      <c r="K129" s="204"/>
      <c r="M129" s="364">
        <f t="shared" si="34"/>
        <v>1.3904288482601737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573">
        <f>'[11]Sch C'!D131</f>
        <v>0</v>
      </c>
      <c r="D130" s="573">
        <f>'[11]Sch C'!F131</f>
        <v>0</v>
      </c>
      <c r="E130" s="171">
        <f t="shared" si="35"/>
        <v>0</v>
      </c>
      <c r="F130" s="171"/>
      <c r="G130" s="171">
        <f>E130+F130</f>
        <v>0</v>
      </c>
      <c r="H130" s="172">
        <f>IF($G$208=0,0,G130/$G$208)</f>
        <v>0</v>
      </c>
      <c r="I130" s="337"/>
      <c r="J130" s="204"/>
      <c r="K130" s="204"/>
      <c r="M130" s="364">
        <f t="shared" si="34"/>
        <v>0</v>
      </c>
      <c r="N130" s="359">
        <f>SUMMARY!J133</f>
        <v>1.0792348507966931</v>
      </c>
    </row>
    <row r="131" spans="1:14" s="167" customFormat="1">
      <c r="B131" s="163" t="s">
        <v>195</v>
      </c>
      <c r="C131" s="573">
        <f>'[11]Sch C'!D132</f>
        <v>0</v>
      </c>
      <c r="D131" s="573">
        <f>'[11]Sch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7"/>
      <c r="J131" s="168"/>
      <c r="K131" s="168"/>
      <c r="M131" s="364">
        <f t="shared" si="34"/>
        <v>0</v>
      </c>
      <c r="N131" s="359">
        <f>SUMMARY!J134</f>
        <v>8.2765628075518377E-2</v>
      </c>
    </row>
    <row r="132" spans="1:14" s="167" customFormat="1">
      <c r="B132" s="163" t="s">
        <v>196</v>
      </c>
      <c r="C132" s="573">
        <f>'[11]Sch C'!D133</f>
        <v>0</v>
      </c>
      <c r="D132" s="573">
        <f>'[11]Sch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573">
        <f>'[11]Sch C'!D134</f>
        <v>0</v>
      </c>
      <c r="D133" s="573">
        <f>'[11]Sch C'!F134</f>
        <v>0</v>
      </c>
      <c r="E133" s="171">
        <f t="shared" si="35"/>
        <v>0</v>
      </c>
      <c r="F133" s="171"/>
      <c r="G133" s="171">
        <f>E133+F133</f>
        <v>0</v>
      </c>
      <c r="H133" s="172">
        <f>IF($G$208=0,0,G133/$G$208)</f>
        <v>0</v>
      </c>
      <c r="I133" s="337"/>
      <c r="J133" s="168"/>
      <c r="K133" s="168"/>
      <c r="M133" s="364">
        <f t="shared" si="34"/>
        <v>0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573">
        <f>'[11]Sch C'!D136</f>
        <v>421146</v>
      </c>
      <c r="D135" s="573">
        <f>'[11]Sch C'!F136</f>
        <v>0</v>
      </c>
      <c r="E135" s="171">
        <f t="shared" ref="E135:E138" si="36">C135+D135</f>
        <v>421146</v>
      </c>
      <c r="F135" s="171"/>
      <c r="G135" s="171">
        <f>E135+F135</f>
        <v>421146</v>
      </c>
      <c r="H135" s="172">
        <f>IF($G$208=0,0,G135/$G$208)</f>
        <v>0.12832848249703083</v>
      </c>
      <c r="I135" s="337"/>
      <c r="J135" s="183">
        <v>16878</v>
      </c>
      <c r="K135" s="183">
        <v>17986</v>
      </c>
      <c r="M135" s="364">
        <f t="shared" si="34"/>
        <v>35.482854494902689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573">
        <f>'[11]Sch C'!D137</f>
        <v>48291</v>
      </c>
      <c r="D136" s="573">
        <f>'[11]Sch C'!F137</f>
        <v>0</v>
      </c>
      <c r="E136" s="171">
        <f t="shared" si="36"/>
        <v>48291</v>
      </c>
      <c r="F136" s="171"/>
      <c r="G136" s="171">
        <f>E136+F136</f>
        <v>48291</v>
      </c>
      <c r="H136" s="172">
        <f>IF($G$208=0,0,G136/$G$208)</f>
        <v>1.4714875003595227E-2</v>
      </c>
      <c r="I136" s="337"/>
      <c r="J136" s="183">
        <v>2322</v>
      </c>
      <c r="K136" s="183">
        <v>2357</v>
      </c>
      <c r="M136" s="364">
        <f t="shared" si="34"/>
        <v>4.068666273485551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573">
        <f>'[11]Sch C'!D138</f>
        <v>485715</v>
      </c>
      <c r="D137" s="573">
        <f>'[11]Sch C'!F138</f>
        <v>0</v>
      </c>
      <c r="E137" s="171">
        <f t="shared" si="36"/>
        <v>485715</v>
      </c>
      <c r="F137" s="171"/>
      <c r="G137" s="171">
        <f>E137+F137</f>
        <v>485715</v>
      </c>
      <c r="H137" s="172">
        <f>IF($G$208=0,0,G137/$G$208)</f>
        <v>0.14800346881139873</v>
      </c>
      <c r="I137" s="337"/>
      <c r="J137" s="183">
        <v>37875</v>
      </c>
      <c r="K137" s="183">
        <v>40291</v>
      </c>
      <c r="M137" s="364">
        <f t="shared" si="34"/>
        <v>40.922992669980623</v>
      </c>
      <c r="N137" s="359">
        <f>SUMMARY!J140</f>
        <v>27.843137668277773</v>
      </c>
    </row>
    <row r="138" spans="1:14" s="167" customFormat="1">
      <c r="A138" s="169"/>
      <c r="B138" s="163" t="s">
        <v>510</v>
      </c>
      <c r="C138" s="573">
        <f>'[11]Sch C'!D139</f>
        <v>27078</v>
      </c>
      <c r="D138" s="573">
        <f>'[11]Sch C'!F139</f>
        <v>0</v>
      </c>
      <c r="E138" s="171">
        <f t="shared" si="36"/>
        <v>27078</v>
      </c>
      <c r="F138" s="171">
        <v>-27078</v>
      </c>
      <c r="G138" s="171">
        <f>E138+F138</f>
        <v>0</v>
      </c>
      <c r="H138" s="172">
        <f>IF($G$208=0,0,G138/$G$208)</f>
        <v>0</v>
      </c>
      <c r="I138" s="337"/>
      <c r="J138" s="183">
        <v>1137</v>
      </c>
      <c r="K138" s="183">
        <v>1327</v>
      </c>
      <c r="M138" s="364">
        <f t="shared" si="34"/>
        <v>0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7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573">
        <f>'[11]Sch C'!D141</f>
        <v>105665</v>
      </c>
      <c r="D140" s="573">
        <f>'[11]Sch C'!F141</f>
        <v>0</v>
      </c>
      <c r="E140" s="171">
        <f t="shared" ref="E140:E143" si="37">C140+D140</f>
        <v>105665</v>
      </c>
      <c r="F140" s="171"/>
      <c r="G140" s="171">
        <f>E140+F140</f>
        <v>105665</v>
      </c>
      <c r="H140" s="172">
        <f>IF($G$208=0,0,G140/$G$208)</f>
        <v>3.219745433424219E-2</v>
      </c>
      <c r="I140" s="337"/>
      <c r="J140" s="168"/>
      <c r="K140" s="168"/>
      <c r="M140" s="364">
        <f t="shared" si="34"/>
        <v>8.9026034206757103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573">
        <f>'[11]Sch C'!D142</f>
        <v>5094</v>
      </c>
      <c r="D141" s="573">
        <f>'[11]Sch C'!F142</f>
        <v>0</v>
      </c>
      <c r="E141" s="171">
        <f t="shared" si="37"/>
        <v>5094</v>
      </c>
      <c r="F141" s="171"/>
      <c r="G141" s="171">
        <f>E141+F141</f>
        <v>5094</v>
      </c>
      <c r="H141" s="172">
        <f>IF($G$208=0,0,G141/$G$208)</f>
        <v>1.5522058617198668E-3</v>
      </c>
      <c r="I141" s="337"/>
      <c r="J141" s="168"/>
      <c r="K141" s="168"/>
      <c r="M141" s="364">
        <f t="shared" si="34"/>
        <v>0.42918527255876654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573">
        <f>'[11]Sch C'!D143</f>
        <v>145664</v>
      </c>
      <c r="D142" s="573">
        <f>'[11]Sch C'!F143</f>
        <v>0</v>
      </c>
      <c r="E142" s="171">
        <f t="shared" si="37"/>
        <v>145664</v>
      </c>
      <c r="F142" s="171"/>
      <c r="G142" s="171">
        <f>E142+F142</f>
        <v>145664</v>
      </c>
      <c r="H142" s="172">
        <f>IF($G$208=0,0,G142/$G$208)</f>
        <v>4.4385652658335821E-2</v>
      </c>
      <c r="I142" s="337"/>
      <c r="J142" s="168"/>
      <c r="K142" s="168"/>
      <c r="M142" s="364">
        <f t="shared" si="34"/>
        <v>12.272643019630971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573">
        <f>'[11]Sch C'!D144</f>
        <v>9506</v>
      </c>
      <c r="D143" s="573">
        <f>'[11]Sch C'!F144</f>
        <v>0</v>
      </c>
      <c r="E143" s="171">
        <f t="shared" si="37"/>
        <v>9506</v>
      </c>
      <c r="F143" s="171">
        <v>-9506</v>
      </c>
      <c r="G143" s="171">
        <f>E143+F143</f>
        <v>0</v>
      </c>
      <c r="H143" s="172">
        <f>IF($G$208=0,0,G143/$G$208)</f>
        <v>0</v>
      </c>
      <c r="I143" s="337"/>
      <c r="J143" s="168"/>
      <c r="K143" s="168"/>
      <c r="M143" s="364">
        <f t="shared" si="34"/>
        <v>0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7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573">
        <f>'[11]Sch C'!D146</f>
        <v>0</v>
      </c>
      <c r="D145" s="573">
        <f>'[11]Sch C'!F146</f>
        <v>0</v>
      </c>
      <c r="E145" s="171">
        <f t="shared" ref="E145:E153" si="38">C145+D145</f>
        <v>0</v>
      </c>
      <c r="F145" s="171"/>
      <c r="G145" s="171">
        <f t="shared" ref="G145:G153" si="39">E145+F145</f>
        <v>0</v>
      </c>
      <c r="H145" s="172">
        <f t="shared" ref="H145:H153" si="40">IF($G$208=0,0,G145/$G$208)</f>
        <v>0</v>
      </c>
      <c r="I145" s="337"/>
      <c r="J145" s="183">
        <v>0</v>
      </c>
      <c r="K145" s="183">
        <v>0</v>
      </c>
      <c r="M145" s="364">
        <f t="shared" si="34"/>
        <v>0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573">
        <f>'[11]Sch C'!D147</f>
        <v>22185</v>
      </c>
      <c r="D146" s="573">
        <f>'[11]Sch C'!F147</f>
        <v>0</v>
      </c>
      <c r="E146" s="171">
        <f t="shared" si="38"/>
        <v>22185</v>
      </c>
      <c r="F146" s="171"/>
      <c r="G146" s="171">
        <f t="shared" si="39"/>
        <v>22185</v>
      </c>
      <c r="H146" s="172">
        <f t="shared" si="40"/>
        <v>6.7600484967128473E-3</v>
      </c>
      <c r="I146" s="337"/>
      <c r="J146" s="183">
        <v>359</v>
      </c>
      <c r="K146" s="183">
        <v>371</v>
      </c>
      <c r="M146" s="364">
        <f t="shared" si="34"/>
        <v>1.869154941444098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573">
        <f>'[11]Sch C'!D148</f>
        <v>0</v>
      </c>
      <c r="D147" s="573">
        <f>'[11]Sch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7"/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573">
        <f>'[11]Sch C'!D149</f>
        <v>0</v>
      </c>
      <c r="D148" s="573">
        <f>'[11]Sch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7"/>
      <c r="J148" s="183">
        <v>0</v>
      </c>
      <c r="K148" s="183">
        <v>0</v>
      </c>
      <c r="M148" s="364">
        <f t="shared" si="34"/>
        <v>0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573">
        <f>'[11]Sch C'!D150</f>
        <v>0</v>
      </c>
      <c r="D149" s="573">
        <f>'[11]Sch C'!F150</f>
        <v>0</v>
      </c>
      <c r="E149" s="171">
        <f t="shared" si="38"/>
        <v>0</v>
      </c>
      <c r="F149" s="171"/>
      <c r="G149" s="171">
        <f t="shared" si="39"/>
        <v>0</v>
      </c>
      <c r="H149" s="172">
        <f t="shared" si="40"/>
        <v>0</v>
      </c>
      <c r="I149" s="337"/>
      <c r="J149" s="183">
        <v>0</v>
      </c>
      <c r="K149" s="183">
        <v>0</v>
      </c>
      <c r="M149" s="364">
        <f t="shared" si="34"/>
        <v>0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573">
        <f>'[11]Sch C'!D151</f>
        <v>100486</v>
      </c>
      <c r="D150" s="573">
        <f>'[11]Sch C'!F151</f>
        <v>0</v>
      </c>
      <c r="E150" s="171">
        <f t="shared" si="38"/>
        <v>100486</v>
      </c>
      <c r="F150" s="171"/>
      <c r="G150" s="171">
        <f t="shared" si="39"/>
        <v>100486</v>
      </c>
      <c r="H150" s="172">
        <f t="shared" si="40"/>
        <v>3.0619347903569405E-2</v>
      </c>
      <c r="I150" s="337"/>
      <c r="J150" s="168"/>
      <c r="K150" s="168"/>
      <c r="M150" s="364">
        <f t="shared" si="34"/>
        <v>8.4662566349313337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573">
        <f>'[11]Sch C'!D152</f>
        <v>8562</v>
      </c>
      <c r="D151" s="573">
        <f>'[11]Sch C'!F152</f>
        <v>0</v>
      </c>
      <c r="E151" s="171">
        <f t="shared" si="38"/>
        <v>8562</v>
      </c>
      <c r="F151" s="171"/>
      <c r="G151" s="171">
        <f t="shared" si="39"/>
        <v>8562</v>
      </c>
      <c r="H151" s="172">
        <f t="shared" si="40"/>
        <v>2.6089490749991165E-3</v>
      </c>
      <c r="I151" s="337"/>
      <c r="J151" s="168"/>
      <c r="K151" s="168"/>
      <c r="M151" s="364">
        <f t="shared" si="34"/>
        <v>0.721375010531637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573">
        <f>'[11]Sch C'!D153</f>
        <v>0</v>
      </c>
      <c r="D152" s="573">
        <f>'[11]Sch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7"/>
      <c r="J152" s="168"/>
      <c r="K152" s="168"/>
      <c r="M152" s="364">
        <f t="shared" si="34"/>
        <v>0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573">
        <f>'[11]Sch C'!D154</f>
        <v>0</v>
      </c>
      <c r="D153" s="573">
        <f>'[11]Sch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210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573">
        <f>'[11]Sch C'!D156</f>
        <v>0</v>
      </c>
      <c r="D155" s="573">
        <f>'[11]Sch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573">
        <f>'[11]Sch C'!D157</f>
        <v>0</v>
      </c>
      <c r="D156" s="573">
        <f>'[11]Sch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573">
        <f>'[11]Sch C'!D158</f>
        <v>0</v>
      </c>
      <c r="D157" s="573">
        <f>'[11]Sch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7"/>
      <c r="J157" s="168"/>
      <c r="K157" s="168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573">
        <f>'[11]Sch C'!D159</f>
        <v>0</v>
      </c>
      <c r="D158" s="573">
        <f>'[11]Sch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573">
        <f>'[11]Sch C'!D160</f>
        <v>0</v>
      </c>
      <c r="D159" s="573">
        <f>'[11]Sch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7"/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573">
        <f>'[11]Sch C'!D161</f>
        <v>0</v>
      </c>
      <c r="D160" s="573">
        <f>'[11]Sch C'!F161</f>
        <v>0</v>
      </c>
      <c r="E160" s="171">
        <f t="shared" si="41"/>
        <v>0</v>
      </c>
      <c r="F160" s="171"/>
      <c r="G160" s="171">
        <f t="shared" si="42"/>
        <v>0</v>
      </c>
      <c r="H160" s="172">
        <f t="shared" si="43"/>
        <v>0</v>
      </c>
      <c r="I160" s="337"/>
      <c r="J160" s="168"/>
      <c r="K160" s="168"/>
      <c r="M160" s="364">
        <f t="shared" si="34"/>
        <v>0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573">
        <f>SUM(C123:C160)</f>
        <v>1465395</v>
      </c>
      <c r="D161" s="573">
        <f>SUM(D123:D160)</f>
        <v>0</v>
      </c>
      <c r="E161" s="171">
        <f t="shared" ref="E161" si="44">SUM(E123:E160)</f>
        <v>1465395</v>
      </c>
      <c r="F161" s="171">
        <f>SUM(F123:F160)</f>
        <v>-36584</v>
      </c>
      <c r="G161" s="171">
        <f>SUM(G123:G160)</f>
        <v>1428811</v>
      </c>
      <c r="H161" s="172">
        <f t="shared" si="43"/>
        <v>0.43537668030817134</v>
      </c>
      <c r="I161" s="337"/>
      <c r="J161" s="168"/>
      <c r="K161" s="168"/>
      <c r="M161" s="364">
        <f>G161/G$228</f>
        <v>120.38175077934115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337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7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573">
        <f>'[11]Sch C'!D175</f>
        <v>0</v>
      </c>
      <c r="D164" s="573">
        <f>'[11]Sch C'!F175</f>
        <v>0</v>
      </c>
      <c r="E164" s="171">
        <f t="shared" ref="E164:E196" si="45">C164+D164</f>
        <v>0</v>
      </c>
      <c r="F164" s="665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573">
        <f>'[11]Sch C'!D176</f>
        <v>0</v>
      </c>
      <c r="D165" s="573">
        <f>'[11]Sch C'!F176</f>
        <v>0</v>
      </c>
      <c r="E165" s="171">
        <f t="shared" si="45"/>
        <v>0</v>
      </c>
      <c r="F165" s="665"/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573">
        <f>'[11]Sch C'!D177</f>
        <v>0</v>
      </c>
      <c r="D166" s="573">
        <f>'[11]Sch C'!F177</f>
        <v>0</v>
      </c>
      <c r="E166" s="171">
        <f t="shared" si="45"/>
        <v>0</v>
      </c>
      <c r="F166" s="665"/>
      <c r="G166" s="171">
        <f t="shared" si="46"/>
        <v>0</v>
      </c>
      <c r="H166" s="172">
        <f t="shared" si="47"/>
        <v>0</v>
      </c>
      <c r="I166" s="343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573">
        <f>'[11]Sch C'!D178</f>
        <v>0</v>
      </c>
      <c r="D167" s="573">
        <f>'[11]Sch C'!F178</f>
        <v>0</v>
      </c>
      <c r="E167" s="171">
        <f t="shared" si="45"/>
        <v>0</v>
      </c>
      <c r="F167" s="665"/>
      <c r="G167" s="171">
        <f t="shared" si="46"/>
        <v>0</v>
      </c>
      <c r="H167" s="172">
        <f t="shared" si="47"/>
        <v>0</v>
      </c>
      <c r="I167" s="344"/>
      <c r="J167" s="222"/>
      <c r="K167" s="222"/>
      <c r="L167" s="218"/>
      <c r="M167" s="364">
        <f t="shared" si="48"/>
        <v>0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573">
        <f>'[11]Sch C'!D179</f>
        <v>0</v>
      </c>
      <c r="D168" s="573">
        <f>'[11]Sch C'!F179</f>
        <v>0</v>
      </c>
      <c r="E168" s="171">
        <f t="shared" si="45"/>
        <v>0</v>
      </c>
      <c r="F168" s="665"/>
      <c r="G168" s="171">
        <f t="shared" si="46"/>
        <v>0</v>
      </c>
      <c r="H168" s="172">
        <f t="shared" si="47"/>
        <v>0</v>
      </c>
      <c r="I168" s="343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573">
        <f>'[11]Sch C'!D180</f>
        <v>0</v>
      </c>
      <c r="D169" s="573">
        <f>'[11]Sch C'!F180</f>
        <v>0</v>
      </c>
      <c r="E169" s="171">
        <f t="shared" si="45"/>
        <v>0</v>
      </c>
      <c r="F169" s="665"/>
      <c r="G169" s="171">
        <f t="shared" si="46"/>
        <v>0</v>
      </c>
      <c r="H169" s="172">
        <f t="shared" si="47"/>
        <v>0</v>
      </c>
      <c r="I169" s="344"/>
      <c r="J169" s="222"/>
      <c r="K169" s="222"/>
      <c r="L169" s="218"/>
      <c r="M169" s="364">
        <f t="shared" si="48"/>
        <v>0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573">
        <f>'[11]Sch C'!D181</f>
        <v>0</v>
      </c>
      <c r="D170" s="573">
        <f>'[11]Sch C'!F181</f>
        <v>0</v>
      </c>
      <c r="E170" s="171">
        <f t="shared" si="45"/>
        <v>0</v>
      </c>
      <c r="F170" s="665"/>
      <c r="G170" s="171">
        <f t="shared" si="46"/>
        <v>0</v>
      </c>
      <c r="H170" s="172">
        <f t="shared" si="47"/>
        <v>0</v>
      </c>
      <c r="I170" s="343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573">
        <f>'[11]Sch C'!D182</f>
        <v>0</v>
      </c>
      <c r="D171" s="573">
        <f>'[11]Sch C'!F182</f>
        <v>0</v>
      </c>
      <c r="E171" s="171">
        <f t="shared" si="45"/>
        <v>0</v>
      </c>
      <c r="F171" s="665"/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573">
        <f>'[11]Sch C'!D183</f>
        <v>0</v>
      </c>
      <c r="D172" s="573">
        <f>'[11]Sch C'!F183</f>
        <v>0</v>
      </c>
      <c r="E172" s="171">
        <f t="shared" si="45"/>
        <v>0</v>
      </c>
      <c r="F172" s="665"/>
      <c r="G172" s="171">
        <f t="shared" si="46"/>
        <v>0</v>
      </c>
      <c r="H172" s="172">
        <f t="shared" si="47"/>
        <v>0</v>
      </c>
      <c r="I172" s="343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573">
        <f>'[11]Sch C'!D184</f>
        <v>0</v>
      </c>
      <c r="D173" s="573">
        <f>'[11]Sch C'!F184</f>
        <v>0</v>
      </c>
      <c r="E173" s="171">
        <f t="shared" si="45"/>
        <v>0</v>
      </c>
      <c r="F173" s="665"/>
      <c r="G173" s="171">
        <f t="shared" si="46"/>
        <v>0</v>
      </c>
      <c r="H173" s="172">
        <f t="shared" si="47"/>
        <v>0</v>
      </c>
      <c r="I173" s="344"/>
      <c r="J173" s="222"/>
      <c r="K173" s="222"/>
      <c r="L173" s="218"/>
      <c r="M173" s="364">
        <f t="shared" si="48"/>
        <v>0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573">
        <f>'[11]Sch C'!D185</f>
        <v>0</v>
      </c>
      <c r="D174" s="573">
        <f>'[11]Sch C'!F185</f>
        <v>0</v>
      </c>
      <c r="E174" s="171">
        <f t="shared" si="45"/>
        <v>0</v>
      </c>
      <c r="F174" s="665"/>
      <c r="G174" s="171">
        <f t="shared" si="46"/>
        <v>0</v>
      </c>
      <c r="H174" s="172">
        <f t="shared" si="47"/>
        <v>0</v>
      </c>
      <c r="I174" s="343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573">
        <f>'[11]Sch C'!D186</f>
        <v>0</v>
      </c>
      <c r="D175" s="573">
        <f>'[11]Sch C'!F186</f>
        <v>0</v>
      </c>
      <c r="E175" s="171">
        <f t="shared" si="45"/>
        <v>0</v>
      </c>
      <c r="F175" s="665"/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573">
        <f>'[11]Sch C'!D187</f>
        <v>0</v>
      </c>
      <c r="D176" s="573">
        <f>'[11]Sch C'!F187</f>
        <v>0</v>
      </c>
      <c r="E176" s="171">
        <f t="shared" si="45"/>
        <v>0</v>
      </c>
      <c r="F176" s="665"/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573">
        <f>'[11]Sch C'!D188</f>
        <v>0</v>
      </c>
      <c r="D177" s="573">
        <f>'[11]Sch C'!F188</f>
        <v>0</v>
      </c>
      <c r="E177" s="171">
        <f t="shared" si="45"/>
        <v>0</v>
      </c>
      <c r="F177" s="665"/>
      <c r="G177" s="171">
        <f t="shared" si="46"/>
        <v>0</v>
      </c>
      <c r="H177" s="172">
        <f t="shared" si="47"/>
        <v>0</v>
      </c>
      <c r="I177" s="337"/>
      <c r="J177" s="223"/>
      <c r="K177" s="218"/>
      <c r="L177" s="220"/>
      <c r="M177" s="364">
        <f t="shared" si="48"/>
        <v>0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573">
        <f>'[11]Sch C'!D189</f>
        <v>0</v>
      </c>
      <c r="D178" s="573">
        <f>'[11]Sch C'!F189</f>
        <v>0</v>
      </c>
      <c r="E178" s="171">
        <f t="shared" si="45"/>
        <v>0</v>
      </c>
      <c r="F178" s="665"/>
      <c r="G178" s="171">
        <f t="shared" si="46"/>
        <v>0</v>
      </c>
      <c r="H178" s="172">
        <f t="shared" si="47"/>
        <v>0</v>
      </c>
      <c r="I178" s="337"/>
      <c r="J178" s="223"/>
      <c r="K178" s="218"/>
      <c r="L178" s="220"/>
      <c r="M178" s="364">
        <f t="shared" si="48"/>
        <v>0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573">
        <f>'[11]Sch C'!D190</f>
        <v>0</v>
      </c>
      <c r="D179" s="573">
        <f>'[11]Sch C'!F190</f>
        <v>0</v>
      </c>
      <c r="E179" s="171">
        <f t="shared" si="45"/>
        <v>0</v>
      </c>
      <c r="F179" s="665"/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573">
        <f>'[11]Sch C'!D191</f>
        <v>0</v>
      </c>
      <c r="D180" s="573">
        <f>'[11]Sch C'!F191</f>
        <v>0</v>
      </c>
      <c r="E180" s="171">
        <f t="shared" si="45"/>
        <v>0</v>
      </c>
      <c r="F180" s="665"/>
      <c r="G180" s="171">
        <f t="shared" si="46"/>
        <v>0</v>
      </c>
      <c r="H180" s="172">
        <f t="shared" si="47"/>
        <v>0</v>
      </c>
      <c r="I180" s="337"/>
      <c r="J180" s="223"/>
      <c r="K180" s="218"/>
      <c r="L180" s="220"/>
      <c r="M180" s="364">
        <f t="shared" si="48"/>
        <v>0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573">
        <f>'[11]Sch C'!D192</f>
        <v>0</v>
      </c>
      <c r="D181" s="573">
        <f>'[11]Sch C'!F192</f>
        <v>0</v>
      </c>
      <c r="E181" s="171">
        <f t="shared" si="45"/>
        <v>0</v>
      </c>
      <c r="F181" s="665"/>
      <c r="G181" s="171">
        <f t="shared" si="46"/>
        <v>0</v>
      </c>
      <c r="H181" s="172">
        <f t="shared" si="47"/>
        <v>0</v>
      </c>
      <c r="I181" s="337"/>
      <c r="J181" s="223"/>
      <c r="K181" s="218"/>
      <c r="L181" s="220"/>
      <c r="M181" s="364">
        <f t="shared" si="48"/>
        <v>0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573">
        <f>'[11]Sch C'!D193</f>
        <v>0</v>
      </c>
      <c r="D182" s="573">
        <f>'[11]Sch C'!F193</f>
        <v>0</v>
      </c>
      <c r="E182" s="171">
        <f t="shared" si="45"/>
        <v>0</v>
      </c>
      <c r="F182" s="665"/>
      <c r="G182" s="171">
        <f t="shared" si="46"/>
        <v>0</v>
      </c>
      <c r="H182" s="172">
        <f t="shared" si="47"/>
        <v>0</v>
      </c>
      <c r="I182" s="337"/>
      <c r="J182" s="223"/>
      <c r="K182" s="218"/>
      <c r="L182" s="220"/>
      <c r="M182" s="364">
        <f t="shared" si="48"/>
        <v>0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573">
        <f>'[11]Sch C'!D194</f>
        <v>0</v>
      </c>
      <c r="D183" s="573">
        <f>'[11]Sch C'!F194</f>
        <v>0</v>
      </c>
      <c r="E183" s="171">
        <f t="shared" si="45"/>
        <v>0</v>
      </c>
      <c r="F183" s="665"/>
      <c r="G183" s="171">
        <f t="shared" si="46"/>
        <v>0</v>
      </c>
      <c r="H183" s="172">
        <f t="shared" si="47"/>
        <v>0</v>
      </c>
      <c r="I183" s="337"/>
      <c r="J183" s="223"/>
      <c r="K183" s="218"/>
      <c r="M183" s="364">
        <f t="shared" si="48"/>
        <v>0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573">
        <f>'[11]Sch C'!D195</f>
        <v>0</v>
      </c>
      <c r="D184" s="573">
        <f>'[11]Sch C'!F195</f>
        <v>0</v>
      </c>
      <c r="E184" s="171">
        <f t="shared" si="45"/>
        <v>0</v>
      </c>
      <c r="F184" s="665"/>
      <c r="G184" s="171">
        <f t="shared" si="46"/>
        <v>0</v>
      </c>
      <c r="H184" s="172">
        <f t="shared" si="47"/>
        <v>0</v>
      </c>
      <c r="I184" s="337"/>
      <c r="J184" s="223"/>
      <c r="K184" s="218"/>
      <c r="M184" s="364">
        <f t="shared" si="48"/>
        <v>0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573">
        <f>'[11]Sch C'!D196</f>
        <v>0</v>
      </c>
      <c r="D185" s="573">
        <f>'[11]Sch C'!F196</f>
        <v>0</v>
      </c>
      <c r="E185" s="171">
        <f t="shared" si="45"/>
        <v>0</v>
      </c>
      <c r="F185" s="665"/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573">
        <f>'[11]Sch C'!D197</f>
        <v>0</v>
      </c>
      <c r="D186" s="573">
        <f>'[11]Sch C'!F197</f>
        <v>0</v>
      </c>
      <c r="E186" s="171">
        <f t="shared" si="45"/>
        <v>0</v>
      </c>
      <c r="F186" s="665"/>
      <c r="G186" s="171">
        <f t="shared" si="46"/>
        <v>0</v>
      </c>
      <c r="H186" s="172">
        <f t="shared" si="47"/>
        <v>0</v>
      </c>
      <c r="I186" s="337"/>
      <c r="J186" s="223"/>
      <c r="K186" s="218"/>
      <c r="M186" s="364">
        <f t="shared" si="48"/>
        <v>0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573">
        <f>'[11]Sch C'!D198</f>
        <v>3983</v>
      </c>
      <c r="D187" s="573">
        <f>'[11]Sch C'!F198</f>
        <v>0</v>
      </c>
      <c r="E187" s="171">
        <f t="shared" si="45"/>
        <v>3983</v>
      </c>
      <c r="F187" s="665"/>
      <c r="G187" s="171">
        <f t="shared" si="46"/>
        <v>3983</v>
      </c>
      <c r="H187" s="172">
        <f t="shared" si="47"/>
        <v>1.2136701898763701E-3</v>
      </c>
      <c r="I187" s="337"/>
      <c r="J187" s="223"/>
      <c r="K187" s="218"/>
      <c r="M187" s="364">
        <f t="shared" si="48"/>
        <v>0.3355800825680344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573">
        <f>'[11]Sch C'!D199</f>
        <v>0</v>
      </c>
      <c r="D188" s="573">
        <f>'[11]Sch C'!F199</f>
        <v>0</v>
      </c>
      <c r="E188" s="171">
        <f t="shared" si="45"/>
        <v>0</v>
      </c>
      <c r="F188" s="665"/>
      <c r="G188" s="171">
        <f t="shared" si="46"/>
        <v>0</v>
      </c>
      <c r="H188" s="172">
        <f t="shared" si="47"/>
        <v>0</v>
      </c>
      <c r="I188" s="337"/>
      <c r="J188" s="223"/>
      <c r="K188" s="218"/>
      <c r="M188" s="364">
        <f t="shared" si="48"/>
        <v>0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573">
        <f>'[11]Sch C'!D200</f>
        <v>0</v>
      </c>
      <c r="D189" s="573">
        <f>'[11]Sch C'!F200</f>
        <v>0</v>
      </c>
      <c r="E189" s="171">
        <f t="shared" si="45"/>
        <v>0</v>
      </c>
      <c r="F189" s="665"/>
      <c r="G189" s="171">
        <f t="shared" si="46"/>
        <v>0</v>
      </c>
      <c r="H189" s="172">
        <f t="shared" si="47"/>
        <v>0</v>
      </c>
      <c r="I189" s="337"/>
      <c r="J189" s="223"/>
      <c r="K189" s="218"/>
      <c r="M189" s="364">
        <f t="shared" si="48"/>
        <v>0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573">
        <f>'[11]Sch C'!D201</f>
        <v>0</v>
      </c>
      <c r="D190" s="573">
        <f>'[11]Sch C'!F201</f>
        <v>0</v>
      </c>
      <c r="E190" s="171">
        <f t="shared" si="45"/>
        <v>0</v>
      </c>
      <c r="F190" s="665"/>
      <c r="G190" s="171">
        <f t="shared" si="46"/>
        <v>0</v>
      </c>
      <c r="H190" s="172">
        <f t="shared" si="47"/>
        <v>0</v>
      </c>
      <c r="I190" s="337"/>
      <c r="J190" s="223"/>
      <c r="K190" s="218"/>
      <c r="M190" s="364">
        <f t="shared" si="48"/>
        <v>0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573">
        <f>'[11]Sch C'!D202</f>
        <v>0</v>
      </c>
      <c r="D191" s="573">
        <f>'[11]Sch C'!F202</f>
        <v>0</v>
      </c>
      <c r="E191" s="171">
        <f t="shared" si="45"/>
        <v>0</v>
      </c>
      <c r="F191" s="665"/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573">
        <f>'[11]Sch C'!D203</f>
        <v>0</v>
      </c>
      <c r="D192" s="573">
        <f>'[11]Sch C'!F203</f>
        <v>0</v>
      </c>
      <c r="E192" s="171">
        <f t="shared" si="45"/>
        <v>0</v>
      </c>
      <c r="F192" s="665"/>
      <c r="G192" s="171">
        <f t="shared" si="46"/>
        <v>0</v>
      </c>
      <c r="H192" s="172">
        <f t="shared" si="47"/>
        <v>0</v>
      </c>
      <c r="I192" s="337"/>
      <c r="J192" s="223"/>
      <c r="K192" s="218"/>
      <c r="M192" s="364">
        <f t="shared" si="48"/>
        <v>0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573">
        <f>'[11]Sch C'!D204</f>
        <v>0</v>
      </c>
      <c r="D193" s="573">
        <f>'[11]Sch C'!F204</f>
        <v>0</v>
      </c>
      <c r="E193" s="171">
        <f t="shared" si="45"/>
        <v>0</v>
      </c>
      <c r="F193" s="665"/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573">
        <f>'[11]Sch C'!D205</f>
        <v>30252</v>
      </c>
      <c r="D194" s="573">
        <f>'[11]Sch C'!F205</f>
        <v>0</v>
      </c>
      <c r="E194" s="171">
        <f t="shared" si="45"/>
        <v>30252</v>
      </c>
      <c r="F194" s="665"/>
      <c r="G194" s="171">
        <f t="shared" si="46"/>
        <v>30252</v>
      </c>
      <c r="H194" s="172">
        <f t="shared" si="47"/>
        <v>9.2181648466331794E-3</v>
      </c>
      <c r="I194" s="337"/>
      <c r="J194" s="223"/>
      <c r="K194" s="218"/>
      <c r="M194" s="364">
        <f t="shared" si="48"/>
        <v>2.548824669306597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573">
        <f>'[11]Sch C'!D206</f>
        <v>0</v>
      </c>
      <c r="D195" s="573">
        <f>'[11]Sch C'!F206</f>
        <v>0</v>
      </c>
      <c r="E195" s="171">
        <f t="shared" si="45"/>
        <v>0</v>
      </c>
      <c r="F195" s="665"/>
      <c r="G195" s="171">
        <f t="shared" si="46"/>
        <v>0</v>
      </c>
      <c r="H195" s="172">
        <f t="shared" si="47"/>
        <v>0</v>
      </c>
      <c r="I195" s="337"/>
      <c r="J195" s="223"/>
      <c r="K195" s="218"/>
      <c r="M195" s="364">
        <f t="shared" si="48"/>
        <v>0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573">
        <f>'[11]Sch C'!D207</f>
        <v>1827</v>
      </c>
      <c r="D196" s="573">
        <f>'[11]Sch C'!F207</f>
        <v>0</v>
      </c>
      <c r="E196" s="171">
        <f t="shared" si="45"/>
        <v>1827</v>
      </c>
      <c r="F196" s="665"/>
      <c r="G196" s="171">
        <f t="shared" si="46"/>
        <v>1827</v>
      </c>
      <c r="H196" s="172">
        <f t="shared" si="47"/>
        <v>5.567098761998816E-4</v>
      </c>
      <c r="I196" s="337"/>
      <c r="J196" s="223"/>
      <c r="K196" s="218"/>
      <c r="M196" s="364">
        <f t="shared" si="48"/>
        <v>0.15393040694245513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573">
        <f>SUM(C164:C196)</f>
        <v>36062</v>
      </c>
      <c r="D197" s="573">
        <f>SUM(D164:D196)</f>
        <v>0</v>
      </c>
      <c r="E197" s="171">
        <f t="shared" ref="E197" si="49">SUM(E164:E196)</f>
        <v>36062</v>
      </c>
      <c r="F197" s="171">
        <f>SUM(F164:F196)</f>
        <v>0</v>
      </c>
      <c r="G197" s="171">
        <f>SUM(G164:G196)</f>
        <v>36062</v>
      </c>
      <c r="H197" s="172">
        <f>IF($G$208=0,0,G197/$G$208)</f>
        <v>1.098854491270943E-2</v>
      </c>
      <c r="I197" s="337"/>
      <c r="J197" s="168"/>
      <c r="K197" s="168"/>
      <c r="M197" s="364">
        <f>G197/G$228</f>
        <v>3.0383351588170866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165"/>
      <c r="G198" s="165"/>
      <c r="H198" s="198"/>
      <c r="I198" s="341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1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573">
        <f>'[11]Sch C'!D211</f>
        <v>36230</v>
      </c>
      <c r="D200" s="573">
        <f>'[11]Sch C'!F211</f>
        <v>0</v>
      </c>
      <c r="E200" s="171">
        <f t="shared" ref="E200:E205" si="50">C200+D200</f>
        <v>36230</v>
      </c>
      <c r="F200" s="171">
        <v>27078</v>
      </c>
      <c r="G200" s="171">
        <f t="shared" ref="G200:G205" si="51">E200+F200</f>
        <v>63308</v>
      </c>
      <c r="H200" s="172">
        <f t="shared" ref="H200:H206" si="52">IF($G$208=0,0,G200/$G$208)</f>
        <v>1.9290743756136892E-2</v>
      </c>
      <c r="I200" s="337"/>
      <c r="J200" s="183">
        <v>1948</v>
      </c>
      <c r="K200" s="183">
        <v>2091</v>
      </c>
      <c r="M200" s="364">
        <f t="shared" ref="M200:M205" si="53">G200/G$228</f>
        <v>5.3338950206420082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573">
        <f>'[11]Sch C'!D212</f>
        <v>16485</v>
      </c>
      <c r="D201" s="573">
        <f>'[11]Sch C'!F212</f>
        <v>0</v>
      </c>
      <c r="E201" s="171">
        <f t="shared" si="50"/>
        <v>16485</v>
      </c>
      <c r="F201" s="171">
        <v>9506</v>
      </c>
      <c r="G201" s="171">
        <f t="shared" si="51"/>
        <v>25991</v>
      </c>
      <c r="H201" s="172">
        <f t="shared" si="52"/>
        <v>7.9197845606519546E-3</v>
      </c>
      <c r="I201" s="337"/>
      <c r="J201" s="168"/>
      <c r="K201" s="168"/>
      <c r="M201" s="364">
        <f t="shared" si="53"/>
        <v>2.1898222259668043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573">
        <f>'[11]Sch C'!D213</f>
        <v>0</v>
      </c>
      <c r="D202" s="573">
        <f>'[11]Sch C'!F213</f>
        <v>0</v>
      </c>
      <c r="E202" s="171">
        <f t="shared" si="50"/>
        <v>0</v>
      </c>
      <c r="F202" s="171"/>
      <c r="G202" s="171">
        <f t="shared" si="51"/>
        <v>0</v>
      </c>
      <c r="H202" s="172">
        <f t="shared" si="52"/>
        <v>0</v>
      </c>
      <c r="I202" s="337"/>
      <c r="J202" s="168"/>
      <c r="K202" s="168"/>
      <c r="M202" s="364">
        <f t="shared" si="53"/>
        <v>0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573">
        <f>'[11]Sch C'!D214</f>
        <v>5169</v>
      </c>
      <c r="D203" s="573">
        <f>'[11]Sch C'!F214</f>
        <v>0</v>
      </c>
      <c r="E203" s="171">
        <f t="shared" si="50"/>
        <v>5169</v>
      </c>
      <c r="F203" s="171"/>
      <c r="G203" s="171">
        <f t="shared" si="51"/>
        <v>5169</v>
      </c>
      <c r="H203" s="172">
        <f t="shared" si="52"/>
        <v>1.5750593049136223E-3</v>
      </c>
      <c r="I203" s="337"/>
      <c r="J203" s="168"/>
      <c r="K203" s="168"/>
      <c r="M203" s="364">
        <f t="shared" si="53"/>
        <v>0.43550425478136323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573">
        <f>'[11]Sch C'!D215</f>
        <v>0</v>
      </c>
      <c r="D204" s="573">
        <f>'[11]Sch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573">
        <f>'[11]Sch C'!D216</f>
        <v>0</v>
      </c>
      <c r="D205" s="573">
        <f>'[11]Sch C'!F216</f>
        <v>0</v>
      </c>
      <c r="E205" s="171">
        <f t="shared" si="50"/>
        <v>0</v>
      </c>
      <c r="F205" s="171"/>
      <c r="G205" s="171">
        <f t="shared" si="51"/>
        <v>0</v>
      </c>
      <c r="H205" s="172">
        <f t="shared" si="52"/>
        <v>0</v>
      </c>
      <c r="I205" s="337"/>
      <c r="J205" s="168"/>
      <c r="K205" s="168"/>
      <c r="M205" s="364">
        <f t="shared" si="53"/>
        <v>0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573">
        <f>SUM(C200:C205)</f>
        <v>57884</v>
      </c>
      <c r="D206" s="573">
        <f>SUM(D200:D205)</f>
        <v>0</v>
      </c>
      <c r="E206" s="171">
        <f t="shared" ref="E206" si="54">SUM(E200:E205)</f>
        <v>57884</v>
      </c>
      <c r="F206" s="171">
        <f>SUM(F200:F205)</f>
        <v>36584</v>
      </c>
      <c r="G206" s="171">
        <f>SUM(G200:G205)</f>
        <v>94468</v>
      </c>
      <c r="H206" s="172">
        <f t="shared" si="52"/>
        <v>2.8785587621702469E-2</v>
      </c>
      <c r="I206" s="337"/>
      <c r="J206" s="168"/>
      <c r="K206" s="168"/>
      <c r="M206" s="364">
        <f>G206/G$228</f>
        <v>7.9592215013901759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573">
        <f>SUM(C25:C206)/2</f>
        <v>3310394.19</v>
      </c>
      <c r="D208" s="573">
        <f>SUM(D25:D206)/2</f>
        <v>-28113</v>
      </c>
      <c r="E208" s="171">
        <f t="shared" ref="E208:F208" si="55">SUM(E25:E206)/2</f>
        <v>3282281.19</v>
      </c>
      <c r="F208" s="171">
        <f t="shared" si="55"/>
        <v>-500</v>
      </c>
      <c r="G208" s="171">
        <f>SUM(G25:G206)/2</f>
        <v>3281781.19</v>
      </c>
      <c r="H208" s="172">
        <f>IF($G$208=0,0,G208/$G$208)</f>
        <v>1</v>
      </c>
      <c r="I208" s="337"/>
      <c r="J208" s="183">
        <f>SUM(J25:J200)</f>
        <v>76708</v>
      </c>
      <c r="K208" s="183">
        <f>SUM(K25:K200)</f>
        <v>81074</v>
      </c>
      <c r="M208" s="364">
        <f>G208/G$228</f>
        <v>276.50022664082906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573">
        <f>'[11]Sch C'!D221</f>
        <v>3310394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573">
        <f>C208-C211</f>
        <v>0.18999999994412065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619"/>
      <c r="D213" s="232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573">
        <f>C21-C208</f>
        <v>-504442.18999999994</v>
      </c>
      <c r="D215" s="573">
        <f>D21-D208</f>
        <v>24063</v>
      </c>
      <c r="E215" s="171">
        <f t="shared" ref="E215:F215" si="56">E21-E208</f>
        <v>-480379.18999999994</v>
      </c>
      <c r="F215" s="171">
        <f t="shared" si="56"/>
        <v>500</v>
      </c>
      <c r="G215" s="171">
        <f>G21-G208</f>
        <v>-479879.18999999994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6"/>
      <c r="J218" s="168"/>
      <c r="K218" s="168"/>
    </row>
    <row r="219" spans="1:14">
      <c r="A219" s="163"/>
      <c r="B219" s="170" t="s">
        <v>509</v>
      </c>
      <c r="C219" s="653">
        <f>'[11]Sch D'!C9</f>
        <v>8501</v>
      </c>
      <c r="D219" s="653"/>
      <c r="E219" s="235">
        <f t="shared" ref="E219:G227" si="57">C219+D219</f>
        <v>8501</v>
      </c>
      <c r="F219" s="461"/>
      <c r="G219" s="235">
        <f t="shared" si="57"/>
        <v>8501</v>
      </c>
      <c r="H219" s="172">
        <f t="shared" ref="H219:H228" si="58">IF($G$228=0,0,G219/$G$228)</f>
        <v>0.71623557165725837</v>
      </c>
      <c r="I219" s="337"/>
      <c r="J219" s="168"/>
      <c r="K219" s="168"/>
    </row>
    <row r="220" spans="1:14">
      <c r="A220" s="163"/>
      <c r="B220" s="170" t="s">
        <v>217</v>
      </c>
      <c r="C220" s="653">
        <f>'[11]Sch D'!D9</f>
        <v>0</v>
      </c>
      <c r="D220" s="653"/>
      <c r="E220" s="235">
        <f t="shared" ref="E220:E227" si="59">C220+D220</f>
        <v>0</v>
      </c>
      <c r="F220" s="461"/>
      <c r="G220" s="235">
        <f t="shared" si="57"/>
        <v>0</v>
      </c>
      <c r="H220" s="172">
        <f t="shared" si="58"/>
        <v>0</v>
      </c>
      <c r="I220" s="337"/>
      <c r="J220" s="168"/>
      <c r="K220" s="168"/>
    </row>
    <row r="221" spans="1:14">
      <c r="A221" s="163"/>
      <c r="B221" s="170" t="s">
        <v>72</v>
      </c>
      <c r="C221" s="653">
        <f>'[11]Sch D'!E9</f>
        <v>0</v>
      </c>
      <c r="D221" s="653"/>
      <c r="E221" s="235">
        <f t="shared" si="59"/>
        <v>0</v>
      </c>
      <c r="F221" s="461"/>
      <c r="G221" s="235">
        <f t="shared" si="57"/>
        <v>0</v>
      </c>
      <c r="H221" s="172">
        <f t="shared" si="58"/>
        <v>0</v>
      </c>
      <c r="I221" s="337"/>
      <c r="J221" s="168"/>
      <c r="K221" s="168"/>
    </row>
    <row r="222" spans="1:14">
      <c r="A222" s="163"/>
      <c r="B222" s="202" t="s">
        <v>334</v>
      </c>
      <c r="C222" s="653">
        <f>'[11]Sch D'!F9</f>
        <v>0</v>
      </c>
      <c r="D222" s="653"/>
      <c r="E222" s="235">
        <f>C222+D222</f>
        <v>0</v>
      </c>
      <c r="F222" s="461"/>
      <c r="G222" s="235">
        <f>E222+F222</f>
        <v>0</v>
      </c>
      <c r="H222" s="172">
        <f t="shared" si="58"/>
        <v>0</v>
      </c>
      <c r="I222" s="337"/>
      <c r="J222" s="168"/>
      <c r="K222" s="168"/>
    </row>
    <row r="223" spans="1:14">
      <c r="A223" s="163"/>
      <c r="B223" s="170" t="s">
        <v>73</v>
      </c>
      <c r="C223" s="653">
        <f>'[11]Sch D'!G9</f>
        <v>0</v>
      </c>
      <c r="D223" s="653"/>
      <c r="E223" s="235">
        <f t="shared" si="59"/>
        <v>0</v>
      </c>
      <c r="F223" s="461"/>
      <c r="G223" s="235">
        <f t="shared" si="57"/>
        <v>0</v>
      </c>
      <c r="H223" s="172">
        <f t="shared" si="58"/>
        <v>0</v>
      </c>
      <c r="I223" s="337"/>
      <c r="J223" s="168"/>
      <c r="K223" s="168"/>
    </row>
    <row r="224" spans="1:14">
      <c r="A224" s="163"/>
      <c r="B224" s="170" t="s">
        <v>74</v>
      </c>
      <c r="C224" s="653">
        <f>'[11]Sch D'!H9</f>
        <v>3056</v>
      </c>
      <c r="D224" s="653"/>
      <c r="E224" s="235">
        <f t="shared" si="59"/>
        <v>3056</v>
      </c>
      <c r="F224" s="461"/>
      <c r="G224" s="235">
        <f t="shared" si="57"/>
        <v>3056</v>
      </c>
      <c r="H224" s="172">
        <f t="shared" si="58"/>
        <v>0.2574774622967394</v>
      </c>
      <c r="I224" s="337"/>
      <c r="J224" s="168"/>
      <c r="K224" s="168"/>
    </row>
    <row r="225" spans="1:11">
      <c r="A225" s="163"/>
      <c r="B225" s="170" t="s">
        <v>236</v>
      </c>
      <c r="C225" s="653">
        <f>'[11]Sch D'!I9</f>
        <v>312</v>
      </c>
      <c r="D225" s="653"/>
      <c r="E225" s="235">
        <f t="shared" si="59"/>
        <v>312</v>
      </c>
      <c r="F225" s="461"/>
      <c r="G225" s="235">
        <f t="shared" si="57"/>
        <v>312</v>
      </c>
      <c r="H225" s="172">
        <f t="shared" si="58"/>
        <v>2.628696604600219E-2</v>
      </c>
      <c r="I225" s="337"/>
      <c r="J225" s="168"/>
      <c r="K225" s="168"/>
    </row>
    <row r="226" spans="1:11">
      <c r="A226" s="163"/>
      <c r="B226" s="170" t="s">
        <v>508</v>
      </c>
      <c r="C226" s="653">
        <f>'[11]Sch D'!J9</f>
        <v>0</v>
      </c>
      <c r="D226" s="653"/>
      <c r="E226" s="235">
        <f>C226+D226</f>
        <v>0</v>
      </c>
      <c r="F226" s="461"/>
      <c r="G226" s="235">
        <f>E226+F226</f>
        <v>0</v>
      </c>
      <c r="H226" s="172">
        <f t="shared" si="58"/>
        <v>0</v>
      </c>
      <c r="I226" s="337"/>
      <c r="J226" s="168"/>
      <c r="K226" s="168"/>
    </row>
    <row r="227" spans="1:11">
      <c r="A227" s="163"/>
      <c r="B227" s="170" t="s">
        <v>179</v>
      </c>
      <c r="C227" s="653">
        <f>'[11]Sch D'!K9</f>
        <v>0</v>
      </c>
      <c r="D227" s="653"/>
      <c r="E227" s="235">
        <f t="shared" si="59"/>
        <v>0</v>
      </c>
      <c r="F227" s="234"/>
      <c r="G227" s="235">
        <f t="shared" si="57"/>
        <v>0</v>
      </c>
      <c r="H227" s="172">
        <f t="shared" si="58"/>
        <v>0</v>
      </c>
      <c r="I227" s="337"/>
      <c r="J227" s="168"/>
      <c r="K227" s="168"/>
    </row>
    <row r="228" spans="1:11" ht="13.5" thickBot="1">
      <c r="A228" s="163"/>
      <c r="B228" s="236" t="s">
        <v>75</v>
      </c>
      <c r="C228" s="653">
        <f>SUM(C219:C227)</f>
        <v>11869</v>
      </c>
      <c r="D228" s="653">
        <f>SUM(D219:D227)</f>
        <v>0</v>
      </c>
      <c r="E228" s="237">
        <f>SUM(E219:E227)</f>
        <v>11869</v>
      </c>
      <c r="F228" s="237">
        <f>SUM(F219:F227)</f>
        <v>0</v>
      </c>
      <c r="G228" s="237">
        <f>SUM(G219:G227)</f>
        <v>11869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620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619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654">
        <f>'[11]Sch D'!N22</f>
        <v>36</v>
      </c>
      <c r="D231" s="574"/>
      <c r="E231" s="235">
        <f>C231+D231</f>
        <v>36</v>
      </c>
      <c r="F231" s="235"/>
      <c r="G231" s="235">
        <f>E231+F231</f>
        <v>36</v>
      </c>
      <c r="H231" s="167"/>
      <c r="J231" s="168"/>
      <c r="K231" s="168"/>
    </row>
    <row r="232" spans="1:11">
      <c r="A232" s="163"/>
      <c r="B232" s="202" t="s">
        <v>290</v>
      </c>
      <c r="C232" s="654">
        <f>'[11]Sch D'!N24</f>
        <v>36</v>
      </c>
      <c r="D232" s="574"/>
      <c r="E232" s="235">
        <f>C232+D232</f>
        <v>36</v>
      </c>
      <c r="F232" s="235"/>
      <c r="G232" s="235">
        <f>E232+F232</f>
        <v>36</v>
      </c>
      <c r="H232" s="167"/>
      <c r="J232" s="168"/>
      <c r="K232" s="168"/>
    </row>
    <row r="233" spans="1:11">
      <c r="A233" s="163"/>
      <c r="B233" s="202" t="s">
        <v>76</v>
      </c>
      <c r="C233" s="654">
        <f>$C$4-$C$3+1</f>
        <v>365</v>
      </c>
      <c r="D233" s="489"/>
      <c r="E233" s="235">
        <f>C233+D233</f>
        <v>365</v>
      </c>
      <c r="F233" s="240"/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621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654">
        <f>'[11]Sch D'!N28</f>
        <v>13140</v>
      </c>
      <c r="D235" s="489"/>
      <c r="E235" s="234">
        <f>E231*E233</f>
        <v>13140</v>
      </c>
      <c r="F235" s="240"/>
      <c r="G235" s="234">
        <f>G231*G233</f>
        <v>13140</v>
      </c>
      <c r="H235" s="167"/>
      <c r="J235" s="168"/>
      <c r="K235" s="168"/>
    </row>
    <row r="236" spans="1:11" ht="26">
      <c r="A236" s="163"/>
      <c r="B236" s="244" t="s">
        <v>336</v>
      </c>
      <c r="C236" s="655">
        <f>'[11]Sch D'!N30</f>
        <v>0.90327245053272454</v>
      </c>
      <c r="D236" s="240"/>
      <c r="E236" s="245">
        <f>E228/E235</f>
        <v>0.90327245053272454</v>
      </c>
      <c r="F236" s="246"/>
      <c r="G236" s="245">
        <f>G228/G235</f>
        <v>0.90327245053272454</v>
      </c>
      <c r="H236" s="167"/>
      <c r="J236" s="168"/>
      <c r="K236" s="168"/>
    </row>
    <row r="237" spans="1:11" ht="26">
      <c r="A237" s="163"/>
      <c r="B237" s="244" t="s">
        <v>337</v>
      </c>
      <c r="C237" s="655">
        <f>'[11]Sch D'!N32</f>
        <v>0.64695585996955862</v>
      </c>
      <c r="D237" s="240"/>
      <c r="E237" s="245">
        <f>(E219+E220)/E235</f>
        <v>0.64695585996955862</v>
      </c>
      <c r="F237" s="246"/>
      <c r="G237" s="245">
        <f>(G219+G220)/G235</f>
        <v>0.64695585996955862</v>
      </c>
      <c r="H237" s="167"/>
      <c r="J237" s="168"/>
      <c r="K237" s="168"/>
    </row>
    <row r="238" spans="1:11" ht="26">
      <c r="A238" s="163"/>
      <c r="B238" s="244" t="s">
        <v>338</v>
      </c>
      <c r="C238" s="655">
        <f>'[11]Sch D'!N34</f>
        <v>0.71623557165725837</v>
      </c>
      <c r="D238" s="240"/>
      <c r="E238" s="245">
        <f>(E237/E236)</f>
        <v>0.71623557165725837</v>
      </c>
      <c r="F238" s="246"/>
      <c r="G238" s="245">
        <f>(G237/G236)</f>
        <v>0.71623557165725837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73">
        <f>'[11]Sch B'!C85</f>
        <v>190.41525423728814</v>
      </c>
    </row>
    <row r="242" spans="2:7">
      <c r="F242" s="142" t="s">
        <v>341</v>
      </c>
      <c r="G242" s="573">
        <f>'[11]Sch B'!E85</f>
        <v>211.12034383954153</v>
      </c>
    </row>
    <row r="243" spans="2:7">
      <c r="F243" s="142" t="s">
        <v>342</v>
      </c>
      <c r="G243" s="573">
        <f>'[11]Sch B'!G85</f>
        <v>209.06371191135733</v>
      </c>
    </row>
    <row r="244" spans="2:7">
      <c r="F244" s="142" t="s">
        <v>343</v>
      </c>
      <c r="G244" s="573">
        <f>'[11]Sch B'!I85</f>
        <v>214.74137931034483</v>
      </c>
    </row>
    <row r="245" spans="2:7">
      <c r="F245" s="142"/>
    </row>
    <row r="246" spans="2:7">
      <c r="B246" s="459" t="s">
        <v>412</v>
      </c>
    </row>
    <row r="247" spans="2:7" ht="15.5">
      <c r="B247"/>
    </row>
    <row r="248" spans="2:7" ht="15.5">
      <c r="B248"/>
    </row>
    <row r="249" spans="2:7" ht="15.5">
      <c r="B249"/>
    </row>
  </sheetData>
  <printOptions horizontalCentered="1"/>
  <pageMargins left="0" right="0" top="0.75" bottom="1" header="0.5" footer="0.5"/>
  <pageSetup scale="70" orientation="portrait" horizontalDpi="300" verticalDpi="300" r:id="rId1"/>
  <headerFooter alignWithMargins="0">
    <oddFooter>&amp;R&amp;D
&amp;T
&amp;F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E28CAB"/>
  </sheetPr>
  <dimension ref="A1:Q249"/>
  <sheetViews>
    <sheetView showGridLines="0" zoomScale="90" zoomScaleNormal="90" workbookViewId="0">
      <pane xSplit="2" topLeftCell="C1" activePane="topRight" state="frozen"/>
      <selection activeCell="N1" sqref="N1"/>
      <selection pane="topRight" activeCell="N1" sqref="N1"/>
    </sheetView>
  </sheetViews>
  <sheetFormatPr defaultColWidth="8.6640625" defaultRowHeight="13"/>
  <cols>
    <col min="1" max="1" width="8.58203125" style="142" customWidth="1"/>
    <col min="2" max="2" width="45.91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478"/>
      <c r="E1" s="478"/>
      <c r="F1" s="478"/>
      <c r="G1" s="478"/>
      <c r="H1" s="478"/>
      <c r="I1" s="479"/>
    </row>
    <row r="2" spans="1:14" ht="23">
      <c r="B2" s="143" t="s">
        <v>189</v>
      </c>
      <c r="C2" s="247" t="s">
        <v>460</v>
      </c>
      <c r="D2" s="247"/>
      <c r="E2" s="144"/>
    </row>
    <row r="3" spans="1:14">
      <c r="A3" s="145"/>
      <c r="B3" s="140" t="s">
        <v>79</v>
      </c>
      <c r="C3" s="495">
        <v>41821</v>
      </c>
      <c r="D3" s="144"/>
      <c r="E3" s="147"/>
      <c r="F3" s="140" t="s">
        <v>656</v>
      </c>
    </row>
    <row r="4" spans="1:14">
      <c r="A4" s="145"/>
      <c r="B4" s="148" t="s">
        <v>80</v>
      </c>
      <c r="C4" s="495">
        <v>42185</v>
      </c>
      <c r="D4" s="144"/>
      <c r="E4" s="149"/>
      <c r="G4" s="150"/>
    </row>
    <row r="5" spans="1:14">
      <c r="A5" s="145"/>
      <c r="B5" s="148"/>
      <c r="C5" s="151"/>
      <c r="D5" s="144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144"/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409</v>
      </c>
      <c r="C11" s="573">
        <f>'[12]Sch B'!E10</f>
        <v>241368</v>
      </c>
      <c r="D11" s="573">
        <f>'[12]Sch B'!G10</f>
        <v>0</v>
      </c>
      <c r="E11" s="171">
        <f>C11+D11</f>
        <v>241368</v>
      </c>
      <c r="F11" s="171"/>
      <c r="G11" s="171">
        <f t="shared" ref="G11:G20" si="0">E11+F11</f>
        <v>241368</v>
      </c>
      <c r="H11" s="172">
        <f t="shared" ref="H11:H21" si="1">IF($G$21=0,0,G11/$G$21)</f>
        <v>2.2288915196702206E-2</v>
      </c>
      <c r="I11" s="458" t="s">
        <v>408</v>
      </c>
      <c r="J11" s="368" t="s">
        <v>344</v>
      </c>
      <c r="K11" s="369">
        <f>G21</f>
        <v>10829060</v>
      </c>
      <c r="M11" s="359">
        <f>IFERROR(G11/G219,0)</f>
        <v>185.81062355658199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573">
        <f>'[12]Sch B'!E15</f>
        <v>0</v>
      </c>
      <c r="D12" s="573">
        <f>'[12]Sch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J12" s="370" t="s">
        <v>345</v>
      </c>
      <c r="K12" s="371">
        <f>G208</f>
        <v>9391392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573">
        <f>'[12]Sch B'!E21</f>
        <v>2288927</v>
      </c>
      <c r="D13" s="573">
        <f>'[12]Sch B'!G21</f>
        <v>0</v>
      </c>
      <c r="E13" s="171">
        <f t="shared" si="2"/>
        <v>2288927</v>
      </c>
      <c r="F13" s="171"/>
      <c r="G13" s="171">
        <f t="shared" si="0"/>
        <v>2288927</v>
      </c>
      <c r="H13" s="172">
        <f t="shared" si="1"/>
        <v>0.21136894615045074</v>
      </c>
      <c r="J13" s="370" t="s">
        <v>346</v>
      </c>
      <c r="K13" s="371">
        <f>G228</f>
        <v>36735</v>
      </c>
      <c r="M13" s="359">
        <f t="shared" si="3"/>
        <v>521.99019384264534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573">
        <f>'[12]Sch B'!E27</f>
        <v>633989</v>
      </c>
      <c r="D14" s="573">
        <f>'[12]Sch B'!G27</f>
        <v>0</v>
      </c>
      <c r="E14" s="171">
        <f t="shared" si="2"/>
        <v>633989</v>
      </c>
      <c r="F14" s="175"/>
      <c r="G14" s="175">
        <f>E14+F14</f>
        <v>633989</v>
      </c>
      <c r="H14" s="176">
        <f t="shared" si="1"/>
        <v>5.8545155350510573E-2</v>
      </c>
      <c r="J14" s="370" t="s">
        <v>347</v>
      </c>
      <c r="K14" s="371">
        <f>G231</f>
        <v>108</v>
      </c>
      <c r="M14" s="359">
        <f t="shared" si="3"/>
        <v>722.90649942987454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573">
        <f>'[12]Sch B'!E32</f>
        <v>5360539</v>
      </c>
      <c r="D15" s="573">
        <f>'[12]Sch B'!G32</f>
        <v>-2818766</v>
      </c>
      <c r="E15" s="171">
        <f t="shared" si="2"/>
        <v>2541773</v>
      </c>
      <c r="F15" s="171"/>
      <c r="G15" s="171">
        <f t="shared" si="0"/>
        <v>2541773</v>
      </c>
      <c r="H15" s="172">
        <f t="shared" si="1"/>
        <v>0.23471778713941929</v>
      </c>
      <c r="J15" s="370" t="s">
        <v>348</v>
      </c>
      <c r="K15" s="371">
        <f>G235</f>
        <v>39420</v>
      </c>
      <c r="M15" s="359">
        <f t="shared" si="3"/>
        <v>385.81860959319977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573">
        <f>'[12]Sch B'!E37</f>
        <v>2161514</v>
      </c>
      <c r="D16" s="573">
        <f>'[12]Sch B'!G37</f>
        <v>2818766</v>
      </c>
      <c r="E16" s="171">
        <f t="shared" si="2"/>
        <v>4980280</v>
      </c>
      <c r="F16" s="171"/>
      <c r="G16" s="171">
        <f t="shared" si="0"/>
        <v>4980280</v>
      </c>
      <c r="H16" s="172">
        <f t="shared" si="1"/>
        <v>0.45989956653670772</v>
      </c>
      <c r="J16" s="372"/>
      <c r="K16" s="371"/>
      <c r="M16" s="359">
        <f t="shared" si="3"/>
        <v>218.59632181890007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410</v>
      </c>
      <c r="C17" s="573">
        <f>'[12]Sch B'!E42</f>
        <v>94717</v>
      </c>
      <c r="D17" s="573">
        <f>'[12]Sch B'!G42</f>
        <v>0</v>
      </c>
      <c r="E17" s="171">
        <f t="shared" si="2"/>
        <v>94717</v>
      </c>
      <c r="F17" s="171"/>
      <c r="G17" s="171">
        <f>E17+F17</f>
        <v>94717</v>
      </c>
      <c r="H17" s="172">
        <f t="shared" si="1"/>
        <v>8.7465578729825112E-3</v>
      </c>
      <c r="I17" s="458" t="s">
        <v>408</v>
      </c>
      <c r="J17" s="370" t="s">
        <v>156</v>
      </c>
      <c r="K17" s="371">
        <f>J208</f>
        <v>297008</v>
      </c>
      <c r="M17" s="359">
        <f t="shared" si="3"/>
        <v>214.29185520361992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411</v>
      </c>
      <c r="C18" s="573">
        <f>'[12]Sch B'!E47</f>
        <v>0</v>
      </c>
      <c r="D18" s="573">
        <f>'[12]Sch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458" t="s">
        <v>408</v>
      </c>
      <c r="J18" s="373" t="s">
        <v>252</v>
      </c>
      <c r="K18" s="374">
        <f>K208</f>
        <v>324184</v>
      </c>
      <c r="M18" s="359">
        <f t="shared" si="3"/>
        <v>0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573">
        <f>'[12]Sch B'!E52</f>
        <v>42197</v>
      </c>
      <c r="D19" s="573">
        <f>'[12]Sch B'!G52</f>
        <v>0</v>
      </c>
      <c r="E19" s="171">
        <f t="shared" si="2"/>
        <v>42197</v>
      </c>
      <c r="F19" s="171"/>
      <c r="G19" s="171">
        <f t="shared" si="0"/>
        <v>42197</v>
      </c>
      <c r="H19" s="172">
        <f t="shared" si="1"/>
        <v>3.8966447687980303E-3</v>
      </c>
      <c r="I19" s="337"/>
      <c r="J19" s="168"/>
      <c r="K19" s="168"/>
      <c r="M19" s="359">
        <f t="shared" si="3"/>
        <v>116.88919667590028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573">
        <f>'[12]Sch B'!E67</f>
        <v>12843</v>
      </c>
      <c r="D20" s="573">
        <f>'[12]Sch B'!G67</f>
        <v>-7034</v>
      </c>
      <c r="E20" s="171">
        <f t="shared" si="2"/>
        <v>5809</v>
      </c>
      <c r="F20" s="171"/>
      <c r="G20" s="171">
        <f t="shared" si="0"/>
        <v>5809</v>
      </c>
      <c r="H20" s="172">
        <f t="shared" si="1"/>
        <v>5.3642698442893475E-4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573">
        <f>SUM(C11:C20)</f>
        <v>10836094</v>
      </c>
      <c r="D21" s="573">
        <f>SUM(D11:D20)</f>
        <v>-7034</v>
      </c>
      <c r="E21" s="171">
        <f>SUM(E11:E20)</f>
        <v>10829060</v>
      </c>
      <c r="F21" s="171">
        <f>SUM(F11:F20)</f>
        <v>0</v>
      </c>
      <c r="G21" s="171">
        <f>SUM(G11:G20)</f>
        <v>10829060</v>
      </c>
      <c r="H21" s="172">
        <f t="shared" si="1"/>
        <v>1</v>
      </c>
      <c r="I21" s="337"/>
      <c r="J21" s="168"/>
      <c r="K21" s="168"/>
      <c r="M21" s="359">
        <f>IFERROR(G21/G228,0)</f>
        <v>294.78862120593442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4">
      <c r="A24" s="181" t="s">
        <v>161</v>
      </c>
      <c r="B24" s="148" t="s">
        <v>12</v>
      </c>
      <c r="M24" s="363"/>
      <c r="N24" s="363"/>
    </row>
    <row r="25" spans="1:14" s="167" customFormat="1">
      <c r="A25" s="169" t="s">
        <v>83</v>
      </c>
      <c r="B25" s="170" t="s">
        <v>14</v>
      </c>
      <c r="C25" s="573">
        <f>'[12]Sch C'!D10</f>
        <v>0</v>
      </c>
      <c r="D25" s="573">
        <f>'[12]Sch C'!F10</f>
        <v>124898</v>
      </c>
      <c r="E25" s="171">
        <f t="shared" ref="E25:E60" si="4">C25+D25</f>
        <v>124898</v>
      </c>
      <c r="F25" s="171"/>
      <c r="G25" s="182">
        <f>E25+F25</f>
        <v>124898</v>
      </c>
      <c r="H25" s="172">
        <f>IF($G$208=0,0,G25/$G$208)</f>
        <v>1.329919994820789E-2</v>
      </c>
      <c r="I25" s="337"/>
      <c r="J25" s="183">
        <v>1944</v>
      </c>
      <c r="K25" s="183">
        <v>2136</v>
      </c>
      <c r="M25" s="359">
        <f>G25/G$228</f>
        <v>3.3999727780046278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573">
        <f>'[12]Sch C'!D11</f>
        <v>0</v>
      </c>
      <c r="D26" s="573">
        <f>'[12]Sch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414</v>
      </c>
      <c r="C27" s="573">
        <f>'[12]Sch C'!D12</f>
        <v>361682</v>
      </c>
      <c r="D27" s="573">
        <f>'[12]Sch C'!F12</f>
        <v>-124898</v>
      </c>
      <c r="E27" s="171">
        <f t="shared" si="4"/>
        <v>236784</v>
      </c>
      <c r="F27" s="171"/>
      <c r="G27" s="171">
        <f t="shared" si="5"/>
        <v>236784</v>
      </c>
      <c r="H27" s="172">
        <f t="shared" si="6"/>
        <v>2.5212875790937062E-2</v>
      </c>
      <c r="I27" s="337"/>
      <c r="J27" s="185">
        <v>12514</v>
      </c>
      <c r="K27" s="185">
        <v>13252</v>
      </c>
      <c r="M27" s="359">
        <f t="shared" si="7"/>
        <v>6.4457329522253985</v>
      </c>
      <c r="N27" s="359">
        <f>SUMMARY!J30</f>
        <v>6.5653829268620019</v>
      </c>
    </row>
    <row r="28" spans="1:14" s="167" customFormat="1">
      <c r="A28" s="169" t="s">
        <v>86</v>
      </c>
      <c r="B28" s="474" t="s">
        <v>426</v>
      </c>
      <c r="C28" s="573">
        <f>'[12]Sch C'!D13</f>
        <v>95622</v>
      </c>
      <c r="D28" s="573">
        <f>'[12]Sch C'!F13</f>
        <v>0</v>
      </c>
      <c r="E28" s="171">
        <f t="shared" si="4"/>
        <v>95622</v>
      </c>
      <c r="F28" s="171"/>
      <c r="G28" s="171">
        <f t="shared" si="5"/>
        <v>95622</v>
      </c>
      <c r="H28" s="172">
        <f t="shared" si="6"/>
        <v>1.0181877191368436E-2</v>
      </c>
      <c r="I28" s="337"/>
      <c r="J28" s="168"/>
      <c r="K28" s="168"/>
      <c r="M28" s="359">
        <f t="shared" si="7"/>
        <v>2.603021641486321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573">
        <f>'[12]Sch C'!D14</f>
        <v>0</v>
      </c>
      <c r="D29" s="573">
        <f>'[12]Sch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573">
        <f>'[12]Sch C'!D15</f>
        <v>0</v>
      </c>
      <c r="D30" s="573">
        <f>'[12]Sch C'!F15</f>
        <v>541864</v>
      </c>
      <c r="E30" s="171">
        <f t="shared" si="4"/>
        <v>541864</v>
      </c>
      <c r="F30" s="171"/>
      <c r="G30" s="171">
        <f t="shared" si="5"/>
        <v>541864</v>
      </c>
      <c r="H30" s="172">
        <f t="shared" si="6"/>
        <v>5.7697942967347121E-2</v>
      </c>
      <c r="I30" s="337"/>
      <c r="J30" s="168"/>
      <c r="K30" s="168"/>
      <c r="M30" s="359">
        <f t="shared" si="7"/>
        <v>14.750619300394719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573">
        <f>'[12]Sch C'!D16</f>
        <v>541864</v>
      </c>
      <c r="D31" s="573">
        <f>'[12]Sch C'!F16</f>
        <v>-541864</v>
      </c>
      <c r="E31" s="171">
        <f t="shared" si="4"/>
        <v>0</v>
      </c>
      <c r="F31" s="171"/>
      <c r="G31" s="171">
        <f t="shared" si="5"/>
        <v>0</v>
      </c>
      <c r="H31" s="172">
        <f t="shared" si="6"/>
        <v>0</v>
      </c>
      <c r="I31" s="337"/>
      <c r="J31" s="168"/>
      <c r="K31" s="168"/>
      <c r="M31" s="359">
        <f t="shared" si="7"/>
        <v>0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573">
        <f>'[12]Sch C'!D17</f>
        <v>2339</v>
      </c>
      <c r="D32" s="573">
        <f>'[12]Sch C'!F17</f>
        <v>-2339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7"/>
      <c r="J32" s="168"/>
      <c r="K32" s="168"/>
      <c r="M32" s="359">
        <f t="shared" si="7"/>
        <v>0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573">
        <f>'[12]Sch C'!D18</f>
        <v>69665</v>
      </c>
      <c r="D33" s="573">
        <f>'[12]Sch C'!F18</f>
        <v>0</v>
      </c>
      <c r="E33" s="171">
        <f t="shared" si="4"/>
        <v>69665</v>
      </c>
      <c r="F33" s="171"/>
      <c r="G33" s="171">
        <f t="shared" si="5"/>
        <v>69665</v>
      </c>
      <c r="H33" s="172">
        <f t="shared" si="6"/>
        <v>7.4179631730844587E-3</v>
      </c>
      <c r="I33" s="337"/>
      <c r="J33" s="168"/>
      <c r="K33" s="168"/>
      <c r="M33" s="359">
        <f t="shared" si="7"/>
        <v>1.8964203076085477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573">
        <f>'[12]Sch C'!D19</f>
        <v>5238</v>
      </c>
      <c r="D34" s="573">
        <f>'[12]Sch C'!F19</f>
        <v>0</v>
      </c>
      <c r="E34" s="171">
        <f t="shared" si="4"/>
        <v>5238</v>
      </c>
      <c r="F34" s="171"/>
      <c r="G34" s="171">
        <f t="shared" si="5"/>
        <v>5238</v>
      </c>
      <c r="H34" s="172">
        <f t="shared" si="6"/>
        <v>5.5774479438191907E-4</v>
      </c>
      <c r="I34" s="337"/>
      <c r="J34" s="168"/>
      <c r="K34" s="168"/>
      <c r="M34" s="359">
        <f t="shared" si="7"/>
        <v>0.14258881175990201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573">
        <f>'[12]Sch C'!D20</f>
        <v>40209</v>
      </c>
      <c r="D35" s="573">
        <f>'[12]Sch C'!F20</f>
        <v>0</v>
      </c>
      <c r="E35" s="171">
        <f t="shared" si="4"/>
        <v>40209</v>
      </c>
      <c r="F35" s="171"/>
      <c r="G35" s="171">
        <f t="shared" si="5"/>
        <v>40209</v>
      </c>
      <c r="H35" s="172">
        <f t="shared" si="6"/>
        <v>4.2814739284655562E-3</v>
      </c>
      <c r="I35" s="337"/>
      <c r="J35" s="168"/>
      <c r="K35" s="168"/>
      <c r="M35" s="359">
        <f t="shared" si="7"/>
        <v>1.094569211923234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573">
        <f>'[12]Sch C'!D21</f>
        <v>6248</v>
      </c>
      <c r="D36" s="573">
        <f>'[12]Sch C'!F21</f>
        <v>0</v>
      </c>
      <c r="E36" s="171">
        <f t="shared" si="4"/>
        <v>6248</v>
      </c>
      <c r="F36" s="171"/>
      <c r="G36" s="171">
        <f t="shared" si="5"/>
        <v>6248</v>
      </c>
      <c r="H36" s="172">
        <f t="shared" si="6"/>
        <v>6.6529008692215168E-4</v>
      </c>
      <c r="I36" s="337"/>
      <c r="J36" s="168"/>
      <c r="K36" s="168"/>
      <c r="M36" s="359">
        <f t="shared" si="7"/>
        <v>0.17008302708588541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573">
        <f>'[12]Sch C'!D22</f>
        <v>0</v>
      </c>
      <c r="D37" s="573">
        <f>'[12]Sch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573">
        <f>'[12]Sch C'!D23</f>
        <v>19837</v>
      </c>
      <c r="D38" s="573">
        <f>'[12]Sch C'!F23</f>
        <v>0</v>
      </c>
      <c r="E38" s="171">
        <f t="shared" si="4"/>
        <v>19837</v>
      </c>
      <c r="F38" s="171"/>
      <c r="G38" s="171">
        <f t="shared" si="5"/>
        <v>19837</v>
      </c>
      <c r="H38" s="172">
        <f t="shared" si="6"/>
        <v>2.1122534337827664E-3</v>
      </c>
      <c r="I38" s="337"/>
      <c r="J38" s="168"/>
      <c r="K38" s="168"/>
      <c r="M38" s="359">
        <f t="shared" si="7"/>
        <v>0.54000272219953727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573">
        <f>'[12]Sch C'!D24</f>
        <v>4342</v>
      </c>
      <c r="D39" s="573">
        <f>'[12]Sch C'!F24</f>
        <v>0</v>
      </c>
      <c r="E39" s="171">
        <f t="shared" si="4"/>
        <v>4342</v>
      </c>
      <c r="F39" s="171"/>
      <c r="G39" s="171">
        <f t="shared" si="5"/>
        <v>4342</v>
      </c>
      <c r="H39" s="172">
        <f t="shared" si="6"/>
        <v>4.6233827743533655E-4</v>
      </c>
      <c r="I39" s="337"/>
      <c r="J39" s="168"/>
      <c r="K39" s="168"/>
      <c r="M39" s="359">
        <f t="shared" si="7"/>
        <v>0.11819790390635633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573">
        <f>'[12]Sch C'!D25</f>
        <v>0</v>
      </c>
      <c r="D40" s="573">
        <f>'[12]Sch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337"/>
      <c r="J40" s="168"/>
      <c r="K40" s="168"/>
      <c r="M40" s="359">
        <f t="shared" si="7"/>
        <v>0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573">
        <f>'[12]Sch C'!D26</f>
        <v>0</v>
      </c>
      <c r="D41" s="573">
        <f>'[12]Sch C'!F26</f>
        <v>0</v>
      </c>
      <c r="E41" s="171">
        <f t="shared" si="4"/>
        <v>0</v>
      </c>
      <c r="F41" s="171"/>
      <c r="G41" s="171">
        <f t="shared" si="5"/>
        <v>0</v>
      </c>
      <c r="H41" s="172">
        <f t="shared" si="6"/>
        <v>0</v>
      </c>
      <c r="I41" s="337"/>
      <c r="J41" s="168"/>
      <c r="K41" s="168"/>
      <c r="M41" s="359">
        <f t="shared" si="7"/>
        <v>0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573">
        <f>'[12]Sch C'!D27</f>
        <v>825</v>
      </c>
      <c r="D42" s="573">
        <f>'[12]Sch C'!F27</f>
        <v>0</v>
      </c>
      <c r="E42" s="171">
        <f t="shared" si="4"/>
        <v>825</v>
      </c>
      <c r="F42" s="171"/>
      <c r="G42" s="171">
        <f t="shared" si="5"/>
        <v>825</v>
      </c>
      <c r="H42" s="172">
        <f t="shared" si="6"/>
        <v>8.784640232246721E-5</v>
      </c>
      <c r="I42" s="337"/>
      <c r="J42" s="168"/>
      <c r="K42" s="168"/>
      <c r="M42" s="359">
        <f t="shared" si="7"/>
        <v>2.2458146182115148E-2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573">
        <f>'[12]Sch C'!D28</f>
        <v>0</v>
      </c>
      <c r="D43" s="573">
        <f>'[12]Sch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573">
        <f>'[12]Sch C'!D29</f>
        <v>163121</v>
      </c>
      <c r="D44" s="573">
        <f>'[12]Sch C'!F29</f>
        <v>-163121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573">
        <f>'[12]Sch C'!D30</f>
        <v>0</v>
      </c>
      <c r="D45" s="573">
        <f>'[12]Sch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573">
        <f>'[12]Sch C'!D31</f>
        <v>0</v>
      </c>
      <c r="D46" s="573">
        <f>'[12]Sch C'!F31</f>
        <v>0</v>
      </c>
      <c r="E46" s="171">
        <f t="shared" si="4"/>
        <v>0</v>
      </c>
      <c r="F46" s="171"/>
      <c r="G46" s="171">
        <f t="shared" si="5"/>
        <v>0</v>
      </c>
      <c r="H46" s="172">
        <f t="shared" si="6"/>
        <v>0</v>
      </c>
      <c r="I46" s="337"/>
      <c r="J46" s="168"/>
      <c r="K46" s="168"/>
      <c r="M46" s="359">
        <f t="shared" si="7"/>
        <v>0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573">
        <f>'[12]Sch C'!D32</f>
        <v>83632</v>
      </c>
      <c r="D47" s="573">
        <f>'[12]Sch C'!F32</f>
        <v>0</v>
      </c>
      <c r="E47" s="171">
        <f t="shared" si="4"/>
        <v>83632</v>
      </c>
      <c r="F47" s="171"/>
      <c r="G47" s="171">
        <f t="shared" si="5"/>
        <v>83632</v>
      </c>
      <c r="H47" s="172">
        <f t="shared" si="6"/>
        <v>8.9051761442819118E-3</v>
      </c>
      <c r="I47" s="337"/>
      <c r="J47" s="168"/>
      <c r="K47" s="168"/>
      <c r="M47" s="359">
        <f t="shared" si="7"/>
        <v>2.2766299169729143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573">
        <f>'[12]Sch C'!D33</f>
        <v>0</v>
      </c>
      <c r="D48" s="573">
        <f>'[12]Sch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573">
        <f>'[12]Sch C'!D34</f>
        <v>54</v>
      </c>
      <c r="D49" s="573">
        <f>'[12]Sch C'!F34</f>
        <v>0</v>
      </c>
      <c r="E49" s="171">
        <f t="shared" si="4"/>
        <v>54</v>
      </c>
      <c r="F49" s="171"/>
      <c r="G49" s="171">
        <f t="shared" si="5"/>
        <v>54</v>
      </c>
      <c r="H49" s="172">
        <f t="shared" si="6"/>
        <v>5.7499463338342174E-6</v>
      </c>
      <c r="I49" s="337"/>
      <c r="J49" s="168"/>
      <c r="K49" s="168"/>
      <c r="M49" s="359">
        <f t="shared" si="7"/>
        <v>1.4699877501020825E-3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573">
        <f>'[12]Sch C'!D35</f>
        <v>0</v>
      </c>
      <c r="D50" s="573">
        <f>'[12]Sch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573">
        <f>'[12]Sch C'!D36</f>
        <v>25235</v>
      </c>
      <c r="D51" s="573">
        <f>'[12]Sch C'!F36</f>
        <v>0</v>
      </c>
      <c r="E51" s="171">
        <f t="shared" si="4"/>
        <v>25235</v>
      </c>
      <c r="F51" s="171"/>
      <c r="G51" s="171">
        <f t="shared" si="5"/>
        <v>25235</v>
      </c>
      <c r="H51" s="172">
        <f t="shared" si="6"/>
        <v>2.6870351061908607E-3</v>
      </c>
      <c r="I51" s="337"/>
      <c r="J51" s="183">
        <v>2265</v>
      </c>
      <c r="K51" s="183">
        <v>2366</v>
      </c>
      <c r="M51" s="359">
        <f t="shared" si="7"/>
        <v>0.68694705321900096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573">
        <f>'[12]Sch C'!D37</f>
        <v>3112</v>
      </c>
      <c r="D52" s="573">
        <f>'[12]Sch C'!F37</f>
        <v>0</v>
      </c>
      <c r="E52" s="171">
        <f t="shared" si="4"/>
        <v>3112</v>
      </c>
      <c r="F52" s="171"/>
      <c r="G52" s="171">
        <f t="shared" si="5"/>
        <v>3112</v>
      </c>
      <c r="H52" s="172">
        <f t="shared" si="6"/>
        <v>3.3136727760911267E-4</v>
      </c>
      <c r="I52" s="337"/>
      <c r="J52" s="168"/>
      <c r="K52" s="168"/>
      <c r="M52" s="359">
        <f t="shared" si="7"/>
        <v>8.471484959847557E-2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573">
        <f>'[12]Sch C'!D38</f>
        <v>3273</v>
      </c>
      <c r="D53" s="573">
        <f>'[12]Sch C'!F38</f>
        <v>-3273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7"/>
      <c r="J53" s="168"/>
      <c r="K53" s="168"/>
      <c r="M53" s="359">
        <f t="shared" si="7"/>
        <v>0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573">
        <f>'[12]Sch C'!D39</f>
        <v>8265</v>
      </c>
      <c r="D54" s="573">
        <f>'[12]Sch C'!F39</f>
        <v>0</v>
      </c>
      <c r="E54" s="171">
        <f t="shared" si="4"/>
        <v>8265</v>
      </c>
      <c r="F54" s="171"/>
      <c r="G54" s="171">
        <f t="shared" si="5"/>
        <v>8265</v>
      </c>
      <c r="H54" s="172">
        <f t="shared" si="6"/>
        <v>8.8006123053962603E-4</v>
      </c>
      <c r="I54" s="337"/>
      <c r="J54" s="168"/>
      <c r="K54" s="168"/>
      <c r="M54" s="359">
        <f t="shared" si="7"/>
        <v>0.22498979175173539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573">
        <f>'[12]Sch C'!D40</f>
        <v>10072</v>
      </c>
      <c r="D55" s="573">
        <f>'[12]Sch C'!F40</f>
        <v>-10072</v>
      </c>
      <c r="E55" s="171">
        <f t="shared" si="4"/>
        <v>0</v>
      </c>
      <c r="F55" s="171"/>
      <c r="G55" s="171">
        <f t="shared" si="5"/>
        <v>0</v>
      </c>
      <c r="H55" s="172">
        <f t="shared" si="6"/>
        <v>0</v>
      </c>
      <c r="I55" s="337"/>
      <c r="J55" s="168"/>
      <c r="K55" s="168"/>
      <c r="M55" s="359">
        <f t="shared" si="7"/>
        <v>0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573">
        <f>'[12]Sch C'!D41</f>
        <v>116364</v>
      </c>
      <c r="D56" s="573">
        <f>'[12]Sch C'!F41</f>
        <v>0</v>
      </c>
      <c r="E56" s="171">
        <f t="shared" si="4"/>
        <v>116364</v>
      </c>
      <c r="F56" s="171"/>
      <c r="G56" s="171">
        <f t="shared" si="5"/>
        <v>116364</v>
      </c>
      <c r="H56" s="172">
        <f t="shared" si="6"/>
        <v>1.2390495466486757E-2</v>
      </c>
      <c r="I56" s="337"/>
      <c r="J56" s="168"/>
      <c r="K56" s="168"/>
      <c r="M56" s="359">
        <f t="shared" si="7"/>
        <v>3.167660269497754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573">
        <f>'[12]Sch C'!D42</f>
        <v>793</v>
      </c>
      <c r="D57" s="573">
        <f>'[12]Sch C'!F42</f>
        <v>0</v>
      </c>
      <c r="E57" s="171">
        <f t="shared" si="4"/>
        <v>793</v>
      </c>
      <c r="F57" s="171"/>
      <c r="G57" s="171">
        <f t="shared" si="5"/>
        <v>793</v>
      </c>
      <c r="H57" s="172">
        <f t="shared" si="6"/>
        <v>8.4439026717232114E-5</v>
      </c>
      <c r="I57" s="337"/>
      <c r="J57" s="168"/>
      <c r="K57" s="168"/>
      <c r="M57" s="359">
        <f t="shared" si="7"/>
        <v>2.1587042330202803E-2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573">
        <f>'[12]Sch C'!D43</f>
        <v>21144</v>
      </c>
      <c r="D58" s="573">
        <f>'[12]Sch C'!F43</f>
        <v>-21144</v>
      </c>
      <c r="E58" s="171">
        <f t="shared" si="4"/>
        <v>0</v>
      </c>
      <c r="F58" s="171"/>
      <c r="G58" s="171">
        <f t="shared" si="5"/>
        <v>0</v>
      </c>
      <c r="H58" s="172">
        <f t="shared" si="6"/>
        <v>0</v>
      </c>
      <c r="I58" s="337"/>
      <c r="J58" s="168"/>
      <c r="K58" s="168"/>
      <c r="M58" s="359">
        <f t="shared" si="7"/>
        <v>0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573">
        <f>'[12]Sch C'!D44</f>
        <v>-2000</v>
      </c>
      <c r="D59" s="573">
        <f>'[12]Sch C'!F44</f>
        <v>0</v>
      </c>
      <c r="E59" s="171">
        <f t="shared" si="4"/>
        <v>-2000</v>
      </c>
      <c r="F59" s="171"/>
      <c r="G59" s="171">
        <f t="shared" si="5"/>
        <v>-2000</v>
      </c>
      <c r="H59" s="172">
        <f t="shared" si="6"/>
        <v>-2.1296097532719324E-4</v>
      </c>
      <c r="I59" s="337"/>
      <c r="J59" s="168"/>
      <c r="K59" s="168"/>
      <c r="M59" s="359">
        <f t="shared" si="7"/>
        <v>-5.4443990744521574E-2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573">
        <f>'[12]Sch C'!D45</f>
        <v>410968</v>
      </c>
      <c r="D60" s="573">
        <f>'[12]Sch C'!F45</f>
        <v>-374091</v>
      </c>
      <c r="E60" s="171">
        <f t="shared" si="4"/>
        <v>36877</v>
      </c>
      <c r="F60" s="171"/>
      <c r="G60" s="171">
        <f t="shared" si="5"/>
        <v>36877</v>
      </c>
      <c r="H60" s="172">
        <f t="shared" si="6"/>
        <v>3.9266809435704528E-3</v>
      </c>
      <c r="I60" s="337"/>
      <c r="J60" s="168"/>
      <c r="K60" s="168"/>
      <c r="M60" s="359">
        <f t="shared" si="7"/>
        <v>1.0038655233428611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573">
        <f>SUM(C25:C60)</f>
        <v>1991904</v>
      </c>
      <c r="D61" s="573">
        <f>SUM(D25:D60)</f>
        <v>-574040</v>
      </c>
      <c r="E61" s="171">
        <f t="shared" ref="E61" si="8">SUM(E25:E60)</f>
        <v>1417864</v>
      </c>
      <c r="F61" s="171">
        <f>SUM(F25:F60)</f>
        <v>0</v>
      </c>
      <c r="G61" s="171">
        <f>SUM(G25:G60)</f>
        <v>1417864</v>
      </c>
      <c r="H61" s="186">
        <f t="shared" si="6"/>
        <v>0.15097485016065776</v>
      </c>
      <c r="I61" s="339"/>
      <c r="J61" s="168"/>
      <c r="K61" s="168"/>
      <c r="M61" s="364">
        <f>G61/G$228</f>
        <v>38.597087246495171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I62" s="340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573">
        <f>'[12]Sch C'!D57</f>
        <v>0</v>
      </c>
      <c r="D64" s="573">
        <f>'[12]Sch C'!F57</f>
        <v>0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I64" s="337"/>
      <c r="J64" s="190"/>
      <c r="K64" s="168"/>
      <c r="M64" s="359">
        <f t="shared" ref="M64:M79" si="12">G64/G$228</f>
        <v>0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573">
        <f>'[12]Sch C'!D58</f>
        <v>733</v>
      </c>
      <c r="D65" s="573">
        <f>'[12]Sch C'!F58</f>
        <v>0</v>
      </c>
      <c r="E65" s="171">
        <f t="shared" si="9"/>
        <v>733</v>
      </c>
      <c r="F65" s="171"/>
      <c r="G65" s="171">
        <f t="shared" si="10"/>
        <v>733</v>
      </c>
      <c r="H65" s="172">
        <f t="shared" si="11"/>
        <v>7.805019745741633E-5</v>
      </c>
      <c r="I65" s="337"/>
      <c r="J65" s="190"/>
      <c r="K65" s="168"/>
      <c r="M65" s="359">
        <f t="shared" si="12"/>
        <v>1.9953722607867156E-2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573">
        <f>'[12]Sch C'!D59</f>
        <v>0</v>
      </c>
      <c r="D66" s="573">
        <f>'[12]Sch C'!F59</f>
        <v>0</v>
      </c>
      <c r="E66" s="171">
        <f t="shared" si="9"/>
        <v>0</v>
      </c>
      <c r="F66" s="171"/>
      <c r="G66" s="171">
        <f t="shared" si="10"/>
        <v>0</v>
      </c>
      <c r="H66" s="172">
        <f t="shared" si="11"/>
        <v>0</v>
      </c>
      <c r="I66" s="337"/>
      <c r="J66" s="190"/>
      <c r="K66" s="168"/>
      <c r="M66" s="359">
        <f t="shared" si="12"/>
        <v>0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573">
        <f>'[12]Sch C'!D60</f>
        <v>0</v>
      </c>
      <c r="D67" s="573">
        <f>'[12]Sch C'!F60</f>
        <v>0</v>
      </c>
      <c r="E67" s="171">
        <f t="shared" si="9"/>
        <v>0</v>
      </c>
      <c r="F67" s="171"/>
      <c r="G67" s="171">
        <f t="shared" si="10"/>
        <v>0</v>
      </c>
      <c r="H67" s="172">
        <f t="shared" si="11"/>
        <v>0</v>
      </c>
      <c r="I67" s="337"/>
      <c r="J67" s="193"/>
      <c r="K67" s="168"/>
      <c r="M67" s="359">
        <f t="shared" si="12"/>
        <v>0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573">
        <f>'[12]Sch C'!D61</f>
        <v>20820</v>
      </c>
      <c r="D68" s="573">
        <f>'[12]Sch C'!F61</f>
        <v>0</v>
      </c>
      <c r="E68" s="171">
        <f t="shared" si="9"/>
        <v>20820</v>
      </c>
      <c r="F68" s="171"/>
      <c r="G68" s="171">
        <f t="shared" si="10"/>
        <v>20820</v>
      </c>
      <c r="H68" s="172">
        <f t="shared" si="11"/>
        <v>2.2169237531560818E-3</v>
      </c>
      <c r="I68" s="337"/>
      <c r="J68" s="193"/>
      <c r="K68" s="168"/>
      <c r="M68" s="359">
        <f t="shared" si="12"/>
        <v>0.56676194365046961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573">
        <f>'[12]Sch C'!D62</f>
        <v>397</v>
      </c>
      <c r="D69" s="573">
        <f>'[12]Sch C'!F62</f>
        <v>0</v>
      </c>
      <c r="E69" s="171">
        <f t="shared" si="9"/>
        <v>397</v>
      </c>
      <c r="F69" s="171"/>
      <c r="G69" s="171">
        <f t="shared" si="10"/>
        <v>397</v>
      </c>
      <c r="H69" s="172">
        <f t="shared" si="11"/>
        <v>4.2272753602447858E-5</v>
      </c>
      <c r="I69" s="337"/>
      <c r="J69" s="195"/>
      <c r="K69" s="168"/>
      <c r="M69" s="359">
        <f t="shared" si="12"/>
        <v>1.0807132162787532E-2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573">
        <f>'[12]Sch C'!D63</f>
        <v>0</v>
      </c>
      <c r="D70" s="573">
        <f>'[12]Sch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7"/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573">
        <f>'[12]Sch C'!D64</f>
        <v>0</v>
      </c>
      <c r="D71" s="573">
        <f>'[12]Sch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573">
        <f>'[12]Sch C'!D65</f>
        <v>1146</v>
      </c>
      <c r="D72" s="573">
        <f>'[12]Sch C'!F65</f>
        <v>0</v>
      </c>
      <c r="E72" s="171">
        <f t="shared" si="9"/>
        <v>1146</v>
      </c>
      <c r="F72" s="171"/>
      <c r="G72" s="171">
        <f t="shared" si="10"/>
        <v>1146</v>
      </c>
      <c r="H72" s="172">
        <f t="shared" si="11"/>
        <v>1.2202663886248173E-4</v>
      </c>
      <c r="I72" s="337"/>
      <c r="J72" s="195"/>
      <c r="K72" s="168"/>
      <c r="M72" s="359">
        <f t="shared" si="12"/>
        <v>3.1196406696610862E-2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573">
        <f>'[12]Sch C'!D66</f>
        <v>47610</v>
      </c>
      <c r="D73" s="573">
        <f>'[12]Sch C'!F66</f>
        <v>0</v>
      </c>
      <c r="E73" s="171">
        <f t="shared" si="9"/>
        <v>47610</v>
      </c>
      <c r="F73" s="171"/>
      <c r="G73" s="171">
        <f t="shared" si="10"/>
        <v>47610</v>
      </c>
      <c r="H73" s="172">
        <f t="shared" si="11"/>
        <v>5.0695360176638352E-3</v>
      </c>
      <c r="I73" s="337"/>
      <c r="J73" s="195"/>
      <c r="K73" s="168"/>
      <c r="M73" s="359">
        <f t="shared" si="12"/>
        <v>1.296039199673336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573">
        <f>'[12]Sch C'!D67</f>
        <v>17263</v>
      </c>
      <c r="D74" s="573">
        <f>'[12]Sch C'!F67</f>
        <v>0</v>
      </c>
      <c r="E74" s="171">
        <f t="shared" si="9"/>
        <v>17263</v>
      </c>
      <c r="F74" s="171">
        <v>321</v>
      </c>
      <c r="G74" s="171">
        <f t="shared" si="10"/>
        <v>17584</v>
      </c>
      <c r="H74" s="172">
        <f t="shared" si="11"/>
        <v>1.872352895076683E-3</v>
      </c>
      <c r="I74" s="337"/>
      <c r="J74" s="195"/>
      <c r="K74" s="168"/>
      <c r="M74" s="359">
        <f t="shared" si="12"/>
        <v>0.47867156662583366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573">
        <f>'[12]Sch C'!D68</f>
        <v>0</v>
      </c>
      <c r="D75" s="573">
        <f>'[12]Sch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573">
        <f>'[12]Sch C'!D69</f>
        <v>731</v>
      </c>
      <c r="D76" s="573">
        <f>'[12]Sch C'!F69</f>
        <v>0</v>
      </c>
      <c r="E76" s="171">
        <f t="shared" si="9"/>
        <v>731</v>
      </c>
      <c r="F76" s="171"/>
      <c r="G76" s="171">
        <f t="shared" si="10"/>
        <v>731</v>
      </c>
      <c r="H76" s="172">
        <f t="shared" si="11"/>
        <v>7.7837236482089126E-5</v>
      </c>
      <c r="I76" s="337"/>
      <c r="J76" s="195"/>
      <c r="K76" s="168"/>
      <c r="M76" s="359">
        <f t="shared" si="12"/>
        <v>1.9899278617122634E-2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573">
        <f>'[12]Sch C'!D70</f>
        <v>0</v>
      </c>
      <c r="D77" s="573">
        <f>'[12]Sch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7"/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573">
        <f>'[12]Sch C'!D71</f>
        <v>0</v>
      </c>
      <c r="D78" s="573">
        <f>'[12]Sch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7"/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573">
        <f>SUM(C64:C78)</f>
        <v>88700</v>
      </c>
      <c r="D79" s="573">
        <f>SUM(D64:D78)</f>
        <v>0</v>
      </c>
      <c r="E79" s="171">
        <f t="shared" ref="E79" si="13">SUM(E64:E78)</f>
        <v>88700</v>
      </c>
      <c r="F79" s="171">
        <f>SUM(F64:F78)</f>
        <v>321</v>
      </c>
      <c r="G79" s="171">
        <f>SUM(G64:G78)</f>
        <v>89021</v>
      </c>
      <c r="H79" s="172">
        <f t="shared" si="11"/>
        <v>9.4789994923010351E-3</v>
      </c>
      <c r="I79" s="337"/>
      <c r="J79" s="195"/>
      <c r="K79" s="168"/>
      <c r="M79" s="359">
        <f t="shared" si="12"/>
        <v>2.4233292500340275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573">
        <f>'[12]Sch C'!D75</f>
        <v>79897</v>
      </c>
      <c r="D82" s="573">
        <f>'[12]Sch C'!F75</f>
        <v>0</v>
      </c>
      <c r="E82" s="171">
        <f t="shared" ref="E82:E92" si="14">C82+D82</f>
        <v>79897</v>
      </c>
      <c r="F82" s="171"/>
      <c r="G82" s="171">
        <f t="shared" ref="G82:G92" si="15">E82+F82</f>
        <v>79897</v>
      </c>
      <c r="H82" s="172">
        <f t="shared" ref="H82:H93" si="16">IF($G$208=0,0,G82/$G$208)</f>
        <v>8.5074715228583789E-3</v>
      </c>
      <c r="I82" s="337"/>
      <c r="J82" s="183">
        <v>4697</v>
      </c>
      <c r="K82" s="183">
        <v>5105</v>
      </c>
      <c r="M82" s="359">
        <f t="shared" ref="M82:M92" si="17">G82/G$228</f>
        <v>2.1749557642575201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573">
        <f>'[12]Sch C'!D76</f>
        <v>11648</v>
      </c>
      <c r="D83" s="573">
        <f>'[12]Sch C'!F76</f>
        <v>0</v>
      </c>
      <c r="E83" s="171">
        <f t="shared" si="14"/>
        <v>11648</v>
      </c>
      <c r="F83" s="171"/>
      <c r="G83" s="171">
        <f t="shared" si="15"/>
        <v>11648</v>
      </c>
      <c r="H83" s="172">
        <f t="shared" si="16"/>
        <v>1.2402847203055734E-3</v>
      </c>
      <c r="I83" s="337"/>
      <c r="J83" s="168"/>
      <c r="K83" s="168"/>
      <c r="M83" s="359">
        <f t="shared" si="17"/>
        <v>0.31708180209609366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573">
        <f>'[12]Sch C'!D77</f>
        <v>23777</v>
      </c>
      <c r="D84" s="573">
        <f>'[12]Sch C'!F77</f>
        <v>0</v>
      </c>
      <c r="E84" s="171">
        <f t="shared" si="14"/>
        <v>23777</v>
      </c>
      <c r="F84" s="171"/>
      <c r="G84" s="171">
        <f t="shared" si="15"/>
        <v>23777</v>
      </c>
      <c r="H84" s="172">
        <f t="shared" si="16"/>
        <v>2.5317865551773367E-3</v>
      </c>
      <c r="I84" s="337"/>
      <c r="J84" s="168"/>
      <c r="K84" s="168"/>
      <c r="M84" s="359">
        <f t="shared" si="17"/>
        <v>0.64725738396624477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573">
        <f>'[12]Sch C'!D78</f>
        <v>0</v>
      </c>
      <c r="D85" s="573">
        <f>'[12]Sch C'!F78</f>
        <v>0</v>
      </c>
      <c r="E85" s="171">
        <f t="shared" si="14"/>
        <v>0</v>
      </c>
      <c r="F85" s="171">
        <v>662</v>
      </c>
      <c r="G85" s="171">
        <f t="shared" si="15"/>
        <v>662</v>
      </c>
      <c r="H85" s="172">
        <f t="shared" si="16"/>
        <v>7.0490082833300966E-5</v>
      </c>
      <c r="I85" s="337"/>
      <c r="J85" s="168"/>
      <c r="K85" s="168"/>
      <c r="M85" s="359">
        <f t="shared" si="17"/>
        <v>1.8020960936436639E-2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573">
        <f>'[12]Sch C'!D79</f>
        <v>27703</v>
      </c>
      <c r="D86" s="573">
        <f>'[12]Sch C'!F79</f>
        <v>0</v>
      </c>
      <c r="E86" s="171">
        <f t="shared" si="14"/>
        <v>27703</v>
      </c>
      <c r="F86" s="171">
        <v>1696</v>
      </c>
      <c r="G86" s="171">
        <f>E86+F86</f>
        <v>29399</v>
      </c>
      <c r="H86" s="172">
        <f t="shared" si="16"/>
        <v>3.130419856822077E-3</v>
      </c>
      <c r="I86" s="337"/>
      <c r="J86" s="168"/>
      <c r="K86" s="168"/>
      <c r="M86" s="359">
        <f t="shared" si="17"/>
        <v>0.80029944194909486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573">
        <f>'[12]Sch C'!D80</f>
        <v>14029</v>
      </c>
      <c r="D87" s="573">
        <f>'[12]Sch C'!F80</f>
        <v>0</v>
      </c>
      <c r="E87" s="171">
        <f t="shared" si="14"/>
        <v>14029</v>
      </c>
      <c r="F87" s="171"/>
      <c r="G87" s="171">
        <f t="shared" si="15"/>
        <v>14029</v>
      </c>
      <c r="H87" s="172">
        <f t="shared" si="16"/>
        <v>1.4938147614325971E-3</v>
      </c>
      <c r="I87" s="337"/>
      <c r="J87" s="168"/>
      <c r="K87" s="168"/>
      <c r="M87" s="359">
        <f t="shared" si="17"/>
        <v>0.38189737307744659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573">
        <f>'[12]Sch C'!D81</f>
        <v>36162</v>
      </c>
      <c r="D88" s="573">
        <f>'[12]Sch C'!F81</f>
        <v>0</v>
      </c>
      <c r="E88" s="171">
        <f t="shared" si="14"/>
        <v>36162</v>
      </c>
      <c r="F88" s="171"/>
      <c r="G88" s="171">
        <f t="shared" si="15"/>
        <v>36162</v>
      </c>
      <c r="H88" s="172">
        <f t="shared" si="16"/>
        <v>3.8505473948909812E-3</v>
      </c>
      <c r="I88" s="337"/>
      <c r="J88" s="168"/>
      <c r="K88" s="168"/>
      <c r="M88" s="359">
        <f t="shared" si="17"/>
        <v>0.98440179665169458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573">
        <f>'[12]Sch C'!D82</f>
        <v>28843</v>
      </c>
      <c r="D89" s="573">
        <f>'[12]Sch C'!F82</f>
        <v>0</v>
      </c>
      <c r="E89" s="171">
        <f t="shared" si="14"/>
        <v>28843</v>
      </c>
      <c r="F89" s="171"/>
      <c r="G89" s="171">
        <f t="shared" si="15"/>
        <v>28843</v>
      </c>
      <c r="H89" s="172">
        <f t="shared" si="16"/>
        <v>3.0712167056811172E-3</v>
      </c>
      <c r="I89" s="337"/>
      <c r="J89" s="168"/>
      <c r="K89" s="168"/>
      <c r="M89" s="359">
        <f t="shared" si="17"/>
        <v>0.78516401252211787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573">
        <f>'[12]Sch C'!D83</f>
        <v>6469</v>
      </c>
      <c r="D90" s="573">
        <f>'[12]Sch C'!F83</f>
        <v>0</v>
      </c>
      <c r="E90" s="171">
        <f t="shared" si="14"/>
        <v>6469</v>
      </c>
      <c r="F90" s="171"/>
      <c r="G90" s="171">
        <f t="shared" si="15"/>
        <v>6469</v>
      </c>
      <c r="H90" s="172">
        <f t="shared" si="16"/>
        <v>6.8882227469580653E-4</v>
      </c>
      <c r="I90" s="337"/>
      <c r="J90" s="168"/>
      <c r="K90" s="168"/>
      <c r="M90" s="359">
        <f t="shared" si="17"/>
        <v>0.17609908806315502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573">
        <f>'[12]Sch C'!D84</f>
        <v>206905</v>
      </c>
      <c r="D91" s="573">
        <f>'[12]Sch C'!F84</f>
        <v>0</v>
      </c>
      <c r="E91" s="171">
        <f t="shared" si="14"/>
        <v>206905</v>
      </c>
      <c r="F91" s="171"/>
      <c r="G91" s="171">
        <f t="shared" si="15"/>
        <v>206905</v>
      </c>
      <c r="H91" s="172">
        <f t="shared" si="16"/>
        <v>2.2031345300036458E-2</v>
      </c>
      <c r="I91" s="337"/>
      <c r="J91" s="168"/>
      <c r="K91" s="168"/>
      <c r="M91" s="359">
        <f t="shared" si="17"/>
        <v>5.6323669524976179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573">
        <f>'[12]Sch C'!D85</f>
        <v>0</v>
      </c>
      <c r="D92" s="573">
        <f>'[12]Sch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7"/>
      <c r="J92" s="168"/>
      <c r="K92" s="168"/>
      <c r="M92" s="359">
        <f t="shared" si="17"/>
        <v>0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573">
        <f>SUM(C82:C92)</f>
        <v>435433</v>
      </c>
      <c r="D93" s="573">
        <f>SUM(D82:D92)</f>
        <v>0</v>
      </c>
      <c r="E93" s="171">
        <f t="shared" ref="E93" si="18">SUM(E82:E92)</f>
        <v>435433</v>
      </c>
      <c r="F93" s="171">
        <f>SUM(F82:F92)</f>
        <v>2358</v>
      </c>
      <c r="G93" s="171">
        <f>SUM(G82:G92)</f>
        <v>437791</v>
      </c>
      <c r="H93" s="172">
        <f t="shared" si="16"/>
        <v>4.6616199174733627E-2</v>
      </c>
      <c r="I93" s="337"/>
      <c r="J93" s="168"/>
      <c r="K93" s="168"/>
      <c r="M93" s="364">
        <f>G93/G$228</f>
        <v>11.917544576017422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573">
        <f>'[12]Sch C'!D89</f>
        <v>362188</v>
      </c>
      <c r="D96" s="573">
        <f>'[12]Sch C'!F89</f>
        <v>0</v>
      </c>
      <c r="E96" s="171">
        <f t="shared" ref="E96:E101" si="19">C96+D96</f>
        <v>362188</v>
      </c>
      <c r="F96" s="171"/>
      <c r="G96" s="171">
        <f t="shared" ref="G96:G101" si="20">E96+F96</f>
        <v>362188</v>
      </c>
      <c r="H96" s="172">
        <f t="shared" ref="H96:H102" si="21">IF($G$208=0,0,G96/$G$208)</f>
        <v>3.8565954865902731E-2</v>
      </c>
      <c r="I96" s="337"/>
      <c r="J96" s="183">
        <v>29688</v>
      </c>
      <c r="K96" s="183">
        <v>31608</v>
      </c>
      <c r="M96" s="364">
        <f t="shared" ref="M96:M101" si="22">G96/G$228</f>
        <v>9.8594800598883889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573">
        <f>'[12]Sch C'!D90</f>
        <v>73035</v>
      </c>
      <c r="D97" s="573">
        <f>'[12]Sch C'!F90</f>
        <v>0</v>
      </c>
      <c r="E97" s="171">
        <f t="shared" si="19"/>
        <v>73035</v>
      </c>
      <c r="F97" s="171"/>
      <c r="G97" s="171">
        <f t="shared" si="20"/>
        <v>73035</v>
      </c>
      <c r="H97" s="172">
        <f t="shared" si="21"/>
        <v>7.7768024165107792E-3</v>
      </c>
      <c r="I97" s="337"/>
      <c r="J97" s="168"/>
      <c r="K97" s="168"/>
      <c r="M97" s="364">
        <f t="shared" si="22"/>
        <v>1.9881584320130665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573">
        <f>'[12]Sch C'!D91</f>
        <v>27967</v>
      </c>
      <c r="D98" s="573">
        <f>'[12]Sch C'!F91</f>
        <v>0</v>
      </c>
      <c r="E98" s="171">
        <f t="shared" si="19"/>
        <v>27967</v>
      </c>
      <c r="F98" s="171"/>
      <c r="G98" s="171">
        <f t="shared" si="20"/>
        <v>27967</v>
      </c>
      <c r="H98" s="172">
        <f t="shared" si="21"/>
        <v>2.9779397984878069E-3</v>
      </c>
      <c r="I98" s="337"/>
      <c r="J98" s="168"/>
      <c r="K98" s="168"/>
      <c r="M98" s="364">
        <f t="shared" si="22"/>
        <v>0.76131754457601741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573">
        <f>'[12]Sch C'!D92</f>
        <v>330204</v>
      </c>
      <c r="D99" s="573">
        <f>'[12]Sch C'!F92</f>
        <v>3397</v>
      </c>
      <c r="E99" s="171">
        <f t="shared" si="19"/>
        <v>333601</v>
      </c>
      <c r="F99" s="171"/>
      <c r="G99" s="171">
        <f t="shared" si="20"/>
        <v>333601</v>
      </c>
      <c r="H99" s="172">
        <f t="shared" si="21"/>
        <v>3.5521997165063497E-2</v>
      </c>
      <c r="I99" s="337"/>
      <c r="J99" s="168"/>
      <c r="K99" s="168"/>
      <c r="M99" s="364">
        <f t="shared" si="22"/>
        <v>9.0812848781815703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573">
        <f>'[12]Sch C'!D93</f>
        <v>48101</v>
      </c>
      <c r="D100" s="573">
        <f>'[12]Sch C'!F93</f>
        <v>0</v>
      </c>
      <c r="E100" s="171">
        <f t="shared" si="19"/>
        <v>48101</v>
      </c>
      <c r="F100" s="171"/>
      <c r="G100" s="171">
        <f t="shared" si="20"/>
        <v>48101</v>
      </c>
      <c r="H100" s="172">
        <f t="shared" si="21"/>
        <v>5.1218179371066612E-3</v>
      </c>
      <c r="I100" s="337"/>
      <c r="J100" s="168"/>
      <c r="K100" s="168"/>
      <c r="M100" s="364">
        <f t="shared" si="22"/>
        <v>1.309405199401116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573">
        <f>'[12]Sch C'!D94</f>
        <v>0</v>
      </c>
      <c r="D101" s="573">
        <f>'[12]Sch C'!F94</f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I101" s="337"/>
      <c r="J101" s="168"/>
      <c r="K101" s="168"/>
      <c r="M101" s="364">
        <f t="shared" si="22"/>
        <v>0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573">
        <f>SUM(C96:C101)</f>
        <v>841495</v>
      </c>
      <c r="D102" s="573">
        <f>SUM(D96:D101)</f>
        <v>3397</v>
      </c>
      <c r="E102" s="171">
        <f t="shared" ref="E102" si="23">SUM(E96:E101)</f>
        <v>844892</v>
      </c>
      <c r="F102" s="171">
        <f>SUM(F96:F101)</f>
        <v>0</v>
      </c>
      <c r="G102" s="171">
        <f>SUM(G96:G101)</f>
        <v>844892</v>
      </c>
      <c r="H102" s="172">
        <f t="shared" si="21"/>
        <v>8.9964512183071471E-2</v>
      </c>
      <c r="I102" s="337"/>
      <c r="J102" s="168"/>
      <c r="K102" s="168"/>
      <c r="M102" s="364">
        <f>G102/G$228</f>
        <v>22.999646114060159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573">
        <f>'[12]Sch C'!D98</f>
        <v>43650</v>
      </c>
      <c r="D105" s="573">
        <f>'[12]Sch C'!F98</f>
        <v>0</v>
      </c>
      <c r="E105" s="171">
        <f t="shared" ref="E105:E110" si="24">C105+D105</f>
        <v>43650</v>
      </c>
      <c r="F105" s="171"/>
      <c r="G105" s="171">
        <f t="shared" ref="G105:G110" si="25">E105+F105</f>
        <v>43650</v>
      </c>
      <c r="H105" s="172">
        <f t="shared" ref="H105:H111" si="26">IF($G$208=0,0,G105/$G$208)</f>
        <v>4.6478732865159926E-3</v>
      </c>
      <c r="I105" s="337"/>
      <c r="J105" s="183">
        <v>4263</v>
      </c>
      <c r="K105" s="183">
        <v>4556</v>
      </c>
      <c r="M105" s="364">
        <f t="shared" ref="M105:M110" si="27">G105/G$228</f>
        <v>1.1882400979991834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573">
        <f>'[12]Sch C'!D99</f>
        <v>5877</v>
      </c>
      <c r="D106" s="573">
        <f>'[12]Sch C'!F99</f>
        <v>0</v>
      </c>
      <c r="E106" s="171">
        <f t="shared" si="24"/>
        <v>5877</v>
      </c>
      <c r="F106" s="171"/>
      <c r="G106" s="171">
        <f t="shared" si="25"/>
        <v>5877</v>
      </c>
      <c r="H106" s="172">
        <f t="shared" si="26"/>
        <v>6.257858259989574E-4</v>
      </c>
      <c r="I106" s="337"/>
      <c r="J106" s="168"/>
      <c r="K106" s="168"/>
      <c r="M106" s="364">
        <f t="shared" si="27"/>
        <v>0.15998366680277665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573">
        <f>'[12]Sch C'!D100</f>
        <v>6812</v>
      </c>
      <c r="D107" s="573">
        <f>'[12]Sch C'!F100</f>
        <v>0</v>
      </c>
      <c r="E107" s="171">
        <f t="shared" si="24"/>
        <v>6812</v>
      </c>
      <c r="F107" s="171"/>
      <c r="G107" s="171">
        <f t="shared" si="25"/>
        <v>6812</v>
      </c>
      <c r="H107" s="172">
        <f t="shared" si="26"/>
        <v>7.2534508196442013E-4</v>
      </c>
      <c r="I107" s="337"/>
      <c r="J107" s="168"/>
      <c r="K107" s="168"/>
      <c r="M107" s="364">
        <f t="shared" si="27"/>
        <v>0.18543623247584048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573">
        <f>'[12]Sch C'!D101</f>
        <v>0</v>
      </c>
      <c r="D108" s="573">
        <f>'[12]Sch C'!F101</f>
        <v>0</v>
      </c>
      <c r="E108" s="171">
        <f t="shared" si="24"/>
        <v>0</v>
      </c>
      <c r="F108" s="171"/>
      <c r="G108" s="171">
        <f t="shared" si="25"/>
        <v>0</v>
      </c>
      <c r="H108" s="172">
        <f t="shared" si="26"/>
        <v>0</v>
      </c>
      <c r="I108" s="337"/>
      <c r="J108" s="168"/>
      <c r="K108" s="168"/>
      <c r="M108" s="364">
        <f t="shared" si="27"/>
        <v>0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573">
        <f>'[12]Sch C'!D102</f>
        <v>17939</v>
      </c>
      <c r="D109" s="573">
        <f>'[12]Sch C'!F102</f>
        <v>0</v>
      </c>
      <c r="E109" s="171">
        <f t="shared" si="24"/>
        <v>17939</v>
      </c>
      <c r="F109" s="171"/>
      <c r="G109" s="171">
        <f t="shared" si="25"/>
        <v>17939</v>
      </c>
      <c r="H109" s="172">
        <f t="shared" si="26"/>
        <v>1.9101534681972598E-3</v>
      </c>
      <c r="I109" s="337"/>
      <c r="J109" s="168"/>
      <c r="K109" s="168"/>
      <c r="M109" s="364">
        <f t="shared" si="27"/>
        <v>0.48833537498298624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573">
        <f>'[12]Sch C'!D103</f>
        <v>0</v>
      </c>
      <c r="D110" s="573">
        <f>'[12]Sch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7"/>
      <c r="J110" s="168"/>
      <c r="K110" s="168"/>
      <c r="M110" s="364">
        <f t="shared" si="27"/>
        <v>0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573">
        <f>SUM(C105:C110)</f>
        <v>74278</v>
      </c>
      <c r="D111" s="573">
        <f>SUM(D105:D110)</f>
        <v>0</v>
      </c>
      <c r="E111" s="171">
        <f t="shared" ref="E111" si="28">SUM(E105:E110)</f>
        <v>74278</v>
      </c>
      <c r="F111" s="171">
        <f>SUM(F105:F110)</f>
        <v>0</v>
      </c>
      <c r="G111" s="171">
        <f>SUM(G105:G110)</f>
        <v>74278</v>
      </c>
      <c r="H111" s="172">
        <f t="shared" si="26"/>
        <v>7.9091576626766306E-3</v>
      </c>
      <c r="I111" s="337"/>
      <c r="J111" s="168"/>
      <c r="K111" s="168"/>
      <c r="M111" s="364">
        <f>G111/G$228</f>
        <v>2.0219953722607866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573">
        <f>'[12]Sch C'!D115</f>
        <v>182918</v>
      </c>
      <c r="D114" s="573">
        <f>'[12]Sch C'!F115</f>
        <v>0</v>
      </c>
      <c r="E114" s="171">
        <f t="shared" ref="E114:E118" si="29">C114+D114</f>
        <v>182918</v>
      </c>
      <c r="F114" s="171"/>
      <c r="G114" s="171">
        <f>E114+F114</f>
        <v>182918</v>
      </c>
      <c r="H114" s="172">
        <f t="shared" ref="H114:H119" si="30">IF($G$208=0,0,G114/$G$208)</f>
        <v>1.9477197842449768E-2</v>
      </c>
      <c r="I114" s="337"/>
      <c r="J114" s="183">
        <v>18307</v>
      </c>
      <c r="K114" s="183">
        <v>19087</v>
      </c>
      <c r="M114" s="364">
        <f t="shared" ref="M114:M119" si="31">G114/G$228</f>
        <v>4.9793929495031986</v>
      </c>
      <c r="N114" s="359">
        <f>SUMMARY!J117</f>
        <v>2.9289001010349254</v>
      </c>
    </row>
    <row r="115" spans="1:14" s="167" customFormat="1">
      <c r="A115" s="169" t="s">
        <v>86</v>
      </c>
      <c r="B115" s="474" t="s">
        <v>427</v>
      </c>
      <c r="C115" s="573">
        <f>'[12]Sch C'!D116</f>
        <v>32635</v>
      </c>
      <c r="D115" s="573">
        <f>'[12]Sch C'!F116</f>
        <v>0</v>
      </c>
      <c r="E115" s="171">
        <f t="shared" si="29"/>
        <v>32635</v>
      </c>
      <c r="F115" s="171"/>
      <c r="G115" s="171">
        <f>E115+F115</f>
        <v>32635</v>
      </c>
      <c r="H115" s="172">
        <f t="shared" si="30"/>
        <v>3.4749907149014755E-3</v>
      </c>
      <c r="I115" s="337"/>
      <c r="J115" s="168"/>
      <c r="K115" s="168"/>
      <c r="M115" s="364">
        <f t="shared" si="31"/>
        <v>0.88838981897373082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573">
        <f>'[12]Sch C'!D117</f>
        <v>59929</v>
      </c>
      <c r="D116" s="573">
        <f>'[12]Sch C'!F117</f>
        <v>0</v>
      </c>
      <c r="E116" s="171">
        <f t="shared" si="29"/>
        <v>59929</v>
      </c>
      <c r="F116" s="171"/>
      <c r="G116" s="171">
        <f>E116+F116</f>
        <v>59929</v>
      </c>
      <c r="H116" s="172">
        <f t="shared" si="30"/>
        <v>6.3812691451916818E-3</v>
      </c>
      <c r="I116" s="337"/>
      <c r="J116" s="168"/>
      <c r="K116" s="168"/>
      <c r="M116" s="364">
        <f t="shared" si="31"/>
        <v>1.6313869606642166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573">
        <f>'[12]Sch C'!D118</f>
        <v>320</v>
      </c>
      <c r="D117" s="573">
        <f>'[12]Sch C'!F118</f>
        <v>0</v>
      </c>
      <c r="E117" s="171">
        <f t="shared" si="29"/>
        <v>320</v>
      </c>
      <c r="F117" s="171"/>
      <c r="G117" s="171">
        <f>E117+F117</f>
        <v>320</v>
      </c>
      <c r="H117" s="172">
        <f t="shared" si="30"/>
        <v>3.4073756052350917E-5</v>
      </c>
      <c r="I117" s="337"/>
      <c r="J117" s="168"/>
      <c r="K117" s="168"/>
      <c r="M117" s="364">
        <f t="shared" si="31"/>
        <v>8.7110385191234516E-3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573">
        <f>'[12]Sch C'!D119</f>
        <v>1761</v>
      </c>
      <c r="D118" s="573">
        <f>'[12]Sch C'!F119</f>
        <v>0</v>
      </c>
      <c r="E118" s="171">
        <f t="shared" si="29"/>
        <v>1761</v>
      </c>
      <c r="F118" s="171"/>
      <c r="G118" s="171">
        <f>E118+F118</f>
        <v>1761</v>
      </c>
      <c r="H118" s="172">
        <f t="shared" si="30"/>
        <v>1.8751213877559364E-4</v>
      </c>
      <c r="I118" s="337"/>
      <c r="J118" s="168"/>
      <c r="K118" s="168"/>
      <c r="M118" s="364">
        <f t="shared" si="31"/>
        <v>4.7937933850551243E-2</v>
      </c>
      <c r="N118" s="359">
        <f>SUMMARY!J121</f>
        <v>1.5050905218317359E-2</v>
      </c>
    </row>
    <row r="119" spans="1:14" s="167" customFormat="1">
      <c r="A119" s="163"/>
      <c r="B119" s="170" t="s">
        <v>413</v>
      </c>
      <c r="C119" s="573">
        <f>SUM(C114:C118)</f>
        <v>277563</v>
      </c>
      <c r="D119" s="573">
        <f>SUM(D114:D118)</f>
        <v>0</v>
      </c>
      <c r="E119" s="171">
        <f t="shared" ref="E119" si="32">SUM(E114:E118)</f>
        <v>277563</v>
      </c>
      <c r="F119" s="171">
        <f>SUM(F114:F118)</f>
        <v>0</v>
      </c>
      <c r="G119" s="171">
        <f>SUM(G114:G118)</f>
        <v>277563</v>
      </c>
      <c r="H119" s="172">
        <f t="shared" si="30"/>
        <v>2.9555043597370868E-2</v>
      </c>
      <c r="I119" s="337"/>
      <c r="J119" s="168"/>
      <c r="K119" s="168"/>
      <c r="M119" s="364">
        <f t="shared" si="31"/>
        <v>7.5558187015108205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1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573">
        <f>'[12]Sch C'!D124</f>
        <v>0</v>
      </c>
      <c r="D123" s="573">
        <f>'[12]Sch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7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0.77002560279620991</v>
      </c>
    </row>
    <row r="124" spans="1:14" s="167" customFormat="1">
      <c r="B124" s="163" t="s">
        <v>194</v>
      </c>
      <c r="C124" s="573">
        <f>'[12]Sch C'!D125</f>
        <v>500458</v>
      </c>
      <c r="D124" s="573">
        <f>'[12]Sch C'!F125</f>
        <v>0</v>
      </c>
      <c r="E124" s="171">
        <f t="shared" si="33"/>
        <v>500458</v>
      </c>
      <c r="F124" s="171"/>
      <c r="G124" s="171">
        <f>E124+F124</f>
        <v>500458</v>
      </c>
      <c r="H124" s="172">
        <f>IF($G$208=0,0,G124/$G$208)</f>
        <v>5.3289011895148237E-2</v>
      </c>
      <c r="I124" s="337"/>
      <c r="J124" s="183">
        <v>17579</v>
      </c>
      <c r="K124" s="183">
        <v>19066</v>
      </c>
      <c r="M124" s="364">
        <f t="shared" si="34"/>
        <v>13.623465360010888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573">
        <f>'[12]Sch C'!D126</f>
        <v>0</v>
      </c>
      <c r="D125" s="573">
        <f>'[12]Sch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7"/>
      <c r="J125" s="183">
        <v>0</v>
      </c>
      <c r="K125" s="183">
        <v>0</v>
      </c>
      <c r="M125" s="364">
        <f t="shared" si="34"/>
        <v>0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573">
        <f>'[12]Sch C'!D127</f>
        <v>0</v>
      </c>
      <c r="D126" s="573">
        <f>'[12]Sch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7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573">
        <f>'[12]Sch C'!D128</f>
        <v>44525</v>
      </c>
      <c r="D127" s="573">
        <f>'[12]Sch C'!F128</f>
        <v>0</v>
      </c>
      <c r="E127" s="171">
        <f t="shared" si="33"/>
        <v>44525</v>
      </c>
      <c r="F127" s="171"/>
      <c r="G127" s="171">
        <f>E127+F127</f>
        <v>44525</v>
      </c>
      <c r="H127" s="172">
        <f>IF($G$208=0,0,G127/$G$208)</f>
        <v>4.7410437132216392E-3</v>
      </c>
      <c r="I127" s="337"/>
      <c r="J127" s="183">
        <v>3387</v>
      </c>
      <c r="K127" s="183">
        <v>3515</v>
      </c>
      <c r="M127" s="364">
        <f t="shared" si="34"/>
        <v>1.2120593439499114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205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573">
        <f>'[12]Sch C'!D130</f>
        <v>0</v>
      </c>
      <c r="D129" s="573">
        <f>'[12]Sch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7"/>
      <c r="J129" s="204"/>
      <c r="K129" s="204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573">
        <f>'[12]Sch C'!D131</f>
        <v>44791</v>
      </c>
      <c r="D130" s="573">
        <f>'[12]Sch C'!F131</f>
        <v>0</v>
      </c>
      <c r="E130" s="171">
        <f t="shared" si="35"/>
        <v>44791</v>
      </c>
      <c r="F130" s="171"/>
      <c r="G130" s="171">
        <f>E130+F130</f>
        <v>44791</v>
      </c>
      <c r="H130" s="172">
        <f>IF($G$208=0,0,G130/$G$208)</f>
        <v>4.7693675229401565E-3</v>
      </c>
      <c r="I130" s="337"/>
      <c r="J130" s="204"/>
      <c r="K130" s="204"/>
      <c r="M130" s="364">
        <f t="shared" si="34"/>
        <v>1.2193003947189329</v>
      </c>
      <c r="N130" s="359">
        <f>SUMMARY!J133</f>
        <v>1.0792348507966931</v>
      </c>
    </row>
    <row r="131" spans="1:14" s="167" customFormat="1">
      <c r="B131" s="163" t="s">
        <v>195</v>
      </c>
      <c r="C131" s="573">
        <f>'[12]Sch C'!D132</f>
        <v>0</v>
      </c>
      <c r="D131" s="573">
        <f>'[12]Sch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7"/>
      <c r="J131" s="168"/>
      <c r="K131" s="168"/>
      <c r="M131" s="364">
        <f t="shared" si="34"/>
        <v>0</v>
      </c>
      <c r="N131" s="359">
        <f>SUMMARY!J134</f>
        <v>8.2765628075518377E-2</v>
      </c>
    </row>
    <row r="132" spans="1:14" s="167" customFormat="1">
      <c r="B132" s="163" t="s">
        <v>196</v>
      </c>
      <c r="C132" s="573">
        <f>'[12]Sch C'!D133</f>
        <v>0</v>
      </c>
      <c r="D132" s="573">
        <f>'[12]Sch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573">
        <f>'[12]Sch C'!D134</f>
        <v>5285</v>
      </c>
      <c r="D133" s="573">
        <f>'[12]Sch C'!F134</f>
        <v>0</v>
      </c>
      <c r="E133" s="171">
        <f t="shared" si="35"/>
        <v>5285</v>
      </c>
      <c r="F133" s="171"/>
      <c r="G133" s="171">
        <f>E133+F133</f>
        <v>5285</v>
      </c>
      <c r="H133" s="172">
        <f>IF($G$208=0,0,G133/$G$208)</f>
        <v>5.6274937730210815E-4</v>
      </c>
      <c r="I133" s="337"/>
      <c r="J133" s="168"/>
      <c r="K133" s="168"/>
      <c r="M133" s="364">
        <f t="shared" si="34"/>
        <v>0.14386824554239827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573">
        <f>'[12]Sch C'!D136</f>
        <v>1214506</v>
      </c>
      <c r="D135" s="573">
        <f>'[12]Sch C'!F136</f>
        <v>0</v>
      </c>
      <c r="E135" s="171">
        <f t="shared" ref="E135:E138" si="36">C135+D135</f>
        <v>1214506</v>
      </c>
      <c r="F135" s="171"/>
      <c r="G135" s="171">
        <f>E135+F135</f>
        <v>1214506</v>
      </c>
      <c r="H135" s="172">
        <f>IF($G$208=0,0,G135/$G$208)</f>
        <v>0.12932119115036408</v>
      </c>
      <c r="I135" s="337"/>
      <c r="J135" s="183">
        <v>44493</v>
      </c>
      <c r="K135" s="183">
        <v>47773</v>
      </c>
      <c r="M135" s="364">
        <f t="shared" si="34"/>
        <v>33.061276711582956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573">
        <f>'[12]Sch C'!D137</f>
        <v>409824</v>
      </c>
      <c r="D136" s="573">
        <f>'[12]Sch C'!F137</f>
        <v>0</v>
      </c>
      <c r="E136" s="171">
        <f t="shared" si="36"/>
        <v>409824</v>
      </c>
      <c r="F136" s="171"/>
      <c r="G136" s="171">
        <f>E136+F136</f>
        <v>409824</v>
      </c>
      <c r="H136" s="172">
        <f>IF($G$208=0,0,G136/$G$208)</f>
        <v>4.3638259376245825E-2</v>
      </c>
      <c r="I136" s="337"/>
      <c r="J136" s="183">
        <v>20353</v>
      </c>
      <c r="K136" s="183">
        <v>21699</v>
      </c>
      <c r="M136" s="364">
        <f t="shared" si="34"/>
        <v>11.156227031441405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573">
        <f>'[12]Sch C'!D138</f>
        <v>1380967</v>
      </c>
      <c r="D137" s="573">
        <f>'[12]Sch C'!F138</f>
        <v>108069</v>
      </c>
      <c r="E137" s="171">
        <f t="shared" si="36"/>
        <v>1489036</v>
      </c>
      <c r="F137" s="171"/>
      <c r="G137" s="171">
        <f>E137+F137</f>
        <v>1489036</v>
      </c>
      <c r="H137" s="172">
        <f>IF($G$208=0,0,G137/$G$208)</f>
        <v>0.15855327942865124</v>
      </c>
      <c r="I137" s="337"/>
      <c r="J137" s="183">
        <v>123701</v>
      </c>
      <c r="K137" s="183">
        <v>139424</v>
      </c>
      <c r="M137" s="364">
        <f t="shared" si="34"/>
        <v>40.534531101129716</v>
      </c>
      <c r="N137" s="359">
        <f>SUMMARY!J140</f>
        <v>27.843137668277773</v>
      </c>
    </row>
    <row r="138" spans="1:14" s="167" customFormat="1">
      <c r="A138" s="169"/>
      <c r="B138" s="473" t="s">
        <v>422</v>
      </c>
      <c r="C138" s="573">
        <f>'[12]Sch C'!D139</f>
        <v>108069</v>
      </c>
      <c r="D138" s="573">
        <f>'[12]Sch C'!F139</f>
        <v>-108069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7"/>
      <c r="J138" s="183">
        <v>0</v>
      </c>
      <c r="K138" s="183">
        <v>0</v>
      </c>
      <c r="M138" s="364">
        <f t="shared" si="34"/>
        <v>0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7"/>
      <c r="J139" s="406"/>
      <c r="K139" s="406"/>
      <c r="M139" s="364"/>
      <c r="N139" s="359"/>
    </row>
    <row r="140" spans="1:14" s="167" customFormat="1">
      <c r="A140" s="169"/>
      <c r="B140" s="473" t="s">
        <v>428</v>
      </c>
      <c r="C140" s="573">
        <f>'[12]Sch C'!D141</f>
        <v>625482</v>
      </c>
      <c r="D140" s="573">
        <f>'[12]Sch C'!F141</f>
        <v>-381485</v>
      </c>
      <c r="E140" s="171">
        <f t="shared" ref="E140:E143" si="37">C140+D140</f>
        <v>243997</v>
      </c>
      <c r="F140" s="171"/>
      <c r="G140" s="171">
        <f>E140+F140</f>
        <v>243997</v>
      </c>
      <c r="H140" s="172">
        <f>IF($G$208=0,0,G140/$G$208)</f>
        <v>2.5980919548454585E-2</v>
      </c>
      <c r="I140" s="337"/>
      <c r="J140" s="168"/>
      <c r="K140" s="168"/>
      <c r="M140" s="364">
        <f t="shared" si="34"/>
        <v>6.6420852048455155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573">
        <f>'[12]Sch C'!D142</f>
        <v>0</v>
      </c>
      <c r="D141" s="573">
        <f>'[12]Sch C'!F142</f>
        <v>82335</v>
      </c>
      <c r="E141" s="171">
        <f t="shared" si="37"/>
        <v>82335</v>
      </c>
      <c r="F141" s="171"/>
      <c r="G141" s="171">
        <f>E141+F141</f>
        <v>82335</v>
      </c>
      <c r="H141" s="172">
        <f>IF($G$208=0,0,G141/$G$208)</f>
        <v>8.7670709517822278E-3</v>
      </c>
      <c r="I141" s="337"/>
      <c r="J141" s="168"/>
      <c r="K141" s="168"/>
      <c r="M141" s="364">
        <f t="shared" si="34"/>
        <v>2.2413229889750919</v>
      </c>
      <c r="N141" s="359">
        <f>SUMMARY!J144</f>
        <v>1.7548113884114069</v>
      </c>
    </row>
    <row r="142" spans="1:14" s="167" customFormat="1">
      <c r="A142" s="169"/>
      <c r="B142" s="473" t="s">
        <v>429</v>
      </c>
      <c r="C142" s="573">
        <f>'[12]Sch C'!D143</f>
        <v>0</v>
      </c>
      <c r="D142" s="573">
        <f>'[12]Sch C'!F143</f>
        <v>266151</v>
      </c>
      <c r="E142" s="171">
        <f t="shared" si="37"/>
        <v>266151</v>
      </c>
      <c r="F142" s="171"/>
      <c r="G142" s="171">
        <f>E142+F142</f>
        <v>266151</v>
      </c>
      <c r="H142" s="172">
        <f>IF($G$208=0,0,G142/$G$208)</f>
        <v>2.8339888272153904E-2</v>
      </c>
      <c r="I142" s="337"/>
      <c r="J142" s="168"/>
      <c r="K142" s="168"/>
      <c r="M142" s="364">
        <f t="shared" si="34"/>
        <v>7.2451612903225806</v>
      </c>
      <c r="N142" s="359">
        <f>SUMMARY!J145</f>
        <v>5.0558410725664986</v>
      </c>
    </row>
    <row r="143" spans="1:14" s="167" customFormat="1">
      <c r="A143" s="169"/>
      <c r="B143" s="272" t="s">
        <v>423</v>
      </c>
      <c r="C143" s="573">
        <f>'[12]Sch C'!D144</f>
        <v>0</v>
      </c>
      <c r="D143" s="573">
        <f>'[12]Sch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7"/>
      <c r="J143" s="168"/>
      <c r="K143" s="168"/>
      <c r="M143" s="364">
        <f t="shared" si="34"/>
        <v>0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7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573">
        <f>'[12]Sch C'!D146</f>
        <v>46500</v>
      </c>
      <c r="D145" s="573">
        <f>'[12]Sch C'!F146</f>
        <v>0</v>
      </c>
      <c r="E145" s="171">
        <f t="shared" ref="E145:E153" si="38">C145+D145</f>
        <v>46500</v>
      </c>
      <c r="F145" s="171"/>
      <c r="G145" s="171">
        <f t="shared" ref="G145:G153" si="39">E145+F145</f>
        <v>46500</v>
      </c>
      <c r="H145" s="172">
        <f t="shared" ref="H145:H153" si="40">IF($G$208=0,0,G145/$G$208)</f>
        <v>4.9513426763572429E-3</v>
      </c>
      <c r="I145" s="337"/>
      <c r="J145" s="183">
        <v>309</v>
      </c>
      <c r="K145" s="183">
        <v>309</v>
      </c>
      <c r="M145" s="364">
        <f t="shared" si="34"/>
        <v>1.2658227848101267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573">
        <f>'[12]Sch C'!D147</f>
        <v>0</v>
      </c>
      <c r="D146" s="573">
        <f>'[12]Sch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337"/>
      <c r="J146" s="183">
        <v>0</v>
      </c>
      <c r="K146" s="183">
        <v>0</v>
      </c>
      <c r="M146" s="364">
        <f t="shared" si="34"/>
        <v>0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573">
        <f>'[12]Sch C'!D148</f>
        <v>0</v>
      </c>
      <c r="D147" s="573">
        <f>'[12]Sch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7"/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573">
        <f>'[12]Sch C'!D149</f>
        <v>0</v>
      </c>
      <c r="D148" s="573">
        <f>'[12]Sch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7"/>
      <c r="J148" s="183">
        <v>0</v>
      </c>
      <c r="K148" s="183">
        <v>0</v>
      </c>
      <c r="M148" s="364">
        <f t="shared" si="34"/>
        <v>0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573">
        <f>'[12]Sch C'!D150</f>
        <v>455</v>
      </c>
      <c r="D149" s="573">
        <f>'[12]Sch C'!F150</f>
        <v>0</v>
      </c>
      <c r="E149" s="171">
        <f t="shared" si="38"/>
        <v>455</v>
      </c>
      <c r="F149" s="171"/>
      <c r="G149" s="171">
        <f t="shared" si="39"/>
        <v>455</v>
      </c>
      <c r="H149" s="172">
        <f t="shared" si="40"/>
        <v>4.8448621886936466E-5</v>
      </c>
      <c r="I149" s="337"/>
      <c r="J149" s="183">
        <v>0</v>
      </c>
      <c r="K149" s="183">
        <v>0</v>
      </c>
      <c r="M149" s="364">
        <f t="shared" si="34"/>
        <v>1.2386007894378657E-2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573">
        <f>'[12]Sch C'!D151</f>
        <v>138542</v>
      </c>
      <c r="D150" s="573">
        <f>'[12]Sch C'!F151</f>
        <v>0</v>
      </c>
      <c r="E150" s="171">
        <f t="shared" si="38"/>
        <v>138542</v>
      </c>
      <c r="F150" s="171"/>
      <c r="G150" s="171">
        <f t="shared" si="39"/>
        <v>138542</v>
      </c>
      <c r="H150" s="172">
        <f t="shared" si="40"/>
        <v>1.4752019721890003E-2</v>
      </c>
      <c r="I150" s="337"/>
      <c r="J150" s="168"/>
      <c r="K150" s="168"/>
      <c r="M150" s="364">
        <f t="shared" si="34"/>
        <v>3.7713896828637541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573">
        <f>'[12]Sch C'!D152</f>
        <v>54489</v>
      </c>
      <c r="D151" s="573">
        <f>'[12]Sch C'!F152</f>
        <v>0</v>
      </c>
      <c r="E151" s="171">
        <f t="shared" si="38"/>
        <v>54489</v>
      </c>
      <c r="F151" s="171">
        <v>-4192</v>
      </c>
      <c r="G151" s="171">
        <f t="shared" si="39"/>
        <v>50297</v>
      </c>
      <c r="H151" s="172">
        <f t="shared" si="40"/>
        <v>5.3556490880159189E-3</v>
      </c>
      <c r="I151" s="337"/>
      <c r="J151" s="168"/>
      <c r="K151" s="168"/>
      <c r="M151" s="364">
        <f t="shared" si="34"/>
        <v>1.3691847012386007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573">
        <f>'[12]Sch C'!D153</f>
        <v>0</v>
      </c>
      <c r="D152" s="573">
        <f>'[12]Sch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7"/>
      <c r="J152" s="168"/>
      <c r="K152" s="168"/>
      <c r="M152" s="364">
        <f t="shared" si="34"/>
        <v>0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573">
        <f>'[12]Sch C'!D154</f>
        <v>18</v>
      </c>
      <c r="D153" s="573">
        <f>'[12]Sch C'!F154</f>
        <v>0</v>
      </c>
      <c r="E153" s="171">
        <f t="shared" si="38"/>
        <v>18</v>
      </c>
      <c r="F153" s="171"/>
      <c r="G153" s="171">
        <f t="shared" si="39"/>
        <v>18</v>
      </c>
      <c r="H153" s="172">
        <f t="shared" si="40"/>
        <v>1.9166487779447393E-6</v>
      </c>
      <c r="I153" s="337"/>
      <c r="J153" s="168"/>
      <c r="K153" s="168"/>
      <c r="M153" s="364">
        <f t="shared" si="34"/>
        <v>4.8999591670069421E-4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210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573">
        <f>'[12]Sch C'!D156</f>
        <v>0</v>
      </c>
      <c r="D155" s="573">
        <f>'[12]Sch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573">
        <f>'[12]Sch C'!D157</f>
        <v>0</v>
      </c>
      <c r="D156" s="573">
        <f>'[12]Sch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573">
        <f>'[12]Sch C'!D158</f>
        <v>0</v>
      </c>
      <c r="D157" s="573">
        <f>'[12]Sch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7"/>
      <c r="J157" s="168"/>
      <c r="K157" s="168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573">
        <f>'[12]Sch C'!D159</f>
        <v>0</v>
      </c>
      <c r="D158" s="573">
        <f>'[12]Sch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573">
        <f>'[12]Sch C'!D160</f>
        <v>0</v>
      </c>
      <c r="D159" s="573">
        <f>'[12]Sch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7"/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573">
        <f>'[12]Sch C'!D161</f>
        <v>53123</v>
      </c>
      <c r="D160" s="573">
        <f>'[12]Sch C'!F161</f>
        <v>0</v>
      </c>
      <c r="E160" s="171">
        <f t="shared" si="41"/>
        <v>53123</v>
      </c>
      <c r="F160" s="171">
        <v>-662</v>
      </c>
      <c r="G160" s="171">
        <f t="shared" si="42"/>
        <v>52461</v>
      </c>
      <c r="H160" s="172">
        <f t="shared" si="43"/>
        <v>5.5860728633199425E-3</v>
      </c>
      <c r="I160" s="337"/>
      <c r="J160" s="168"/>
      <c r="K160" s="168"/>
      <c r="M160" s="364">
        <f t="shared" si="34"/>
        <v>1.4280930992241732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573">
        <f>SUM(C123:C160)</f>
        <v>4627034</v>
      </c>
      <c r="D161" s="573">
        <f>SUM(D123:D160)</f>
        <v>-32999</v>
      </c>
      <c r="E161" s="171">
        <f t="shared" ref="E161" si="44">SUM(E123:E160)</f>
        <v>4594035</v>
      </c>
      <c r="F161" s="171">
        <f>SUM(F123:F160)</f>
        <v>-4854</v>
      </c>
      <c r="G161" s="171">
        <f>SUM(G123:G160)</f>
        <v>4589181</v>
      </c>
      <c r="H161" s="172">
        <f t="shared" si="43"/>
        <v>0.488658230856512</v>
      </c>
      <c r="I161" s="337"/>
      <c r="J161" s="168"/>
      <c r="K161" s="168"/>
      <c r="M161" s="364">
        <f>G161/G$228</f>
        <v>124.92666394446712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337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7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573">
        <f>'[12]Sch C'!D175</f>
        <v>0</v>
      </c>
      <c r="D164" s="573">
        <f>'[12]Sch C'!F175</f>
        <v>0</v>
      </c>
      <c r="E164" s="171">
        <f t="shared" ref="E164:E196" si="45">C164+D164</f>
        <v>0</v>
      </c>
      <c r="F164" s="665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573">
        <f>'[12]Sch C'!D176</f>
        <v>0</v>
      </c>
      <c r="D165" s="573">
        <f>'[12]Sch C'!F176</f>
        <v>0</v>
      </c>
      <c r="E165" s="171">
        <f t="shared" si="45"/>
        <v>0</v>
      </c>
      <c r="F165" s="665"/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573">
        <f>'[12]Sch C'!D177</f>
        <v>0</v>
      </c>
      <c r="D166" s="573">
        <f>'[12]Sch C'!F177</f>
        <v>0</v>
      </c>
      <c r="E166" s="171">
        <f t="shared" si="45"/>
        <v>0</v>
      </c>
      <c r="F166" s="665"/>
      <c r="G166" s="171">
        <f t="shared" si="46"/>
        <v>0</v>
      </c>
      <c r="H166" s="172">
        <f t="shared" si="47"/>
        <v>0</v>
      </c>
      <c r="I166" s="343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573">
        <f>'[12]Sch C'!D178</f>
        <v>0</v>
      </c>
      <c r="D167" s="573">
        <f>'[12]Sch C'!F178</f>
        <v>0</v>
      </c>
      <c r="E167" s="171">
        <f t="shared" si="45"/>
        <v>0</v>
      </c>
      <c r="F167" s="665"/>
      <c r="G167" s="171">
        <f t="shared" si="46"/>
        <v>0</v>
      </c>
      <c r="H167" s="172">
        <f t="shared" si="47"/>
        <v>0</v>
      </c>
      <c r="I167" s="344"/>
      <c r="J167" s="222"/>
      <c r="K167" s="222"/>
      <c r="L167" s="218"/>
      <c r="M167" s="364">
        <f t="shared" si="48"/>
        <v>0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573">
        <f>'[12]Sch C'!D179</f>
        <v>0</v>
      </c>
      <c r="D168" s="573">
        <f>'[12]Sch C'!F179</f>
        <v>0</v>
      </c>
      <c r="E168" s="171">
        <f t="shared" si="45"/>
        <v>0</v>
      </c>
      <c r="F168" s="665"/>
      <c r="G168" s="171">
        <f t="shared" si="46"/>
        <v>0</v>
      </c>
      <c r="H168" s="172">
        <f t="shared" si="47"/>
        <v>0</v>
      </c>
      <c r="I168" s="343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573">
        <f>'[12]Sch C'!D180</f>
        <v>0</v>
      </c>
      <c r="D169" s="573">
        <f>'[12]Sch C'!F180</f>
        <v>0</v>
      </c>
      <c r="E169" s="171">
        <f t="shared" si="45"/>
        <v>0</v>
      </c>
      <c r="F169" s="665"/>
      <c r="G169" s="171">
        <f t="shared" si="46"/>
        <v>0</v>
      </c>
      <c r="H169" s="172">
        <f t="shared" si="47"/>
        <v>0</v>
      </c>
      <c r="I169" s="344"/>
      <c r="J169" s="222"/>
      <c r="K169" s="222"/>
      <c r="L169" s="218"/>
      <c r="M169" s="364">
        <f t="shared" si="48"/>
        <v>0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573">
        <f>'[12]Sch C'!D181</f>
        <v>0</v>
      </c>
      <c r="D170" s="573">
        <f>'[12]Sch C'!F181</f>
        <v>0</v>
      </c>
      <c r="E170" s="171">
        <f t="shared" si="45"/>
        <v>0</v>
      </c>
      <c r="F170" s="665"/>
      <c r="G170" s="171">
        <f t="shared" si="46"/>
        <v>0</v>
      </c>
      <c r="H170" s="172">
        <f t="shared" si="47"/>
        <v>0</v>
      </c>
      <c r="I170" s="343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573">
        <f>'[12]Sch C'!D182</f>
        <v>0</v>
      </c>
      <c r="D171" s="573">
        <f>'[12]Sch C'!F182</f>
        <v>0</v>
      </c>
      <c r="E171" s="171">
        <f t="shared" si="45"/>
        <v>0</v>
      </c>
      <c r="F171" s="665"/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573">
        <f>'[12]Sch C'!D183</f>
        <v>0</v>
      </c>
      <c r="D172" s="573">
        <f>'[12]Sch C'!F183</f>
        <v>0</v>
      </c>
      <c r="E172" s="171">
        <f t="shared" si="45"/>
        <v>0</v>
      </c>
      <c r="F172" s="665"/>
      <c r="G172" s="171">
        <f t="shared" si="46"/>
        <v>0</v>
      </c>
      <c r="H172" s="172">
        <f t="shared" si="47"/>
        <v>0</v>
      </c>
      <c r="I172" s="343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573">
        <f>'[12]Sch C'!D184</f>
        <v>0</v>
      </c>
      <c r="D173" s="573">
        <f>'[12]Sch C'!F184</f>
        <v>0</v>
      </c>
      <c r="E173" s="171">
        <f t="shared" si="45"/>
        <v>0</v>
      </c>
      <c r="F173" s="665"/>
      <c r="G173" s="171">
        <f t="shared" si="46"/>
        <v>0</v>
      </c>
      <c r="H173" s="172">
        <f t="shared" si="47"/>
        <v>0</v>
      </c>
      <c r="I173" s="344"/>
      <c r="J173" s="222"/>
      <c r="K173" s="222"/>
      <c r="L173" s="218"/>
      <c r="M173" s="364">
        <f t="shared" si="48"/>
        <v>0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573">
        <f>'[12]Sch C'!D185</f>
        <v>0</v>
      </c>
      <c r="D174" s="573">
        <f>'[12]Sch C'!F185</f>
        <v>0</v>
      </c>
      <c r="E174" s="171">
        <f t="shared" si="45"/>
        <v>0</v>
      </c>
      <c r="F174" s="665"/>
      <c r="G174" s="171">
        <f t="shared" si="46"/>
        <v>0</v>
      </c>
      <c r="H174" s="172">
        <f t="shared" si="47"/>
        <v>0</v>
      </c>
      <c r="I174" s="343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573">
        <f>'[12]Sch C'!D186</f>
        <v>0</v>
      </c>
      <c r="D175" s="573">
        <f>'[12]Sch C'!F186</f>
        <v>0</v>
      </c>
      <c r="E175" s="171">
        <f t="shared" si="45"/>
        <v>0</v>
      </c>
      <c r="F175" s="665"/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573">
        <f>'[12]Sch C'!D187</f>
        <v>0</v>
      </c>
      <c r="D176" s="573">
        <f>'[12]Sch C'!F187</f>
        <v>0</v>
      </c>
      <c r="E176" s="171">
        <f t="shared" si="45"/>
        <v>0</v>
      </c>
      <c r="F176" s="665"/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573">
        <f>'[12]Sch C'!D188</f>
        <v>56</v>
      </c>
      <c r="D177" s="573">
        <f>'[12]Sch C'!F188</f>
        <v>0</v>
      </c>
      <c r="E177" s="171">
        <f t="shared" si="45"/>
        <v>56</v>
      </c>
      <c r="F177" s="665"/>
      <c r="G177" s="171">
        <f t="shared" si="46"/>
        <v>56</v>
      </c>
      <c r="H177" s="172">
        <f t="shared" si="47"/>
        <v>5.9629073091614109E-6</v>
      </c>
      <c r="I177" s="337"/>
      <c r="J177" s="223"/>
      <c r="K177" s="218"/>
      <c r="L177" s="220"/>
      <c r="M177" s="364">
        <f t="shared" si="48"/>
        <v>1.524431740846604E-3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573">
        <f>'[12]Sch C'!D189</f>
        <v>0</v>
      </c>
      <c r="D178" s="573">
        <f>'[12]Sch C'!F189</f>
        <v>0</v>
      </c>
      <c r="E178" s="171">
        <f t="shared" si="45"/>
        <v>0</v>
      </c>
      <c r="F178" s="665"/>
      <c r="G178" s="171">
        <f t="shared" si="46"/>
        <v>0</v>
      </c>
      <c r="H178" s="172">
        <f t="shared" si="47"/>
        <v>0</v>
      </c>
      <c r="I178" s="337"/>
      <c r="J178" s="223"/>
      <c r="K178" s="218"/>
      <c r="L178" s="220"/>
      <c r="M178" s="364">
        <f t="shared" si="48"/>
        <v>0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573">
        <f>'[12]Sch C'!D190</f>
        <v>0</v>
      </c>
      <c r="D179" s="573">
        <f>'[12]Sch C'!F190</f>
        <v>0</v>
      </c>
      <c r="E179" s="171">
        <f t="shared" si="45"/>
        <v>0</v>
      </c>
      <c r="F179" s="665"/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573">
        <f>'[12]Sch C'!D191</f>
        <v>0</v>
      </c>
      <c r="D180" s="573">
        <f>'[12]Sch C'!F191</f>
        <v>0</v>
      </c>
      <c r="E180" s="171">
        <f t="shared" si="45"/>
        <v>0</v>
      </c>
      <c r="F180" s="665"/>
      <c r="G180" s="171">
        <f t="shared" si="46"/>
        <v>0</v>
      </c>
      <c r="H180" s="172">
        <f t="shared" si="47"/>
        <v>0</v>
      </c>
      <c r="I180" s="337"/>
      <c r="J180" s="223"/>
      <c r="K180" s="218"/>
      <c r="L180" s="220"/>
      <c r="M180" s="364">
        <f t="shared" si="48"/>
        <v>0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573">
        <f>'[12]Sch C'!D192</f>
        <v>0</v>
      </c>
      <c r="D181" s="573">
        <f>'[12]Sch C'!F192</f>
        <v>0</v>
      </c>
      <c r="E181" s="171">
        <f t="shared" si="45"/>
        <v>0</v>
      </c>
      <c r="F181" s="665"/>
      <c r="G181" s="171">
        <f t="shared" si="46"/>
        <v>0</v>
      </c>
      <c r="H181" s="172">
        <f t="shared" si="47"/>
        <v>0</v>
      </c>
      <c r="I181" s="337"/>
      <c r="J181" s="223"/>
      <c r="K181" s="218"/>
      <c r="L181" s="220"/>
      <c r="M181" s="364">
        <f t="shared" si="48"/>
        <v>0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573">
        <f>'[12]Sch C'!D193</f>
        <v>12472</v>
      </c>
      <c r="D182" s="573">
        <f>'[12]Sch C'!F193</f>
        <v>0</v>
      </c>
      <c r="E182" s="171">
        <f t="shared" si="45"/>
        <v>12472</v>
      </c>
      <c r="F182" s="665"/>
      <c r="G182" s="171">
        <f t="shared" si="46"/>
        <v>12472</v>
      </c>
      <c r="H182" s="172">
        <f t="shared" si="47"/>
        <v>1.328024642140377E-3</v>
      </c>
      <c r="I182" s="337"/>
      <c r="J182" s="223"/>
      <c r="K182" s="218"/>
      <c r="L182" s="220"/>
      <c r="M182" s="364">
        <f t="shared" si="48"/>
        <v>0.33951272628283652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573">
        <f>'[12]Sch C'!D194</f>
        <v>417632</v>
      </c>
      <c r="D183" s="573">
        <f>'[12]Sch C'!F194</f>
        <v>0</v>
      </c>
      <c r="E183" s="171">
        <f t="shared" si="45"/>
        <v>417632</v>
      </c>
      <c r="F183" s="665"/>
      <c r="G183" s="171">
        <f t="shared" si="46"/>
        <v>417632</v>
      </c>
      <c r="H183" s="172">
        <f t="shared" si="47"/>
        <v>4.4469659023923185E-2</v>
      </c>
      <c r="I183" s="337"/>
      <c r="J183" s="223"/>
      <c r="K183" s="218"/>
      <c r="M183" s="364">
        <f t="shared" si="48"/>
        <v>11.368776371308018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573">
        <f>'[12]Sch C'!D195</f>
        <v>180393</v>
      </c>
      <c r="D184" s="573">
        <f>'[12]Sch C'!F195</f>
        <v>0</v>
      </c>
      <c r="E184" s="171">
        <f t="shared" si="45"/>
        <v>180393</v>
      </c>
      <c r="F184" s="665"/>
      <c r="G184" s="171">
        <f t="shared" si="46"/>
        <v>180393</v>
      </c>
      <c r="H184" s="172">
        <f t="shared" si="47"/>
        <v>1.9208334611099186E-2</v>
      </c>
      <c r="I184" s="337"/>
      <c r="J184" s="223"/>
      <c r="K184" s="218"/>
      <c r="M184" s="364">
        <f t="shared" si="48"/>
        <v>4.9106574111882404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573">
        <f>'[12]Sch C'!D196</f>
        <v>0</v>
      </c>
      <c r="D185" s="573">
        <f>'[12]Sch C'!F196</f>
        <v>0</v>
      </c>
      <c r="E185" s="171">
        <f t="shared" si="45"/>
        <v>0</v>
      </c>
      <c r="F185" s="665"/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573">
        <f>'[12]Sch C'!D197</f>
        <v>241123</v>
      </c>
      <c r="D186" s="573">
        <f>'[12]Sch C'!F197</f>
        <v>0</v>
      </c>
      <c r="E186" s="171">
        <f t="shared" si="45"/>
        <v>241123</v>
      </c>
      <c r="F186" s="665"/>
      <c r="G186" s="171">
        <f t="shared" si="46"/>
        <v>241123</v>
      </c>
      <c r="H186" s="172">
        <f t="shared" si="47"/>
        <v>2.5674894626909407E-2</v>
      </c>
      <c r="I186" s="337"/>
      <c r="J186" s="223"/>
      <c r="K186" s="218"/>
      <c r="M186" s="364">
        <f t="shared" si="48"/>
        <v>6.5638491901456373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573">
        <f>'[12]Sch C'!D198</f>
        <v>65236</v>
      </c>
      <c r="D187" s="573">
        <f>'[12]Sch C'!F198</f>
        <v>0</v>
      </c>
      <c r="E187" s="171">
        <f t="shared" si="45"/>
        <v>65236</v>
      </c>
      <c r="F187" s="665"/>
      <c r="G187" s="171">
        <f t="shared" si="46"/>
        <v>65236</v>
      </c>
      <c r="H187" s="172">
        <f t="shared" si="47"/>
        <v>6.9463610932223889E-3</v>
      </c>
      <c r="I187" s="337"/>
      <c r="J187" s="223"/>
      <c r="K187" s="218"/>
      <c r="M187" s="364">
        <f t="shared" si="48"/>
        <v>1.7758540901048048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573">
        <f>'[12]Sch C'!D199</f>
        <v>0</v>
      </c>
      <c r="D188" s="573">
        <f>'[12]Sch C'!F199</f>
        <v>0</v>
      </c>
      <c r="E188" s="171">
        <f t="shared" si="45"/>
        <v>0</v>
      </c>
      <c r="F188" s="665"/>
      <c r="G188" s="171">
        <f t="shared" si="46"/>
        <v>0</v>
      </c>
      <c r="H188" s="172">
        <f t="shared" si="47"/>
        <v>0</v>
      </c>
      <c r="I188" s="337"/>
      <c r="J188" s="223"/>
      <c r="K188" s="218"/>
      <c r="M188" s="364">
        <f t="shared" si="48"/>
        <v>0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573">
        <f>'[12]Sch C'!D200</f>
        <v>0</v>
      </c>
      <c r="D189" s="573">
        <f>'[12]Sch C'!F200</f>
        <v>0</v>
      </c>
      <c r="E189" s="171">
        <f t="shared" si="45"/>
        <v>0</v>
      </c>
      <c r="F189" s="665"/>
      <c r="G189" s="171">
        <f t="shared" si="46"/>
        <v>0</v>
      </c>
      <c r="H189" s="172">
        <f t="shared" si="47"/>
        <v>0</v>
      </c>
      <c r="I189" s="337"/>
      <c r="J189" s="223"/>
      <c r="K189" s="218"/>
      <c r="M189" s="364">
        <f t="shared" si="48"/>
        <v>0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573">
        <f>'[12]Sch C'!D201</f>
        <v>0</v>
      </c>
      <c r="D190" s="573">
        <f>'[12]Sch C'!F201</f>
        <v>0</v>
      </c>
      <c r="E190" s="171">
        <f t="shared" si="45"/>
        <v>0</v>
      </c>
      <c r="F190" s="665"/>
      <c r="G190" s="171">
        <f t="shared" si="46"/>
        <v>0</v>
      </c>
      <c r="H190" s="172">
        <f t="shared" si="47"/>
        <v>0</v>
      </c>
      <c r="I190" s="337"/>
      <c r="J190" s="223"/>
      <c r="K190" s="218"/>
      <c r="M190" s="364">
        <f t="shared" si="48"/>
        <v>0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573">
        <f>'[12]Sch C'!D202</f>
        <v>0</v>
      </c>
      <c r="D191" s="573">
        <f>'[12]Sch C'!F202</f>
        <v>0</v>
      </c>
      <c r="E191" s="171">
        <f t="shared" si="45"/>
        <v>0</v>
      </c>
      <c r="F191" s="665"/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573">
        <f>'[12]Sch C'!D203</f>
        <v>0</v>
      </c>
      <c r="D192" s="573">
        <f>'[12]Sch C'!F203</f>
        <v>0</v>
      </c>
      <c r="E192" s="171">
        <f t="shared" si="45"/>
        <v>0</v>
      </c>
      <c r="F192" s="665"/>
      <c r="G192" s="171">
        <f t="shared" si="46"/>
        <v>0</v>
      </c>
      <c r="H192" s="172">
        <f t="shared" si="47"/>
        <v>0</v>
      </c>
      <c r="I192" s="337"/>
      <c r="J192" s="223"/>
      <c r="K192" s="218"/>
      <c r="M192" s="364">
        <f t="shared" si="48"/>
        <v>0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573">
        <f>'[12]Sch C'!D204</f>
        <v>0</v>
      </c>
      <c r="D193" s="573">
        <f>'[12]Sch C'!F204</f>
        <v>0</v>
      </c>
      <c r="E193" s="171">
        <f t="shared" si="45"/>
        <v>0</v>
      </c>
      <c r="F193" s="665"/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573">
        <f>'[12]Sch C'!D205</f>
        <v>444353</v>
      </c>
      <c r="D194" s="573">
        <f>'[12]Sch C'!F205</f>
        <v>0</v>
      </c>
      <c r="E194" s="171">
        <f t="shared" si="45"/>
        <v>444353</v>
      </c>
      <c r="F194" s="665"/>
      <c r="G194" s="171">
        <f t="shared" si="46"/>
        <v>444353</v>
      </c>
      <c r="H194" s="172">
        <f t="shared" si="47"/>
        <v>4.7314924134782152E-2</v>
      </c>
      <c r="I194" s="337"/>
      <c r="J194" s="223"/>
      <c r="K194" s="218"/>
      <c r="M194" s="364">
        <f t="shared" si="48"/>
        <v>12.096175309650198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573">
        <f>'[12]Sch C'!D206</f>
        <v>8493</v>
      </c>
      <c r="D195" s="573">
        <f>'[12]Sch C'!F206</f>
        <v>0</v>
      </c>
      <c r="E195" s="171">
        <f t="shared" si="45"/>
        <v>8493</v>
      </c>
      <c r="F195" s="665"/>
      <c r="G195" s="171">
        <f t="shared" si="46"/>
        <v>8493</v>
      </c>
      <c r="H195" s="172">
        <f t="shared" si="47"/>
        <v>9.0433878172692611E-4</v>
      </c>
      <c r="I195" s="337"/>
      <c r="J195" s="223"/>
      <c r="K195" s="218"/>
      <c r="M195" s="364">
        <f t="shared" si="48"/>
        <v>0.23119640669661087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573">
        <f>'[12]Sch C'!D207</f>
        <v>4697</v>
      </c>
      <c r="D196" s="573">
        <f>'[12]Sch C'!F207</f>
        <v>0</v>
      </c>
      <c r="E196" s="171">
        <f t="shared" si="45"/>
        <v>4697</v>
      </c>
      <c r="F196" s="665"/>
      <c r="G196" s="171">
        <f t="shared" si="46"/>
        <v>4697</v>
      </c>
      <c r="H196" s="172">
        <f t="shared" si="47"/>
        <v>5.0013885055591337E-4</v>
      </c>
      <c r="I196" s="337"/>
      <c r="J196" s="223"/>
      <c r="K196" s="218"/>
      <c r="M196" s="364">
        <f t="shared" si="48"/>
        <v>0.12786171226350893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573">
        <f>SUM(C164:C196)</f>
        <v>1374455</v>
      </c>
      <c r="D197" s="573">
        <f>SUM(D164:D196)</f>
        <v>0</v>
      </c>
      <c r="E197" s="171">
        <f t="shared" ref="E197" si="49">SUM(E164:E196)</f>
        <v>1374455</v>
      </c>
      <c r="F197" s="171">
        <f>SUM(F164:F196)</f>
        <v>0</v>
      </c>
      <c r="G197" s="171">
        <f>SUM(G164:G196)</f>
        <v>1374455</v>
      </c>
      <c r="H197" s="172">
        <f>IF($G$208=0,0,G197/$G$208)</f>
        <v>0.1463526386716687</v>
      </c>
      <c r="I197" s="337"/>
      <c r="J197" s="168"/>
      <c r="K197" s="168"/>
      <c r="M197" s="364">
        <f>G197/G$228</f>
        <v>37.415407649380697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165"/>
      <c r="G198" s="165"/>
      <c r="H198" s="198"/>
      <c r="I198" s="341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1"/>
      <c r="J199" s="168"/>
      <c r="K199" s="168"/>
      <c r="M199" s="359"/>
      <c r="N199" s="359"/>
    </row>
    <row r="200" spans="1:16" s="167" customFormat="1">
      <c r="A200" s="169" t="s">
        <v>85</v>
      </c>
      <c r="B200" s="474" t="s">
        <v>424</v>
      </c>
      <c r="C200" s="573">
        <f>'[12]Sch C'!D211</f>
        <v>220503</v>
      </c>
      <c r="D200" s="573">
        <f>'[12]Sch C'!F211</f>
        <v>0</v>
      </c>
      <c r="E200" s="171">
        <f t="shared" ref="E200:E205" si="50">C200+D200</f>
        <v>220503</v>
      </c>
      <c r="F200" s="171"/>
      <c r="G200" s="171">
        <f t="shared" ref="G200:G205" si="51">E200+F200</f>
        <v>220503</v>
      </c>
      <c r="H200" s="172">
        <f t="shared" ref="H200:H206" si="52">IF($G$208=0,0,G200/$G$208)</f>
        <v>2.3479266971286047E-2</v>
      </c>
      <c r="I200" s="337"/>
      <c r="J200" s="183">
        <v>13508</v>
      </c>
      <c r="K200" s="183">
        <v>14288</v>
      </c>
      <c r="M200" s="364">
        <f t="shared" ref="M200:M205" si="53">G200/G$228</f>
        <v>6.0025316455696203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425</v>
      </c>
      <c r="C201" s="573">
        <f>'[12]Sch C'!D212</f>
        <v>51539</v>
      </c>
      <c r="D201" s="573">
        <f>'[12]Sch C'!F212</f>
        <v>0</v>
      </c>
      <c r="E201" s="171">
        <f t="shared" si="50"/>
        <v>51539</v>
      </c>
      <c r="F201" s="171"/>
      <c r="G201" s="171">
        <f t="shared" si="51"/>
        <v>51539</v>
      </c>
      <c r="H201" s="172">
        <f t="shared" si="52"/>
        <v>5.4878978536941061E-3</v>
      </c>
      <c r="I201" s="337"/>
      <c r="J201" s="168"/>
      <c r="K201" s="168"/>
      <c r="M201" s="364">
        <f t="shared" si="53"/>
        <v>1.4029944194909487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573">
        <f>'[12]Sch C'!D213</f>
        <v>5043</v>
      </c>
      <c r="D202" s="573">
        <f>'[12]Sch C'!F213</f>
        <v>0</v>
      </c>
      <c r="E202" s="171">
        <f t="shared" si="50"/>
        <v>5043</v>
      </c>
      <c r="F202" s="171"/>
      <c r="G202" s="171">
        <f t="shared" si="51"/>
        <v>5043</v>
      </c>
      <c r="H202" s="172">
        <f t="shared" si="52"/>
        <v>5.3698109928751773E-4</v>
      </c>
      <c r="I202" s="337"/>
      <c r="J202" s="168"/>
      <c r="K202" s="168"/>
      <c r="M202" s="364">
        <f t="shared" si="53"/>
        <v>0.13728052266231114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573">
        <f>'[12]Sch C'!D214</f>
        <v>0</v>
      </c>
      <c r="D203" s="573">
        <f>'[12]Sch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>
        <f t="shared" si="53"/>
        <v>0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573">
        <f>'[12]Sch C'!D215</f>
        <v>0</v>
      </c>
      <c r="D204" s="573">
        <f>'[12]Sch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573">
        <f>'[12]Sch C'!D216</f>
        <v>9262</v>
      </c>
      <c r="D205" s="573">
        <f>'[12]Sch C'!F216</f>
        <v>0</v>
      </c>
      <c r="E205" s="171">
        <f t="shared" si="50"/>
        <v>9262</v>
      </c>
      <c r="F205" s="171"/>
      <c r="G205" s="171">
        <f t="shared" si="51"/>
        <v>9262</v>
      </c>
      <c r="H205" s="172">
        <f t="shared" si="52"/>
        <v>9.86222276740232E-4</v>
      </c>
      <c r="I205" s="337"/>
      <c r="J205" s="168"/>
      <c r="K205" s="168"/>
      <c r="M205" s="364">
        <f t="shared" si="53"/>
        <v>0.25213012113787941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573">
        <f>SUM(C200:C205)</f>
        <v>286347</v>
      </c>
      <c r="D206" s="573">
        <f>SUM(D200:D205)</f>
        <v>0</v>
      </c>
      <c r="E206" s="171">
        <f t="shared" ref="E206" si="54">SUM(E200:E205)</f>
        <v>286347</v>
      </c>
      <c r="F206" s="171">
        <f>SUM(F200:F205)</f>
        <v>0</v>
      </c>
      <c r="G206" s="171">
        <f>SUM(G200:G205)</f>
        <v>286347</v>
      </c>
      <c r="H206" s="172">
        <f t="shared" si="52"/>
        <v>3.0490368201007902E-2</v>
      </c>
      <c r="I206" s="337"/>
      <c r="J206" s="168"/>
      <c r="K206" s="168"/>
      <c r="M206" s="364">
        <f>G206/G$228</f>
        <v>7.7949367088607593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573">
        <f>SUM(C25:C206)/2</f>
        <v>9997209</v>
      </c>
      <c r="D208" s="573">
        <f>SUM(D25:D206)/2</f>
        <v>-603642</v>
      </c>
      <c r="E208" s="171">
        <f t="shared" ref="E208:F208" si="55">SUM(E25:E206)/2</f>
        <v>9393567</v>
      </c>
      <c r="F208" s="171">
        <f t="shared" si="55"/>
        <v>-2175</v>
      </c>
      <c r="G208" s="171">
        <f>SUM(G25:G206)/2</f>
        <v>9391392</v>
      </c>
      <c r="H208" s="172">
        <f>IF($G$208=0,0,G208/$G$208)</f>
        <v>1</v>
      </c>
      <c r="I208" s="337"/>
      <c r="J208" s="183">
        <f>SUM(J25:J200)</f>
        <v>297008</v>
      </c>
      <c r="K208" s="183">
        <f>SUM(K25:K200)</f>
        <v>324184</v>
      </c>
      <c r="M208" s="364">
        <f>G208/G$228</f>
        <v>255.65242956308697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573">
        <f>'[12]Sch C'!D221</f>
        <v>9997209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573">
        <f>C208-C211</f>
        <v>0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619"/>
      <c r="D213" s="232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573">
        <f>C21-C208</f>
        <v>838885</v>
      </c>
      <c r="D215" s="573">
        <f>D21-D208</f>
        <v>596608</v>
      </c>
      <c r="E215" s="171">
        <f t="shared" ref="E215:F215" si="56">E21-E208</f>
        <v>1435493</v>
      </c>
      <c r="F215" s="171">
        <f t="shared" si="56"/>
        <v>2175</v>
      </c>
      <c r="G215" s="171">
        <f>G21-G208</f>
        <v>1437668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653">
        <f>'[12]Sch D'!C9</f>
        <v>1299</v>
      </c>
      <c r="D219" s="653"/>
      <c r="E219" s="235">
        <f t="shared" ref="E219:G227" si="57">C219+D219</f>
        <v>1299</v>
      </c>
      <c r="F219" s="461"/>
      <c r="G219" s="235">
        <f t="shared" si="57"/>
        <v>1299</v>
      </c>
      <c r="H219" s="172">
        <f t="shared" ref="H219:H228" si="58">IF($G$228=0,0,G219/$G$228)</f>
        <v>3.5361371988566759E-2</v>
      </c>
      <c r="I219" s="337"/>
      <c r="J219" s="168"/>
      <c r="K219" s="168"/>
    </row>
    <row r="220" spans="1:14">
      <c r="A220" s="163"/>
      <c r="B220" s="170" t="s">
        <v>217</v>
      </c>
      <c r="C220" s="653">
        <f>'[12]Sch D'!D9</f>
        <v>0</v>
      </c>
      <c r="D220" s="653"/>
      <c r="E220" s="235">
        <f t="shared" ref="E220:E227" si="59">C220+D220</f>
        <v>0</v>
      </c>
      <c r="F220" s="461"/>
      <c r="G220" s="235">
        <f t="shared" si="57"/>
        <v>0</v>
      </c>
      <c r="H220" s="172">
        <f t="shared" si="58"/>
        <v>0</v>
      </c>
      <c r="I220" s="337"/>
      <c r="J220" s="168"/>
      <c r="K220" s="168"/>
    </row>
    <row r="221" spans="1:14">
      <c r="A221" s="163"/>
      <c r="B221" s="170" t="s">
        <v>72</v>
      </c>
      <c r="C221" s="653">
        <f>'[12]Sch D'!E9</f>
        <v>4385</v>
      </c>
      <c r="D221" s="653"/>
      <c r="E221" s="235">
        <f t="shared" si="59"/>
        <v>4385</v>
      </c>
      <c r="F221" s="461"/>
      <c r="G221" s="235">
        <f t="shared" si="57"/>
        <v>4385</v>
      </c>
      <c r="H221" s="172">
        <f t="shared" si="58"/>
        <v>0.11936844970736354</v>
      </c>
      <c r="I221" s="337"/>
      <c r="J221" s="168"/>
      <c r="K221" s="168"/>
    </row>
    <row r="222" spans="1:14">
      <c r="A222" s="163"/>
      <c r="B222" s="202" t="s">
        <v>334</v>
      </c>
      <c r="C222" s="653">
        <f>'[12]Sch D'!F9</f>
        <v>877</v>
      </c>
      <c r="D222" s="653"/>
      <c r="E222" s="235">
        <f>C222+D222</f>
        <v>877</v>
      </c>
      <c r="F222" s="461"/>
      <c r="G222" s="235">
        <f>E222+F222</f>
        <v>877</v>
      </c>
      <c r="H222" s="172">
        <f t="shared" si="58"/>
        <v>2.3873689941472709E-2</v>
      </c>
      <c r="I222" s="337"/>
      <c r="J222" s="168"/>
      <c r="K222" s="168"/>
    </row>
    <row r="223" spans="1:14">
      <c r="A223" s="163"/>
      <c r="B223" s="170" t="s">
        <v>73</v>
      </c>
      <c r="C223" s="653">
        <f>'[12]Sch D'!G9</f>
        <v>6588</v>
      </c>
      <c r="D223" s="653"/>
      <c r="E223" s="235">
        <f t="shared" si="59"/>
        <v>6588</v>
      </c>
      <c r="F223" s="461"/>
      <c r="G223" s="235">
        <f t="shared" si="57"/>
        <v>6588</v>
      </c>
      <c r="H223" s="172">
        <f t="shared" si="58"/>
        <v>0.17933850551245406</v>
      </c>
      <c r="I223" s="337"/>
      <c r="J223" s="168"/>
      <c r="K223" s="168"/>
    </row>
    <row r="224" spans="1:14">
      <c r="A224" s="163"/>
      <c r="B224" s="170" t="s">
        <v>74</v>
      </c>
      <c r="C224" s="653">
        <f>'[12]Sch D'!H9</f>
        <v>22783</v>
      </c>
      <c r="D224" s="653"/>
      <c r="E224" s="235">
        <f t="shared" si="59"/>
        <v>22783</v>
      </c>
      <c r="F224" s="461"/>
      <c r="G224" s="235">
        <f t="shared" si="57"/>
        <v>22783</v>
      </c>
      <c r="H224" s="172">
        <f t="shared" si="58"/>
        <v>0.6201987205662175</v>
      </c>
      <c r="I224" s="337"/>
      <c r="J224" s="168"/>
      <c r="K224" s="168"/>
    </row>
    <row r="225" spans="1:11">
      <c r="A225" s="163"/>
      <c r="B225" s="170" t="s">
        <v>236</v>
      </c>
      <c r="C225" s="653">
        <f>'[12]Sch D'!I9</f>
        <v>442</v>
      </c>
      <c r="D225" s="653"/>
      <c r="E225" s="235">
        <f t="shared" si="59"/>
        <v>442</v>
      </c>
      <c r="F225" s="461"/>
      <c r="G225" s="235">
        <f t="shared" si="57"/>
        <v>442</v>
      </c>
      <c r="H225" s="172">
        <f t="shared" si="58"/>
        <v>1.2032121954539267E-2</v>
      </c>
      <c r="I225" s="337"/>
      <c r="J225" s="168"/>
      <c r="K225" s="168"/>
    </row>
    <row r="226" spans="1:11">
      <c r="A226" s="163"/>
      <c r="B226" s="170" t="s">
        <v>537</v>
      </c>
      <c r="C226" s="653">
        <f>'[12]Sch D'!J9</f>
        <v>0</v>
      </c>
      <c r="D226" s="653"/>
      <c r="E226" s="235">
        <f>C226+D226</f>
        <v>0</v>
      </c>
      <c r="F226" s="461"/>
      <c r="G226" s="235">
        <f>E226+F226</f>
        <v>0</v>
      </c>
      <c r="H226" s="172">
        <f t="shared" si="58"/>
        <v>0</v>
      </c>
      <c r="I226" s="337"/>
      <c r="J226" s="168"/>
      <c r="K226" s="168"/>
    </row>
    <row r="227" spans="1:11">
      <c r="A227" s="163"/>
      <c r="B227" s="170" t="s">
        <v>179</v>
      </c>
      <c r="C227" s="653">
        <f>'[12]Sch D'!K9</f>
        <v>361</v>
      </c>
      <c r="D227" s="653"/>
      <c r="E227" s="235">
        <f t="shared" si="59"/>
        <v>361</v>
      </c>
      <c r="F227" s="234"/>
      <c r="G227" s="235">
        <f t="shared" si="57"/>
        <v>361</v>
      </c>
      <c r="H227" s="172">
        <f t="shared" si="58"/>
        <v>9.8271403293861432E-3</v>
      </c>
      <c r="I227" s="337"/>
      <c r="J227" s="168"/>
      <c r="K227" s="168"/>
    </row>
    <row r="228" spans="1:11" ht="13.5" thickBot="1">
      <c r="A228" s="163"/>
      <c r="B228" s="236" t="s">
        <v>75</v>
      </c>
      <c r="C228" s="653">
        <f>SUM(C219:C227)</f>
        <v>36735</v>
      </c>
      <c r="D228" s="653">
        <f>SUM(D219:D227)</f>
        <v>0</v>
      </c>
      <c r="E228" s="237">
        <f>SUM(E219:E227)</f>
        <v>36735</v>
      </c>
      <c r="F228" s="237">
        <f>SUM(F219:F227)</f>
        <v>0</v>
      </c>
      <c r="G228" s="237">
        <f>SUM(G219:G227)</f>
        <v>36735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620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619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654">
        <f>'[12]Sch D'!N22</f>
        <v>108</v>
      </c>
      <c r="D231" s="574"/>
      <c r="E231" s="235">
        <f>C231+D231</f>
        <v>108</v>
      </c>
      <c r="F231" s="235"/>
      <c r="G231" s="235">
        <f>E231+F231</f>
        <v>108</v>
      </c>
      <c r="H231" s="167"/>
      <c r="J231" s="168"/>
      <c r="K231" s="168"/>
    </row>
    <row r="232" spans="1:11">
      <c r="A232" s="163"/>
      <c r="B232" s="202" t="s">
        <v>290</v>
      </c>
      <c r="C232" s="654">
        <f>'[12]Sch D'!N24</f>
        <v>108</v>
      </c>
      <c r="D232" s="574"/>
      <c r="E232" s="235">
        <f>C232+D232</f>
        <v>108</v>
      </c>
      <c r="F232" s="235">
        <v>-96</v>
      </c>
      <c r="G232" s="235">
        <f>E232+F232</f>
        <v>12</v>
      </c>
      <c r="H232" s="167" t="s">
        <v>657</v>
      </c>
      <c r="J232" s="168"/>
      <c r="K232" s="168"/>
    </row>
    <row r="233" spans="1:11">
      <c r="A233" s="163"/>
      <c r="B233" s="202" t="s">
        <v>76</v>
      </c>
      <c r="C233" s="654">
        <f>$C$4-$C$3+1</f>
        <v>365</v>
      </c>
      <c r="D233" s="489"/>
      <c r="E233" s="235">
        <f>C233+D233</f>
        <v>365</v>
      </c>
      <c r="F233" s="240"/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621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654">
        <f>'[12]Sch D'!N28</f>
        <v>39420</v>
      </c>
      <c r="D235" s="489"/>
      <c r="E235" s="234">
        <f>E231*E233</f>
        <v>39420</v>
      </c>
      <c r="F235" s="240"/>
      <c r="G235" s="234">
        <f>G231*G233</f>
        <v>39420</v>
      </c>
      <c r="H235" s="167"/>
      <c r="J235" s="168"/>
      <c r="K235" s="168"/>
    </row>
    <row r="236" spans="1:11" ht="26">
      <c r="A236" s="163"/>
      <c r="B236" s="244" t="s">
        <v>336</v>
      </c>
      <c r="C236" s="655">
        <f>'[12]Sch D'!N30</f>
        <v>0.93188736681887363</v>
      </c>
      <c r="D236" s="240"/>
      <c r="E236" s="245">
        <f>E228/E235</f>
        <v>0.93188736681887363</v>
      </c>
      <c r="F236" s="246"/>
      <c r="G236" s="245">
        <f>G228/G235</f>
        <v>0.93188736681887363</v>
      </c>
      <c r="H236" s="167"/>
      <c r="J236" s="168"/>
      <c r="K236" s="168"/>
    </row>
    <row r="237" spans="1:11" ht="26">
      <c r="A237" s="163"/>
      <c r="B237" s="244" t="s">
        <v>337</v>
      </c>
      <c r="C237" s="655">
        <f>'[12]Sch D'!N32</f>
        <v>3.2952815829528158E-2</v>
      </c>
      <c r="D237" s="240"/>
      <c r="E237" s="245">
        <f>(E219+E220)/E235</f>
        <v>3.2952815829528158E-2</v>
      </c>
      <c r="F237" s="246"/>
      <c r="G237" s="245">
        <f>(G219+G220)/G235</f>
        <v>3.2952815829528158E-2</v>
      </c>
      <c r="H237" s="167"/>
      <c r="J237" s="168"/>
      <c r="K237" s="168"/>
    </row>
    <row r="238" spans="1:11" ht="26">
      <c r="A238" s="163"/>
      <c r="B238" s="244" t="s">
        <v>338</v>
      </c>
      <c r="C238" s="655">
        <f>'[12]Sch D'!N34</f>
        <v>3.5361371988566766E-2</v>
      </c>
      <c r="D238" s="240"/>
      <c r="E238" s="245">
        <f>(E237/E236)</f>
        <v>3.5361371988566766E-2</v>
      </c>
      <c r="F238" s="246"/>
      <c r="G238" s="245">
        <f>(G237/G236)</f>
        <v>3.5361371988566766E-2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73">
        <f>'[12]Sch B'!C85</f>
        <v>218.5964095639446</v>
      </c>
    </row>
    <row r="242" spans="2:7">
      <c r="F242" s="142" t="s">
        <v>341</v>
      </c>
      <c r="G242" s="573">
        <f>'[12]Sch B'!E85</f>
        <v>218.59637625541839</v>
      </c>
    </row>
    <row r="243" spans="2:7">
      <c r="F243" s="142" t="s">
        <v>342</v>
      </c>
      <c r="G243" s="573">
        <f>'[12]Sch B'!G85</f>
        <v>218.59624671381354</v>
      </c>
    </row>
    <row r="244" spans="2:7">
      <c r="F244" s="142" t="s">
        <v>343</v>
      </c>
      <c r="G244" s="573">
        <f>'[12]Sch B'!I85</f>
        <v>218.59625288975272</v>
      </c>
    </row>
    <row r="245" spans="2:7">
      <c r="F245" s="142"/>
    </row>
    <row r="246" spans="2:7">
      <c r="B246" s="459"/>
    </row>
    <row r="247" spans="2:7" ht="15">
      <c r="B247" s="460"/>
    </row>
    <row r="248" spans="2:7" ht="15">
      <c r="B248" s="460"/>
    </row>
    <row r="249" spans="2:7" ht="15">
      <c r="B249" s="475"/>
    </row>
  </sheetData>
  <printOptions horizontalCentered="1"/>
  <pageMargins left="0" right="0" top="0.75" bottom="1" header="0.5" footer="0.5"/>
  <pageSetup scale="70" orientation="portrait" horizontalDpi="300" verticalDpi="300" r:id="rId1"/>
  <headerFooter alignWithMargins="0">
    <oddFooter>&amp;R&amp;D
&amp;T
&amp;F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">
    <tabColor rgb="FFE28CAB"/>
  </sheetPr>
  <dimension ref="A1:Q245"/>
  <sheetViews>
    <sheetView showGridLines="0" zoomScale="90" zoomScaleNormal="90" workbookViewId="0">
      <pane xSplit="2" topLeftCell="C1" activePane="topRight" state="frozen"/>
      <selection activeCell="N1" sqref="N1"/>
      <selection pane="topRight"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478"/>
      <c r="E1" s="478"/>
      <c r="F1" s="478"/>
      <c r="G1" s="478"/>
      <c r="H1" s="478"/>
      <c r="I1" s="479"/>
    </row>
    <row r="2" spans="1:14" ht="23">
      <c r="B2" s="143" t="s">
        <v>189</v>
      </c>
      <c r="C2" s="485" t="s">
        <v>507</v>
      </c>
      <c r="D2"/>
      <c r="F2"/>
    </row>
    <row r="3" spans="1:14">
      <c r="A3" s="145"/>
      <c r="B3" s="140" t="s">
        <v>79</v>
      </c>
      <c r="C3" s="495">
        <v>41821</v>
      </c>
      <c r="D3" s="144"/>
      <c r="E3" s="147"/>
    </row>
    <row r="4" spans="1:14">
      <c r="A4" s="145"/>
      <c r="B4" s="148" t="s">
        <v>80</v>
      </c>
      <c r="C4" s="495">
        <v>42185</v>
      </c>
      <c r="D4" s="144"/>
      <c r="E4" s="149"/>
      <c r="G4" s="150"/>
    </row>
    <row r="5" spans="1:14">
      <c r="A5" s="145"/>
      <c r="B5" s="148"/>
      <c r="C5" s="151"/>
      <c r="D5" s="144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144"/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490">
        <f>'[13]Sch B'!E10</f>
        <v>2455039</v>
      </c>
      <c r="D11" s="490">
        <f>'[13]Sch B'!G10</f>
        <v>0</v>
      </c>
      <c r="E11" s="171">
        <f>C11+D11</f>
        <v>2455039</v>
      </c>
      <c r="F11" s="171"/>
      <c r="G11" s="171">
        <f t="shared" ref="G11:G20" si="0">E11+F11</f>
        <v>2455039</v>
      </c>
      <c r="H11" s="172">
        <f t="shared" ref="H11:H21" si="1">IF($G$21=0,0,G11/$G$21)</f>
        <v>0.55046470366522948</v>
      </c>
      <c r="I11" s="337"/>
      <c r="J11" s="368" t="s">
        <v>344</v>
      </c>
      <c r="K11" s="369">
        <f>G21</f>
        <v>4459939</v>
      </c>
      <c r="M11" s="359">
        <f>IFERROR(G11/G219,0)</f>
        <v>186.89395554202193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490">
        <f>'[13]Sch B'!E15</f>
        <v>0</v>
      </c>
      <c r="D12" s="490">
        <f>'[13]Sch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7"/>
      <c r="J12" s="370" t="s">
        <v>345</v>
      </c>
      <c r="K12" s="371">
        <f>G208</f>
        <v>4473054.652411487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490">
        <f>'[13]Sch B'!E21</f>
        <v>1005736</v>
      </c>
      <c r="D13" s="490">
        <f>'[13]Sch B'!G21</f>
        <v>0</v>
      </c>
      <c r="E13" s="171">
        <f t="shared" si="2"/>
        <v>1005736</v>
      </c>
      <c r="F13" s="171"/>
      <c r="G13" s="171">
        <f t="shared" si="0"/>
        <v>1005736</v>
      </c>
      <c r="H13" s="172">
        <f t="shared" si="1"/>
        <v>0.22550442954488839</v>
      </c>
      <c r="I13" s="337"/>
      <c r="J13" s="370" t="s">
        <v>346</v>
      </c>
      <c r="K13" s="371">
        <f>G228</f>
        <v>18619</v>
      </c>
      <c r="M13" s="359">
        <f t="shared" si="3"/>
        <v>485.15967197298602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490">
        <f>'[13]Sch B'!E27</f>
        <v>727660</v>
      </c>
      <c r="D14" s="490">
        <f>'[13]Sch B'!G27</f>
        <v>0</v>
      </c>
      <c r="E14" s="171">
        <f t="shared" si="2"/>
        <v>727660</v>
      </c>
      <c r="F14" s="175"/>
      <c r="G14" s="175">
        <f>E14+F14</f>
        <v>727660</v>
      </c>
      <c r="H14" s="176">
        <f t="shared" si="1"/>
        <v>0.163154697855733</v>
      </c>
      <c r="I14" s="338"/>
      <c r="J14" s="370" t="s">
        <v>347</v>
      </c>
      <c r="K14" s="371">
        <f>G231</f>
        <v>108</v>
      </c>
      <c r="M14" s="359">
        <f t="shared" si="3"/>
        <v>367.50505050505052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490">
        <f>'[13]Sch B'!E32</f>
        <v>0</v>
      </c>
      <c r="D15" s="490">
        <f>'[13]Sch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7"/>
      <c r="J15" s="370" t="s">
        <v>348</v>
      </c>
      <c r="K15" s="371">
        <f>G235</f>
        <v>39420</v>
      </c>
      <c r="M15" s="359">
        <f t="shared" si="3"/>
        <v>0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490">
        <f>'[13]Sch B'!E37</f>
        <v>85216</v>
      </c>
      <c r="D16" s="490">
        <f>'[13]Sch B'!G37</f>
        <v>0</v>
      </c>
      <c r="E16" s="171">
        <f t="shared" si="2"/>
        <v>85216</v>
      </c>
      <c r="F16" s="171"/>
      <c r="G16" s="171">
        <f t="shared" si="0"/>
        <v>85216</v>
      </c>
      <c r="H16" s="172">
        <f t="shared" si="1"/>
        <v>1.910698778615582E-2</v>
      </c>
      <c r="I16" s="337"/>
      <c r="J16" s="372"/>
      <c r="K16" s="371"/>
      <c r="M16" s="359">
        <f t="shared" si="3"/>
        <v>201.4562647754137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490">
        <f>'[13]Sch B'!E42</f>
        <v>0</v>
      </c>
      <c r="D17" s="490">
        <f>'[13]Sch B'!G42</f>
        <v>0</v>
      </c>
      <c r="E17" s="171">
        <f t="shared" si="2"/>
        <v>0</v>
      </c>
      <c r="F17" s="171"/>
      <c r="G17" s="171">
        <f>E17+F17</f>
        <v>0</v>
      </c>
      <c r="H17" s="172">
        <f t="shared" si="1"/>
        <v>0</v>
      </c>
      <c r="I17" s="337"/>
      <c r="J17" s="370" t="s">
        <v>156</v>
      </c>
      <c r="K17" s="371">
        <f>J208</f>
        <v>98049</v>
      </c>
      <c r="M17" s="359">
        <f t="shared" si="3"/>
        <v>0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490">
        <f>'[13]Sch B'!E47</f>
        <v>185707</v>
      </c>
      <c r="D18" s="490">
        <f>'[13]Sch B'!G47</f>
        <v>0</v>
      </c>
      <c r="E18" s="171">
        <f t="shared" si="2"/>
        <v>185707</v>
      </c>
      <c r="F18" s="171"/>
      <c r="G18" s="171">
        <f>E18+F18</f>
        <v>185707</v>
      </c>
      <c r="H18" s="172">
        <f t="shared" si="1"/>
        <v>4.1638910307966098E-2</v>
      </c>
      <c r="I18" s="337"/>
      <c r="J18" s="373" t="s">
        <v>252</v>
      </c>
      <c r="K18" s="374">
        <f>K208</f>
        <v>103326</v>
      </c>
      <c r="M18" s="359">
        <f t="shared" si="3"/>
        <v>184.41608738828202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490">
        <f>'[13]Sch B'!E52</f>
        <v>0</v>
      </c>
      <c r="D19" s="490">
        <f>'[13]Sch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337"/>
      <c r="J19" s="168"/>
      <c r="K19" s="168"/>
      <c r="M19" s="359">
        <f t="shared" si="3"/>
        <v>0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490">
        <f>'[13]Sch B'!E67</f>
        <v>581</v>
      </c>
      <c r="D20" s="490">
        <f>'[13]Sch B'!G67</f>
        <v>0</v>
      </c>
      <c r="E20" s="171">
        <f t="shared" si="2"/>
        <v>581</v>
      </c>
      <c r="F20" s="171"/>
      <c r="G20" s="171">
        <f t="shared" si="0"/>
        <v>581</v>
      </c>
      <c r="H20" s="172">
        <f t="shared" si="1"/>
        <v>1.3027084002718422E-4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490">
        <f>SUM(C11:C20)</f>
        <v>4459939</v>
      </c>
      <c r="D21" s="490">
        <f>SUM(D11:D20)</f>
        <v>0</v>
      </c>
      <c r="E21" s="171">
        <f>SUM(E11:E20)</f>
        <v>4459939</v>
      </c>
      <c r="F21" s="171">
        <f>SUM(F11:F20)</f>
        <v>0</v>
      </c>
      <c r="G21" s="171">
        <f>SUM(G11:G20)</f>
        <v>4459939</v>
      </c>
      <c r="H21" s="172">
        <f t="shared" si="1"/>
        <v>1</v>
      </c>
      <c r="I21" s="337"/>
      <c r="J21" s="168"/>
      <c r="K21" s="168"/>
      <c r="M21" s="359">
        <f>IFERROR(G21/G228,0)</f>
        <v>239.53697835544335</v>
      </c>
      <c r="N21" s="359">
        <f>SUMMARY!J24</f>
        <v>264.67475627099196</v>
      </c>
    </row>
    <row r="22" spans="1:14">
      <c r="A22" s="145"/>
      <c r="B22" s="179"/>
      <c r="C22" s="151"/>
      <c r="D22" s="144"/>
      <c r="F22" s="144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4">
      <c r="A24" s="181" t="s">
        <v>161</v>
      </c>
      <c r="B24" s="148" t="s">
        <v>12</v>
      </c>
      <c r="M24" s="363"/>
      <c r="N24" s="363"/>
    </row>
    <row r="25" spans="1:14" s="167" customFormat="1">
      <c r="A25" s="169" t="s">
        <v>83</v>
      </c>
      <c r="B25" s="170" t="s">
        <v>14</v>
      </c>
      <c r="C25" s="490">
        <f>'[13]Sch C'!D10</f>
        <v>126494</v>
      </c>
      <c r="D25" s="490">
        <f>'[13]Sch C'!F10</f>
        <v>6810</v>
      </c>
      <c r="E25" s="171">
        <f t="shared" ref="E25:E60" si="4">C25+D25</f>
        <v>133304</v>
      </c>
      <c r="F25" s="171"/>
      <c r="G25" s="182">
        <f>E25+F25</f>
        <v>133304</v>
      </c>
      <c r="H25" s="172">
        <f>IF($G$208=0,0,G25/$G$208)</f>
        <v>2.9801558522906474E-2</v>
      </c>
      <c r="I25" s="337"/>
      <c r="J25" s="183">
        <v>2682</v>
      </c>
      <c r="K25" s="183">
        <v>2826</v>
      </c>
      <c r="M25" s="359">
        <f>G25/G$228</f>
        <v>7.1595681830388314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490">
        <f>'[13]Sch C'!D11</f>
        <v>0</v>
      </c>
      <c r="D26" s="490">
        <f>'[13]Sch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490">
        <f>'[13]Sch C'!D12</f>
        <v>150971</v>
      </c>
      <c r="D27" s="490">
        <f>'[13]Sch C'!F12</f>
        <v>-10482.077289094985</v>
      </c>
      <c r="E27" s="171">
        <f t="shared" si="4"/>
        <v>140488.92271090503</v>
      </c>
      <c r="F27" s="171"/>
      <c r="G27" s="171">
        <f t="shared" si="5"/>
        <v>140488.92271090503</v>
      </c>
      <c r="H27" s="172">
        <f t="shared" si="6"/>
        <v>3.140782611166297E-2</v>
      </c>
      <c r="I27" s="337"/>
      <c r="J27" s="185">
        <v>7220</v>
      </c>
      <c r="K27" s="185">
        <v>7608</v>
      </c>
      <c r="M27" s="359">
        <f t="shared" si="7"/>
        <v>7.5454601595630821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490">
        <f>'[13]Sch C'!D13</f>
        <v>403934</v>
      </c>
      <c r="D28" s="490">
        <f>'[13]Sch C'!F13</f>
        <v>-364721.90082618716</v>
      </c>
      <c r="E28" s="171">
        <f t="shared" si="4"/>
        <v>39212.099173812836</v>
      </c>
      <c r="F28" s="171"/>
      <c r="G28" s="171">
        <f t="shared" si="5"/>
        <v>39212.099173812836</v>
      </c>
      <c r="H28" s="172">
        <f t="shared" si="6"/>
        <v>8.7662910965492086E-3</v>
      </c>
      <c r="I28" s="337"/>
      <c r="J28" s="168"/>
      <c r="K28" s="168"/>
      <c r="M28" s="359">
        <f t="shared" si="7"/>
        <v>2.1060260579952113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490">
        <f>'[13]Sch C'!D14</f>
        <v>0</v>
      </c>
      <c r="D29" s="490">
        <f>'[13]Sch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490">
        <f>'[13]Sch C'!D15</f>
        <v>0</v>
      </c>
      <c r="D30" s="490">
        <f>'[13]Sch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7"/>
      <c r="J30" s="168"/>
      <c r="K30" s="168"/>
      <c r="M30" s="359">
        <f t="shared" si="7"/>
        <v>0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490">
        <f>'[13]Sch C'!D16</f>
        <v>222028</v>
      </c>
      <c r="D31" s="490">
        <f>'[13]Sch C'!F16</f>
        <v>155158.09955737408</v>
      </c>
      <c r="E31" s="171">
        <f t="shared" si="4"/>
        <v>377186.09955737408</v>
      </c>
      <c r="F31" s="171"/>
      <c r="G31" s="171">
        <f t="shared" si="5"/>
        <v>377186.09955737408</v>
      </c>
      <c r="H31" s="172">
        <f t="shared" si="6"/>
        <v>8.4324053441651489E-2</v>
      </c>
      <c r="I31" s="337"/>
      <c r="J31" s="168"/>
      <c r="K31" s="168"/>
      <c r="M31" s="359">
        <f t="shared" si="7"/>
        <v>20.258128769395462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490">
        <f>'[13]Sch C'!D17</f>
        <v>0</v>
      </c>
      <c r="D32" s="490">
        <f>'[13]Sch C'!F17</f>
        <v>0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7"/>
      <c r="J32" s="168"/>
      <c r="K32" s="168"/>
      <c r="M32" s="359">
        <f t="shared" si="7"/>
        <v>0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490">
        <f>'[13]Sch C'!D18</f>
        <v>10658</v>
      </c>
      <c r="D33" s="490">
        <f>'[13]Sch C'!F18</f>
        <v>0</v>
      </c>
      <c r="E33" s="171">
        <f t="shared" si="4"/>
        <v>10658</v>
      </c>
      <c r="F33" s="171"/>
      <c r="G33" s="171">
        <f t="shared" si="5"/>
        <v>10658</v>
      </c>
      <c r="H33" s="172">
        <f t="shared" si="6"/>
        <v>2.3827117771194951E-3</v>
      </c>
      <c r="I33" s="337"/>
      <c r="J33" s="168"/>
      <c r="K33" s="168"/>
      <c r="M33" s="359">
        <f t="shared" si="7"/>
        <v>0.5724260164348246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490">
        <f>'[13]Sch C'!D19</f>
        <v>13331</v>
      </c>
      <c r="D34" s="490">
        <f>'[13]Sch C'!F19</f>
        <v>-1325.9004</v>
      </c>
      <c r="E34" s="171">
        <f t="shared" si="4"/>
        <v>12005.0996</v>
      </c>
      <c r="F34" s="171"/>
      <c r="G34" s="171">
        <f t="shared" si="5"/>
        <v>12005.0996</v>
      </c>
      <c r="H34" s="172">
        <f t="shared" si="6"/>
        <v>2.6838705387889415E-3</v>
      </c>
      <c r="I34" s="337"/>
      <c r="J34" s="168"/>
      <c r="K34" s="168"/>
      <c r="M34" s="359">
        <f t="shared" si="7"/>
        <v>0.64477681937805464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490">
        <f>'[13]Sch C'!D20</f>
        <v>16044</v>
      </c>
      <c r="D35" s="490">
        <f>'[13]Sch C'!F20</f>
        <v>0</v>
      </c>
      <c r="E35" s="171">
        <f t="shared" si="4"/>
        <v>16044</v>
      </c>
      <c r="F35" s="171"/>
      <c r="G35" s="171">
        <f t="shared" si="5"/>
        <v>16044</v>
      </c>
      <c r="H35" s="172">
        <f t="shared" si="6"/>
        <v>3.5868106354011242E-3</v>
      </c>
      <c r="I35" s="337"/>
      <c r="J35" s="168"/>
      <c r="K35" s="168"/>
      <c r="M35" s="359">
        <f t="shared" si="7"/>
        <v>0.86170041355604488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490">
        <f>'[13]Sch C'!D21</f>
        <v>8247</v>
      </c>
      <c r="D36" s="490">
        <f>'[13]Sch C'!F21</f>
        <v>0</v>
      </c>
      <c r="E36" s="171">
        <f t="shared" si="4"/>
        <v>8247</v>
      </c>
      <c r="F36" s="171"/>
      <c r="G36" s="171">
        <f t="shared" si="5"/>
        <v>8247</v>
      </c>
      <c r="H36" s="172">
        <f t="shared" si="6"/>
        <v>1.8437065139711463E-3</v>
      </c>
      <c r="I36" s="337"/>
      <c r="J36" s="168"/>
      <c r="K36" s="168"/>
      <c r="M36" s="359">
        <f t="shared" si="7"/>
        <v>0.44293463666147481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490">
        <f>'[13]Sch C'!D22</f>
        <v>0</v>
      </c>
      <c r="D37" s="490">
        <f>'[13]Sch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490">
        <f>'[13]Sch C'!D23</f>
        <v>8932</v>
      </c>
      <c r="D38" s="490">
        <f>'[13]Sch C'!F23</f>
        <v>0</v>
      </c>
      <c r="E38" s="171">
        <f t="shared" si="4"/>
        <v>8932</v>
      </c>
      <c r="F38" s="171"/>
      <c r="G38" s="171">
        <f t="shared" si="5"/>
        <v>8932</v>
      </c>
      <c r="H38" s="172">
        <f t="shared" si="6"/>
        <v>1.9968457115060361E-3</v>
      </c>
      <c r="I38" s="337"/>
      <c r="J38" s="168"/>
      <c r="K38" s="168"/>
      <c r="M38" s="359">
        <f t="shared" si="7"/>
        <v>0.47972501208442986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490">
        <f>'[13]Sch C'!D24</f>
        <v>42935</v>
      </c>
      <c r="D39" s="490">
        <f>'[13]Sch C'!F24</f>
        <v>-9600</v>
      </c>
      <c r="E39" s="171">
        <f t="shared" si="4"/>
        <v>33335</v>
      </c>
      <c r="F39" s="171"/>
      <c r="G39" s="171">
        <f t="shared" si="5"/>
        <v>33335</v>
      </c>
      <c r="H39" s="172">
        <f t="shared" si="6"/>
        <v>7.4524016785774416E-3</v>
      </c>
      <c r="I39" s="337"/>
      <c r="J39" s="168"/>
      <c r="K39" s="168"/>
      <c r="M39" s="359">
        <f t="shared" si="7"/>
        <v>1.7903754229550459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490">
        <f>'[13]Sch C'!D25</f>
        <v>0</v>
      </c>
      <c r="D40" s="490">
        <f>'[13]Sch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337"/>
      <c r="J40" s="168"/>
      <c r="K40" s="168"/>
      <c r="M40" s="359">
        <f t="shared" si="7"/>
        <v>0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490">
        <f>'[13]Sch C'!D26</f>
        <v>223321</v>
      </c>
      <c r="D41" s="490">
        <f>'[13]Sch C'!F26</f>
        <v>0</v>
      </c>
      <c r="E41" s="171">
        <f t="shared" si="4"/>
        <v>223321</v>
      </c>
      <c r="F41" s="171"/>
      <c r="G41" s="171">
        <f t="shared" si="5"/>
        <v>223321</v>
      </c>
      <c r="H41" s="172">
        <f t="shared" si="6"/>
        <v>4.9925837565969487E-2</v>
      </c>
      <c r="I41" s="337"/>
      <c r="J41" s="168"/>
      <c r="K41" s="168"/>
      <c r="M41" s="359">
        <f t="shared" si="7"/>
        <v>11.994253182233203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490">
        <f>'[13]Sch C'!D27</f>
        <v>0</v>
      </c>
      <c r="D42" s="490">
        <f>'[13]Sch C'!F27</f>
        <v>0</v>
      </c>
      <c r="E42" s="171">
        <f t="shared" si="4"/>
        <v>0</v>
      </c>
      <c r="F42" s="171"/>
      <c r="G42" s="171">
        <f t="shared" si="5"/>
        <v>0</v>
      </c>
      <c r="H42" s="172">
        <f t="shared" si="6"/>
        <v>0</v>
      </c>
      <c r="I42" s="337"/>
      <c r="J42" s="168"/>
      <c r="K42" s="168"/>
      <c r="M42" s="359">
        <f t="shared" si="7"/>
        <v>0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490">
        <f>'[13]Sch C'!D28</f>
        <v>0</v>
      </c>
      <c r="D43" s="490">
        <f>'[13]Sch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490">
        <f>'[13]Sch C'!D29</f>
        <v>104452</v>
      </c>
      <c r="D44" s="490">
        <f>'[13]Sch C'!F29</f>
        <v>-104452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490">
        <f>'[13]Sch C'!D30</f>
        <v>0</v>
      </c>
      <c r="D45" s="490">
        <f>'[13]Sch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490">
        <f>'[13]Sch C'!D31</f>
        <v>58476</v>
      </c>
      <c r="D46" s="490">
        <f>'[13]Sch C'!F31</f>
        <v>0</v>
      </c>
      <c r="E46" s="171">
        <f t="shared" si="4"/>
        <v>58476</v>
      </c>
      <c r="F46" s="171"/>
      <c r="G46" s="171">
        <f t="shared" si="5"/>
        <v>58476</v>
      </c>
      <c r="H46" s="172">
        <f t="shared" si="6"/>
        <v>1.3072945569416364E-2</v>
      </c>
      <c r="I46" s="337"/>
      <c r="J46" s="168"/>
      <c r="K46" s="168"/>
      <c r="M46" s="359">
        <f t="shared" si="7"/>
        <v>3.1406627638433857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490">
        <f>'[13]Sch C'!D32</f>
        <v>85360</v>
      </c>
      <c r="D47" s="490">
        <f>'[13]Sch C'!F32</f>
        <v>-25607.768630605344</v>
      </c>
      <c r="E47" s="171">
        <f t="shared" si="4"/>
        <v>59752.231369394656</v>
      </c>
      <c r="F47" s="171"/>
      <c r="G47" s="171">
        <f t="shared" si="5"/>
        <v>59752.231369394656</v>
      </c>
      <c r="H47" s="172">
        <f t="shared" si="6"/>
        <v>1.335826096763235E-2</v>
      </c>
      <c r="I47" s="337"/>
      <c r="J47" s="168"/>
      <c r="K47" s="168"/>
      <c r="M47" s="359">
        <f t="shared" si="7"/>
        <v>3.2092073349478842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490">
        <f>'[13]Sch C'!D33</f>
        <v>0</v>
      </c>
      <c r="D48" s="490">
        <f>'[13]Sch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490">
        <f>'[13]Sch C'!D34</f>
        <v>0</v>
      </c>
      <c r="D49" s="490">
        <f>'[13]Sch C'!F34</f>
        <v>0</v>
      </c>
      <c r="E49" s="171">
        <f t="shared" si="4"/>
        <v>0</v>
      </c>
      <c r="F49" s="171"/>
      <c r="G49" s="171">
        <f t="shared" si="5"/>
        <v>0</v>
      </c>
      <c r="H49" s="172">
        <f t="shared" si="6"/>
        <v>0</v>
      </c>
      <c r="I49" s="337"/>
      <c r="J49" s="168"/>
      <c r="K49" s="168"/>
      <c r="M49" s="359">
        <f t="shared" si="7"/>
        <v>0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490">
        <f>'[13]Sch C'!D35</f>
        <v>89</v>
      </c>
      <c r="D50" s="490">
        <f>'[13]Sch C'!F35</f>
        <v>-89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490">
        <f>'[13]Sch C'!D36</f>
        <v>0</v>
      </c>
      <c r="D51" s="490">
        <f>'[13]Sch C'!F36</f>
        <v>0</v>
      </c>
      <c r="E51" s="171">
        <f t="shared" si="4"/>
        <v>0</v>
      </c>
      <c r="F51" s="171"/>
      <c r="G51" s="171">
        <f t="shared" si="5"/>
        <v>0</v>
      </c>
      <c r="H51" s="172">
        <f t="shared" si="6"/>
        <v>0</v>
      </c>
      <c r="I51" s="337"/>
      <c r="J51" s="183">
        <v>0</v>
      </c>
      <c r="K51" s="183">
        <v>0</v>
      </c>
      <c r="M51" s="359">
        <f t="shared" si="7"/>
        <v>0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490">
        <f>'[13]Sch C'!D37</f>
        <v>0</v>
      </c>
      <c r="D52" s="490">
        <f>'[13]Sch C'!F37</f>
        <v>0</v>
      </c>
      <c r="E52" s="171">
        <f t="shared" si="4"/>
        <v>0</v>
      </c>
      <c r="F52" s="171"/>
      <c r="G52" s="171">
        <f t="shared" si="5"/>
        <v>0</v>
      </c>
      <c r="H52" s="172">
        <f t="shared" si="6"/>
        <v>0</v>
      </c>
      <c r="I52" s="337"/>
      <c r="J52" s="168"/>
      <c r="K52" s="168"/>
      <c r="M52" s="359">
        <f t="shared" si="7"/>
        <v>0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490">
        <f>'[13]Sch C'!D38</f>
        <v>0</v>
      </c>
      <c r="D53" s="490">
        <f>'[13]Sch C'!F38</f>
        <v>0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7"/>
      <c r="J53" s="168"/>
      <c r="K53" s="168"/>
      <c r="M53" s="359">
        <f t="shared" si="7"/>
        <v>0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490">
        <f>'[13]Sch C'!D39</f>
        <v>3453</v>
      </c>
      <c r="D54" s="490">
        <f>'[13]Sch C'!F39</f>
        <v>0</v>
      </c>
      <c r="E54" s="171">
        <f t="shared" si="4"/>
        <v>3453</v>
      </c>
      <c r="F54" s="171"/>
      <c r="G54" s="171">
        <f t="shared" si="5"/>
        <v>3453</v>
      </c>
      <c r="H54" s="172">
        <f t="shared" si="6"/>
        <v>7.7195569209923226E-4</v>
      </c>
      <c r="I54" s="337"/>
      <c r="J54" s="168"/>
      <c r="K54" s="168"/>
      <c r="M54" s="359">
        <f t="shared" si="7"/>
        <v>0.1854557172780493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490">
        <f>'[13]Sch C'!D40</f>
        <v>5907</v>
      </c>
      <c r="D55" s="490">
        <f>'[13]Sch C'!F40</f>
        <v>0</v>
      </c>
      <c r="E55" s="171">
        <f t="shared" si="4"/>
        <v>5907</v>
      </c>
      <c r="F55" s="171"/>
      <c r="G55" s="171">
        <f t="shared" si="5"/>
        <v>5907</v>
      </c>
      <c r="H55" s="172">
        <f t="shared" si="6"/>
        <v>1.3205740727570705E-3</v>
      </c>
      <c r="I55" s="337"/>
      <c r="J55" s="168"/>
      <c r="K55" s="168"/>
      <c r="M55" s="359">
        <f t="shared" si="7"/>
        <v>0.31725656587356998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490">
        <f>'[13]Sch C'!D41</f>
        <v>10922</v>
      </c>
      <c r="D56" s="490">
        <f>'[13]Sch C'!F41</f>
        <v>0</v>
      </c>
      <c r="E56" s="171">
        <f t="shared" si="4"/>
        <v>10922</v>
      </c>
      <c r="F56" s="171"/>
      <c r="G56" s="171">
        <f t="shared" si="5"/>
        <v>10922</v>
      </c>
      <c r="H56" s="172">
        <f t="shared" si="6"/>
        <v>2.4417318474103142E-3</v>
      </c>
      <c r="I56" s="337"/>
      <c r="J56" s="168"/>
      <c r="K56" s="168"/>
      <c r="M56" s="359">
        <f t="shared" si="7"/>
        <v>0.58660508083140872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490">
        <f>'[13]Sch C'!D42</f>
        <v>5172</v>
      </c>
      <c r="D57" s="490">
        <f>'[13]Sch C'!F42</f>
        <v>0</v>
      </c>
      <c r="E57" s="171">
        <f t="shared" si="4"/>
        <v>5172</v>
      </c>
      <c r="F57" s="171"/>
      <c r="G57" s="171">
        <f t="shared" si="5"/>
        <v>5172</v>
      </c>
      <c r="H57" s="172">
        <f t="shared" si="6"/>
        <v>1.1562568316064955E-3</v>
      </c>
      <c r="I57" s="337"/>
      <c r="J57" s="168"/>
      <c r="K57" s="168"/>
      <c r="M57" s="359">
        <f t="shared" si="7"/>
        <v>0.27778076158762555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490">
        <f>'[13]Sch C'!D43</f>
        <v>4409</v>
      </c>
      <c r="D58" s="490">
        <f>'[13]Sch C'!F43</f>
        <v>0</v>
      </c>
      <c r="E58" s="171">
        <f t="shared" si="4"/>
        <v>4409</v>
      </c>
      <c r="F58" s="171"/>
      <c r="G58" s="171">
        <f t="shared" si="5"/>
        <v>4409</v>
      </c>
      <c r="H58" s="172">
        <f t="shared" si="6"/>
        <v>9.8567988603113664E-4</v>
      </c>
      <c r="I58" s="337"/>
      <c r="J58" s="168"/>
      <c r="K58" s="168"/>
      <c r="M58" s="359">
        <f t="shared" si="7"/>
        <v>0.23680111713840701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490">
        <f>'[13]Sch C'!D44</f>
        <v>108</v>
      </c>
      <c r="D59" s="490">
        <f>'[13]Sch C'!F44</f>
        <v>0</v>
      </c>
      <c r="E59" s="171">
        <f t="shared" si="4"/>
        <v>108</v>
      </c>
      <c r="F59" s="171"/>
      <c r="G59" s="171">
        <f t="shared" si="5"/>
        <v>108</v>
      </c>
      <c r="H59" s="172">
        <f t="shared" si="6"/>
        <v>2.4144574209880417E-5</v>
      </c>
      <c r="I59" s="337"/>
      <c r="J59" s="168"/>
      <c r="K59" s="168"/>
      <c r="M59" s="359">
        <f t="shared" si="7"/>
        <v>5.8005263440571459E-3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490">
        <f>'[13]Sch C'!D45</f>
        <v>34859</v>
      </c>
      <c r="D60" s="490">
        <f>'[13]Sch C'!F45</f>
        <v>-556</v>
      </c>
      <c r="E60" s="171">
        <f t="shared" si="4"/>
        <v>34303</v>
      </c>
      <c r="F60" s="171"/>
      <c r="G60" s="171">
        <f t="shared" si="5"/>
        <v>34303</v>
      </c>
      <c r="H60" s="172">
        <f t="shared" si="6"/>
        <v>7.6688086029771101E-3</v>
      </c>
      <c r="I60" s="337"/>
      <c r="J60" s="168"/>
      <c r="K60" s="168"/>
      <c r="M60" s="359">
        <f t="shared" si="7"/>
        <v>1.842365325742521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490">
        <f>SUM(C25:C60)</f>
        <v>1540102</v>
      </c>
      <c r="D61" s="490">
        <f>SUM(D25:D60)</f>
        <v>-354866.54758851341</v>
      </c>
      <c r="E61" s="171">
        <f t="shared" ref="E61:F61" si="8">SUM(E25:E60)</f>
        <v>1185235.4524114865</v>
      </c>
      <c r="F61" s="171">
        <f t="shared" si="8"/>
        <v>0</v>
      </c>
      <c r="G61" s="171">
        <f>SUM(G25:G60)</f>
        <v>1185235.4524114865</v>
      </c>
      <c r="H61" s="186">
        <f t="shared" si="6"/>
        <v>0.26497227163824377</v>
      </c>
      <c r="I61" s="339"/>
      <c r="J61" s="168"/>
      <c r="K61" s="168"/>
      <c r="M61" s="364">
        <f>G61/G$228</f>
        <v>63.657309866882571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I62" s="340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490">
        <f>'[13]Sch C'!D57</f>
        <v>360000</v>
      </c>
      <c r="D64" s="490">
        <f>'[13]Sch C'!F57</f>
        <v>0</v>
      </c>
      <c r="E64" s="171">
        <f t="shared" ref="E64:E78" si="9">C64+D64</f>
        <v>360000</v>
      </c>
      <c r="F64" s="171"/>
      <c r="G64" s="171">
        <f t="shared" ref="G64:G78" si="10">E64+F64</f>
        <v>360000</v>
      </c>
      <c r="H64" s="172">
        <f t="shared" ref="H64:H79" si="11">IF($G$208=0,0,G64/$G$208)</f>
        <v>8.0481914032934726E-2</v>
      </c>
      <c r="I64" s="337"/>
      <c r="J64" s="190"/>
      <c r="K64" s="168"/>
      <c r="M64" s="359">
        <f t="shared" ref="M64:M79" si="12">G64/G$228</f>
        <v>19.33508781352382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490">
        <f>'[13]Sch C'!D58</f>
        <v>1629</v>
      </c>
      <c r="D65" s="490">
        <f>'[13]Sch C'!F58</f>
        <v>0</v>
      </c>
      <c r="E65" s="171">
        <f t="shared" si="9"/>
        <v>1629</v>
      </c>
      <c r="F65" s="171"/>
      <c r="G65" s="171">
        <f t="shared" si="10"/>
        <v>1629</v>
      </c>
      <c r="H65" s="172">
        <f t="shared" si="11"/>
        <v>3.6418066099902963E-4</v>
      </c>
      <c r="I65" s="337"/>
      <c r="J65" s="190"/>
      <c r="K65" s="168"/>
      <c r="M65" s="359">
        <f t="shared" si="12"/>
        <v>8.749127235619529E-2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490">
        <f>'[13]Sch C'!D59</f>
        <v>0</v>
      </c>
      <c r="D66" s="490">
        <f>'[13]Sch C'!F59</f>
        <v>0</v>
      </c>
      <c r="E66" s="171">
        <f t="shared" si="9"/>
        <v>0</v>
      </c>
      <c r="F66" s="171"/>
      <c r="G66" s="171">
        <f t="shared" si="10"/>
        <v>0</v>
      </c>
      <c r="H66" s="172">
        <f t="shared" si="11"/>
        <v>0</v>
      </c>
      <c r="I66" s="337"/>
      <c r="J66" s="190"/>
      <c r="K66" s="168"/>
      <c r="M66" s="359">
        <f t="shared" si="12"/>
        <v>0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490">
        <f>'[13]Sch C'!D60</f>
        <v>38982</v>
      </c>
      <c r="D67" s="490">
        <f>'[13]Sch C'!F60</f>
        <v>0</v>
      </c>
      <c r="E67" s="171">
        <f t="shared" si="9"/>
        <v>38982</v>
      </c>
      <c r="F67" s="171"/>
      <c r="G67" s="171">
        <f t="shared" si="10"/>
        <v>38982</v>
      </c>
      <c r="H67" s="172">
        <f t="shared" si="11"/>
        <v>8.7148499245329487E-3</v>
      </c>
      <c r="I67" s="337"/>
      <c r="J67" s="193"/>
      <c r="K67" s="168"/>
      <c r="M67" s="359">
        <f t="shared" si="12"/>
        <v>2.0936677587410708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490">
        <f>'[13]Sch C'!D61</f>
        <v>6624</v>
      </c>
      <c r="D68" s="490">
        <f>'[13]Sch C'!F61</f>
        <v>0</v>
      </c>
      <c r="E68" s="171">
        <f t="shared" si="9"/>
        <v>6624</v>
      </c>
      <c r="F68" s="171"/>
      <c r="G68" s="171">
        <f t="shared" si="10"/>
        <v>6624</v>
      </c>
      <c r="H68" s="172">
        <f t="shared" si="11"/>
        <v>1.4808672182059989E-3</v>
      </c>
      <c r="I68" s="337"/>
      <c r="J68" s="193"/>
      <c r="K68" s="168"/>
      <c r="M68" s="359">
        <f t="shared" si="12"/>
        <v>0.35576561576883831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490">
        <f>'[13]Sch C'!D62</f>
        <v>1640</v>
      </c>
      <c r="D69" s="490">
        <f>'[13]Sch C'!F62</f>
        <v>0</v>
      </c>
      <c r="E69" s="171">
        <f t="shared" si="9"/>
        <v>1640</v>
      </c>
      <c r="F69" s="171"/>
      <c r="G69" s="171">
        <f t="shared" si="10"/>
        <v>1640</v>
      </c>
      <c r="H69" s="172">
        <f t="shared" si="11"/>
        <v>3.6663983059448039E-4</v>
      </c>
      <c r="I69" s="337"/>
      <c r="J69" s="195"/>
      <c r="K69" s="168"/>
      <c r="M69" s="359">
        <f t="shared" si="12"/>
        <v>8.8082066706052953E-2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490">
        <f>'[13]Sch C'!D63</f>
        <v>0</v>
      </c>
      <c r="D70" s="490">
        <f>'[13]Sch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7"/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490">
        <f>'[13]Sch C'!D64</f>
        <v>0</v>
      </c>
      <c r="D71" s="490">
        <f>'[13]Sch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490">
        <f>'[13]Sch C'!D65</f>
        <v>4136</v>
      </c>
      <c r="D72" s="490">
        <f>'[13]Sch C'!F65</f>
        <v>0</v>
      </c>
      <c r="E72" s="171">
        <f t="shared" si="9"/>
        <v>4136</v>
      </c>
      <c r="F72" s="171"/>
      <c r="G72" s="171">
        <f t="shared" si="10"/>
        <v>4136</v>
      </c>
      <c r="H72" s="172">
        <f t="shared" si="11"/>
        <v>9.2464776788949452E-4</v>
      </c>
      <c r="I72" s="337"/>
      <c r="J72" s="195"/>
      <c r="K72" s="168"/>
      <c r="M72" s="359">
        <f t="shared" si="12"/>
        <v>0.22213867554648478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490">
        <f>'[13]Sch C'!D66</f>
        <v>10376</v>
      </c>
      <c r="D73" s="490">
        <f>'[13]Sch C'!F66</f>
        <v>0</v>
      </c>
      <c r="E73" s="171">
        <f t="shared" si="9"/>
        <v>10376</v>
      </c>
      <c r="F73" s="171"/>
      <c r="G73" s="171">
        <f t="shared" si="10"/>
        <v>10376</v>
      </c>
      <c r="H73" s="172">
        <f t="shared" si="11"/>
        <v>2.3196676111270297E-3</v>
      </c>
      <c r="I73" s="337"/>
      <c r="J73" s="195"/>
      <c r="K73" s="168"/>
      <c r="M73" s="359">
        <f t="shared" si="12"/>
        <v>0.55728019764756431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490">
        <f>'[13]Sch C'!D67</f>
        <v>47980</v>
      </c>
      <c r="D74" s="490">
        <f>'[13]Sch C'!F67</f>
        <v>0</v>
      </c>
      <c r="E74" s="171">
        <f t="shared" si="9"/>
        <v>47980</v>
      </c>
      <c r="F74" s="171"/>
      <c r="G74" s="171">
        <f t="shared" si="10"/>
        <v>47980</v>
      </c>
      <c r="H74" s="172">
        <f t="shared" si="11"/>
        <v>1.0726450653611689E-2</v>
      </c>
      <c r="I74" s="337"/>
      <c r="J74" s="195"/>
      <c r="K74" s="168"/>
      <c r="M74" s="359">
        <f t="shared" si="12"/>
        <v>2.576937536924647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490">
        <f>'[13]Sch C'!D68</f>
        <v>0</v>
      </c>
      <c r="D75" s="490">
        <f>'[13]Sch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490">
        <f>'[13]Sch C'!D69</f>
        <v>11609</v>
      </c>
      <c r="D76" s="490">
        <f>'[13]Sch C'!F69</f>
        <v>0</v>
      </c>
      <c r="E76" s="171">
        <f t="shared" si="9"/>
        <v>11609</v>
      </c>
      <c r="F76" s="171"/>
      <c r="G76" s="171">
        <f t="shared" si="10"/>
        <v>11609</v>
      </c>
      <c r="H76" s="172">
        <f t="shared" si="11"/>
        <v>2.5953181666898313E-3</v>
      </c>
      <c r="I76" s="337"/>
      <c r="J76" s="195"/>
      <c r="K76" s="168"/>
      <c r="M76" s="359">
        <f t="shared" si="12"/>
        <v>0.62350287340888344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490">
        <f>'[13]Sch C'!D70</f>
        <v>0</v>
      </c>
      <c r="D77" s="490">
        <f>'[13]Sch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7"/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490">
        <f>'[13]Sch C'!D71</f>
        <v>0</v>
      </c>
      <c r="D78" s="490">
        <f>'[13]Sch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7"/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490">
        <f>SUM(C64:C78)</f>
        <v>482976</v>
      </c>
      <c r="D79" s="490">
        <f>SUM(D64:D78)</f>
        <v>0</v>
      </c>
      <c r="E79" s="171">
        <f t="shared" ref="E79:F79" si="13">SUM(E64:E78)</f>
        <v>482976</v>
      </c>
      <c r="F79" s="171">
        <f t="shared" si="13"/>
        <v>0</v>
      </c>
      <c r="G79" s="171">
        <f>SUM(G64:G78)</f>
        <v>482976</v>
      </c>
      <c r="H79" s="172">
        <f t="shared" si="11"/>
        <v>0.10797453586658523</v>
      </c>
      <c r="I79" s="337"/>
      <c r="J79" s="195"/>
      <c r="K79" s="168"/>
      <c r="M79" s="359">
        <f t="shared" si="12"/>
        <v>25.939953810623557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490">
        <f>'[13]Sch C'!D75</f>
        <v>39753</v>
      </c>
      <c r="D82" s="490">
        <f>'[13]Sch C'!F75</f>
        <v>2140</v>
      </c>
      <c r="E82" s="171">
        <f t="shared" ref="E82:E92" si="14">C82+D82</f>
        <v>41893</v>
      </c>
      <c r="F82" s="171"/>
      <c r="G82" s="171">
        <f t="shared" ref="G82:G92" si="15">E82+F82</f>
        <v>41893</v>
      </c>
      <c r="H82" s="172">
        <f t="shared" ref="H82:H93" si="16">IF($G$208=0,0,G82/$G$208)</f>
        <v>9.3656356238381502E-3</v>
      </c>
      <c r="I82" s="337"/>
      <c r="J82" s="183">
        <v>1855</v>
      </c>
      <c r="K82" s="183">
        <v>1955</v>
      </c>
      <c r="M82" s="359">
        <f t="shared" ref="M82:M92" si="17">G82/G$228</f>
        <v>2.2500134271443151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490">
        <f>'[13]Sch C'!D76</f>
        <v>0</v>
      </c>
      <c r="D83" s="490">
        <f>'[13]Sch C'!F76</f>
        <v>5877</v>
      </c>
      <c r="E83" s="171">
        <f t="shared" si="14"/>
        <v>5877</v>
      </c>
      <c r="F83" s="171"/>
      <c r="G83" s="171">
        <f t="shared" si="15"/>
        <v>5877</v>
      </c>
      <c r="H83" s="172">
        <f t="shared" si="16"/>
        <v>1.3138672465876594E-3</v>
      </c>
      <c r="I83" s="337"/>
      <c r="J83" s="168"/>
      <c r="K83" s="168"/>
      <c r="M83" s="359">
        <f t="shared" si="17"/>
        <v>0.31564530855577638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490">
        <f>'[13]Sch C'!D77</f>
        <v>12286</v>
      </c>
      <c r="D84" s="490">
        <f>'[13]Sch C'!F77</f>
        <v>0</v>
      </c>
      <c r="E84" s="171">
        <f t="shared" si="14"/>
        <v>12286</v>
      </c>
      <c r="F84" s="171"/>
      <c r="G84" s="171">
        <f t="shared" si="15"/>
        <v>12286</v>
      </c>
      <c r="H84" s="172">
        <f t="shared" si="16"/>
        <v>2.7466688772462113E-3</v>
      </c>
      <c r="I84" s="337"/>
      <c r="J84" s="168"/>
      <c r="K84" s="168"/>
      <c r="M84" s="359">
        <f t="shared" si="17"/>
        <v>0.65986358021376013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490">
        <f>'[13]Sch C'!D78</f>
        <v>0</v>
      </c>
      <c r="D85" s="490">
        <f>'[13]Sch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I85" s="337"/>
      <c r="J85" s="168"/>
      <c r="K85" s="168"/>
      <c r="M85" s="359">
        <f t="shared" si="17"/>
        <v>0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490">
        <f>'[13]Sch C'!D79</f>
        <v>9420</v>
      </c>
      <c r="D86" s="490">
        <f>'[13]Sch C'!F79</f>
        <v>0</v>
      </c>
      <c r="E86" s="171">
        <f t="shared" si="14"/>
        <v>9420</v>
      </c>
      <c r="F86" s="171"/>
      <c r="G86" s="171">
        <f>E86+F86</f>
        <v>9420</v>
      </c>
      <c r="H86" s="172">
        <f t="shared" si="16"/>
        <v>2.1059434171951251E-3</v>
      </c>
      <c r="I86" s="337"/>
      <c r="J86" s="168"/>
      <c r="K86" s="168"/>
      <c r="M86" s="359">
        <f t="shared" si="17"/>
        <v>0.50593479778720662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490">
        <f>'[13]Sch C'!D80</f>
        <v>12148</v>
      </c>
      <c r="D87" s="490">
        <f>'[13]Sch C'!F80</f>
        <v>0</v>
      </c>
      <c r="E87" s="171">
        <f t="shared" si="14"/>
        <v>12148</v>
      </c>
      <c r="F87" s="171"/>
      <c r="G87" s="171">
        <f t="shared" si="15"/>
        <v>12148</v>
      </c>
      <c r="H87" s="172">
        <f t="shared" si="16"/>
        <v>2.7158174768669194E-3</v>
      </c>
      <c r="I87" s="337"/>
      <c r="J87" s="168"/>
      <c r="K87" s="168"/>
      <c r="M87" s="359">
        <f t="shared" si="17"/>
        <v>0.65245179655190932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490">
        <f>'[13]Sch C'!D81</f>
        <v>8763</v>
      </c>
      <c r="D88" s="490">
        <f>'[13]Sch C'!F81</f>
        <v>0</v>
      </c>
      <c r="E88" s="171">
        <f t="shared" si="14"/>
        <v>8763</v>
      </c>
      <c r="F88" s="171"/>
      <c r="G88" s="171">
        <f t="shared" si="15"/>
        <v>8763</v>
      </c>
      <c r="H88" s="172">
        <f t="shared" si="16"/>
        <v>1.9590639240850195E-3</v>
      </c>
      <c r="I88" s="337"/>
      <c r="J88" s="168"/>
      <c r="K88" s="168"/>
      <c r="M88" s="359">
        <f t="shared" si="17"/>
        <v>0.47064826252752562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490">
        <f>'[13]Sch C'!D82</f>
        <v>11833</v>
      </c>
      <c r="D89" s="490">
        <f>'[13]Sch C'!F82</f>
        <v>0</v>
      </c>
      <c r="E89" s="171">
        <f t="shared" si="14"/>
        <v>11833</v>
      </c>
      <c r="F89" s="171"/>
      <c r="G89" s="171">
        <f t="shared" si="15"/>
        <v>11833</v>
      </c>
      <c r="H89" s="172">
        <f t="shared" si="16"/>
        <v>2.6453958020881017E-3</v>
      </c>
      <c r="I89" s="337"/>
      <c r="J89" s="168"/>
      <c r="K89" s="168"/>
      <c r="M89" s="359">
        <f t="shared" si="17"/>
        <v>0.63553359471507598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490">
        <f>'[13]Sch C'!D83</f>
        <v>0</v>
      </c>
      <c r="D90" s="490">
        <f>'[13]Sch C'!F83</f>
        <v>0</v>
      </c>
      <c r="E90" s="171">
        <f t="shared" si="14"/>
        <v>0</v>
      </c>
      <c r="F90" s="171"/>
      <c r="G90" s="171">
        <f t="shared" si="15"/>
        <v>0</v>
      </c>
      <c r="H90" s="172">
        <f t="shared" si="16"/>
        <v>0</v>
      </c>
      <c r="I90" s="337"/>
      <c r="J90" s="168"/>
      <c r="K90" s="168"/>
      <c r="M90" s="359">
        <f t="shared" si="17"/>
        <v>0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490">
        <f>'[13]Sch C'!D84</f>
        <v>98093</v>
      </c>
      <c r="D91" s="490">
        <f>'[13]Sch C'!F84</f>
        <v>0</v>
      </c>
      <c r="E91" s="171">
        <f t="shared" si="14"/>
        <v>98093</v>
      </c>
      <c r="F91" s="171"/>
      <c r="G91" s="171">
        <f t="shared" si="15"/>
        <v>98093</v>
      </c>
      <c r="H91" s="172">
        <f t="shared" si="16"/>
        <v>2.1929756647868517E-2</v>
      </c>
      <c r="I91" s="337"/>
      <c r="J91" s="168"/>
      <c r="K91" s="168"/>
      <c r="M91" s="359">
        <f t="shared" si="17"/>
        <v>5.2684354691444222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490">
        <f>'[13]Sch C'!D85</f>
        <v>0</v>
      </c>
      <c r="D92" s="490">
        <f>'[13]Sch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7"/>
      <c r="J92" s="168"/>
      <c r="K92" s="168"/>
      <c r="M92" s="359">
        <f t="shared" si="17"/>
        <v>0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490">
        <f>SUM(C82:C92)</f>
        <v>192296</v>
      </c>
      <c r="D93" s="490">
        <f>SUM(D82:D92)</f>
        <v>8017</v>
      </c>
      <c r="E93" s="171">
        <f t="shared" ref="E93:F93" si="18">SUM(E82:E92)</f>
        <v>200313</v>
      </c>
      <c r="F93" s="171">
        <f t="shared" si="18"/>
        <v>0</v>
      </c>
      <c r="G93" s="171">
        <f>SUM(G82:G92)</f>
        <v>200313</v>
      </c>
      <c r="H93" s="172">
        <f t="shared" si="16"/>
        <v>4.47821490157757E-2</v>
      </c>
      <c r="I93" s="337"/>
      <c r="J93" s="168"/>
      <c r="K93" s="168"/>
      <c r="M93" s="364">
        <f>G93/G$228</f>
        <v>10.758526236639991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490">
        <f>'[13]Sch C'!D89</f>
        <v>128256</v>
      </c>
      <c r="D96" s="490">
        <f>'[13]Sch C'!F89</f>
        <v>6904</v>
      </c>
      <c r="E96" s="171">
        <f t="shared" ref="E96:E101" si="19">C96+D96</f>
        <v>135160</v>
      </c>
      <c r="F96" s="171"/>
      <c r="G96" s="171">
        <f t="shared" ref="G96:G101" si="20">E96+F96</f>
        <v>135160</v>
      </c>
      <c r="H96" s="172">
        <f t="shared" ref="H96:H102" si="21">IF($G$208=0,0,G96/$G$208)</f>
        <v>3.0216487501920714E-2</v>
      </c>
      <c r="I96" s="337"/>
      <c r="J96" s="183">
        <v>9629</v>
      </c>
      <c r="K96" s="183">
        <v>10147</v>
      </c>
      <c r="M96" s="364">
        <f t="shared" ref="M96:M101" si="22">G96/G$228</f>
        <v>7.2592513024329985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490">
        <f>'[13]Sch C'!D90</f>
        <v>0</v>
      </c>
      <c r="D97" s="490">
        <f>'[13]Sch C'!F90</f>
        <v>18962</v>
      </c>
      <c r="E97" s="171">
        <f t="shared" si="19"/>
        <v>18962</v>
      </c>
      <c r="F97" s="171"/>
      <c r="G97" s="171">
        <f t="shared" si="20"/>
        <v>18962</v>
      </c>
      <c r="H97" s="172">
        <f t="shared" si="21"/>
        <v>4.2391612608125226E-3</v>
      </c>
      <c r="I97" s="337"/>
      <c r="J97" s="168"/>
      <c r="K97" s="168"/>
      <c r="M97" s="364">
        <f t="shared" si="22"/>
        <v>1.0184220420001073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490">
        <f>'[13]Sch C'!D91</f>
        <v>15921</v>
      </c>
      <c r="D98" s="490">
        <f>'[13]Sch C'!F91</f>
        <v>0</v>
      </c>
      <c r="E98" s="171">
        <f t="shared" si="19"/>
        <v>15921</v>
      </c>
      <c r="F98" s="171"/>
      <c r="G98" s="171">
        <f t="shared" si="20"/>
        <v>15921</v>
      </c>
      <c r="H98" s="172">
        <f t="shared" si="21"/>
        <v>3.5593126481065383E-3</v>
      </c>
      <c r="I98" s="337"/>
      <c r="J98" s="168"/>
      <c r="K98" s="168"/>
      <c r="M98" s="364">
        <f t="shared" si="22"/>
        <v>0.85509425855309096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490">
        <f>'[13]Sch C'!D92</f>
        <v>123632</v>
      </c>
      <c r="D99" s="490">
        <f>'[13]Sch C'!F92</f>
        <v>0</v>
      </c>
      <c r="E99" s="171">
        <f t="shared" si="19"/>
        <v>123632</v>
      </c>
      <c r="F99" s="171"/>
      <c r="G99" s="171">
        <f t="shared" si="20"/>
        <v>123632</v>
      </c>
      <c r="H99" s="172">
        <f t="shared" si="21"/>
        <v>2.7639277765888294E-2</v>
      </c>
      <c r="I99" s="337"/>
      <c r="J99" s="168"/>
      <c r="K99" s="168"/>
      <c r="M99" s="364">
        <f t="shared" si="22"/>
        <v>6.6400988237821581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490">
        <f>'[13]Sch C'!D93</f>
        <v>10391</v>
      </c>
      <c r="D100" s="490">
        <f>'[13]Sch C'!F93</f>
        <v>0</v>
      </c>
      <c r="E100" s="171">
        <f t="shared" si="19"/>
        <v>10391</v>
      </c>
      <c r="F100" s="171"/>
      <c r="G100" s="171">
        <f t="shared" si="20"/>
        <v>10391</v>
      </c>
      <c r="H100" s="172">
        <f t="shared" si="21"/>
        <v>2.3230210242117352E-3</v>
      </c>
      <c r="I100" s="337"/>
      <c r="J100" s="168"/>
      <c r="K100" s="168"/>
      <c r="M100" s="364">
        <f t="shared" si="22"/>
        <v>0.5580858263064612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490">
        <f>'[13]Sch C'!D94</f>
        <v>0</v>
      </c>
      <c r="D101" s="490">
        <f>'[13]Sch C'!F94</f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I101" s="337"/>
      <c r="J101" s="168"/>
      <c r="K101" s="168"/>
      <c r="M101" s="364">
        <f t="shared" si="22"/>
        <v>0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490">
        <f>SUM(C96:C101)</f>
        <v>278200</v>
      </c>
      <c r="D102" s="490">
        <f>SUM(D96:D101)</f>
        <v>25866</v>
      </c>
      <c r="E102" s="171">
        <f t="shared" ref="E102:F102" si="23">SUM(E96:E101)</f>
        <v>304066</v>
      </c>
      <c r="F102" s="171">
        <f t="shared" si="23"/>
        <v>0</v>
      </c>
      <c r="G102" s="171">
        <f>SUM(G96:G101)</f>
        <v>304066</v>
      </c>
      <c r="H102" s="172">
        <f t="shared" si="21"/>
        <v>6.7977260200939804E-2</v>
      </c>
      <c r="I102" s="337"/>
      <c r="J102" s="168"/>
      <c r="K102" s="168"/>
      <c r="M102" s="364">
        <f>G102/G$228</f>
        <v>16.330952253074816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490">
        <f>'[13]Sch C'!D98</f>
        <v>28315</v>
      </c>
      <c r="D105" s="490">
        <f>'[13]Sch C'!F98</f>
        <v>1524</v>
      </c>
      <c r="E105" s="171">
        <f t="shared" ref="E105:E110" si="24">C105+D105</f>
        <v>29839</v>
      </c>
      <c r="F105" s="171"/>
      <c r="G105" s="171">
        <f t="shared" ref="G105:G110" si="25">E105+F105</f>
        <v>29839</v>
      </c>
      <c r="H105" s="172">
        <f t="shared" ref="H105:H111" si="26">IF($G$208=0,0,G105/$G$208)</f>
        <v>6.6708328689687197E-3</v>
      </c>
      <c r="I105" s="337"/>
      <c r="J105" s="183">
        <v>2573</v>
      </c>
      <c r="K105" s="183">
        <v>2711</v>
      </c>
      <c r="M105" s="364">
        <f t="shared" ref="M105:M110" si="27">G105/G$228</f>
        <v>1.6026102368548256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490">
        <f>'[13]Sch C'!D99</f>
        <v>0</v>
      </c>
      <c r="D106" s="490">
        <f>'[13]Sch C'!F99</f>
        <v>4186</v>
      </c>
      <c r="E106" s="171">
        <f t="shared" si="24"/>
        <v>4186</v>
      </c>
      <c r="F106" s="171"/>
      <c r="G106" s="171">
        <f t="shared" si="25"/>
        <v>4186</v>
      </c>
      <c r="H106" s="172">
        <f t="shared" si="26"/>
        <v>9.3582581150517983E-4</v>
      </c>
      <c r="I106" s="337"/>
      <c r="J106" s="168"/>
      <c r="K106" s="168"/>
      <c r="M106" s="364">
        <f t="shared" si="27"/>
        <v>0.2248241044094742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490">
        <f>'[13]Sch C'!D100</f>
        <v>4422</v>
      </c>
      <c r="D107" s="490">
        <f>'[13]Sch C'!F100</f>
        <v>0</v>
      </c>
      <c r="E107" s="171">
        <f t="shared" si="24"/>
        <v>4422</v>
      </c>
      <c r="F107" s="171"/>
      <c r="G107" s="171">
        <f t="shared" si="25"/>
        <v>4422</v>
      </c>
      <c r="H107" s="172">
        <f t="shared" si="26"/>
        <v>9.8858617737121479E-4</v>
      </c>
      <c r="I107" s="337"/>
      <c r="J107" s="168"/>
      <c r="K107" s="168"/>
      <c r="M107" s="364">
        <f t="shared" si="27"/>
        <v>0.23749932864278425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490">
        <f>'[13]Sch C'!D101</f>
        <v>0</v>
      </c>
      <c r="D108" s="490">
        <f>'[13]Sch C'!F101</f>
        <v>0</v>
      </c>
      <c r="E108" s="171">
        <f t="shared" si="24"/>
        <v>0</v>
      </c>
      <c r="F108" s="171"/>
      <c r="G108" s="171">
        <f t="shared" si="25"/>
        <v>0</v>
      </c>
      <c r="H108" s="172">
        <f t="shared" si="26"/>
        <v>0</v>
      </c>
      <c r="I108" s="337"/>
      <c r="J108" s="168"/>
      <c r="K108" s="168"/>
      <c r="M108" s="364">
        <f t="shared" si="27"/>
        <v>0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490">
        <f>'[13]Sch C'!D102</f>
        <v>3690</v>
      </c>
      <c r="D109" s="490">
        <f>'[13]Sch C'!F102</f>
        <v>0</v>
      </c>
      <c r="E109" s="171">
        <f t="shared" si="24"/>
        <v>3690</v>
      </c>
      <c r="F109" s="171"/>
      <c r="G109" s="171">
        <f t="shared" si="25"/>
        <v>3690</v>
      </c>
      <c r="H109" s="172">
        <f t="shared" si="26"/>
        <v>8.2493961883758091E-4</v>
      </c>
      <c r="I109" s="337"/>
      <c r="J109" s="168"/>
      <c r="K109" s="168"/>
      <c r="M109" s="364">
        <f t="shared" si="27"/>
        <v>0.19818465008861916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490">
        <f>'[13]Sch C'!D103</f>
        <v>0</v>
      </c>
      <c r="D110" s="490">
        <f>'[13]Sch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7"/>
      <c r="J110" s="168"/>
      <c r="K110" s="168"/>
      <c r="M110" s="364">
        <f t="shared" si="27"/>
        <v>0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490">
        <f>SUM(C105:C110)</f>
        <v>36427</v>
      </c>
      <c r="D111" s="490">
        <f>SUM(D105:D110)</f>
        <v>5710</v>
      </c>
      <c r="E111" s="171">
        <f t="shared" ref="E111:F111" si="28">SUM(E105:E110)</f>
        <v>42137</v>
      </c>
      <c r="F111" s="171">
        <f t="shared" si="28"/>
        <v>0</v>
      </c>
      <c r="G111" s="171">
        <f>SUM(G105:G110)</f>
        <v>42137</v>
      </c>
      <c r="H111" s="172">
        <f t="shared" si="26"/>
        <v>9.4201844766826949E-3</v>
      </c>
      <c r="I111" s="337"/>
      <c r="J111" s="168"/>
      <c r="K111" s="168"/>
      <c r="M111" s="364">
        <f>G111/G$228</f>
        <v>2.2631183199957032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490">
        <f>'[13]Sch C'!D115</f>
        <v>53032</v>
      </c>
      <c r="D114" s="490">
        <f>'[13]Sch C'!F115</f>
        <v>2855</v>
      </c>
      <c r="E114" s="171">
        <f t="shared" ref="E114:E118" si="29">C114+D114</f>
        <v>55887</v>
      </c>
      <c r="F114" s="171"/>
      <c r="G114" s="171">
        <f>E114+F114</f>
        <v>55887</v>
      </c>
      <c r="H114" s="172">
        <f t="shared" ref="H114:H119" si="30">IF($G$208=0,0,G114/$G$208)</f>
        <v>1.2494146470996174E-2</v>
      </c>
      <c r="I114" s="337"/>
      <c r="J114" s="183">
        <v>5424</v>
      </c>
      <c r="K114" s="183">
        <v>5716</v>
      </c>
      <c r="M114" s="364">
        <f t="shared" ref="M114:M119" si="31">G114/G$228</f>
        <v>3.0016112573177938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490">
        <f>'[13]Sch C'!D116</f>
        <v>0</v>
      </c>
      <c r="D115" s="490">
        <f>'[13]Sch C'!F116</f>
        <v>7841</v>
      </c>
      <c r="E115" s="171">
        <f t="shared" si="29"/>
        <v>7841</v>
      </c>
      <c r="F115" s="171"/>
      <c r="G115" s="171">
        <f>E115+F115</f>
        <v>7841</v>
      </c>
      <c r="H115" s="172">
        <f t="shared" si="30"/>
        <v>1.752940799811781E-3</v>
      </c>
      <c r="I115" s="337"/>
      <c r="J115" s="168"/>
      <c r="K115" s="168"/>
      <c r="M115" s="364">
        <f t="shared" si="31"/>
        <v>0.42112895429400077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490">
        <f>'[13]Sch C'!D117</f>
        <v>10676</v>
      </c>
      <c r="D116" s="490">
        <f>'[13]Sch C'!F117</f>
        <v>0</v>
      </c>
      <c r="E116" s="171">
        <f t="shared" si="29"/>
        <v>10676</v>
      </c>
      <c r="F116" s="171"/>
      <c r="G116" s="171">
        <f>E116+F116</f>
        <v>10676</v>
      </c>
      <c r="H116" s="172">
        <f t="shared" si="30"/>
        <v>2.3867358728211418E-3</v>
      </c>
      <c r="I116" s="337"/>
      <c r="J116" s="168"/>
      <c r="K116" s="168"/>
      <c r="M116" s="364">
        <f t="shared" si="31"/>
        <v>0.57339277082550089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490">
        <f>'[13]Sch C'!D118</f>
        <v>1747</v>
      </c>
      <c r="D117" s="490">
        <f>'[13]Sch C'!F118</f>
        <v>0</v>
      </c>
      <c r="E117" s="171">
        <f t="shared" si="29"/>
        <v>1747</v>
      </c>
      <c r="F117" s="171"/>
      <c r="G117" s="171">
        <f>E117+F117</f>
        <v>1747</v>
      </c>
      <c r="H117" s="172">
        <f t="shared" si="30"/>
        <v>3.905608439320471E-4</v>
      </c>
      <c r="I117" s="337"/>
      <c r="J117" s="168"/>
      <c r="K117" s="168"/>
      <c r="M117" s="364">
        <f t="shared" si="31"/>
        <v>9.3828884472850316E-2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490">
        <f>'[13]Sch C'!D119</f>
        <v>17</v>
      </c>
      <c r="D118" s="490">
        <f>'[13]Sch C'!F119</f>
        <v>0</v>
      </c>
      <c r="E118" s="171">
        <f t="shared" si="29"/>
        <v>17</v>
      </c>
      <c r="F118" s="171"/>
      <c r="G118" s="171">
        <f>E118+F118</f>
        <v>17</v>
      </c>
      <c r="H118" s="172">
        <f t="shared" si="30"/>
        <v>3.8005348293330287E-6</v>
      </c>
      <c r="I118" s="337"/>
      <c r="J118" s="168"/>
      <c r="K118" s="168"/>
      <c r="M118" s="364">
        <f t="shared" si="31"/>
        <v>9.1304581341640262E-4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490">
        <f>SUM(C114:C118)</f>
        <v>65472</v>
      </c>
      <c r="D119" s="490">
        <f>SUM(D114:D118)</f>
        <v>10696</v>
      </c>
      <c r="E119" s="171">
        <f t="shared" ref="E119:F119" si="32">SUM(E114:E118)</f>
        <v>76168</v>
      </c>
      <c r="F119" s="171">
        <f t="shared" si="32"/>
        <v>0</v>
      </c>
      <c r="G119" s="171">
        <f>SUM(G114:G118)</f>
        <v>76168</v>
      </c>
      <c r="H119" s="172">
        <f t="shared" si="30"/>
        <v>1.7028184522390476E-2</v>
      </c>
      <c r="I119" s="337"/>
      <c r="J119" s="168"/>
      <c r="K119" s="168"/>
      <c r="M119" s="364">
        <f t="shared" si="31"/>
        <v>4.090874912723562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1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490">
        <f>'[13]Sch C'!D124</f>
        <v>0</v>
      </c>
      <c r="D123" s="490">
        <f>'[13]Sch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7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0.77002560279620991</v>
      </c>
    </row>
    <row r="124" spans="1:14" s="167" customFormat="1">
      <c r="B124" s="163" t="s">
        <v>194</v>
      </c>
      <c r="C124" s="490">
        <f>'[13]Sch C'!D125</f>
        <v>151489</v>
      </c>
      <c r="D124" s="490">
        <f>'[13]Sch C'!F125</f>
        <v>8155</v>
      </c>
      <c r="E124" s="171">
        <f t="shared" si="33"/>
        <v>159644</v>
      </c>
      <c r="F124" s="171"/>
      <c r="G124" s="171">
        <f>E124+F124</f>
        <v>159644</v>
      </c>
      <c r="H124" s="172">
        <f>IF($G$208=0,0,G124/$G$208)</f>
        <v>3.5690151899649532E-2</v>
      </c>
      <c r="I124" s="337"/>
      <c r="J124" s="183">
        <v>3502</v>
      </c>
      <c r="K124" s="183">
        <v>3691</v>
      </c>
      <c r="M124" s="364">
        <f t="shared" si="34"/>
        <v>8.5742521080616569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490">
        <f>'[13]Sch C'!D126</f>
        <v>65819</v>
      </c>
      <c r="D125" s="490">
        <f>'[13]Sch C'!F126</f>
        <v>3543</v>
      </c>
      <c r="E125" s="171">
        <f t="shared" si="33"/>
        <v>69362</v>
      </c>
      <c r="F125" s="171"/>
      <c r="G125" s="171">
        <f>E125+F125</f>
        <v>69362</v>
      </c>
      <c r="H125" s="172">
        <f>IF($G$208=0,0,G125/$G$208)</f>
        <v>1.5506629225423384E-2</v>
      </c>
      <c r="I125" s="337"/>
      <c r="J125" s="183">
        <v>1927</v>
      </c>
      <c r="K125" s="183">
        <v>2031</v>
      </c>
      <c r="M125" s="364">
        <f t="shared" si="34"/>
        <v>3.7253343358934421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490">
        <f>'[13]Sch C'!D127</f>
        <v>0</v>
      </c>
      <c r="D126" s="490">
        <f>'[13]Sch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7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490">
        <f>'[13]Sch C'!D128</f>
        <v>48064</v>
      </c>
      <c r="D127" s="490">
        <f>'[13]Sch C'!F128</f>
        <v>2587</v>
      </c>
      <c r="E127" s="171">
        <f t="shared" si="33"/>
        <v>50651</v>
      </c>
      <c r="F127" s="171"/>
      <c r="G127" s="171">
        <f>E127+F127</f>
        <v>50651</v>
      </c>
      <c r="H127" s="172">
        <f>IF($G$208=0,0,G127/$G$208)</f>
        <v>1.1323581743561602E-2</v>
      </c>
      <c r="I127" s="337"/>
      <c r="J127" s="183">
        <v>2966</v>
      </c>
      <c r="K127" s="183">
        <v>3126</v>
      </c>
      <c r="M127" s="364">
        <f t="shared" si="34"/>
        <v>2.7203931467855416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205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490">
        <f>'[13]Sch C'!D130</f>
        <v>0</v>
      </c>
      <c r="D129" s="490">
        <f>'[13]Sch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7"/>
      <c r="J129" s="204"/>
      <c r="K129" s="204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490">
        <f>'[13]Sch C'!D131</f>
        <v>0</v>
      </c>
      <c r="D130" s="490">
        <f>'[13]Sch C'!F131</f>
        <v>22397</v>
      </c>
      <c r="E130" s="171">
        <f t="shared" si="35"/>
        <v>22397</v>
      </c>
      <c r="F130" s="171"/>
      <c r="G130" s="171">
        <f>E130+F130</f>
        <v>22397</v>
      </c>
      <c r="H130" s="172">
        <f>IF($G$208=0,0,G130/$G$208)</f>
        <v>5.0070928572101079E-3</v>
      </c>
      <c r="I130" s="337"/>
      <c r="J130" s="204"/>
      <c r="K130" s="204"/>
      <c r="M130" s="364">
        <f t="shared" si="34"/>
        <v>1.2029110048874805</v>
      </c>
      <c r="N130" s="359">
        <f>SUMMARY!J133</f>
        <v>1.0792348507966931</v>
      </c>
    </row>
    <row r="131" spans="1:14" s="167" customFormat="1">
      <c r="B131" s="163" t="s">
        <v>195</v>
      </c>
      <c r="C131" s="490">
        <f>'[13]Sch C'!D132</f>
        <v>0</v>
      </c>
      <c r="D131" s="490">
        <f>'[13]Sch C'!F132</f>
        <v>9731</v>
      </c>
      <c r="E131" s="171">
        <f t="shared" si="35"/>
        <v>9731</v>
      </c>
      <c r="F131" s="171"/>
      <c r="G131" s="171">
        <f>E131+F131</f>
        <v>9731</v>
      </c>
      <c r="H131" s="172">
        <f>IF($G$208=0,0,G131/$G$208)</f>
        <v>2.1754708484846884E-3</v>
      </c>
      <c r="I131" s="337"/>
      <c r="J131" s="168"/>
      <c r="K131" s="168"/>
      <c r="M131" s="364">
        <f t="shared" si="34"/>
        <v>0.52263816531500085</v>
      </c>
      <c r="N131" s="359">
        <f>SUMMARY!J134</f>
        <v>8.2765628075518377E-2</v>
      </c>
    </row>
    <row r="132" spans="1:14" s="167" customFormat="1">
      <c r="B132" s="163" t="s">
        <v>196</v>
      </c>
      <c r="C132" s="490">
        <f>'[13]Sch C'!D133</f>
        <v>0</v>
      </c>
      <c r="D132" s="490">
        <f>'[13]Sch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490">
        <f>'[13]Sch C'!D134</f>
        <v>0</v>
      </c>
      <c r="D133" s="490">
        <f>'[13]Sch C'!F134</f>
        <v>7106</v>
      </c>
      <c r="E133" s="171">
        <f t="shared" si="35"/>
        <v>7106</v>
      </c>
      <c r="F133" s="171"/>
      <c r="G133" s="171">
        <f>E133+F133</f>
        <v>7106</v>
      </c>
      <c r="H133" s="172">
        <f>IF($G$208=0,0,G133/$G$208)</f>
        <v>1.588623558661206E-3</v>
      </c>
      <c r="I133" s="337"/>
      <c r="J133" s="168"/>
      <c r="K133" s="168"/>
      <c r="M133" s="364">
        <f t="shared" si="34"/>
        <v>0.38165315000805627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490">
        <f>'[13]Sch C'!D136</f>
        <v>281450</v>
      </c>
      <c r="D135" s="490">
        <f>'[13]Sch C'!F136</f>
        <v>15151</v>
      </c>
      <c r="E135" s="171">
        <f t="shared" ref="E135:E138" si="36">C135+D135</f>
        <v>296601</v>
      </c>
      <c r="F135" s="171"/>
      <c r="G135" s="171">
        <f>E135+F135</f>
        <v>296601</v>
      </c>
      <c r="H135" s="172">
        <f>IF($G$208=0,0,G135/$G$208)</f>
        <v>6.6308378289117981E-2</v>
      </c>
      <c r="I135" s="337"/>
      <c r="J135" s="183">
        <v>8850</v>
      </c>
      <c r="K135" s="183">
        <v>9326</v>
      </c>
      <c r="M135" s="364">
        <f t="shared" si="34"/>
        <v>15.930017723830495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490">
        <f>'[13]Sch C'!D137</f>
        <v>180490</v>
      </c>
      <c r="D136" s="490">
        <f>'[13]Sch C'!F137</f>
        <v>9716</v>
      </c>
      <c r="E136" s="171">
        <f t="shared" si="36"/>
        <v>190206</v>
      </c>
      <c r="F136" s="171"/>
      <c r="G136" s="171">
        <f>E136+F136</f>
        <v>190206</v>
      </c>
      <c r="H136" s="172">
        <f>IF($G$208=0,0,G136/$G$208)</f>
        <v>4.2522619279301059E-2</v>
      </c>
      <c r="I136" s="337"/>
      <c r="J136" s="183">
        <v>6869</v>
      </c>
      <c r="K136" s="183">
        <v>7239</v>
      </c>
      <c r="M136" s="364">
        <f t="shared" si="34"/>
        <v>10.215693646275311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490">
        <f>'[13]Sch C'!D138</f>
        <v>336619</v>
      </c>
      <c r="D137" s="490">
        <f>'[13]Sch C'!F138</f>
        <v>15653</v>
      </c>
      <c r="E137" s="171">
        <f t="shared" si="36"/>
        <v>352272</v>
      </c>
      <c r="F137" s="171"/>
      <c r="G137" s="171">
        <f>E137+F137</f>
        <v>352272</v>
      </c>
      <c r="H137" s="172">
        <f>IF($G$208=0,0,G137/$G$208)</f>
        <v>7.8754235611694395E-2</v>
      </c>
      <c r="I137" s="337"/>
      <c r="J137" s="183">
        <v>26104</v>
      </c>
      <c r="K137" s="183">
        <v>27509</v>
      </c>
      <c r="M137" s="364">
        <f t="shared" si="34"/>
        <v>18.920027928460176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490">
        <f>'[13]Sch C'!D139</f>
        <v>95154</v>
      </c>
      <c r="D138" s="490">
        <f>'[13]Sch C'!F139</f>
        <v>5122</v>
      </c>
      <c r="E138" s="171">
        <f t="shared" si="36"/>
        <v>100276</v>
      </c>
      <c r="F138" s="171"/>
      <c r="G138" s="171">
        <f>E138+F138</f>
        <v>100276</v>
      </c>
      <c r="H138" s="172">
        <f>IF($G$208=0,0,G138/$G$208)</f>
        <v>2.2417790032129341E-2</v>
      </c>
      <c r="I138" s="337"/>
      <c r="J138" s="183">
        <v>6266</v>
      </c>
      <c r="K138" s="183">
        <v>6603</v>
      </c>
      <c r="M138" s="364">
        <f t="shared" si="34"/>
        <v>5.3856812933025404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7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490">
        <f>'[13]Sch C'!D141</f>
        <v>0</v>
      </c>
      <c r="D140" s="490">
        <f>'[13]Sch C'!F141</f>
        <v>41611</v>
      </c>
      <c r="E140" s="171">
        <f t="shared" ref="E140:E143" si="37">C140+D140</f>
        <v>41611</v>
      </c>
      <c r="F140" s="171"/>
      <c r="G140" s="171">
        <f>E140+F140</f>
        <v>41611</v>
      </c>
      <c r="H140" s="172">
        <f>IF($G$208=0,0,G140/$G$208)</f>
        <v>9.3025914578456857E-3</v>
      </c>
      <c r="I140" s="337"/>
      <c r="J140" s="168"/>
      <c r="K140" s="168"/>
      <c r="M140" s="364">
        <f t="shared" si="34"/>
        <v>2.2348676083570544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490">
        <f>'[13]Sch C'!D142</f>
        <v>0</v>
      </c>
      <c r="D141" s="490">
        <f>'[13]Sch C'!F142</f>
        <v>26684</v>
      </c>
      <c r="E141" s="171">
        <f t="shared" si="37"/>
        <v>26684</v>
      </c>
      <c r="F141" s="171"/>
      <c r="G141" s="171">
        <f>E141+F141</f>
        <v>26684</v>
      </c>
      <c r="H141" s="172">
        <f>IF($G$208=0,0,G141/$G$208)</f>
        <v>5.9654983168189726E-3</v>
      </c>
      <c r="I141" s="337"/>
      <c r="J141" s="168"/>
      <c r="K141" s="168"/>
      <c r="M141" s="364">
        <f t="shared" si="34"/>
        <v>1.4331596756001934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490">
        <f>'[13]Sch C'!D143</f>
        <v>0</v>
      </c>
      <c r="D142" s="490">
        <f>'[13]Sch C'!F143</f>
        <v>49430</v>
      </c>
      <c r="E142" s="171">
        <f t="shared" si="37"/>
        <v>49430</v>
      </c>
      <c r="F142" s="171"/>
      <c r="G142" s="171">
        <f>E142+F142</f>
        <v>49430</v>
      </c>
      <c r="H142" s="172">
        <f>IF($G$208=0,0,G142/$G$208)</f>
        <v>1.1050613918466564E-2</v>
      </c>
      <c r="I142" s="337"/>
      <c r="J142" s="168"/>
      <c r="K142" s="168"/>
      <c r="M142" s="364">
        <f t="shared" si="34"/>
        <v>2.65481497395134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490">
        <f>'[13]Sch C'!D144</f>
        <v>0</v>
      </c>
      <c r="D143" s="490">
        <f>'[13]Sch C'!F144</f>
        <v>14068</v>
      </c>
      <c r="E143" s="171">
        <f t="shared" si="37"/>
        <v>14068</v>
      </c>
      <c r="F143" s="171"/>
      <c r="G143" s="171">
        <f>E143+F143</f>
        <v>14068</v>
      </c>
      <c r="H143" s="172">
        <f>IF($G$208=0,0,G143/$G$208)</f>
        <v>3.1450543517092381E-3</v>
      </c>
      <c r="I143" s="337"/>
      <c r="J143" s="168"/>
      <c r="K143" s="168"/>
      <c r="M143" s="364">
        <f t="shared" si="34"/>
        <v>0.75557226489070306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7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490">
        <f>'[13]Sch C'!D146</f>
        <v>36000</v>
      </c>
      <c r="D145" s="490">
        <f>'[13]Sch C'!F146</f>
        <v>0</v>
      </c>
      <c r="E145" s="171">
        <f t="shared" ref="E145:E153" si="38">C145+D145</f>
        <v>36000</v>
      </c>
      <c r="F145" s="171"/>
      <c r="G145" s="171">
        <f t="shared" ref="G145:G153" si="39">E145+F145</f>
        <v>36000</v>
      </c>
      <c r="H145" s="172">
        <f t="shared" ref="H145:H153" si="40">IF($G$208=0,0,G145/$G$208)</f>
        <v>8.0481914032934729E-3</v>
      </c>
      <c r="I145" s="337"/>
      <c r="J145" s="183">
        <v>0</v>
      </c>
      <c r="K145" s="183">
        <v>0</v>
      </c>
      <c r="M145" s="364">
        <f t="shared" si="34"/>
        <v>1.9335087813523819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490">
        <f>'[13]Sch C'!D147</f>
        <v>0</v>
      </c>
      <c r="D146" s="490">
        <f>'[13]Sch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337"/>
      <c r="J146" s="183">
        <v>0</v>
      </c>
      <c r="K146" s="183">
        <v>0</v>
      </c>
      <c r="M146" s="364">
        <f t="shared" si="34"/>
        <v>0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490">
        <f>'[13]Sch C'!D148</f>
        <v>0</v>
      </c>
      <c r="D147" s="490">
        <f>'[13]Sch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7"/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490">
        <f>'[13]Sch C'!D149</f>
        <v>2042</v>
      </c>
      <c r="D148" s="490">
        <f>'[13]Sch C'!F149</f>
        <v>0</v>
      </c>
      <c r="E148" s="171">
        <f t="shared" si="38"/>
        <v>2042</v>
      </c>
      <c r="F148" s="171"/>
      <c r="G148" s="171">
        <f t="shared" si="39"/>
        <v>2042</v>
      </c>
      <c r="H148" s="172">
        <f t="shared" si="40"/>
        <v>4.5651130126459085E-4</v>
      </c>
      <c r="I148" s="337"/>
      <c r="J148" s="183">
        <v>0</v>
      </c>
      <c r="K148" s="183">
        <v>0</v>
      </c>
      <c r="M148" s="364">
        <f t="shared" si="34"/>
        <v>0.10967291476448789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490">
        <f>'[13]Sch C'!D150</f>
        <v>12135</v>
      </c>
      <c r="D149" s="490">
        <f>'[13]Sch C'!F150</f>
        <v>0</v>
      </c>
      <c r="E149" s="171">
        <f t="shared" si="38"/>
        <v>12135</v>
      </c>
      <c r="F149" s="171"/>
      <c r="G149" s="171">
        <f t="shared" si="39"/>
        <v>12135</v>
      </c>
      <c r="H149" s="172">
        <f t="shared" si="40"/>
        <v>2.7129111855268414E-3</v>
      </c>
      <c r="I149" s="337"/>
      <c r="J149" s="183">
        <v>0</v>
      </c>
      <c r="K149" s="183">
        <v>0</v>
      </c>
      <c r="M149" s="364">
        <f t="shared" si="34"/>
        <v>0.65175358504753211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490">
        <f>'[13]Sch C'!D151</f>
        <v>88136</v>
      </c>
      <c r="D150" s="490">
        <f>'[13]Sch C'!F151</f>
        <v>0</v>
      </c>
      <c r="E150" s="171">
        <f t="shared" si="38"/>
        <v>88136</v>
      </c>
      <c r="F150" s="171"/>
      <c r="G150" s="171">
        <f t="shared" si="39"/>
        <v>88136</v>
      </c>
      <c r="H150" s="172">
        <f t="shared" si="40"/>
        <v>1.970376104224093E-2</v>
      </c>
      <c r="I150" s="337"/>
      <c r="J150" s="168"/>
      <c r="K150" s="168"/>
      <c r="M150" s="364">
        <f t="shared" si="34"/>
        <v>4.7336591653687092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490">
        <f>'[13]Sch C'!D152</f>
        <v>924</v>
      </c>
      <c r="D151" s="490">
        <f>'[13]Sch C'!F152</f>
        <v>0</v>
      </c>
      <c r="E151" s="171">
        <f t="shared" si="38"/>
        <v>924</v>
      </c>
      <c r="F151" s="171"/>
      <c r="G151" s="171">
        <f t="shared" si="39"/>
        <v>924</v>
      </c>
      <c r="H151" s="172">
        <f t="shared" si="40"/>
        <v>2.065702460178658E-4</v>
      </c>
      <c r="I151" s="337"/>
      <c r="J151" s="168"/>
      <c r="K151" s="168"/>
      <c r="M151" s="364">
        <f t="shared" si="34"/>
        <v>4.9626725388044468E-2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490">
        <f>'[13]Sch C'!D153</f>
        <v>0</v>
      </c>
      <c r="D152" s="490">
        <f>'[13]Sch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7"/>
      <c r="J152" s="168"/>
      <c r="K152" s="168"/>
      <c r="M152" s="364">
        <f t="shared" si="34"/>
        <v>0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490">
        <f>'[13]Sch C'!D154</f>
        <v>0</v>
      </c>
      <c r="D153" s="490">
        <f>'[13]Sch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210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490">
        <f>'[13]Sch C'!D156</f>
        <v>0</v>
      </c>
      <c r="D155" s="490">
        <f>'[13]Sch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490">
        <f>'[13]Sch C'!D157</f>
        <v>0</v>
      </c>
      <c r="D156" s="490">
        <f>'[13]Sch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490">
        <f>'[13]Sch C'!D158</f>
        <v>0</v>
      </c>
      <c r="D157" s="490">
        <f>'[13]Sch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7"/>
      <c r="J157" s="168"/>
      <c r="K157" s="168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490">
        <f>'[13]Sch C'!D159</f>
        <v>0</v>
      </c>
      <c r="D158" s="490">
        <f>'[13]Sch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490">
        <f>'[13]Sch C'!D160</f>
        <v>0</v>
      </c>
      <c r="D159" s="490">
        <f>'[13]Sch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7"/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490">
        <f>'[13]Sch C'!D161</f>
        <v>10378</v>
      </c>
      <c r="D160" s="490">
        <f>'[13]Sch C'!F161</f>
        <v>0</v>
      </c>
      <c r="E160" s="171">
        <f t="shared" si="41"/>
        <v>10378</v>
      </c>
      <c r="F160" s="171"/>
      <c r="G160" s="171">
        <f t="shared" si="42"/>
        <v>10378</v>
      </c>
      <c r="H160" s="172">
        <f t="shared" si="43"/>
        <v>2.3201147328716569E-3</v>
      </c>
      <c r="I160" s="337"/>
      <c r="J160" s="168"/>
      <c r="K160" s="168"/>
      <c r="M160" s="364">
        <f t="shared" si="34"/>
        <v>0.55738761480208387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490">
        <f>SUM(C123:C160)</f>
        <v>1308700</v>
      </c>
      <c r="D161" s="490">
        <f>SUM(D123:D160)</f>
        <v>230954</v>
      </c>
      <c r="E161" s="171">
        <f t="shared" ref="E161:F161" si="44">SUM(E123:E160)</f>
        <v>1539654</v>
      </c>
      <c r="F161" s="171">
        <f t="shared" si="44"/>
        <v>0</v>
      </c>
      <c r="G161" s="171">
        <f>SUM(G123:G160)</f>
        <v>1539654</v>
      </c>
      <c r="H161" s="172">
        <f t="shared" si="43"/>
        <v>0.34420639130128911</v>
      </c>
      <c r="I161" s="337"/>
      <c r="J161" s="168"/>
      <c r="K161" s="168"/>
      <c r="M161" s="364">
        <f>G161/G$228</f>
        <v>82.692625812342229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337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7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490">
        <f>'[13]Sch C'!D175</f>
        <v>0</v>
      </c>
      <c r="D164" s="490">
        <f>'[13]Sch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490">
        <f>'[13]Sch C'!D176</f>
        <v>0</v>
      </c>
      <c r="D165" s="490">
        <f>'[13]Sch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490">
        <f>'[13]Sch C'!D177</f>
        <v>153280</v>
      </c>
      <c r="D166" s="490">
        <f>'[13]Sch C'!F177</f>
        <v>8252</v>
      </c>
      <c r="E166" s="171">
        <f t="shared" si="45"/>
        <v>161532</v>
      </c>
      <c r="F166" s="216"/>
      <c r="G166" s="171">
        <f t="shared" si="46"/>
        <v>161532</v>
      </c>
      <c r="H166" s="172">
        <f t="shared" si="47"/>
        <v>3.6112234826577813E-2</v>
      </c>
      <c r="I166" s="343"/>
      <c r="J166" s="217">
        <v>4937</v>
      </c>
      <c r="K166" s="217">
        <v>5203</v>
      </c>
      <c r="L166" s="218"/>
      <c r="M166" s="364">
        <f t="shared" si="48"/>
        <v>8.675653901928138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490">
        <f>'[13]Sch C'!D178</f>
        <v>0</v>
      </c>
      <c r="D167" s="490">
        <f>'[13]Sch C'!F178</f>
        <v>22662</v>
      </c>
      <c r="E167" s="171">
        <f t="shared" si="45"/>
        <v>22662</v>
      </c>
      <c r="F167" s="216"/>
      <c r="G167" s="171">
        <f t="shared" si="46"/>
        <v>22662</v>
      </c>
      <c r="H167" s="172">
        <f t="shared" si="47"/>
        <v>5.0663364883732406E-3</v>
      </c>
      <c r="I167" s="344"/>
      <c r="J167" s="222"/>
      <c r="K167" s="222"/>
      <c r="L167" s="218"/>
      <c r="M167" s="364">
        <f t="shared" si="48"/>
        <v>1.2171437778613245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490">
        <f>'[13]Sch C'!D179</f>
        <v>20423</v>
      </c>
      <c r="D168" s="490">
        <f>'[13]Sch C'!F179</f>
        <v>1099</v>
      </c>
      <c r="E168" s="171">
        <f t="shared" si="45"/>
        <v>21522</v>
      </c>
      <c r="F168" s="216"/>
      <c r="G168" s="171">
        <f t="shared" si="46"/>
        <v>21522</v>
      </c>
      <c r="H168" s="172">
        <f t="shared" si="47"/>
        <v>4.8114770939356143E-3</v>
      </c>
      <c r="I168" s="343"/>
      <c r="J168" s="217">
        <v>480</v>
      </c>
      <c r="K168" s="217">
        <v>506</v>
      </c>
      <c r="L168" s="218"/>
      <c r="M168" s="364">
        <f t="shared" si="48"/>
        <v>1.1559159997851658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490">
        <f>'[13]Sch C'!D180</f>
        <v>0</v>
      </c>
      <c r="D169" s="490">
        <f>'[13]Sch C'!F180</f>
        <v>3019</v>
      </c>
      <c r="E169" s="171">
        <f t="shared" si="45"/>
        <v>3019</v>
      </c>
      <c r="F169" s="216"/>
      <c r="G169" s="171">
        <f t="shared" si="46"/>
        <v>3019</v>
      </c>
      <c r="H169" s="172">
        <f t="shared" si="47"/>
        <v>6.749302735150831E-4</v>
      </c>
      <c r="I169" s="344"/>
      <c r="J169" s="222"/>
      <c r="K169" s="222"/>
      <c r="L169" s="218"/>
      <c r="M169" s="364">
        <f t="shared" si="48"/>
        <v>0.16214619474730113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490">
        <f>'[13]Sch C'!D181</f>
        <v>0</v>
      </c>
      <c r="D170" s="490">
        <f>'[13]Sch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3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490">
        <f>'[13]Sch C'!D182</f>
        <v>0</v>
      </c>
      <c r="D171" s="490">
        <f>'[13]Sch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490">
        <f>'[13]Sch C'!D183</f>
        <v>98992</v>
      </c>
      <c r="D172" s="490">
        <f>'[13]Sch C'!F183</f>
        <v>5329</v>
      </c>
      <c r="E172" s="171">
        <f t="shared" si="45"/>
        <v>104321</v>
      </c>
      <c r="F172" s="216"/>
      <c r="G172" s="171">
        <f t="shared" si="46"/>
        <v>104321</v>
      </c>
      <c r="H172" s="172">
        <f t="shared" si="47"/>
        <v>2.3322093760638287E-2</v>
      </c>
      <c r="I172" s="343"/>
      <c r="J172" s="217">
        <v>2920</v>
      </c>
      <c r="K172" s="217">
        <v>3077</v>
      </c>
      <c r="L172" s="218"/>
      <c r="M172" s="364">
        <f t="shared" si="48"/>
        <v>5.6029324883183849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490">
        <f>'[13]Sch C'!D184</f>
        <v>0</v>
      </c>
      <c r="D173" s="490">
        <f>'[13]Sch C'!F184</f>
        <v>14635</v>
      </c>
      <c r="E173" s="171">
        <f t="shared" si="45"/>
        <v>14635</v>
      </c>
      <c r="F173" s="216"/>
      <c r="G173" s="171">
        <f t="shared" si="46"/>
        <v>14635</v>
      </c>
      <c r="H173" s="172">
        <f t="shared" si="47"/>
        <v>3.2718133663111101E-3</v>
      </c>
      <c r="I173" s="344"/>
      <c r="J173" s="222"/>
      <c r="K173" s="222"/>
      <c r="L173" s="218"/>
      <c r="M173" s="364">
        <f t="shared" si="48"/>
        <v>0.78602502819700304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490">
        <f>'[13]Sch C'!D185</f>
        <v>0</v>
      </c>
      <c r="D174" s="490">
        <f>'[13]Sch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3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490">
        <f>'[13]Sch C'!D186</f>
        <v>0</v>
      </c>
      <c r="D175" s="490">
        <f>'[13]Sch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490">
        <f>'[13]Sch C'!D187</f>
        <v>0</v>
      </c>
      <c r="D176" s="490">
        <f>'[13]Sch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490">
        <f>'[13]Sch C'!D188</f>
        <v>288</v>
      </c>
      <c r="D177" s="490">
        <f>'[13]Sch C'!F188</f>
        <v>0</v>
      </c>
      <c r="E177" s="171">
        <f t="shared" si="45"/>
        <v>288</v>
      </c>
      <c r="F177" s="216"/>
      <c r="G177" s="171">
        <f t="shared" si="46"/>
        <v>288</v>
      </c>
      <c r="H177" s="172">
        <f t="shared" si="47"/>
        <v>6.4385531226347783E-5</v>
      </c>
      <c r="I177" s="337"/>
      <c r="J177" s="223"/>
      <c r="K177" s="218"/>
      <c r="L177" s="220"/>
      <c r="M177" s="364">
        <f t="shared" si="48"/>
        <v>1.5468070250819055E-2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490">
        <f>'[13]Sch C'!D189</f>
        <v>0</v>
      </c>
      <c r="D178" s="490">
        <f>'[13]Sch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337"/>
      <c r="J178" s="223"/>
      <c r="K178" s="218"/>
      <c r="L178" s="220"/>
      <c r="M178" s="364">
        <f t="shared" si="48"/>
        <v>0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490">
        <f>'[13]Sch C'!D190</f>
        <v>0</v>
      </c>
      <c r="D179" s="490">
        <f>'[13]Sch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490">
        <f>'[13]Sch C'!D191</f>
        <v>0</v>
      </c>
      <c r="D180" s="490">
        <f>'[13]Sch C'!F191</f>
        <v>0</v>
      </c>
      <c r="E180" s="171">
        <f t="shared" si="45"/>
        <v>0</v>
      </c>
      <c r="F180" s="216"/>
      <c r="G180" s="171">
        <f t="shared" si="46"/>
        <v>0</v>
      </c>
      <c r="H180" s="172">
        <f t="shared" si="47"/>
        <v>0</v>
      </c>
      <c r="I180" s="337"/>
      <c r="J180" s="223"/>
      <c r="K180" s="218"/>
      <c r="L180" s="220"/>
      <c r="M180" s="364">
        <f t="shared" si="48"/>
        <v>0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490">
        <f>'[13]Sch C'!D192</f>
        <v>0</v>
      </c>
      <c r="D181" s="490">
        <f>'[13]Sch C'!F192</f>
        <v>0</v>
      </c>
      <c r="E181" s="171">
        <f t="shared" si="45"/>
        <v>0</v>
      </c>
      <c r="F181" s="216"/>
      <c r="G181" s="171">
        <f t="shared" si="46"/>
        <v>0</v>
      </c>
      <c r="H181" s="172">
        <f t="shared" si="47"/>
        <v>0</v>
      </c>
      <c r="I181" s="337"/>
      <c r="J181" s="223"/>
      <c r="K181" s="218"/>
      <c r="L181" s="220"/>
      <c r="M181" s="364">
        <f t="shared" si="48"/>
        <v>0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490">
        <f>'[13]Sch C'!D193</f>
        <v>0</v>
      </c>
      <c r="D182" s="490">
        <f>'[13]Sch C'!F193</f>
        <v>0</v>
      </c>
      <c r="E182" s="171">
        <f t="shared" si="45"/>
        <v>0</v>
      </c>
      <c r="F182" s="216"/>
      <c r="G182" s="171">
        <f t="shared" si="46"/>
        <v>0</v>
      </c>
      <c r="H182" s="172">
        <f t="shared" si="47"/>
        <v>0</v>
      </c>
      <c r="I182" s="337"/>
      <c r="J182" s="223"/>
      <c r="K182" s="218"/>
      <c r="L182" s="220"/>
      <c r="M182" s="364">
        <f t="shared" si="48"/>
        <v>0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490">
        <f>'[13]Sch C'!D194</f>
        <v>0</v>
      </c>
      <c r="D183" s="490">
        <f>'[13]Sch C'!F194</f>
        <v>0</v>
      </c>
      <c r="E183" s="171">
        <f t="shared" si="45"/>
        <v>0</v>
      </c>
      <c r="F183" s="216"/>
      <c r="G183" s="171">
        <f t="shared" si="46"/>
        <v>0</v>
      </c>
      <c r="H183" s="172">
        <f t="shared" si="47"/>
        <v>0</v>
      </c>
      <c r="I183" s="337"/>
      <c r="J183" s="223"/>
      <c r="K183" s="218"/>
      <c r="M183" s="364">
        <f t="shared" si="48"/>
        <v>0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490">
        <f>'[13]Sch C'!D195</f>
        <v>0</v>
      </c>
      <c r="D184" s="490">
        <f>'[13]Sch C'!F195</f>
        <v>0</v>
      </c>
      <c r="E184" s="171">
        <f t="shared" si="45"/>
        <v>0</v>
      </c>
      <c r="F184" s="216"/>
      <c r="G184" s="171">
        <f t="shared" si="46"/>
        <v>0</v>
      </c>
      <c r="H184" s="172">
        <f t="shared" si="47"/>
        <v>0</v>
      </c>
      <c r="I184" s="337"/>
      <c r="J184" s="223"/>
      <c r="K184" s="218"/>
      <c r="M184" s="364">
        <f t="shared" si="48"/>
        <v>0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490">
        <f>'[13]Sch C'!D196</f>
        <v>0</v>
      </c>
      <c r="D185" s="490">
        <f>'[13]Sch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490">
        <f>'[13]Sch C'!D197</f>
        <v>0</v>
      </c>
      <c r="D186" s="490">
        <f>'[13]Sch C'!F197</f>
        <v>0</v>
      </c>
      <c r="E186" s="171">
        <f t="shared" si="45"/>
        <v>0</v>
      </c>
      <c r="F186" s="216"/>
      <c r="G186" s="171">
        <f t="shared" si="46"/>
        <v>0</v>
      </c>
      <c r="H186" s="172">
        <f t="shared" si="47"/>
        <v>0</v>
      </c>
      <c r="I186" s="337"/>
      <c r="J186" s="223"/>
      <c r="K186" s="218"/>
      <c r="M186" s="364">
        <f t="shared" si="48"/>
        <v>0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490">
        <f>'[13]Sch C'!D198</f>
        <v>23892</v>
      </c>
      <c r="D187" s="490">
        <f>'[13]Sch C'!F198</f>
        <v>0</v>
      </c>
      <c r="E187" s="171">
        <f t="shared" si="45"/>
        <v>23892</v>
      </c>
      <c r="F187" s="216"/>
      <c r="G187" s="171">
        <f t="shared" si="46"/>
        <v>23892</v>
      </c>
      <c r="H187" s="172">
        <f t="shared" si="47"/>
        <v>5.341316361319101E-3</v>
      </c>
      <c r="I187" s="337"/>
      <c r="J187" s="223"/>
      <c r="K187" s="218"/>
      <c r="M187" s="364">
        <f t="shared" si="48"/>
        <v>1.2832053278908642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490">
        <f>'[13]Sch C'!D199</f>
        <v>0</v>
      </c>
      <c r="D188" s="490">
        <f>'[13]Sch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7"/>
      <c r="J188" s="223"/>
      <c r="K188" s="218"/>
      <c r="M188" s="364">
        <f t="shared" si="48"/>
        <v>0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490">
        <f>'[13]Sch C'!D200</f>
        <v>0</v>
      </c>
      <c r="D189" s="490">
        <f>'[13]Sch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7"/>
      <c r="J189" s="223"/>
      <c r="K189" s="218"/>
      <c r="M189" s="364">
        <f t="shared" si="48"/>
        <v>0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490">
        <f>'[13]Sch C'!D201</f>
        <v>0</v>
      </c>
      <c r="D190" s="490">
        <f>'[13]Sch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7"/>
      <c r="J190" s="223"/>
      <c r="K190" s="218"/>
      <c r="M190" s="364">
        <f t="shared" si="48"/>
        <v>0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490">
        <f>'[13]Sch C'!D202</f>
        <v>0</v>
      </c>
      <c r="D191" s="490">
        <f>'[13]Sch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490">
        <f>'[13]Sch C'!D203</f>
        <v>0</v>
      </c>
      <c r="D192" s="490">
        <f>'[13]Sch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7"/>
      <c r="J192" s="223"/>
      <c r="K192" s="218"/>
      <c r="M192" s="364">
        <f t="shared" si="48"/>
        <v>0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490">
        <f>'[13]Sch C'!D204</f>
        <v>0</v>
      </c>
      <c r="D193" s="490">
        <f>'[13]Sch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490">
        <f>'[13]Sch C'!D205</f>
        <v>115673</v>
      </c>
      <c r="D194" s="490">
        <f>'[13]Sch C'!F205</f>
        <v>0</v>
      </c>
      <c r="E194" s="171">
        <f t="shared" si="45"/>
        <v>115673</v>
      </c>
      <c r="F194" s="216"/>
      <c r="G194" s="171">
        <f t="shared" si="46"/>
        <v>115673</v>
      </c>
      <c r="H194" s="172">
        <f t="shared" si="47"/>
        <v>2.5859956783143494E-2</v>
      </c>
      <c r="I194" s="337"/>
      <c r="J194" s="223"/>
      <c r="K194" s="218"/>
      <c r="M194" s="364">
        <f t="shared" si="48"/>
        <v>6.212632257371502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490">
        <f>'[13]Sch C'!D206</f>
        <v>8997</v>
      </c>
      <c r="D195" s="490">
        <f>'[13]Sch C'!F206</f>
        <v>0</v>
      </c>
      <c r="E195" s="171">
        <f t="shared" si="45"/>
        <v>8997</v>
      </c>
      <c r="F195" s="216"/>
      <c r="G195" s="171">
        <f t="shared" si="46"/>
        <v>8997</v>
      </c>
      <c r="H195" s="172">
        <f t="shared" si="47"/>
        <v>2.011377168206427E-3</v>
      </c>
      <c r="I195" s="337"/>
      <c r="J195" s="223"/>
      <c r="K195" s="218"/>
      <c r="M195" s="364">
        <f t="shared" si="48"/>
        <v>0.48321606960631613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490">
        <f>'[13]Sch C'!D207</f>
        <v>74476</v>
      </c>
      <c r="D196" s="490">
        <f>'[13]Sch C'!F207</f>
        <v>-454.80000000000018</v>
      </c>
      <c r="E196" s="171">
        <f t="shared" si="45"/>
        <v>74021.2</v>
      </c>
      <c r="F196" s="216"/>
      <c r="G196" s="171">
        <f t="shared" si="46"/>
        <v>74021.2</v>
      </c>
      <c r="H196" s="172">
        <f t="shared" si="47"/>
        <v>1.6548244041707409E-2</v>
      </c>
      <c r="I196" s="337"/>
      <c r="J196" s="223"/>
      <c r="K196" s="218"/>
      <c r="M196" s="364">
        <f t="shared" si="48"/>
        <v>3.9755733390622483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490">
        <f>SUM(C164:C196)</f>
        <v>496021</v>
      </c>
      <c r="D197" s="490">
        <f>SUM(D164:D196)</f>
        <v>54541.2</v>
      </c>
      <c r="E197" s="171">
        <f t="shared" ref="E197:F197" si="49">SUM(E164:E196)</f>
        <v>550562.19999999995</v>
      </c>
      <c r="F197" s="171">
        <f t="shared" si="49"/>
        <v>0</v>
      </c>
      <c r="G197" s="171">
        <f>SUM(G164:G196)</f>
        <v>550562.19999999995</v>
      </c>
      <c r="H197" s="172">
        <f>IF($G$208=0,0,G197/$G$208)</f>
        <v>0.12308416569495391</v>
      </c>
      <c r="I197" s="337"/>
      <c r="J197" s="168"/>
      <c r="K197" s="168"/>
      <c r="M197" s="364">
        <f>G197/G$228</f>
        <v>29.569912455019065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165"/>
      <c r="G198" s="165"/>
      <c r="H198" s="198"/>
      <c r="I198" s="341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1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490">
        <f>'[13]Sch C'!D211</f>
        <v>59625</v>
      </c>
      <c r="D200" s="490">
        <f>'[13]Sch C'!F211</f>
        <v>3210</v>
      </c>
      <c r="E200" s="171">
        <f t="shared" ref="E200:E205" si="50">C200+D200</f>
        <v>62835</v>
      </c>
      <c r="F200" s="171"/>
      <c r="G200" s="171">
        <f t="shared" ref="G200:G205" si="51">E200+F200</f>
        <v>62835</v>
      </c>
      <c r="H200" s="172">
        <f t="shared" ref="H200:H206" si="52">IF($G$208=0,0,G200/$G$208)</f>
        <v>1.4047447411831815E-2</v>
      </c>
      <c r="I200" s="337"/>
      <c r="J200" s="183">
        <v>3845</v>
      </c>
      <c r="K200" s="183">
        <v>4052</v>
      </c>
      <c r="M200" s="364">
        <f t="shared" ref="M200:M205" si="53">G200/G$228</f>
        <v>3.3747784521188033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490">
        <f>'[13]Sch C'!D212</f>
        <v>0</v>
      </c>
      <c r="D201" s="490">
        <f>'[13]Sch C'!F212</f>
        <v>8816</v>
      </c>
      <c r="E201" s="171">
        <f t="shared" si="50"/>
        <v>8816</v>
      </c>
      <c r="F201" s="171"/>
      <c r="G201" s="171">
        <f t="shared" si="51"/>
        <v>8816</v>
      </c>
      <c r="H201" s="172">
        <f t="shared" si="52"/>
        <v>1.9709126503176457E-3</v>
      </c>
      <c r="I201" s="337"/>
      <c r="J201" s="168"/>
      <c r="K201" s="168"/>
      <c r="M201" s="364">
        <f t="shared" si="53"/>
        <v>0.47349481712229441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490">
        <f>'[13]Sch C'!D213</f>
        <v>18589</v>
      </c>
      <c r="D202" s="490">
        <f>'[13]Sch C'!F213</f>
        <v>0</v>
      </c>
      <c r="E202" s="171">
        <f t="shared" si="50"/>
        <v>18589</v>
      </c>
      <c r="F202" s="171"/>
      <c r="G202" s="171">
        <f t="shared" si="51"/>
        <v>18589</v>
      </c>
      <c r="H202" s="172">
        <f t="shared" si="52"/>
        <v>4.1557730554395095E-3</v>
      </c>
      <c r="I202" s="337"/>
      <c r="J202" s="168"/>
      <c r="K202" s="168"/>
      <c r="M202" s="364">
        <f t="shared" si="53"/>
        <v>0.99838874268220634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490">
        <f>'[13]Sch C'!D214</f>
        <v>0</v>
      </c>
      <c r="D203" s="490">
        <f>'[13]Sch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>
        <f t="shared" si="53"/>
        <v>0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490">
        <f>'[13]Sch C'!D215</f>
        <v>0</v>
      </c>
      <c r="D204" s="490">
        <f>'[13]Sch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490">
        <f>'[13]Sch C'!D216</f>
        <v>1703</v>
      </c>
      <c r="D205" s="490">
        <f>'[13]Sch C'!F216</f>
        <v>0</v>
      </c>
      <c r="E205" s="171">
        <f t="shared" si="50"/>
        <v>1703</v>
      </c>
      <c r="F205" s="171"/>
      <c r="G205" s="171">
        <f t="shared" si="51"/>
        <v>1703</v>
      </c>
      <c r="H205" s="172">
        <f t="shared" si="52"/>
        <v>3.8072416555024396E-4</v>
      </c>
      <c r="I205" s="337"/>
      <c r="J205" s="168"/>
      <c r="K205" s="168"/>
      <c r="M205" s="364">
        <f t="shared" si="53"/>
        <v>9.1465707073419625E-2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490">
        <f>SUM(C200:C205)</f>
        <v>79917</v>
      </c>
      <c r="D206" s="490">
        <f>SUM(D200:D205)</f>
        <v>12026</v>
      </c>
      <c r="E206" s="171">
        <f t="shared" ref="E206:F206" si="54">SUM(E200:E205)</f>
        <v>91943</v>
      </c>
      <c r="F206" s="171">
        <f t="shared" si="54"/>
        <v>0</v>
      </c>
      <c r="G206" s="171">
        <f>SUM(G200:G205)</f>
        <v>91943</v>
      </c>
      <c r="H206" s="172">
        <f t="shared" si="52"/>
        <v>2.0554857283139213E-2</v>
      </c>
      <c r="I206" s="337"/>
      <c r="J206" s="168"/>
      <c r="K206" s="168"/>
      <c r="M206" s="364">
        <f>G206/G$228</f>
        <v>4.9381277189967241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490">
        <f>SUM(C25:C206)/2</f>
        <v>4480111</v>
      </c>
      <c r="D208" s="490">
        <f>SUM(D25:D206)/2</f>
        <v>-7056.3475885134103</v>
      </c>
      <c r="E208" s="171">
        <f t="shared" ref="E208:F208" si="55">SUM(E25:E206)/2</f>
        <v>4473054.652411487</v>
      </c>
      <c r="F208" s="171">
        <f t="shared" si="55"/>
        <v>0</v>
      </c>
      <c r="G208" s="171">
        <f>SUM(G25:G206)/2</f>
        <v>4473054.652411487</v>
      </c>
      <c r="H208" s="172">
        <f>IF($G$208=0,0,G208/$G$208)</f>
        <v>1</v>
      </c>
      <c r="I208" s="337"/>
      <c r="J208" s="183">
        <f>SUM(J25:J200)</f>
        <v>98049</v>
      </c>
      <c r="K208" s="183">
        <f>SUM(K25:K200)</f>
        <v>103326</v>
      </c>
      <c r="M208" s="364">
        <f>G208/G$228</f>
        <v>240.24140138629824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490">
        <f>'[13]Sch C'!D221</f>
        <v>4480111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490">
        <f>C208-C211</f>
        <v>0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585"/>
      <c r="D213" s="232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490">
        <f>C21-C208</f>
        <v>-20172</v>
      </c>
      <c r="D215" s="490">
        <f>D21-D208</f>
        <v>7056.3475885134103</v>
      </c>
      <c r="E215" s="171">
        <f t="shared" ref="E215:F215" si="56">E21-E208</f>
        <v>-13115.652411486953</v>
      </c>
      <c r="F215" s="171">
        <f t="shared" si="56"/>
        <v>0</v>
      </c>
      <c r="G215" s="171">
        <f>G21-G208</f>
        <v>-13115.652411486953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491">
        <f>'[13]Sch D'!C9</f>
        <v>13136</v>
      </c>
      <c r="D219" s="491"/>
      <c r="E219" s="235">
        <f t="shared" ref="E219:G227" si="57">C219+D219</f>
        <v>13136</v>
      </c>
      <c r="F219" s="234"/>
      <c r="G219" s="235">
        <f t="shared" si="57"/>
        <v>13136</v>
      </c>
      <c r="H219" s="172">
        <f t="shared" ref="H219:H228" si="58">IF($G$228=0,0,G219/$G$228)</f>
        <v>0.70551587088458023</v>
      </c>
      <c r="I219" s="337"/>
      <c r="J219" s="168"/>
      <c r="K219" s="168"/>
    </row>
    <row r="220" spans="1:14">
      <c r="A220" s="163"/>
      <c r="B220" s="170" t="s">
        <v>217</v>
      </c>
      <c r="C220" s="491">
        <f>'[13]Sch D'!D9</f>
        <v>0</v>
      </c>
      <c r="D220" s="491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7"/>
      <c r="J220" s="168"/>
      <c r="K220" s="168"/>
    </row>
    <row r="221" spans="1:14">
      <c r="A221" s="163"/>
      <c r="B221" s="170" t="s">
        <v>72</v>
      </c>
      <c r="C221" s="491">
        <f>'[13]Sch D'!E9</f>
        <v>2073</v>
      </c>
      <c r="D221" s="491"/>
      <c r="E221" s="235">
        <f t="shared" si="59"/>
        <v>2073</v>
      </c>
      <c r="F221" s="234"/>
      <c r="G221" s="235">
        <f t="shared" si="57"/>
        <v>2073</v>
      </c>
      <c r="H221" s="172">
        <f t="shared" si="58"/>
        <v>0.11133788065954132</v>
      </c>
      <c r="I221" s="337"/>
      <c r="J221" s="168"/>
      <c r="K221" s="168"/>
    </row>
    <row r="222" spans="1:14">
      <c r="A222" s="163"/>
      <c r="B222" s="202" t="s">
        <v>334</v>
      </c>
      <c r="C222" s="491">
        <f>'[13]Sch D'!F9</f>
        <v>1980</v>
      </c>
      <c r="D222" s="491"/>
      <c r="E222" s="235">
        <f>C222+D222</f>
        <v>1980</v>
      </c>
      <c r="F222" s="234"/>
      <c r="G222" s="235">
        <f>E222+F222</f>
        <v>1980</v>
      </c>
      <c r="H222" s="172">
        <f t="shared" si="58"/>
        <v>0.10634298297438101</v>
      </c>
      <c r="I222" s="337"/>
      <c r="J222" s="168"/>
      <c r="K222" s="168"/>
    </row>
    <row r="223" spans="1:14">
      <c r="A223" s="163"/>
      <c r="B223" s="170" t="s">
        <v>73</v>
      </c>
      <c r="C223" s="491">
        <f>'[13]Sch D'!G9</f>
        <v>0</v>
      </c>
      <c r="D223" s="491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7"/>
      <c r="J223" s="168"/>
      <c r="K223" s="168"/>
    </row>
    <row r="224" spans="1:14">
      <c r="A224" s="163"/>
      <c r="B224" s="170" t="s">
        <v>74</v>
      </c>
      <c r="C224" s="491">
        <f>'[13]Sch D'!H9</f>
        <v>423</v>
      </c>
      <c r="D224" s="491"/>
      <c r="E224" s="235">
        <f t="shared" si="59"/>
        <v>423</v>
      </c>
      <c r="F224" s="234"/>
      <c r="G224" s="235">
        <f t="shared" si="57"/>
        <v>423</v>
      </c>
      <c r="H224" s="172">
        <f t="shared" si="58"/>
        <v>2.2718728180890487E-2</v>
      </c>
      <c r="I224" s="337"/>
      <c r="J224" s="168"/>
      <c r="K224" s="168"/>
    </row>
    <row r="225" spans="1:11">
      <c r="A225" s="163"/>
      <c r="B225" s="170" t="s">
        <v>236</v>
      </c>
      <c r="C225" s="491">
        <f>'[13]Sch D'!I9</f>
        <v>0</v>
      </c>
      <c r="D225" s="491"/>
      <c r="E225" s="235">
        <f t="shared" si="59"/>
        <v>0</v>
      </c>
      <c r="F225" s="234"/>
      <c r="G225" s="235">
        <f t="shared" si="57"/>
        <v>0</v>
      </c>
      <c r="H225" s="172">
        <f t="shared" si="58"/>
        <v>0</v>
      </c>
      <c r="I225" s="337"/>
      <c r="J225" s="168"/>
      <c r="K225" s="168"/>
    </row>
    <row r="226" spans="1:11">
      <c r="A226" s="163"/>
      <c r="B226" s="170" t="s">
        <v>235</v>
      </c>
      <c r="C226" s="491">
        <f>'[13]Sch D'!J9</f>
        <v>1007</v>
      </c>
      <c r="D226" s="491"/>
      <c r="E226" s="235">
        <f>C226+D226</f>
        <v>1007</v>
      </c>
      <c r="F226" s="234"/>
      <c r="G226" s="235">
        <f>E226+F226</f>
        <v>1007</v>
      </c>
      <c r="H226" s="172">
        <f t="shared" si="58"/>
        <v>5.4084537300606909E-2</v>
      </c>
      <c r="I226" s="337"/>
      <c r="J226" s="168"/>
      <c r="K226" s="168"/>
    </row>
    <row r="227" spans="1:11">
      <c r="A227" s="163"/>
      <c r="B227" s="170" t="s">
        <v>179</v>
      </c>
      <c r="C227" s="491">
        <f>'[13]Sch D'!K9</f>
        <v>0</v>
      </c>
      <c r="D227" s="491"/>
      <c r="E227" s="235">
        <f t="shared" si="59"/>
        <v>0</v>
      </c>
      <c r="F227" s="234"/>
      <c r="G227" s="235">
        <f t="shared" si="57"/>
        <v>0</v>
      </c>
      <c r="H227" s="172">
        <f t="shared" si="58"/>
        <v>0</v>
      </c>
      <c r="I227" s="337"/>
      <c r="J227" s="168"/>
      <c r="K227" s="168"/>
    </row>
    <row r="228" spans="1:11" ht="13.5" thickBot="1">
      <c r="A228" s="163"/>
      <c r="B228" s="236" t="s">
        <v>75</v>
      </c>
      <c r="C228" s="491">
        <f>SUM(C219:C227)</f>
        <v>18619</v>
      </c>
      <c r="D228" s="491">
        <f>SUM(D219:D227)</f>
        <v>0</v>
      </c>
      <c r="E228" s="237">
        <f>SUM(E219:E227)</f>
        <v>18619</v>
      </c>
      <c r="F228" s="237">
        <f>SUM(F219:F227)</f>
        <v>0</v>
      </c>
      <c r="G228" s="237">
        <f>SUM(G219:G227)</f>
        <v>18619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586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585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492">
        <f>'[13]Sch D'!N22</f>
        <v>108</v>
      </c>
      <c r="D231" s="526"/>
      <c r="E231" s="235">
        <f>C231+D231</f>
        <v>108</v>
      </c>
      <c r="F231" s="235"/>
      <c r="G231" s="235">
        <f>E231+F231</f>
        <v>108</v>
      </c>
      <c r="H231" s="167"/>
      <c r="J231" s="168"/>
      <c r="K231" s="168"/>
    </row>
    <row r="232" spans="1:11">
      <c r="A232" s="163"/>
      <c r="B232" s="202" t="s">
        <v>290</v>
      </c>
      <c r="C232" s="492">
        <f>'[13]Sch D'!N24</f>
        <v>108</v>
      </c>
      <c r="D232" s="526"/>
      <c r="E232" s="235">
        <f>C232+D232</f>
        <v>108</v>
      </c>
      <c r="F232" s="235"/>
      <c r="G232" s="235">
        <f>E232+F232</f>
        <v>108</v>
      </c>
      <c r="H232" s="167"/>
      <c r="J232" s="168"/>
      <c r="K232" s="168"/>
    </row>
    <row r="233" spans="1:11">
      <c r="A233" s="163"/>
      <c r="B233" s="202" t="s">
        <v>76</v>
      </c>
      <c r="C233" s="492">
        <f>$C$4-$C$3+1</f>
        <v>365</v>
      </c>
      <c r="D233" s="489"/>
      <c r="E233" s="235">
        <f>C233+D233</f>
        <v>365</v>
      </c>
      <c r="F233" s="240"/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587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492">
        <f>'[13]Sch D'!N28</f>
        <v>39420</v>
      </c>
      <c r="D235" s="489"/>
      <c r="E235" s="234">
        <f>E231*E233</f>
        <v>39420</v>
      </c>
      <c r="F235" s="240"/>
      <c r="G235" s="234">
        <f>G231*G233</f>
        <v>39420</v>
      </c>
      <c r="H235" s="167"/>
      <c r="J235" s="168"/>
      <c r="K235" s="168"/>
    </row>
    <row r="236" spans="1:11" ht="26">
      <c r="A236" s="163"/>
      <c r="B236" s="244" t="s">
        <v>336</v>
      </c>
      <c r="C236" s="493">
        <f>'[13]Sch D'!N30</f>
        <v>0.47232369355657028</v>
      </c>
      <c r="D236" s="240"/>
      <c r="E236" s="245">
        <f>E228/E235</f>
        <v>0.47232369355657028</v>
      </c>
      <c r="F236" s="246"/>
      <c r="G236" s="245">
        <f>G228/G235</f>
        <v>0.47232369355657028</v>
      </c>
      <c r="H236" s="167"/>
      <c r="J236" s="168"/>
      <c r="K236" s="168"/>
    </row>
    <row r="237" spans="1:11" ht="26">
      <c r="A237" s="163"/>
      <c r="B237" s="244" t="s">
        <v>337</v>
      </c>
      <c r="C237" s="493">
        <f>'[13]Sch D'!N32</f>
        <v>0.3332318619989853</v>
      </c>
      <c r="D237" s="240"/>
      <c r="E237" s="245">
        <f>(E219+E220)/E235</f>
        <v>0.3332318619989853</v>
      </c>
      <c r="F237" s="246"/>
      <c r="G237" s="245">
        <f>(G219+G220)/G235</f>
        <v>0.3332318619989853</v>
      </c>
      <c r="H237" s="167"/>
      <c r="J237" s="168"/>
      <c r="K237" s="168"/>
    </row>
    <row r="238" spans="1:11" ht="26">
      <c r="A238" s="163"/>
      <c r="B238" s="244" t="s">
        <v>338</v>
      </c>
      <c r="C238" s="493">
        <f>'[13]Sch D'!N34</f>
        <v>0.70551587088458023</v>
      </c>
      <c r="D238" s="240"/>
      <c r="E238" s="245">
        <f>(E237/E236)</f>
        <v>0.70551587088458023</v>
      </c>
      <c r="F238" s="246"/>
      <c r="G238" s="245">
        <f>(G237/G236)</f>
        <v>0.70551587088458023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490">
        <f>'[13]Sch B'!C85</f>
        <v>199.7560975609756</v>
      </c>
    </row>
    <row r="242" spans="2:7">
      <c r="F242" s="142" t="s">
        <v>341</v>
      </c>
      <c r="G242" s="490">
        <f>'[13]Sch B'!E85</f>
        <v>217.70258620689654</v>
      </c>
    </row>
    <row r="243" spans="2:7">
      <c r="F243" s="142" t="s">
        <v>342</v>
      </c>
      <c r="G243" s="490">
        <f>'[13]Sch B'!G85</f>
        <v>73.296296296296291</v>
      </c>
    </row>
    <row r="244" spans="2:7">
      <c r="F244" s="142" t="s">
        <v>343</v>
      </c>
      <c r="G244" s="490">
        <f>'[13]Sch B'!I85</f>
        <v>441.5</v>
      </c>
    </row>
    <row r="245" spans="2:7">
      <c r="F245" s="142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" bottom="1" header="0.5" footer="0.5"/>
  <pageSetup scale="70" orientation="portrait" horizontalDpi="300" verticalDpi="300" r:id="rId3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65">
    <tabColor rgb="FFE28CAB"/>
  </sheetPr>
  <dimension ref="A1:N245"/>
  <sheetViews>
    <sheetView showGridLines="0" zoomScale="89" zoomScaleNormal="89" workbookViewId="0">
      <pane xSplit="2" topLeftCell="C1" activePane="topRight" state="frozen"/>
      <selection activeCell="N1" sqref="N1"/>
      <selection pane="topRight" activeCell="N1" sqref="N1"/>
    </sheetView>
  </sheetViews>
  <sheetFormatPr defaultColWidth="8.6640625" defaultRowHeight="13"/>
  <cols>
    <col min="1" max="1" width="8.58203125" style="142" customWidth="1"/>
    <col min="2" max="2" width="33.6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9" style="140" bestFit="1" customWidth="1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478"/>
      <c r="E1" s="478"/>
      <c r="F1" s="478"/>
      <c r="G1" s="478"/>
      <c r="H1" s="478"/>
      <c r="I1" s="479"/>
    </row>
    <row r="2" spans="1:14" ht="23">
      <c r="B2" s="143" t="s">
        <v>189</v>
      </c>
      <c r="C2" s="247" t="s">
        <v>374</v>
      </c>
      <c r="D2" s="247"/>
      <c r="E2" s="144"/>
    </row>
    <row r="3" spans="1:14" ht="15.5">
      <c r="A3" s="145"/>
      <c r="B3" s="140" t="s">
        <v>79</v>
      </c>
      <c r="C3" s="495">
        <v>41821</v>
      </c>
      <c r="D3" s="144"/>
      <c r="E3" s="401"/>
      <c r="F3" s="401"/>
    </row>
    <row r="4" spans="1:14" ht="15.5">
      <c r="A4" s="145"/>
      <c r="B4" s="148" t="s">
        <v>80</v>
      </c>
      <c r="C4" s="495">
        <v>42185</v>
      </c>
      <c r="D4" s="144"/>
      <c r="E4" s="401"/>
      <c r="F4" s="401"/>
      <c r="G4" s="150"/>
    </row>
    <row r="5" spans="1:14">
      <c r="A5" s="145"/>
      <c r="B5" s="148"/>
      <c r="C5" s="151"/>
      <c r="D5" s="144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144"/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573">
        <f>'[14]Sch B'!E10</f>
        <v>3985490</v>
      </c>
      <c r="D11" s="573">
        <f>'[14]Sch B'!G10</f>
        <v>0</v>
      </c>
      <c r="E11" s="171">
        <f>C11+D11</f>
        <v>3985490</v>
      </c>
      <c r="F11" s="171"/>
      <c r="G11" s="171">
        <f t="shared" ref="G11:G20" si="0">E11+F11</f>
        <v>3985490</v>
      </c>
      <c r="H11" s="172">
        <f t="shared" ref="H11:H21" si="1">IF($G$21=0,0,G11/$G$21)</f>
        <v>0.53859646989028043</v>
      </c>
      <c r="I11" s="337"/>
      <c r="J11" s="368" t="s">
        <v>344</v>
      </c>
      <c r="K11" s="369">
        <f>G21</f>
        <v>7399770</v>
      </c>
      <c r="M11" s="359">
        <f>IFERROR(G11/G219,0)</f>
        <v>179.96432764381831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573">
        <f>'[14]Sch B'!E15</f>
        <v>0</v>
      </c>
      <c r="D12" s="573">
        <f>'[14]Sch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7"/>
      <c r="J12" s="370" t="s">
        <v>345</v>
      </c>
      <c r="K12" s="371">
        <f>G208</f>
        <v>6561770.5620080605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573">
        <f>'[14]Sch B'!E21</f>
        <v>888379</v>
      </c>
      <c r="D13" s="573">
        <f>'[14]Sch B'!G21</f>
        <v>0</v>
      </c>
      <c r="E13" s="171">
        <f t="shared" si="2"/>
        <v>888379</v>
      </c>
      <c r="F13" s="171"/>
      <c r="G13" s="171">
        <f t="shared" si="0"/>
        <v>888379</v>
      </c>
      <c r="H13" s="172">
        <f t="shared" si="1"/>
        <v>0.12005494765377843</v>
      </c>
      <c r="I13" s="337"/>
      <c r="J13" s="370" t="s">
        <v>346</v>
      </c>
      <c r="K13" s="371">
        <f>G228</f>
        <v>33485</v>
      </c>
      <c r="M13" s="359">
        <f t="shared" si="3"/>
        <v>517.10069848661237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573">
        <f>'[14]Sch B'!E27</f>
        <v>1386307</v>
      </c>
      <c r="D14" s="573">
        <f>'[14]Sch B'!G27</f>
        <v>0</v>
      </c>
      <c r="E14" s="171">
        <f t="shared" si="2"/>
        <v>1386307</v>
      </c>
      <c r="F14" s="175"/>
      <c r="G14" s="175">
        <f>E14+F14</f>
        <v>1386307</v>
      </c>
      <c r="H14" s="176">
        <f t="shared" si="1"/>
        <v>0.18734460665669339</v>
      </c>
      <c r="I14" s="338"/>
      <c r="J14" s="370" t="s">
        <v>347</v>
      </c>
      <c r="K14" s="371">
        <f>G231</f>
        <v>120</v>
      </c>
      <c r="M14" s="359">
        <f t="shared" si="3"/>
        <v>407.25822561692127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573">
        <f>'[14]Sch B'!E32</f>
        <v>0</v>
      </c>
      <c r="D15" s="573">
        <f>'[14]Sch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7"/>
      <c r="J15" s="370" t="s">
        <v>348</v>
      </c>
      <c r="K15" s="371">
        <f>G235</f>
        <v>43800</v>
      </c>
      <c r="M15" s="359">
        <f t="shared" si="3"/>
        <v>0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573">
        <f>'[14]Sch B'!E37</f>
        <v>459324</v>
      </c>
      <c r="D16" s="573">
        <f>'[14]Sch B'!G37</f>
        <v>0</v>
      </c>
      <c r="E16" s="171">
        <f t="shared" si="2"/>
        <v>459324</v>
      </c>
      <c r="F16" s="171"/>
      <c r="G16" s="171">
        <f t="shared" si="0"/>
        <v>459324</v>
      </c>
      <c r="H16" s="172">
        <f t="shared" si="1"/>
        <v>6.207274009867874E-2</v>
      </c>
      <c r="I16" s="337"/>
      <c r="J16" s="372"/>
      <c r="K16" s="371"/>
      <c r="M16" s="359">
        <f t="shared" si="3"/>
        <v>193.48104465037912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573">
        <f>'[14]Sch B'!E42</f>
        <v>0</v>
      </c>
      <c r="D17" s="573">
        <f>'[14]Sch B'!G42</f>
        <v>0</v>
      </c>
      <c r="E17" s="171">
        <f t="shared" si="2"/>
        <v>0</v>
      </c>
      <c r="F17" s="171"/>
      <c r="G17" s="171">
        <f>E17+F17</f>
        <v>0</v>
      </c>
      <c r="H17" s="172">
        <f t="shared" si="1"/>
        <v>0</v>
      </c>
      <c r="I17" s="337"/>
      <c r="J17" s="370" t="s">
        <v>156</v>
      </c>
      <c r="K17" s="371">
        <f>J208</f>
        <v>163238.58333333334</v>
      </c>
      <c r="M17" s="359">
        <f t="shared" si="3"/>
        <v>0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573">
        <f>'[14]Sch B'!E47</f>
        <v>677190</v>
      </c>
      <c r="D18" s="573">
        <f>'[14]Sch B'!G47</f>
        <v>0</v>
      </c>
      <c r="E18" s="171">
        <f t="shared" si="2"/>
        <v>677190</v>
      </c>
      <c r="F18" s="171"/>
      <c r="G18" s="171">
        <f>E18+F18</f>
        <v>677190</v>
      </c>
      <c r="H18" s="172">
        <f t="shared" si="1"/>
        <v>9.1515006547500805E-2</v>
      </c>
      <c r="I18" s="337"/>
      <c r="J18" s="373" t="s">
        <v>252</v>
      </c>
      <c r="K18" s="374">
        <f>K208</f>
        <v>172617.58333333334</v>
      </c>
      <c r="M18" s="359">
        <f t="shared" si="3"/>
        <v>176.21389539422327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573">
        <f>'[14]Sch B'!E52</f>
        <v>0</v>
      </c>
      <c r="D19" s="573">
        <f>'[14]Sch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337"/>
      <c r="J19" s="168"/>
      <c r="K19" s="168"/>
      <c r="M19" s="359">
        <f t="shared" si="3"/>
        <v>0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573">
        <f>'[14]Sch B'!E67</f>
        <v>3080</v>
      </c>
      <c r="D20" s="573">
        <f>'[14]Sch B'!G67</f>
        <v>0</v>
      </c>
      <c r="E20" s="171">
        <f t="shared" si="2"/>
        <v>3080</v>
      </c>
      <c r="F20" s="171"/>
      <c r="G20" s="171">
        <f t="shared" si="0"/>
        <v>3080</v>
      </c>
      <c r="H20" s="172">
        <f t="shared" si="1"/>
        <v>4.1622915306827106E-4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573">
        <f>SUM(C11:C20)</f>
        <v>7399770</v>
      </c>
      <c r="D21" s="573">
        <f>SUM(D11:D20)</f>
        <v>0</v>
      </c>
      <c r="E21" s="171">
        <f>SUM(E11:E20)</f>
        <v>7399770</v>
      </c>
      <c r="F21" s="171">
        <f>SUM(F11:F20)</f>
        <v>0</v>
      </c>
      <c r="G21" s="171">
        <f>SUM(G11:G20)</f>
        <v>7399770</v>
      </c>
      <c r="H21" s="172">
        <f t="shared" si="1"/>
        <v>1</v>
      </c>
      <c r="I21" s="337"/>
      <c r="J21" s="168"/>
      <c r="K21" s="168"/>
      <c r="M21" s="359">
        <f>IFERROR(G21/G228,0)</f>
        <v>220.98760639092131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4">
      <c r="A24" s="181" t="s">
        <v>161</v>
      </c>
      <c r="B24" s="148" t="s">
        <v>12</v>
      </c>
      <c r="F24" s="402"/>
      <c r="M24" s="363"/>
      <c r="N24" s="363"/>
    </row>
    <row r="25" spans="1:14" s="167" customFormat="1">
      <c r="A25" s="169" t="s">
        <v>83</v>
      </c>
      <c r="B25" s="170" t="s">
        <v>14</v>
      </c>
      <c r="C25" s="573">
        <f>'[14]Sch C'!D10</f>
        <v>203134</v>
      </c>
      <c r="D25" s="573">
        <f>'[14]Sch C'!F10</f>
        <v>11675</v>
      </c>
      <c r="E25" s="171">
        <f t="shared" ref="E25:E60" si="4">C25+D25</f>
        <v>214809</v>
      </c>
      <c r="F25" s="171"/>
      <c r="G25" s="182">
        <f>E25+F25</f>
        <v>214809</v>
      </c>
      <c r="H25" s="172">
        <f>IF($G$208=0,0,G25/$G$208)</f>
        <v>3.2736438735563353E-2</v>
      </c>
      <c r="I25" s="337"/>
      <c r="J25" s="183">
        <v>1876</v>
      </c>
      <c r="K25" s="183">
        <v>1984</v>
      </c>
      <c r="M25" s="359">
        <f>G25/G$228</f>
        <v>6.4150813797222641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573">
        <f>'[14]Sch C'!D11</f>
        <v>0</v>
      </c>
      <c r="D26" s="573">
        <f>'[14]Sch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573">
        <f>'[14]Sch C'!D12</f>
        <v>248619</v>
      </c>
      <c r="D27" s="573">
        <f>'[14]Sch C'!F12</f>
        <v>-48056.41</v>
      </c>
      <c r="E27" s="171">
        <f t="shared" si="4"/>
        <v>200562.59</v>
      </c>
      <c r="F27" s="171"/>
      <c r="G27" s="171">
        <f t="shared" si="5"/>
        <v>200562.59</v>
      </c>
      <c r="H27" s="172">
        <f t="shared" si="6"/>
        <v>3.0565315886117023E-2</v>
      </c>
      <c r="I27" s="337"/>
      <c r="J27" s="185">
        <v>11473</v>
      </c>
      <c r="K27" s="185">
        <v>12132</v>
      </c>
      <c r="M27" s="359">
        <f t="shared" si="7"/>
        <v>5.9896249066746305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573">
        <f>'[14]Sch C'!D13</f>
        <v>663185</v>
      </c>
      <c r="D28" s="573">
        <f>'[14]Sch C'!F13</f>
        <v>-602842.88</v>
      </c>
      <c r="E28" s="171">
        <f t="shared" si="4"/>
        <v>60342.119999999995</v>
      </c>
      <c r="F28" s="171"/>
      <c r="G28" s="171">
        <f t="shared" si="5"/>
        <v>60342.119999999995</v>
      </c>
      <c r="H28" s="172">
        <f t="shared" si="6"/>
        <v>9.1960118735900827E-3</v>
      </c>
      <c r="I28" s="337"/>
      <c r="J28" s="168"/>
      <c r="K28" s="168"/>
      <c r="M28" s="359">
        <f t="shared" si="7"/>
        <v>1.802064207854263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573">
        <f>'[14]Sch C'!D14</f>
        <v>0</v>
      </c>
      <c r="D29" s="573">
        <f>'[14]Sch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573">
        <f>'[14]Sch C'!D15</f>
        <v>0</v>
      </c>
      <c r="D30" s="573">
        <f>'[14]Sch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7"/>
      <c r="J30" s="168"/>
      <c r="K30" s="168"/>
      <c r="M30" s="359">
        <f t="shared" si="7"/>
        <v>0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573">
        <f>'[14]Sch C'!D16</f>
        <v>370228</v>
      </c>
      <c r="D31" s="573">
        <f>'[14]Sch C'!F16</f>
        <v>172675.90800805995</v>
      </c>
      <c r="E31" s="171">
        <f t="shared" si="4"/>
        <v>542903.90800805995</v>
      </c>
      <c r="F31" s="171"/>
      <c r="G31" s="171">
        <f t="shared" si="5"/>
        <v>542903.90800805995</v>
      </c>
      <c r="H31" s="172">
        <f t="shared" si="6"/>
        <v>8.2737411020040022E-2</v>
      </c>
      <c r="I31" s="337"/>
      <c r="J31" s="168"/>
      <c r="K31" s="168"/>
      <c r="M31" s="359">
        <f t="shared" si="7"/>
        <v>16.213346513604897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573">
        <f>'[14]Sch C'!D17</f>
        <v>0</v>
      </c>
      <c r="D32" s="573">
        <f>'[14]Sch C'!F17</f>
        <v>0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7"/>
      <c r="J32" s="168"/>
      <c r="K32" s="168"/>
      <c r="M32" s="359">
        <f t="shared" si="7"/>
        <v>0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573">
        <f>'[14]Sch C'!D18</f>
        <v>9017</v>
      </c>
      <c r="D33" s="573">
        <f>'[14]Sch C'!F18</f>
        <v>0</v>
      </c>
      <c r="E33" s="171">
        <f t="shared" si="4"/>
        <v>9017</v>
      </c>
      <c r="F33" s="171"/>
      <c r="G33" s="171">
        <f t="shared" si="5"/>
        <v>9017</v>
      </c>
      <c r="H33" s="172">
        <f t="shared" si="6"/>
        <v>1.3741717901883757E-3</v>
      </c>
      <c r="I33" s="337"/>
      <c r="J33" s="168"/>
      <c r="K33" s="168"/>
      <c r="M33" s="359">
        <f t="shared" si="7"/>
        <v>0.26928475436762728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573">
        <f>'[14]Sch C'!D19</f>
        <v>15875</v>
      </c>
      <c r="D34" s="573">
        <f>'[14]Sch C'!F19</f>
        <v>-1904.546</v>
      </c>
      <c r="E34" s="171">
        <f t="shared" si="4"/>
        <v>13970.454</v>
      </c>
      <c r="F34" s="171"/>
      <c r="G34" s="171">
        <f t="shared" si="5"/>
        <v>13970.454</v>
      </c>
      <c r="H34" s="172">
        <f t="shared" si="6"/>
        <v>2.1290677368220419E-3</v>
      </c>
      <c r="I34" s="337"/>
      <c r="J34" s="168"/>
      <c r="K34" s="168"/>
      <c r="M34" s="359">
        <f t="shared" si="7"/>
        <v>0.4172152904285501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573">
        <f>'[14]Sch C'!D20</f>
        <v>30141</v>
      </c>
      <c r="D35" s="573">
        <f>'[14]Sch C'!F20</f>
        <v>0</v>
      </c>
      <c r="E35" s="171">
        <f t="shared" si="4"/>
        <v>30141</v>
      </c>
      <c r="F35" s="171"/>
      <c r="G35" s="171">
        <f t="shared" si="5"/>
        <v>30141</v>
      </c>
      <c r="H35" s="172">
        <f t="shared" si="6"/>
        <v>4.5934248561681082E-3</v>
      </c>
      <c r="I35" s="337"/>
      <c r="J35" s="168"/>
      <c r="K35" s="168"/>
      <c r="M35" s="359">
        <f t="shared" si="7"/>
        <v>0.90013438853217864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573">
        <f>'[14]Sch C'!D21</f>
        <v>7754</v>
      </c>
      <c r="D36" s="573">
        <f>'[14]Sch C'!F21</f>
        <v>0</v>
      </c>
      <c r="E36" s="171">
        <f t="shared" si="4"/>
        <v>7754</v>
      </c>
      <c r="F36" s="171"/>
      <c r="G36" s="171">
        <f t="shared" si="5"/>
        <v>7754</v>
      </c>
      <c r="H36" s="172">
        <f t="shared" si="6"/>
        <v>1.1816932528690989E-3</v>
      </c>
      <c r="I36" s="337"/>
      <c r="J36" s="168"/>
      <c r="K36" s="168"/>
      <c r="M36" s="359">
        <f t="shared" si="7"/>
        <v>0.23156637300283708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573">
        <f>'[14]Sch C'!D22</f>
        <v>0</v>
      </c>
      <c r="D37" s="573">
        <f>'[14]Sch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573">
        <f>'[14]Sch C'!D23</f>
        <v>8250</v>
      </c>
      <c r="D38" s="573">
        <f>'[14]Sch C'!F23</f>
        <v>0</v>
      </c>
      <c r="E38" s="171">
        <f t="shared" si="4"/>
        <v>8250</v>
      </c>
      <c r="F38" s="171"/>
      <c r="G38" s="171">
        <f t="shared" si="5"/>
        <v>8250</v>
      </c>
      <c r="H38" s="172">
        <f t="shared" si="6"/>
        <v>1.2572826071924252E-3</v>
      </c>
      <c r="I38" s="337"/>
      <c r="J38" s="168"/>
      <c r="K38" s="168"/>
      <c r="M38" s="359">
        <f t="shared" si="7"/>
        <v>0.24637897566074363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573">
        <f>'[14]Sch C'!D24</f>
        <v>56888</v>
      </c>
      <c r="D39" s="573">
        <f>'[14]Sch C'!F24</f>
        <v>-13200</v>
      </c>
      <c r="E39" s="171">
        <f t="shared" si="4"/>
        <v>43688</v>
      </c>
      <c r="F39" s="171"/>
      <c r="G39" s="171">
        <f t="shared" si="5"/>
        <v>43688</v>
      </c>
      <c r="H39" s="172">
        <f t="shared" si="6"/>
        <v>6.657959096123961E-3</v>
      </c>
      <c r="I39" s="337"/>
      <c r="J39" s="168"/>
      <c r="K39" s="168"/>
      <c r="M39" s="359">
        <f t="shared" si="7"/>
        <v>1.3047035986262505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573">
        <f>'[14]Sch C'!D25</f>
        <v>0</v>
      </c>
      <c r="D40" s="573">
        <f>'[14]Sch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337"/>
      <c r="J40" s="168"/>
      <c r="K40" s="168"/>
      <c r="M40" s="359">
        <f t="shared" si="7"/>
        <v>0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573">
        <f>'[14]Sch C'!D26</f>
        <v>434718</v>
      </c>
      <c r="D41" s="573">
        <f>'[14]Sch C'!F26</f>
        <v>0</v>
      </c>
      <c r="E41" s="171">
        <f t="shared" si="4"/>
        <v>434718</v>
      </c>
      <c r="F41" s="171"/>
      <c r="G41" s="171">
        <f t="shared" si="5"/>
        <v>434718</v>
      </c>
      <c r="H41" s="172">
        <f t="shared" si="6"/>
        <v>6.6250106719209306E-2</v>
      </c>
      <c r="I41" s="337"/>
      <c r="J41" s="168"/>
      <c r="K41" s="168"/>
      <c r="M41" s="359">
        <f t="shared" si="7"/>
        <v>12.98246976258026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573">
        <f>'[14]Sch C'!D27</f>
        <v>0</v>
      </c>
      <c r="D42" s="573">
        <f>'[14]Sch C'!F27</f>
        <v>0</v>
      </c>
      <c r="E42" s="171">
        <f t="shared" si="4"/>
        <v>0</v>
      </c>
      <c r="F42" s="171"/>
      <c r="G42" s="171">
        <f t="shared" si="5"/>
        <v>0</v>
      </c>
      <c r="H42" s="172">
        <f t="shared" si="6"/>
        <v>0</v>
      </c>
      <c r="I42" s="337"/>
      <c r="J42" s="168"/>
      <c r="K42" s="168"/>
      <c r="M42" s="359">
        <f t="shared" si="7"/>
        <v>0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573">
        <f>'[14]Sch C'!D28</f>
        <v>0</v>
      </c>
      <c r="D43" s="573">
        <f>'[14]Sch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573">
        <f>'[14]Sch C'!D29</f>
        <v>45897</v>
      </c>
      <c r="D44" s="573">
        <f>'[14]Sch C'!F29</f>
        <v>-45897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573">
        <f>'[14]Sch C'!D30</f>
        <v>0</v>
      </c>
      <c r="D45" s="573">
        <f>'[14]Sch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573">
        <f>'[14]Sch C'!D31</f>
        <v>76418</v>
      </c>
      <c r="D46" s="573">
        <f>'[14]Sch C'!F31</f>
        <v>0</v>
      </c>
      <c r="E46" s="171">
        <f t="shared" si="4"/>
        <v>76418</v>
      </c>
      <c r="F46" s="171"/>
      <c r="G46" s="171">
        <f t="shared" si="5"/>
        <v>76418</v>
      </c>
      <c r="H46" s="172">
        <f t="shared" si="6"/>
        <v>1.1645942094112819E-2</v>
      </c>
      <c r="I46" s="337"/>
      <c r="J46" s="168"/>
      <c r="K46" s="168"/>
      <c r="M46" s="359">
        <f t="shared" si="7"/>
        <v>2.2821561893385098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573">
        <f>'[14]Sch C'!D32</f>
        <v>105600</v>
      </c>
      <c r="D47" s="573">
        <f>'[14]Sch C'!F32</f>
        <v>-31679.73</v>
      </c>
      <c r="E47" s="171">
        <f t="shared" si="4"/>
        <v>73920.27</v>
      </c>
      <c r="F47" s="171"/>
      <c r="G47" s="171">
        <f t="shared" si="5"/>
        <v>73920.27</v>
      </c>
      <c r="H47" s="172">
        <f t="shared" si="6"/>
        <v>1.1265293307874912E-2</v>
      </c>
      <c r="I47" s="337"/>
      <c r="J47" s="168"/>
      <c r="K47" s="168"/>
      <c r="M47" s="359">
        <f t="shared" si="7"/>
        <v>2.2075636852321936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573">
        <f>'[14]Sch C'!D33</f>
        <v>0</v>
      </c>
      <c r="D48" s="573">
        <f>'[14]Sch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573">
        <f>'[14]Sch C'!D34</f>
        <v>0</v>
      </c>
      <c r="D49" s="573">
        <f>'[14]Sch C'!F34</f>
        <v>0</v>
      </c>
      <c r="E49" s="171">
        <f t="shared" si="4"/>
        <v>0</v>
      </c>
      <c r="F49" s="171"/>
      <c r="G49" s="171">
        <f t="shared" si="5"/>
        <v>0</v>
      </c>
      <c r="H49" s="172">
        <f t="shared" si="6"/>
        <v>0</v>
      </c>
      <c r="I49" s="337"/>
      <c r="J49" s="168"/>
      <c r="K49" s="168"/>
      <c r="M49" s="359">
        <f t="shared" si="7"/>
        <v>0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573">
        <f>'[14]Sch C'!D35</f>
        <v>106</v>
      </c>
      <c r="D50" s="573">
        <f>'[14]Sch C'!F35</f>
        <v>-106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573">
        <f>'[14]Sch C'!D36</f>
        <v>0</v>
      </c>
      <c r="D51" s="573">
        <f>'[14]Sch C'!F36</f>
        <v>0</v>
      </c>
      <c r="E51" s="171">
        <f t="shared" si="4"/>
        <v>0</v>
      </c>
      <c r="F51" s="171"/>
      <c r="G51" s="171">
        <f t="shared" si="5"/>
        <v>0</v>
      </c>
      <c r="H51" s="172">
        <f t="shared" si="6"/>
        <v>0</v>
      </c>
      <c r="I51" s="337"/>
      <c r="J51" s="183">
        <v>0</v>
      </c>
      <c r="K51" s="183">
        <v>0</v>
      </c>
      <c r="M51" s="359">
        <f t="shared" si="7"/>
        <v>0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573">
        <f>'[14]Sch C'!D37</f>
        <v>0</v>
      </c>
      <c r="D52" s="573">
        <f>'[14]Sch C'!F37</f>
        <v>0</v>
      </c>
      <c r="E52" s="171">
        <f t="shared" si="4"/>
        <v>0</v>
      </c>
      <c r="F52" s="171"/>
      <c r="G52" s="171">
        <f t="shared" si="5"/>
        <v>0</v>
      </c>
      <c r="H52" s="172">
        <f t="shared" si="6"/>
        <v>0</v>
      </c>
      <c r="I52" s="337"/>
      <c r="J52" s="168"/>
      <c r="K52" s="168"/>
      <c r="M52" s="359">
        <f t="shared" si="7"/>
        <v>0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573">
        <f>'[14]Sch C'!D38</f>
        <v>0</v>
      </c>
      <c r="D53" s="573">
        <f>'[14]Sch C'!F38</f>
        <v>0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7"/>
      <c r="J53" s="168"/>
      <c r="K53" s="168"/>
      <c r="M53" s="359">
        <f t="shared" si="7"/>
        <v>0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573">
        <f>'[14]Sch C'!D39</f>
        <v>7021</v>
      </c>
      <c r="D54" s="573">
        <f>'[14]Sch C'!F39</f>
        <v>0</v>
      </c>
      <c r="E54" s="171">
        <f t="shared" si="4"/>
        <v>7021</v>
      </c>
      <c r="F54" s="171"/>
      <c r="G54" s="171">
        <f t="shared" si="5"/>
        <v>7021</v>
      </c>
      <c r="H54" s="172">
        <f t="shared" si="6"/>
        <v>1.0699855981936991E-3</v>
      </c>
      <c r="I54" s="337"/>
      <c r="J54" s="168"/>
      <c r="K54" s="168"/>
      <c r="M54" s="359">
        <f t="shared" si="7"/>
        <v>0.2096759743168583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573">
        <f>'[14]Sch C'!D40</f>
        <v>10875</v>
      </c>
      <c r="D55" s="573">
        <f>'[14]Sch C'!F40</f>
        <v>0</v>
      </c>
      <c r="E55" s="171">
        <f t="shared" si="4"/>
        <v>10875</v>
      </c>
      <c r="F55" s="171"/>
      <c r="G55" s="171">
        <f t="shared" si="5"/>
        <v>10875</v>
      </c>
      <c r="H55" s="172">
        <f t="shared" si="6"/>
        <v>1.6573270731172879E-3</v>
      </c>
      <c r="I55" s="337"/>
      <c r="J55" s="168"/>
      <c r="K55" s="168"/>
      <c r="M55" s="359">
        <f t="shared" si="7"/>
        <v>0.32477228609825293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573">
        <f>'[14]Sch C'!D41</f>
        <v>11407</v>
      </c>
      <c r="D56" s="573">
        <f>'[14]Sch C'!F41</f>
        <v>0</v>
      </c>
      <c r="E56" s="171">
        <f t="shared" si="4"/>
        <v>11407</v>
      </c>
      <c r="F56" s="171"/>
      <c r="G56" s="171">
        <f t="shared" si="5"/>
        <v>11407</v>
      </c>
      <c r="H56" s="172">
        <f t="shared" si="6"/>
        <v>1.7384027515447266E-3</v>
      </c>
      <c r="I56" s="337"/>
      <c r="J56" s="168"/>
      <c r="K56" s="168"/>
      <c r="M56" s="359">
        <f t="shared" si="7"/>
        <v>0.34065999701358818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573">
        <f>'[14]Sch C'!D42</f>
        <v>11337</v>
      </c>
      <c r="D57" s="573">
        <f>'[14]Sch C'!F42</f>
        <v>0</v>
      </c>
      <c r="E57" s="171">
        <f t="shared" si="4"/>
        <v>11337</v>
      </c>
      <c r="F57" s="171"/>
      <c r="G57" s="171">
        <f t="shared" si="5"/>
        <v>11337</v>
      </c>
      <c r="H57" s="172">
        <f t="shared" si="6"/>
        <v>1.7277348991200636E-3</v>
      </c>
      <c r="I57" s="337"/>
      <c r="J57" s="168"/>
      <c r="K57" s="168"/>
      <c r="M57" s="359">
        <f t="shared" si="7"/>
        <v>0.3385695087352546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573">
        <f>'[14]Sch C'!D43</f>
        <v>14971</v>
      </c>
      <c r="D58" s="573">
        <f>'[14]Sch C'!F43</f>
        <v>0</v>
      </c>
      <c r="E58" s="171">
        <f t="shared" si="4"/>
        <v>14971</v>
      </c>
      <c r="F58" s="171"/>
      <c r="G58" s="171">
        <f t="shared" si="5"/>
        <v>14971</v>
      </c>
      <c r="H58" s="172">
        <f t="shared" si="6"/>
        <v>2.2815488378518543E-3</v>
      </c>
      <c r="I58" s="337"/>
      <c r="J58" s="168"/>
      <c r="K58" s="168"/>
      <c r="M58" s="359">
        <f t="shared" si="7"/>
        <v>0.44709571449902941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573">
        <f>'[14]Sch C'!D44</f>
        <v>0</v>
      </c>
      <c r="D59" s="573">
        <f>'[14]Sch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7"/>
      <c r="J59" s="168"/>
      <c r="K59" s="168"/>
      <c r="M59" s="359">
        <f t="shared" si="7"/>
        <v>0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573">
        <f>'[14]Sch C'!D45</f>
        <v>34954</v>
      </c>
      <c r="D60" s="573">
        <f>'[14]Sch C'!F45</f>
        <v>-2432</v>
      </c>
      <c r="E60" s="171">
        <f t="shared" si="4"/>
        <v>32522</v>
      </c>
      <c r="F60" s="171"/>
      <c r="G60" s="171">
        <f t="shared" si="5"/>
        <v>32522</v>
      </c>
      <c r="H60" s="172">
        <f t="shared" si="6"/>
        <v>4.9562842364984311E-3</v>
      </c>
      <c r="I60" s="337"/>
      <c r="J60" s="168"/>
      <c r="K60" s="168"/>
      <c r="M60" s="359">
        <f t="shared" si="7"/>
        <v>0.97124085411378225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573">
        <f>SUM(C25:C60)</f>
        <v>2366395</v>
      </c>
      <c r="D61" s="573">
        <f>SUM(D25:D60)</f>
        <v>-561767.65799194004</v>
      </c>
      <c r="E61" s="171">
        <f t="shared" ref="E61" si="8">SUM(E25:E60)</f>
        <v>1804627.3420080598</v>
      </c>
      <c r="F61" s="171">
        <f>SUM(F25:F60)</f>
        <v>0</v>
      </c>
      <c r="G61" s="171">
        <f>SUM(G25:G60)</f>
        <v>1804627.3420080598</v>
      </c>
      <c r="H61" s="186">
        <f t="shared" si="6"/>
        <v>0.27502140237219758</v>
      </c>
      <c r="I61" s="339"/>
      <c r="J61" s="168"/>
      <c r="K61" s="168"/>
      <c r="M61" s="364">
        <f>G61/G$228</f>
        <v>53.893604360401966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I62" s="340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573">
        <f>'[14]Sch C'!D57</f>
        <v>630000</v>
      </c>
      <c r="D64" s="573">
        <f>'[14]Sch C'!F57</f>
        <v>0</v>
      </c>
      <c r="E64" s="171">
        <f t="shared" ref="E64:E78" si="9">C64+D64</f>
        <v>630000</v>
      </c>
      <c r="F64" s="171">
        <v>-630000</v>
      </c>
      <c r="G64" s="171">
        <f t="shared" ref="G64:G78" si="10">E64+F64</f>
        <v>0</v>
      </c>
      <c r="H64" s="172">
        <f t="shared" ref="H64:H79" si="11">IF($G$208=0,0,G64/$G$208)</f>
        <v>0</v>
      </c>
      <c r="I64" s="337"/>
      <c r="J64" s="190"/>
      <c r="K64" s="168"/>
      <c r="M64" s="359">
        <f t="shared" ref="M64:M79" si="12">G64/G$228</f>
        <v>0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573">
        <f>'[14]Sch C'!D58</f>
        <v>0</v>
      </c>
      <c r="D65" s="573">
        <f>'[14]Sch C'!F58</f>
        <v>0</v>
      </c>
      <c r="E65" s="171">
        <f t="shared" si="9"/>
        <v>0</v>
      </c>
      <c r="F65" s="171">
        <v>177961</v>
      </c>
      <c r="G65" s="171">
        <f t="shared" si="10"/>
        <v>177961</v>
      </c>
      <c r="H65" s="172">
        <f t="shared" si="11"/>
        <v>2.7120881219220752E-2</v>
      </c>
      <c r="I65" s="337"/>
      <c r="J65" s="190"/>
      <c r="K65" s="168"/>
      <c r="M65" s="359">
        <f t="shared" si="12"/>
        <v>5.3146483500074657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573">
        <f>'[14]Sch C'!D59</f>
        <v>0</v>
      </c>
      <c r="D66" s="573">
        <f>'[14]Sch C'!F59</f>
        <v>0</v>
      </c>
      <c r="E66" s="171">
        <f t="shared" si="9"/>
        <v>0</v>
      </c>
      <c r="F66" s="171">
        <v>205343</v>
      </c>
      <c r="G66" s="171">
        <f t="shared" si="10"/>
        <v>205343</v>
      </c>
      <c r="H66" s="172">
        <f t="shared" si="11"/>
        <v>3.1293840291965358E-2</v>
      </c>
      <c r="I66" s="337"/>
      <c r="J66" s="190"/>
      <c r="K66" s="168"/>
      <c r="M66" s="359">
        <f t="shared" si="12"/>
        <v>6.1323876362550394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573">
        <f>'[14]Sch C'!D60</f>
        <v>59756</v>
      </c>
      <c r="D67" s="573">
        <f>'[14]Sch C'!F60</f>
        <v>0</v>
      </c>
      <c r="E67" s="171">
        <f t="shared" si="9"/>
        <v>59756</v>
      </c>
      <c r="F67" s="171"/>
      <c r="G67" s="171">
        <f t="shared" si="10"/>
        <v>59756</v>
      </c>
      <c r="H67" s="172">
        <f t="shared" si="11"/>
        <v>9.106688421259463E-3</v>
      </c>
      <c r="I67" s="337"/>
      <c r="J67" s="193"/>
      <c r="K67" s="168"/>
      <c r="M67" s="359">
        <f t="shared" si="12"/>
        <v>1.7845602508585934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573">
        <f>'[14]Sch C'!D61</f>
        <v>8257</v>
      </c>
      <c r="D68" s="573">
        <f>'[14]Sch C'!F61</f>
        <v>0</v>
      </c>
      <c r="E68" s="171">
        <f t="shared" si="9"/>
        <v>8257</v>
      </c>
      <c r="F68" s="171"/>
      <c r="G68" s="171">
        <f t="shared" si="10"/>
        <v>8257</v>
      </c>
      <c r="H68" s="172">
        <f t="shared" si="11"/>
        <v>1.2583493924348916E-3</v>
      </c>
      <c r="I68" s="337"/>
      <c r="J68" s="193"/>
      <c r="K68" s="168"/>
      <c r="M68" s="359">
        <f t="shared" si="12"/>
        <v>0.24658802448857697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573">
        <f>'[14]Sch C'!D62</f>
        <v>707</v>
      </c>
      <c r="D69" s="573">
        <f>'[14]Sch C'!F62</f>
        <v>0</v>
      </c>
      <c r="E69" s="171">
        <f t="shared" si="9"/>
        <v>707</v>
      </c>
      <c r="F69" s="171"/>
      <c r="G69" s="171">
        <f t="shared" si="10"/>
        <v>707</v>
      </c>
      <c r="H69" s="172">
        <f t="shared" si="11"/>
        <v>1.0774530948909633E-4</v>
      </c>
      <c r="I69" s="337"/>
      <c r="J69" s="195"/>
      <c r="K69" s="168"/>
      <c r="M69" s="359">
        <f t="shared" si="12"/>
        <v>2.111393161116918E-2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573">
        <f>'[14]Sch C'!D63</f>
        <v>0</v>
      </c>
      <c r="D70" s="573">
        <f>'[14]Sch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7"/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573">
        <f>'[14]Sch C'!D64</f>
        <v>0</v>
      </c>
      <c r="D71" s="573">
        <f>'[14]Sch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573">
        <f>'[14]Sch C'!D65</f>
        <v>5983</v>
      </c>
      <c r="D72" s="573">
        <f>'[14]Sch C'!F65</f>
        <v>0</v>
      </c>
      <c r="E72" s="171">
        <f t="shared" si="9"/>
        <v>5983</v>
      </c>
      <c r="F72" s="171"/>
      <c r="G72" s="171">
        <f t="shared" si="10"/>
        <v>5983</v>
      </c>
      <c r="H72" s="172">
        <f t="shared" si="11"/>
        <v>9.1179658652512489E-4</v>
      </c>
      <c r="I72" s="337"/>
      <c r="J72" s="195"/>
      <c r="K72" s="168"/>
      <c r="M72" s="359">
        <f t="shared" si="12"/>
        <v>0.17867701956099746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573">
        <f>'[14]Sch C'!D66</f>
        <v>402</v>
      </c>
      <c r="D73" s="573">
        <f>'[14]Sch C'!F66</f>
        <v>0</v>
      </c>
      <c r="E73" s="171">
        <f t="shared" si="9"/>
        <v>402</v>
      </c>
      <c r="F73" s="171"/>
      <c r="G73" s="171">
        <f t="shared" si="10"/>
        <v>402</v>
      </c>
      <c r="H73" s="172">
        <f t="shared" si="11"/>
        <v>6.1263952495921816E-5</v>
      </c>
      <c r="I73" s="337"/>
      <c r="J73" s="195"/>
      <c r="K73" s="168"/>
      <c r="M73" s="359">
        <f t="shared" si="12"/>
        <v>1.2005375541287144E-2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573">
        <f>'[14]Sch C'!D67</f>
        <v>58012</v>
      </c>
      <c r="D74" s="573">
        <f>'[14]Sch C'!F67</f>
        <v>0</v>
      </c>
      <c r="E74" s="171">
        <f t="shared" si="9"/>
        <v>58012</v>
      </c>
      <c r="F74" s="171"/>
      <c r="G74" s="171">
        <f t="shared" si="10"/>
        <v>58012</v>
      </c>
      <c r="H74" s="172">
        <f t="shared" si="11"/>
        <v>8.8409064979935725E-3</v>
      </c>
      <c r="I74" s="337"/>
      <c r="J74" s="195"/>
      <c r="K74" s="168"/>
      <c r="M74" s="359">
        <f t="shared" si="12"/>
        <v>1.7324772286098253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573">
        <f>'[14]Sch C'!D68</f>
        <v>0</v>
      </c>
      <c r="D75" s="573">
        <f>'[14]Sch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573">
        <f>'[14]Sch C'!D69</f>
        <v>8313</v>
      </c>
      <c r="D76" s="573">
        <f>'[14]Sch C'!F69</f>
        <v>0</v>
      </c>
      <c r="E76" s="171">
        <f t="shared" si="9"/>
        <v>8313</v>
      </c>
      <c r="F76" s="171"/>
      <c r="G76" s="171">
        <f t="shared" si="10"/>
        <v>8313</v>
      </c>
      <c r="H76" s="172">
        <f t="shared" si="11"/>
        <v>1.266883674374622E-3</v>
      </c>
      <c r="I76" s="337"/>
      <c r="J76" s="195"/>
      <c r="K76" s="168"/>
      <c r="M76" s="359">
        <f t="shared" si="12"/>
        <v>0.24826041511124383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573">
        <f>'[14]Sch C'!D70</f>
        <v>0</v>
      </c>
      <c r="D77" s="573">
        <f>'[14]Sch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7"/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573">
        <f>'[14]Sch C'!D71</f>
        <v>0</v>
      </c>
      <c r="D78" s="573">
        <f>'[14]Sch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7"/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573">
        <f>SUM(C64:C78)</f>
        <v>771430</v>
      </c>
      <c r="D79" s="573">
        <f>SUM(D64:D78)</f>
        <v>0</v>
      </c>
      <c r="E79" s="171">
        <f t="shared" ref="E79" si="13">SUM(E64:E78)</f>
        <v>771430</v>
      </c>
      <c r="F79" s="171">
        <f>SUM(F64:F78)</f>
        <v>-246696</v>
      </c>
      <c r="G79" s="171">
        <f>SUM(G64:G78)</f>
        <v>524734</v>
      </c>
      <c r="H79" s="172">
        <f t="shared" si="11"/>
        <v>7.9968355345758801E-2</v>
      </c>
      <c r="I79" s="337"/>
      <c r="J79" s="195"/>
      <c r="K79" s="168"/>
      <c r="M79" s="359">
        <f t="shared" si="12"/>
        <v>15.6707182320442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573">
        <f>'[14]Sch C'!D75</f>
        <v>61621</v>
      </c>
      <c r="D82" s="573">
        <f>'[14]Sch C'!F75</f>
        <v>3542</v>
      </c>
      <c r="E82" s="171">
        <f t="shared" ref="E82:E92" si="14">C82+D82</f>
        <v>65163</v>
      </c>
      <c r="F82" s="171"/>
      <c r="G82" s="171">
        <f t="shared" ref="G82:G92" si="15">E82+F82</f>
        <v>65163</v>
      </c>
      <c r="H82" s="172">
        <f t="shared" ref="H82:H93" si="16">IF($G$208=0,0,G82/$G$208)</f>
        <v>9.9307038221187888E-3</v>
      </c>
      <c r="I82" s="337"/>
      <c r="J82" s="183">
        <v>3467</v>
      </c>
      <c r="K82" s="183">
        <v>3666</v>
      </c>
      <c r="M82" s="359">
        <f t="shared" ref="M82:M92" si="17">G82/G$228</f>
        <v>1.9460355383007317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573">
        <f>'[14]Sch C'!D76</f>
        <v>0</v>
      </c>
      <c r="D83" s="573">
        <f>'[14]Sch C'!F76</f>
        <v>9217</v>
      </c>
      <c r="E83" s="171">
        <f t="shared" si="14"/>
        <v>9217</v>
      </c>
      <c r="F83" s="171"/>
      <c r="G83" s="171">
        <f t="shared" si="15"/>
        <v>9217</v>
      </c>
      <c r="H83" s="172">
        <f t="shared" si="16"/>
        <v>1.4046513685445556E-3</v>
      </c>
      <c r="I83" s="337"/>
      <c r="J83" s="168"/>
      <c r="K83" s="168"/>
      <c r="M83" s="359">
        <f t="shared" si="17"/>
        <v>0.27525757802000894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573">
        <f>'[14]Sch C'!D77</f>
        <v>17912</v>
      </c>
      <c r="D84" s="573">
        <f>'[14]Sch C'!F77</f>
        <v>0</v>
      </c>
      <c r="E84" s="171">
        <f t="shared" si="14"/>
        <v>17912</v>
      </c>
      <c r="F84" s="171"/>
      <c r="G84" s="171">
        <f t="shared" si="15"/>
        <v>17912</v>
      </c>
      <c r="H84" s="172">
        <f t="shared" si="16"/>
        <v>2.7297510375794815E-3</v>
      </c>
      <c r="I84" s="337"/>
      <c r="J84" s="168"/>
      <c r="K84" s="168"/>
      <c r="M84" s="359">
        <f t="shared" si="17"/>
        <v>0.53492608630730176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573">
        <f>'[14]Sch C'!D78</f>
        <v>0</v>
      </c>
      <c r="D85" s="573">
        <f>'[14]Sch C'!F78</f>
        <v>0</v>
      </c>
      <c r="E85" s="171">
        <f t="shared" si="14"/>
        <v>0</v>
      </c>
      <c r="F85" s="171">
        <v>7730</v>
      </c>
      <c r="G85" s="171">
        <f t="shared" si="15"/>
        <v>7730</v>
      </c>
      <c r="H85" s="172">
        <f t="shared" si="16"/>
        <v>1.1780357034663572E-3</v>
      </c>
      <c r="I85" s="337"/>
      <c r="J85" s="168"/>
      <c r="K85" s="168"/>
      <c r="M85" s="359">
        <f t="shared" si="17"/>
        <v>0.23084963416455129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573">
        <f>'[14]Sch C'!D79</f>
        <v>4916</v>
      </c>
      <c r="D86" s="573">
        <f>'[14]Sch C'!F79</f>
        <v>0</v>
      </c>
      <c r="E86" s="171">
        <f t="shared" si="14"/>
        <v>4916</v>
      </c>
      <c r="F86" s="171"/>
      <c r="G86" s="171">
        <f>E86+F86</f>
        <v>4916</v>
      </c>
      <c r="H86" s="172">
        <f t="shared" si="16"/>
        <v>7.4918803599490456E-4</v>
      </c>
      <c r="I86" s="337"/>
      <c r="J86" s="168"/>
      <c r="K86" s="168"/>
      <c r="M86" s="359">
        <f t="shared" si="17"/>
        <v>0.14681200537554129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573">
        <f>'[14]Sch C'!D80</f>
        <v>24125</v>
      </c>
      <c r="D87" s="573">
        <f>'[14]Sch C'!F80</f>
        <v>0</v>
      </c>
      <c r="E87" s="171">
        <f t="shared" si="14"/>
        <v>24125</v>
      </c>
      <c r="F87" s="171"/>
      <c r="G87" s="171">
        <f t="shared" si="15"/>
        <v>24125</v>
      </c>
      <c r="H87" s="172">
        <f t="shared" si="16"/>
        <v>3.6765991392142135E-3</v>
      </c>
      <c r="I87" s="337"/>
      <c r="J87" s="168"/>
      <c r="K87" s="168"/>
      <c r="M87" s="359">
        <f t="shared" si="17"/>
        <v>0.72047185306853812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573">
        <f>'[14]Sch C'!D81</f>
        <v>3428</v>
      </c>
      <c r="D88" s="573">
        <f>'[14]Sch C'!F81</f>
        <v>0</v>
      </c>
      <c r="E88" s="171">
        <f t="shared" si="14"/>
        <v>3428</v>
      </c>
      <c r="F88" s="171"/>
      <c r="G88" s="171">
        <f t="shared" si="15"/>
        <v>3428</v>
      </c>
      <c r="H88" s="172">
        <f t="shared" si="16"/>
        <v>5.2241997302492527E-4</v>
      </c>
      <c r="I88" s="337"/>
      <c r="J88" s="168"/>
      <c r="K88" s="168"/>
      <c r="M88" s="359">
        <f t="shared" si="17"/>
        <v>0.10237419740182171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573">
        <f>'[14]Sch C'!D82</f>
        <v>852</v>
      </c>
      <c r="D89" s="573">
        <f>'[14]Sch C'!F82</f>
        <v>0</v>
      </c>
      <c r="E89" s="171">
        <f t="shared" si="14"/>
        <v>852</v>
      </c>
      <c r="F89" s="171"/>
      <c r="G89" s="171">
        <f t="shared" si="15"/>
        <v>852</v>
      </c>
      <c r="H89" s="172">
        <f t="shared" si="16"/>
        <v>1.2984300379732683E-4</v>
      </c>
      <c r="I89" s="337"/>
      <c r="J89" s="168"/>
      <c r="K89" s="168"/>
      <c r="M89" s="359">
        <f t="shared" si="17"/>
        <v>2.5444228759145888E-2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573">
        <f>'[14]Sch C'!D83</f>
        <v>0</v>
      </c>
      <c r="D90" s="573">
        <f>'[14]Sch C'!F83</f>
        <v>0</v>
      </c>
      <c r="E90" s="171">
        <f t="shared" si="14"/>
        <v>0</v>
      </c>
      <c r="F90" s="171"/>
      <c r="G90" s="171">
        <f t="shared" si="15"/>
        <v>0</v>
      </c>
      <c r="H90" s="172">
        <f t="shared" si="16"/>
        <v>0</v>
      </c>
      <c r="I90" s="337"/>
      <c r="J90" s="168"/>
      <c r="K90" s="168"/>
      <c r="M90" s="359">
        <f t="shared" si="17"/>
        <v>0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573">
        <f>'[14]Sch C'!D84</f>
        <v>124715</v>
      </c>
      <c r="D91" s="573">
        <f>'[14]Sch C'!F84</f>
        <v>0</v>
      </c>
      <c r="E91" s="171">
        <f t="shared" si="14"/>
        <v>124715</v>
      </c>
      <c r="F91" s="171">
        <v>3420</v>
      </c>
      <c r="G91" s="171">
        <f t="shared" si="15"/>
        <v>128135</v>
      </c>
      <c r="H91" s="172">
        <f t="shared" si="16"/>
        <v>1.9527503863345626E-2</v>
      </c>
      <c r="I91" s="337"/>
      <c r="J91" s="168"/>
      <c r="K91" s="168"/>
      <c r="M91" s="359">
        <f t="shared" si="17"/>
        <v>3.8266387934896224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573">
        <f>'[14]Sch C'!D85</f>
        <v>0</v>
      </c>
      <c r="D92" s="573">
        <f>'[14]Sch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7"/>
      <c r="J92" s="168"/>
      <c r="K92" s="168"/>
      <c r="M92" s="359">
        <f t="shared" si="17"/>
        <v>0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573">
        <f>SUM(C82:C92)</f>
        <v>237569</v>
      </c>
      <c r="D93" s="573">
        <f>SUM(D82:D92)</f>
        <v>12759</v>
      </c>
      <c r="E93" s="171">
        <f t="shared" ref="E93" si="18">SUM(E82:E92)</f>
        <v>250328</v>
      </c>
      <c r="F93" s="171">
        <f>SUM(F82:F92)</f>
        <v>11150</v>
      </c>
      <c r="G93" s="171">
        <f>SUM(G82:G92)</f>
        <v>261478</v>
      </c>
      <c r="H93" s="172">
        <f t="shared" si="16"/>
        <v>3.9848695947086177E-2</v>
      </c>
      <c r="I93" s="337"/>
      <c r="J93" s="168"/>
      <c r="K93" s="168"/>
      <c r="M93" s="364">
        <f>G93/G$228</f>
        <v>7.8088099148872629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573">
        <f>'[14]Sch C'!D89</f>
        <v>191964</v>
      </c>
      <c r="D96" s="573">
        <f>'[14]Sch C'!F89</f>
        <v>11033</v>
      </c>
      <c r="E96" s="171">
        <f t="shared" ref="E96:E101" si="19">C96+D96</f>
        <v>202997</v>
      </c>
      <c r="F96" s="171"/>
      <c r="G96" s="171">
        <f t="shared" ref="G96:G101" si="20">E96+F96</f>
        <v>202997</v>
      </c>
      <c r="H96" s="172">
        <f t="shared" ref="H96:H102" si="21">IF($G$208=0,0,G96/$G$208)</f>
        <v>3.0936314837847364E-2</v>
      </c>
      <c r="I96" s="337"/>
      <c r="J96" s="183">
        <v>16677</v>
      </c>
      <c r="K96" s="183">
        <v>17636</v>
      </c>
      <c r="M96" s="364">
        <f t="shared" ref="M96:M101" si="22">G96/G$228</f>
        <v>6.0623264148126026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573">
        <f>'[14]Sch C'!D90</f>
        <v>0</v>
      </c>
      <c r="D97" s="573">
        <f>'[14]Sch C'!F90</f>
        <v>28713</v>
      </c>
      <c r="E97" s="171">
        <f t="shared" si="19"/>
        <v>28713</v>
      </c>
      <c r="F97" s="171"/>
      <c r="G97" s="171">
        <f t="shared" si="20"/>
        <v>28713</v>
      </c>
      <c r="H97" s="172">
        <f t="shared" si="21"/>
        <v>4.3758006667049829E-3</v>
      </c>
      <c r="I97" s="337"/>
      <c r="J97" s="168"/>
      <c r="K97" s="168"/>
      <c r="M97" s="364">
        <f t="shared" si="22"/>
        <v>0.85748842765417355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573">
        <f>'[14]Sch C'!D91</f>
        <v>8955</v>
      </c>
      <c r="D98" s="573">
        <f>'[14]Sch C'!F91</f>
        <v>0</v>
      </c>
      <c r="E98" s="171">
        <f t="shared" si="19"/>
        <v>8955</v>
      </c>
      <c r="F98" s="171"/>
      <c r="G98" s="171">
        <f t="shared" si="20"/>
        <v>8955</v>
      </c>
      <c r="H98" s="172">
        <f t="shared" si="21"/>
        <v>1.3647231208979598E-3</v>
      </c>
      <c r="I98" s="337"/>
      <c r="J98" s="168"/>
      <c r="K98" s="168"/>
      <c r="M98" s="364">
        <f t="shared" si="22"/>
        <v>0.26743317903538899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573">
        <f>'[14]Sch C'!D92</f>
        <v>203830</v>
      </c>
      <c r="D99" s="573">
        <f>'[14]Sch C'!F92</f>
        <v>0</v>
      </c>
      <c r="E99" s="171">
        <f t="shared" si="19"/>
        <v>203830</v>
      </c>
      <c r="F99" s="171"/>
      <c r="G99" s="171">
        <f t="shared" si="20"/>
        <v>203830</v>
      </c>
      <c r="H99" s="172">
        <f t="shared" si="21"/>
        <v>3.1063262281700855E-2</v>
      </c>
      <c r="I99" s="337"/>
      <c r="J99" s="168"/>
      <c r="K99" s="168"/>
      <c r="M99" s="364">
        <f t="shared" si="22"/>
        <v>6.0872032253247719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573">
        <f>'[14]Sch C'!D93</f>
        <v>31022</v>
      </c>
      <c r="D100" s="573">
        <f>'[14]Sch C'!F93</f>
        <v>0</v>
      </c>
      <c r="E100" s="171">
        <f t="shared" si="19"/>
        <v>31022</v>
      </c>
      <c r="F100" s="171"/>
      <c r="G100" s="171">
        <f t="shared" si="20"/>
        <v>31022</v>
      </c>
      <c r="H100" s="172">
        <f t="shared" si="21"/>
        <v>4.7276873988270811E-3</v>
      </c>
      <c r="I100" s="337"/>
      <c r="J100" s="168"/>
      <c r="K100" s="168"/>
      <c r="M100" s="364">
        <f t="shared" si="22"/>
        <v>0.92644467672091979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573">
        <f>'[14]Sch C'!D94</f>
        <v>0</v>
      </c>
      <c r="D101" s="573">
        <f>'[14]Sch C'!F94</f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I101" s="337"/>
      <c r="J101" s="168"/>
      <c r="K101" s="168"/>
      <c r="M101" s="364">
        <f t="shared" si="22"/>
        <v>0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573">
        <f>SUM(C96:C101)</f>
        <v>435771</v>
      </c>
      <c r="D102" s="573">
        <f>SUM(D96:D101)</f>
        <v>39746</v>
      </c>
      <c r="E102" s="171">
        <f t="shared" ref="E102" si="23">SUM(E96:E101)</f>
        <v>475517</v>
      </c>
      <c r="F102" s="171">
        <f>SUM(F96:F101)</f>
        <v>0</v>
      </c>
      <c r="G102" s="171">
        <f>SUM(G96:G101)</f>
        <v>475517</v>
      </c>
      <c r="H102" s="172">
        <f t="shared" si="21"/>
        <v>7.2467788305978248E-2</v>
      </c>
      <c r="I102" s="337"/>
      <c r="J102" s="168"/>
      <c r="K102" s="168"/>
      <c r="M102" s="364">
        <f>G102/G$228</f>
        <v>14.200895923547858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573">
        <f>'[14]Sch C'!D98</f>
        <v>39459</v>
      </c>
      <c r="D105" s="573">
        <f>'[14]Sch C'!F98</f>
        <v>2268</v>
      </c>
      <c r="E105" s="171">
        <f t="shared" ref="E105:E110" si="24">C105+D105</f>
        <v>41727</v>
      </c>
      <c r="F105" s="171"/>
      <c r="G105" s="171">
        <f t="shared" ref="G105:G110" si="25">E105+F105</f>
        <v>41727</v>
      </c>
      <c r="H105" s="172">
        <f t="shared" ref="H105:H111" si="26">IF($G$208=0,0,G105/$G$208)</f>
        <v>6.3591068303416156E-3</v>
      </c>
      <c r="I105" s="337"/>
      <c r="J105" s="183">
        <v>3439</v>
      </c>
      <c r="K105" s="183">
        <v>3637</v>
      </c>
      <c r="M105" s="364">
        <f t="shared" ref="M105:M110" si="27">G105/G$228</f>
        <v>1.2461400627146484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573">
        <f>'[14]Sch C'!D99</f>
        <v>0</v>
      </c>
      <c r="D106" s="573">
        <f>'[14]Sch C'!F99</f>
        <v>5902</v>
      </c>
      <c r="E106" s="171">
        <f t="shared" si="24"/>
        <v>5902</v>
      </c>
      <c r="F106" s="171"/>
      <c r="G106" s="171">
        <f t="shared" si="25"/>
        <v>5902</v>
      </c>
      <c r="H106" s="172">
        <f t="shared" si="26"/>
        <v>8.9945235729087204E-4</v>
      </c>
      <c r="I106" s="337"/>
      <c r="J106" s="168"/>
      <c r="K106" s="168"/>
      <c r="M106" s="364">
        <f t="shared" si="27"/>
        <v>0.17625802598178289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573">
        <f>'[14]Sch C'!D100</f>
        <v>7245</v>
      </c>
      <c r="D107" s="573">
        <f>'[14]Sch C'!F100</f>
        <v>0</v>
      </c>
      <c r="E107" s="171">
        <f t="shared" si="24"/>
        <v>7245</v>
      </c>
      <c r="F107" s="171"/>
      <c r="G107" s="171">
        <f t="shared" si="25"/>
        <v>7245</v>
      </c>
      <c r="H107" s="172">
        <f t="shared" si="26"/>
        <v>1.1041227259526208E-3</v>
      </c>
      <c r="I107" s="337"/>
      <c r="J107" s="168"/>
      <c r="K107" s="168"/>
      <c r="M107" s="364">
        <f t="shared" si="27"/>
        <v>0.21636553680752577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573">
        <f>'[14]Sch C'!D101</f>
        <v>0</v>
      </c>
      <c r="D108" s="573">
        <f>'[14]Sch C'!F101</f>
        <v>0</v>
      </c>
      <c r="E108" s="171">
        <f t="shared" si="24"/>
        <v>0</v>
      </c>
      <c r="F108" s="171"/>
      <c r="G108" s="171">
        <f t="shared" si="25"/>
        <v>0</v>
      </c>
      <c r="H108" s="172">
        <f t="shared" si="26"/>
        <v>0</v>
      </c>
      <c r="I108" s="337"/>
      <c r="J108" s="168"/>
      <c r="K108" s="168"/>
      <c r="M108" s="364">
        <f t="shared" si="27"/>
        <v>0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573">
        <f>'[14]Sch C'!D102</f>
        <v>1995</v>
      </c>
      <c r="D109" s="573">
        <f>'[14]Sch C'!F102</f>
        <v>0</v>
      </c>
      <c r="E109" s="171">
        <f t="shared" si="24"/>
        <v>1995</v>
      </c>
      <c r="F109" s="171"/>
      <c r="G109" s="171">
        <f t="shared" si="25"/>
        <v>1995</v>
      </c>
      <c r="H109" s="172">
        <f t="shared" si="26"/>
        <v>3.0403379410289558E-4</v>
      </c>
      <c r="I109" s="337"/>
      <c r="J109" s="168"/>
      <c r="K109" s="168"/>
      <c r="M109" s="364">
        <f t="shared" si="27"/>
        <v>5.9578915932507095E-2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573">
        <f>'[14]Sch C'!D103</f>
        <v>0</v>
      </c>
      <c r="D110" s="573">
        <f>'[14]Sch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7"/>
      <c r="J110" s="168"/>
      <c r="K110" s="168"/>
      <c r="M110" s="364">
        <f t="shared" si="27"/>
        <v>0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573">
        <f>SUM(C105:C110)</f>
        <v>48699</v>
      </c>
      <c r="D111" s="573">
        <f>SUM(D105:D110)</f>
        <v>8170</v>
      </c>
      <c r="E111" s="171">
        <f t="shared" ref="E111" si="28">SUM(E105:E110)</f>
        <v>56869</v>
      </c>
      <c r="F111" s="171">
        <f>SUM(F105:F110)</f>
        <v>0</v>
      </c>
      <c r="G111" s="171">
        <f>SUM(G105:G110)</f>
        <v>56869</v>
      </c>
      <c r="H111" s="172">
        <f t="shared" si="26"/>
        <v>8.6667157076880039E-3</v>
      </c>
      <c r="I111" s="337"/>
      <c r="J111" s="168"/>
      <c r="K111" s="168"/>
      <c r="M111" s="364">
        <f>G111/G$228</f>
        <v>1.6983425414364641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573">
        <f>'[14]Sch C'!D115</f>
        <v>105567</v>
      </c>
      <c r="D114" s="573">
        <f>'[14]Sch C'!F115</f>
        <v>6068</v>
      </c>
      <c r="E114" s="171">
        <f t="shared" ref="E114:E118" si="29">C114+D114</f>
        <v>111635</v>
      </c>
      <c r="F114" s="171"/>
      <c r="G114" s="171">
        <f>E114+F114</f>
        <v>111635</v>
      </c>
      <c r="H114" s="172">
        <f t="shared" ref="H114:H119" si="30">IF($G$208=0,0,G114/$G$208)</f>
        <v>1.7012938648960776E-2</v>
      </c>
      <c r="I114" s="337"/>
      <c r="J114" s="183">
        <v>8297</v>
      </c>
      <c r="K114" s="183">
        <v>8774</v>
      </c>
      <c r="M114" s="364">
        <f t="shared" ref="M114:M119" si="31">G114/G$228</f>
        <v>3.333880842168135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573">
        <f>'[14]Sch C'!D116</f>
        <v>0</v>
      </c>
      <c r="D115" s="573">
        <f>'[14]Sch C'!F116</f>
        <v>15790</v>
      </c>
      <c r="E115" s="171">
        <f t="shared" si="29"/>
        <v>15790</v>
      </c>
      <c r="F115" s="171"/>
      <c r="G115" s="171">
        <f>E115+F115</f>
        <v>15790</v>
      </c>
      <c r="H115" s="172">
        <f t="shared" si="30"/>
        <v>2.4063627112204116E-3</v>
      </c>
      <c r="I115" s="337"/>
      <c r="J115" s="168"/>
      <c r="K115" s="168"/>
      <c r="M115" s="364">
        <f t="shared" si="31"/>
        <v>0.47155442735553232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573">
        <f>'[14]Sch C'!D117</f>
        <v>16352</v>
      </c>
      <c r="D116" s="573">
        <f>'[14]Sch C'!F117</f>
        <v>0</v>
      </c>
      <c r="E116" s="171">
        <f t="shared" si="29"/>
        <v>16352</v>
      </c>
      <c r="F116" s="171"/>
      <c r="G116" s="171">
        <f>E116+F116</f>
        <v>16352</v>
      </c>
      <c r="H116" s="172">
        <f t="shared" si="30"/>
        <v>2.4920103264012773E-3</v>
      </c>
      <c r="I116" s="337"/>
      <c r="J116" s="168"/>
      <c r="K116" s="168"/>
      <c r="M116" s="364">
        <f t="shared" si="31"/>
        <v>0.4883380618187248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573">
        <f>'[14]Sch C'!D118</f>
        <v>2280</v>
      </c>
      <c r="D117" s="573">
        <f>'[14]Sch C'!F118</f>
        <v>0</v>
      </c>
      <c r="E117" s="171">
        <f t="shared" si="29"/>
        <v>2280</v>
      </c>
      <c r="F117" s="171"/>
      <c r="G117" s="171">
        <f>E117+F117</f>
        <v>2280</v>
      </c>
      <c r="H117" s="172">
        <f t="shared" si="30"/>
        <v>3.4746719326045209E-4</v>
      </c>
      <c r="I117" s="337"/>
      <c r="J117" s="168"/>
      <c r="K117" s="168"/>
      <c r="M117" s="364">
        <f t="shared" si="31"/>
        <v>6.8090189637150966E-2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573">
        <f>'[14]Sch C'!D119</f>
        <v>0</v>
      </c>
      <c r="D118" s="573">
        <f>'[14]Sch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337"/>
      <c r="J118" s="168"/>
      <c r="K118" s="168"/>
      <c r="M118" s="364">
        <f t="shared" si="31"/>
        <v>0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573">
        <f>SUM(C114:C118)</f>
        <v>124199</v>
      </c>
      <c r="D119" s="573">
        <f>SUM(D114:D118)</f>
        <v>21858</v>
      </c>
      <c r="E119" s="171">
        <f t="shared" ref="E119" si="32">SUM(E114:E118)</f>
        <v>146057</v>
      </c>
      <c r="F119" s="171">
        <f>SUM(F114:F118)</f>
        <v>0</v>
      </c>
      <c r="G119" s="171">
        <f>SUM(G114:G118)</f>
        <v>146057</v>
      </c>
      <c r="H119" s="172">
        <f t="shared" si="30"/>
        <v>2.2258778879842917E-2</v>
      </c>
      <c r="I119" s="337"/>
      <c r="J119" s="168"/>
      <c r="K119" s="168"/>
      <c r="M119" s="364">
        <f t="shared" si="31"/>
        <v>4.3618635209795427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1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573">
        <f>'[14]Sch C'!D124</f>
        <v>0</v>
      </c>
      <c r="D123" s="573">
        <f>'[14]Sch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7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0.77002560279620991</v>
      </c>
    </row>
    <row r="124" spans="1:14" s="167" customFormat="1">
      <c r="B124" s="163" t="s">
        <v>194</v>
      </c>
      <c r="C124" s="573">
        <f>'[14]Sch C'!D125</f>
        <v>136755</v>
      </c>
      <c r="D124" s="573">
        <f>'[14]Sch C'!F125</f>
        <v>7860</v>
      </c>
      <c r="E124" s="171">
        <f t="shared" si="33"/>
        <v>144615</v>
      </c>
      <c r="F124" s="171"/>
      <c r="G124" s="171">
        <f>E124+F124</f>
        <v>144615</v>
      </c>
      <c r="H124" s="172">
        <f>IF($G$208=0,0,G124/$G$208)</f>
        <v>2.2039021119894857E-2</v>
      </c>
      <c r="I124" s="337"/>
      <c r="J124" s="183">
        <v>3642</v>
      </c>
      <c r="K124" s="183">
        <v>3851</v>
      </c>
      <c r="M124" s="364">
        <f t="shared" si="34"/>
        <v>4.3187994624458712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573">
        <f>'[14]Sch C'!D126</f>
        <v>67147</v>
      </c>
      <c r="D125" s="573">
        <f>'[14]Sch C'!F126</f>
        <v>3859</v>
      </c>
      <c r="E125" s="171">
        <f t="shared" si="33"/>
        <v>71006</v>
      </c>
      <c r="F125" s="171"/>
      <c r="G125" s="171">
        <f>E125+F125</f>
        <v>71006</v>
      </c>
      <c r="H125" s="172">
        <f>IF($G$208=0,0,G125/$G$208)</f>
        <v>1.0821164703794588E-2</v>
      </c>
      <c r="I125" s="337"/>
      <c r="J125" s="183">
        <v>2058</v>
      </c>
      <c r="K125" s="183">
        <v>2176</v>
      </c>
      <c r="M125" s="364">
        <f t="shared" si="34"/>
        <v>2.120531581305062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573">
        <f>'[14]Sch C'!D127</f>
        <v>0</v>
      </c>
      <c r="D126" s="573">
        <f>'[14]Sch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7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573">
        <f>'[14]Sch C'!D128</f>
        <v>80811</v>
      </c>
      <c r="D127" s="573">
        <f>'[14]Sch C'!F128</f>
        <v>4645</v>
      </c>
      <c r="E127" s="171">
        <f t="shared" si="33"/>
        <v>85456</v>
      </c>
      <c r="F127" s="171"/>
      <c r="G127" s="171">
        <f>E127+F127</f>
        <v>85456</v>
      </c>
      <c r="H127" s="172">
        <f>IF($G$208=0,0,G127/$G$208)</f>
        <v>1.3023314240028594E-2</v>
      </c>
      <c r="I127" s="337"/>
      <c r="J127" s="183">
        <v>4705</v>
      </c>
      <c r="K127" s="183">
        <v>4975</v>
      </c>
      <c r="M127" s="364">
        <f t="shared" si="34"/>
        <v>2.5520680901896373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205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573">
        <f>'[14]Sch C'!D130</f>
        <v>0</v>
      </c>
      <c r="D129" s="573">
        <f>'[14]Sch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7"/>
      <c r="J129" s="204"/>
      <c r="K129" s="204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573">
        <f>'[14]Sch C'!D131</f>
        <v>0</v>
      </c>
      <c r="D130" s="573">
        <f>'[14]Sch C'!F131</f>
        <v>20455</v>
      </c>
      <c r="E130" s="171">
        <f t="shared" si="35"/>
        <v>20455</v>
      </c>
      <c r="F130" s="171"/>
      <c r="G130" s="171">
        <f>E130+F130</f>
        <v>20455</v>
      </c>
      <c r="H130" s="172">
        <f>IF($G$208=0,0,G130/$G$208)</f>
        <v>3.1172988763783103E-3</v>
      </c>
      <c r="I130" s="337"/>
      <c r="J130" s="204"/>
      <c r="K130" s="204"/>
      <c r="M130" s="364">
        <f t="shared" si="34"/>
        <v>0.61087053904733468</v>
      </c>
      <c r="N130" s="359">
        <f>SUMMARY!J133</f>
        <v>1.0792348507966931</v>
      </c>
    </row>
    <row r="131" spans="1:14" s="167" customFormat="1">
      <c r="B131" s="163" t="s">
        <v>195</v>
      </c>
      <c r="C131" s="573">
        <f>'[14]Sch C'!D132</f>
        <v>0</v>
      </c>
      <c r="D131" s="573">
        <f>'[14]Sch C'!F132</f>
        <v>10044</v>
      </c>
      <c r="E131" s="171">
        <f t="shared" si="35"/>
        <v>10044</v>
      </c>
      <c r="F131" s="171"/>
      <c r="G131" s="171">
        <f>E131+F131</f>
        <v>10044</v>
      </c>
      <c r="H131" s="172">
        <f>IF($G$208=0,0,G131/$G$208)</f>
        <v>1.53068442504736E-3</v>
      </c>
      <c r="I131" s="337"/>
      <c r="J131" s="168"/>
      <c r="K131" s="168"/>
      <c r="M131" s="364">
        <f t="shared" si="34"/>
        <v>0.29995520382260715</v>
      </c>
      <c r="N131" s="359">
        <f>SUMMARY!J134</f>
        <v>8.2765628075518377E-2</v>
      </c>
    </row>
    <row r="132" spans="1:14" s="167" customFormat="1">
      <c r="B132" s="163" t="s">
        <v>196</v>
      </c>
      <c r="C132" s="573">
        <f>'[14]Sch C'!D133</f>
        <v>0</v>
      </c>
      <c r="D132" s="573">
        <f>'[14]Sch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573">
        <f>'[14]Sch C'!D134</f>
        <v>0</v>
      </c>
      <c r="D133" s="573">
        <f>'[14]Sch C'!F134</f>
        <v>12087</v>
      </c>
      <c r="E133" s="171">
        <f t="shared" si="35"/>
        <v>12087</v>
      </c>
      <c r="F133" s="171"/>
      <c r="G133" s="171">
        <f>E133+F133</f>
        <v>12087</v>
      </c>
      <c r="H133" s="172">
        <f>IF($G$208=0,0,G133/$G$208)</f>
        <v>1.8420333179557386E-3</v>
      </c>
      <c r="I133" s="337"/>
      <c r="J133" s="168"/>
      <c r="K133" s="168"/>
      <c r="M133" s="364">
        <f t="shared" si="34"/>
        <v>0.36096759743168583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573">
        <f>'[14]Sch C'!D136</f>
        <v>559886</v>
      </c>
      <c r="D135" s="573">
        <f>'[14]Sch C'!F136</f>
        <v>32180</v>
      </c>
      <c r="E135" s="171">
        <f t="shared" ref="E135:E138" si="36">C135+D135</f>
        <v>592066</v>
      </c>
      <c r="F135" s="171"/>
      <c r="G135" s="171">
        <f>E135+F135</f>
        <v>592066</v>
      </c>
      <c r="H135" s="172">
        <f>IF($G$208=0,0,G135/$G$208)</f>
        <v>9.0229610195150356E-2</v>
      </c>
      <c r="I135" s="337"/>
      <c r="J135" s="183">
        <v>17439</v>
      </c>
      <c r="K135" s="183">
        <v>18441</v>
      </c>
      <c r="M135" s="364">
        <f t="shared" si="34"/>
        <v>17.681529042855011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573">
        <f>'[14]Sch C'!D137</f>
        <v>271179</v>
      </c>
      <c r="D136" s="573">
        <f>'[14]Sch C'!F137</f>
        <v>15586</v>
      </c>
      <c r="E136" s="171">
        <f t="shared" si="36"/>
        <v>286765</v>
      </c>
      <c r="F136" s="171"/>
      <c r="G136" s="171">
        <f>E136+F136</f>
        <v>286765</v>
      </c>
      <c r="H136" s="172">
        <f>IF($G$208=0,0,G136/$G$208)</f>
        <v>4.3702381436549795E-2</v>
      </c>
      <c r="I136" s="337"/>
      <c r="J136" s="183">
        <v>9899</v>
      </c>
      <c r="K136" s="183">
        <v>10468</v>
      </c>
      <c r="M136" s="364">
        <f t="shared" si="34"/>
        <v>8.563983873376138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573">
        <f>'[14]Sch C'!D138</f>
        <v>613680</v>
      </c>
      <c r="D137" s="573">
        <f>'[14]Sch C'!F138</f>
        <v>35272</v>
      </c>
      <c r="E137" s="171">
        <f t="shared" si="36"/>
        <v>648952</v>
      </c>
      <c r="F137" s="171"/>
      <c r="G137" s="171">
        <f>E137+F137</f>
        <v>648952</v>
      </c>
      <c r="H137" s="172">
        <f>IF($G$208=0,0,G137/$G$208)</f>
        <v>9.889891666699864E-2</v>
      </c>
      <c r="I137" s="337"/>
      <c r="J137" s="183">
        <v>50060</v>
      </c>
      <c r="K137" s="183">
        <v>52937</v>
      </c>
      <c r="M137" s="364">
        <f t="shared" si="34"/>
        <v>19.380379274301927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573">
        <f>'[14]Sch C'!D139</f>
        <v>101862</v>
      </c>
      <c r="D138" s="573">
        <f>'[14]Sch C'!F139</f>
        <v>5855</v>
      </c>
      <c r="E138" s="171">
        <f t="shared" si="36"/>
        <v>107717</v>
      </c>
      <c r="F138" s="171"/>
      <c r="G138" s="171">
        <f>E138+F138</f>
        <v>107717</v>
      </c>
      <c r="H138" s="172">
        <f>IF($G$208=0,0,G138/$G$208)</f>
        <v>1.641584370896321E-2</v>
      </c>
      <c r="I138" s="337"/>
      <c r="J138" s="183">
        <v>9272</v>
      </c>
      <c r="K138" s="183">
        <v>9805</v>
      </c>
      <c r="M138" s="364">
        <f t="shared" si="34"/>
        <v>3.2168732268179783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7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573">
        <f>'[14]Sch C'!D141</f>
        <v>0</v>
      </c>
      <c r="D140" s="573">
        <f>'[14]Sch C'!F141</f>
        <v>83744</v>
      </c>
      <c r="E140" s="171">
        <f t="shared" ref="E140:E143" si="37">C140+D140</f>
        <v>83744</v>
      </c>
      <c r="F140" s="171"/>
      <c r="G140" s="171">
        <f>E140+F140</f>
        <v>83744</v>
      </c>
      <c r="H140" s="172">
        <f>IF($G$208=0,0,G140/$G$208)</f>
        <v>1.2762409049299692E-2</v>
      </c>
      <c r="I140" s="337"/>
      <c r="J140" s="168"/>
      <c r="K140" s="168"/>
      <c r="M140" s="364">
        <f t="shared" si="34"/>
        <v>2.50094071972525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573">
        <f>'[14]Sch C'!D142</f>
        <v>0</v>
      </c>
      <c r="D141" s="573">
        <f>'[14]Sch C'!F142</f>
        <v>40561</v>
      </c>
      <c r="E141" s="171">
        <f t="shared" si="37"/>
        <v>40561</v>
      </c>
      <c r="F141" s="171"/>
      <c r="G141" s="171">
        <f>E141+F141</f>
        <v>40561</v>
      </c>
      <c r="H141" s="172">
        <f>IF($G$208=0,0,G141/$G$208)</f>
        <v>6.181410888525086E-3</v>
      </c>
      <c r="I141" s="337"/>
      <c r="J141" s="168"/>
      <c r="K141" s="168"/>
      <c r="M141" s="364">
        <f t="shared" si="34"/>
        <v>1.2113185008212632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573">
        <f>'[14]Sch C'!D143</f>
        <v>0</v>
      </c>
      <c r="D142" s="573">
        <f>'[14]Sch C'!F143</f>
        <v>91789</v>
      </c>
      <c r="E142" s="171">
        <f t="shared" si="37"/>
        <v>91789</v>
      </c>
      <c r="F142" s="171"/>
      <c r="G142" s="171">
        <f>E142+F142</f>
        <v>91789</v>
      </c>
      <c r="H142" s="172">
        <f>IF($G$208=0,0,G142/$G$208)</f>
        <v>1.3988450088677034E-2</v>
      </c>
      <c r="I142" s="337"/>
      <c r="J142" s="168"/>
      <c r="K142" s="168"/>
      <c r="M142" s="364">
        <f t="shared" si="34"/>
        <v>2.7411975511423026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573">
        <f>'[14]Sch C'!D144</f>
        <v>0</v>
      </c>
      <c r="D143" s="573">
        <f>'[14]Sch C'!F144</f>
        <v>15236</v>
      </c>
      <c r="E143" s="171">
        <f t="shared" si="37"/>
        <v>15236</v>
      </c>
      <c r="F143" s="171"/>
      <c r="G143" s="171">
        <f>E143+F143</f>
        <v>15236</v>
      </c>
      <c r="H143" s="172">
        <f>IF($G$208=0,0,G143/$G$208)</f>
        <v>2.3219342791737929E-3</v>
      </c>
      <c r="I143" s="337"/>
      <c r="J143" s="168"/>
      <c r="K143" s="168"/>
      <c r="M143" s="364">
        <f t="shared" si="34"/>
        <v>0.45500970583843514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7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573">
        <f>'[14]Sch C'!D146</f>
        <v>24000</v>
      </c>
      <c r="D145" s="573">
        <f>'[14]Sch C'!F146</f>
        <v>0</v>
      </c>
      <c r="E145" s="171">
        <f t="shared" ref="E145:E153" si="38">C145+D145</f>
        <v>24000</v>
      </c>
      <c r="F145" s="171"/>
      <c r="G145" s="171">
        <f t="shared" ref="G145:G153" si="39">E145+F145</f>
        <v>24000</v>
      </c>
      <c r="H145" s="172">
        <f t="shared" ref="H145:H153" si="40">IF($G$208=0,0,G145/$G$208)</f>
        <v>3.6575494027416009E-3</v>
      </c>
      <c r="I145" s="337"/>
      <c r="J145" s="183">
        <v>0</v>
      </c>
      <c r="K145" s="183">
        <v>0</v>
      </c>
      <c r="M145" s="364">
        <f t="shared" si="34"/>
        <v>0.71673883828579965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573">
        <f>'[14]Sch C'!D147</f>
        <v>0</v>
      </c>
      <c r="D146" s="573">
        <f>'[14]Sch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337"/>
      <c r="J146" s="183">
        <v>0</v>
      </c>
      <c r="K146" s="183">
        <v>0</v>
      </c>
      <c r="M146" s="364">
        <f t="shared" si="34"/>
        <v>0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573">
        <f>'[14]Sch C'!D148</f>
        <v>0</v>
      </c>
      <c r="D147" s="573">
        <f>'[14]Sch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7"/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573">
        <f>'[14]Sch C'!D149</f>
        <v>547</v>
      </c>
      <c r="D148" s="573">
        <f>'[14]Sch C'!F149</f>
        <v>0</v>
      </c>
      <c r="E148" s="171">
        <f t="shared" si="38"/>
        <v>547</v>
      </c>
      <c r="F148" s="171"/>
      <c r="G148" s="171">
        <f t="shared" si="39"/>
        <v>547</v>
      </c>
      <c r="H148" s="172">
        <f t="shared" si="40"/>
        <v>8.3361646804152315E-5</v>
      </c>
      <c r="I148" s="337"/>
      <c r="J148" s="183">
        <v>45.583333333333336</v>
      </c>
      <c r="K148" s="183">
        <v>45.583333333333336</v>
      </c>
      <c r="M148" s="364">
        <f t="shared" si="34"/>
        <v>1.633567268926385E-2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573">
        <f>'[14]Sch C'!D150</f>
        <v>11967</v>
      </c>
      <c r="D149" s="573">
        <f>'[14]Sch C'!F150</f>
        <v>0</v>
      </c>
      <c r="E149" s="171">
        <f t="shared" si="38"/>
        <v>11967</v>
      </c>
      <c r="F149" s="171"/>
      <c r="G149" s="171">
        <f t="shared" si="39"/>
        <v>11967</v>
      </c>
      <c r="H149" s="172">
        <f t="shared" si="40"/>
        <v>1.8237455709420307E-3</v>
      </c>
      <c r="I149" s="337"/>
      <c r="J149" s="183">
        <v>0</v>
      </c>
      <c r="K149" s="183">
        <v>0</v>
      </c>
      <c r="M149" s="364">
        <f t="shared" si="34"/>
        <v>0.35738390324025682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573">
        <f>'[14]Sch C'!D151</f>
        <v>108098</v>
      </c>
      <c r="D150" s="573">
        <f>'[14]Sch C'!F151</f>
        <v>0</v>
      </c>
      <c r="E150" s="171">
        <f t="shared" si="38"/>
        <v>108098</v>
      </c>
      <c r="F150" s="171"/>
      <c r="G150" s="171">
        <f t="shared" si="39"/>
        <v>108098</v>
      </c>
      <c r="H150" s="172">
        <f t="shared" si="40"/>
        <v>1.6473907305731731E-2</v>
      </c>
      <c r="I150" s="337"/>
      <c r="J150" s="168"/>
      <c r="K150" s="168"/>
      <c r="M150" s="364">
        <f t="shared" si="34"/>
        <v>3.2282514558757653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573">
        <f>'[14]Sch C'!D152</f>
        <v>4386</v>
      </c>
      <c r="D151" s="573">
        <f>'[14]Sch C'!F152</f>
        <v>0</v>
      </c>
      <c r="E151" s="171">
        <f t="shared" si="38"/>
        <v>4386</v>
      </c>
      <c r="F151" s="171"/>
      <c r="G151" s="171">
        <f t="shared" si="39"/>
        <v>4386</v>
      </c>
      <c r="H151" s="172">
        <f t="shared" si="40"/>
        <v>6.6841715335102755E-4</v>
      </c>
      <c r="I151" s="337"/>
      <c r="J151" s="168"/>
      <c r="K151" s="168"/>
      <c r="M151" s="364">
        <f t="shared" si="34"/>
        <v>0.13098402269672987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573">
        <f>'[14]Sch C'!D153</f>
        <v>0</v>
      </c>
      <c r="D152" s="573">
        <f>'[14]Sch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7"/>
      <c r="J152" s="168"/>
      <c r="K152" s="168"/>
      <c r="M152" s="364">
        <f t="shared" si="34"/>
        <v>0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573">
        <f>'[14]Sch C'!D154</f>
        <v>0</v>
      </c>
      <c r="D153" s="573">
        <f>'[14]Sch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210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573">
        <f>'[14]Sch C'!D156</f>
        <v>0</v>
      </c>
      <c r="D155" s="573">
        <f>'[14]Sch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573">
        <f>'[14]Sch C'!D157</f>
        <v>0</v>
      </c>
      <c r="D156" s="573">
        <f>'[14]Sch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573">
        <f>'[14]Sch C'!D158</f>
        <v>0</v>
      </c>
      <c r="D157" s="573">
        <f>'[14]Sch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7"/>
      <c r="J157" s="168"/>
      <c r="K157" s="168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573">
        <f>'[14]Sch C'!D159</f>
        <v>0</v>
      </c>
      <c r="D158" s="573">
        <f>'[14]Sch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573">
        <f>'[14]Sch C'!D160</f>
        <v>0</v>
      </c>
      <c r="D159" s="573">
        <f>'[14]Sch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7"/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573">
        <f>'[14]Sch C'!D161</f>
        <v>11151</v>
      </c>
      <c r="D160" s="573">
        <f>'[14]Sch C'!F161</f>
        <v>0</v>
      </c>
      <c r="E160" s="171">
        <f t="shared" si="41"/>
        <v>11151</v>
      </c>
      <c r="F160" s="171">
        <v>-11150</v>
      </c>
      <c r="G160" s="171">
        <f t="shared" si="42"/>
        <v>1</v>
      </c>
      <c r="H160" s="172">
        <f t="shared" si="43"/>
        <v>1.5239789178090004E-7</v>
      </c>
      <c r="I160" s="337"/>
      <c r="J160" s="168"/>
      <c r="K160" s="168"/>
      <c r="M160" s="364">
        <f t="shared" si="34"/>
        <v>2.9864118261908317E-5</v>
      </c>
      <c r="N160" s="359">
        <f>SUMMARY!J163</f>
        <v>0.61572967423063263</v>
      </c>
    </row>
    <row r="161" spans="1:14" s="167" customFormat="1">
      <c r="A161" s="169"/>
      <c r="B161" s="170" t="s">
        <v>233</v>
      </c>
      <c r="C161" s="573">
        <f>SUM(C123:C160)</f>
        <v>1991469</v>
      </c>
      <c r="D161" s="573">
        <f>SUM(D123:D160)</f>
        <v>379173</v>
      </c>
      <c r="E161" s="171">
        <f t="shared" ref="E161" si="44">SUM(E123:E160)</f>
        <v>2370642</v>
      </c>
      <c r="F161" s="171">
        <f>SUM(F123:F160)</f>
        <v>-11150</v>
      </c>
      <c r="G161" s="171">
        <f>SUM(G123:G160)</f>
        <v>2359492</v>
      </c>
      <c r="H161" s="172">
        <f t="shared" si="43"/>
        <v>0.35958160647389936</v>
      </c>
      <c r="I161" s="337"/>
      <c r="J161" s="168"/>
      <c r="K161" s="168"/>
      <c r="M161" s="364">
        <f>G161/G$228</f>
        <v>70.464148126026572</v>
      </c>
      <c r="N161" s="359">
        <f>SUMMARY!J164</f>
        <v>98.597321527877028</v>
      </c>
    </row>
    <row r="162" spans="1:14" s="167" customFormat="1">
      <c r="A162" s="169"/>
      <c r="B162" s="170"/>
      <c r="C162" s="196"/>
      <c r="D162" s="196"/>
      <c r="E162" s="196"/>
      <c r="F162" s="196"/>
      <c r="G162" s="196"/>
      <c r="H162" s="197"/>
      <c r="I162" s="337"/>
      <c r="J162" s="168"/>
      <c r="K162" s="168"/>
      <c r="M162" s="359"/>
      <c r="N162" s="359"/>
    </row>
    <row r="163" spans="1:14" s="167" customFormat="1" ht="26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7"/>
      <c r="J163" s="168"/>
      <c r="K163" s="168"/>
      <c r="M163" s="359"/>
      <c r="N163" s="359"/>
    </row>
    <row r="164" spans="1:14" s="221" customFormat="1">
      <c r="A164" s="215" t="s">
        <v>95</v>
      </c>
      <c r="B164" s="148" t="s">
        <v>102</v>
      </c>
      <c r="C164" s="573">
        <f>'[14]Sch C'!D175</f>
        <v>0</v>
      </c>
      <c r="D164" s="573">
        <f>'[14]Sch C'!F175</f>
        <v>0</v>
      </c>
      <c r="E164" s="171">
        <f t="shared" ref="E164:E196" si="45">C164+D164</f>
        <v>0</v>
      </c>
      <c r="F164" s="665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>
        <v>0</v>
      </c>
      <c r="K164" s="217">
        <v>0</v>
      </c>
      <c r="L164" s="219"/>
      <c r="M164" s="364">
        <f>G164/G$228</f>
        <v>0</v>
      </c>
      <c r="N164" s="359">
        <f>SUMMARY!J167</f>
        <v>0</v>
      </c>
    </row>
    <row r="165" spans="1:14" s="221" customFormat="1">
      <c r="A165" s="215" t="s">
        <v>123</v>
      </c>
      <c r="B165" s="148" t="s">
        <v>103</v>
      </c>
      <c r="C165" s="573">
        <f>'[14]Sch C'!D176</f>
        <v>0</v>
      </c>
      <c r="D165" s="573">
        <f>'[14]Sch C'!F176</f>
        <v>0</v>
      </c>
      <c r="E165" s="171">
        <f t="shared" si="45"/>
        <v>0</v>
      </c>
      <c r="F165" s="665"/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9"/>
      <c r="M165" s="364">
        <f t="shared" ref="M165:M196" si="48">G165/G$228</f>
        <v>0</v>
      </c>
      <c r="N165" s="359">
        <f>SUMMARY!J168</f>
        <v>0</v>
      </c>
    </row>
    <row r="166" spans="1:14" s="221" customFormat="1">
      <c r="A166" s="215" t="s">
        <v>124</v>
      </c>
      <c r="B166" s="148" t="s">
        <v>104</v>
      </c>
      <c r="C166" s="573">
        <f>'[14]Sch C'!D177</f>
        <v>227903</v>
      </c>
      <c r="D166" s="573">
        <f>'[14]Sch C'!F177</f>
        <v>13099</v>
      </c>
      <c r="E166" s="171">
        <f t="shared" si="45"/>
        <v>241002</v>
      </c>
      <c r="F166" s="665"/>
      <c r="G166" s="171">
        <f t="shared" si="46"/>
        <v>241002</v>
      </c>
      <c r="H166" s="172">
        <f t="shared" si="47"/>
        <v>3.6728196714980468E-2</v>
      </c>
      <c r="I166" s="343"/>
      <c r="J166" s="217">
        <v>7357</v>
      </c>
      <c r="K166" s="217">
        <v>7780</v>
      </c>
      <c r="L166" s="219"/>
      <c r="M166" s="364">
        <f t="shared" si="48"/>
        <v>7.1973122293564282</v>
      </c>
      <c r="N166" s="359">
        <f>SUMMARY!J169</f>
        <v>4.5899160973212085</v>
      </c>
    </row>
    <row r="167" spans="1:14" s="221" customFormat="1">
      <c r="A167" s="215" t="s">
        <v>157</v>
      </c>
      <c r="B167" s="148" t="s">
        <v>105</v>
      </c>
      <c r="C167" s="573">
        <f>'[14]Sch C'!D178</f>
        <v>0</v>
      </c>
      <c r="D167" s="573">
        <f>'[14]Sch C'!F178</f>
        <v>34088</v>
      </c>
      <c r="E167" s="171">
        <f t="shared" si="45"/>
        <v>34088</v>
      </c>
      <c r="F167" s="665"/>
      <c r="G167" s="171">
        <f t="shared" si="46"/>
        <v>34088</v>
      </c>
      <c r="H167" s="172">
        <f t="shared" si="47"/>
        <v>5.1949393350273201E-3</v>
      </c>
      <c r="I167" s="344"/>
      <c r="J167" s="222"/>
      <c r="K167" s="222"/>
      <c r="L167" s="219"/>
      <c r="M167" s="364">
        <f t="shared" si="48"/>
        <v>1.0180080633119306</v>
      </c>
      <c r="N167" s="359">
        <f>SUMMARY!J170</f>
        <v>0.83466769369350857</v>
      </c>
    </row>
    <row r="168" spans="1:14" s="221" customFormat="1">
      <c r="A168" s="215" t="s">
        <v>158</v>
      </c>
      <c r="B168" s="148" t="s">
        <v>316</v>
      </c>
      <c r="C168" s="573">
        <f>'[14]Sch C'!D179</f>
        <v>73296</v>
      </c>
      <c r="D168" s="573">
        <f>'[14]Sch C'!F179</f>
        <v>4213</v>
      </c>
      <c r="E168" s="171">
        <f t="shared" si="45"/>
        <v>77509</v>
      </c>
      <c r="F168" s="665"/>
      <c r="G168" s="171">
        <f t="shared" si="46"/>
        <v>77509</v>
      </c>
      <c r="H168" s="172">
        <f t="shared" si="47"/>
        <v>1.1812208194045781E-2</v>
      </c>
      <c r="I168" s="343"/>
      <c r="J168" s="217">
        <v>1683</v>
      </c>
      <c r="K168" s="217">
        <v>1780</v>
      </c>
      <c r="L168" s="219"/>
      <c r="M168" s="364">
        <f t="shared" si="48"/>
        <v>2.3147379423622518</v>
      </c>
      <c r="N168" s="359">
        <f>SUMMARY!J171</f>
        <v>0.77161464733349716</v>
      </c>
    </row>
    <row r="169" spans="1:14" s="221" customFormat="1">
      <c r="A169" s="215" t="s">
        <v>86</v>
      </c>
      <c r="B169" s="148" t="s">
        <v>317</v>
      </c>
      <c r="C169" s="573">
        <f>'[14]Sch C'!D180</f>
        <v>0</v>
      </c>
      <c r="D169" s="573">
        <f>'[14]Sch C'!F180</f>
        <v>10963</v>
      </c>
      <c r="E169" s="171">
        <f t="shared" si="45"/>
        <v>10963</v>
      </c>
      <c r="F169" s="665"/>
      <c r="G169" s="171">
        <f t="shared" si="46"/>
        <v>10963</v>
      </c>
      <c r="H169" s="172">
        <f t="shared" si="47"/>
        <v>1.6707380875940071E-3</v>
      </c>
      <c r="I169" s="344"/>
      <c r="J169" s="222"/>
      <c r="K169" s="222"/>
      <c r="L169" s="219"/>
      <c r="M169" s="364">
        <f t="shared" si="48"/>
        <v>0.32740032850530087</v>
      </c>
      <c r="N169" s="359">
        <f>SUMMARY!J172</f>
        <v>0.13394964091641409</v>
      </c>
    </row>
    <row r="170" spans="1:14" s="221" customFormat="1">
      <c r="A170" s="215" t="s">
        <v>96</v>
      </c>
      <c r="B170" s="148" t="s">
        <v>318</v>
      </c>
      <c r="C170" s="573">
        <f>'[14]Sch C'!D181</f>
        <v>0</v>
      </c>
      <c r="D170" s="573">
        <f>'[14]Sch C'!F181</f>
        <v>0</v>
      </c>
      <c r="E170" s="171">
        <f t="shared" si="45"/>
        <v>0</v>
      </c>
      <c r="F170" s="665"/>
      <c r="G170" s="171">
        <f t="shared" si="46"/>
        <v>0</v>
      </c>
      <c r="H170" s="172">
        <f t="shared" si="47"/>
        <v>0</v>
      </c>
      <c r="I170" s="343"/>
      <c r="J170" s="217">
        <v>0</v>
      </c>
      <c r="K170" s="217">
        <v>0</v>
      </c>
      <c r="L170" s="219"/>
      <c r="M170" s="364">
        <f t="shared" si="48"/>
        <v>0</v>
      </c>
      <c r="N170" s="359">
        <f>SUMMARY!J173</f>
        <v>0</v>
      </c>
    </row>
    <row r="171" spans="1:14" s="221" customFormat="1">
      <c r="A171" s="215" t="s">
        <v>125</v>
      </c>
      <c r="B171" s="148" t="s">
        <v>109</v>
      </c>
      <c r="C171" s="573">
        <f>'[14]Sch C'!D182</f>
        <v>0</v>
      </c>
      <c r="D171" s="573">
        <f>'[14]Sch C'!F182</f>
        <v>0</v>
      </c>
      <c r="E171" s="171">
        <f t="shared" si="45"/>
        <v>0</v>
      </c>
      <c r="F171" s="665"/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19"/>
      <c r="M171" s="364">
        <f t="shared" si="48"/>
        <v>0</v>
      </c>
      <c r="N171" s="359">
        <f>SUMMARY!J174</f>
        <v>0</v>
      </c>
    </row>
    <row r="172" spans="1:14" s="221" customFormat="1">
      <c r="A172" s="215" t="s">
        <v>126</v>
      </c>
      <c r="B172" s="148" t="s">
        <v>319</v>
      </c>
      <c r="C172" s="573">
        <f>'[14]Sch C'!D183</f>
        <v>121903</v>
      </c>
      <c r="D172" s="573">
        <f>'[14]Sch C'!F183</f>
        <v>7006</v>
      </c>
      <c r="E172" s="171">
        <f t="shared" si="45"/>
        <v>128909</v>
      </c>
      <c r="F172" s="665"/>
      <c r="G172" s="171">
        <f t="shared" si="46"/>
        <v>128909</v>
      </c>
      <c r="H172" s="172">
        <f t="shared" si="47"/>
        <v>1.9645459831584042E-2</v>
      </c>
      <c r="I172" s="343"/>
      <c r="J172" s="217">
        <v>3702</v>
      </c>
      <c r="K172" s="217">
        <v>3915</v>
      </c>
      <c r="L172" s="219"/>
      <c r="M172" s="364">
        <f t="shared" si="48"/>
        <v>3.8497536210243393</v>
      </c>
      <c r="N172" s="359">
        <f>SUMMARY!J175</f>
        <v>2.5941162939297122</v>
      </c>
    </row>
    <row r="173" spans="1:14" s="221" customFormat="1">
      <c r="A173" s="215" t="s">
        <v>127</v>
      </c>
      <c r="B173" s="148" t="s">
        <v>111</v>
      </c>
      <c r="C173" s="573">
        <f>'[14]Sch C'!D184</f>
        <v>0</v>
      </c>
      <c r="D173" s="573">
        <f>'[14]Sch C'!F184</f>
        <v>18233</v>
      </c>
      <c r="E173" s="171">
        <f t="shared" si="45"/>
        <v>18233</v>
      </c>
      <c r="F173" s="665"/>
      <c r="G173" s="171">
        <f t="shared" si="46"/>
        <v>18233</v>
      </c>
      <c r="H173" s="172">
        <f t="shared" si="47"/>
        <v>2.7786707608411505E-3</v>
      </c>
      <c r="I173" s="344"/>
      <c r="J173" s="222"/>
      <c r="K173" s="222"/>
      <c r="L173" s="219"/>
      <c r="M173" s="364">
        <f t="shared" si="48"/>
        <v>0.54451246826937438</v>
      </c>
      <c r="N173" s="359">
        <f>SUMMARY!J176</f>
        <v>0.43431776693811036</v>
      </c>
    </row>
    <row r="174" spans="1:14" s="221" customFormat="1">
      <c r="A174" s="215" t="s">
        <v>128</v>
      </c>
      <c r="B174" s="148" t="s">
        <v>320</v>
      </c>
      <c r="C174" s="573">
        <f>'[14]Sch C'!D185</f>
        <v>0</v>
      </c>
      <c r="D174" s="573">
        <f>'[14]Sch C'!F185</f>
        <v>0</v>
      </c>
      <c r="E174" s="171">
        <f t="shared" si="45"/>
        <v>0</v>
      </c>
      <c r="F174" s="665"/>
      <c r="G174" s="171">
        <f t="shared" si="46"/>
        <v>0</v>
      </c>
      <c r="H174" s="172">
        <f t="shared" si="47"/>
        <v>0</v>
      </c>
      <c r="I174" s="343"/>
      <c r="J174" s="217">
        <v>0</v>
      </c>
      <c r="K174" s="217">
        <v>0</v>
      </c>
      <c r="L174" s="219"/>
      <c r="M174" s="364">
        <f t="shared" si="48"/>
        <v>0</v>
      </c>
      <c r="N174" s="359">
        <f>SUMMARY!J177</f>
        <v>2.3603943092760983E-3</v>
      </c>
    </row>
    <row r="175" spans="1:14" s="221" customFormat="1">
      <c r="A175" s="215" t="s">
        <v>129</v>
      </c>
      <c r="B175" s="148" t="s">
        <v>321</v>
      </c>
      <c r="C175" s="573">
        <f>'[14]Sch C'!D186</f>
        <v>0</v>
      </c>
      <c r="D175" s="573">
        <f>'[14]Sch C'!F186</f>
        <v>0</v>
      </c>
      <c r="E175" s="171">
        <f t="shared" si="45"/>
        <v>0</v>
      </c>
      <c r="F175" s="665"/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>
        <f t="shared" si="48"/>
        <v>0</v>
      </c>
      <c r="N175" s="359">
        <f>SUMMARY!J178</f>
        <v>0</v>
      </c>
    </row>
    <row r="176" spans="1:14" s="221" customFormat="1">
      <c r="A176" s="224" t="s">
        <v>293</v>
      </c>
      <c r="B176" s="148" t="s">
        <v>154</v>
      </c>
      <c r="C176" s="573">
        <f>'[14]Sch C'!D187</f>
        <v>0</v>
      </c>
      <c r="D176" s="573">
        <f>'[14]Sch C'!F187</f>
        <v>0</v>
      </c>
      <c r="E176" s="171">
        <f t="shared" si="45"/>
        <v>0</v>
      </c>
      <c r="F176" s="665"/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>
        <f t="shared" si="48"/>
        <v>0</v>
      </c>
      <c r="N176" s="359">
        <f>SUMMARY!J179</f>
        <v>0</v>
      </c>
    </row>
    <row r="177" spans="1:14" s="221" customFormat="1">
      <c r="A177" s="224" t="s">
        <v>294</v>
      </c>
      <c r="B177" s="148" t="s">
        <v>322</v>
      </c>
      <c r="C177" s="573">
        <f>'[14]Sch C'!D188</f>
        <v>1047</v>
      </c>
      <c r="D177" s="573">
        <f>'[14]Sch C'!F188</f>
        <v>0</v>
      </c>
      <c r="E177" s="171">
        <f t="shared" si="45"/>
        <v>1047</v>
      </c>
      <c r="F177" s="665"/>
      <c r="G177" s="171">
        <f t="shared" si="46"/>
        <v>1047</v>
      </c>
      <c r="H177" s="172">
        <f t="shared" si="47"/>
        <v>1.5956059269460232E-4</v>
      </c>
      <c r="I177" s="337"/>
      <c r="J177" s="223"/>
      <c r="K177" s="218"/>
      <c r="L177" s="220"/>
      <c r="M177" s="364">
        <f t="shared" si="48"/>
        <v>3.1267731820218005E-2</v>
      </c>
      <c r="N177" s="359">
        <f>SUMMARY!J180</f>
        <v>9.0641762922913108E-2</v>
      </c>
    </row>
    <row r="178" spans="1:14" s="221" customFormat="1">
      <c r="A178" s="224" t="s">
        <v>295</v>
      </c>
      <c r="B178" s="148" t="s">
        <v>323</v>
      </c>
      <c r="C178" s="573">
        <f>'[14]Sch C'!D189</f>
        <v>0</v>
      </c>
      <c r="D178" s="573">
        <f>'[14]Sch C'!F189</f>
        <v>0</v>
      </c>
      <c r="E178" s="171">
        <f t="shared" si="45"/>
        <v>0</v>
      </c>
      <c r="F178" s="665"/>
      <c r="G178" s="171">
        <f t="shared" si="46"/>
        <v>0</v>
      </c>
      <c r="H178" s="172">
        <f t="shared" si="47"/>
        <v>0</v>
      </c>
      <c r="I178" s="337"/>
      <c r="J178" s="223"/>
      <c r="K178" s="218"/>
      <c r="L178" s="220"/>
      <c r="M178" s="364">
        <f t="shared" si="48"/>
        <v>0</v>
      </c>
      <c r="N178" s="359">
        <f>SUMMARY!J181</f>
        <v>1.778645585866033E-2</v>
      </c>
    </row>
    <row r="179" spans="1:14" s="221" customFormat="1">
      <c r="A179" s="224" t="s">
        <v>296</v>
      </c>
      <c r="B179" s="148" t="s">
        <v>324</v>
      </c>
      <c r="C179" s="573">
        <f>'[14]Sch C'!D190</f>
        <v>0</v>
      </c>
      <c r="D179" s="573">
        <f>'[14]Sch C'!F190</f>
        <v>0</v>
      </c>
      <c r="E179" s="171">
        <f t="shared" si="45"/>
        <v>0</v>
      </c>
      <c r="F179" s="665"/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</row>
    <row r="180" spans="1:14" s="221" customFormat="1">
      <c r="A180" s="224" t="s">
        <v>297</v>
      </c>
      <c r="B180" s="148" t="s">
        <v>325</v>
      </c>
      <c r="C180" s="573">
        <f>'[14]Sch C'!D191</f>
        <v>0</v>
      </c>
      <c r="D180" s="573">
        <f>'[14]Sch C'!F191</f>
        <v>0</v>
      </c>
      <c r="E180" s="171">
        <f t="shared" si="45"/>
        <v>0</v>
      </c>
      <c r="F180" s="665"/>
      <c r="G180" s="171">
        <f t="shared" si="46"/>
        <v>0</v>
      </c>
      <c r="H180" s="172">
        <f t="shared" si="47"/>
        <v>0</v>
      </c>
      <c r="I180" s="337"/>
      <c r="J180" s="223"/>
      <c r="K180" s="218"/>
      <c r="L180" s="220"/>
      <c r="M180" s="364">
        <f t="shared" si="48"/>
        <v>0</v>
      </c>
      <c r="N180" s="359">
        <f>SUMMARY!J183</f>
        <v>1.8462734496600307E-2</v>
      </c>
    </row>
    <row r="181" spans="1:14" s="221" customFormat="1">
      <c r="A181" s="224" t="s">
        <v>298</v>
      </c>
      <c r="B181" s="148" t="s">
        <v>117</v>
      </c>
      <c r="C181" s="573">
        <f>'[14]Sch C'!D192</f>
        <v>0</v>
      </c>
      <c r="D181" s="573">
        <f>'[14]Sch C'!F192</f>
        <v>0</v>
      </c>
      <c r="E181" s="171">
        <f t="shared" si="45"/>
        <v>0</v>
      </c>
      <c r="F181" s="665"/>
      <c r="G181" s="171">
        <f t="shared" si="46"/>
        <v>0</v>
      </c>
      <c r="H181" s="172">
        <f t="shared" si="47"/>
        <v>0</v>
      </c>
      <c r="I181" s="337"/>
      <c r="J181" s="223"/>
      <c r="K181" s="218"/>
      <c r="L181" s="220"/>
      <c r="M181" s="364">
        <f t="shared" si="48"/>
        <v>0</v>
      </c>
      <c r="N181" s="359">
        <f>SUMMARY!J184</f>
        <v>0.21032919363206901</v>
      </c>
    </row>
    <row r="182" spans="1:14" s="221" customFormat="1">
      <c r="A182" s="224" t="s">
        <v>132</v>
      </c>
      <c r="B182" s="148" t="s">
        <v>118</v>
      </c>
      <c r="C182" s="573">
        <f>'[14]Sch C'!D193</f>
        <v>0</v>
      </c>
      <c r="D182" s="573">
        <f>'[14]Sch C'!F193</f>
        <v>0</v>
      </c>
      <c r="E182" s="171">
        <f t="shared" si="45"/>
        <v>0</v>
      </c>
      <c r="F182" s="665"/>
      <c r="G182" s="171">
        <f t="shared" si="46"/>
        <v>0</v>
      </c>
      <c r="H182" s="172">
        <f t="shared" si="47"/>
        <v>0</v>
      </c>
      <c r="I182" s="337"/>
      <c r="J182" s="223"/>
      <c r="K182" s="218"/>
      <c r="L182" s="220"/>
      <c r="M182" s="364">
        <f t="shared" si="48"/>
        <v>0</v>
      </c>
      <c r="N182" s="359">
        <f>SUMMARY!J185</f>
        <v>4.5937156276453409E-2</v>
      </c>
    </row>
    <row r="183" spans="1:14" s="221" customFormat="1">
      <c r="A183" s="224" t="s">
        <v>133</v>
      </c>
      <c r="B183" s="148" t="s">
        <v>119</v>
      </c>
      <c r="C183" s="573">
        <f>'[14]Sch C'!D194</f>
        <v>0</v>
      </c>
      <c r="D183" s="573">
        <f>'[14]Sch C'!F194</f>
        <v>0</v>
      </c>
      <c r="E183" s="171">
        <f t="shared" si="45"/>
        <v>0</v>
      </c>
      <c r="F183" s="665"/>
      <c r="G183" s="171">
        <f t="shared" si="46"/>
        <v>0</v>
      </c>
      <c r="H183" s="172">
        <f t="shared" si="47"/>
        <v>0</v>
      </c>
      <c r="I183" s="337"/>
      <c r="J183" s="223"/>
      <c r="K183" s="218"/>
      <c r="L183" s="220"/>
      <c r="M183" s="364">
        <f t="shared" si="48"/>
        <v>0</v>
      </c>
      <c r="N183" s="359">
        <f>SUMMARY!J186</f>
        <v>7.3129851396739571</v>
      </c>
    </row>
    <row r="184" spans="1:14" s="221" customFormat="1">
      <c r="A184" s="224" t="s">
        <v>134</v>
      </c>
      <c r="B184" s="148" t="s">
        <v>326</v>
      </c>
      <c r="C184" s="573">
        <f>'[14]Sch C'!D195</f>
        <v>0</v>
      </c>
      <c r="D184" s="573">
        <f>'[14]Sch C'!F195</f>
        <v>0</v>
      </c>
      <c r="E184" s="171">
        <f t="shared" si="45"/>
        <v>0</v>
      </c>
      <c r="F184" s="665"/>
      <c r="G184" s="171">
        <f t="shared" si="46"/>
        <v>0</v>
      </c>
      <c r="H184" s="172">
        <f t="shared" si="47"/>
        <v>0</v>
      </c>
      <c r="I184" s="337"/>
      <c r="J184" s="223"/>
      <c r="K184" s="218"/>
      <c r="L184" s="220"/>
      <c r="M184" s="364">
        <f t="shared" si="48"/>
        <v>0</v>
      </c>
      <c r="N184" s="359">
        <f>SUMMARY!J187</f>
        <v>1.617871871330657</v>
      </c>
    </row>
    <row r="185" spans="1:14" s="221" customFormat="1">
      <c r="A185" s="224" t="s">
        <v>135</v>
      </c>
      <c r="B185" s="148" t="s">
        <v>327</v>
      </c>
      <c r="C185" s="573">
        <f>'[14]Sch C'!D196</f>
        <v>0</v>
      </c>
      <c r="D185" s="573">
        <f>'[14]Sch C'!F196</f>
        <v>0</v>
      </c>
      <c r="E185" s="171">
        <f t="shared" si="45"/>
        <v>0</v>
      </c>
      <c r="F185" s="665"/>
      <c r="G185" s="171">
        <f t="shared" si="46"/>
        <v>0</v>
      </c>
      <c r="H185" s="172">
        <f t="shared" si="47"/>
        <v>0</v>
      </c>
      <c r="I185" s="337"/>
      <c r="J185" s="223"/>
      <c r="K185" s="218"/>
      <c r="L185" s="220"/>
      <c r="M185" s="364">
        <f t="shared" si="48"/>
        <v>0</v>
      </c>
      <c r="N185" s="359">
        <f>SUMMARY!J188</f>
        <v>0</v>
      </c>
    </row>
    <row r="186" spans="1:14" s="221" customFormat="1">
      <c r="A186" s="224" t="s">
        <v>136</v>
      </c>
      <c r="B186" s="148" t="s">
        <v>328</v>
      </c>
      <c r="C186" s="573">
        <f>'[14]Sch C'!D197</f>
        <v>0</v>
      </c>
      <c r="D186" s="573">
        <f>'[14]Sch C'!F197</f>
        <v>0</v>
      </c>
      <c r="E186" s="171">
        <f t="shared" si="45"/>
        <v>0</v>
      </c>
      <c r="F186" s="665"/>
      <c r="G186" s="171">
        <f t="shared" si="46"/>
        <v>0</v>
      </c>
      <c r="H186" s="172">
        <f t="shared" si="47"/>
        <v>0</v>
      </c>
      <c r="I186" s="337"/>
      <c r="J186" s="223"/>
      <c r="K186" s="218"/>
      <c r="L186" s="220"/>
      <c r="M186" s="364">
        <f t="shared" si="48"/>
        <v>0</v>
      </c>
      <c r="N186" s="359">
        <f>SUMMARY!J189</f>
        <v>5.0698778515059661</v>
      </c>
    </row>
    <row r="187" spans="1:14" s="221" customFormat="1">
      <c r="A187" s="224" t="s">
        <v>137</v>
      </c>
      <c r="B187" s="148" t="s">
        <v>122</v>
      </c>
      <c r="C187" s="573">
        <f>'[14]Sch C'!D198</f>
        <v>22453</v>
      </c>
      <c r="D187" s="573">
        <f>'[14]Sch C'!F198</f>
        <v>0</v>
      </c>
      <c r="E187" s="171">
        <f t="shared" si="45"/>
        <v>22453</v>
      </c>
      <c r="F187" s="665"/>
      <c r="G187" s="171">
        <f t="shared" si="46"/>
        <v>22453</v>
      </c>
      <c r="H187" s="172">
        <f t="shared" si="47"/>
        <v>3.4217898641565486E-3</v>
      </c>
      <c r="I187" s="337"/>
      <c r="J187" s="223"/>
      <c r="K187" s="218"/>
      <c r="L187" s="220"/>
      <c r="M187" s="364">
        <f t="shared" si="48"/>
        <v>0.67053904733462744</v>
      </c>
      <c r="N187" s="359">
        <f>SUMMARY!J190</f>
        <v>1.3048000054613476</v>
      </c>
    </row>
    <row r="188" spans="1:14" s="221" customFormat="1">
      <c r="A188" s="224" t="s">
        <v>275</v>
      </c>
      <c r="B188" s="148" t="s">
        <v>329</v>
      </c>
      <c r="C188" s="573">
        <f>'[14]Sch C'!D199</f>
        <v>3000</v>
      </c>
      <c r="D188" s="573">
        <f>'[14]Sch C'!F199</f>
        <v>0</v>
      </c>
      <c r="E188" s="171">
        <f t="shared" si="45"/>
        <v>3000</v>
      </c>
      <c r="F188" s="665"/>
      <c r="G188" s="171">
        <f t="shared" si="46"/>
        <v>3000</v>
      </c>
      <c r="H188" s="172">
        <f t="shared" si="47"/>
        <v>4.5719367534270011E-4</v>
      </c>
      <c r="I188" s="337"/>
      <c r="J188" s="223"/>
      <c r="K188" s="218"/>
      <c r="L188" s="220"/>
      <c r="M188" s="364">
        <f t="shared" si="48"/>
        <v>8.9592354785724956E-2</v>
      </c>
      <c r="N188" s="359">
        <f>SUMMARY!J191</f>
        <v>0.39995945495753804</v>
      </c>
    </row>
    <row r="189" spans="1:14" s="221" customFormat="1">
      <c r="A189" s="224" t="s">
        <v>277</v>
      </c>
      <c r="B189" s="148" t="s">
        <v>278</v>
      </c>
      <c r="C189" s="573">
        <f>'[14]Sch C'!D200</f>
        <v>0</v>
      </c>
      <c r="D189" s="573">
        <f>'[14]Sch C'!F200</f>
        <v>0</v>
      </c>
      <c r="E189" s="171">
        <f t="shared" si="45"/>
        <v>0</v>
      </c>
      <c r="F189" s="665"/>
      <c r="G189" s="171">
        <f t="shared" si="46"/>
        <v>0</v>
      </c>
      <c r="H189" s="172">
        <f t="shared" si="47"/>
        <v>0</v>
      </c>
      <c r="I189" s="337"/>
      <c r="J189" s="223"/>
      <c r="K189" s="218"/>
      <c r="L189" s="220"/>
      <c r="M189" s="364">
        <f t="shared" si="48"/>
        <v>0</v>
      </c>
      <c r="N189" s="359">
        <f>SUMMARY!J192</f>
        <v>5.0800032768083883E-3</v>
      </c>
    </row>
    <row r="190" spans="1:14" s="221" customFormat="1">
      <c r="A190" s="225" t="s">
        <v>279</v>
      </c>
      <c r="B190" s="226" t="s">
        <v>280</v>
      </c>
      <c r="C190" s="573">
        <f>'[14]Sch C'!D201</f>
        <v>0</v>
      </c>
      <c r="D190" s="573">
        <f>'[14]Sch C'!F201</f>
        <v>0</v>
      </c>
      <c r="E190" s="171">
        <f t="shared" si="45"/>
        <v>0</v>
      </c>
      <c r="F190" s="665"/>
      <c r="G190" s="171">
        <f t="shared" si="46"/>
        <v>0</v>
      </c>
      <c r="H190" s="172">
        <f t="shared" si="47"/>
        <v>0</v>
      </c>
      <c r="I190" s="337"/>
      <c r="J190" s="223"/>
      <c r="K190" s="218"/>
      <c r="L190" s="220"/>
      <c r="M190" s="364">
        <f t="shared" si="48"/>
        <v>0</v>
      </c>
      <c r="N190" s="359">
        <f>SUMMARY!J193</f>
        <v>-2.2159984708227519E-2</v>
      </c>
    </row>
    <row r="191" spans="1:14" s="221" customFormat="1">
      <c r="A191" s="225" t="s">
        <v>281</v>
      </c>
      <c r="B191" s="226" t="s">
        <v>282</v>
      </c>
      <c r="C191" s="573">
        <f>'[14]Sch C'!D202</f>
        <v>0</v>
      </c>
      <c r="D191" s="573">
        <f>'[14]Sch C'!F202</f>
        <v>0</v>
      </c>
      <c r="E191" s="171">
        <f t="shared" si="45"/>
        <v>0</v>
      </c>
      <c r="F191" s="665"/>
      <c r="G191" s="171">
        <f t="shared" si="46"/>
        <v>0</v>
      </c>
      <c r="H191" s="172">
        <f t="shared" si="47"/>
        <v>0</v>
      </c>
      <c r="I191" s="337"/>
      <c r="J191" s="223"/>
      <c r="K191" s="218"/>
      <c r="L191" s="220"/>
      <c r="M191" s="364">
        <f t="shared" si="48"/>
        <v>0</v>
      </c>
      <c r="N191" s="359">
        <f>SUMMARY!J194</f>
        <v>4.7598918653231749E-4</v>
      </c>
    </row>
    <row r="192" spans="1:14" s="221" customFormat="1">
      <c r="A192" s="225" t="s">
        <v>283</v>
      </c>
      <c r="B192" s="226" t="s">
        <v>330</v>
      </c>
      <c r="C192" s="573">
        <f>'[14]Sch C'!D203</f>
        <v>0</v>
      </c>
      <c r="D192" s="573">
        <f>'[14]Sch C'!F203</f>
        <v>0</v>
      </c>
      <c r="E192" s="171">
        <f t="shared" si="45"/>
        <v>0</v>
      </c>
      <c r="F192" s="665"/>
      <c r="G192" s="171">
        <f t="shared" si="46"/>
        <v>0</v>
      </c>
      <c r="H192" s="172">
        <f t="shared" si="47"/>
        <v>0</v>
      </c>
      <c r="I192" s="337"/>
      <c r="J192" s="223"/>
      <c r="K192" s="218"/>
      <c r="L192" s="220"/>
      <c r="M192" s="364">
        <f t="shared" si="48"/>
        <v>0</v>
      </c>
      <c r="N192" s="359">
        <f>SUMMARY!J195</f>
        <v>9.9736102236421709E-2</v>
      </c>
    </row>
    <row r="193" spans="1:14" s="221" customFormat="1">
      <c r="A193" s="225" t="s">
        <v>285</v>
      </c>
      <c r="B193" s="226" t="s">
        <v>331</v>
      </c>
      <c r="C193" s="573">
        <f>'[14]Sch C'!D204</f>
        <v>0</v>
      </c>
      <c r="D193" s="573">
        <f>'[14]Sch C'!F204</f>
        <v>0</v>
      </c>
      <c r="E193" s="171">
        <f t="shared" si="45"/>
        <v>0</v>
      </c>
      <c r="F193" s="665"/>
      <c r="G193" s="171">
        <f t="shared" si="46"/>
        <v>0</v>
      </c>
      <c r="H193" s="172">
        <f t="shared" si="47"/>
        <v>0</v>
      </c>
      <c r="I193" s="337"/>
      <c r="J193" s="223"/>
      <c r="K193" s="218"/>
      <c r="L193" s="220"/>
      <c r="M193" s="364">
        <f t="shared" si="48"/>
        <v>0</v>
      </c>
      <c r="N193" s="359">
        <f>SUMMARY!J196</f>
        <v>1.4186941918571311E-2</v>
      </c>
    </row>
    <row r="194" spans="1:14" s="221" customFormat="1">
      <c r="A194" s="224" t="s">
        <v>138</v>
      </c>
      <c r="B194" s="148" t="s">
        <v>332</v>
      </c>
      <c r="C194" s="573">
        <f>'[14]Sch C'!D205</f>
        <v>191469</v>
      </c>
      <c r="D194" s="573">
        <f>'[14]Sch C'!F205</f>
        <v>0</v>
      </c>
      <c r="E194" s="171">
        <f t="shared" si="45"/>
        <v>191469</v>
      </c>
      <c r="F194" s="665"/>
      <c r="G194" s="171">
        <f t="shared" si="46"/>
        <v>191469</v>
      </c>
      <c r="H194" s="172">
        <f t="shared" si="47"/>
        <v>2.917947194139715E-2</v>
      </c>
      <c r="I194" s="337"/>
      <c r="J194" s="223"/>
      <c r="K194" s="218"/>
      <c r="L194" s="220"/>
      <c r="M194" s="364">
        <f t="shared" si="48"/>
        <v>5.7180528594893234</v>
      </c>
      <c r="N194" s="359">
        <f>SUMMARY!J197</f>
        <v>9.4205484776494348</v>
      </c>
    </row>
    <row r="195" spans="1:14" s="221" customFormat="1">
      <c r="A195" s="224" t="s">
        <v>139</v>
      </c>
      <c r="B195" s="148" t="s">
        <v>67</v>
      </c>
      <c r="C195" s="573">
        <f>'[14]Sch C'!D206</f>
        <v>2050</v>
      </c>
      <c r="D195" s="573">
        <f>'[14]Sch C'!F206</f>
        <v>0</v>
      </c>
      <c r="E195" s="171">
        <f t="shared" si="45"/>
        <v>2050</v>
      </c>
      <c r="F195" s="665"/>
      <c r="G195" s="171">
        <f t="shared" si="46"/>
        <v>2050</v>
      </c>
      <c r="H195" s="172">
        <f t="shared" si="47"/>
        <v>3.1241567815084507E-4</v>
      </c>
      <c r="I195" s="337"/>
      <c r="J195" s="223"/>
      <c r="K195" s="218"/>
      <c r="L195" s="220"/>
      <c r="M195" s="364">
        <f t="shared" si="48"/>
        <v>6.1221442436912049E-2</v>
      </c>
      <c r="N195" s="359">
        <f>SUMMARY!J198</f>
        <v>0.51514733622784747</v>
      </c>
    </row>
    <row r="196" spans="1:14" s="221" customFormat="1">
      <c r="A196" s="225" t="s">
        <v>143</v>
      </c>
      <c r="B196" s="194" t="s">
        <v>333</v>
      </c>
      <c r="C196" s="573">
        <f>'[14]Sch C'!D207</f>
        <v>32094</v>
      </c>
      <c r="D196" s="573">
        <f>'[14]Sch C'!F207</f>
        <v>-702.77999999999975</v>
      </c>
      <c r="E196" s="171">
        <f t="shared" si="45"/>
        <v>31391.22</v>
      </c>
      <c r="F196" s="665"/>
      <c r="G196" s="171">
        <f t="shared" si="46"/>
        <v>31391.22</v>
      </c>
      <c r="H196" s="172">
        <f t="shared" si="47"/>
        <v>4.7839557484304247E-3</v>
      </c>
      <c r="I196" s="337"/>
      <c r="J196" s="223"/>
      <c r="K196" s="218"/>
      <c r="L196" s="220"/>
      <c r="M196" s="364">
        <f t="shared" si="48"/>
        <v>0.93747110646558163</v>
      </c>
      <c r="N196" s="359">
        <f>SUMMARY!J199</f>
        <v>0.43468466925335936</v>
      </c>
    </row>
    <row r="197" spans="1:14" s="167" customFormat="1" ht="26">
      <c r="A197" s="163"/>
      <c r="B197" s="212" t="s">
        <v>130</v>
      </c>
      <c r="C197" s="573">
        <f>SUM(C164:C196)</f>
        <v>675215</v>
      </c>
      <c r="D197" s="573">
        <f>SUM(D164:D196)</f>
        <v>86899.22</v>
      </c>
      <c r="E197" s="171">
        <f t="shared" ref="E197" si="49">SUM(E164:E196)</f>
        <v>762114.22</v>
      </c>
      <c r="F197" s="171">
        <f>SUM(F164:F196)</f>
        <v>0</v>
      </c>
      <c r="G197" s="171">
        <f>SUM(G164:G196)</f>
        <v>762114.22</v>
      </c>
      <c r="H197" s="172">
        <f>IF($G$208=0,0,G197/$G$208)</f>
        <v>0.11614460042424504</v>
      </c>
      <c r="I197" s="337"/>
      <c r="J197" s="168"/>
      <c r="K197" s="168"/>
      <c r="M197" s="364">
        <f>G197/G$228</f>
        <v>22.759869195162011</v>
      </c>
      <c r="N197" s="359">
        <f>SUMMARY!J200</f>
        <v>35.91740838389223</v>
      </c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341"/>
      <c r="J198" s="168"/>
      <c r="K198" s="168"/>
      <c r="M198" s="359"/>
      <c r="N198" s="359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1"/>
      <c r="J199" s="168"/>
      <c r="K199" s="168"/>
      <c r="M199" s="359"/>
      <c r="N199" s="359"/>
    </row>
    <row r="200" spans="1:14" s="167" customFormat="1">
      <c r="A200" s="169" t="s">
        <v>85</v>
      </c>
      <c r="B200" s="170" t="s">
        <v>69</v>
      </c>
      <c r="C200" s="573">
        <f>'[14]Sch C'!D211</f>
        <v>129636</v>
      </c>
      <c r="D200" s="573">
        <f>'[14]Sch C'!F211</f>
        <v>7451</v>
      </c>
      <c r="E200" s="171">
        <f t="shared" ref="E200:E205" si="50">C200+D200</f>
        <v>137087</v>
      </c>
      <c r="F200" s="171"/>
      <c r="G200" s="171">
        <f t="shared" ref="G200:G205" si="51">E200+F200</f>
        <v>137087</v>
      </c>
      <c r="H200" s="172">
        <f t="shared" ref="H200:H206" si="52">IF($G$208=0,0,G200/$G$208)</f>
        <v>2.0891769790568244E-2</v>
      </c>
      <c r="I200" s="337"/>
      <c r="J200" s="183">
        <v>8147</v>
      </c>
      <c r="K200" s="183">
        <v>8615</v>
      </c>
      <c r="M200" s="364">
        <f t="shared" ref="M200:M205" si="53">G200/G$228</f>
        <v>4.0939823801702255</v>
      </c>
      <c r="N200" s="359">
        <f>SUMMARY!J203</f>
        <v>4.8433639387236838</v>
      </c>
    </row>
    <row r="201" spans="1:14" s="167" customFormat="1">
      <c r="A201" s="169" t="s">
        <v>86</v>
      </c>
      <c r="B201" s="170" t="s">
        <v>45</v>
      </c>
      <c r="C201" s="573">
        <f>'[14]Sch C'!D212</f>
        <v>0</v>
      </c>
      <c r="D201" s="573">
        <f>'[14]Sch C'!F212</f>
        <v>19390</v>
      </c>
      <c r="E201" s="171">
        <f t="shared" si="50"/>
        <v>19390</v>
      </c>
      <c r="F201" s="171"/>
      <c r="G201" s="171">
        <f t="shared" si="51"/>
        <v>19390</v>
      </c>
      <c r="H201" s="172">
        <f t="shared" si="52"/>
        <v>2.9549951216316516E-3</v>
      </c>
      <c r="I201" s="337"/>
      <c r="J201" s="168"/>
      <c r="K201" s="168"/>
      <c r="M201" s="364">
        <f t="shared" si="53"/>
        <v>0.57906525309840229</v>
      </c>
      <c r="N201" s="359">
        <f>SUMMARY!J204</f>
        <v>0.96144674193499036</v>
      </c>
    </row>
    <row r="202" spans="1:14" s="167" customFormat="1">
      <c r="A202" s="169" t="s">
        <v>140</v>
      </c>
      <c r="B202" s="170" t="s">
        <v>54</v>
      </c>
      <c r="C202" s="573">
        <f>'[14]Sch C'!D213</f>
        <v>5416</v>
      </c>
      <c r="D202" s="573">
        <f>'[14]Sch C'!F213</f>
        <v>0</v>
      </c>
      <c r="E202" s="171">
        <f t="shared" si="50"/>
        <v>5416</v>
      </c>
      <c r="F202" s="171"/>
      <c r="G202" s="171">
        <f t="shared" si="51"/>
        <v>5416</v>
      </c>
      <c r="H202" s="172">
        <f t="shared" si="52"/>
        <v>8.253869818853546E-4</v>
      </c>
      <c r="I202" s="337"/>
      <c r="J202" s="168"/>
      <c r="K202" s="168"/>
      <c r="M202" s="364">
        <f t="shared" si="53"/>
        <v>0.16174406450649545</v>
      </c>
      <c r="N202" s="359">
        <f>SUMMARY!J205</f>
        <v>0.5247184566232489</v>
      </c>
    </row>
    <row r="203" spans="1:14" s="167" customFormat="1">
      <c r="A203" s="169" t="s">
        <v>141</v>
      </c>
      <c r="B203" s="170" t="s">
        <v>70</v>
      </c>
      <c r="C203" s="573">
        <f>'[14]Sch C'!D214</f>
        <v>0</v>
      </c>
      <c r="D203" s="573">
        <f>'[14]Sch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>
        <f t="shared" si="53"/>
        <v>0</v>
      </c>
      <c r="N203" s="359">
        <f>SUMMARY!J206</f>
        <v>1.4027039130553507E-2</v>
      </c>
    </row>
    <row r="204" spans="1:14" s="167" customFormat="1">
      <c r="A204" s="169" t="s">
        <v>142</v>
      </c>
      <c r="B204" s="202" t="s">
        <v>71</v>
      </c>
      <c r="C204" s="573">
        <f>'[14]Sch C'!D215</f>
        <v>0</v>
      </c>
      <c r="D204" s="573">
        <f>'[14]Sch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</row>
    <row r="205" spans="1:14" s="167" customFormat="1">
      <c r="A205" s="169" t="s">
        <v>143</v>
      </c>
      <c r="B205" s="170" t="s">
        <v>312</v>
      </c>
      <c r="C205" s="573">
        <f>'[14]Sch C'!D216</f>
        <v>8989</v>
      </c>
      <c r="D205" s="573">
        <f>'[14]Sch C'!F216</f>
        <v>0</v>
      </c>
      <c r="E205" s="171">
        <f t="shared" si="50"/>
        <v>8989</v>
      </c>
      <c r="F205" s="171"/>
      <c r="G205" s="171">
        <f t="shared" si="51"/>
        <v>8989</v>
      </c>
      <c r="H205" s="172">
        <f t="shared" si="52"/>
        <v>1.3699046492185105E-3</v>
      </c>
      <c r="I205" s="337"/>
      <c r="J205" s="168"/>
      <c r="K205" s="168"/>
      <c r="M205" s="364">
        <f t="shared" si="53"/>
        <v>0.26844855905629389</v>
      </c>
      <c r="N205" s="359">
        <f>SUMMARY!J208</f>
        <v>0.36483307391933595</v>
      </c>
    </row>
    <row r="206" spans="1:14" s="167" customFormat="1">
      <c r="A206" s="163"/>
      <c r="B206" s="170" t="s">
        <v>144</v>
      </c>
      <c r="C206" s="573">
        <f>SUM(C200:C205)</f>
        <v>144041</v>
      </c>
      <c r="D206" s="573">
        <f>SUM(D200:D205)</f>
        <v>26841</v>
      </c>
      <c r="E206" s="171">
        <f t="shared" ref="E206" si="54">SUM(E200:E205)</f>
        <v>170882</v>
      </c>
      <c r="F206" s="171">
        <f>SUM(F200:F205)</f>
        <v>0</v>
      </c>
      <c r="G206" s="171">
        <f>SUM(G200:G205)</f>
        <v>170882</v>
      </c>
      <c r="H206" s="172">
        <f t="shared" si="52"/>
        <v>2.6042056543303761E-2</v>
      </c>
      <c r="I206" s="337"/>
      <c r="J206" s="168"/>
      <c r="K206" s="168"/>
      <c r="M206" s="364">
        <f>G206/G$228</f>
        <v>5.103240256831417</v>
      </c>
      <c r="N206" s="359">
        <f>SUMMARY!J209</f>
        <v>6.7083892503318125</v>
      </c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14" s="167" customFormat="1">
      <c r="A208" s="227"/>
      <c r="B208" s="228" t="s">
        <v>145</v>
      </c>
      <c r="C208" s="573">
        <f>SUM(C25:C206)/2</f>
        <v>6794788</v>
      </c>
      <c r="D208" s="573">
        <f>SUM(D25:D206)/2</f>
        <v>13678.562008059962</v>
      </c>
      <c r="E208" s="171">
        <f t="shared" ref="E208:F208" si="55">SUM(E25:E206)/2</f>
        <v>6808466.5620080605</v>
      </c>
      <c r="F208" s="171">
        <f t="shared" si="55"/>
        <v>-246696</v>
      </c>
      <c r="G208" s="171">
        <f>SUM(G25:G206)/2</f>
        <v>6561770.5620080605</v>
      </c>
      <c r="H208" s="172">
        <f>IF($G$208=0,0,G208/$G$208)</f>
        <v>1</v>
      </c>
      <c r="I208" s="337"/>
      <c r="J208" s="183">
        <f>SUM(J25:J200)</f>
        <v>163238.58333333334</v>
      </c>
      <c r="K208" s="183">
        <f>SUM(K25:K200)</f>
        <v>172617.58333333334</v>
      </c>
      <c r="M208" s="364">
        <f>G208/G$228</f>
        <v>195.96149207131731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573">
        <f>'[14]Sch C'!D221</f>
        <v>6794788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573">
        <f>C208-C211</f>
        <v>0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619"/>
      <c r="D213" s="232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573">
        <f>C21-C208</f>
        <v>604982</v>
      </c>
      <c r="D215" s="573">
        <f>D21-D208</f>
        <v>-13678.562008059962</v>
      </c>
      <c r="E215" s="171">
        <f t="shared" ref="E215:F215" si="56">E21-E208</f>
        <v>591303.43799193949</v>
      </c>
      <c r="F215" s="171">
        <f t="shared" si="56"/>
        <v>246696</v>
      </c>
      <c r="G215" s="171">
        <f>G21-G208</f>
        <v>837999.43799193949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653">
        <f>'[14]Sch D'!C9</f>
        <v>22146</v>
      </c>
      <c r="D219" s="653"/>
      <c r="E219" s="235">
        <f t="shared" ref="E219:G227" si="57">C219+D219</f>
        <v>22146</v>
      </c>
      <c r="F219" s="234"/>
      <c r="G219" s="235">
        <f t="shared" si="57"/>
        <v>22146</v>
      </c>
      <c r="H219" s="172">
        <f t="shared" ref="H219:H228" si="58">IF($G$228=0,0,G219/$G$228)</f>
        <v>0.66137076302822162</v>
      </c>
      <c r="I219" s="337"/>
      <c r="J219" s="168"/>
      <c r="K219" s="168"/>
    </row>
    <row r="220" spans="1:14">
      <c r="A220" s="163"/>
      <c r="B220" s="170" t="s">
        <v>217</v>
      </c>
      <c r="C220" s="653">
        <f>'[14]Sch D'!D9</f>
        <v>0</v>
      </c>
      <c r="D220" s="653"/>
      <c r="E220" s="171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7"/>
      <c r="J220" s="168"/>
      <c r="K220" s="168"/>
    </row>
    <row r="221" spans="1:14">
      <c r="A221" s="163"/>
      <c r="B221" s="170" t="s">
        <v>72</v>
      </c>
      <c r="C221" s="653">
        <f>'[14]Sch D'!E9</f>
        <v>1718</v>
      </c>
      <c r="D221" s="653"/>
      <c r="E221" s="171">
        <f t="shared" si="59"/>
        <v>1718</v>
      </c>
      <c r="F221" s="234"/>
      <c r="G221" s="235">
        <f t="shared" si="57"/>
        <v>1718</v>
      </c>
      <c r="H221" s="172">
        <f t="shared" si="58"/>
        <v>5.130655517395849E-2</v>
      </c>
      <c r="I221" s="337"/>
      <c r="J221" s="168"/>
      <c r="K221" s="168"/>
    </row>
    <row r="222" spans="1:14">
      <c r="A222" s="163"/>
      <c r="B222" s="202" t="s">
        <v>334</v>
      </c>
      <c r="C222" s="653">
        <f>'[14]Sch D'!F9</f>
        <v>3404</v>
      </c>
      <c r="D222" s="653"/>
      <c r="E222" s="171">
        <f t="shared" si="59"/>
        <v>3404</v>
      </c>
      <c r="F222" s="234"/>
      <c r="G222" s="235">
        <f>E222+F222</f>
        <v>3404</v>
      </c>
      <c r="H222" s="172">
        <f t="shared" si="58"/>
        <v>0.10165745856353592</v>
      </c>
      <c r="I222" s="337"/>
      <c r="J222" s="168"/>
      <c r="K222" s="168"/>
    </row>
    <row r="223" spans="1:14">
      <c r="A223" s="163"/>
      <c r="B223" s="170" t="s">
        <v>73</v>
      </c>
      <c r="C223" s="653">
        <f>'[14]Sch D'!G9</f>
        <v>0</v>
      </c>
      <c r="D223" s="653"/>
      <c r="E223" s="171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7"/>
      <c r="J223" s="168"/>
      <c r="K223" s="168"/>
    </row>
    <row r="224" spans="1:14">
      <c r="A224" s="163"/>
      <c r="B224" s="170" t="s">
        <v>74</v>
      </c>
      <c r="C224" s="653">
        <f>'[14]Sch D'!H9</f>
        <v>2374</v>
      </c>
      <c r="D224" s="653"/>
      <c r="E224" s="171">
        <f t="shared" si="59"/>
        <v>2374</v>
      </c>
      <c r="F224" s="234"/>
      <c r="G224" s="235">
        <f t="shared" si="57"/>
        <v>2374</v>
      </c>
      <c r="H224" s="172">
        <f t="shared" si="58"/>
        <v>7.0897416753770343E-2</v>
      </c>
      <c r="I224" s="337"/>
      <c r="J224" s="168"/>
      <c r="K224" s="168"/>
    </row>
    <row r="225" spans="1:11">
      <c r="A225" s="163"/>
      <c r="B225" s="170" t="s">
        <v>236</v>
      </c>
      <c r="C225" s="653">
        <f>'[14]Sch D'!I9</f>
        <v>0</v>
      </c>
      <c r="D225" s="653"/>
      <c r="E225" s="171">
        <f t="shared" si="59"/>
        <v>0</v>
      </c>
      <c r="F225" s="234"/>
      <c r="G225" s="235">
        <f t="shared" si="57"/>
        <v>0</v>
      </c>
      <c r="H225" s="172">
        <f t="shared" si="58"/>
        <v>0</v>
      </c>
      <c r="I225" s="337"/>
      <c r="J225" s="168"/>
      <c r="K225" s="168"/>
    </row>
    <row r="226" spans="1:11">
      <c r="A226" s="163"/>
      <c r="B226" s="170" t="s">
        <v>235</v>
      </c>
      <c r="C226" s="653">
        <f>'[14]Sch D'!J9</f>
        <v>3843</v>
      </c>
      <c r="D226" s="653"/>
      <c r="E226" s="171">
        <f t="shared" si="59"/>
        <v>3843</v>
      </c>
      <c r="F226" s="234"/>
      <c r="G226" s="235">
        <f>E226+F226</f>
        <v>3843</v>
      </c>
      <c r="H226" s="172">
        <f t="shared" si="58"/>
        <v>0.11476780648051366</v>
      </c>
      <c r="I226" s="337"/>
      <c r="J226" s="168"/>
      <c r="K226" s="168"/>
    </row>
    <row r="227" spans="1:11">
      <c r="A227" s="163"/>
      <c r="B227" s="170" t="s">
        <v>179</v>
      </c>
      <c r="C227" s="653">
        <f>'[14]Sch D'!K9</f>
        <v>0</v>
      </c>
      <c r="D227" s="653"/>
      <c r="E227" s="171">
        <f t="shared" si="59"/>
        <v>0</v>
      </c>
      <c r="F227" s="234"/>
      <c r="G227" s="235">
        <f t="shared" si="57"/>
        <v>0</v>
      </c>
      <c r="H227" s="172">
        <f t="shared" si="58"/>
        <v>0</v>
      </c>
      <c r="I227" s="337"/>
      <c r="J227" s="168"/>
      <c r="K227" s="168"/>
    </row>
    <row r="228" spans="1:11" ht="13.5" thickBot="1">
      <c r="A228" s="163"/>
      <c r="B228" s="236" t="s">
        <v>75</v>
      </c>
      <c r="C228" s="653">
        <f>SUM(C219:C227)</f>
        <v>33485</v>
      </c>
      <c r="D228" s="653">
        <f>SUM(D219:D227)</f>
        <v>0</v>
      </c>
      <c r="E228" s="237">
        <f>SUM(E219:E227)</f>
        <v>33485</v>
      </c>
      <c r="F228" s="237">
        <f>SUM(F219:F227)</f>
        <v>0</v>
      </c>
      <c r="G228" s="237">
        <f>SUM(G219:G227)</f>
        <v>33485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620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619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654">
        <f>'[14]Sch D'!N22</f>
        <v>120</v>
      </c>
      <c r="D231" s="574"/>
      <c r="E231" s="235">
        <f>C231+D231</f>
        <v>120</v>
      </c>
      <c r="F231" s="235"/>
      <c r="G231" s="235">
        <f>E231+F231</f>
        <v>120</v>
      </c>
      <c r="H231" s="167"/>
      <c r="J231" s="168"/>
      <c r="K231" s="168"/>
    </row>
    <row r="232" spans="1:11">
      <c r="A232" s="163"/>
      <c r="B232" s="202" t="s">
        <v>290</v>
      </c>
      <c r="C232" s="654">
        <f>'[14]Sch D'!N24</f>
        <v>120</v>
      </c>
      <c r="D232" s="574"/>
      <c r="E232" s="235">
        <f>C232+D232</f>
        <v>120</v>
      </c>
      <c r="F232" s="235"/>
      <c r="G232" s="235">
        <f>E232+F232</f>
        <v>120</v>
      </c>
      <c r="H232" s="167"/>
      <c r="J232" s="168"/>
      <c r="K232" s="168"/>
    </row>
    <row r="233" spans="1:11">
      <c r="A233" s="163"/>
      <c r="B233" s="202" t="s">
        <v>76</v>
      </c>
      <c r="C233" s="654">
        <f>$C$4-$C$3+1</f>
        <v>365</v>
      </c>
      <c r="D233" s="489"/>
      <c r="E233" s="235">
        <f>C233+D233</f>
        <v>365</v>
      </c>
      <c r="F233" s="240"/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621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654">
        <f>'[14]Sch D'!N28</f>
        <v>43800</v>
      </c>
      <c r="D235" s="489"/>
      <c r="E235" s="234">
        <f>E231*E233</f>
        <v>43800</v>
      </c>
      <c r="F235" s="240"/>
      <c r="G235" s="234">
        <f>G231*G233</f>
        <v>43800</v>
      </c>
      <c r="H235" s="167"/>
      <c r="J235" s="168"/>
      <c r="K235" s="168"/>
    </row>
    <row r="236" spans="1:11" ht="26">
      <c r="A236" s="163"/>
      <c r="B236" s="244" t="s">
        <v>336</v>
      </c>
      <c r="C236" s="655">
        <f>'[14]Sch D'!N30</f>
        <v>0.76449771689497714</v>
      </c>
      <c r="D236" s="240"/>
      <c r="E236" s="245">
        <f>E228/E235</f>
        <v>0.76449771689497714</v>
      </c>
      <c r="F236" s="246"/>
      <c r="G236" s="245">
        <f>G228/G235</f>
        <v>0.76449771689497714</v>
      </c>
      <c r="H236" s="167"/>
      <c r="J236" s="168"/>
      <c r="K236" s="168"/>
    </row>
    <row r="237" spans="1:11" ht="26">
      <c r="A237" s="163"/>
      <c r="B237" s="244" t="s">
        <v>337</v>
      </c>
      <c r="C237" s="655">
        <f>'[14]Sch D'!N32</f>
        <v>0.50561643835616443</v>
      </c>
      <c r="D237" s="240"/>
      <c r="E237" s="245">
        <f>(E219+E220)/E235</f>
        <v>0.50561643835616443</v>
      </c>
      <c r="F237" s="246"/>
      <c r="G237" s="245">
        <f>(G219+G220)/G235</f>
        <v>0.50561643835616443</v>
      </c>
      <c r="H237" s="167"/>
      <c r="J237" s="168"/>
      <c r="K237" s="168"/>
    </row>
    <row r="238" spans="1:11" ht="39">
      <c r="A238" s="163"/>
      <c r="B238" s="244" t="s">
        <v>338</v>
      </c>
      <c r="C238" s="655">
        <f>'[14]Sch D'!N34</f>
        <v>0.66137076302822173</v>
      </c>
      <c r="D238" s="240"/>
      <c r="E238" s="245">
        <f>(E237/E236)</f>
        <v>0.66137076302822173</v>
      </c>
      <c r="F238" s="246"/>
      <c r="G238" s="245">
        <f>(G237/G236)</f>
        <v>0.66137076302822173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73">
        <f>'[14]Sch B'!C85</f>
        <v>196.55133928571428</v>
      </c>
    </row>
    <row r="242" spans="2:7">
      <c r="F242" s="142" t="s">
        <v>341</v>
      </c>
      <c r="G242" s="573">
        <f>'[14]Sch B'!E85</f>
        <v>201.15942028985506</v>
      </c>
    </row>
    <row r="243" spans="2:7">
      <c r="F243" s="142" t="s">
        <v>342</v>
      </c>
      <c r="G243" s="573">
        <f>'[14]Sch B'!G85</f>
        <v>187.04491413474241</v>
      </c>
    </row>
    <row r="244" spans="2:7">
      <c r="F244" s="142" t="s">
        <v>343</v>
      </c>
      <c r="G244" s="573">
        <f>'[14]Sch B'!I85</f>
        <v>193.17201166180757</v>
      </c>
    </row>
    <row r="245" spans="2:7">
      <c r="F245" s="142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E28CAB"/>
  </sheetPr>
  <dimension ref="A1:N245"/>
  <sheetViews>
    <sheetView showGridLines="0" zoomScale="89" zoomScaleNormal="89" workbookViewId="0">
      <pane xSplit="2" topLeftCell="C1" activePane="topRight" state="frozen"/>
      <selection activeCell="N1" sqref="N1"/>
      <selection pane="topRight" activeCell="N1" sqref="N1"/>
    </sheetView>
  </sheetViews>
  <sheetFormatPr defaultColWidth="8.6640625" defaultRowHeight="13"/>
  <cols>
    <col min="1" max="1" width="8.58203125" style="142" customWidth="1"/>
    <col min="2" max="2" width="33.6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9" style="140" bestFit="1" customWidth="1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478"/>
      <c r="E1" s="478"/>
      <c r="F1" s="478"/>
      <c r="G1" s="478"/>
      <c r="H1" s="478"/>
      <c r="I1" s="479"/>
    </row>
    <row r="2" spans="1:14" ht="23">
      <c r="B2" s="143" t="s">
        <v>189</v>
      </c>
      <c r="C2" s="247" t="s">
        <v>444</v>
      </c>
      <c r="D2" s="247"/>
      <c r="E2" s="144"/>
    </row>
    <row r="3" spans="1:14" ht="15.5">
      <c r="A3" s="145"/>
      <c r="B3" s="140" t="s">
        <v>79</v>
      </c>
      <c r="C3" s="495">
        <v>41821</v>
      </c>
      <c r="D3" s="144"/>
      <c r="E3" s="401"/>
      <c r="F3" s="401"/>
    </row>
    <row r="4" spans="1:14" ht="15.5">
      <c r="A4" s="145"/>
      <c r="B4" s="148" t="s">
        <v>80</v>
      </c>
      <c r="C4" s="495">
        <v>42185</v>
      </c>
      <c r="D4" s="144"/>
      <c r="E4" s="401"/>
      <c r="F4" s="401"/>
      <c r="G4" s="150"/>
    </row>
    <row r="5" spans="1:14">
      <c r="A5" s="145"/>
      <c r="B5" s="148"/>
      <c r="C5" s="151"/>
      <c r="D5" s="144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144"/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573">
        <f>'[15]Sch B'!E10</f>
        <v>3842473</v>
      </c>
      <c r="D11" s="573">
        <f>'[15]Sch B'!G10</f>
        <v>-66570</v>
      </c>
      <c r="E11" s="171">
        <f>C11+D11</f>
        <v>3775903</v>
      </c>
      <c r="F11" s="171"/>
      <c r="G11" s="171">
        <f t="shared" ref="G11:G20" si="0">E11+F11</f>
        <v>3775903</v>
      </c>
      <c r="H11" s="172">
        <f t="shared" ref="H11:H21" si="1">IF($G$21=0,0,G11/$G$21)</f>
        <v>0.55432594846941985</v>
      </c>
      <c r="I11" s="337"/>
      <c r="J11" s="368" t="s">
        <v>344</v>
      </c>
      <c r="K11" s="369">
        <f>G21</f>
        <v>6811701.6900000004</v>
      </c>
      <c r="M11" s="359">
        <f>IFERROR(G11/G219,0)</f>
        <v>758.9754773869347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573">
        <f>'[15]Sch B'!E15</f>
        <v>0</v>
      </c>
      <c r="D12" s="573">
        <f>'[15]Sch B'!G15</f>
        <v>66570</v>
      </c>
      <c r="E12" s="171">
        <f t="shared" ref="E12:E20" si="2">C12+D12</f>
        <v>66570</v>
      </c>
      <c r="F12" s="171"/>
      <c r="G12" s="171">
        <f>E12+F12</f>
        <v>66570</v>
      </c>
      <c r="H12" s="172">
        <f t="shared" si="1"/>
        <v>9.7728883368055994E-3</v>
      </c>
      <c r="I12" s="337"/>
      <c r="J12" s="370" t="s">
        <v>345</v>
      </c>
      <c r="K12" s="371">
        <f>G208</f>
        <v>7107560.790000001</v>
      </c>
      <c r="M12" s="359">
        <f t="shared" ref="M12:M19" si="3">IFERROR(G12/G220,0)</f>
        <v>210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573">
        <f>'[15]Sch B'!E21</f>
        <v>1272769</v>
      </c>
      <c r="D13" s="573">
        <f>'[15]Sch B'!G21</f>
        <v>-449700</v>
      </c>
      <c r="E13" s="171">
        <f t="shared" si="2"/>
        <v>823069</v>
      </c>
      <c r="F13" s="171"/>
      <c r="G13" s="171">
        <f t="shared" si="0"/>
        <v>823069</v>
      </c>
      <c r="H13" s="172">
        <f t="shared" si="1"/>
        <v>0.12083162731690324</v>
      </c>
      <c r="I13" s="337"/>
      <c r="J13" s="370" t="s">
        <v>346</v>
      </c>
      <c r="K13" s="371">
        <f>G228</f>
        <v>11809</v>
      </c>
      <c r="M13" s="359">
        <f t="shared" si="3"/>
        <v>367.9342869915065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573">
        <f>'[15]Sch B'!E27</f>
        <v>0</v>
      </c>
      <c r="D14" s="573">
        <f>'[15]Sch B'!G27</f>
        <v>449700</v>
      </c>
      <c r="E14" s="171">
        <f t="shared" si="2"/>
        <v>449700</v>
      </c>
      <c r="F14" s="175"/>
      <c r="G14" s="175">
        <f>E14+F14</f>
        <v>449700</v>
      </c>
      <c r="H14" s="176">
        <f t="shared" si="1"/>
        <v>6.6018745456834588E-2</v>
      </c>
      <c r="I14" s="338"/>
      <c r="J14" s="370" t="s">
        <v>347</v>
      </c>
      <c r="K14" s="371">
        <f>G231</f>
        <v>36</v>
      </c>
      <c r="M14" s="359">
        <f t="shared" si="3"/>
        <v>300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573">
        <f>'[15]Sch B'!E32</f>
        <v>0</v>
      </c>
      <c r="D15" s="573">
        <f>'[15]Sch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7"/>
      <c r="J15" s="370" t="s">
        <v>348</v>
      </c>
      <c r="K15" s="371">
        <f>G235</f>
        <v>13140</v>
      </c>
      <c r="M15" s="359">
        <f t="shared" si="3"/>
        <v>0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573">
        <f>'[15]Sch B'!E37</f>
        <v>285382</v>
      </c>
      <c r="D16" s="573">
        <f>'[15]Sch B'!G37</f>
        <v>0</v>
      </c>
      <c r="E16" s="171">
        <f t="shared" si="2"/>
        <v>285382</v>
      </c>
      <c r="F16" s="171"/>
      <c r="G16" s="171">
        <f t="shared" si="0"/>
        <v>285382</v>
      </c>
      <c r="H16" s="172">
        <f t="shared" si="1"/>
        <v>4.1895845265649025E-2</v>
      </c>
      <c r="I16" s="337"/>
      <c r="J16" s="372"/>
      <c r="K16" s="371"/>
      <c r="M16" s="359">
        <f t="shared" si="3"/>
        <v>393.63034482758621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573">
        <f>'[15]Sch B'!E42</f>
        <v>67521</v>
      </c>
      <c r="D17" s="573">
        <f>'[15]Sch B'!G42</f>
        <v>-19355</v>
      </c>
      <c r="E17" s="171">
        <f t="shared" si="2"/>
        <v>48166</v>
      </c>
      <c r="F17" s="171"/>
      <c r="G17" s="171">
        <f>E17+F17</f>
        <v>48166</v>
      </c>
      <c r="H17" s="172">
        <f t="shared" si="1"/>
        <v>7.0710671418143089E-3</v>
      </c>
      <c r="I17" s="337"/>
      <c r="J17" s="370" t="s">
        <v>156</v>
      </c>
      <c r="K17" s="371">
        <f>J208</f>
        <v>149742</v>
      </c>
      <c r="M17" s="359">
        <f t="shared" si="3"/>
        <v>486.52525252525254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573">
        <f>'[15]Sch B'!E47</f>
        <v>0</v>
      </c>
      <c r="D18" s="573">
        <f>'[15]Sch B'!G47</f>
        <v>19355</v>
      </c>
      <c r="E18" s="171">
        <f t="shared" si="2"/>
        <v>19355</v>
      </c>
      <c r="F18" s="171"/>
      <c r="G18" s="171">
        <f>E18+F18</f>
        <v>19355</v>
      </c>
      <c r="H18" s="172">
        <f t="shared" si="1"/>
        <v>2.8414338855170859E-3</v>
      </c>
      <c r="I18" s="337"/>
      <c r="J18" s="373" t="s">
        <v>252</v>
      </c>
      <c r="K18" s="374">
        <f>K208</f>
        <v>149742</v>
      </c>
      <c r="M18" s="359">
        <f t="shared" si="3"/>
        <v>245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573">
        <f>'[15]Sch B'!E52</f>
        <v>1339837</v>
      </c>
      <c r="D19" s="573">
        <f>'[15]Sch B'!G52</f>
        <v>0</v>
      </c>
      <c r="E19" s="171">
        <f t="shared" si="2"/>
        <v>1339837</v>
      </c>
      <c r="F19" s="171"/>
      <c r="G19" s="171">
        <f t="shared" si="0"/>
        <v>1339837</v>
      </c>
      <c r="H19" s="172">
        <f t="shared" si="1"/>
        <v>0.19669637059517206</v>
      </c>
      <c r="I19" s="337"/>
      <c r="J19" s="168"/>
      <c r="K19" s="168"/>
      <c r="M19" s="359">
        <f t="shared" si="3"/>
        <v>713.43823216187434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573">
        <f>'[15]Sch B'!E67</f>
        <v>3719.69</v>
      </c>
      <c r="D20" s="573">
        <f>'[15]Sch B'!G67</f>
        <v>0</v>
      </c>
      <c r="E20" s="171">
        <f t="shared" si="2"/>
        <v>3719.69</v>
      </c>
      <c r="F20" s="171"/>
      <c r="G20" s="171">
        <f t="shared" si="0"/>
        <v>3719.69</v>
      </c>
      <c r="H20" s="172">
        <f t="shared" si="1"/>
        <v>5.4607353188421842E-4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573">
        <f>SUM(C11:C20)</f>
        <v>6811701.6900000004</v>
      </c>
      <c r="D21" s="573">
        <f>SUM(D11:D20)</f>
        <v>0</v>
      </c>
      <c r="E21" s="171">
        <f>SUM(E11:E20)</f>
        <v>6811701.6900000004</v>
      </c>
      <c r="F21" s="171">
        <f>SUM(F11:F20)</f>
        <v>0</v>
      </c>
      <c r="G21" s="171">
        <f>SUM(G11:G20)</f>
        <v>6811701.6900000004</v>
      </c>
      <c r="H21" s="172">
        <f t="shared" si="1"/>
        <v>1</v>
      </c>
      <c r="I21" s="337"/>
      <c r="J21" s="168"/>
      <c r="K21" s="168"/>
      <c r="M21" s="359">
        <f>IFERROR(G21/G228,0)</f>
        <v>576.82290541112718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4">
      <c r="A24" s="181" t="s">
        <v>161</v>
      </c>
      <c r="B24" s="148" t="s">
        <v>12</v>
      </c>
      <c r="F24" s="402"/>
      <c r="M24" s="363"/>
      <c r="N24" s="363"/>
    </row>
    <row r="25" spans="1:14" s="167" customFormat="1">
      <c r="A25" s="169" t="s">
        <v>83</v>
      </c>
      <c r="B25" s="170" t="s">
        <v>14</v>
      </c>
      <c r="C25" s="573">
        <f>'[15]Sch C'!D10</f>
        <v>0</v>
      </c>
      <c r="D25" s="573">
        <f>'[15]Sch C'!F10</f>
        <v>17769</v>
      </c>
      <c r="E25" s="171">
        <f t="shared" ref="E25:E60" si="4">C25+D25</f>
        <v>17769</v>
      </c>
      <c r="F25" s="171">
        <v>9224</v>
      </c>
      <c r="G25" s="182">
        <f>E25+F25</f>
        <v>26993</v>
      </c>
      <c r="H25" s="172">
        <f>IF($G$208=0,0,G25/$G$208)</f>
        <v>3.7977867228343462E-3</v>
      </c>
      <c r="I25" s="337"/>
      <c r="J25" s="183">
        <v>2053</v>
      </c>
      <c r="K25" s="183">
        <v>2053</v>
      </c>
      <c r="M25" s="359">
        <f>G25/G$228</f>
        <v>2.2857989668896606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573">
        <f>'[15]Sch C'!D11</f>
        <v>0</v>
      </c>
      <c r="D26" s="573">
        <f>'[15]Sch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573">
        <f>'[15]Sch C'!D12</f>
        <v>4171902.7</v>
      </c>
      <c r="D27" s="573">
        <f>'[15]Sch C'!F12</f>
        <v>-3812791</v>
      </c>
      <c r="E27" s="171">
        <f t="shared" si="4"/>
        <v>359111.70000000019</v>
      </c>
      <c r="F27" s="171">
        <f>-29710-91235</f>
        <v>-120945</v>
      </c>
      <c r="G27" s="171">
        <f t="shared" si="5"/>
        <v>238166.70000000019</v>
      </c>
      <c r="H27" s="172">
        <f t="shared" si="6"/>
        <v>3.3508921982783373E-2</v>
      </c>
      <c r="I27" s="337"/>
      <c r="J27" s="185">
        <v>8512</v>
      </c>
      <c r="K27" s="185">
        <v>8512</v>
      </c>
      <c r="M27" s="359">
        <f t="shared" si="7"/>
        <v>20.16823609111696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573">
        <f>'[15]Sch C'!D13</f>
        <v>21769.23</v>
      </c>
      <c r="D28" s="573">
        <f>'[15]Sch C'!F13</f>
        <v>94647</v>
      </c>
      <c r="E28" s="171">
        <f t="shared" si="4"/>
        <v>116416.23</v>
      </c>
      <c r="F28" s="171">
        <f>-92365 +29710</f>
        <v>-62655</v>
      </c>
      <c r="G28" s="171">
        <f t="shared" si="5"/>
        <v>53761.229999999996</v>
      </c>
      <c r="H28" s="172">
        <f t="shared" si="6"/>
        <v>7.5639493756619689E-3</v>
      </c>
      <c r="I28" s="337"/>
      <c r="J28" s="168"/>
      <c r="K28" s="168"/>
      <c r="M28" s="359">
        <f t="shared" si="7"/>
        <v>4.5525641459903463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573">
        <f>'[15]Sch C'!D14</f>
        <v>92400</v>
      </c>
      <c r="D29" s="573">
        <f>'[15]Sch C'!F14</f>
        <v>0</v>
      </c>
      <c r="E29" s="171">
        <f t="shared" si="4"/>
        <v>92400</v>
      </c>
      <c r="F29" s="171">
        <v>-92400</v>
      </c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573">
        <f>'[15]Sch C'!D15</f>
        <v>0</v>
      </c>
      <c r="D30" s="573">
        <f>'[15]Sch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7"/>
      <c r="J30" s="168"/>
      <c r="K30" s="168"/>
      <c r="M30" s="359">
        <f t="shared" si="7"/>
        <v>0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573">
        <f>'[15]Sch C'!D16</f>
        <v>0</v>
      </c>
      <c r="D31" s="573">
        <f>'[15]Sch C'!F16</f>
        <v>0</v>
      </c>
      <c r="E31" s="171">
        <f t="shared" si="4"/>
        <v>0</v>
      </c>
      <c r="F31" s="171"/>
      <c r="G31" s="171">
        <f t="shared" si="5"/>
        <v>0</v>
      </c>
      <c r="H31" s="172">
        <f t="shared" si="6"/>
        <v>0</v>
      </c>
      <c r="I31" s="337"/>
      <c r="J31" s="168"/>
      <c r="K31" s="168"/>
      <c r="M31" s="359">
        <f t="shared" si="7"/>
        <v>0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573">
        <f>'[15]Sch C'!D17</f>
        <v>12156</v>
      </c>
      <c r="D32" s="573">
        <f>'[15]Sch C'!F17</f>
        <v>-12156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7"/>
      <c r="J32" s="168"/>
      <c r="K32" s="168"/>
      <c r="M32" s="359">
        <f t="shared" si="7"/>
        <v>0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573">
        <f>'[15]Sch C'!D18</f>
        <v>0</v>
      </c>
      <c r="D33" s="573">
        <f>'[15]Sch C'!F18</f>
        <v>0</v>
      </c>
      <c r="E33" s="171">
        <f t="shared" si="4"/>
        <v>0</v>
      </c>
      <c r="F33" s="171"/>
      <c r="G33" s="171">
        <f t="shared" si="5"/>
        <v>0</v>
      </c>
      <c r="H33" s="172">
        <f t="shared" si="6"/>
        <v>0</v>
      </c>
      <c r="I33" s="337"/>
      <c r="J33" s="168"/>
      <c r="K33" s="168"/>
      <c r="M33" s="359">
        <f t="shared" si="7"/>
        <v>0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573">
        <f>'[15]Sch C'!D19</f>
        <v>47516.34</v>
      </c>
      <c r="D34" s="573">
        <f>'[15]Sch C'!F19</f>
        <v>0</v>
      </c>
      <c r="E34" s="171">
        <f t="shared" si="4"/>
        <v>47516.34</v>
      </c>
      <c r="F34" s="171">
        <v>-35089</v>
      </c>
      <c r="G34" s="171">
        <f t="shared" si="5"/>
        <v>12427.339999999997</v>
      </c>
      <c r="H34" s="172">
        <f t="shared" si="6"/>
        <v>1.748467634281042E-3</v>
      </c>
      <c r="I34" s="337"/>
      <c r="J34" s="168"/>
      <c r="K34" s="168"/>
      <c r="M34" s="359">
        <f t="shared" si="7"/>
        <v>1.0523617579812006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573">
        <f>'[15]Sch C'!D20</f>
        <v>22478.82</v>
      </c>
      <c r="D35" s="573">
        <f>'[15]Sch C'!F20</f>
        <v>0</v>
      </c>
      <c r="E35" s="171">
        <f t="shared" si="4"/>
        <v>22478.82</v>
      </c>
      <c r="F35" s="171"/>
      <c r="G35" s="171">
        <f t="shared" si="5"/>
        <v>22478.82</v>
      </c>
      <c r="H35" s="172">
        <f t="shared" si="6"/>
        <v>3.1626630660164913E-3</v>
      </c>
      <c r="I35" s="337"/>
      <c r="J35" s="168"/>
      <c r="K35" s="168"/>
      <c r="M35" s="359">
        <f t="shared" si="7"/>
        <v>1.9035328986366331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573">
        <f>'[15]Sch C'!D21</f>
        <v>922.5</v>
      </c>
      <c r="D36" s="573">
        <f>'[15]Sch C'!F21</f>
        <v>0</v>
      </c>
      <c r="E36" s="171">
        <f t="shared" si="4"/>
        <v>922.5</v>
      </c>
      <c r="F36" s="171"/>
      <c r="G36" s="171">
        <f t="shared" si="5"/>
        <v>922.5</v>
      </c>
      <c r="H36" s="172">
        <f t="shared" si="6"/>
        <v>1.2979136264271049E-4</v>
      </c>
      <c r="I36" s="337"/>
      <c r="J36" s="168"/>
      <c r="K36" s="168"/>
      <c r="M36" s="359">
        <f t="shared" si="7"/>
        <v>7.8118384283173845E-2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573">
        <f>'[15]Sch C'!D22</f>
        <v>0</v>
      </c>
      <c r="D37" s="573">
        <f>'[15]Sch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573">
        <f>'[15]Sch C'!D23</f>
        <v>17011.46</v>
      </c>
      <c r="D38" s="573">
        <f>'[15]Sch C'!F23</f>
        <v>0</v>
      </c>
      <c r="E38" s="171">
        <f t="shared" si="4"/>
        <v>17011.46</v>
      </c>
      <c r="F38" s="171"/>
      <c r="G38" s="171">
        <f t="shared" si="5"/>
        <v>17011.46</v>
      </c>
      <c r="H38" s="172">
        <f t="shared" si="6"/>
        <v>2.3934315164682533E-3</v>
      </c>
      <c r="I38" s="337"/>
      <c r="J38" s="168"/>
      <c r="K38" s="168"/>
      <c r="M38" s="359">
        <f t="shared" si="7"/>
        <v>1.4405504276399355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573">
        <f>'[15]Sch C'!D24</f>
        <v>13788.41</v>
      </c>
      <c r="D39" s="573">
        <f>'[15]Sch C'!F24</f>
        <v>0</v>
      </c>
      <c r="E39" s="171">
        <f t="shared" si="4"/>
        <v>13788.41</v>
      </c>
      <c r="F39" s="171"/>
      <c r="G39" s="171">
        <f t="shared" si="5"/>
        <v>13788.41</v>
      </c>
      <c r="H39" s="172">
        <f t="shared" si="6"/>
        <v>1.9399637101098924E-3</v>
      </c>
      <c r="I39" s="337"/>
      <c r="J39" s="168"/>
      <c r="K39" s="168"/>
      <c r="M39" s="359">
        <f t="shared" si="7"/>
        <v>1.1676187653484631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573">
        <f>'[15]Sch C'!D25</f>
        <v>14736</v>
      </c>
      <c r="D40" s="573">
        <f>'[15]Sch C'!F25</f>
        <v>0</v>
      </c>
      <c r="E40" s="171">
        <f t="shared" si="4"/>
        <v>14736</v>
      </c>
      <c r="F40" s="171"/>
      <c r="G40" s="171">
        <f t="shared" si="5"/>
        <v>14736</v>
      </c>
      <c r="H40" s="172">
        <f t="shared" si="6"/>
        <v>2.0732851164259967E-3</v>
      </c>
      <c r="I40" s="337"/>
      <c r="J40" s="168"/>
      <c r="K40" s="168"/>
      <c r="M40" s="359">
        <f t="shared" si="7"/>
        <v>1.2478618003217885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573">
        <f>'[15]Sch C'!D26</f>
        <v>124293.4</v>
      </c>
      <c r="D41" s="573">
        <f>'[15]Sch C'!F26</f>
        <v>0</v>
      </c>
      <c r="E41" s="171">
        <f t="shared" si="4"/>
        <v>124293.4</v>
      </c>
      <c r="F41" s="171"/>
      <c r="G41" s="171">
        <f t="shared" si="5"/>
        <v>124293.4</v>
      </c>
      <c r="H41" s="172">
        <f t="shared" si="6"/>
        <v>1.7487490247691567E-2</v>
      </c>
      <c r="I41" s="337"/>
      <c r="J41" s="168"/>
      <c r="K41" s="168"/>
      <c r="M41" s="359">
        <f t="shared" si="7"/>
        <v>10.525311203319502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573">
        <f>'[15]Sch C'!D27</f>
        <v>132873.43</v>
      </c>
      <c r="D42" s="573">
        <f>'[15]Sch C'!F27</f>
        <v>0</v>
      </c>
      <c r="E42" s="171">
        <f t="shared" si="4"/>
        <v>132873.43</v>
      </c>
      <c r="F42" s="171"/>
      <c r="G42" s="171">
        <f t="shared" si="5"/>
        <v>132873.43</v>
      </c>
      <c r="H42" s="172">
        <f t="shared" si="6"/>
        <v>1.8694659662559138E-2</v>
      </c>
      <c r="I42" s="337"/>
      <c r="J42" s="168"/>
      <c r="K42" s="168"/>
      <c r="M42" s="359">
        <f t="shared" si="7"/>
        <v>11.25187822846981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573">
        <f>'[15]Sch C'!D28</f>
        <v>0</v>
      </c>
      <c r="D43" s="573">
        <f>'[15]Sch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573">
        <f>'[15]Sch C'!D29</f>
        <v>120075</v>
      </c>
      <c r="D44" s="573">
        <f>'[15]Sch C'!F29</f>
        <v>-120075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573">
        <f>'[15]Sch C'!D30</f>
        <v>559</v>
      </c>
      <c r="D45" s="573">
        <f>'[15]Sch C'!F30</f>
        <v>-559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573">
        <f>'[15]Sch C'!D31</f>
        <v>81005</v>
      </c>
      <c r="D46" s="573">
        <f>'[15]Sch C'!F31</f>
        <v>0</v>
      </c>
      <c r="E46" s="171">
        <f t="shared" si="4"/>
        <v>81005</v>
      </c>
      <c r="F46" s="171"/>
      <c r="G46" s="171">
        <f t="shared" si="5"/>
        <v>81005</v>
      </c>
      <c r="H46" s="172">
        <f t="shared" si="6"/>
        <v>1.1397018244848523E-2</v>
      </c>
      <c r="I46" s="337"/>
      <c r="J46" s="168"/>
      <c r="K46" s="168"/>
      <c r="M46" s="359">
        <f t="shared" si="7"/>
        <v>6.8595986112287237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573">
        <f>'[15]Sch C'!D32</f>
        <v>27572.26</v>
      </c>
      <c r="D47" s="573">
        <f>'[15]Sch C'!F32</f>
        <v>0</v>
      </c>
      <c r="E47" s="171">
        <f t="shared" si="4"/>
        <v>27572.26</v>
      </c>
      <c r="F47" s="171"/>
      <c r="G47" s="171">
        <f t="shared" si="5"/>
        <v>27572.26</v>
      </c>
      <c r="H47" s="172">
        <f t="shared" si="6"/>
        <v>3.8792858499068841E-3</v>
      </c>
      <c r="I47" s="337"/>
      <c r="J47" s="168"/>
      <c r="K47" s="168"/>
      <c r="M47" s="359">
        <f t="shared" si="7"/>
        <v>2.3348513845372172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573">
        <f>'[15]Sch C'!D33</f>
        <v>0</v>
      </c>
      <c r="D48" s="573">
        <f>'[15]Sch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573">
        <f>'[15]Sch C'!D34</f>
        <v>0</v>
      </c>
      <c r="D49" s="573">
        <f>'[15]Sch C'!F34</f>
        <v>0</v>
      </c>
      <c r="E49" s="171">
        <f t="shared" si="4"/>
        <v>0</v>
      </c>
      <c r="F49" s="171"/>
      <c r="G49" s="171">
        <f t="shared" si="5"/>
        <v>0</v>
      </c>
      <c r="H49" s="172">
        <f t="shared" si="6"/>
        <v>0</v>
      </c>
      <c r="I49" s="337"/>
      <c r="J49" s="168"/>
      <c r="K49" s="168"/>
      <c r="M49" s="359">
        <f t="shared" si="7"/>
        <v>0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573">
        <f>'[15]Sch C'!D35</f>
        <v>0</v>
      </c>
      <c r="D50" s="573">
        <f>'[15]Sch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573">
        <f>'[15]Sch C'!D36</f>
        <v>47148.74</v>
      </c>
      <c r="D51" s="573">
        <f>'[15]Sch C'!F36</f>
        <v>0</v>
      </c>
      <c r="E51" s="171">
        <f t="shared" si="4"/>
        <v>47148.74</v>
      </c>
      <c r="F51" s="171"/>
      <c r="G51" s="171">
        <f t="shared" si="5"/>
        <v>47148.74</v>
      </c>
      <c r="H51" s="172">
        <f t="shared" si="6"/>
        <v>6.6336034812865792E-3</v>
      </c>
      <c r="I51" s="337"/>
      <c r="J51" s="183">
        <v>0</v>
      </c>
      <c r="K51" s="183">
        <v>0</v>
      </c>
      <c r="M51" s="359">
        <f t="shared" si="7"/>
        <v>3.9926107206368022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573">
        <f>'[15]Sch C'!D37</f>
        <v>0</v>
      </c>
      <c r="D52" s="573">
        <f>'[15]Sch C'!F37</f>
        <v>0</v>
      </c>
      <c r="E52" s="171">
        <f t="shared" si="4"/>
        <v>0</v>
      </c>
      <c r="F52" s="171"/>
      <c r="G52" s="171">
        <f t="shared" si="5"/>
        <v>0</v>
      </c>
      <c r="H52" s="172">
        <f t="shared" si="6"/>
        <v>0</v>
      </c>
      <c r="I52" s="337"/>
      <c r="J52" s="168"/>
      <c r="K52" s="168"/>
      <c r="M52" s="359">
        <f t="shared" si="7"/>
        <v>0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573">
        <f>'[15]Sch C'!D38</f>
        <v>0</v>
      </c>
      <c r="D53" s="573">
        <f>'[15]Sch C'!F38</f>
        <v>0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7"/>
      <c r="J53" s="168"/>
      <c r="K53" s="168"/>
      <c r="M53" s="359">
        <f t="shared" si="7"/>
        <v>0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573">
        <f>'[15]Sch C'!D39</f>
        <v>781.12</v>
      </c>
      <c r="D54" s="573">
        <f>'[15]Sch C'!F39</f>
        <v>0</v>
      </c>
      <c r="E54" s="171">
        <f t="shared" si="4"/>
        <v>781.12</v>
      </c>
      <c r="F54" s="171"/>
      <c r="G54" s="171">
        <f t="shared" si="5"/>
        <v>781.12</v>
      </c>
      <c r="H54" s="172">
        <f t="shared" si="6"/>
        <v>1.0989986903791222E-4</v>
      </c>
      <c r="I54" s="337"/>
      <c r="J54" s="168"/>
      <c r="K54" s="168"/>
      <c r="M54" s="359">
        <f t="shared" si="7"/>
        <v>6.6146159708696764E-2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573">
        <f>'[15]Sch C'!D40</f>
        <v>0</v>
      </c>
      <c r="D55" s="573">
        <f>'[15]Sch C'!F40</f>
        <v>0</v>
      </c>
      <c r="E55" s="171">
        <f t="shared" si="4"/>
        <v>0</v>
      </c>
      <c r="F55" s="171"/>
      <c r="G55" s="171">
        <f t="shared" si="5"/>
        <v>0</v>
      </c>
      <c r="H55" s="172">
        <f t="shared" si="6"/>
        <v>0</v>
      </c>
      <c r="I55" s="337"/>
      <c r="J55" s="168"/>
      <c r="K55" s="168"/>
      <c r="M55" s="359">
        <f t="shared" si="7"/>
        <v>0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573">
        <f>'[15]Sch C'!D41</f>
        <v>56933.71</v>
      </c>
      <c r="D56" s="573">
        <f>'[15]Sch C'!F41</f>
        <v>0</v>
      </c>
      <c r="E56" s="171">
        <f t="shared" si="4"/>
        <v>56933.71</v>
      </c>
      <c r="F56" s="171">
        <v>449</v>
      </c>
      <c r="G56" s="171">
        <f t="shared" si="5"/>
        <v>57382.71</v>
      </c>
      <c r="H56" s="172">
        <f t="shared" si="6"/>
        <v>8.0734743881100152E-3</v>
      </c>
      <c r="I56" s="337"/>
      <c r="J56" s="168"/>
      <c r="K56" s="168"/>
      <c r="M56" s="359">
        <f t="shared" si="7"/>
        <v>4.8592353289863661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573">
        <f>'[15]Sch C'!D42</f>
        <v>0</v>
      </c>
      <c r="D57" s="573">
        <f>'[15]Sch C'!F42</f>
        <v>0</v>
      </c>
      <c r="E57" s="171">
        <f t="shared" si="4"/>
        <v>0</v>
      </c>
      <c r="F57" s="171"/>
      <c r="G57" s="171">
        <f t="shared" si="5"/>
        <v>0</v>
      </c>
      <c r="H57" s="172">
        <f t="shared" si="6"/>
        <v>0</v>
      </c>
      <c r="I57" s="337"/>
      <c r="J57" s="168"/>
      <c r="K57" s="168"/>
      <c r="M57" s="359">
        <f t="shared" si="7"/>
        <v>0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573">
        <f>'[15]Sch C'!D43</f>
        <v>0</v>
      </c>
      <c r="D58" s="573">
        <f>'[15]Sch C'!F43</f>
        <v>0</v>
      </c>
      <c r="E58" s="171">
        <f t="shared" si="4"/>
        <v>0</v>
      </c>
      <c r="F58" s="171"/>
      <c r="G58" s="171">
        <f t="shared" si="5"/>
        <v>0</v>
      </c>
      <c r="H58" s="172">
        <f t="shared" si="6"/>
        <v>0</v>
      </c>
      <c r="I58" s="337"/>
      <c r="J58" s="168"/>
      <c r="K58" s="168"/>
      <c r="M58" s="359">
        <f t="shared" si="7"/>
        <v>0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573">
        <f>'[15]Sch C'!D44</f>
        <v>145</v>
      </c>
      <c r="D59" s="573">
        <f>'[15]Sch C'!F44</f>
        <v>0</v>
      </c>
      <c r="E59" s="171">
        <f t="shared" si="4"/>
        <v>145</v>
      </c>
      <c r="F59" s="171"/>
      <c r="G59" s="171">
        <f t="shared" si="5"/>
        <v>145</v>
      </c>
      <c r="H59" s="172">
        <f t="shared" si="6"/>
        <v>2.0400810388285118E-5</v>
      </c>
      <c r="I59" s="337"/>
      <c r="J59" s="168"/>
      <c r="K59" s="168"/>
      <c r="M59" s="359">
        <f t="shared" si="7"/>
        <v>1.227877042933356E-2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573">
        <f>'[15]Sch C'!D45</f>
        <v>1180.53</v>
      </c>
      <c r="D60" s="573">
        <f>'[15]Sch C'!F45</f>
        <v>0</v>
      </c>
      <c r="E60" s="171">
        <f t="shared" si="4"/>
        <v>1180.53</v>
      </c>
      <c r="F60" s="171"/>
      <c r="G60" s="171">
        <f t="shared" si="5"/>
        <v>1180.53</v>
      </c>
      <c r="H60" s="172">
        <f t="shared" si="6"/>
        <v>1.6609495646677399E-4</v>
      </c>
      <c r="I60" s="337"/>
      <c r="J60" s="168"/>
      <c r="K60" s="168"/>
      <c r="M60" s="359">
        <f t="shared" si="7"/>
        <v>9.9968667965111349E-2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573">
        <f>SUM(C25:C60)</f>
        <v>5007248.6500000004</v>
      </c>
      <c r="D61" s="573">
        <f>SUM(D25:D60)</f>
        <v>-3833165</v>
      </c>
      <c r="E61" s="171">
        <f t="shared" ref="E61" si="8">SUM(E25:E60)</f>
        <v>1174083.6500000001</v>
      </c>
      <c r="F61" s="171">
        <f>SUM(F25:F60)</f>
        <v>-301416</v>
      </c>
      <c r="G61" s="171">
        <f>SUM(G25:G60)</f>
        <v>872667.65</v>
      </c>
      <c r="H61" s="186">
        <f t="shared" si="6"/>
        <v>0.12278018799751973</v>
      </c>
      <c r="I61" s="339"/>
      <c r="J61" s="168"/>
      <c r="K61" s="168"/>
      <c r="M61" s="364">
        <f>G61/G$228</f>
        <v>73.898522313489707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I62" s="340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573">
        <f>'[15]Sch C'!D57</f>
        <v>401720</v>
      </c>
      <c r="D64" s="573">
        <f>'[15]Sch C'!F57</f>
        <v>0</v>
      </c>
      <c r="E64" s="171">
        <f t="shared" ref="E64:E78" si="9">C64+D64</f>
        <v>401720</v>
      </c>
      <c r="F64" s="171">
        <v>-401720</v>
      </c>
      <c r="G64" s="171">
        <f t="shared" ref="G64:G78" si="10">E64+F64</f>
        <v>0</v>
      </c>
      <c r="H64" s="172">
        <f t="shared" ref="H64:H79" si="11">IF($G$208=0,0,G64/$G$208)</f>
        <v>0</v>
      </c>
      <c r="I64" s="337"/>
      <c r="J64" s="190"/>
      <c r="K64" s="168"/>
      <c r="M64" s="359">
        <f t="shared" ref="M64:M79" si="12">G64/G$228</f>
        <v>0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573">
        <f>'[15]Sch C'!D58</f>
        <v>0</v>
      </c>
      <c r="D65" s="573">
        <f>'[15]Sch C'!F58</f>
        <v>0</v>
      </c>
      <c r="E65" s="171">
        <f t="shared" si="9"/>
        <v>0</v>
      </c>
      <c r="F65" s="171">
        <v>98008</v>
      </c>
      <c r="G65" s="171">
        <f t="shared" si="10"/>
        <v>98008</v>
      </c>
      <c r="H65" s="172">
        <f t="shared" si="11"/>
        <v>1.3789259479552054E-2</v>
      </c>
      <c r="I65" s="337"/>
      <c r="J65" s="190"/>
      <c r="K65" s="168"/>
      <c r="M65" s="359">
        <f t="shared" si="12"/>
        <v>8.2994326361249886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573">
        <f>'[15]Sch C'!D59</f>
        <v>0</v>
      </c>
      <c r="D66" s="573">
        <f>'[15]Sch C'!F59</f>
        <v>0</v>
      </c>
      <c r="E66" s="171">
        <f t="shared" si="9"/>
        <v>0</v>
      </c>
      <c r="F66" s="171">
        <v>213881</v>
      </c>
      <c r="G66" s="171">
        <f t="shared" si="10"/>
        <v>213881</v>
      </c>
      <c r="H66" s="172">
        <f t="shared" si="11"/>
        <v>3.0092039494184892E-2</v>
      </c>
      <c r="I66" s="337"/>
      <c r="J66" s="190"/>
      <c r="K66" s="168"/>
      <c r="M66" s="359">
        <f t="shared" si="12"/>
        <v>18.111694470319247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573">
        <f>'[15]Sch C'!D60</f>
        <v>87975</v>
      </c>
      <c r="D67" s="573">
        <f>'[15]Sch C'!F60</f>
        <v>0</v>
      </c>
      <c r="E67" s="171">
        <f t="shared" si="9"/>
        <v>87975</v>
      </c>
      <c r="F67" s="171"/>
      <c r="G67" s="171">
        <f t="shared" si="10"/>
        <v>87975</v>
      </c>
      <c r="H67" s="172">
        <f t="shared" si="11"/>
        <v>1.237766409592678E-2</v>
      </c>
      <c r="I67" s="337"/>
      <c r="J67" s="193"/>
      <c r="K67" s="168"/>
      <c r="M67" s="359">
        <f t="shared" si="12"/>
        <v>7.4498264035904818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573">
        <f>'[15]Sch C'!D61</f>
        <v>0</v>
      </c>
      <c r="D68" s="573">
        <f>'[15]Sch C'!F61</f>
        <v>0</v>
      </c>
      <c r="E68" s="171">
        <f t="shared" si="9"/>
        <v>0</v>
      </c>
      <c r="F68" s="171">
        <v>3735</v>
      </c>
      <c r="G68" s="171">
        <f t="shared" si="10"/>
        <v>3735</v>
      </c>
      <c r="H68" s="172">
        <f t="shared" si="11"/>
        <v>5.2549673655341318E-4</v>
      </c>
      <c r="I68" s="337"/>
      <c r="J68" s="193"/>
      <c r="K68" s="168"/>
      <c r="M68" s="359">
        <f t="shared" si="12"/>
        <v>0.31628419002455754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573">
        <f>'[15]Sch C'!D62</f>
        <v>0</v>
      </c>
      <c r="D69" s="573">
        <f>'[15]Sch C'!F62</f>
        <v>0</v>
      </c>
      <c r="E69" s="171">
        <f t="shared" si="9"/>
        <v>0</v>
      </c>
      <c r="F69" s="171"/>
      <c r="G69" s="171">
        <f t="shared" si="10"/>
        <v>0</v>
      </c>
      <c r="H69" s="172">
        <f t="shared" si="11"/>
        <v>0</v>
      </c>
      <c r="I69" s="337"/>
      <c r="J69" s="195"/>
      <c r="K69" s="168"/>
      <c r="M69" s="359">
        <f t="shared" si="12"/>
        <v>0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573">
        <f>'[15]Sch C'!D63</f>
        <v>0</v>
      </c>
      <c r="D70" s="573">
        <f>'[15]Sch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7"/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573">
        <f>'[15]Sch C'!D64</f>
        <v>0</v>
      </c>
      <c r="D71" s="573">
        <f>'[15]Sch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573">
        <f>'[15]Sch C'!D65</f>
        <v>438</v>
      </c>
      <c r="D72" s="573">
        <f>'[15]Sch C'!F65</f>
        <v>0</v>
      </c>
      <c r="E72" s="171">
        <f t="shared" si="9"/>
        <v>438</v>
      </c>
      <c r="F72" s="171"/>
      <c r="G72" s="171">
        <f t="shared" si="10"/>
        <v>438</v>
      </c>
      <c r="H72" s="172">
        <f t="shared" si="11"/>
        <v>6.1624516897026773E-5</v>
      </c>
      <c r="I72" s="337"/>
      <c r="J72" s="195"/>
      <c r="K72" s="168"/>
      <c r="M72" s="359">
        <f t="shared" si="12"/>
        <v>3.7090354814124822E-2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573">
        <f>'[15]Sch C'!D66</f>
        <v>206670.99</v>
      </c>
      <c r="D73" s="573">
        <f>'[15]Sch C'!F66</f>
        <v>0</v>
      </c>
      <c r="E73" s="171">
        <f t="shared" si="9"/>
        <v>206670.99</v>
      </c>
      <c r="F73" s="171"/>
      <c r="G73" s="171">
        <f t="shared" si="10"/>
        <v>206670.99</v>
      </c>
      <c r="H73" s="172">
        <f t="shared" si="11"/>
        <v>2.907762537758048E-2</v>
      </c>
      <c r="I73" s="337"/>
      <c r="J73" s="195"/>
      <c r="K73" s="168"/>
      <c r="M73" s="359">
        <f t="shared" si="12"/>
        <v>17.501142349055804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573">
        <f>'[15]Sch C'!D67</f>
        <v>40878</v>
      </c>
      <c r="D74" s="573">
        <f>'[15]Sch C'!F67</f>
        <v>0</v>
      </c>
      <c r="E74" s="171">
        <f t="shared" si="9"/>
        <v>40878</v>
      </c>
      <c r="F74" s="171">
        <v>167440</v>
      </c>
      <c r="G74" s="171">
        <f t="shared" si="10"/>
        <v>208318</v>
      </c>
      <c r="H74" s="172">
        <f t="shared" si="11"/>
        <v>2.9309351851495028E-2</v>
      </c>
      <c r="I74" s="337"/>
      <c r="J74" s="195"/>
      <c r="K74" s="168"/>
      <c r="M74" s="359">
        <f t="shared" si="12"/>
        <v>17.640613091709714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573">
        <f>'[15]Sch C'!D68</f>
        <v>0</v>
      </c>
      <c r="D75" s="573">
        <f>'[15]Sch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573">
        <f>'[15]Sch C'!D69</f>
        <v>0</v>
      </c>
      <c r="D76" s="573">
        <f>'[15]Sch C'!F69</f>
        <v>0</v>
      </c>
      <c r="E76" s="171">
        <f t="shared" si="9"/>
        <v>0</v>
      </c>
      <c r="F76" s="171"/>
      <c r="G76" s="171">
        <f t="shared" si="10"/>
        <v>0</v>
      </c>
      <c r="H76" s="172">
        <f t="shared" si="11"/>
        <v>0</v>
      </c>
      <c r="I76" s="337"/>
      <c r="J76" s="195"/>
      <c r="K76" s="168"/>
      <c r="M76" s="359">
        <f t="shared" si="12"/>
        <v>0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573">
        <f>'[15]Sch C'!D70</f>
        <v>0</v>
      </c>
      <c r="D77" s="573">
        <f>'[15]Sch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7"/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573">
        <f>'[15]Sch C'!D71</f>
        <v>0</v>
      </c>
      <c r="D78" s="573">
        <f>'[15]Sch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7"/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573">
        <f>SUM(C64:C78)</f>
        <v>737681.99</v>
      </c>
      <c r="D79" s="573">
        <f>SUM(D64:D78)</f>
        <v>0</v>
      </c>
      <c r="E79" s="171">
        <f t="shared" ref="E79" si="13">SUM(E64:E78)</f>
        <v>737681.99</v>
      </c>
      <c r="F79" s="171">
        <f>SUM(F64:F78)</f>
        <v>81344</v>
      </c>
      <c r="G79" s="171">
        <f>SUM(G64:G78)</f>
        <v>819025.99</v>
      </c>
      <c r="H79" s="172">
        <f t="shared" si="11"/>
        <v>0.11523306155218968</v>
      </c>
      <c r="I79" s="337"/>
      <c r="J79" s="195"/>
      <c r="K79" s="168"/>
      <c r="M79" s="359">
        <f t="shared" si="12"/>
        <v>69.356083495638913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573">
        <f>'[15]Sch C'!D75</f>
        <v>0</v>
      </c>
      <c r="D82" s="573">
        <f>'[15]Sch C'!F75</f>
        <v>63921</v>
      </c>
      <c r="E82" s="171">
        <f t="shared" ref="E82:E92" si="14">C82+D82</f>
        <v>63921</v>
      </c>
      <c r="F82" s="171">
        <v>1564</v>
      </c>
      <c r="G82" s="171">
        <f t="shared" ref="G82:G92" si="15">E82+F82</f>
        <v>65485</v>
      </c>
      <c r="H82" s="172">
        <f t="shared" ref="H82:H93" si="16">IF($G$208=0,0,G82/$G$208)</f>
        <v>9.2134280570817309E-3</v>
      </c>
      <c r="I82" s="337"/>
      <c r="J82" s="183">
        <v>3535</v>
      </c>
      <c r="K82" s="183">
        <v>3535</v>
      </c>
      <c r="M82" s="359">
        <f t="shared" ref="M82:M92" si="17">G82/G$228</f>
        <v>5.5453467694131593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573">
        <f>'[15]Sch C'!D76</f>
        <v>0</v>
      </c>
      <c r="D83" s="573">
        <f>'[15]Sch C'!F76</f>
        <v>9381</v>
      </c>
      <c r="E83" s="171">
        <f t="shared" si="14"/>
        <v>9381</v>
      </c>
      <c r="F83" s="171"/>
      <c r="G83" s="171">
        <f t="shared" si="15"/>
        <v>9381</v>
      </c>
      <c r="H83" s="172">
        <f t="shared" si="16"/>
        <v>1.3198620845000185E-3</v>
      </c>
      <c r="I83" s="337"/>
      <c r="J83" s="168"/>
      <c r="K83" s="168"/>
      <c r="M83" s="359">
        <f t="shared" si="17"/>
        <v>0.7943941061901939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573">
        <f>'[15]Sch C'!D77</f>
        <v>0</v>
      </c>
      <c r="D84" s="573">
        <f>'[15]Sch C'!F77</f>
        <v>0</v>
      </c>
      <c r="E84" s="171">
        <f t="shared" si="14"/>
        <v>0</v>
      </c>
      <c r="F84" s="171"/>
      <c r="G84" s="171">
        <f t="shared" si="15"/>
        <v>0</v>
      </c>
      <c r="H84" s="172">
        <f t="shared" si="16"/>
        <v>0</v>
      </c>
      <c r="I84" s="337"/>
      <c r="J84" s="168"/>
      <c r="K84" s="168"/>
      <c r="M84" s="359">
        <f t="shared" si="17"/>
        <v>0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573">
        <f>'[15]Sch C'!D78</f>
        <v>29631.46</v>
      </c>
      <c r="D85" s="573">
        <f>'[15]Sch C'!F78</f>
        <v>0</v>
      </c>
      <c r="E85" s="171">
        <f t="shared" si="14"/>
        <v>29631.46</v>
      </c>
      <c r="F85" s="171">
        <v>-29631</v>
      </c>
      <c r="G85" s="171">
        <f t="shared" si="15"/>
        <v>0.45999999999912689</v>
      </c>
      <c r="H85" s="172">
        <f t="shared" si="16"/>
        <v>6.4719812266160985E-8</v>
      </c>
      <c r="I85" s="337"/>
      <c r="J85" s="168"/>
      <c r="K85" s="168"/>
      <c r="M85" s="359">
        <f t="shared" si="17"/>
        <v>3.8953340672294598E-5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573">
        <f>'[15]Sch C'!D79</f>
        <v>0</v>
      </c>
      <c r="D86" s="573">
        <f>'[15]Sch C'!F79</f>
        <v>0</v>
      </c>
      <c r="E86" s="171">
        <f t="shared" si="14"/>
        <v>0</v>
      </c>
      <c r="F86" s="171">
        <v>29631</v>
      </c>
      <c r="G86" s="171">
        <f>E86+F86</f>
        <v>29631</v>
      </c>
      <c r="H86" s="172">
        <f t="shared" si="16"/>
        <v>4.1689407766570784E-3</v>
      </c>
      <c r="I86" s="337"/>
      <c r="J86" s="168"/>
      <c r="K86" s="168"/>
      <c r="M86" s="359">
        <f t="shared" si="17"/>
        <v>2.5091879075281565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573">
        <f>'[15]Sch C'!D80</f>
        <v>17447.39</v>
      </c>
      <c r="D87" s="573">
        <f>'[15]Sch C'!F80</f>
        <v>0</v>
      </c>
      <c r="E87" s="171">
        <f t="shared" si="14"/>
        <v>17447.39</v>
      </c>
      <c r="F87" s="171"/>
      <c r="G87" s="171">
        <f t="shared" si="15"/>
        <v>17447.39</v>
      </c>
      <c r="H87" s="172">
        <f t="shared" si="16"/>
        <v>2.4547647942100817E-3</v>
      </c>
      <c r="I87" s="337"/>
      <c r="J87" s="168"/>
      <c r="K87" s="168"/>
      <c r="M87" s="359">
        <f t="shared" si="17"/>
        <v>1.4774654924210349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573">
        <f>'[15]Sch C'!D81</f>
        <v>0</v>
      </c>
      <c r="D88" s="573">
        <f>'[15]Sch C'!F81</f>
        <v>0</v>
      </c>
      <c r="E88" s="171">
        <f t="shared" si="14"/>
        <v>0</v>
      </c>
      <c r="F88" s="171"/>
      <c r="G88" s="171">
        <f t="shared" si="15"/>
        <v>0</v>
      </c>
      <c r="H88" s="172">
        <f t="shared" si="16"/>
        <v>0</v>
      </c>
      <c r="I88" s="337"/>
      <c r="J88" s="168"/>
      <c r="K88" s="168"/>
      <c r="M88" s="359">
        <f t="shared" si="17"/>
        <v>0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573">
        <f>'[15]Sch C'!D82</f>
        <v>49749.03</v>
      </c>
      <c r="D89" s="573">
        <f>'[15]Sch C'!F82</f>
        <v>0</v>
      </c>
      <c r="E89" s="171">
        <f t="shared" si="14"/>
        <v>49749.03</v>
      </c>
      <c r="F89" s="171"/>
      <c r="G89" s="171">
        <f t="shared" si="15"/>
        <v>49749.03</v>
      </c>
      <c r="H89" s="172">
        <f t="shared" si="16"/>
        <v>6.9994519174559171E-3</v>
      </c>
      <c r="I89" s="337"/>
      <c r="J89" s="168"/>
      <c r="K89" s="168"/>
      <c r="M89" s="359">
        <f t="shared" si="17"/>
        <v>4.2128063341519182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573">
        <f>'[15]Sch C'!D83</f>
        <v>6541.55</v>
      </c>
      <c r="D90" s="573">
        <f>'[15]Sch C'!F83</f>
        <v>0</v>
      </c>
      <c r="E90" s="171">
        <f t="shared" si="14"/>
        <v>6541.55</v>
      </c>
      <c r="F90" s="171"/>
      <c r="G90" s="171">
        <f t="shared" si="15"/>
        <v>6541.55</v>
      </c>
      <c r="H90" s="172">
        <f t="shared" si="16"/>
        <v>9.2036497376197601E-4</v>
      </c>
      <c r="I90" s="337"/>
      <c r="J90" s="168"/>
      <c r="K90" s="168"/>
      <c r="M90" s="359">
        <f t="shared" si="17"/>
        <v>0.55394614277246168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573">
        <f>'[15]Sch C'!D84</f>
        <v>123591.89</v>
      </c>
      <c r="D91" s="573">
        <f>'[15]Sch C'!F84</f>
        <v>0</v>
      </c>
      <c r="E91" s="171">
        <f t="shared" si="14"/>
        <v>123591.89</v>
      </c>
      <c r="F91" s="171"/>
      <c r="G91" s="171">
        <f t="shared" si="15"/>
        <v>123591.89</v>
      </c>
      <c r="H91" s="172">
        <f t="shared" si="16"/>
        <v>1.7388791127033044E-2</v>
      </c>
      <c r="I91" s="337"/>
      <c r="J91" s="168"/>
      <c r="K91" s="168"/>
      <c r="M91" s="359">
        <f t="shared" si="17"/>
        <v>10.465906511982386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573">
        <f>'[15]Sch C'!D85</f>
        <v>0</v>
      </c>
      <c r="D92" s="573">
        <f>'[15]Sch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7"/>
      <c r="J92" s="168"/>
      <c r="K92" s="168"/>
      <c r="M92" s="359">
        <f t="shared" si="17"/>
        <v>0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573">
        <f>SUM(C82:C92)</f>
        <v>226961.32</v>
      </c>
      <c r="D93" s="573">
        <f>SUM(D82:D92)</f>
        <v>73302</v>
      </c>
      <c r="E93" s="171">
        <f t="shared" ref="E93" si="18">SUM(E82:E92)</f>
        <v>300263.32</v>
      </c>
      <c r="F93" s="171">
        <f>SUM(F82:F92)</f>
        <v>1564</v>
      </c>
      <c r="G93" s="171">
        <f>SUM(G82:G92)</f>
        <v>301827.32</v>
      </c>
      <c r="H93" s="172">
        <f t="shared" si="16"/>
        <v>4.2465668450512112E-2</v>
      </c>
      <c r="I93" s="337"/>
      <c r="J93" s="168"/>
      <c r="K93" s="168"/>
      <c r="M93" s="364">
        <f>G93/G$228</f>
        <v>25.559092217799982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573">
        <f>'[15]Sch C'!D89</f>
        <v>0</v>
      </c>
      <c r="D96" s="573">
        <f>'[15]Sch C'!F89</f>
        <v>82239</v>
      </c>
      <c r="E96" s="171">
        <f t="shared" ref="E96:E101" si="19">C96+D96</f>
        <v>82239</v>
      </c>
      <c r="F96" s="171">
        <v>2013</v>
      </c>
      <c r="G96" s="171">
        <f t="shared" ref="G96:G101" si="20">E96+F96</f>
        <v>84252</v>
      </c>
      <c r="H96" s="172">
        <f t="shared" ref="H96:H102" si="21">IF($G$208=0,0,G96/$G$208)</f>
        <v>1.1853855702302053E-2</v>
      </c>
      <c r="I96" s="337"/>
      <c r="J96" s="183">
        <v>5975</v>
      </c>
      <c r="K96" s="183">
        <v>5975</v>
      </c>
      <c r="M96" s="364">
        <f t="shared" ref="M96:M101" si="22">G96/G$228</f>
        <v>7.1345583876704213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573">
        <f>'[15]Sch C'!D90</f>
        <v>0</v>
      </c>
      <c r="D97" s="573">
        <f>'[15]Sch C'!F90</f>
        <v>11513</v>
      </c>
      <c r="E97" s="171">
        <f t="shared" si="19"/>
        <v>11513</v>
      </c>
      <c r="F97" s="171"/>
      <c r="G97" s="171">
        <f t="shared" si="20"/>
        <v>11513</v>
      </c>
      <c r="H97" s="172">
        <f t="shared" si="21"/>
        <v>1.6198243448298385E-3</v>
      </c>
      <c r="I97" s="337"/>
      <c r="J97" s="168"/>
      <c r="K97" s="168"/>
      <c r="M97" s="364">
        <f t="shared" si="22"/>
        <v>0.97493437208908462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573">
        <f>'[15]Sch C'!D91</f>
        <v>19150</v>
      </c>
      <c r="D98" s="573">
        <f>'[15]Sch C'!F91</f>
        <v>0</v>
      </c>
      <c r="E98" s="171">
        <f t="shared" si="19"/>
        <v>19150</v>
      </c>
      <c r="F98" s="171"/>
      <c r="G98" s="171">
        <f t="shared" si="20"/>
        <v>19150</v>
      </c>
      <c r="H98" s="172">
        <f t="shared" si="21"/>
        <v>2.6943139236942069E-3</v>
      </c>
      <c r="I98" s="337"/>
      <c r="J98" s="168"/>
      <c r="K98" s="168"/>
      <c r="M98" s="364">
        <f t="shared" si="22"/>
        <v>1.6216445084257769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573">
        <f>'[15]Sch C'!D92</f>
        <v>163406.85999999999</v>
      </c>
      <c r="D99" s="573">
        <f>'[15]Sch C'!F92</f>
        <v>0</v>
      </c>
      <c r="E99" s="171">
        <f t="shared" si="19"/>
        <v>163406.85999999999</v>
      </c>
      <c r="F99" s="171"/>
      <c r="G99" s="171">
        <f t="shared" si="20"/>
        <v>163406.85999999999</v>
      </c>
      <c r="H99" s="172">
        <f t="shared" si="21"/>
        <v>2.2990568048310702E-2</v>
      </c>
      <c r="I99" s="337"/>
      <c r="J99" s="168"/>
      <c r="K99" s="168"/>
      <c r="M99" s="364">
        <f t="shared" si="22"/>
        <v>13.837484969091371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573">
        <f>'[15]Sch C'!D93</f>
        <v>11644.68</v>
      </c>
      <c r="D100" s="573">
        <f>'[15]Sch C'!F93</f>
        <v>0</v>
      </c>
      <c r="E100" s="171">
        <f t="shared" si="19"/>
        <v>11644.68</v>
      </c>
      <c r="F100" s="171"/>
      <c r="G100" s="171">
        <f t="shared" si="20"/>
        <v>11644.68</v>
      </c>
      <c r="H100" s="172">
        <f t="shared" si="21"/>
        <v>1.6383510945672825E-3</v>
      </c>
      <c r="I100" s="337"/>
      <c r="J100" s="168"/>
      <c r="K100" s="168"/>
      <c r="M100" s="364">
        <f t="shared" si="22"/>
        <v>0.98608518926242694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573">
        <f>'[15]Sch C'!D94</f>
        <v>0</v>
      </c>
      <c r="D101" s="573">
        <f>'[15]Sch C'!F94</f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I101" s="337"/>
      <c r="J101" s="168"/>
      <c r="K101" s="168"/>
      <c r="M101" s="364">
        <f t="shared" si="22"/>
        <v>0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573">
        <f>SUM(C96:C101)</f>
        <v>194201.53999999998</v>
      </c>
      <c r="D102" s="573">
        <f>SUM(D96:D101)</f>
        <v>93752</v>
      </c>
      <c r="E102" s="171">
        <f t="shared" ref="E102" si="23">SUM(E96:E101)</f>
        <v>287953.53999999998</v>
      </c>
      <c r="F102" s="171">
        <f>SUM(F96:F101)</f>
        <v>2013</v>
      </c>
      <c r="G102" s="171">
        <f>SUM(G96:G101)</f>
        <v>289966.53999999998</v>
      </c>
      <c r="H102" s="172">
        <f t="shared" si="21"/>
        <v>4.0796913113704078E-2</v>
      </c>
      <c r="I102" s="337"/>
      <c r="J102" s="168"/>
      <c r="K102" s="168"/>
      <c r="M102" s="364">
        <f>G102/G$228</f>
        <v>24.554707426539078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573">
        <f>'[15]Sch C'!D98</f>
        <v>0</v>
      </c>
      <c r="D105" s="573">
        <f>'[15]Sch C'!F98</f>
        <v>0</v>
      </c>
      <c r="E105" s="171">
        <f t="shared" ref="E105:E110" si="24">C105+D105</f>
        <v>0</v>
      </c>
      <c r="F105" s="171"/>
      <c r="G105" s="171">
        <f t="shared" ref="G105:G110" si="25">E105+F105</f>
        <v>0</v>
      </c>
      <c r="H105" s="172">
        <f t="shared" ref="H105:H111" si="26">IF($G$208=0,0,G105/$G$208)</f>
        <v>0</v>
      </c>
      <c r="I105" s="337"/>
      <c r="J105" s="183">
        <v>0</v>
      </c>
      <c r="K105" s="183">
        <v>0</v>
      </c>
      <c r="M105" s="364">
        <f t="shared" ref="M105:M110" si="27">G105/G$228</f>
        <v>0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573">
        <f>'[15]Sch C'!D99</f>
        <v>0</v>
      </c>
      <c r="D106" s="573">
        <f>'[15]Sch C'!F99</f>
        <v>0</v>
      </c>
      <c r="E106" s="171">
        <f t="shared" si="24"/>
        <v>0</v>
      </c>
      <c r="F106" s="171"/>
      <c r="G106" s="171">
        <f t="shared" si="25"/>
        <v>0</v>
      </c>
      <c r="H106" s="172">
        <f t="shared" si="26"/>
        <v>0</v>
      </c>
      <c r="I106" s="337"/>
      <c r="J106" s="168"/>
      <c r="K106" s="168"/>
      <c r="M106" s="364">
        <f t="shared" si="27"/>
        <v>0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573">
        <f>'[15]Sch C'!D100</f>
        <v>4224.92</v>
      </c>
      <c r="D107" s="573">
        <f>'[15]Sch C'!F100</f>
        <v>0</v>
      </c>
      <c r="E107" s="171">
        <f t="shared" si="24"/>
        <v>4224.92</v>
      </c>
      <c r="F107" s="171"/>
      <c r="G107" s="171">
        <f t="shared" si="25"/>
        <v>4224.92</v>
      </c>
      <c r="H107" s="172">
        <f t="shared" si="26"/>
        <v>5.9442615052188663E-4</v>
      </c>
      <c r="I107" s="337"/>
      <c r="J107" s="168"/>
      <c r="K107" s="168"/>
      <c r="M107" s="364">
        <f t="shared" si="27"/>
        <v>0.35777119146413755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573">
        <f>'[15]Sch C'!D101</f>
        <v>0</v>
      </c>
      <c r="D108" s="573">
        <f>'[15]Sch C'!F101</f>
        <v>0</v>
      </c>
      <c r="E108" s="171">
        <f t="shared" si="24"/>
        <v>0</v>
      </c>
      <c r="F108" s="171"/>
      <c r="G108" s="171">
        <f t="shared" si="25"/>
        <v>0</v>
      </c>
      <c r="H108" s="172">
        <f t="shared" si="26"/>
        <v>0</v>
      </c>
      <c r="I108" s="337"/>
      <c r="J108" s="168"/>
      <c r="K108" s="168"/>
      <c r="M108" s="364">
        <f t="shared" si="27"/>
        <v>0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573">
        <f>'[15]Sch C'!D102</f>
        <v>0</v>
      </c>
      <c r="D109" s="573">
        <f>'[15]Sch C'!F102</f>
        <v>0</v>
      </c>
      <c r="E109" s="171">
        <f t="shared" si="24"/>
        <v>0</v>
      </c>
      <c r="F109" s="171"/>
      <c r="G109" s="171">
        <f t="shared" si="25"/>
        <v>0</v>
      </c>
      <c r="H109" s="172">
        <f t="shared" si="26"/>
        <v>0</v>
      </c>
      <c r="I109" s="337"/>
      <c r="J109" s="168"/>
      <c r="K109" s="168"/>
      <c r="M109" s="364">
        <f t="shared" si="27"/>
        <v>0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573">
        <f>'[15]Sch C'!D103</f>
        <v>0</v>
      </c>
      <c r="D110" s="573">
        <f>'[15]Sch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7"/>
      <c r="J110" s="168"/>
      <c r="K110" s="168"/>
      <c r="M110" s="364">
        <f t="shared" si="27"/>
        <v>0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573">
        <f>SUM(C105:C110)</f>
        <v>4224.92</v>
      </c>
      <c r="D111" s="573">
        <f>SUM(D105:D110)</f>
        <v>0</v>
      </c>
      <c r="E111" s="171">
        <f t="shared" ref="E111" si="28">SUM(E105:E110)</f>
        <v>4224.92</v>
      </c>
      <c r="F111" s="171">
        <f>SUM(F105:F110)</f>
        <v>0</v>
      </c>
      <c r="G111" s="171">
        <f>SUM(G105:G110)</f>
        <v>4224.92</v>
      </c>
      <c r="H111" s="172">
        <f t="shared" si="26"/>
        <v>5.9442615052188663E-4</v>
      </c>
      <c r="I111" s="337"/>
      <c r="J111" s="168"/>
      <c r="K111" s="168"/>
      <c r="M111" s="364">
        <f>G111/G$228</f>
        <v>0.35777119146413755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573">
        <f>'[15]Sch C'!D115</f>
        <v>0</v>
      </c>
      <c r="D114" s="573">
        <f>'[15]Sch C'!F115</f>
        <v>81863</v>
      </c>
      <c r="E114" s="171">
        <f t="shared" ref="E114:E118" si="29">C114+D114</f>
        <v>81863</v>
      </c>
      <c r="F114" s="171">
        <v>2003</v>
      </c>
      <c r="G114" s="171">
        <f>E114+F114</f>
        <v>83866</v>
      </c>
      <c r="H114" s="172">
        <f t="shared" ref="H114:H119" si="30">IF($G$208=0,0,G114/$G$208)</f>
        <v>1.1799547338095998E-2</v>
      </c>
      <c r="I114" s="337"/>
      <c r="J114" s="183">
        <v>7418</v>
      </c>
      <c r="K114" s="183">
        <v>7418</v>
      </c>
      <c r="M114" s="364">
        <f t="shared" ref="M114:M119" si="31">G114/G$228</f>
        <v>7.1018714539757815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573">
        <f>'[15]Sch C'!D116</f>
        <v>0</v>
      </c>
      <c r="D115" s="573">
        <f>'[15]Sch C'!F116</f>
        <v>11033</v>
      </c>
      <c r="E115" s="171">
        <f t="shared" si="29"/>
        <v>11033</v>
      </c>
      <c r="F115" s="171"/>
      <c r="G115" s="171">
        <f>E115+F115</f>
        <v>11033</v>
      </c>
      <c r="H115" s="172">
        <f t="shared" si="30"/>
        <v>1.5522906276824117E-3</v>
      </c>
      <c r="I115" s="337"/>
      <c r="J115" s="168"/>
      <c r="K115" s="168"/>
      <c r="M115" s="364">
        <f t="shared" si="31"/>
        <v>0.93428740790922182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573">
        <f>'[15]Sch C'!D117</f>
        <v>30670.32</v>
      </c>
      <c r="D116" s="573">
        <f>'[15]Sch C'!F117</f>
        <v>0</v>
      </c>
      <c r="E116" s="171">
        <f t="shared" si="29"/>
        <v>30670.32</v>
      </c>
      <c r="F116" s="171"/>
      <c r="G116" s="171">
        <f>E116+F116</f>
        <v>30670.32</v>
      </c>
      <c r="H116" s="172">
        <f t="shared" si="30"/>
        <v>4.3151681577105437E-3</v>
      </c>
      <c r="I116" s="337"/>
      <c r="J116" s="168"/>
      <c r="K116" s="168"/>
      <c r="M116" s="364">
        <f t="shared" si="31"/>
        <v>2.5971987467186044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573">
        <f>'[15]Sch C'!D118</f>
        <v>0</v>
      </c>
      <c r="D117" s="573">
        <f>'[15]Sch C'!F118</f>
        <v>0</v>
      </c>
      <c r="E117" s="171">
        <f t="shared" si="29"/>
        <v>0</v>
      </c>
      <c r="F117" s="171"/>
      <c r="G117" s="171">
        <f>E117+F117</f>
        <v>0</v>
      </c>
      <c r="H117" s="172">
        <f t="shared" si="30"/>
        <v>0</v>
      </c>
      <c r="I117" s="337"/>
      <c r="J117" s="168"/>
      <c r="K117" s="168"/>
      <c r="M117" s="364">
        <f t="shared" si="31"/>
        <v>0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573">
        <f>'[15]Sch C'!D119</f>
        <v>0</v>
      </c>
      <c r="D118" s="573">
        <f>'[15]Sch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337"/>
      <c r="J118" s="168"/>
      <c r="K118" s="168"/>
      <c r="M118" s="364">
        <f t="shared" si="31"/>
        <v>0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573">
        <f>SUM(C114:C118)</f>
        <v>30670.32</v>
      </c>
      <c r="D119" s="573">
        <f>SUM(D114:D118)</f>
        <v>92896</v>
      </c>
      <c r="E119" s="171">
        <f t="shared" ref="E119" si="32">SUM(E114:E118)</f>
        <v>123566.32</v>
      </c>
      <c r="F119" s="171">
        <f>SUM(F114:F118)</f>
        <v>2003</v>
      </c>
      <c r="G119" s="171">
        <f>SUM(G114:G118)</f>
        <v>125569.32</v>
      </c>
      <c r="H119" s="172">
        <f t="shared" si="30"/>
        <v>1.7667006123488954E-2</v>
      </c>
      <c r="I119" s="337"/>
      <c r="J119" s="168"/>
      <c r="K119" s="168"/>
      <c r="M119" s="364">
        <f t="shared" si="31"/>
        <v>10.633357608603609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1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573">
        <f>'[15]Sch C'!D124</f>
        <v>0</v>
      </c>
      <c r="D123" s="573">
        <f>'[15]Sch C'!F124</f>
        <v>59597</v>
      </c>
      <c r="E123" s="171">
        <f t="shared" ref="E123:E127" si="33">C123+D123</f>
        <v>59597</v>
      </c>
      <c r="F123" s="171">
        <v>1459</v>
      </c>
      <c r="G123" s="171">
        <f>E123+F123</f>
        <v>61056</v>
      </c>
      <c r="H123" s="172">
        <f>IF($G$208=0,0,G123/$G$208)</f>
        <v>8.590288821152663E-3</v>
      </c>
      <c r="I123" s="337"/>
      <c r="J123" s="183">
        <v>2080</v>
      </c>
      <c r="K123" s="183">
        <v>2080</v>
      </c>
      <c r="M123" s="364">
        <f t="shared" ref="M123:M160" si="34">G123/G$228</f>
        <v>5.1702938436785502</v>
      </c>
      <c r="N123" s="359">
        <f>SUMMARY!J126</f>
        <v>0.77002560279620991</v>
      </c>
    </row>
    <row r="124" spans="1:14" s="167" customFormat="1">
      <c r="B124" s="163" t="s">
        <v>194</v>
      </c>
      <c r="C124" s="573">
        <f>'[15]Sch C'!D125</f>
        <v>0</v>
      </c>
      <c r="D124" s="573">
        <f>'[15]Sch C'!F125</f>
        <v>103367</v>
      </c>
      <c r="E124" s="171">
        <f t="shared" si="33"/>
        <v>103367</v>
      </c>
      <c r="F124" s="171">
        <v>2530</v>
      </c>
      <c r="G124" s="171">
        <f>E124+F124</f>
        <v>105897</v>
      </c>
      <c r="H124" s="172">
        <f>IF($G$208=0,0,G124/$G$208)</f>
        <v>1.4899204259918822E-2</v>
      </c>
      <c r="I124" s="337"/>
      <c r="J124" s="183">
        <v>6078</v>
      </c>
      <c r="K124" s="183">
        <v>6078</v>
      </c>
      <c r="M124" s="364">
        <f t="shared" si="34"/>
        <v>8.9674824286561101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573">
        <f>'[15]Sch C'!D126</f>
        <v>0</v>
      </c>
      <c r="D125" s="573">
        <f>'[15]Sch C'!F126</f>
        <v>30898</v>
      </c>
      <c r="E125" s="171">
        <f t="shared" si="33"/>
        <v>30898</v>
      </c>
      <c r="F125" s="171">
        <v>756</v>
      </c>
      <c r="G125" s="171">
        <f>E125+F125</f>
        <v>31654</v>
      </c>
      <c r="H125" s="172">
        <f>IF($G$208=0,0,G125/$G$208)</f>
        <v>4.4535672553846694E-3</v>
      </c>
      <c r="I125" s="337"/>
      <c r="J125" s="183">
        <v>1013</v>
      </c>
      <c r="K125" s="183">
        <v>1013</v>
      </c>
      <c r="M125" s="364">
        <f t="shared" si="34"/>
        <v>2.6804979253112031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573">
        <f>'[15]Sch C'!D127</f>
        <v>0</v>
      </c>
      <c r="D126" s="573">
        <f>'[15]Sch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7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573">
        <f>'[15]Sch C'!D128</f>
        <v>0</v>
      </c>
      <c r="D127" s="573">
        <f>'[15]Sch C'!F128</f>
        <v>43749</v>
      </c>
      <c r="E127" s="171">
        <f t="shared" si="33"/>
        <v>43749</v>
      </c>
      <c r="F127" s="171">
        <f>1601+1071</f>
        <v>2672</v>
      </c>
      <c r="G127" s="171">
        <f>E127+F127</f>
        <v>46421</v>
      </c>
      <c r="H127" s="172">
        <f>IF($G$208=0,0,G127/$G$208)</f>
        <v>6.5312139243764375E-3</v>
      </c>
      <c r="I127" s="337"/>
      <c r="J127" s="183">
        <v>6502</v>
      </c>
      <c r="K127" s="183">
        <v>6502</v>
      </c>
      <c r="M127" s="364">
        <f t="shared" si="34"/>
        <v>3.9309848420696079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205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573">
        <f>'[15]Sch C'!D130</f>
        <v>0</v>
      </c>
      <c r="D129" s="573">
        <f>'[15]Sch C'!F130</f>
        <v>7902</v>
      </c>
      <c r="E129" s="171">
        <f t="shared" ref="E129:E133" si="35">C129+D129</f>
        <v>7902</v>
      </c>
      <c r="F129" s="171"/>
      <c r="G129" s="171">
        <f>E129+F129</f>
        <v>7902</v>
      </c>
      <c r="H129" s="172">
        <f>IF($G$208=0,0,G129/$G$208)</f>
        <v>1.1117738185395104E-3</v>
      </c>
      <c r="I129" s="337"/>
      <c r="J129" s="204"/>
      <c r="K129" s="204"/>
      <c r="M129" s="364">
        <f t="shared" si="34"/>
        <v>0.66915064781099165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573">
        <f>'[15]Sch C'!D131</f>
        <v>0</v>
      </c>
      <c r="D130" s="573">
        <f>'[15]Sch C'!F131</f>
        <v>10439</v>
      </c>
      <c r="E130" s="171">
        <f t="shared" si="35"/>
        <v>10439</v>
      </c>
      <c r="F130" s="171"/>
      <c r="G130" s="171">
        <f>E130+F130</f>
        <v>10439</v>
      </c>
      <c r="H130" s="172">
        <f>IF($G$208=0,0,G130/$G$208)</f>
        <v>1.4687176527124713E-3</v>
      </c>
      <c r="I130" s="337"/>
      <c r="J130" s="204"/>
      <c r="K130" s="204"/>
      <c r="M130" s="364">
        <f t="shared" si="34"/>
        <v>0.88398678973664158</v>
      </c>
      <c r="N130" s="359">
        <f>SUMMARY!J133</f>
        <v>1.0792348507966931</v>
      </c>
    </row>
    <row r="131" spans="1:14" s="167" customFormat="1">
      <c r="B131" s="163" t="s">
        <v>195</v>
      </c>
      <c r="C131" s="573">
        <f>'[15]Sch C'!D132</f>
        <v>0</v>
      </c>
      <c r="D131" s="573">
        <f>'[15]Sch C'!F132</f>
        <v>3700</v>
      </c>
      <c r="E131" s="171">
        <f t="shared" si="35"/>
        <v>3700</v>
      </c>
      <c r="F131" s="171"/>
      <c r="G131" s="171">
        <f>E131+F131</f>
        <v>3700</v>
      </c>
      <c r="H131" s="172">
        <f>IF($G$208=0,0,G131/$G$208)</f>
        <v>5.2057240301141337E-4</v>
      </c>
      <c r="I131" s="337"/>
      <c r="J131" s="168"/>
      <c r="K131" s="168"/>
      <c r="M131" s="364">
        <f t="shared" si="34"/>
        <v>0.31332034888644256</v>
      </c>
      <c r="N131" s="359">
        <f>SUMMARY!J134</f>
        <v>8.2765628075518377E-2</v>
      </c>
    </row>
    <row r="132" spans="1:14" s="167" customFormat="1">
      <c r="B132" s="163" t="s">
        <v>196</v>
      </c>
      <c r="C132" s="573">
        <f>'[15]Sch C'!D133</f>
        <v>0</v>
      </c>
      <c r="D132" s="573">
        <f>'[15]Sch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573">
        <f>'[15]Sch C'!D134</f>
        <v>0</v>
      </c>
      <c r="D133" s="573">
        <f>'[15]Sch C'!F134</f>
        <v>9407</v>
      </c>
      <c r="E133" s="171">
        <f t="shared" si="35"/>
        <v>9407</v>
      </c>
      <c r="F133" s="171">
        <v>-1601</v>
      </c>
      <c r="G133" s="171">
        <f>E133+F133</f>
        <v>7806</v>
      </c>
      <c r="H133" s="172">
        <f>IF($G$208=0,0,G133/$G$208)</f>
        <v>1.098267075110025E-3</v>
      </c>
      <c r="I133" s="337"/>
      <c r="J133" s="168"/>
      <c r="K133" s="168"/>
      <c r="M133" s="364">
        <f t="shared" si="34"/>
        <v>0.66102125497501907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573">
        <f>'[15]Sch C'!D136</f>
        <v>0</v>
      </c>
      <c r="D135" s="573">
        <f>'[15]Sch C'!F136</f>
        <v>963168</v>
      </c>
      <c r="E135" s="171">
        <f t="shared" ref="E135:E138" si="36">C135+D135</f>
        <v>963168</v>
      </c>
      <c r="F135" s="171">
        <v>23572</v>
      </c>
      <c r="G135" s="171">
        <f>E135+F135</f>
        <v>986740</v>
      </c>
      <c r="H135" s="172">
        <f>IF($G$208=0,0,G135/$G$208)</f>
        <v>0.13882962512094107</v>
      </c>
      <c r="I135" s="337"/>
      <c r="J135" s="183">
        <v>35422</v>
      </c>
      <c r="K135" s="183">
        <v>35422</v>
      </c>
      <c r="M135" s="364">
        <f t="shared" si="34"/>
        <v>83.55830298924549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573">
        <f>'[15]Sch C'!D137</f>
        <v>0</v>
      </c>
      <c r="D136" s="573">
        <f>'[15]Sch C'!F137</f>
        <v>146217</v>
      </c>
      <c r="E136" s="171">
        <f t="shared" si="36"/>
        <v>146217</v>
      </c>
      <c r="F136" s="171">
        <v>3578</v>
      </c>
      <c r="G136" s="171">
        <f>E136+F136</f>
        <v>149795</v>
      </c>
      <c r="H136" s="172">
        <f>IF($G$208=0,0,G136/$G$208)</f>
        <v>2.1075444083539098E-2</v>
      </c>
      <c r="I136" s="337"/>
      <c r="J136" s="183">
        <v>6619</v>
      </c>
      <c r="K136" s="183">
        <v>6619</v>
      </c>
      <c r="M136" s="364">
        <f t="shared" si="34"/>
        <v>12.684816665255314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573">
        <f>'[15]Sch C'!D138</f>
        <v>0</v>
      </c>
      <c r="D137" s="573">
        <f>'[15]Sch C'!F138</f>
        <v>558547</v>
      </c>
      <c r="E137" s="171">
        <f t="shared" si="36"/>
        <v>558547</v>
      </c>
      <c r="F137" s="171">
        <v>13670</v>
      </c>
      <c r="G137" s="171">
        <f>E137+F137</f>
        <v>572217</v>
      </c>
      <c r="H137" s="172">
        <f>IF($G$208=0,0,G137/$G$208)</f>
        <v>8.0508210468643759E-2</v>
      </c>
      <c r="I137" s="337"/>
      <c r="J137" s="183">
        <v>44989</v>
      </c>
      <c r="K137" s="183">
        <v>44989</v>
      </c>
      <c r="M137" s="364">
        <f t="shared" si="34"/>
        <v>48.456008129392835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573">
        <f>'[15]Sch C'!D139</f>
        <v>0</v>
      </c>
      <c r="D138" s="573">
        <f>'[15]Sch C'!F139</f>
        <v>35932</v>
      </c>
      <c r="E138" s="171">
        <f t="shared" si="36"/>
        <v>35932</v>
      </c>
      <c r="F138" s="171">
        <v>879</v>
      </c>
      <c r="G138" s="171">
        <f>E138+F138</f>
        <v>36811</v>
      </c>
      <c r="H138" s="172">
        <f>IF($G$208=0,0,G138/$G$208)</f>
        <v>5.1791326289873339E-3</v>
      </c>
      <c r="I138" s="337"/>
      <c r="J138" s="183">
        <v>1121</v>
      </c>
      <c r="K138" s="183">
        <v>1121</v>
      </c>
      <c r="M138" s="364">
        <f t="shared" si="34"/>
        <v>3.1171987467186044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7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573">
        <f>'[15]Sch C'!D141</f>
        <v>0</v>
      </c>
      <c r="D140" s="573">
        <f>'[15]Sch C'!F141</f>
        <v>119822</v>
      </c>
      <c r="E140" s="171">
        <f t="shared" ref="E140:E143" si="37">C140+D140</f>
        <v>119822</v>
      </c>
      <c r="F140" s="171"/>
      <c r="G140" s="171">
        <f>E140+F140</f>
        <v>119822</v>
      </c>
      <c r="H140" s="172">
        <f>IF($G$208=0,0,G140/$G$208)</f>
        <v>1.6858385533414479E-2</v>
      </c>
      <c r="I140" s="337"/>
      <c r="J140" s="168"/>
      <c r="K140" s="168"/>
      <c r="M140" s="364">
        <f t="shared" si="34"/>
        <v>10.146667795749005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573">
        <f>'[15]Sch C'!D142</f>
        <v>0</v>
      </c>
      <c r="D141" s="573">
        <f>'[15]Sch C'!F142</f>
        <v>18850</v>
      </c>
      <c r="E141" s="171">
        <f t="shared" si="37"/>
        <v>18850</v>
      </c>
      <c r="F141" s="171"/>
      <c r="G141" s="171">
        <f>E141+F141</f>
        <v>18850</v>
      </c>
      <c r="H141" s="172">
        <f>IF($G$208=0,0,G141/$G$208)</f>
        <v>2.6521053504770654E-3</v>
      </c>
      <c r="I141" s="337"/>
      <c r="J141" s="168"/>
      <c r="K141" s="168"/>
      <c r="M141" s="364">
        <f t="shared" si="34"/>
        <v>1.5962401558133628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573">
        <f>'[15]Sch C'!D143</f>
        <v>0</v>
      </c>
      <c r="D142" s="573">
        <f>'[15]Sch C'!F143</f>
        <v>76359</v>
      </c>
      <c r="E142" s="171">
        <f t="shared" si="37"/>
        <v>76359</v>
      </c>
      <c r="F142" s="171"/>
      <c r="G142" s="171">
        <f>E142+F142</f>
        <v>76359</v>
      </c>
      <c r="H142" s="172">
        <f>IF($G$208=0,0,G142/$G$208)</f>
        <v>1.0743348140959057E-2</v>
      </c>
      <c r="I142" s="337"/>
      <c r="J142" s="168"/>
      <c r="K142" s="168"/>
      <c r="M142" s="364">
        <f t="shared" si="34"/>
        <v>6.4661698704378017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573">
        <f>'[15]Sch C'!D144</f>
        <v>0</v>
      </c>
      <c r="D143" s="573">
        <f>'[15]Sch C'!F144</f>
        <v>4152</v>
      </c>
      <c r="E143" s="171">
        <f t="shared" si="37"/>
        <v>4152</v>
      </c>
      <c r="F143" s="171"/>
      <c r="G143" s="171">
        <f>E143+F143</f>
        <v>4152</v>
      </c>
      <c r="H143" s="172">
        <f>IF($G$208=0,0,G143/$G$208)</f>
        <v>5.8416665332524005E-4</v>
      </c>
      <c r="I143" s="337"/>
      <c r="J143" s="168"/>
      <c r="K143" s="168"/>
      <c r="M143" s="364">
        <f t="shared" si="34"/>
        <v>0.35159624015581337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7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573">
        <f>'[15]Sch C'!D146</f>
        <v>0</v>
      </c>
      <c r="D145" s="573">
        <f>'[15]Sch C'!F146</f>
        <v>0</v>
      </c>
      <c r="E145" s="171">
        <f t="shared" ref="E145:E153" si="38">C145+D145</f>
        <v>0</v>
      </c>
      <c r="F145" s="171">
        <v>92400</v>
      </c>
      <c r="G145" s="171">
        <f t="shared" ref="G145:G153" si="39">E145+F145</f>
        <v>92400</v>
      </c>
      <c r="H145" s="172">
        <f t="shared" ref="H145:H153" si="40">IF($G$208=0,0,G145/$G$208)</f>
        <v>1.3000240550879619E-2</v>
      </c>
      <c r="I145" s="337"/>
      <c r="J145" s="183">
        <v>0</v>
      </c>
      <c r="K145" s="183">
        <v>0</v>
      </c>
      <c r="M145" s="364">
        <f t="shared" si="34"/>
        <v>7.8245406046235919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573">
        <f>'[15]Sch C'!D147</f>
        <v>0</v>
      </c>
      <c r="D146" s="573">
        <f>'[15]Sch C'!F147</f>
        <v>0</v>
      </c>
      <c r="E146" s="171">
        <f t="shared" si="38"/>
        <v>0</v>
      </c>
      <c r="F146" s="171">
        <v>17473</v>
      </c>
      <c r="G146" s="171">
        <f t="shared" si="39"/>
        <v>17473</v>
      </c>
      <c r="H146" s="172">
        <f t="shared" si="40"/>
        <v>2.4583679994103851E-3</v>
      </c>
      <c r="I146" s="337"/>
      <c r="J146" s="183">
        <v>0</v>
      </c>
      <c r="K146" s="183">
        <v>0</v>
      </c>
      <c r="M146" s="364">
        <f t="shared" si="34"/>
        <v>1.4796341773223813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573">
        <f>'[15]Sch C'!D148</f>
        <v>0</v>
      </c>
      <c r="D147" s="573">
        <f>'[15]Sch C'!F148</f>
        <v>0</v>
      </c>
      <c r="E147" s="171">
        <f t="shared" si="38"/>
        <v>0</v>
      </c>
      <c r="F147" s="171">
        <v>6024</v>
      </c>
      <c r="G147" s="171">
        <f t="shared" si="39"/>
        <v>6024</v>
      </c>
      <c r="H147" s="172">
        <f t="shared" si="40"/>
        <v>8.4754815020020378E-4</v>
      </c>
      <c r="I147" s="337"/>
      <c r="J147" s="183">
        <v>0</v>
      </c>
      <c r="K147" s="183">
        <v>0</v>
      </c>
      <c r="M147" s="364">
        <f t="shared" si="34"/>
        <v>0.51011940045727833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573">
        <f>'[15]Sch C'!D149</f>
        <v>0</v>
      </c>
      <c r="D148" s="573">
        <f>'[15]Sch C'!F149</f>
        <v>0</v>
      </c>
      <c r="E148" s="171">
        <f t="shared" si="38"/>
        <v>0</v>
      </c>
      <c r="F148" s="171">
        <v>11143</v>
      </c>
      <c r="G148" s="171">
        <f t="shared" si="39"/>
        <v>11143</v>
      </c>
      <c r="H148" s="172">
        <f t="shared" si="40"/>
        <v>1.567767104528697E-3</v>
      </c>
      <c r="I148" s="337"/>
      <c r="J148" s="183">
        <v>0</v>
      </c>
      <c r="K148" s="183">
        <v>0</v>
      </c>
      <c r="M148" s="364">
        <f t="shared" si="34"/>
        <v>0.94360233720044029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573">
        <f>'[15]Sch C'!D150</f>
        <v>253696.43</v>
      </c>
      <c r="D149" s="573">
        <f>'[15]Sch C'!F150</f>
        <v>0</v>
      </c>
      <c r="E149" s="171">
        <f t="shared" si="38"/>
        <v>253696.43</v>
      </c>
      <c r="F149" s="171">
        <v>-253696</v>
      </c>
      <c r="G149" s="171">
        <f t="shared" si="39"/>
        <v>0.42999999999301508</v>
      </c>
      <c r="H149" s="172">
        <f t="shared" si="40"/>
        <v>6.0498954943586918E-8</v>
      </c>
      <c r="I149" s="337"/>
      <c r="J149" s="183">
        <v>0</v>
      </c>
      <c r="K149" s="183">
        <v>0</v>
      </c>
      <c r="M149" s="364">
        <f t="shared" si="34"/>
        <v>3.6412905410535618E-5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573">
        <f>'[15]Sch C'!D151</f>
        <v>552.70000000000005</v>
      </c>
      <c r="D150" s="573">
        <f>'[15]Sch C'!F151</f>
        <v>0</v>
      </c>
      <c r="E150" s="171">
        <f t="shared" si="38"/>
        <v>552.70000000000005</v>
      </c>
      <c r="F150" s="171">
        <v>253696</v>
      </c>
      <c r="G150" s="171">
        <f t="shared" si="39"/>
        <v>254248.7</v>
      </c>
      <c r="H150" s="172">
        <f t="shared" si="40"/>
        <v>3.5771582897710257E-2</v>
      </c>
      <c r="I150" s="337"/>
      <c r="J150" s="168"/>
      <c r="K150" s="168"/>
      <c r="M150" s="364">
        <f t="shared" si="34"/>
        <v>21.5300787534931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573">
        <f>'[15]Sch C'!D152</f>
        <v>1665.44</v>
      </c>
      <c r="D151" s="573">
        <f>'[15]Sch C'!F152</f>
        <v>0</v>
      </c>
      <c r="E151" s="171">
        <f t="shared" si="38"/>
        <v>1665.44</v>
      </c>
      <c r="F151" s="171"/>
      <c r="G151" s="171">
        <f t="shared" si="39"/>
        <v>1665.44</v>
      </c>
      <c r="H151" s="172">
        <f t="shared" si="40"/>
        <v>2.3431948726252116E-4</v>
      </c>
      <c r="I151" s="337"/>
      <c r="J151" s="168"/>
      <c r="K151" s="168"/>
      <c r="M151" s="364">
        <f t="shared" si="34"/>
        <v>0.14103141671606403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573">
        <f>'[15]Sch C'!D153</f>
        <v>0</v>
      </c>
      <c r="D152" s="573">
        <f>'[15]Sch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7"/>
      <c r="J152" s="168"/>
      <c r="K152" s="168"/>
      <c r="M152" s="364">
        <f t="shared" si="34"/>
        <v>0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573">
        <f>'[15]Sch C'!D154</f>
        <v>0</v>
      </c>
      <c r="D153" s="573">
        <f>'[15]Sch C'!F154</f>
        <v>705469</v>
      </c>
      <c r="E153" s="171">
        <f t="shared" si="38"/>
        <v>705469</v>
      </c>
      <c r="F153" s="171">
        <f>92365+17265</f>
        <v>109630</v>
      </c>
      <c r="G153" s="171">
        <f t="shared" si="39"/>
        <v>815099</v>
      </c>
      <c r="H153" s="172">
        <f t="shared" si="40"/>
        <v>0.11468055273572973</v>
      </c>
      <c r="I153" s="337"/>
      <c r="J153" s="168"/>
      <c r="K153" s="168"/>
      <c r="M153" s="364">
        <f t="shared" si="34"/>
        <v>69.023541366754174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210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573">
        <f>'[15]Sch C'!D156</f>
        <v>0</v>
      </c>
      <c r="D155" s="573">
        <f>'[15]Sch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573">
        <f>'[15]Sch C'!D157</f>
        <v>0</v>
      </c>
      <c r="D156" s="573">
        <f>'[15]Sch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573">
        <f>'[15]Sch C'!D158</f>
        <v>0</v>
      </c>
      <c r="D157" s="573">
        <f>'[15]Sch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7"/>
      <c r="J157" s="168"/>
      <c r="K157" s="168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573">
        <f>'[15]Sch C'!D159</f>
        <v>0</v>
      </c>
      <c r="D158" s="573">
        <f>'[15]Sch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573">
        <f>'[15]Sch C'!D160</f>
        <v>0</v>
      </c>
      <c r="D159" s="573">
        <f>'[15]Sch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7"/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573">
        <f>'[15]Sch C'!D161</f>
        <v>0</v>
      </c>
      <c r="D160" s="573">
        <f>'[15]Sch C'!F161</f>
        <v>0</v>
      </c>
      <c r="E160" s="171">
        <f t="shared" si="41"/>
        <v>0</v>
      </c>
      <c r="F160" s="171"/>
      <c r="G160" s="171">
        <f t="shared" si="42"/>
        <v>0</v>
      </c>
      <c r="H160" s="172">
        <f t="shared" si="43"/>
        <v>0</v>
      </c>
      <c r="I160" s="337"/>
      <c r="J160" s="168"/>
      <c r="K160" s="168"/>
      <c r="M160" s="364">
        <f t="shared" si="34"/>
        <v>0</v>
      </c>
      <c r="N160" s="359">
        <f>SUMMARY!J163</f>
        <v>0.61572967423063263</v>
      </c>
    </row>
    <row r="161" spans="1:14" s="167" customFormat="1">
      <c r="A161" s="169"/>
      <c r="B161" s="170" t="s">
        <v>233</v>
      </c>
      <c r="C161" s="573">
        <f>SUM(C123:C160)</f>
        <v>255914.57</v>
      </c>
      <c r="D161" s="573">
        <f>SUM(D123:D160)</f>
        <v>2897575</v>
      </c>
      <c r="E161" s="171">
        <f t="shared" ref="E161" si="44">SUM(E123:E160)</f>
        <v>3153489.5700000003</v>
      </c>
      <c r="F161" s="171">
        <f>SUM(F123:F160)</f>
        <v>284185</v>
      </c>
      <c r="G161" s="171">
        <f>SUM(G123:G160)</f>
        <v>3437674.5700000003</v>
      </c>
      <c r="H161" s="172">
        <f t="shared" si="43"/>
        <v>0.48366446261516954</v>
      </c>
      <c r="I161" s="337"/>
      <c r="J161" s="168"/>
      <c r="K161" s="168"/>
      <c r="M161" s="364">
        <f>G161/G$228</f>
        <v>291.10632314336527</v>
      </c>
      <c r="N161" s="359">
        <f>SUMMARY!J164</f>
        <v>98.597321527877028</v>
      </c>
    </row>
    <row r="162" spans="1:14" s="167" customFormat="1">
      <c r="A162" s="169"/>
      <c r="B162" s="170"/>
      <c r="C162" s="196"/>
      <c r="D162" s="196"/>
      <c r="E162" s="196"/>
      <c r="F162" s="196"/>
      <c r="G162" s="196"/>
      <c r="H162" s="197"/>
      <c r="I162" s="337"/>
      <c r="J162" s="168"/>
      <c r="K162" s="168"/>
      <c r="M162" s="359"/>
      <c r="N162" s="359"/>
    </row>
    <row r="163" spans="1:14" s="167" customFormat="1" ht="26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7"/>
      <c r="J163" s="168"/>
      <c r="K163" s="168"/>
      <c r="M163" s="359"/>
      <c r="N163" s="359"/>
    </row>
    <row r="164" spans="1:14" s="221" customFormat="1">
      <c r="A164" s="215" t="s">
        <v>95</v>
      </c>
      <c r="B164" s="148" t="s">
        <v>102</v>
      </c>
      <c r="C164" s="573">
        <f>'[15]Sch C'!D175</f>
        <v>0</v>
      </c>
      <c r="D164" s="573">
        <f>'[15]Sch C'!F175</f>
        <v>0</v>
      </c>
      <c r="E164" s="171">
        <f t="shared" ref="E164:E196" si="45">C164+D164</f>
        <v>0</v>
      </c>
      <c r="F164" s="665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>
        <v>0</v>
      </c>
      <c r="K164" s="217">
        <v>0</v>
      </c>
      <c r="L164" s="219"/>
      <c r="M164" s="364">
        <f>G164/G$228</f>
        <v>0</v>
      </c>
      <c r="N164" s="359">
        <f>SUMMARY!J167</f>
        <v>0</v>
      </c>
    </row>
    <row r="165" spans="1:14" s="221" customFormat="1">
      <c r="A165" s="215" t="s">
        <v>123</v>
      </c>
      <c r="B165" s="148" t="s">
        <v>103</v>
      </c>
      <c r="C165" s="573">
        <f>'[15]Sch C'!D176</f>
        <v>0</v>
      </c>
      <c r="D165" s="573">
        <f>'[15]Sch C'!F176</f>
        <v>0</v>
      </c>
      <c r="E165" s="171">
        <f t="shared" si="45"/>
        <v>0</v>
      </c>
      <c r="F165" s="665"/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9"/>
      <c r="M165" s="364">
        <f t="shared" ref="M165:M196" si="48">G165/G$228</f>
        <v>0</v>
      </c>
      <c r="N165" s="359">
        <f>SUMMARY!J168</f>
        <v>0</v>
      </c>
    </row>
    <row r="166" spans="1:14" s="221" customFormat="1">
      <c r="A166" s="215" t="s">
        <v>124</v>
      </c>
      <c r="B166" s="148" t="s">
        <v>104</v>
      </c>
      <c r="C166" s="573">
        <f>'[15]Sch C'!D177</f>
        <v>0</v>
      </c>
      <c r="D166" s="573">
        <f>'[15]Sch C'!F177</f>
        <v>196509</v>
      </c>
      <c r="E166" s="171">
        <f t="shared" si="45"/>
        <v>196509</v>
      </c>
      <c r="F166" s="665">
        <v>4809</v>
      </c>
      <c r="G166" s="171">
        <f t="shared" si="46"/>
        <v>201318</v>
      </c>
      <c r="H166" s="172">
        <f t="shared" si="47"/>
        <v>2.8324485143095057E-2</v>
      </c>
      <c r="I166" s="343"/>
      <c r="J166" s="217">
        <v>7495</v>
      </c>
      <c r="K166" s="217">
        <v>7495</v>
      </c>
      <c r="L166" s="219"/>
      <c r="M166" s="364">
        <f t="shared" si="48"/>
        <v>17.047844864086713</v>
      </c>
      <c r="N166" s="359">
        <f>SUMMARY!J169</f>
        <v>4.5899160973212085</v>
      </c>
    </row>
    <row r="167" spans="1:14" s="221" customFormat="1">
      <c r="A167" s="215" t="s">
        <v>157</v>
      </c>
      <c r="B167" s="148" t="s">
        <v>105</v>
      </c>
      <c r="C167" s="573">
        <f>'[15]Sch C'!D178</f>
        <v>0</v>
      </c>
      <c r="D167" s="573">
        <f>'[15]Sch C'!F178</f>
        <v>28240</v>
      </c>
      <c r="E167" s="171">
        <f t="shared" si="45"/>
        <v>28240</v>
      </c>
      <c r="F167" s="665"/>
      <c r="G167" s="171">
        <f t="shared" si="46"/>
        <v>28240</v>
      </c>
      <c r="H167" s="172">
        <f t="shared" si="47"/>
        <v>3.9732336921735984E-3</v>
      </c>
      <c r="I167" s="344"/>
      <c r="J167" s="222"/>
      <c r="K167" s="222"/>
      <c r="L167" s="219"/>
      <c r="M167" s="364">
        <f t="shared" si="48"/>
        <v>2.391396392581929</v>
      </c>
      <c r="N167" s="359">
        <f>SUMMARY!J170</f>
        <v>0.83466769369350857</v>
      </c>
    </row>
    <row r="168" spans="1:14" s="221" customFormat="1">
      <c r="A168" s="215" t="s">
        <v>158</v>
      </c>
      <c r="B168" s="148" t="s">
        <v>316</v>
      </c>
      <c r="C168" s="573">
        <f>'[15]Sch C'!D179</f>
        <v>0</v>
      </c>
      <c r="D168" s="573">
        <f>'[15]Sch C'!F179</f>
        <v>27025</v>
      </c>
      <c r="E168" s="171">
        <f t="shared" si="45"/>
        <v>27025</v>
      </c>
      <c r="F168" s="665">
        <v>661</v>
      </c>
      <c r="G168" s="171">
        <f t="shared" si="46"/>
        <v>27686</v>
      </c>
      <c r="H168" s="172">
        <f t="shared" si="47"/>
        <v>3.8952885269659433E-3</v>
      </c>
      <c r="I168" s="343"/>
      <c r="J168" s="217">
        <v>865</v>
      </c>
      <c r="K168" s="217">
        <v>865</v>
      </c>
      <c r="L168" s="219"/>
      <c r="M168" s="364">
        <f t="shared" si="48"/>
        <v>2.3444830214243373</v>
      </c>
      <c r="N168" s="359">
        <f>SUMMARY!J171</f>
        <v>0.77161464733349716</v>
      </c>
    </row>
    <row r="169" spans="1:14" s="221" customFormat="1">
      <c r="A169" s="215" t="s">
        <v>86</v>
      </c>
      <c r="B169" s="148" t="s">
        <v>317</v>
      </c>
      <c r="C169" s="573">
        <f>'[15]Sch C'!D180</f>
        <v>0</v>
      </c>
      <c r="D169" s="573">
        <f>'[15]Sch C'!F180</f>
        <v>4306</v>
      </c>
      <c r="E169" s="171">
        <f t="shared" si="45"/>
        <v>4306</v>
      </c>
      <c r="F169" s="665"/>
      <c r="G169" s="171">
        <f t="shared" si="46"/>
        <v>4306</v>
      </c>
      <c r="H169" s="172">
        <f t="shared" si="47"/>
        <v>6.0583372091003941E-4</v>
      </c>
      <c r="I169" s="344"/>
      <c r="J169" s="222"/>
      <c r="K169" s="222"/>
      <c r="L169" s="219"/>
      <c r="M169" s="364">
        <f t="shared" si="48"/>
        <v>0.36463714116351936</v>
      </c>
      <c r="N169" s="359">
        <f>SUMMARY!J172</f>
        <v>0.13394964091641409</v>
      </c>
    </row>
    <row r="170" spans="1:14" s="221" customFormat="1">
      <c r="A170" s="215" t="s">
        <v>96</v>
      </c>
      <c r="B170" s="148" t="s">
        <v>318</v>
      </c>
      <c r="C170" s="573">
        <f>'[15]Sch C'!D181</f>
        <v>0</v>
      </c>
      <c r="D170" s="573">
        <f>'[15]Sch C'!F181</f>
        <v>0</v>
      </c>
      <c r="E170" s="171">
        <f t="shared" si="45"/>
        <v>0</v>
      </c>
      <c r="F170" s="665"/>
      <c r="G170" s="171">
        <f t="shared" si="46"/>
        <v>0</v>
      </c>
      <c r="H170" s="172">
        <f t="shared" si="47"/>
        <v>0</v>
      </c>
      <c r="I170" s="343"/>
      <c r="J170" s="217">
        <v>0</v>
      </c>
      <c r="K170" s="217">
        <v>0</v>
      </c>
      <c r="L170" s="219"/>
      <c r="M170" s="364">
        <f t="shared" si="48"/>
        <v>0</v>
      </c>
      <c r="N170" s="359">
        <f>SUMMARY!J173</f>
        <v>0</v>
      </c>
    </row>
    <row r="171" spans="1:14" s="221" customFormat="1">
      <c r="A171" s="215" t="s">
        <v>125</v>
      </c>
      <c r="B171" s="148" t="s">
        <v>109</v>
      </c>
      <c r="C171" s="573">
        <f>'[15]Sch C'!D182</f>
        <v>0</v>
      </c>
      <c r="D171" s="573">
        <f>'[15]Sch C'!F182</f>
        <v>0</v>
      </c>
      <c r="E171" s="171">
        <f t="shared" si="45"/>
        <v>0</v>
      </c>
      <c r="F171" s="665"/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19"/>
      <c r="M171" s="364">
        <f t="shared" si="48"/>
        <v>0</v>
      </c>
      <c r="N171" s="359">
        <f>SUMMARY!J174</f>
        <v>0</v>
      </c>
    </row>
    <row r="172" spans="1:14" s="221" customFormat="1">
      <c r="A172" s="215" t="s">
        <v>126</v>
      </c>
      <c r="B172" s="148" t="s">
        <v>319</v>
      </c>
      <c r="C172" s="573">
        <f>'[15]Sch C'!D183</f>
        <v>0</v>
      </c>
      <c r="D172" s="573">
        <f>'[15]Sch C'!F183</f>
        <v>158624</v>
      </c>
      <c r="E172" s="171">
        <f t="shared" si="45"/>
        <v>158624</v>
      </c>
      <c r="F172" s="665">
        <v>3882</v>
      </c>
      <c r="G172" s="171">
        <f t="shared" si="46"/>
        <v>162506</v>
      </c>
      <c r="H172" s="172">
        <f t="shared" si="47"/>
        <v>2.2863821330749389E-2</v>
      </c>
      <c r="I172" s="343"/>
      <c r="J172" s="217">
        <v>5047</v>
      </c>
      <c r="K172" s="217">
        <v>5047</v>
      </c>
      <c r="L172" s="219"/>
      <c r="M172" s="364">
        <f t="shared" si="48"/>
        <v>13.761199085443305</v>
      </c>
      <c r="N172" s="359">
        <f>SUMMARY!J175</f>
        <v>2.5941162939297122</v>
      </c>
    </row>
    <row r="173" spans="1:14" s="221" customFormat="1">
      <c r="A173" s="215" t="s">
        <v>127</v>
      </c>
      <c r="B173" s="148" t="s">
        <v>111</v>
      </c>
      <c r="C173" s="573">
        <f>'[15]Sch C'!D184</f>
        <v>0</v>
      </c>
      <c r="D173" s="573">
        <f>'[15]Sch C'!F184</f>
        <v>20830</v>
      </c>
      <c r="E173" s="171">
        <f t="shared" si="45"/>
        <v>20830</v>
      </c>
      <c r="F173" s="665"/>
      <c r="G173" s="171">
        <f t="shared" si="46"/>
        <v>20830</v>
      </c>
      <c r="H173" s="172">
        <f t="shared" si="47"/>
        <v>2.9306819337102E-3</v>
      </c>
      <c r="I173" s="344"/>
      <c r="J173" s="222"/>
      <c r="K173" s="222"/>
      <c r="L173" s="219"/>
      <c r="M173" s="364">
        <f t="shared" si="48"/>
        <v>1.7639088830552969</v>
      </c>
      <c r="N173" s="359">
        <f>SUMMARY!J176</f>
        <v>0.43431776693811036</v>
      </c>
    </row>
    <row r="174" spans="1:14" s="221" customFormat="1">
      <c r="A174" s="215" t="s">
        <v>128</v>
      </c>
      <c r="B174" s="148" t="s">
        <v>320</v>
      </c>
      <c r="C174" s="573">
        <f>'[15]Sch C'!D185</f>
        <v>0</v>
      </c>
      <c r="D174" s="573">
        <f>'[15]Sch C'!F185</f>
        <v>0</v>
      </c>
      <c r="E174" s="171">
        <f t="shared" si="45"/>
        <v>0</v>
      </c>
      <c r="F174" s="665"/>
      <c r="G174" s="171">
        <f t="shared" si="46"/>
        <v>0</v>
      </c>
      <c r="H174" s="172">
        <f t="shared" si="47"/>
        <v>0</v>
      </c>
      <c r="I174" s="343"/>
      <c r="J174" s="217">
        <v>0</v>
      </c>
      <c r="K174" s="217">
        <v>0</v>
      </c>
      <c r="L174" s="219"/>
      <c r="M174" s="364">
        <f t="shared" si="48"/>
        <v>0</v>
      </c>
      <c r="N174" s="359">
        <f>SUMMARY!J177</f>
        <v>2.3603943092760983E-3</v>
      </c>
    </row>
    <row r="175" spans="1:14" s="221" customFormat="1">
      <c r="A175" s="215" t="s">
        <v>129</v>
      </c>
      <c r="B175" s="148" t="s">
        <v>321</v>
      </c>
      <c r="C175" s="573">
        <f>'[15]Sch C'!D186</f>
        <v>0</v>
      </c>
      <c r="D175" s="573">
        <f>'[15]Sch C'!F186</f>
        <v>0</v>
      </c>
      <c r="E175" s="171">
        <f t="shared" si="45"/>
        <v>0</v>
      </c>
      <c r="F175" s="665"/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>
        <f t="shared" si="48"/>
        <v>0</v>
      </c>
      <c r="N175" s="359">
        <f>SUMMARY!J178</f>
        <v>0</v>
      </c>
    </row>
    <row r="176" spans="1:14" s="221" customFormat="1">
      <c r="A176" s="224" t="s">
        <v>293</v>
      </c>
      <c r="B176" s="148" t="s">
        <v>154</v>
      </c>
      <c r="C176" s="573">
        <f>'[15]Sch C'!D187</f>
        <v>0</v>
      </c>
      <c r="D176" s="573">
        <f>'[15]Sch C'!F187</f>
        <v>0</v>
      </c>
      <c r="E176" s="171">
        <f t="shared" si="45"/>
        <v>0</v>
      </c>
      <c r="F176" s="665"/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>
        <f t="shared" si="48"/>
        <v>0</v>
      </c>
      <c r="N176" s="359">
        <f>SUMMARY!J179</f>
        <v>0</v>
      </c>
    </row>
    <row r="177" spans="1:14" s="221" customFormat="1">
      <c r="A177" s="224" t="s">
        <v>294</v>
      </c>
      <c r="B177" s="148" t="s">
        <v>322</v>
      </c>
      <c r="C177" s="573">
        <f>'[15]Sch C'!D188</f>
        <v>0</v>
      </c>
      <c r="D177" s="573">
        <f>'[15]Sch C'!F188</f>
        <v>0</v>
      </c>
      <c r="E177" s="171">
        <f t="shared" si="45"/>
        <v>0</v>
      </c>
      <c r="F177" s="665"/>
      <c r="G177" s="171">
        <f t="shared" si="46"/>
        <v>0</v>
      </c>
      <c r="H177" s="172">
        <f t="shared" si="47"/>
        <v>0</v>
      </c>
      <c r="I177" s="337"/>
      <c r="J177" s="223"/>
      <c r="K177" s="218"/>
      <c r="L177" s="220"/>
      <c r="M177" s="364">
        <f t="shared" si="48"/>
        <v>0</v>
      </c>
      <c r="N177" s="359">
        <f>SUMMARY!J180</f>
        <v>9.0641762922913108E-2</v>
      </c>
    </row>
    <row r="178" spans="1:14" s="221" customFormat="1">
      <c r="A178" s="224" t="s">
        <v>295</v>
      </c>
      <c r="B178" s="148" t="s">
        <v>323</v>
      </c>
      <c r="C178" s="573">
        <f>'[15]Sch C'!D189</f>
        <v>0</v>
      </c>
      <c r="D178" s="573">
        <f>'[15]Sch C'!F189</f>
        <v>0</v>
      </c>
      <c r="E178" s="171">
        <f t="shared" si="45"/>
        <v>0</v>
      </c>
      <c r="F178" s="665"/>
      <c r="G178" s="171">
        <f t="shared" si="46"/>
        <v>0</v>
      </c>
      <c r="H178" s="172">
        <f t="shared" si="47"/>
        <v>0</v>
      </c>
      <c r="I178" s="337"/>
      <c r="J178" s="223"/>
      <c r="K178" s="218"/>
      <c r="L178" s="220"/>
      <c r="M178" s="364">
        <f t="shared" si="48"/>
        <v>0</v>
      </c>
      <c r="N178" s="359">
        <f>SUMMARY!J181</f>
        <v>1.778645585866033E-2</v>
      </c>
    </row>
    <row r="179" spans="1:14" s="221" customFormat="1">
      <c r="A179" s="224" t="s">
        <v>296</v>
      </c>
      <c r="B179" s="148" t="s">
        <v>324</v>
      </c>
      <c r="C179" s="573">
        <f>'[15]Sch C'!D190</f>
        <v>0</v>
      </c>
      <c r="D179" s="573">
        <f>'[15]Sch C'!F190</f>
        <v>0</v>
      </c>
      <c r="E179" s="171">
        <f t="shared" si="45"/>
        <v>0</v>
      </c>
      <c r="F179" s="665"/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</row>
    <row r="180" spans="1:14" s="221" customFormat="1">
      <c r="A180" s="224" t="s">
        <v>297</v>
      </c>
      <c r="B180" s="148" t="s">
        <v>325</v>
      </c>
      <c r="C180" s="573">
        <f>'[15]Sch C'!D191</f>
        <v>0</v>
      </c>
      <c r="D180" s="573">
        <f>'[15]Sch C'!F191</f>
        <v>0</v>
      </c>
      <c r="E180" s="171">
        <f t="shared" si="45"/>
        <v>0</v>
      </c>
      <c r="F180" s="665"/>
      <c r="G180" s="171">
        <f t="shared" si="46"/>
        <v>0</v>
      </c>
      <c r="H180" s="172">
        <f t="shared" si="47"/>
        <v>0</v>
      </c>
      <c r="I180" s="337"/>
      <c r="J180" s="223"/>
      <c r="K180" s="218"/>
      <c r="L180" s="220"/>
      <c r="M180" s="364">
        <f t="shared" si="48"/>
        <v>0</v>
      </c>
      <c r="N180" s="359">
        <f>SUMMARY!J183</f>
        <v>1.8462734496600307E-2</v>
      </c>
    </row>
    <row r="181" spans="1:14" s="221" customFormat="1">
      <c r="A181" s="224" t="s">
        <v>298</v>
      </c>
      <c r="B181" s="148" t="s">
        <v>117</v>
      </c>
      <c r="C181" s="573">
        <f>'[15]Sch C'!D192</f>
        <v>2843.9</v>
      </c>
      <c r="D181" s="573">
        <f>'[15]Sch C'!F192</f>
        <v>0</v>
      </c>
      <c r="E181" s="171">
        <f t="shared" si="45"/>
        <v>2843.9</v>
      </c>
      <c r="F181" s="665"/>
      <c r="G181" s="171">
        <f t="shared" si="46"/>
        <v>2843.9</v>
      </c>
      <c r="H181" s="172">
        <f t="shared" si="47"/>
        <v>4.0012320457409687E-4</v>
      </c>
      <c r="I181" s="337"/>
      <c r="J181" s="223"/>
      <c r="K181" s="218"/>
      <c r="L181" s="220"/>
      <c r="M181" s="364">
        <f t="shared" si="48"/>
        <v>0.24082479464814974</v>
      </c>
      <c r="N181" s="359">
        <f>SUMMARY!J184</f>
        <v>0.21032919363206901</v>
      </c>
    </row>
    <row r="182" spans="1:14" s="221" customFormat="1">
      <c r="A182" s="224" t="s">
        <v>132</v>
      </c>
      <c r="B182" s="148" t="s">
        <v>118</v>
      </c>
      <c r="C182" s="573">
        <f>'[15]Sch C'!D193</f>
        <v>7200</v>
      </c>
      <c r="D182" s="573">
        <f>'[15]Sch C'!F193</f>
        <v>0</v>
      </c>
      <c r="E182" s="171">
        <f t="shared" si="45"/>
        <v>7200</v>
      </c>
      <c r="F182" s="665"/>
      <c r="G182" s="171">
        <f t="shared" si="46"/>
        <v>7200</v>
      </c>
      <c r="H182" s="172">
        <f t="shared" si="47"/>
        <v>1.013005757211399E-3</v>
      </c>
      <c r="I182" s="337"/>
      <c r="J182" s="223"/>
      <c r="K182" s="218"/>
      <c r="L182" s="220"/>
      <c r="M182" s="364">
        <f t="shared" si="48"/>
        <v>0.60970446269794221</v>
      </c>
      <c r="N182" s="359">
        <f>SUMMARY!J185</f>
        <v>4.5937156276453409E-2</v>
      </c>
    </row>
    <row r="183" spans="1:14" s="221" customFormat="1">
      <c r="A183" s="224" t="s">
        <v>133</v>
      </c>
      <c r="B183" s="148" t="s">
        <v>119</v>
      </c>
      <c r="C183" s="573">
        <f>'[15]Sch C'!D194</f>
        <v>56.54</v>
      </c>
      <c r="D183" s="573">
        <f>'[15]Sch C'!F194</f>
        <v>0</v>
      </c>
      <c r="E183" s="171">
        <f t="shared" si="45"/>
        <v>56.54</v>
      </c>
      <c r="F183" s="665"/>
      <c r="G183" s="171">
        <f t="shared" si="46"/>
        <v>56.54</v>
      </c>
      <c r="H183" s="172">
        <f t="shared" si="47"/>
        <v>7.954909098990625E-6</v>
      </c>
      <c r="I183" s="337"/>
      <c r="J183" s="223"/>
      <c r="K183" s="218"/>
      <c r="L183" s="220"/>
      <c r="M183" s="364">
        <f t="shared" si="48"/>
        <v>4.7878736556863409E-3</v>
      </c>
      <c r="N183" s="359">
        <f>SUMMARY!J186</f>
        <v>7.3129851396739571</v>
      </c>
    </row>
    <row r="184" spans="1:14" s="221" customFormat="1">
      <c r="A184" s="224" t="s">
        <v>134</v>
      </c>
      <c r="B184" s="148" t="s">
        <v>326</v>
      </c>
      <c r="C184" s="573">
        <f>'[15]Sch C'!D195</f>
        <v>0</v>
      </c>
      <c r="D184" s="573">
        <f>'[15]Sch C'!F195</f>
        <v>0</v>
      </c>
      <c r="E184" s="171">
        <f t="shared" si="45"/>
        <v>0</v>
      </c>
      <c r="F184" s="665"/>
      <c r="G184" s="171">
        <f t="shared" si="46"/>
        <v>0</v>
      </c>
      <c r="H184" s="172">
        <f t="shared" si="47"/>
        <v>0</v>
      </c>
      <c r="I184" s="337"/>
      <c r="J184" s="223"/>
      <c r="K184" s="218"/>
      <c r="L184" s="220"/>
      <c r="M184" s="364">
        <f t="shared" si="48"/>
        <v>0</v>
      </c>
      <c r="N184" s="359">
        <f>SUMMARY!J187</f>
        <v>1.617871871330657</v>
      </c>
    </row>
    <row r="185" spans="1:14" s="221" customFormat="1">
      <c r="A185" s="224" t="s">
        <v>135</v>
      </c>
      <c r="B185" s="148" t="s">
        <v>327</v>
      </c>
      <c r="C185" s="573">
        <f>'[15]Sch C'!D196</f>
        <v>0</v>
      </c>
      <c r="D185" s="573">
        <f>'[15]Sch C'!F196</f>
        <v>0</v>
      </c>
      <c r="E185" s="171">
        <f t="shared" si="45"/>
        <v>0</v>
      </c>
      <c r="F185" s="665"/>
      <c r="G185" s="171">
        <f t="shared" si="46"/>
        <v>0</v>
      </c>
      <c r="H185" s="172">
        <f t="shared" si="47"/>
        <v>0</v>
      </c>
      <c r="I185" s="337"/>
      <c r="J185" s="223"/>
      <c r="K185" s="218"/>
      <c r="L185" s="220"/>
      <c r="M185" s="364">
        <f t="shared" si="48"/>
        <v>0</v>
      </c>
      <c r="N185" s="359">
        <f>SUMMARY!J188</f>
        <v>0</v>
      </c>
    </row>
    <row r="186" spans="1:14" s="221" customFormat="1">
      <c r="A186" s="224" t="s">
        <v>136</v>
      </c>
      <c r="B186" s="148" t="s">
        <v>328</v>
      </c>
      <c r="C186" s="573">
        <f>'[15]Sch C'!D197</f>
        <v>0</v>
      </c>
      <c r="D186" s="573">
        <f>'[15]Sch C'!F197</f>
        <v>0</v>
      </c>
      <c r="E186" s="171">
        <f t="shared" si="45"/>
        <v>0</v>
      </c>
      <c r="F186" s="665"/>
      <c r="G186" s="171">
        <f t="shared" si="46"/>
        <v>0</v>
      </c>
      <c r="H186" s="172">
        <f t="shared" si="47"/>
        <v>0</v>
      </c>
      <c r="I186" s="337"/>
      <c r="J186" s="223"/>
      <c r="K186" s="218"/>
      <c r="L186" s="220"/>
      <c r="M186" s="364">
        <f t="shared" si="48"/>
        <v>0</v>
      </c>
      <c r="N186" s="359">
        <f>SUMMARY!J189</f>
        <v>5.0698778515059661</v>
      </c>
    </row>
    <row r="187" spans="1:14" s="221" customFormat="1">
      <c r="A187" s="224" t="s">
        <v>137</v>
      </c>
      <c r="B187" s="148" t="s">
        <v>122</v>
      </c>
      <c r="C187" s="573">
        <f>'[15]Sch C'!D198</f>
        <v>47467.21</v>
      </c>
      <c r="D187" s="573">
        <f>'[15]Sch C'!F198</f>
        <v>0</v>
      </c>
      <c r="E187" s="171">
        <f t="shared" si="45"/>
        <v>47467.21</v>
      </c>
      <c r="F187" s="665"/>
      <c r="G187" s="171">
        <f t="shared" si="46"/>
        <v>47467.21</v>
      </c>
      <c r="H187" s="172">
        <f t="shared" si="47"/>
        <v>6.6784106956614565E-3</v>
      </c>
      <c r="I187" s="337"/>
      <c r="J187" s="223"/>
      <c r="K187" s="218"/>
      <c r="L187" s="220"/>
      <c r="M187" s="364">
        <f t="shared" si="48"/>
        <v>4.0195791345583878</v>
      </c>
      <c r="N187" s="359">
        <f>SUMMARY!J190</f>
        <v>1.3048000054613476</v>
      </c>
    </row>
    <row r="188" spans="1:14" s="221" customFormat="1">
      <c r="A188" s="224" t="s">
        <v>275</v>
      </c>
      <c r="B188" s="148" t="s">
        <v>329</v>
      </c>
      <c r="C188" s="573">
        <f>'[15]Sch C'!D199</f>
        <v>0</v>
      </c>
      <c r="D188" s="573">
        <f>'[15]Sch C'!F199</f>
        <v>0</v>
      </c>
      <c r="E188" s="171">
        <f t="shared" si="45"/>
        <v>0</v>
      </c>
      <c r="F188" s="665"/>
      <c r="G188" s="171">
        <f t="shared" si="46"/>
        <v>0</v>
      </c>
      <c r="H188" s="172">
        <f t="shared" si="47"/>
        <v>0</v>
      </c>
      <c r="I188" s="337"/>
      <c r="J188" s="223"/>
      <c r="K188" s="218"/>
      <c r="L188" s="220"/>
      <c r="M188" s="364">
        <f t="shared" si="48"/>
        <v>0</v>
      </c>
      <c r="N188" s="359">
        <f>SUMMARY!J191</f>
        <v>0.39995945495753804</v>
      </c>
    </row>
    <row r="189" spans="1:14" s="221" customFormat="1">
      <c r="A189" s="224" t="s">
        <v>277</v>
      </c>
      <c r="B189" s="148" t="s">
        <v>278</v>
      </c>
      <c r="C189" s="573">
        <f>'[15]Sch C'!D200</f>
        <v>0</v>
      </c>
      <c r="D189" s="573">
        <f>'[15]Sch C'!F200</f>
        <v>0</v>
      </c>
      <c r="E189" s="171">
        <f t="shared" si="45"/>
        <v>0</v>
      </c>
      <c r="F189" s="665"/>
      <c r="G189" s="171">
        <f t="shared" si="46"/>
        <v>0</v>
      </c>
      <c r="H189" s="172">
        <f t="shared" si="47"/>
        <v>0</v>
      </c>
      <c r="I189" s="337"/>
      <c r="J189" s="223"/>
      <c r="K189" s="218"/>
      <c r="L189" s="220"/>
      <c r="M189" s="364">
        <f t="shared" si="48"/>
        <v>0</v>
      </c>
      <c r="N189" s="359">
        <f>SUMMARY!J192</f>
        <v>5.0800032768083883E-3</v>
      </c>
    </row>
    <row r="190" spans="1:14" s="221" customFormat="1">
      <c r="A190" s="225" t="s">
        <v>279</v>
      </c>
      <c r="B190" s="226" t="s">
        <v>280</v>
      </c>
      <c r="C190" s="573">
        <f>'[15]Sch C'!D201</f>
        <v>0</v>
      </c>
      <c r="D190" s="573">
        <f>'[15]Sch C'!F201</f>
        <v>0</v>
      </c>
      <c r="E190" s="171">
        <f t="shared" si="45"/>
        <v>0</v>
      </c>
      <c r="F190" s="665"/>
      <c r="G190" s="171">
        <f t="shared" si="46"/>
        <v>0</v>
      </c>
      <c r="H190" s="172">
        <f t="shared" si="47"/>
        <v>0</v>
      </c>
      <c r="I190" s="337"/>
      <c r="J190" s="223"/>
      <c r="K190" s="218"/>
      <c r="L190" s="220"/>
      <c r="M190" s="364">
        <f t="shared" si="48"/>
        <v>0</v>
      </c>
      <c r="N190" s="359">
        <f>SUMMARY!J193</f>
        <v>-2.2159984708227519E-2</v>
      </c>
    </row>
    <row r="191" spans="1:14" s="221" customFormat="1">
      <c r="A191" s="225" t="s">
        <v>281</v>
      </c>
      <c r="B191" s="226" t="s">
        <v>282</v>
      </c>
      <c r="C191" s="573">
        <f>'[15]Sch C'!D202</f>
        <v>0</v>
      </c>
      <c r="D191" s="573">
        <f>'[15]Sch C'!F202</f>
        <v>0</v>
      </c>
      <c r="E191" s="171">
        <f t="shared" si="45"/>
        <v>0</v>
      </c>
      <c r="F191" s="665"/>
      <c r="G191" s="171">
        <f t="shared" si="46"/>
        <v>0</v>
      </c>
      <c r="H191" s="172">
        <f t="shared" si="47"/>
        <v>0</v>
      </c>
      <c r="I191" s="337"/>
      <c r="J191" s="223"/>
      <c r="K191" s="218"/>
      <c r="L191" s="220"/>
      <c r="M191" s="364">
        <f t="shared" si="48"/>
        <v>0</v>
      </c>
      <c r="N191" s="359">
        <f>SUMMARY!J194</f>
        <v>4.7598918653231749E-4</v>
      </c>
    </row>
    <row r="192" spans="1:14" s="221" customFormat="1">
      <c r="A192" s="225" t="s">
        <v>283</v>
      </c>
      <c r="B192" s="226" t="s">
        <v>330</v>
      </c>
      <c r="C192" s="573">
        <f>'[15]Sch C'!D203</f>
        <v>0</v>
      </c>
      <c r="D192" s="573">
        <f>'[15]Sch C'!F203</f>
        <v>0</v>
      </c>
      <c r="E192" s="171">
        <f t="shared" si="45"/>
        <v>0</v>
      </c>
      <c r="F192" s="665"/>
      <c r="G192" s="171">
        <f t="shared" si="46"/>
        <v>0</v>
      </c>
      <c r="H192" s="172">
        <f t="shared" si="47"/>
        <v>0</v>
      </c>
      <c r="I192" s="337"/>
      <c r="J192" s="223"/>
      <c r="K192" s="218"/>
      <c r="L192" s="220"/>
      <c r="M192" s="364">
        <f t="shared" si="48"/>
        <v>0</v>
      </c>
      <c r="N192" s="359">
        <f>SUMMARY!J195</f>
        <v>9.9736102236421709E-2</v>
      </c>
    </row>
    <row r="193" spans="1:14" s="221" customFormat="1">
      <c r="A193" s="225" t="s">
        <v>285</v>
      </c>
      <c r="B193" s="226" t="s">
        <v>331</v>
      </c>
      <c r="C193" s="573">
        <f>'[15]Sch C'!D204</f>
        <v>0</v>
      </c>
      <c r="D193" s="573">
        <f>'[15]Sch C'!F204</f>
        <v>0</v>
      </c>
      <c r="E193" s="171">
        <f t="shared" si="45"/>
        <v>0</v>
      </c>
      <c r="F193" s="665"/>
      <c r="G193" s="171">
        <f t="shared" si="46"/>
        <v>0</v>
      </c>
      <c r="H193" s="172">
        <f t="shared" si="47"/>
        <v>0</v>
      </c>
      <c r="I193" s="337"/>
      <c r="J193" s="223"/>
      <c r="K193" s="218"/>
      <c r="L193" s="220"/>
      <c r="M193" s="364">
        <f t="shared" si="48"/>
        <v>0</v>
      </c>
      <c r="N193" s="359">
        <f>SUMMARY!J196</f>
        <v>1.4186941918571311E-2</v>
      </c>
    </row>
    <row r="194" spans="1:14" s="221" customFormat="1">
      <c r="A194" s="224" t="s">
        <v>138</v>
      </c>
      <c r="B194" s="148" t="s">
        <v>332</v>
      </c>
      <c r="C194" s="573">
        <f>'[15]Sch C'!D205</f>
        <v>435020.97</v>
      </c>
      <c r="D194" s="573">
        <f>'[15]Sch C'!F205</f>
        <v>0</v>
      </c>
      <c r="E194" s="171">
        <f t="shared" si="45"/>
        <v>435020.97</v>
      </c>
      <c r="F194" s="665"/>
      <c r="G194" s="171">
        <f t="shared" si="46"/>
        <v>435020.97</v>
      </c>
      <c r="H194" s="172">
        <f t="shared" si="47"/>
        <v>6.1205381544123229E-2</v>
      </c>
      <c r="I194" s="337"/>
      <c r="J194" s="223"/>
      <c r="K194" s="218"/>
      <c r="L194" s="220"/>
      <c r="M194" s="364">
        <f t="shared" si="48"/>
        <v>36.838087052248284</v>
      </c>
      <c r="N194" s="359">
        <f>SUMMARY!J197</f>
        <v>9.4205484776494348</v>
      </c>
    </row>
    <row r="195" spans="1:14" s="221" customFormat="1">
      <c r="A195" s="224" t="s">
        <v>139</v>
      </c>
      <c r="B195" s="148" t="s">
        <v>67</v>
      </c>
      <c r="C195" s="573">
        <f>'[15]Sch C'!D206</f>
        <v>198407.36</v>
      </c>
      <c r="D195" s="573">
        <f>'[15]Sch C'!F206</f>
        <v>0</v>
      </c>
      <c r="E195" s="171">
        <f t="shared" si="45"/>
        <v>198407.36</v>
      </c>
      <c r="F195" s="665"/>
      <c r="G195" s="171">
        <f t="shared" si="46"/>
        <v>198407.36</v>
      </c>
      <c r="H195" s="172">
        <f t="shared" si="47"/>
        <v>2.7914971937932586E-2</v>
      </c>
      <c r="I195" s="337"/>
      <c r="J195" s="223"/>
      <c r="K195" s="218"/>
      <c r="L195" s="220"/>
      <c r="M195" s="364">
        <f t="shared" si="48"/>
        <v>16.801368447794054</v>
      </c>
      <c r="N195" s="359">
        <f>SUMMARY!J198</f>
        <v>0.51514733622784747</v>
      </c>
    </row>
    <row r="196" spans="1:14" s="221" customFormat="1">
      <c r="A196" s="225" t="s">
        <v>143</v>
      </c>
      <c r="B196" s="194" t="s">
        <v>333</v>
      </c>
      <c r="C196" s="573">
        <f>'[15]Sch C'!D207</f>
        <v>1009.07</v>
      </c>
      <c r="D196" s="573">
        <f>'[15]Sch C'!F207</f>
        <v>0</v>
      </c>
      <c r="E196" s="171">
        <f t="shared" si="45"/>
        <v>1009.07</v>
      </c>
      <c r="F196" s="665"/>
      <c r="G196" s="171">
        <f t="shared" si="46"/>
        <v>1009.07</v>
      </c>
      <c r="H196" s="172">
        <f t="shared" si="47"/>
        <v>1.4197134992073701E-4</v>
      </c>
      <c r="I196" s="337"/>
      <c r="J196" s="223"/>
      <c r="K196" s="218"/>
      <c r="L196" s="220"/>
      <c r="M196" s="364">
        <f t="shared" si="48"/>
        <v>8.5449233635362859E-2</v>
      </c>
      <c r="N196" s="359">
        <f>SUMMARY!J199</f>
        <v>0.43468466925335936</v>
      </c>
    </row>
    <row r="197" spans="1:14" s="167" customFormat="1" ht="26">
      <c r="A197" s="163"/>
      <c r="B197" s="212" t="s">
        <v>130</v>
      </c>
      <c r="C197" s="573">
        <f>SUM(C164:C196)</f>
        <v>692005.04999999993</v>
      </c>
      <c r="D197" s="573">
        <f>SUM(D164:D196)</f>
        <v>435534</v>
      </c>
      <c r="E197" s="171">
        <f t="shared" ref="E197" si="49">SUM(E164:E196)</f>
        <v>1127539.05</v>
      </c>
      <c r="F197" s="171">
        <f>SUM(F164:F196)</f>
        <v>9352</v>
      </c>
      <c r="G197" s="171">
        <f>SUM(G164:G196)</f>
        <v>1136891.05</v>
      </c>
      <c r="H197" s="172">
        <f>IF($G$208=0,0,G197/$G$208)</f>
        <v>0.15995516374612673</v>
      </c>
      <c r="I197" s="337"/>
      <c r="J197" s="168"/>
      <c r="K197" s="168"/>
      <c r="M197" s="364">
        <f>G197/G$228</f>
        <v>96.273270386992976</v>
      </c>
      <c r="N197" s="359">
        <f>SUMMARY!J200</f>
        <v>35.91740838389223</v>
      </c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341"/>
      <c r="J198" s="168"/>
      <c r="K198" s="168"/>
      <c r="M198" s="359"/>
      <c r="N198" s="359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1"/>
      <c r="J199" s="168"/>
      <c r="K199" s="168"/>
      <c r="M199" s="359"/>
      <c r="N199" s="359"/>
    </row>
    <row r="200" spans="1:14" s="167" customFormat="1">
      <c r="A200" s="169" t="s">
        <v>85</v>
      </c>
      <c r="B200" s="170" t="s">
        <v>69</v>
      </c>
      <c r="C200" s="573">
        <f>'[15]Sch C'!D211</f>
        <v>0</v>
      </c>
      <c r="D200" s="573">
        <f>'[15]Sch C'!F211</f>
        <v>93922</v>
      </c>
      <c r="E200" s="171">
        <f t="shared" ref="E200:E205" si="50">C200+D200</f>
        <v>93922</v>
      </c>
      <c r="F200" s="171">
        <v>2299</v>
      </c>
      <c r="G200" s="171">
        <f t="shared" ref="G200:G205" si="51">E200+F200</f>
        <v>96221</v>
      </c>
      <c r="H200" s="172">
        <f t="shared" ref="H200:H206" si="52">IF($G$208=0,0,G200/$G$208)</f>
        <v>1.3537837078421947E-2</v>
      </c>
      <c r="I200" s="337"/>
      <c r="J200" s="183">
        <v>5018</v>
      </c>
      <c r="K200" s="183">
        <v>5018</v>
      </c>
      <c r="M200" s="364">
        <f t="shared" ref="M200:M205" si="53">G200/G$228</f>
        <v>8.1481073757303744</v>
      </c>
      <c r="N200" s="359">
        <f>SUMMARY!J203</f>
        <v>4.8433639387236838</v>
      </c>
    </row>
    <row r="201" spans="1:14" s="167" customFormat="1">
      <c r="A201" s="169" t="s">
        <v>86</v>
      </c>
      <c r="B201" s="170" t="s">
        <v>45</v>
      </c>
      <c r="C201" s="573">
        <f>'[15]Sch C'!D212</f>
        <v>0</v>
      </c>
      <c r="D201" s="573">
        <f>'[15]Sch C'!F212</f>
        <v>13395</v>
      </c>
      <c r="E201" s="171">
        <f t="shared" si="50"/>
        <v>13395</v>
      </c>
      <c r="F201" s="171"/>
      <c r="G201" s="171">
        <f t="shared" si="51"/>
        <v>13395</v>
      </c>
      <c r="H201" s="172">
        <f t="shared" si="52"/>
        <v>1.8846127941453735E-3</v>
      </c>
      <c r="I201" s="337"/>
      <c r="J201" s="168"/>
      <c r="K201" s="168"/>
      <c r="M201" s="364">
        <f t="shared" si="53"/>
        <v>1.1343043441442968</v>
      </c>
      <c r="N201" s="359">
        <f>SUMMARY!J204</f>
        <v>0.96144674193499036</v>
      </c>
    </row>
    <row r="202" spans="1:14" s="167" customFormat="1">
      <c r="A202" s="169" t="s">
        <v>140</v>
      </c>
      <c r="B202" s="170" t="s">
        <v>54</v>
      </c>
      <c r="C202" s="573">
        <f>'[15]Sch C'!D213</f>
        <v>10097.43</v>
      </c>
      <c r="D202" s="573">
        <f>'[15]Sch C'!F213</f>
        <v>0</v>
      </c>
      <c r="E202" s="171">
        <f t="shared" si="50"/>
        <v>10097.43</v>
      </c>
      <c r="F202" s="171"/>
      <c r="G202" s="171">
        <f t="shared" si="51"/>
        <v>10097.43</v>
      </c>
      <c r="H202" s="172">
        <f t="shared" si="52"/>
        <v>1.4206603781998744E-3</v>
      </c>
      <c r="I202" s="337"/>
      <c r="J202" s="168"/>
      <c r="K202" s="168"/>
      <c r="M202" s="364">
        <f t="shared" si="53"/>
        <v>0.85506224066390046</v>
      </c>
      <c r="N202" s="359">
        <f>SUMMARY!J205</f>
        <v>0.5247184566232489</v>
      </c>
    </row>
    <row r="203" spans="1:14" s="167" customFormat="1">
      <c r="A203" s="169" t="s">
        <v>141</v>
      </c>
      <c r="B203" s="170" t="s">
        <v>70</v>
      </c>
      <c r="C203" s="573">
        <f>'[15]Sch C'!D214</f>
        <v>0</v>
      </c>
      <c r="D203" s="573">
        <f>'[15]Sch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>
        <f t="shared" si="53"/>
        <v>0</v>
      </c>
      <c r="N203" s="359">
        <f>SUMMARY!J206</f>
        <v>1.4027039130553507E-2</v>
      </c>
    </row>
    <row r="204" spans="1:14" s="167" customFormat="1">
      <c r="A204" s="169" t="s">
        <v>142</v>
      </c>
      <c r="B204" s="202" t="s">
        <v>71</v>
      </c>
      <c r="C204" s="573">
        <f>'[15]Sch C'!D215</f>
        <v>0</v>
      </c>
      <c r="D204" s="573">
        <f>'[15]Sch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</row>
    <row r="205" spans="1:14" s="167" customFormat="1">
      <c r="A205" s="169" t="s">
        <v>143</v>
      </c>
      <c r="B205" s="170" t="s">
        <v>312</v>
      </c>
      <c r="C205" s="573">
        <f>'[15]Sch C'!D216</f>
        <v>0</v>
      </c>
      <c r="D205" s="573">
        <f>'[15]Sch C'!F216</f>
        <v>0</v>
      </c>
      <c r="E205" s="171">
        <f t="shared" si="50"/>
        <v>0</v>
      </c>
      <c r="F205" s="171"/>
      <c r="G205" s="171">
        <f t="shared" si="51"/>
        <v>0</v>
      </c>
      <c r="H205" s="172">
        <f t="shared" si="52"/>
        <v>0</v>
      </c>
      <c r="I205" s="337"/>
      <c r="J205" s="168"/>
      <c r="K205" s="168"/>
      <c r="M205" s="364">
        <f t="shared" si="53"/>
        <v>0</v>
      </c>
      <c r="N205" s="359">
        <f>SUMMARY!J208</f>
        <v>0.36483307391933595</v>
      </c>
    </row>
    <row r="206" spans="1:14" s="167" customFormat="1">
      <c r="A206" s="163"/>
      <c r="B206" s="170" t="s">
        <v>144</v>
      </c>
      <c r="C206" s="573">
        <f>SUM(C200:C205)</f>
        <v>10097.43</v>
      </c>
      <c r="D206" s="573">
        <f>SUM(D200:D205)</f>
        <v>107317</v>
      </c>
      <c r="E206" s="171">
        <f t="shared" ref="E206" si="54">SUM(E200:E205)</f>
        <v>117414.43</v>
      </c>
      <c r="F206" s="171">
        <f>SUM(F200:F205)</f>
        <v>2299</v>
      </c>
      <c r="G206" s="171">
        <f>SUM(G200:G205)</f>
        <v>119713.43</v>
      </c>
      <c r="H206" s="172">
        <f t="shared" si="52"/>
        <v>1.6843110250767193E-2</v>
      </c>
      <c r="I206" s="337"/>
      <c r="J206" s="168"/>
      <c r="K206" s="168"/>
      <c r="M206" s="364">
        <f>G206/G$228</f>
        <v>10.137473960538571</v>
      </c>
      <c r="N206" s="359">
        <f>SUMMARY!J209</f>
        <v>6.7083892503318125</v>
      </c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14" s="167" customFormat="1">
      <c r="A208" s="227"/>
      <c r="B208" s="228" t="s">
        <v>145</v>
      </c>
      <c r="C208" s="573">
        <f>SUM(C25:C206)/2</f>
        <v>7159005.790000001</v>
      </c>
      <c r="D208" s="573">
        <f>SUM(D25:D206)/2</f>
        <v>-132789</v>
      </c>
      <c r="E208" s="171">
        <f t="shared" ref="E208:F208" si="55">SUM(E25:E206)/2</f>
        <v>7026216.790000001</v>
      </c>
      <c r="F208" s="171">
        <f t="shared" si="55"/>
        <v>81344</v>
      </c>
      <c r="G208" s="171">
        <f>SUM(G25:G206)/2</f>
        <v>7107560.790000001</v>
      </c>
      <c r="H208" s="172">
        <f>IF($G$208=0,0,G208/$G$208)</f>
        <v>1</v>
      </c>
      <c r="I208" s="337"/>
      <c r="J208" s="183">
        <f>SUM(J25:J200)</f>
        <v>149742</v>
      </c>
      <c r="K208" s="183">
        <f>SUM(K25:K200)</f>
        <v>149742</v>
      </c>
      <c r="M208" s="364">
        <f>G208/G$228</f>
        <v>601.87660174443226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573">
        <f>'[15]Sch C'!D221</f>
        <v>0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573">
        <f>C208-C211</f>
        <v>7159005.790000001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619"/>
      <c r="D213" s="232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573">
        <f>C21-C208</f>
        <v>-347304.10000000056</v>
      </c>
      <c r="D215" s="573">
        <f>D21-D208</f>
        <v>132789</v>
      </c>
      <c r="E215" s="171">
        <f t="shared" ref="E215:F215" si="56">E21-E208</f>
        <v>-214515.10000000056</v>
      </c>
      <c r="F215" s="171">
        <f t="shared" si="56"/>
        <v>-81344</v>
      </c>
      <c r="G215" s="171">
        <f>G21-G208</f>
        <v>-295859.10000000056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653">
        <f>'[15]Sch D'!C9</f>
        <v>4975</v>
      </c>
      <c r="D219" s="653"/>
      <c r="E219" s="235">
        <f t="shared" ref="E219:G227" si="57">C219+D219</f>
        <v>4975</v>
      </c>
      <c r="F219" s="234"/>
      <c r="G219" s="235">
        <f t="shared" si="57"/>
        <v>4975</v>
      </c>
      <c r="H219" s="172">
        <f t="shared" ref="H219:H228" si="58">IF($G$228=0,0,G219/$G$228)</f>
        <v>0.42128884748920314</v>
      </c>
      <c r="I219" s="337"/>
      <c r="J219" s="168"/>
      <c r="K219" s="168"/>
    </row>
    <row r="220" spans="1:14">
      <c r="A220" s="163"/>
      <c r="B220" s="170" t="s">
        <v>217</v>
      </c>
      <c r="C220" s="653">
        <f>'[15]Sch D'!D9</f>
        <v>317</v>
      </c>
      <c r="D220" s="653"/>
      <c r="E220" s="171">
        <f t="shared" ref="E220:E227" si="59">C220+D220</f>
        <v>317</v>
      </c>
      <c r="F220" s="234"/>
      <c r="G220" s="235">
        <f t="shared" si="57"/>
        <v>317</v>
      </c>
      <c r="H220" s="172">
        <f t="shared" si="58"/>
        <v>2.6843932593784401E-2</v>
      </c>
      <c r="I220" s="337"/>
      <c r="J220" s="168"/>
      <c r="K220" s="168"/>
    </row>
    <row r="221" spans="1:14">
      <c r="A221" s="163"/>
      <c r="B221" s="170" t="s">
        <v>72</v>
      </c>
      <c r="C221" s="653">
        <f>'[15]Sch D'!E9</f>
        <v>2237</v>
      </c>
      <c r="D221" s="653"/>
      <c r="E221" s="171">
        <f t="shared" si="59"/>
        <v>2237</v>
      </c>
      <c r="F221" s="234"/>
      <c r="G221" s="235">
        <f t="shared" si="57"/>
        <v>2237</v>
      </c>
      <c r="H221" s="172">
        <f t="shared" si="58"/>
        <v>0.18943178931323568</v>
      </c>
      <c r="I221" s="337"/>
      <c r="J221" s="168"/>
      <c r="K221" s="168"/>
    </row>
    <row r="222" spans="1:14">
      <c r="A222" s="163"/>
      <c r="B222" s="202" t="s">
        <v>334</v>
      </c>
      <c r="C222" s="653">
        <f>'[15]Sch D'!F9</f>
        <v>1499</v>
      </c>
      <c r="D222" s="653"/>
      <c r="E222" s="171">
        <f t="shared" si="59"/>
        <v>1499</v>
      </c>
      <c r="F222" s="234"/>
      <c r="G222" s="235">
        <f>E222+F222</f>
        <v>1499</v>
      </c>
      <c r="H222" s="172">
        <f t="shared" si="58"/>
        <v>0.12693708188669658</v>
      </c>
      <c r="I222" s="337"/>
      <c r="J222" s="168"/>
      <c r="K222" s="168"/>
    </row>
    <row r="223" spans="1:14">
      <c r="A223" s="163"/>
      <c r="B223" s="170" t="s">
        <v>73</v>
      </c>
      <c r="C223" s="653">
        <f>'[15]Sch D'!G9</f>
        <v>0</v>
      </c>
      <c r="D223" s="653"/>
      <c r="E223" s="171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7"/>
      <c r="J223" s="168"/>
      <c r="K223" s="168"/>
    </row>
    <row r="224" spans="1:14">
      <c r="A224" s="163"/>
      <c r="B224" s="170" t="s">
        <v>74</v>
      </c>
      <c r="C224" s="653">
        <f>'[15]Sch D'!H9</f>
        <v>725</v>
      </c>
      <c r="D224" s="653"/>
      <c r="E224" s="171">
        <f t="shared" si="59"/>
        <v>725</v>
      </c>
      <c r="F224" s="234"/>
      <c r="G224" s="235">
        <f t="shared" si="57"/>
        <v>725</v>
      </c>
      <c r="H224" s="172">
        <f t="shared" si="58"/>
        <v>6.1393852146667795E-2</v>
      </c>
      <c r="I224" s="337"/>
      <c r="J224" s="168"/>
      <c r="K224" s="168"/>
    </row>
    <row r="225" spans="1:11">
      <c r="A225" s="163"/>
      <c r="B225" s="170" t="s">
        <v>236</v>
      </c>
      <c r="C225" s="653">
        <f>'[15]Sch D'!I9</f>
        <v>99</v>
      </c>
      <c r="D225" s="653"/>
      <c r="E225" s="171">
        <f t="shared" si="59"/>
        <v>99</v>
      </c>
      <c r="F225" s="234"/>
      <c r="G225" s="235">
        <f t="shared" si="57"/>
        <v>99</v>
      </c>
      <c r="H225" s="172">
        <f t="shared" si="58"/>
        <v>8.3834363620967061E-3</v>
      </c>
      <c r="I225" s="337"/>
      <c r="J225" s="168"/>
      <c r="K225" s="168"/>
    </row>
    <row r="226" spans="1:11">
      <c r="A226" s="163"/>
      <c r="B226" s="170" t="s">
        <v>235</v>
      </c>
      <c r="C226" s="653">
        <f>'[15]Sch D'!J9</f>
        <v>79</v>
      </c>
      <c r="D226" s="653"/>
      <c r="E226" s="171">
        <f t="shared" si="59"/>
        <v>79</v>
      </c>
      <c r="F226" s="234"/>
      <c r="G226" s="235">
        <f>E226+F226</f>
        <v>79</v>
      </c>
      <c r="H226" s="172">
        <f t="shared" si="58"/>
        <v>6.6898128546024217E-3</v>
      </c>
      <c r="I226" s="337"/>
      <c r="J226" s="168"/>
      <c r="K226" s="168"/>
    </row>
    <row r="227" spans="1:11">
      <c r="A227" s="163"/>
      <c r="B227" s="170" t="s">
        <v>179</v>
      </c>
      <c r="C227" s="653">
        <f>'[15]Sch D'!K9</f>
        <v>1878</v>
      </c>
      <c r="D227" s="653"/>
      <c r="E227" s="171">
        <f t="shared" si="59"/>
        <v>1878</v>
      </c>
      <c r="F227" s="234"/>
      <c r="G227" s="235">
        <f t="shared" si="57"/>
        <v>1878</v>
      </c>
      <c r="H227" s="172">
        <f t="shared" si="58"/>
        <v>0.15903124735371327</v>
      </c>
      <c r="I227" s="337"/>
      <c r="J227" s="168"/>
      <c r="K227" s="168"/>
    </row>
    <row r="228" spans="1:11" ht="13.5" thickBot="1">
      <c r="A228" s="163"/>
      <c r="B228" s="236" t="s">
        <v>75</v>
      </c>
      <c r="C228" s="653">
        <f>SUM(C219:C227)</f>
        <v>11809</v>
      </c>
      <c r="D228" s="653">
        <f>SUM(D219:D227)</f>
        <v>0</v>
      </c>
      <c r="E228" s="237">
        <f>SUM(E219:E227)</f>
        <v>11809</v>
      </c>
      <c r="F228" s="237">
        <f>SUM(F219:F227)</f>
        <v>0</v>
      </c>
      <c r="G228" s="237">
        <f>SUM(G219:G227)</f>
        <v>11809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620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619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654">
        <f>'[15]Sch D'!N22</f>
        <v>36</v>
      </c>
      <c r="D231" s="574"/>
      <c r="E231" s="235">
        <f>C231+D231</f>
        <v>36</v>
      </c>
      <c r="F231" s="235"/>
      <c r="G231" s="235">
        <f>E231+F231</f>
        <v>36</v>
      </c>
      <c r="H231" s="167"/>
      <c r="J231" s="168"/>
      <c r="K231" s="168"/>
    </row>
    <row r="232" spans="1:11">
      <c r="A232" s="163"/>
      <c r="B232" s="202" t="s">
        <v>290</v>
      </c>
      <c r="C232" s="654">
        <f>'[15]Sch D'!N24</f>
        <v>24</v>
      </c>
      <c r="D232" s="574"/>
      <c r="E232" s="235">
        <f>C232+D232</f>
        <v>24</v>
      </c>
      <c r="F232" s="235"/>
      <c r="G232" s="235">
        <f>E232+F232</f>
        <v>24</v>
      </c>
      <c r="H232" s="167"/>
      <c r="J232" s="168"/>
      <c r="K232" s="168"/>
    </row>
    <row r="233" spans="1:11">
      <c r="A233" s="163"/>
      <c r="B233" s="202" t="s">
        <v>76</v>
      </c>
      <c r="C233" s="654">
        <f>$C$4-$C$3+1</f>
        <v>365</v>
      </c>
      <c r="D233" s="489"/>
      <c r="E233" s="235">
        <f>C233+D233</f>
        <v>365</v>
      </c>
      <c r="F233" s="240"/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621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654">
        <f>'[15]Sch D'!N28</f>
        <v>13140</v>
      </c>
      <c r="D235" s="489"/>
      <c r="E235" s="234">
        <f>E231*E233</f>
        <v>13140</v>
      </c>
      <c r="F235" s="240"/>
      <c r="G235" s="234">
        <f>G231*G233</f>
        <v>13140</v>
      </c>
      <c r="H235" s="167"/>
      <c r="J235" s="168"/>
      <c r="K235" s="168"/>
    </row>
    <row r="236" spans="1:11" ht="26">
      <c r="A236" s="163"/>
      <c r="B236" s="244" t="s">
        <v>336</v>
      </c>
      <c r="C236" s="655">
        <f>'[15]Sch D'!N30</f>
        <v>0.89870624048706238</v>
      </c>
      <c r="D236" s="240"/>
      <c r="E236" s="245">
        <f>E228/E235</f>
        <v>0.89870624048706238</v>
      </c>
      <c r="F236" s="246"/>
      <c r="G236" s="245">
        <f>G228/G235</f>
        <v>0.89870624048706238</v>
      </c>
      <c r="H236" s="167"/>
      <c r="J236" s="168"/>
      <c r="K236" s="168"/>
    </row>
    <row r="237" spans="1:11" ht="26">
      <c r="A237" s="163"/>
      <c r="B237" s="244" t="s">
        <v>337</v>
      </c>
      <c r="C237" s="655">
        <f>'[15]Sch D'!N32</f>
        <v>0.40273972602739727</v>
      </c>
      <c r="D237" s="240"/>
      <c r="E237" s="245">
        <f>(E219+E220)/E235</f>
        <v>0.40273972602739727</v>
      </c>
      <c r="F237" s="246"/>
      <c r="G237" s="245">
        <f>(G219+G220)/G235</f>
        <v>0.40273972602739727</v>
      </c>
      <c r="H237" s="167"/>
      <c r="J237" s="168"/>
      <c r="K237" s="168"/>
    </row>
    <row r="238" spans="1:11" ht="39">
      <c r="A238" s="163"/>
      <c r="B238" s="244" t="s">
        <v>338</v>
      </c>
      <c r="C238" s="655">
        <f>'[15]Sch D'!N34</f>
        <v>0.44813278008298757</v>
      </c>
      <c r="D238" s="240"/>
      <c r="E238" s="245">
        <f>(E237/E236)</f>
        <v>0.44813278008298757</v>
      </c>
      <c r="F238" s="246"/>
      <c r="G238" s="245">
        <f>(G237/G236)</f>
        <v>0.44813278008298757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73">
        <f>'[15]Sch B'!C85</f>
        <v>393.7</v>
      </c>
    </row>
    <row r="242" spans="2:7">
      <c r="F242" s="142" t="s">
        <v>341</v>
      </c>
      <c r="G242" s="573">
        <f>'[15]Sch B'!E85</f>
        <v>393.7</v>
      </c>
    </row>
    <row r="243" spans="2:7">
      <c r="F243" s="142" t="s">
        <v>342</v>
      </c>
      <c r="G243" s="573">
        <f>'[15]Sch B'!G85</f>
        <v>393.70000000000005</v>
      </c>
    </row>
    <row r="244" spans="2:7">
      <c r="F244" s="142" t="s">
        <v>343</v>
      </c>
      <c r="G244" s="573">
        <f>'[15]Sch B'!I85</f>
        <v>393.4375</v>
      </c>
    </row>
    <row r="245" spans="2:7">
      <c r="F245" s="142"/>
    </row>
  </sheetData>
  <printOptions horizontalCentered="1"/>
  <pageMargins left="0" right="0" top="0.75" bottom="1" header="0.5" footer="0.5"/>
  <pageSetup scale="70" orientation="portrait" horizontalDpi="300" verticalDpi="300" r:id="rId1"/>
  <headerFooter alignWithMargins="0">
    <oddFooter>&amp;R&amp;D
&amp;T
&amp;F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tabColor rgb="FFE28CAB"/>
  </sheetPr>
  <dimension ref="A1:N245"/>
  <sheetViews>
    <sheetView showGridLines="0" topLeftCell="A194" zoomScaleNormal="100" workbookViewId="0">
      <pane xSplit="2" topLeftCell="C1" activePane="topRight" state="frozen"/>
      <selection activeCell="N1" sqref="N1"/>
      <selection pane="topRight" activeCell="N1" sqref="N1"/>
    </sheetView>
  </sheetViews>
  <sheetFormatPr defaultColWidth="8.6640625" defaultRowHeight="13"/>
  <cols>
    <col min="1" max="1" width="8.58203125" style="142" customWidth="1"/>
    <col min="2" max="2" width="43.082031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478"/>
      <c r="E1" s="478"/>
      <c r="F1" s="478"/>
      <c r="G1" s="478"/>
      <c r="H1" s="478"/>
      <c r="I1" s="479"/>
    </row>
    <row r="2" spans="1:14" ht="23">
      <c r="B2" s="143" t="s">
        <v>189</v>
      </c>
      <c r="C2" s="247" t="s">
        <v>248</v>
      </c>
    </row>
    <row r="3" spans="1:14" ht="15.5">
      <c r="A3" s="145"/>
      <c r="B3" s="140" t="s">
        <v>79</v>
      </c>
      <c r="C3" s="495">
        <v>41821</v>
      </c>
      <c r="D3" s="144"/>
      <c r="E3" s="401"/>
      <c r="F3" s="401"/>
    </row>
    <row r="4" spans="1:14" ht="15.5">
      <c r="A4" s="145"/>
      <c r="B4" s="148" t="s">
        <v>80</v>
      </c>
      <c r="C4" s="495">
        <v>42185</v>
      </c>
      <c r="D4" s="144"/>
      <c r="E4" s="401"/>
      <c r="F4" s="401"/>
      <c r="G4" s="150"/>
    </row>
    <row r="5" spans="1:14">
      <c r="A5" s="145"/>
      <c r="B5" s="148"/>
      <c r="C5" s="151"/>
      <c r="D5" s="144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144"/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573">
        <f>'[16]Sch B'!E10</f>
        <v>2089252</v>
      </c>
      <c r="D11" s="573">
        <f>'[16]Sch B'!G10</f>
        <v>-47903</v>
      </c>
      <c r="E11" s="171">
        <f>C11+D11</f>
        <v>2041349</v>
      </c>
      <c r="F11" s="171"/>
      <c r="G11" s="171">
        <f t="shared" ref="G11:G20" si="0">E11+F11</f>
        <v>2041349</v>
      </c>
      <c r="H11" s="172">
        <f t="shared" ref="H11:H21" si="1">IF($G$21=0,0,G11/$G$21)</f>
        <v>0.32453260033194914</v>
      </c>
      <c r="I11" s="337"/>
      <c r="J11" s="368" t="s">
        <v>344</v>
      </c>
      <c r="K11" s="369">
        <f>G21</f>
        <v>6290120</v>
      </c>
      <c r="M11" s="359">
        <f>IFERROR(G11/G219,0)</f>
        <v>174.19139858349689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573">
        <f>'[16]Sch B'!E15</f>
        <v>0</v>
      </c>
      <c r="D12" s="573">
        <f>'[16]Sch B'!G15</f>
        <v>47903</v>
      </c>
      <c r="E12" s="171">
        <f t="shared" ref="E12:E20" si="2">C12+D12</f>
        <v>47903</v>
      </c>
      <c r="F12" s="171"/>
      <c r="G12" s="171">
        <f>E12+F12</f>
        <v>47903</v>
      </c>
      <c r="H12" s="172">
        <f t="shared" si="1"/>
        <v>7.6155939791291739E-3</v>
      </c>
      <c r="I12" s="337"/>
      <c r="J12" s="370" t="s">
        <v>345</v>
      </c>
      <c r="K12" s="371">
        <f>G208</f>
        <v>6318896</v>
      </c>
      <c r="M12" s="359">
        <f t="shared" ref="M12:M19" si="3">IFERROR(G12/G220,0)</f>
        <v>174.19272727272727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573">
        <f>'[16]Sch B'!E21</f>
        <v>1809900</v>
      </c>
      <c r="D13" s="573">
        <f>'[16]Sch B'!G21</f>
        <v>0</v>
      </c>
      <c r="E13" s="171">
        <f t="shared" si="2"/>
        <v>1809900</v>
      </c>
      <c r="F13" s="171"/>
      <c r="G13" s="171">
        <f t="shared" si="0"/>
        <v>1809900</v>
      </c>
      <c r="H13" s="172">
        <f t="shared" si="1"/>
        <v>0.28773695891334344</v>
      </c>
      <c r="I13" s="337"/>
      <c r="J13" s="370" t="s">
        <v>346</v>
      </c>
      <c r="K13" s="371">
        <f>G228</f>
        <v>23177</v>
      </c>
      <c r="M13" s="359">
        <f t="shared" si="3"/>
        <v>512.1392190152801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573">
        <f>'[16]Sch B'!E27</f>
        <v>0</v>
      </c>
      <c r="D14" s="573">
        <f>'[16]Sch B'!G27</f>
        <v>0</v>
      </c>
      <c r="E14" s="171">
        <f t="shared" si="2"/>
        <v>0</v>
      </c>
      <c r="F14" s="175">
        <f>2057685-834452</f>
        <v>1223233</v>
      </c>
      <c r="G14" s="175">
        <f>E14+F14</f>
        <v>1223233</v>
      </c>
      <c r="H14" s="176">
        <f t="shared" si="1"/>
        <v>0.19446894494858605</v>
      </c>
      <c r="I14" s="338"/>
      <c r="J14" s="370" t="s">
        <v>347</v>
      </c>
      <c r="K14" s="371">
        <f>G231</f>
        <v>88</v>
      </c>
      <c r="M14" s="359">
        <f t="shared" si="3"/>
        <v>489.48899559823928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573">
        <f>'[16]Sch B'!E32</f>
        <v>0</v>
      </c>
      <c r="D15" s="573">
        <f>'[16]Sch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7"/>
      <c r="J15" s="370" t="s">
        <v>348</v>
      </c>
      <c r="K15" s="371">
        <f>G235</f>
        <v>32120</v>
      </c>
      <c r="M15" s="359">
        <f t="shared" si="3"/>
        <v>0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573">
        <f>'[16]Sch B'!E37</f>
        <v>644253</v>
      </c>
      <c r="D16" s="573">
        <f>'[16]Sch B'!G37</f>
        <v>0</v>
      </c>
      <c r="E16" s="171">
        <f t="shared" si="2"/>
        <v>644253</v>
      </c>
      <c r="F16" s="171"/>
      <c r="G16" s="171">
        <f t="shared" si="0"/>
        <v>644253</v>
      </c>
      <c r="H16" s="172">
        <f t="shared" si="1"/>
        <v>0.10242300623835475</v>
      </c>
      <c r="I16" s="337"/>
      <c r="J16" s="372"/>
      <c r="K16" s="371"/>
      <c r="M16" s="359">
        <f t="shared" si="3"/>
        <v>231.24659009332376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573">
        <f>'[16]Sch B'!E42</f>
        <v>342984</v>
      </c>
      <c r="D17" s="573">
        <f>'[16]Sch B'!G42</f>
        <v>0</v>
      </c>
      <c r="E17" s="171">
        <f t="shared" si="2"/>
        <v>342984</v>
      </c>
      <c r="F17" s="171"/>
      <c r="G17" s="171">
        <f>E17+F17</f>
        <v>342984</v>
      </c>
      <c r="H17" s="172">
        <f t="shared" si="1"/>
        <v>5.4527417600936073E-2</v>
      </c>
      <c r="I17" s="337"/>
      <c r="J17" s="370" t="s">
        <v>156</v>
      </c>
      <c r="K17" s="371">
        <f>J208</f>
        <v>153939</v>
      </c>
      <c r="M17" s="359">
        <f t="shared" si="3"/>
        <v>177.06969540526586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573">
        <f>'[16]Sch B'!E47</f>
        <v>26263</v>
      </c>
      <c r="D18" s="573">
        <f>'[16]Sch B'!G47</f>
        <v>0</v>
      </c>
      <c r="E18" s="171">
        <f t="shared" si="2"/>
        <v>26263</v>
      </c>
      <c r="F18" s="171"/>
      <c r="G18" s="171">
        <f>E18+F18</f>
        <v>26263</v>
      </c>
      <c r="H18" s="172">
        <f t="shared" si="1"/>
        <v>4.175278055108647E-3</v>
      </c>
      <c r="I18" s="337"/>
      <c r="J18" s="373" t="s">
        <v>252</v>
      </c>
      <c r="K18" s="374">
        <f>K208</f>
        <v>160791</v>
      </c>
      <c r="M18" s="359">
        <f t="shared" si="3"/>
        <v>224.47008547008548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573">
        <f>'[16]Sch B'!E52</f>
        <v>1223233</v>
      </c>
      <c r="D19" s="573">
        <f>'[16]Sch B'!G52</f>
        <v>0</v>
      </c>
      <c r="E19" s="171">
        <f t="shared" si="2"/>
        <v>1223233</v>
      </c>
      <c r="F19" s="171">
        <f>-2057685+834452</f>
        <v>-1223233</v>
      </c>
      <c r="G19" s="171">
        <f t="shared" si="0"/>
        <v>0</v>
      </c>
      <c r="H19" s="172">
        <f t="shared" si="1"/>
        <v>0</v>
      </c>
      <c r="I19" s="337"/>
      <c r="J19" s="168"/>
      <c r="K19" s="168"/>
      <c r="M19" s="359">
        <f t="shared" si="3"/>
        <v>0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573">
        <f>'[16]Sch B'!E67</f>
        <v>154235</v>
      </c>
      <c r="D20" s="573">
        <f>'[16]Sch B'!G67</f>
        <v>0</v>
      </c>
      <c r="E20" s="171">
        <f t="shared" si="2"/>
        <v>154235</v>
      </c>
      <c r="F20" s="171"/>
      <c r="G20" s="171">
        <f t="shared" si="0"/>
        <v>154235</v>
      </c>
      <c r="H20" s="172">
        <f t="shared" si="1"/>
        <v>2.45201999325927E-2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573">
        <f>SUM(C11:C20)</f>
        <v>6290120</v>
      </c>
      <c r="D21" s="573">
        <f>SUM(D11:D20)</f>
        <v>0</v>
      </c>
      <c r="E21" s="171">
        <f>SUM(E11:E20)</f>
        <v>6290120</v>
      </c>
      <c r="F21" s="171">
        <f>SUM(F11:F20)</f>
        <v>0</v>
      </c>
      <c r="G21" s="171">
        <f>SUM(G11:G20)</f>
        <v>6290120</v>
      </c>
      <c r="H21" s="172">
        <f t="shared" si="1"/>
        <v>1</v>
      </c>
      <c r="I21" s="337"/>
      <c r="J21" s="168"/>
      <c r="K21" s="168"/>
      <c r="M21" s="359">
        <f>IFERROR(G21/G228,0)</f>
        <v>271.39491737498383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4">
      <c r="A24" s="181" t="s">
        <v>161</v>
      </c>
      <c r="B24" s="148" t="s">
        <v>12</v>
      </c>
      <c r="M24" s="363"/>
      <c r="N24" s="363"/>
    </row>
    <row r="25" spans="1:14" s="167" customFormat="1">
      <c r="A25" s="169" t="s">
        <v>83</v>
      </c>
      <c r="B25" s="170" t="s">
        <v>14</v>
      </c>
      <c r="C25" s="573">
        <f>'[16]Sch C'!D10</f>
        <v>89301</v>
      </c>
      <c r="D25" s="573">
        <f>'[16]Sch C'!F10</f>
        <v>3602</v>
      </c>
      <c r="E25" s="171">
        <f t="shared" ref="E25:E60" si="4">C25+D25</f>
        <v>92903</v>
      </c>
      <c r="F25" s="171"/>
      <c r="G25" s="182">
        <f>E25+F25</f>
        <v>92903</v>
      </c>
      <c r="H25" s="172">
        <f>IF($G$208=0,0,G25/$G$208)</f>
        <v>1.4702410041247711E-2</v>
      </c>
      <c r="I25" s="337"/>
      <c r="J25" s="183">
        <v>2080</v>
      </c>
      <c r="K25" s="183">
        <v>2080</v>
      </c>
      <c r="M25" s="359">
        <f>G25/G$228</f>
        <v>4.0084135133969019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573">
        <f>'[16]Sch C'!D11</f>
        <v>0</v>
      </c>
      <c r="D26" s="573">
        <f>'[16]Sch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573">
        <f>'[16]Sch C'!D12</f>
        <v>235633</v>
      </c>
      <c r="D27" s="573">
        <f>'[16]Sch C'!F12</f>
        <v>9504</v>
      </c>
      <c r="E27" s="171">
        <f t="shared" si="4"/>
        <v>245137</v>
      </c>
      <c r="F27" s="171"/>
      <c r="G27" s="171">
        <f t="shared" si="5"/>
        <v>245137</v>
      </c>
      <c r="H27" s="172">
        <f t="shared" si="6"/>
        <v>3.8794276721756456E-2</v>
      </c>
      <c r="I27" s="337"/>
      <c r="J27" s="185">
        <v>15245</v>
      </c>
      <c r="K27" s="185">
        <v>16352</v>
      </c>
      <c r="M27" s="359">
        <f t="shared" si="7"/>
        <v>10.576735556802001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573">
        <f>'[16]Sch C'!D13</f>
        <v>608584</v>
      </c>
      <c r="D28" s="573">
        <f>'[16]Sch C'!F13</f>
        <v>-555240</v>
      </c>
      <c r="E28" s="171">
        <f t="shared" si="4"/>
        <v>53344</v>
      </c>
      <c r="F28" s="171"/>
      <c r="G28" s="171">
        <f t="shared" si="5"/>
        <v>53344</v>
      </c>
      <c r="H28" s="172">
        <f t="shared" si="6"/>
        <v>8.4419810042766965E-3</v>
      </c>
      <c r="I28" s="337"/>
      <c r="J28" s="168"/>
      <c r="K28" s="168"/>
      <c r="M28" s="359">
        <f t="shared" si="7"/>
        <v>2.3015920956120293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573">
        <f>'[16]Sch C'!D14</f>
        <v>0</v>
      </c>
      <c r="D29" s="573">
        <f>'[16]Sch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573">
        <f>'[16]Sch C'!D15</f>
        <v>0</v>
      </c>
      <c r="D30" s="573">
        <f>'[16]Sch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7"/>
      <c r="J30" s="168"/>
      <c r="K30" s="168"/>
      <c r="M30" s="359">
        <f t="shared" si="7"/>
        <v>0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573">
        <f>'[16]Sch C'!D16</f>
        <v>305991</v>
      </c>
      <c r="D31" s="573">
        <f>'[16]Sch C'!F16</f>
        <v>51795</v>
      </c>
      <c r="E31" s="171">
        <f t="shared" si="4"/>
        <v>357786</v>
      </c>
      <c r="F31" s="171"/>
      <c r="G31" s="171">
        <f t="shared" si="5"/>
        <v>357786</v>
      </c>
      <c r="H31" s="172">
        <f t="shared" si="6"/>
        <v>5.6621599722483165E-2</v>
      </c>
      <c r="I31" s="337"/>
      <c r="J31" s="168"/>
      <c r="K31" s="168"/>
      <c r="M31" s="359">
        <f t="shared" si="7"/>
        <v>15.437114380635975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573">
        <f>'[16]Sch C'!D17</f>
        <v>14055</v>
      </c>
      <c r="D32" s="573">
        <f>'[16]Sch C'!F17</f>
        <v>0</v>
      </c>
      <c r="E32" s="171">
        <f t="shared" si="4"/>
        <v>14055</v>
      </c>
      <c r="F32" s="171"/>
      <c r="G32" s="171">
        <f t="shared" si="5"/>
        <v>14055</v>
      </c>
      <c r="H32" s="172">
        <f t="shared" si="6"/>
        <v>2.2242809503432246E-3</v>
      </c>
      <c r="I32" s="337"/>
      <c r="J32" s="168"/>
      <c r="K32" s="168"/>
      <c r="M32" s="359">
        <f t="shared" si="7"/>
        <v>0.60642015791517456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573">
        <f>'[16]Sch C'!D18</f>
        <v>14536</v>
      </c>
      <c r="D33" s="573">
        <f>'[16]Sch C'!F18</f>
        <v>0</v>
      </c>
      <c r="E33" s="171">
        <f t="shared" si="4"/>
        <v>14536</v>
      </c>
      <c r="F33" s="171"/>
      <c r="G33" s="171">
        <f t="shared" si="5"/>
        <v>14536</v>
      </c>
      <c r="H33" s="172">
        <f t="shared" si="6"/>
        <v>2.3004018423471444E-3</v>
      </c>
      <c r="I33" s="337"/>
      <c r="J33" s="168"/>
      <c r="K33" s="168"/>
      <c r="M33" s="359">
        <f t="shared" si="7"/>
        <v>0.62717349096086639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573">
        <f>'[16]Sch C'!D19</f>
        <v>12822</v>
      </c>
      <c r="D34" s="573">
        <f>'[16]Sch C'!F19</f>
        <v>0</v>
      </c>
      <c r="E34" s="171">
        <f t="shared" si="4"/>
        <v>12822</v>
      </c>
      <c r="F34" s="171"/>
      <c r="G34" s="171">
        <f t="shared" si="5"/>
        <v>12822</v>
      </c>
      <c r="H34" s="172">
        <f t="shared" si="6"/>
        <v>2.0291519278051104E-3</v>
      </c>
      <c r="I34" s="337"/>
      <c r="J34" s="168"/>
      <c r="K34" s="168"/>
      <c r="M34" s="359">
        <f t="shared" si="7"/>
        <v>0.55322086551322436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573">
        <f>'[16]Sch C'!D20</f>
        <v>19411</v>
      </c>
      <c r="D35" s="573">
        <f>'[16]Sch C'!F20</f>
        <v>0</v>
      </c>
      <c r="E35" s="171">
        <f t="shared" si="4"/>
        <v>19411</v>
      </c>
      <c r="F35" s="171"/>
      <c r="G35" s="171">
        <f t="shared" si="5"/>
        <v>19411</v>
      </c>
      <c r="H35" s="172">
        <f t="shared" si="6"/>
        <v>3.0718973694138976E-3</v>
      </c>
      <c r="I35" s="337"/>
      <c r="J35" s="168"/>
      <c r="K35" s="168"/>
      <c r="M35" s="359">
        <f t="shared" si="7"/>
        <v>0.83751132588341892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573">
        <f>'[16]Sch C'!D21</f>
        <v>66496</v>
      </c>
      <c r="D36" s="573">
        <f>'[16]Sch C'!F21</f>
        <v>6386</v>
      </c>
      <c r="E36" s="171">
        <f t="shared" si="4"/>
        <v>72882</v>
      </c>
      <c r="F36" s="171">
        <v>-42635</v>
      </c>
      <c r="G36" s="171">
        <f t="shared" si="5"/>
        <v>30247</v>
      </c>
      <c r="H36" s="172">
        <f t="shared" si="6"/>
        <v>4.7867538886539676E-3</v>
      </c>
      <c r="I36" s="337"/>
      <c r="J36" s="168"/>
      <c r="K36" s="168"/>
      <c r="M36" s="359">
        <f t="shared" si="7"/>
        <v>1.3050437934158865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573">
        <f>'[16]Sch C'!D22</f>
        <v>15750</v>
      </c>
      <c r="D37" s="573">
        <f>'[16]Sch C'!F22</f>
        <v>0</v>
      </c>
      <c r="E37" s="171">
        <f t="shared" si="4"/>
        <v>15750</v>
      </c>
      <c r="F37" s="171">
        <v>750</v>
      </c>
      <c r="G37" s="171">
        <f t="shared" si="5"/>
        <v>16500</v>
      </c>
      <c r="H37" s="172">
        <f t="shared" si="6"/>
        <v>2.6112156300720888E-3</v>
      </c>
      <c r="I37" s="337"/>
      <c r="J37" s="168"/>
      <c r="K37" s="168"/>
      <c r="M37" s="359">
        <f t="shared" si="7"/>
        <v>0.71191267204556241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573">
        <f>'[16]Sch C'!D23</f>
        <v>14469</v>
      </c>
      <c r="D38" s="573">
        <f>'[16]Sch C'!F23</f>
        <v>0</v>
      </c>
      <c r="E38" s="171">
        <f t="shared" si="4"/>
        <v>14469</v>
      </c>
      <c r="F38" s="171"/>
      <c r="G38" s="171">
        <f t="shared" si="5"/>
        <v>14469</v>
      </c>
      <c r="H38" s="172">
        <f t="shared" si="6"/>
        <v>2.2897987243341244E-3</v>
      </c>
      <c r="I38" s="337"/>
      <c r="J38" s="168"/>
      <c r="K38" s="168"/>
      <c r="M38" s="359">
        <f t="shared" si="7"/>
        <v>0.62428269405013592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573">
        <f>'[16]Sch C'!D24</f>
        <v>0</v>
      </c>
      <c r="D39" s="573">
        <f>'[16]Sch C'!F24</f>
        <v>0</v>
      </c>
      <c r="E39" s="171">
        <f t="shared" si="4"/>
        <v>0</v>
      </c>
      <c r="F39" s="171"/>
      <c r="G39" s="171">
        <f t="shared" si="5"/>
        <v>0</v>
      </c>
      <c r="H39" s="172">
        <f t="shared" si="6"/>
        <v>0</v>
      </c>
      <c r="I39" s="337"/>
      <c r="J39" s="168"/>
      <c r="K39" s="168"/>
      <c r="M39" s="359">
        <f t="shared" si="7"/>
        <v>0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573">
        <f>'[16]Sch C'!D25</f>
        <v>0</v>
      </c>
      <c r="D40" s="573">
        <f>'[16]Sch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337"/>
      <c r="J40" s="168"/>
      <c r="K40" s="168"/>
      <c r="M40" s="359">
        <f t="shared" si="7"/>
        <v>0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573">
        <f>'[16]Sch C'!D26</f>
        <v>263374</v>
      </c>
      <c r="D41" s="573">
        <f>'[16]Sch C'!F26</f>
        <v>0</v>
      </c>
      <c r="E41" s="171">
        <f t="shared" si="4"/>
        <v>263374</v>
      </c>
      <c r="F41" s="171"/>
      <c r="G41" s="171">
        <f t="shared" si="5"/>
        <v>263374</v>
      </c>
      <c r="H41" s="172">
        <f t="shared" si="6"/>
        <v>4.1680382142703407E-2</v>
      </c>
      <c r="I41" s="337"/>
      <c r="J41" s="168"/>
      <c r="K41" s="168"/>
      <c r="M41" s="359">
        <f t="shared" si="7"/>
        <v>11.363593217413815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573">
        <f>'[16]Sch C'!D27</f>
        <v>142715</v>
      </c>
      <c r="D42" s="573">
        <f>'[16]Sch C'!F27</f>
        <v>-332</v>
      </c>
      <c r="E42" s="171">
        <f t="shared" si="4"/>
        <v>142383</v>
      </c>
      <c r="F42" s="171">
        <v>1164</v>
      </c>
      <c r="G42" s="171">
        <f t="shared" si="5"/>
        <v>143547</v>
      </c>
      <c r="H42" s="172">
        <f t="shared" si="6"/>
        <v>2.2717101215148975E-2</v>
      </c>
      <c r="I42" s="337"/>
      <c r="J42" s="168"/>
      <c r="K42" s="168"/>
      <c r="M42" s="359">
        <f t="shared" si="7"/>
        <v>6.1935108081287487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573">
        <f>'[16]Sch C'!D28</f>
        <v>0</v>
      </c>
      <c r="D43" s="573">
        <f>'[16]Sch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573">
        <f>'[16]Sch C'!D29</f>
        <v>220011</v>
      </c>
      <c r="D44" s="573">
        <f>'[16]Sch C'!F29</f>
        <v>-220011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573">
        <f>'[16]Sch C'!D30</f>
        <v>0</v>
      </c>
      <c r="D45" s="573">
        <f>'[16]Sch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573">
        <f>'[16]Sch C'!D31</f>
        <v>50992</v>
      </c>
      <c r="D46" s="573">
        <f>'[16]Sch C'!F31</f>
        <v>0</v>
      </c>
      <c r="E46" s="171">
        <f t="shared" si="4"/>
        <v>50992</v>
      </c>
      <c r="F46" s="171"/>
      <c r="G46" s="171">
        <f t="shared" si="5"/>
        <v>50992</v>
      </c>
      <c r="H46" s="172">
        <f t="shared" si="6"/>
        <v>8.0697640853718746E-3</v>
      </c>
      <c r="I46" s="337"/>
      <c r="J46" s="168"/>
      <c r="K46" s="168"/>
      <c r="M46" s="359">
        <f t="shared" si="7"/>
        <v>2.2001121801786252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573">
        <f>'[16]Sch C'!D32</f>
        <v>41675</v>
      </c>
      <c r="D47" s="573">
        <f>'[16]Sch C'!F32</f>
        <v>0</v>
      </c>
      <c r="E47" s="171">
        <f t="shared" si="4"/>
        <v>41675</v>
      </c>
      <c r="F47" s="171"/>
      <c r="G47" s="171">
        <f t="shared" si="5"/>
        <v>41675</v>
      </c>
      <c r="H47" s="172">
        <f t="shared" si="6"/>
        <v>6.595297659591169E-3</v>
      </c>
      <c r="I47" s="337"/>
      <c r="J47" s="168"/>
      <c r="K47" s="168"/>
      <c r="M47" s="359">
        <f t="shared" si="7"/>
        <v>1.7981188246968978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573">
        <f>'[16]Sch C'!D33</f>
        <v>0</v>
      </c>
      <c r="D48" s="573">
        <f>'[16]Sch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573">
        <f>'[16]Sch C'!D34</f>
        <v>0</v>
      </c>
      <c r="D49" s="573">
        <f>'[16]Sch C'!F34</f>
        <v>0</v>
      </c>
      <c r="E49" s="171">
        <f t="shared" si="4"/>
        <v>0</v>
      </c>
      <c r="F49" s="171"/>
      <c r="G49" s="171">
        <f t="shared" si="5"/>
        <v>0</v>
      </c>
      <c r="H49" s="172">
        <f t="shared" si="6"/>
        <v>0</v>
      </c>
      <c r="I49" s="337"/>
      <c r="J49" s="168"/>
      <c r="K49" s="168"/>
      <c r="M49" s="359">
        <f t="shared" si="7"/>
        <v>0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573">
        <f>'[16]Sch C'!D35</f>
        <v>5150</v>
      </c>
      <c r="D50" s="573">
        <f>'[16]Sch C'!F35</f>
        <v>-5150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573">
        <f>'[16]Sch C'!D36</f>
        <v>2774</v>
      </c>
      <c r="D51" s="573">
        <f>'[16]Sch C'!F36</f>
        <v>112</v>
      </c>
      <c r="E51" s="171">
        <f t="shared" si="4"/>
        <v>2886</v>
      </c>
      <c r="F51" s="171"/>
      <c r="G51" s="171">
        <f t="shared" si="5"/>
        <v>2886</v>
      </c>
      <c r="H51" s="172">
        <f t="shared" si="6"/>
        <v>4.5672535202351803E-4</v>
      </c>
      <c r="I51" s="337"/>
      <c r="J51" s="183">
        <v>186</v>
      </c>
      <c r="K51" s="183">
        <v>199</v>
      </c>
      <c r="M51" s="359">
        <f t="shared" si="7"/>
        <v>0.1245199982741511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573">
        <f>'[16]Sch C'!D37</f>
        <v>0</v>
      </c>
      <c r="D52" s="573">
        <f>'[16]Sch C'!F37</f>
        <v>455</v>
      </c>
      <c r="E52" s="171">
        <f t="shared" si="4"/>
        <v>455</v>
      </c>
      <c r="F52" s="171"/>
      <c r="G52" s="171">
        <f t="shared" si="5"/>
        <v>455</v>
      </c>
      <c r="H52" s="172">
        <f t="shared" si="6"/>
        <v>7.2006249192896991E-5</v>
      </c>
      <c r="I52" s="337"/>
      <c r="J52" s="168"/>
      <c r="K52" s="168"/>
      <c r="M52" s="359">
        <f t="shared" si="7"/>
        <v>1.9631531259438235E-2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573">
        <f>'[16]Sch C'!D38</f>
        <v>0</v>
      </c>
      <c r="D53" s="573">
        <f>'[16]Sch C'!F38</f>
        <v>0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7"/>
      <c r="J53" s="168"/>
      <c r="K53" s="168"/>
      <c r="M53" s="359">
        <f t="shared" si="7"/>
        <v>0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573">
        <f>'[16]Sch C'!D39</f>
        <v>8717</v>
      </c>
      <c r="D54" s="573">
        <f>'[16]Sch C'!F39</f>
        <v>0</v>
      </c>
      <c r="E54" s="171">
        <f t="shared" si="4"/>
        <v>8717</v>
      </c>
      <c r="F54" s="171"/>
      <c r="G54" s="171">
        <f t="shared" si="5"/>
        <v>8717</v>
      </c>
      <c r="H54" s="172">
        <f t="shared" si="6"/>
        <v>1.3795131301417209E-3</v>
      </c>
      <c r="I54" s="337"/>
      <c r="J54" s="168"/>
      <c r="K54" s="168"/>
      <c r="M54" s="359">
        <f t="shared" si="7"/>
        <v>0.37610562195279801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573">
        <f>'[16]Sch C'!D40</f>
        <v>0</v>
      </c>
      <c r="D55" s="573">
        <f>'[16]Sch C'!F40</f>
        <v>0</v>
      </c>
      <c r="E55" s="171">
        <f t="shared" si="4"/>
        <v>0</v>
      </c>
      <c r="F55" s="171"/>
      <c r="G55" s="171">
        <f t="shared" si="5"/>
        <v>0</v>
      </c>
      <c r="H55" s="172">
        <f t="shared" si="6"/>
        <v>0</v>
      </c>
      <c r="I55" s="337"/>
      <c r="J55" s="168"/>
      <c r="K55" s="168"/>
      <c r="M55" s="359">
        <f t="shared" si="7"/>
        <v>0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573">
        <f>'[16]Sch C'!D41</f>
        <v>43885</v>
      </c>
      <c r="D56" s="573">
        <f>'[16]Sch C'!F41</f>
        <v>0</v>
      </c>
      <c r="E56" s="171">
        <f t="shared" si="4"/>
        <v>43885</v>
      </c>
      <c r="F56" s="171">
        <v>42635</v>
      </c>
      <c r="G56" s="171">
        <f t="shared" si="5"/>
        <v>86520</v>
      </c>
      <c r="H56" s="172">
        <f t="shared" si="6"/>
        <v>1.3692265231141643E-2</v>
      </c>
      <c r="I56" s="337"/>
      <c r="J56" s="168"/>
      <c r="K56" s="168"/>
      <c r="M56" s="359">
        <f t="shared" si="7"/>
        <v>3.7330111748716401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573">
        <f>'[16]Sch C'!D42</f>
        <v>10594</v>
      </c>
      <c r="D57" s="573">
        <f>'[16]Sch C'!F42</f>
        <v>0</v>
      </c>
      <c r="E57" s="171">
        <f t="shared" si="4"/>
        <v>10594</v>
      </c>
      <c r="F57" s="171"/>
      <c r="G57" s="171">
        <f t="shared" si="5"/>
        <v>10594</v>
      </c>
      <c r="H57" s="172">
        <f t="shared" si="6"/>
        <v>1.6765586899990124E-3</v>
      </c>
      <c r="I57" s="337"/>
      <c r="J57" s="168"/>
      <c r="K57" s="168"/>
      <c r="M57" s="359">
        <f t="shared" si="7"/>
        <v>0.45709108167579926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573">
        <f>'[16]Sch C'!D43</f>
        <v>13940</v>
      </c>
      <c r="D58" s="573">
        <f>'[16]Sch C'!F43</f>
        <v>0</v>
      </c>
      <c r="E58" s="171">
        <f t="shared" si="4"/>
        <v>13940</v>
      </c>
      <c r="F58" s="171"/>
      <c r="G58" s="171">
        <f t="shared" si="5"/>
        <v>13940</v>
      </c>
      <c r="H58" s="172">
        <f t="shared" si="6"/>
        <v>2.2060815686790855E-3</v>
      </c>
      <c r="I58" s="337"/>
      <c r="J58" s="168"/>
      <c r="K58" s="168"/>
      <c r="M58" s="359">
        <f t="shared" si="7"/>
        <v>0.60145834232212969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573">
        <f>'[16]Sch C'!D44</f>
        <v>0</v>
      </c>
      <c r="D59" s="573">
        <f>'[16]Sch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7"/>
      <c r="J59" s="168"/>
      <c r="K59" s="168"/>
      <c r="M59" s="359">
        <f t="shared" si="7"/>
        <v>0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573">
        <f>'[16]Sch C'!D45</f>
        <v>7554</v>
      </c>
      <c r="D60" s="573">
        <f>'[16]Sch C'!F45</f>
        <v>-153869</v>
      </c>
      <c r="E60" s="171">
        <f t="shared" si="4"/>
        <v>-146315</v>
      </c>
      <c r="F60" s="171"/>
      <c r="G60" s="171">
        <f t="shared" si="5"/>
        <v>-146315</v>
      </c>
      <c r="H60" s="172">
        <f t="shared" si="6"/>
        <v>-2.315515241903016E-2</v>
      </c>
      <c r="I60" s="337"/>
      <c r="J60" s="168"/>
      <c r="K60" s="168"/>
      <c r="M60" s="359">
        <f t="shared" si="7"/>
        <v>-6.3129395521422103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573">
        <f>SUM(C25:C60)</f>
        <v>2208429</v>
      </c>
      <c r="D61" s="573">
        <f>SUM(D25:D60)</f>
        <v>-862748</v>
      </c>
      <c r="E61" s="171">
        <f t="shared" ref="E61" si="8">SUM(E25:E60)</f>
        <v>1345681</v>
      </c>
      <c r="F61" s="171">
        <f>SUM(F25:F60)</f>
        <v>1914</v>
      </c>
      <c r="G61" s="171">
        <f>SUM(G25:G60)</f>
        <v>1347595</v>
      </c>
      <c r="H61" s="186">
        <f t="shared" si="6"/>
        <v>0.21326431072769675</v>
      </c>
      <c r="I61" s="339"/>
      <c r="J61" s="168"/>
      <c r="K61" s="168"/>
      <c r="M61" s="364">
        <f>G61/G$228</f>
        <v>58.143633774863012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I62" s="340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573">
        <f>'[16]Sch C'!D57</f>
        <v>634790</v>
      </c>
      <c r="D64" s="573">
        <f>'[16]Sch C'!F57</f>
        <v>-634790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I64" s="337"/>
      <c r="J64" s="190"/>
      <c r="K64" s="168"/>
      <c r="M64" s="359">
        <f t="shared" ref="M64:M79" si="12">G64/G$228</f>
        <v>0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573">
        <f>'[16]Sch C'!D58</f>
        <v>4424</v>
      </c>
      <c r="D65" s="573">
        <f>'[16]Sch C'!F58</f>
        <v>176544</v>
      </c>
      <c r="E65" s="171">
        <f t="shared" si="9"/>
        <v>180968</v>
      </c>
      <c r="F65" s="171"/>
      <c r="G65" s="171">
        <f t="shared" si="10"/>
        <v>180968</v>
      </c>
      <c r="H65" s="172">
        <f t="shared" si="11"/>
        <v>2.863918000865974E-2</v>
      </c>
      <c r="I65" s="337"/>
      <c r="J65" s="190"/>
      <c r="K65" s="168"/>
      <c r="M65" s="359">
        <f t="shared" si="12"/>
        <v>7.8080856021055354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573">
        <f>'[16]Sch C'!D59</f>
        <v>44051</v>
      </c>
      <c r="D66" s="573">
        <f>'[16]Sch C'!F59</f>
        <v>225094</v>
      </c>
      <c r="E66" s="171">
        <f t="shared" si="9"/>
        <v>269145</v>
      </c>
      <c r="F66" s="171">
        <v>-1164</v>
      </c>
      <c r="G66" s="171">
        <f t="shared" si="10"/>
        <v>267981</v>
      </c>
      <c r="H66" s="172">
        <f t="shared" si="11"/>
        <v>4.2409465197718085E-2</v>
      </c>
      <c r="I66" s="337"/>
      <c r="J66" s="190"/>
      <c r="K66" s="168"/>
      <c r="M66" s="359">
        <f t="shared" si="12"/>
        <v>11.562367864693446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573">
        <f>'[16]Sch C'!D60</f>
        <v>27009</v>
      </c>
      <c r="D67" s="573">
        <f>'[16]Sch C'!F60</f>
        <v>0</v>
      </c>
      <c r="E67" s="171">
        <f t="shared" si="9"/>
        <v>27009</v>
      </c>
      <c r="F67" s="171">
        <v>-11456</v>
      </c>
      <c r="G67" s="171">
        <f t="shared" si="10"/>
        <v>15553</v>
      </c>
      <c r="H67" s="172">
        <f t="shared" si="11"/>
        <v>2.4613476784552239E-3</v>
      </c>
      <c r="I67" s="337"/>
      <c r="J67" s="193"/>
      <c r="K67" s="168"/>
      <c r="M67" s="359">
        <f t="shared" si="12"/>
        <v>0.67105319929240193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573">
        <f>'[16]Sch C'!D61</f>
        <v>19666</v>
      </c>
      <c r="D68" s="573">
        <f>'[16]Sch C'!F61</f>
        <v>23105</v>
      </c>
      <c r="E68" s="171">
        <f t="shared" si="9"/>
        <v>42771</v>
      </c>
      <c r="F68" s="171"/>
      <c r="G68" s="171">
        <f t="shared" si="10"/>
        <v>42771</v>
      </c>
      <c r="H68" s="172">
        <f t="shared" si="11"/>
        <v>6.7687456796250486E-3</v>
      </c>
      <c r="I68" s="337"/>
      <c r="J68" s="193"/>
      <c r="K68" s="168"/>
      <c r="M68" s="359">
        <f t="shared" si="12"/>
        <v>1.8454070846097423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573">
        <f>'[16]Sch C'!D62</f>
        <v>18448</v>
      </c>
      <c r="D69" s="573">
        <f>'[16]Sch C'!F62</f>
        <v>0</v>
      </c>
      <c r="E69" s="171">
        <f t="shared" si="9"/>
        <v>18448</v>
      </c>
      <c r="F69" s="171"/>
      <c r="G69" s="171">
        <f t="shared" si="10"/>
        <v>18448</v>
      </c>
      <c r="H69" s="172">
        <f t="shared" si="11"/>
        <v>2.9194973299133268E-3</v>
      </c>
      <c r="I69" s="337"/>
      <c r="J69" s="195"/>
      <c r="K69" s="168"/>
      <c r="M69" s="359">
        <f t="shared" si="12"/>
        <v>0.79596151356948697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573">
        <f>'[16]Sch C'!D63</f>
        <v>0</v>
      </c>
      <c r="D70" s="573">
        <f>'[16]Sch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7"/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573">
        <f>'[16]Sch C'!D64</f>
        <v>0</v>
      </c>
      <c r="D71" s="573">
        <f>'[16]Sch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573">
        <f>'[16]Sch C'!D65</f>
        <v>15736</v>
      </c>
      <c r="D72" s="573">
        <f>'[16]Sch C'!F65</f>
        <v>0</v>
      </c>
      <c r="E72" s="171">
        <f t="shared" si="9"/>
        <v>15736</v>
      </c>
      <c r="F72" s="171"/>
      <c r="G72" s="171">
        <f t="shared" si="10"/>
        <v>15736</v>
      </c>
      <c r="H72" s="172">
        <f t="shared" si="11"/>
        <v>2.4903084336251142E-3</v>
      </c>
      <c r="I72" s="337"/>
      <c r="J72" s="195"/>
      <c r="K72" s="168"/>
      <c r="M72" s="359">
        <f t="shared" si="12"/>
        <v>0.67894895801872546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573">
        <f>'[16]Sch C'!D66</f>
        <v>0</v>
      </c>
      <c r="D73" s="573">
        <f>'[16]Sch C'!F66</f>
        <v>0</v>
      </c>
      <c r="E73" s="171">
        <f t="shared" si="9"/>
        <v>0</v>
      </c>
      <c r="F73" s="171"/>
      <c r="G73" s="171">
        <f t="shared" si="10"/>
        <v>0</v>
      </c>
      <c r="H73" s="172">
        <f t="shared" si="11"/>
        <v>0</v>
      </c>
      <c r="I73" s="337"/>
      <c r="J73" s="195"/>
      <c r="K73" s="168"/>
      <c r="M73" s="359">
        <f t="shared" si="12"/>
        <v>0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573">
        <f>'[16]Sch C'!D67</f>
        <v>47575</v>
      </c>
      <c r="D74" s="573">
        <f>'[16]Sch C'!F67</f>
        <v>16340</v>
      </c>
      <c r="E74" s="171">
        <f t="shared" si="9"/>
        <v>63915</v>
      </c>
      <c r="F74" s="171"/>
      <c r="G74" s="171">
        <f t="shared" si="10"/>
        <v>63915</v>
      </c>
      <c r="H74" s="172">
        <f t="shared" si="11"/>
        <v>1.0114899817942882E-2</v>
      </c>
      <c r="I74" s="337"/>
      <c r="J74" s="195"/>
      <c r="K74" s="168"/>
      <c r="M74" s="359">
        <f t="shared" si="12"/>
        <v>2.7576908141692194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573">
        <f>'[16]Sch C'!D68</f>
        <v>0</v>
      </c>
      <c r="D75" s="573">
        <f>'[16]Sch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573">
        <f>'[16]Sch C'!D69</f>
        <v>0</v>
      </c>
      <c r="D76" s="573">
        <f>'[16]Sch C'!F69</f>
        <v>0</v>
      </c>
      <c r="E76" s="171">
        <f t="shared" si="9"/>
        <v>0</v>
      </c>
      <c r="F76" s="171">
        <v>11456</v>
      </c>
      <c r="G76" s="171">
        <f t="shared" si="10"/>
        <v>11456</v>
      </c>
      <c r="H76" s="172">
        <f t="shared" si="11"/>
        <v>1.8129749247336876E-3</v>
      </c>
      <c r="I76" s="337"/>
      <c r="J76" s="195"/>
      <c r="K76" s="168"/>
      <c r="M76" s="359">
        <f t="shared" si="12"/>
        <v>0.49428312551236137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573">
        <f>'[16]Sch C'!D70</f>
        <v>0</v>
      </c>
      <c r="D77" s="573">
        <f>'[16]Sch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7"/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573">
        <f>'[16]Sch C'!D71</f>
        <v>0</v>
      </c>
      <c r="D78" s="573">
        <f>'[16]Sch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7"/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573">
        <f>SUM(C64:C78)</f>
        <v>811699</v>
      </c>
      <c r="D79" s="573">
        <f>SUM(D64:D78)</f>
        <v>-193707</v>
      </c>
      <c r="E79" s="171">
        <f t="shared" ref="E79" si="13">SUM(E64:E78)</f>
        <v>617992</v>
      </c>
      <c r="F79" s="171">
        <f>SUM(F64:F78)</f>
        <v>-1164</v>
      </c>
      <c r="G79" s="171">
        <f>SUM(G64:G78)</f>
        <v>616828</v>
      </c>
      <c r="H79" s="172">
        <f t="shared" si="11"/>
        <v>9.7616419070673102E-2</v>
      </c>
      <c r="I79" s="337"/>
      <c r="J79" s="195"/>
      <c r="K79" s="168"/>
      <c r="M79" s="359">
        <f t="shared" si="12"/>
        <v>26.613798161970919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573">
        <f>'[16]Sch C'!D75</f>
        <v>53141</v>
      </c>
      <c r="D82" s="573">
        <f>'[16]Sch C'!F75</f>
        <v>2143</v>
      </c>
      <c r="E82" s="171">
        <f t="shared" ref="E82:E92" si="14">C82+D82</f>
        <v>55284</v>
      </c>
      <c r="F82" s="171"/>
      <c r="G82" s="171">
        <f t="shared" ref="G82:G92" si="15">E82+F82</f>
        <v>55284</v>
      </c>
      <c r="H82" s="172">
        <f t="shared" ref="H82:H93" si="16">IF($G$208=0,0,G82/$G$208)</f>
        <v>8.7489966601760807E-3</v>
      </c>
      <c r="I82" s="337"/>
      <c r="J82" s="183">
        <v>2808</v>
      </c>
      <c r="K82" s="183">
        <v>2903</v>
      </c>
      <c r="M82" s="359">
        <f t="shared" ref="M82:M92" si="17">G82/G$228</f>
        <v>2.3852957673555681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573">
        <f>'[16]Sch C'!D76</f>
        <v>0</v>
      </c>
      <c r="D83" s="573">
        <f>'[16]Sch C'!F76</f>
        <v>8724</v>
      </c>
      <c r="E83" s="171">
        <f t="shared" si="14"/>
        <v>8724</v>
      </c>
      <c r="F83" s="171"/>
      <c r="G83" s="171">
        <f t="shared" si="15"/>
        <v>8724</v>
      </c>
      <c r="H83" s="172">
        <f t="shared" si="16"/>
        <v>1.3806209185908424E-3</v>
      </c>
      <c r="I83" s="337"/>
      <c r="J83" s="168"/>
      <c r="K83" s="168"/>
      <c r="M83" s="359">
        <f t="shared" si="17"/>
        <v>0.37640764551063555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573">
        <f>'[16]Sch C'!D77</f>
        <v>17318</v>
      </c>
      <c r="D84" s="573">
        <f>'[16]Sch C'!F77</f>
        <v>0</v>
      </c>
      <c r="E84" s="171">
        <f t="shared" si="14"/>
        <v>17318</v>
      </c>
      <c r="F84" s="171"/>
      <c r="G84" s="171">
        <f t="shared" si="15"/>
        <v>17318</v>
      </c>
      <c r="H84" s="172">
        <f t="shared" si="16"/>
        <v>2.7406686231265715E-3</v>
      </c>
      <c r="I84" s="337"/>
      <c r="J84" s="168"/>
      <c r="K84" s="168"/>
      <c r="M84" s="359">
        <f t="shared" si="17"/>
        <v>0.74720628209000306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573">
        <f>'[16]Sch C'!D78</f>
        <v>42552</v>
      </c>
      <c r="D85" s="573">
        <f>'[16]Sch C'!F78</f>
        <v>0</v>
      </c>
      <c r="E85" s="171">
        <f t="shared" si="14"/>
        <v>42552</v>
      </c>
      <c r="F85" s="171"/>
      <c r="G85" s="171">
        <f t="shared" si="15"/>
        <v>42552</v>
      </c>
      <c r="H85" s="172">
        <f t="shared" si="16"/>
        <v>6.7340877267168192E-3</v>
      </c>
      <c r="I85" s="337"/>
      <c r="J85" s="168"/>
      <c r="K85" s="168"/>
      <c r="M85" s="359">
        <f t="shared" si="17"/>
        <v>1.8359580618716831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573">
        <f>'[16]Sch C'!D79</f>
        <v>1287</v>
      </c>
      <c r="D86" s="573">
        <f>'[16]Sch C'!F79</f>
        <v>0</v>
      </c>
      <c r="E86" s="171">
        <f t="shared" si="14"/>
        <v>1287</v>
      </c>
      <c r="F86" s="171"/>
      <c r="G86" s="171">
        <f>E86+F86</f>
        <v>1287</v>
      </c>
      <c r="H86" s="172">
        <f t="shared" si="16"/>
        <v>2.036748191456229E-4</v>
      </c>
      <c r="I86" s="337"/>
      <c r="J86" s="168"/>
      <c r="K86" s="168"/>
      <c r="M86" s="359">
        <f t="shared" si="17"/>
        <v>5.5529188419553871E-2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573">
        <f>'[16]Sch C'!D80</f>
        <v>14288</v>
      </c>
      <c r="D87" s="573">
        <f>'[16]Sch C'!F80</f>
        <v>0</v>
      </c>
      <c r="E87" s="171">
        <f t="shared" si="14"/>
        <v>14288</v>
      </c>
      <c r="F87" s="171"/>
      <c r="G87" s="171">
        <f t="shared" si="15"/>
        <v>14288</v>
      </c>
      <c r="H87" s="172">
        <f t="shared" si="16"/>
        <v>2.2611544801496969E-3</v>
      </c>
      <c r="I87" s="337"/>
      <c r="J87" s="168"/>
      <c r="K87" s="168"/>
      <c r="M87" s="359">
        <f t="shared" si="17"/>
        <v>0.61647322776890878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573">
        <f>'[16]Sch C'!D81</f>
        <v>1648</v>
      </c>
      <c r="D88" s="573">
        <f>'[16]Sch C'!F81</f>
        <v>0</v>
      </c>
      <c r="E88" s="171">
        <f t="shared" si="14"/>
        <v>1648</v>
      </c>
      <c r="F88" s="171"/>
      <c r="G88" s="171">
        <f t="shared" si="15"/>
        <v>1648</v>
      </c>
      <c r="H88" s="172">
        <f t="shared" si="16"/>
        <v>2.6080505202174555E-4</v>
      </c>
      <c r="I88" s="337"/>
      <c r="J88" s="168"/>
      <c r="K88" s="168"/>
      <c r="M88" s="359">
        <f t="shared" si="17"/>
        <v>7.1104974759459816E-2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573">
        <f>'[16]Sch C'!D82</f>
        <v>0</v>
      </c>
      <c r="D89" s="573">
        <f>'[16]Sch C'!F82</f>
        <v>0</v>
      </c>
      <c r="E89" s="171">
        <f t="shared" si="14"/>
        <v>0</v>
      </c>
      <c r="F89" s="171"/>
      <c r="G89" s="171">
        <f t="shared" si="15"/>
        <v>0</v>
      </c>
      <c r="H89" s="172">
        <f t="shared" si="16"/>
        <v>0</v>
      </c>
      <c r="I89" s="337"/>
      <c r="J89" s="168"/>
      <c r="K89" s="168"/>
      <c r="M89" s="359">
        <f t="shared" si="17"/>
        <v>0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573">
        <f>'[16]Sch C'!D83</f>
        <v>5927</v>
      </c>
      <c r="D90" s="573">
        <f>'[16]Sch C'!F83</f>
        <v>0</v>
      </c>
      <c r="E90" s="171">
        <f t="shared" si="14"/>
        <v>5927</v>
      </c>
      <c r="F90" s="171"/>
      <c r="G90" s="171">
        <f t="shared" si="15"/>
        <v>5927</v>
      </c>
      <c r="H90" s="172">
        <f t="shared" si="16"/>
        <v>9.379803054204405E-4</v>
      </c>
      <c r="I90" s="337"/>
      <c r="J90" s="168"/>
      <c r="K90" s="168"/>
      <c r="M90" s="359">
        <f t="shared" si="17"/>
        <v>0.25572766104327566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573">
        <f>'[16]Sch C'!D84</f>
        <v>78924</v>
      </c>
      <c r="D91" s="573">
        <f>'[16]Sch C'!F84</f>
        <v>0</v>
      </c>
      <c r="E91" s="171">
        <f t="shared" si="14"/>
        <v>78924</v>
      </c>
      <c r="F91" s="171"/>
      <c r="G91" s="171">
        <f t="shared" si="15"/>
        <v>78924</v>
      </c>
      <c r="H91" s="172">
        <f t="shared" si="16"/>
        <v>1.2490156508352092E-2</v>
      </c>
      <c r="I91" s="337"/>
      <c r="J91" s="168"/>
      <c r="K91" s="168"/>
      <c r="M91" s="359">
        <f t="shared" si="17"/>
        <v>3.4052724683953919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573">
        <f>'[16]Sch C'!D85</f>
        <v>1430</v>
      </c>
      <c r="D92" s="573">
        <f>'[16]Sch C'!F85</f>
        <v>0</v>
      </c>
      <c r="E92" s="171">
        <f t="shared" si="14"/>
        <v>1430</v>
      </c>
      <c r="F92" s="171"/>
      <c r="G92" s="171">
        <f t="shared" si="15"/>
        <v>1430</v>
      </c>
      <c r="H92" s="172">
        <f t="shared" si="16"/>
        <v>2.2630535460624768E-4</v>
      </c>
      <c r="I92" s="337"/>
      <c r="J92" s="168"/>
      <c r="K92" s="168"/>
      <c r="M92" s="359">
        <f t="shared" si="17"/>
        <v>6.1699098243948744E-2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573">
        <f>SUM(C82:C92)</f>
        <v>216515</v>
      </c>
      <c r="D93" s="573">
        <f>SUM(D82:D92)</f>
        <v>10867</v>
      </c>
      <c r="E93" s="171">
        <f t="shared" ref="E93" si="18">SUM(E82:E92)</f>
        <v>227382</v>
      </c>
      <c r="F93" s="171">
        <f>SUM(F82:F92)</f>
        <v>0</v>
      </c>
      <c r="G93" s="171">
        <f>SUM(G82:G92)</f>
        <v>227382</v>
      </c>
      <c r="H93" s="172">
        <f t="shared" si="16"/>
        <v>3.5984450448306157E-2</v>
      </c>
      <c r="I93" s="337"/>
      <c r="J93" s="168"/>
      <c r="K93" s="168"/>
      <c r="M93" s="364">
        <f>G93/G$228</f>
        <v>9.8106743754584294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573">
        <f>'[16]Sch C'!D89</f>
        <v>233516</v>
      </c>
      <c r="D96" s="573">
        <f>'[16]Sch C'!F89</f>
        <v>9418</v>
      </c>
      <c r="E96" s="171">
        <f t="shared" ref="E96:E101" si="19">C96+D96</f>
        <v>242934</v>
      </c>
      <c r="F96" s="171"/>
      <c r="G96" s="171">
        <f t="shared" ref="G96:G101" si="20">E96+F96</f>
        <v>242934</v>
      </c>
      <c r="H96" s="172">
        <f t="shared" ref="H96:H102" si="21">IF($G$208=0,0,G96/$G$208)</f>
        <v>3.8445639871268651E-2</v>
      </c>
      <c r="I96" s="337"/>
      <c r="J96" s="183">
        <v>17559</v>
      </c>
      <c r="K96" s="183">
        <v>18236</v>
      </c>
      <c r="M96" s="364">
        <f t="shared" ref="M96:M101" si="22">G96/G$228</f>
        <v>10.481684428528283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573">
        <f>'[16]Sch C'!D90</f>
        <v>0</v>
      </c>
      <c r="D97" s="573">
        <f>'[16]Sch C'!F90</f>
        <v>38336</v>
      </c>
      <c r="E97" s="171">
        <f t="shared" si="19"/>
        <v>38336</v>
      </c>
      <c r="F97" s="171"/>
      <c r="G97" s="171">
        <f t="shared" si="20"/>
        <v>38336</v>
      </c>
      <c r="H97" s="172">
        <f t="shared" si="21"/>
        <v>6.066882569360217E-3</v>
      </c>
      <c r="I97" s="337"/>
      <c r="J97" s="168"/>
      <c r="K97" s="168"/>
      <c r="M97" s="364">
        <f t="shared" si="22"/>
        <v>1.6540535876084048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573">
        <f>'[16]Sch C'!D91</f>
        <v>24299</v>
      </c>
      <c r="D98" s="573">
        <f>'[16]Sch C'!F91</f>
        <v>0</v>
      </c>
      <c r="E98" s="171">
        <f t="shared" si="19"/>
        <v>24299</v>
      </c>
      <c r="F98" s="171"/>
      <c r="G98" s="171">
        <f t="shared" si="20"/>
        <v>24299</v>
      </c>
      <c r="H98" s="172">
        <f t="shared" si="21"/>
        <v>3.8454502178861625E-3</v>
      </c>
      <c r="I98" s="337"/>
      <c r="J98" s="168"/>
      <c r="K98" s="168"/>
      <c r="M98" s="364">
        <f t="shared" si="22"/>
        <v>1.0484100616990983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573">
        <f>'[16]Sch C'!D92</f>
        <v>175821</v>
      </c>
      <c r="D99" s="573">
        <f>'[16]Sch C'!F92</f>
        <v>0</v>
      </c>
      <c r="E99" s="171">
        <f t="shared" si="19"/>
        <v>175821</v>
      </c>
      <c r="F99" s="171"/>
      <c r="G99" s="171">
        <f t="shared" si="20"/>
        <v>175821</v>
      </c>
      <c r="H99" s="172">
        <f t="shared" si="21"/>
        <v>2.7824638987569979E-2</v>
      </c>
      <c r="I99" s="337"/>
      <c r="J99" s="168"/>
      <c r="K99" s="168"/>
      <c r="M99" s="364">
        <f t="shared" si="22"/>
        <v>7.5860119946498683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573">
        <f>'[16]Sch C'!D93</f>
        <v>12759</v>
      </c>
      <c r="D100" s="573">
        <f>'[16]Sch C'!F93</f>
        <v>0</v>
      </c>
      <c r="E100" s="171">
        <f t="shared" si="19"/>
        <v>12759</v>
      </c>
      <c r="F100" s="171"/>
      <c r="G100" s="171">
        <f t="shared" si="20"/>
        <v>12759</v>
      </c>
      <c r="H100" s="172">
        <f t="shared" si="21"/>
        <v>2.0191818317630166E-3</v>
      </c>
      <c r="I100" s="337"/>
      <c r="J100" s="168"/>
      <c r="K100" s="168"/>
      <c r="M100" s="364">
        <f t="shared" si="22"/>
        <v>0.55050265349268668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573">
        <f>'[16]Sch C'!D94</f>
        <v>80</v>
      </c>
      <c r="D101" s="573">
        <f>'[16]Sch C'!F94</f>
        <v>-34</v>
      </c>
      <c r="E101" s="171">
        <f t="shared" si="19"/>
        <v>46</v>
      </c>
      <c r="F101" s="171"/>
      <c r="G101" s="171">
        <f t="shared" si="20"/>
        <v>46</v>
      </c>
      <c r="H101" s="172">
        <f t="shared" si="21"/>
        <v>7.2797526656555195E-6</v>
      </c>
      <c r="I101" s="337"/>
      <c r="J101" s="168"/>
      <c r="K101" s="168"/>
      <c r="M101" s="364">
        <f t="shared" si="22"/>
        <v>1.9847262372179315E-3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573">
        <f>SUM(C96:C101)</f>
        <v>446475</v>
      </c>
      <c r="D102" s="573">
        <f>SUM(D96:D101)</f>
        <v>47720</v>
      </c>
      <c r="E102" s="171">
        <f t="shared" ref="E102" si="23">SUM(E96:E101)</f>
        <v>494195</v>
      </c>
      <c r="F102" s="171">
        <f>SUM(F96:F101)</f>
        <v>0</v>
      </c>
      <c r="G102" s="171">
        <f>SUM(G96:G101)</f>
        <v>494195</v>
      </c>
      <c r="H102" s="172">
        <f t="shared" si="21"/>
        <v>7.8209073230513682E-2</v>
      </c>
      <c r="I102" s="337"/>
      <c r="J102" s="168"/>
      <c r="K102" s="168"/>
      <c r="M102" s="364">
        <f>G102/G$228</f>
        <v>21.322647452215559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573">
        <f>'[16]Sch C'!D98</f>
        <v>0</v>
      </c>
      <c r="D105" s="573">
        <f>'[16]Sch C'!F98</f>
        <v>0</v>
      </c>
      <c r="E105" s="171">
        <f t="shared" ref="E105:E110" si="24">C105+D105</f>
        <v>0</v>
      </c>
      <c r="F105" s="171"/>
      <c r="G105" s="171">
        <f t="shared" ref="G105:G110" si="25">E105+F105</f>
        <v>0</v>
      </c>
      <c r="H105" s="172">
        <f t="shared" ref="H105:H111" si="26">IF($G$208=0,0,G105/$G$208)</f>
        <v>0</v>
      </c>
      <c r="I105" s="337"/>
      <c r="J105" s="183">
        <v>0</v>
      </c>
      <c r="K105" s="183">
        <v>0</v>
      </c>
      <c r="M105" s="364">
        <f t="shared" ref="M105:M110" si="27">G105/G$228</f>
        <v>0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573">
        <f>'[16]Sch C'!D99</f>
        <v>0</v>
      </c>
      <c r="D106" s="573">
        <f>'[16]Sch C'!F99</f>
        <v>0</v>
      </c>
      <c r="E106" s="171">
        <f t="shared" si="24"/>
        <v>0</v>
      </c>
      <c r="F106" s="171"/>
      <c r="G106" s="171">
        <f t="shared" si="25"/>
        <v>0</v>
      </c>
      <c r="H106" s="172">
        <f t="shared" si="26"/>
        <v>0</v>
      </c>
      <c r="I106" s="337"/>
      <c r="J106" s="168"/>
      <c r="K106" s="168"/>
      <c r="M106" s="364">
        <f t="shared" si="27"/>
        <v>0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573">
        <f>'[16]Sch C'!D100</f>
        <v>32</v>
      </c>
      <c r="D107" s="573">
        <f>'[16]Sch C'!F100</f>
        <v>0</v>
      </c>
      <c r="E107" s="171">
        <f t="shared" si="24"/>
        <v>32</v>
      </c>
      <c r="F107" s="171"/>
      <c r="G107" s="171">
        <f t="shared" si="25"/>
        <v>32</v>
      </c>
      <c r="H107" s="172">
        <f t="shared" si="26"/>
        <v>5.0641757674125351E-6</v>
      </c>
      <c r="I107" s="337"/>
      <c r="J107" s="168"/>
      <c r="K107" s="168"/>
      <c r="M107" s="364">
        <f t="shared" si="27"/>
        <v>1.3806791215429089E-3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573">
        <f>'[16]Sch C'!D101</f>
        <v>70480</v>
      </c>
      <c r="D108" s="573">
        <f>'[16]Sch C'!F101</f>
        <v>0</v>
      </c>
      <c r="E108" s="171">
        <f t="shared" si="24"/>
        <v>70480</v>
      </c>
      <c r="F108" s="171"/>
      <c r="G108" s="171">
        <f t="shared" si="25"/>
        <v>70480</v>
      </c>
      <c r="H108" s="172">
        <f t="shared" si="26"/>
        <v>1.1153847127726109E-2</v>
      </c>
      <c r="I108" s="337"/>
      <c r="J108" s="168"/>
      <c r="K108" s="168"/>
      <c r="M108" s="364">
        <f t="shared" si="27"/>
        <v>3.040945765198257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573">
        <f>'[16]Sch C'!D102</f>
        <v>0</v>
      </c>
      <c r="D109" s="573">
        <f>'[16]Sch C'!F102</f>
        <v>0</v>
      </c>
      <c r="E109" s="171">
        <f t="shared" si="24"/>
        <v>0</v>
      </c>
      <c r="F109" s="171"/>
      <c r="G109" s="171">
        <f t="shared" si="25"/>
        <v>0</v>
      </c>
      <c r="H109" s="172">
        <f t="shared" si="26"/>
        <v>0</v>
      </c>
      <c r="I109" s="337"/>
      <c r="J109" s="168"/>
      <c r="K109" s="168"/>
      <c r="M109" s="364">
        <f t="shared" si="27"/>
        <v>0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573">
        <f>'[16]Sch C'!D103</f>
        <v>0</v>
      </c>
      <c r="D110" s="573">
        <f>'[16]Sch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7"/>
      <c r="J110" s="168"/>
      <c r="K110" s="168"/>
      <c r="M110" s="364">
        <f t="shared" si="27"/>
        <v>0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573">
        <f>SUM(C105:C110)</f>
        <v>70512</v>
      </c>
      <c r="D111" s="573">
        <f>SUM(D105:D110)</f>
        <v>0</v>
      </c>
      <c r="E111" s="171">
        <f t="shared" ref="E111" si="28">SUM(E105:E110)</f>
        <v>70512</v>
      </c>
      <c r="F111" s="171">
        <f>SUM(F105:F110)</f>
        <v>0</v>
      </c>
      <c r="G111" s="171">
        <f>SUM(G105:G110)</f>
        <v>70512</v>
      </c>
      <c r="H111" s="172">
        <f t="shared" si="26"/>
        <v>1.1158911303493523E-2</v>
      </c>
      <c r="I111" s="337"/>
      <c r="J111" s="168"/>
      <c r="K111" s="168"/>
      <c r="M111" s="364">
        <f>G111/G$228</f>
        <v>3.0423264443197997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573">
        <f>'[16]Sch C'!D115</f>
        <v>0</v>
      </c>
      <c r="D114" s="573">
        <f>'[16]Sch C'!F115</f>
        <v>0</v>
      </c>
      <c r="E114" s="171">
        <f t="shared" ref="E114:E118" si="29">C114+D114</f>
        <v>0</v>
      </c>
      <c r="F114" s="171"/>
      <c r="G114" s="171">
        <f>E114+F114</f>
        <v>0</v>
      </c>
      <c r="H114" s="172">
        <f t="shared" ref="H114:H119" si="30">IF($G$208=0,0,G114/$G$208)</f>
        <v>0</v>
      </c>
      <c r="I114" s="337"/>
      <c r="J114" s="183">
        <v>0</v>
      </c>
      <c r="K114" s="183">
        <v>0</v>
      </c>
      <c r="M114" s="364">
        <f t="shared" ref="M114:M119" si="31">G114/G$228</f>
        <v>0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573">
        <f>'[16]Sch C'!D116</f>
        <v>0</v>
      </c>
      <c r="D115" s="573">
        <f>'[16]Sch C'!F116</f>
        <v>0</v>
      </c>
      <c r="E115" s="171">
        <f t="shared" si="29"/>
        <v>0</v>
      </c>
      <c r="F115" s="171"/>
      <c r="G115" s="171">
        <f>E115+F115</f>
        <v>0</v>
      </c>
      <c r="H115" s="172">
        <f t="shared" si="30"/>
        <v>0</v>
      </c>
      <c r="I115" s="337"/>
      <c r="J115" s="168"/>
      <c r="K115" s="168"/>
      <c r="M115" s="364">
        <f t="shared" si="31"/>
        <v>0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573">
        <f>'[16]Sch C'!D117</f>
        <v>1423</v>
      </c>
      <c r="D116" s="573">
        <f>'[16]Sch C'!F117</f>
        <v>0</v>
      </c>
      <c r="E116" s="171">
        <f t="shared" si="29"/>
        <v>1423</v>
      </c>
      <c r="F116" s="171"/>
      <c r="G116" s="171">
        <f>E116+F116</f>
        <v>1423</v>
      </c>
      <c r="H116" s="172">
        <f t="shared" si="30"/>
        <v>2.2519756615712618E-4</v>
      </c>
      <c r="I116" s="337"/>
      <c r="J116" s="168"/>
      <c r="K116" s="168"/>
      <c r="M116" s="364">
        <f t="shared" si="31"/>
        <v>6.1397074686111233E-2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573">
        <f>'[16]Sch C'!D118</f>
        <v>97284</v>
      </c>
      <c r="D117" s="573">
        <f>'[16]Sch C'!F118</f>
        <v>0</v>
      </c>
      <c r="E117" s="171">
        <f t="shared" si="29"/>
        <v>97284</v>
      </c>
      <c r="F117" s="171"/>
      <c r="G117" s="171">
        <f>E117+F117</f>
        <v>97284</v>
      </c>
      <c r="H117" s="172">
        <f t="shared" si="30"/>
        <v>1.5395727354905034E-2</v>
      </c>
      <c r="I117" s="337"/>
      <c r="J117" s="168"/>
      <c r="K117" s="168"/>
      <c r="M117" s="364">
        <f t="shared" si="31"/>
        <v>4.1974371143806364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573">
        <f>'[16]Sch C'!D119</f>
        <v>9317</v>
      </c>
      <c r="D118" s="573">
        <f>'[16]Sch C'!F119</f>
        <v>0</v>
      </c>
      <c r="E118" s="171">
        <f t="shared" si="29"/>
        <v>9317</v>
      </c>
      <c r="F118" s="171"/>
      <c r="G118" s="171">
        <f>E118+F118</f>
        <v>9317</v>
      </c>
      <c r="H118" s="172">
        <f t="shared" si="30"/>
        <v>1.4744664257807061E-3</v>
      </c>
      <c r="I118" s="337"/>
      <c r="J118" s="168"/>
      <c r="K118" s="168"/>
      <c r="M118" s="364">
        <f t="shared" si="31"/>
        <v>0.4019933554817276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573">
        <f>SUM(C114:C118)</f>
        <v>108024</v>
      </c>
      <c r="D119" s="573">
        <f>SUM(D114:D118)</f>
        <v>0</v>
      </c>
      <c r="E119" s="171">
        <f t="shared" ref="E119" si="32">SUM(E114:E118)</f>
        <v>108024</v>
      </c>
      <c r="F119" s="171">
        <f>SUM(F114:F118)</f>
        <v>0</v>
      </c>
      <c r="G119" s="171">
        <f>SUM(G114:G118)</f>
        <v>108024</v>
      </c>
      <c r="H119" s="172">
        <f t="shared" si="30"/>
        <v>1.7095391346842865E-2</v>
      </c>
      <c r="I119" s="337"/>
      <c r="J119" s="168"/>
      <c r="K119" s="168"/>
      <c r="M119" s="364">
        <f t="shared" si="31"/>
        <v>4.660827544548475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1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573">
        <f>'[16]Sch C'!D124</f>
        <v>0</v>
      </c>
      <c r="D123" s="573">
        <f>'[16]Sch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7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0.77002560279620991</v>
      </c>
    </row>
    <row r="124" spans="1:14" s="167" customFormat="1">
      <c r="B124" s="163" t="s">
        <v>194</v>
      </c>
      <c r="C124" s="573">
        <f>'[16]Sch C'!D125</f>
        <v>265076</v>
      </c>
      <c r="D124" s="573">
        <f>'[16]Sch C'!F125</f>
        <v>10691</v>
      </c>
      <c r="E124" s="171">
        <f t="shared" si="33"/>
        <v>275767</v>
      </c>
      <c r="F124" s="171"/>
      <c r="G124" s="171">
        <f>E124+F124</f>
        <v>275767</v>
      </c>
      <c r="H124" s="172">
        <f>IF($G$208=0,0,G124/$G$208)</f>
        <v>4.3641642464126648E-2</v>
      </c>
      <c r="I124" s="337"/>
      <c r="J124" s="183">
        <v>3935</v>
      </c>
      <c r="K124" s="183">
        <v>4199</v>
      </c>
      <c r="M124" s="364">
        <f t="shared" si="34"/>
        <v>11.898304353453856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573">
        <f>'[16]Sch C'!D126</f>
        <v>0</v>
      </c>
      <c r="D125" s="573">
        <f>'[16]Sch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7"/>
      <c r="J125" s="183">
        <v>0</v>
      </c>
      <c r="K125" s="183">
        <v>0</v>
      </c>
      <c r="M125" s="364">
        <f t="shared" si="34"/>
        <v>0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573">
        <f>'[16]Sch C'!D127</f>
        <v>0</v>
      </c>
      <c r="D126" s="573">
        <f>'[16]Sch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7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573">
        <f>'[16]Sch C'!D128</f>
        <v>91026</v>
      </c>
      <c r="D127" s="573">
        <f>'[16]Sch C'!F128</f>
        <v>3671</v>
      </c>
      <c r="E127" s="171">
        <f t="shared" si="33"/>
        <v>94697</v>
      </c>
      <c r="F127" s="171"/>
      <c r="G127" s="171">
        <f>E127+F127</f>
        <v>94697</v>
      </c>
      <c r="H127" s="172">
        <f>IF($G$208=0,0,G127/$G$208)</f>
        <v>1.4986320395208277E-2</v>
      </c>
      <c r="I127" s="337"/>
      <c r="J127" s="183">
        <v>6302</v>
      </c>
      <c r="K127" s="183">
        <v>6629</v>
      </c>
      <c r="M127" s="364">
        <f t="shared" si="34"/>
        <v>4.0858178366484017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205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573">
        <f>'[16]Sch C'!D130</f>
        <v>0</v>
      </c>
      <c r="D129" s="573">
        <f>'[16]Sch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7"/>
      <c r="J129" s="204"/>
      <c r="K129" s="204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573">
        <f>'[16]Sch C'!D131</f>
        <v>0</v>
      </c>
      <c r="D130" s="573">
        <f>'[16]Sch C'!F131</f>
        <v>43517</v>
      </c>
      <c r="E130" s="171">
        <f t="shared" si="35"/>
        <v>43517</v>
      </c>
      <c r="F130" s="171"/>
      <c r="G130" s="171">
        <f>E130+F130</f>
        <v>43517</v>
      </c>
      <c r="H130" s="172">
        <f>IF($G$208=0,0,G130/$G$208)</f>
        <v>6.8868042772028534E-3</v>
      </c>
      <c r="I130" s="337"/>
      <c r="J130" s="204"/>
      <c r="K130" s="204"/>
      <c r="M130" s="364">
        <f t="shared" si="34"/>
        <v>1.8775941666307114</v>
      </c>
      <c r="N130" s="359">
        <f>SUMMARY!J133</f>
        <v>1.0792348507966931</v>
      </c>
    </row>
    <row r="131" spans="1:14" s="167" customFormat="1">
      <c r="B131" s="163" t="s">
        <v>195</v>
      </c>
      <c r="C131" s="573">
        <f>'[16]Sch C'!D132</f>
        <v>0</v>
      </c>
      <c r="D131" s="573">
        <f>'[16]Sch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7"/>
      <c r="J131" s="168"/>
      <c r="K131" s="168"/>
      <c r="M131" s="364">
        <f t="shared" si="34"/>
        <v>0</v>
      </c>
      <c r="N131" s="359">
        <f>SUMMARY!J134</f>
        <v>8.2765628075518377E-2</v>
      </c>
    </row>
    <row r="132" spans="1:14" s="167" customFormat="1">
      <c r="B132" s="163" t="s">
        <v>196</v>
      </c>
      <c r="C132" s="573">
        <f>'[16]Sch C'!D133</f>
        <v>0</v>
      </c>
      <c r="D132" s="573">
        <f>'[16]Sch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573">
        <f>'[16]Sch C'!D134</f>
        <v>0</v>
      </c>
      <c r="D133" s="573">
        <f>'[16]Sch C'!F134</f>
        <v>14944</v>
      </c>
      <c r="E133" s="171">
        <f t="shared" si="35"/>
        <v>14944</v>
      </c>
      <c r="F133" s="171"/>
      <c r="G133" s="171">
        <f>E133+F133</f>
        <v>14944</v>
      </c>
      <c r="H133" s="172">
        <f>IF($G$208=0,0,G133/$G$208)</f>
        <v>2.3649700833816541E-3</v>
      </c>
      <c r="I133" s="337"/>
      <c r="J133" s="168"/>
      <c r="K133" s="168"/>
      <c r="M133" s="364">
        <f t="shared" si="34"/>
        <v>0.64477714976053846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573">
        <f>'[16]Sch C'!D136</f>
        <v>284875</v>
      </c>
      <c r="D135" s="573">
        <f>'[16]Sch C'!F136</f>
        <v>11490</v>
      </c>
      <c r="E135" s="171">
        <f t="shared" ref="E135:E138" si="36">C135+D135</f>
        <v>296365</v>
      </c>
      <c r="F135" s="171"/>
      <c r="G135" s="171">
        <f>E135+F135</f>
        <v>296365</v>
      </c>
      <c r="H135" s="172">
        <f>IF($G$208=0,0,G135/$G$208)</f>
        <v>4.6901389103413002E-2</v>
      </c>
      <c r="I135" s="337"/>
      <c r="J135" s="183">
        <v>10769</v>
      </c>
      <c r="K135" s="183">
        <v>11402</v>
      </c>
      <c r="M135" s="364">
        <f t="shared" si="34"/>
        <v>12.787030245502006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573">
        <f>'[16]Sch C'!D137</f>
        <v>312707</v>
      </c>
      <c r="D136" s="573">
        <f>'[16]Sch C'!F137</f>
        <v>12612</v>
      </c>
      <c r="E136" s="171">
        <f t="shared" si="36"/>
        <v>325319</v>
      </c>
      <c r="F136" s="171"/>
      <c r="G136" s="171">
        <f>E136+F136</f>
        <v>325319</v>
      </c>
      <c r="H136" s="172">
        <f>IF($G$208=0,0,G136/$G$208)</f>
        <v>5.1483518639964955E-2</v>
      </c>
      <c r="I136" s="337"/>
      <c r="J136" s="183">
        <v>15955</v>
      </c>
      <c r="K136" s="183">
        <v>16212</v>
      </c>
      <c r="M136" s="364">
        <f t="shared" si="34"/>
        <v>14.03628597316305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573">
        <f>'[16]Sch C'!D138</f>
        <v>660866</v>
      </c>
      <c r="D137" s="573">
        <f>'[16]Sch C'!F138</f>
        <v>26654</v>
      </c>
      <c r="E137" s="171">
        <f t="shared" si="36"/>
        <v>687520</v>
      </c>
      <c r="F137" s="171"/>
      <c r="G137" s="171">
        <f>E137+F137</f>
        <v>687520</v>
      </c>
      <c r="H137" s="172">
        <f>IF($G$208=0,0,G137/$G$208)</f>
        <v>0.10880381636285832</v>
      </c>
      <c r="I137" s="337"/>
      <c r="J137" s="183">
        <v>57693</v>
      </c>
      <c r="K137" s="183">
        <v>59532</v>
      </c>
      <c r="M137" s="364">
        <f t="shared" si="34"/>
        <v>29.663890926349399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573">
        <f>'[16]Sch C'!D139</f>
        <v>0</v>
      </c>
      <c r="D138" s="573">
        <f>'[16]Sch C'!F139</f>
        <v>0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7"/>
      <c r="J138" s="183">
        <v>0</v>
      </c>
      <c r="K138" s="183">
        <v>0</v>
      </c>
      <c r="M138" s="364">
        <f t="shared" si="34"/>
        <v>0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7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573">
        <f>'[16]Sch C'!D141</f>
        <v>0</v>
      </c>
      <c r="D140" s="573">
        <f>'[16]Sch C'!F141</f>
        <v>46767</v>
      </c>
      <c r="E140" s="171">
        <f t="shared" ref="E140:E143" si="37">C140+D140</f>
        <v>46767</v>
      </c>
      <c r="F140" s="171"/>
      <c r="G140" s="171">
        <f>E140+F140</f>
        <v>46767</v>
      </c>
      <c r="H140" s="172">
        <f>IF($G$208=0,0,G140/$G$208)</f>
        <v>7.4011346285806886E-3</v>
      </c>
      <c r="I140" s="337"/>
      <c r="J140" s="168"/>
      <c r="K140" s="168"/>
      <c r="M140" s="364">
        <f t="shared" si="34"/>
        <v>2.0178193899124133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573">
        <f>'[16]Sch C'!D142</f>
        <v>0</v>
      </c>
      <c r="D141" s="573">
        <f>'[16]Sch C'!F142</f>
        <v>51337</v>
      </c>
      <c r="E141" s="171">
        <f t="shared" si="37"/>
        <v>51337</v>
      </c>
      <c r="F141" s="171"/>
      <c r="G141" s="171">
        <f>E141+F141</f>
        <v>51337</v>
      </c>
      <c r="H141" s="172">
        <f>IF($G$208=0,0,G141/$G$208)</f>
        <v>8.1243622303642914E-3</v>
      </c>
      <c r="I141" s="337"/>
      <c r="J141" s="168"/>
      <c r="K141" s="168"/>
      <c r="M141" s="364">
        <f t="shared" si="34"/>
        <v>2.2149976269577598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573">
        <f>'[16]Sch C'!D143</f>
        <v>0</v>
      </c>
      <c r="D142" s="573">
        <f>'[16]Sch C'!F143</f>
        <v>108493</v>
      </c>
      <c r="E142" s="171">
        <f t="shared" si="37"/>
        <v>108493</v>
      </c>
      <c r="F142" s="171"/>
      <c r="G142" s="171">
        <f>E142+F142</f>
        <v>108493</v>
      </c>
      <c r="H142" s="172">
        <f>IF($G$208=0,0,G142/$G$208)</f>
        <v>1.7169613172934008E-2</v>
      </c>
      <c r="I142" s="337"/>
      <c r="J142" s="168"/>
      <c r="K142" s="168"/>
      <c r="M142" s="364">
        <f t="shared" si="34"/>
        <v>4.6810631229235877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573">
        <f>'[16]Sch C'!D144</f>
        <v>0</v>
      </c>
      <c r="D143" s="573">
        <f>'[16]Sch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7"/>
      <c r="J143" s="168"/>
      <c r="K143" s="168"/>
      <c r="M143" s="364">
        <f t="shared" si="34"/>
        <v>0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7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573">
        <f>'[16]Sch C'!D146</f>
        <v>55639</v>
      </c>
      <c r="D145" s="573">
        <f>'[16]Sch C'!F146</f>
        <v>0</v>
      </c>
      <c r="E145" s="171">
        <f t="shared" ref="E145:E153" si="38">C145+D145</f>
        <v>55639</v>
      </c>
      <c r="F145" s="171">
        <v>-750</v>
      </c>
      <c r="G145" s="171">
        <f t="shared" ref="G145:G153" si="39">E145+F145</f>
        <v>54889</v>
      </c>
      <c r="H145" s="172">
        <f t="shared" ref="H145:H153" si="40">IF($G$208=0,0,G145/$G$208)</f>
        <v>8.6864857405470827E-3</v>
      </c>
      <c r="I145" s="337"/>
      <c r="J145" s="183">
        <v>0</v>
      </c>
      <c r="K145" s="183">
        <v>0</v>
      </c>
      <c r="M145" s="364">
        <f t="shared" si="34"/>
        <v>2.3682530094490226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573">
        <f>'[16]Sch C'!D147</f>
        <v>0</v>
      </c>
      <c r="D146" s="573">
        <f>'[16]Sch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337"/>
      <c r="J146" s="183">
        <v>0</v>
      </c>
      <c r="K146" s="183">
        <v>0</v>
      </c>
      <c r="M146" s="364">
        <f t="shared" si="34"/>
        <v>0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573">
        <f>'[16]Sch C'!D148</f>
        <v>0</v>
      </c>
      <c r="D147" s="573">
        <f>'[16]Sch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7"/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573">
        <f>'[16]Sch C'!D149</f>
        <v>0</v>
      </c>
      <c r="D148" s="573">
        <f>'[16]Sch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7"/>
      <c r="J148" s="183">
        <v>0</v>
      </c>
      <c r="K148" s="183">
        <v>0</v>
      </c>
      <c r="M148" s="364">
        <f t="shared" si="34"/>
        <v>0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573">
        <f>'[16]Sch C'!D150</f>
        <v>13271</v>
      </c>
      <c r="D149" s="573">
        <f>'[16]Sch C'!F150</f>
        <v>0</v>
      </c>
      <c r="E149" s="171">
        <f t="shared" si="38"/>
        <v>13271</v>
      </c>
      <c r="F149" s="171"/>
      <c r="G149" s="171">
        <f t="shared" si="39"/>
        <v>13271</v>
      </c>
      <c r="H149" s="172">
        <f t="shared" si="40"/>
        <v>2.1002086440416175E-3</v>
      </c>
      <c r="I149" s="337"/>
      <c r="J149" s="183">
        <v>0</v>
      </c>
      <c r="K149" s="183">
        <v>0</v>
      </c>
      <c r="M149" s="364">
        <f t="shared" si="34"/>
        <v>0.57259351943737324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573">
        <f>'[16]Sch C'!D151</f>
        <v>148978</v>
      </c>
      <c r="D150" s="573">
        <f>'[16]Sch C'!F151</f>
        <v>0</v>
      </c>
      <c r="E150" s="171">
        <f t="shared" si="38"/>
        <v>148978</v>
      </c>
      <c r="F150" s="171"/>
      <c r="G150" s="171">
        <f t="shared" si="39"/>
        <v>148978</v>
      </c>
      <c r="H150" s="172">
        <f t="shared" si="40"/>
        <v>2.3576586796174522E-2</v>
      </c>
      <c r="I150" s="337"/>
      <c r="J150" s="168"/>
      <c r="K150" s="168"/>
      <c r="M150" s="364">
        <f t="shared" si="34"/>
        <v>6.4278379427881092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573">
        <f>'[16]Sch C'!D152</f>
        <v>2780</v>
      </c>
      <c r="D151" s="573">
        <f>'[16]Sch C'!F152</f>
        <v>0</v>
      </c>
      <c r="E151" s="171">
        <f t="shared" si="38"/>
        <v>2780</v>
      </c>
      <c r="F151" s="171"/>
      <c r="G151" s="171">
        <f t="shared" si="39"/>
        <v>2780</v>
      </c>
      <c r="H151" s="172">
        <f t="shared" si="40"/>
        <v>4.3995026979396401E-4</v>
      </c>
      <c r="I151" s="337"/>
      <c r="J151" s="168"/>
      <c r="K151" s="168"/>
      <c r="M151" s="364">
        <f t="shared" si="34"/>
        <v>0.11994649868404021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573">
        <f>'[16]Sch C'!D153</f>
        <v>0</v>
      </c>
      <c r="D152" s="573">
        <f>'[16]Sch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7"/>
      <c r="J152" s="168"/>
      <c r="K152" s="168"/>
      <c r="M152" s="364">
        <f t="shared" si="34"/>
        <v>0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573">
        <f>'[16]Sch C'!D154</f>
        <v>3438</v>
      </c>
      <c r="D153" s="573">
        <f>'[16]Sch C'!F154</f>
        <v>0</v>
      </c>
      <c r="E153" s="171">
        <f t="shared" si="38"/>
        <v>3438</v>
      </c>
      <c r="F153" s="171"/>
      <c r="G153" s="171">
        <f t="shared" si="39"/>
        <v>3438</v>
      </c>
      <c r="H153" s="172">
        <f t="shared" si="40"/>
        <v>5.4408238401138431E-4</v>
      </c>
      <c r="I153" s="337"/>
      <c r="J153" s="168"/>
      <c r="K153" s="168"/>
      <c r="M153" s="364">
        <f t="shared" si="34"/>
        <v>0.14833671312076627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210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573">
        <f>'[16]Sch C'!D156</f>
        <v>0</v>
      </c>
      <c r="D155" s="573">
        <f>'[16]Sch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573">
        <f>'[16]Sch C'!D157</f>
        <v>0</v>
      </c>
      <c r="D156" s="573">
        <f>'[16]Sch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573">
        <f>'[16]Sch C'!D158</f>
        <v>0</v>
      </c>
      <c r="D157" s="573">
        <f>'[16]Sch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7"/>
      <c r="J157" s="168"/>
      <c r="K157" s="168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573">
        <f>'[16]Sch C'!D159</f>
        <v>0</v>
      </c>
      <c r="D158" s="573">
        <f>'[16]Sch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573">
        <f>'[16]Sch C'!D160</f>
        <v>0</v>
      </c>
      <c r="D159" s="573">
        <f>'[16]Sch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7"/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573">
        <f>'[16]Sch C'!D161</f>
        <v>427</v>
      </c>
      <c r="D160" s="573">
        <f>'[16]Sch C'!F161</f>
        <v>0</v>
      </c>
      <c r="E160" s="171">
        <f t="shared" si="41"/>
        <v>427</v>
      </c>
      <c r="F160" s="171"/>
      <c r="G160" s="171">
        <f t="shared" si="42"/>
        <v>427</v>
      </c>
      <c r="H160" s="172">
        <f t="shared" si="43"/>
        <v>6.7575095396411015E-5</v>
      </c>
      <c r="I160" s="337"/>
      <c r="J160" s="168"/>
      <c r="K160" s="168"/>
      <c r="M160" s="364">
        <f t="shared" si="34"/>
        <v>1.8423437028088192E-2</v>
      </c>
      <c r="N160" s="359">
        <f>SUMMARY!J163</f>
        <v>0.61572967423063263</v>
      </c>
    </row>
    <row r="161" spans="1:14" s="167" customFormat="1">
      <c r="A161" s="169"/>
      <c r="B161" s="170" t="s">
        <v>233</v>
      </c>
      <c r="C161" s="573">
        <f>SUM(C123:C160)</f>
        <v>1839083</v>
      </c>
      <c r="D161" s="573">
        <f>SUM(D123:D160)</f>
        <v>330176</v>
      </c>
      <c r="E161" s="171">
        <f t="shared" ref="E161" si="44">SUM(E123:E160)</f>
        <v>2169259</v>
      </c>
      <c r="F161" s="171">
        <f>SUM(F123:F160)</f>
        <v>-750</v>
      </c>
      <c r="G161" s="171">
        <f>SUM(G123:G160)</f>
        <v>2168509</v>
      </c>
      <c r="H161" s="172">
        <f t="shared" si="43"/>
        <v>0.3431784602879997</v>
      </c>
      <c r="I161" s="337"/>
      <c r="J161" s="168"/>
      <c r="K161" s="168"/>
      <c r="M161" s="364">
        <f>G161/G$228</f>
        <v>93.562971911809115</v>
      </c>
      <c r="N161" s="359">
        <f>SUMMARY!J164</f>
        <v>98.597321527877028</v>
      </c>
    </row>
    <row r="162" spans="1:14" s="167" customFormat="1">
      <c r="A162" s="169"/>
      <c r="B162" s="170"/>
      <c r="C162" s="196"/>
      <c r="D162" s="196"/>
      <c r="E162" s="196"/>
      <c r="F162" s="196"/>
      <c r="G162" s="196"/>
      <c r="H162" s="197"/>
      <c r="I162" s="337"/>
      <c r="J162" s="168"/>
      <c r="K162" s="168"/>
      <c r="M162" s="359"/>
      <c r="N162" s="359"/>
    </row>
    <row r="163" spans="1:14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7"/>
      <c r="J163" s="168"/>
      <c r="K163" s="168"/>
      <c r="M163" s="359"/>
      <c r="N163" s="359"/>
    </row>
    <row r="164" spans="1:14" s="221" customFormat="1">
      <c r="A164" s="215" t="s">
        <v>95</v>
      </c>
      <c r="B164" s="148" t="s">
        <v>102</v>
      </c>
      <c r="C164" s="573">
        <f>'[16]Sch C'!D175</f>
        <v>0</v>
      </c>
      <c r="D164" s="573">
        <f>'[16]Sch C'!F175</f>
        <v>0</v>
      </c>
      <c r="E164" s="171">
        <f t="shared" ref="E164:E196" si="45">C164+D164</f>
        <v>0</v>
      </c>
      <c r="F164" s="665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>
        <v>0</v>
      </c>
      <c r="K164" s="217">
        <v>0</v>
      </c>
      <c r="M164" s="364">
        <f>G164/G$228</f>
        <v>0</v>
      </c>
      <c r="N164" s="359">
        <f>SUMMARY!J167</f>
        <v>0</v>
      </c>
    </row>
    <row r="165" spans="1:14" s="221" customFormat="1">
      <c r="A165" s="215" t="s">
        <v>123</v>
      </c>
      <c r="B165" s="148" t="s">
        <v>103</v>
      </c>
      <c r="C165" s="573">
        <f>'[16]Sch C'!D176</f>
        <v>0</v>
      </c>
      <c r="D165" s="573">
        <f>'[16]Sch C'!F176</f>
        <v>0</v>
      </c>
      <c r="E165" s="171">
        <f t="shared" si="45"/>
        <v>0</v>
      </c>
      <c r="F165" s="665"/>
      <c r="G165" s="171">
        <f t="shared" si="46"/>
        <v>0</v>
      </c>
      <c r="H165" s="172">
        <f t="shared" si="47"/>
        <v>0</v>
      </c>
      <c r="I165" s="344"/>
      <c r="J165" s="222"/>
      <c r="K165" s="222"/>
      <c r="M165" s="364">
        <f t="shared" ref="M165:M196" si="48">G165/G$228</f>
        <v>0</v>
      </c>
      <c r="N165" s="359">
        <f>SUMMARY!J168</f>
        <v>0</v>
      </c>
    </row>
    <row r="166" spans="1:14" s="221" customFormat="1">
      <c r="A166" s="215" t="s">
        <v>124</v>
      </c>
      <c r="B166" s="148" t="s">
        <v>104</v>
      </c>
      <c r="C166" s="573">
        <f>'[16]Sch C'!D177</f>
        <v>345946</v>
      </c>
      <c r="D166" s="573">
        <f>'[16]Sch C'!F177</f>
        <v>13953</v>
      </c>
      <c r="E166" s="171">
        <f t="shared" si="45"/>
        <v>359899</v>
      </c>
      <c r="F166" s="665"/>
      <c r="G166" s="171">
        <f t="shared" si="46"/>
        <v>359899</v>
      </c>
      <c r="H166" s="172">
        <f t="shared" si="47"/>
        <v>5.695599357862513E-2</v>
      </c>
      <c r="I166" s="343"/>
      <c r="J166" s="217">
        <v>9295</v>
      </c>
      <c r="K166" s="217">
        <v>10075</v>
      </c>
      <c r="M166" s="364">
        <f t="shared" si="48"/>
        <v>15.528282348880355</v>
      </c>
      <c r="N166" s="359">
        <f>SUMMARY!J169</f>
        <v>4.5899160973212085</v>
      </c>
    </row>
    <row r="167" spans="1:14" s="221" customFormat="1">
      <c r="A167" s="215" t="s">
        <v>157</v>
      </c>
      <c r="B167" s="148" t="s">
        <v>105</v>
      </c>
      <c r="C167" s="573">
        <f>'[16]Sch C'!D178</f>
        <v>0</v>
      </c>
      <c r="D167" s="573">
        <f>'[16]Sch C'!F178</f>
        <v>56793</v>
      </c>
      <c r="E167" s="171">
        <f t="shared" si="45"/>
        <v>56793</v>
      </c>
      <c r="F167" s="665"/>
      <c r="G167" s="171">
        <f t="shared" si="46"/>
        <v>56793</v>
      </c>
      <c r="H167" s="172">
        <f t="shared" si="47"/>
        <v>8.9878041987081284E-3</v>
      </c>
      <c r="I167" s="344"/>
      <c r="J167" s="222"/>
      <c r="K167" s="222"/>
      <c r="M167" s="364">
        <f t="shared" si="48"/>
        <v>2.450403417180826</v>
      </c>
      <c r="N167" s="359">
        <f>SUMMARY!J170</f>
        <v>0.83466769369350857</v>
      </c>
    </row>
    <row r="168" spans="1:14" s="221" customFormat="1">
      <c r="A168" s="215" t="s">
        <v>158</v>
      </c>
      <c r="B168" s="148" t="s">
        <v>316</v>
      </c>
      <c r="C168" s="573">
        <f>'[16]Sch C'!D179</f>
        <v>54546</v>
      </c>
      <c r="D168" s="573">
        <f>'[16]Sch C'!F179</f>
        <v>2200</v>
      </c>
      <c r="E168" s="171">
        <f t="shared" si="45"/>
        <v>56746</v>
      </c>
      <c r="F168" s="665"/>
      <c r="G168" s="171">
        <f t="shared" si="46"/>
        <v>56746</v>
      </c>
      <c r="H168" s="172">
        <f t="shared" si="47"/>
        <v>8.980366190549741E-3</v>
      </c>
      <c r="I168" s="343"/>
      <c r="J168" s="217">
        <v>1150</v>
      </c>
      <c r="K168" s="217">
        <v>1316</v>
      </c>
      <c r="M168" s="364">
        <f t="shared" si="48"/>
        <v>2.4483755447210598</v>
      </c>
      <c r="N168" s="359">
        <f>SUMMARY!J171</f>
        <v>0.77161464733349716</v>
      </c>
    </row>
    <row r="169" spans="1:14" s="221" customFormat="1">
      <c r="A169" s="215" t="s">
        <v>86</v>
      </c>
      <c r="B169" s="148" t="s">
        <v>317</v>
      </c>
      <c r="C169" s="573">
        <f>'[16]Sch C'!D180</f>
        <v>0</v>
      </c>
      <c r="D169" s="573">
        <f>'[16]Sch C'!F180</f>
        <v>8955</v>
      </c>
      <c r="E169" s="171">
        <f t="shared" si="45"/>
        <v>8955</v>
      </c>
      <c r="F169" s="665"/>
      <c r="G169" s="171">
        <f t="shared" si="46"/>
        <v>8955</v>
      </c>
      <c r="H169" s="172">
        <f t="shared" si="47"/>
        <v>1.4171779374118516E-3</v>
      </c>
      <c r="I169" s="344"/>
      <c r="J169" s="222"/>
      <c r="K169" s="222"/>
      <c r="M169" s="364">
        <f t="shared" si="48"/>
        <v>0.38637442291927343</v>
      </c>
      <c r="N169" s="359">
        <f>SUMMARY!J172</f>
        <v>0.13394964091641409</v>
      </c>
    </row>
    <row r="170" spans="1:14" s="221" customFormat="1">
      <c r="A170" s="215" t="s">
        <v>96</v>
      </c>
      <c r="B170" s="148" t="s">
        <v>318</v>
      </c>
      <c r="C170" s="573">
        <f>'[16]Sch C'!D181</f>
        <v>0</v>
      </c>
      <c r="D170" s="573">
        <f>'[16]Sch C'!F181</f>
        <v>0</v>
      </c>
      <c r="E170" s="171">
        <f t="shared" si="45"/>
        <v>0</v>
      </c>
      <c r="F170" s="665"/>
      <c r="G170" s="171">
        <f t="shared" si="46"/>
        <v>0</v>
      </c>
      <c r="H170" s="172">
        <f t="shared" si="47"/>
        <v>0</v>
      </c>
      <c r="I170" s="343"/>
      <c r="J170" s="217">
        <v>0</v>
      </c>
      <c r="K170" s="217">
        <v>0</v>
      </c>
      <c r="M170" s="364">
        <f t="shared" si="48"/>
        <v>0</v>
      </c>
      <c r="N170" s="359">
        <f>SUMMARY!J173</f>
        <v>0</v>
      </c>
    </row>
    <row r="171" spans="1:14" s="221" customFormat="1">
      <c r="A171" s="215" t="s">
        <v>125</v>
      </c>
      <c r="B171" s="148" t="s">
        <v>109</v>
      </c>
      <c r="C171" s="573">
        <f>'[16]Sch C'!D182</f>
        <v>0</v>
      </c>
      <c r="D171" s="573">
        <f>'[16]Sch C'!F182</f>
        <v>0</v>
      </c>
      <c r="E171" s="171">
        <f t="shared" si="45"/>
        <v>0</v>
      </c>
      <c r="F171" s="665"/>
      <c r="G171" s="171">
        <f t="shared" si="46"/>
        <v>0</v>
      </c>
      <c r="H171" s="172">
        <f t="shared" si="47"/>
        <v>0</v>
      </c>
      <c r="I171" s="344"/>
      <c r="J171" s="222"/>
      <c r="K171" s="222"/>
      <c r="M171" s="364">
        <f t="shared" si="48"/>
        <v>0</v>
      </c>
      <c r="N171" s="359">
        <f>SUMMARY!J174</f>
        <v>0</v>
      </c>
    </row>
    <row r="172" spans="1:14" s="221" customFormat="1">
      <c r="A172" s="215" t="s">
        <v>126</v>
      </c>
      <c r="B172" s="148" t="s">
        <v>319</v>
      </c>
      <c r="C172" s="573">
        <f>'[16]Sch C'!D183</f>
        <v>260737</v>
      </c>
      <c r="D172" s="573">
        <f>'[16]Sch C'!F183</f>
        <v>10516</v>
      </c>
      <c r="E172" s="171">
        <f t="shared" si="45"/>
        <v>271253</v>
      </c>
      <c r="F172" s="665"/>
      <c r="G172" s="171">
        <f t="shared" si="46"/>
        <v>271253</v>
      </c>
      <c r="H172" s="172">
        <f t="shared" si="47"/>
        <v>4.2927277169936016E-2</v>
      </c>
      <c r="I172" s="343"/>
      <c r="J172" s="217">
        <v>6207</v>
      </c>
      <c r="K172" s="217">
        <v>6617</v>
      </c>
      <c r="M172" s="364">
        <f t="shared" si="48"/>
        <v>11.703542304871208</v>
      </c>
      <c r="N172" s="359">
        <f>SUMMARY!J175</f>
        <v>2.5941162939297122</v>
      </c>
    </row>
    <row r="173" spans="1:14" s="221" customFormat="1">
      <c r="A173" s="215" t="s">
        <v>127</v>
      </c>
      <c r="B173" s="148" t="s">
        <v>111</v>
      </c>
      <c r="C173" s="573">
        <f>'[16]Sch C'!D184</f>
        <v>0</v>
      </c>
      <c r="D173" s="573">
        <f>'[16]Sch C'!F184</f>
        <v>42805</v>
      </c>
      <c r="E173" s="171">
        <f t="shared" si="45"/>
        <v>42805</v>
      </c>
      <c r="F173" s="665"/>
      <c r="G173" s="171">
        <f t="shared" si="46"/>
        <v>42805</v>
      </c>
      <c r="H173" s="172">
        <f t="shared" si="47"/>
        <v>6.7741263663779246E-3</v>
      </c>
      <c r="I173" s="344"/>
      <c r="J173" s="222"/>
      <c r="K173" s="222"/>
      <c r="M173" s="364">
        <f t="shared" si="48"/>
        <v>1.8468740561763817</v>
      </c>
      <c r="N173" s="359">
        <f>SUMMARY!J176</f>
        <v>0.43431776693811036</v>
      </c>
    </row>
    <row r="174" spans="1:14" s="221" customFormat="1">
      <c r="A174" s="215" t="s">
        <v>128</v>
      </c>
      <c r="B174" s="148" t="s">
        <v>320</v>
      </c>
      <c r="C174" s="573">
        <f>'[16]Sch C'!D185</f>
        <v>0</v>
      </c>
      <c r="D174" s="573">
        <f>'[16]Sch C'!F185</f>
        <v>0</v>
      </c>
      <c r="E174" s="171">
        <f t="shared" si="45"/>
        <v>0</v>
      </c>
      <c r="F174" s="665"/>
      <c r="G174" s="171">
        <f t="shared" si="46"/>
        <v>0</v>
      </c>
      <c r="H174" s="172">
        <f t="shared" si="47"/>
        <v>0</v>
      </c>
      <c r="I174" s="343"/>
      <c r="J174" s="217">
        <v>0</v>
      </c>
      <c r="K174" s="217">
        <v>0</v>
      </c>
      <c r="M174" s="364">
        <f t="shared" si="48"/>
        <v>0</v>
      </c>
      <c r="N174" s="359">
        <f>SUMMARY!J177</f>
        <v>2.3603943092760983E-3</v>
      </c>
    </row>
    <row r="175" spans="1:14" s="221" customFormat="1">
      <c r="A175" s="215" t="s">
        <v>129</v>
      </c>
      <c r="B175" s="148" t="s">
        <v>321</v>
      </c>
      <c r="C175" s="573">
        <f>'[16]Sch C'!D186</f>
        <v>0</v>
      </c>
      <c r="D175" s="573">
        <f>'[16]Sch C'!F186</f>
        <v>0</v>
      </c>
      <c r="E175" s="171">
        <f t="shared" si="45"/>
        <v>0</v>
      </c>
      <c r="F175" s="665"/>
      <c r="G175" s="171">
        <f t="shared" si="46"/>
        <v>0</v>
      </c>
      <c r="H175" s="172">
        <f t="shared" si="47"/>
        <v>0</v>
      </c>
      <c r="I175" s="337"/>
      <c r="J175" s="223"/>
      <c r="K175" s="218"/>
      <c r="M175" s="364">
        <f t="shared" si="48"/>
        <v>0</v>
      </c>
      <c r="N175" s="359">
        <f>SUMMARY!J178</f>
        <v>0</v>
      </c>
    </row>
    <row r="176" spans="1:14" s="221" customFormat="1">
      <c r="A176" s="224" t="s">
        <v>293</v>
      </c>
      <c r="B176" s="148" t="s">
        <v>154</v>
      </c>
      <c r="C176" s="573">
        <f>'[16]Sch C'!D187</f>
        <v>0</v>
      </c>
      <c r="D176" s="573">
        <f>'[16]Sch C'!F187</f>
        <v>0</v>
      </c>
      <c r="E176" s="171">
        <f t="shared" si="45"/>
        <v>0</v>
      </c>
      <c r="F176" s="665"/>
      <c r="G176" s="171">
        <f t="shared" si="46"/>
        <v>0</v>
      </c>
      <c r="H176" s="172">
        <f t="shared" si="47"/>
        <v>0</v>
      </c>
      <c r="I176" s="337"/>
      <c r="J176" s="223"/>
      <c r="K176" s="218"/>
      <c r="M176" s="364">
        <f t="shared" si="48"/>
        <v>0</v>
      </c>
      <c r="N176" s="359">
        <f>SUMMARY!J179</f>
        <v>0</v>
      </c>
    </row>
    <row r="177" spans="1:14" s="221" customFormat="1">
      <c r="A177" s="224" t="s">
        <v>294</v>
      </c>
      <c r="B177" s="148" t="s">
        <v>322</v>
      </c>
      <c r="C177" s="573">
        <f>'[16]Sch C'!D188</f>
        <v>13032</v>
      </c>
      <c r="D177" s="573">
        <f>'[16]Sch C'!F188</f>
        <v>0</v>
      </c>
      <c r="E177" s="171">
        <f t="shared" si="45"/>
        <v>13032</v>
      </c>
      <c r="F177" s="665"/>
      <c r="G177" s="171">
        <f t="shared" si="46"/>
        <v>13032</v>
      </c>
      <c r="H177" s="172">
        <f t="shared" si="47"/>
        <v>2.0623855812787551E-3</v>
      </c>
      <c r="I177" s="337"/>
      <c r="J177" s="223"/>
      <c r="K177" s="218"/>
      <c r="M177" s="364">
        <f t="shared" si="48"/>
        <v>0.56228157224834963</v>
      </c>
      <c r="N177" s="359">
        <f>SUMMARY!J180</f>
        <v>9.0641762922913108E-2</v>
      </c>
    </row>
    <row r="178" spans="1:14" s="221" customFormat="1">
      <c r="A178" s="224" t="s">
        <v>295</v>
      </c>
      <c r="B178" s="148" t="s">
        <v>323</v>
      </c>
      <c r="C178" s="573">
        <f>'[16]Sch C'!D189</f>
        <v>0</v>
      </c>
      <c r="D178" s="573">
        <f>'[16]Sch C'!F189</f>
        <v>0</v>
      </c>
      <c r="E178" s="171">
        <f t="shared" si="45"/>
        <v>0</v>
      </c>
      <c r="F178" s="665"/>
      <c r="G178" s="171">
        <f t="shared" si="46"/>
        <v>0</v>
      </c>
      <c r="H178" s="172">
        <f t="shared" si="47"/>
        <v>0</v>
      </c>
      <c r="I178" s="337"/>
      <c r="J178" s="223"/>
      <c r="K178" s="218"/>
      <c r="M178" s="364">
        <f t="shared" si="48"/>
        <v>0</v>
      </c>
      <c r="N178" s="359">
        <f>SUMMARY!J181</f>
        <v>1.778645585866033E-2</v>
      </c>
    </row>
    <row r="179" spans="1:14" s="221" customFormat="1">
      <c r="A179" s="224" t="s">
        <v>296</v>
      </c>
      <c r="B179" s="148" t="s">
        <v>324</v>
      </c>
      <c r="C179" s="573">
        <f>'[16]Sch C'!D190</f>
        <v>0</v>
      </c>
      <c r="D179" s="573">
        <f>'[16]Sch C'!F190</f>
        <v>0</v>
      </c>
      <c r="E179" s="171">
        <f t="shared" si="45"/>
        <v>0</v>
      </c>
      <c r="F179" s="665"/>
      <c r="G179" s="171">
        <f t="shared" si="46"/>
        <v>0</v>
      </c>
      <c r="H179" s="172">
        <f t="shared" si="47"/>
        <v>0</v>
      </c>
      <c r="I179" s="337"/>
      <c r="J179" s="223"/>
      <c r="K179" s="218"/>
      <c r="M179" s="364">
        <f t="shared" si="48"/>
        <v>0</v>
      </c>
      <c r="N179" s="359">
        <f>SUMMARY!J182</f>
        <v>1.1468829360203163E-4</v>
      </c>
    </row>
    <row r="180" spans="1:14" s="221" customFormat="1">
      <c r="A180" s="224" t="s">
        <v>297</v>
      </c>
      <c r="B180" s="148" t="s">
        <v>325</v>
      </c>
      <c r="C180" s="573">
        <f>'[16]Sch C'!D191</f>
        <v>356</v>
      </c>
      <c r="D180" s="573">
        <f>'[16]Sch C'!F191</f>
        <v>0</v>
      </c>
      <c r="E180" s="171">
        <f t="shared" si="45"/>
        <v>356</v>
      </c>
      <c r="F180" s="665"/>
      <c r="G180" s="171">
        <f t="shared" si="46"/>
        <v>356</v>
      </c>
      <c r="H180" s="172">
        <f t="shared" si="47"/>
        <v>5.6338955412464456E-5</v>
      </c>
      <c r="I180" s="337"/>
      <c r="J180" s="223"/>
      <c r="K180" s="218"/>
      <c r="M180" s="364">
        <f t="shared" si="48"/>
        <v>1.5360055227164863E-2</v>
      </c>
      <c r="N180" s="359">
        <f>SUMMARY!J183</f>
        <v>1.8462734496600307E-2</v>
      </c>
    </row>
    <row r="181" spans="1:14" s="221" customFormat="1">
      <c r="A181" s="224" t="s">
        <v>298</v>
      </c>
      <c r="B181" s="148" t="s">
        <v>117</v>
      </c>
      <c r="C181" s="573">
        <f>'[16]Sch C'!D192</f>
        <v>0</v>
      </c>
      <c r="D181" s="573">
        <f>'[16]Sch C'!F192</f>
        <v>0</v>
      </c>
      <c r="E181" s="171">
        <f t="shared" si="45"/>
        <v>0</v>
      </c>
      <c r="F181" s="665"/>
      <c r="G181" s="171">
        <f t="shared" si="46"/>
        <v>0</v>
      </c>
      <c r="H181" s="172">
        <f t="shared" si="47"/>
        <v>0</v>
      </c>
      <c r="I181" s="337"/>
      <c r="J181" s="223"/>
      <c r="K181" s="218"/>
      <c r="M181" s="364">
        <f t="shared" si="48"/>
        <v>0</v>
      </c>
      <c r="N181" s="359">
        <f>SUMMARY!J184</f>
        <v>0.21032919363206901</v>
      </c>
    </row>
    <row r="182" spans="1:14" s="221" customFormat="1">
      <c r="A182" s="224" t="s">
        <v>132</v>
      </c>
      <c r="B182" s="148" t="s">
        <v>118</v>
      </c>
      <c r="C182" s="573">
        <f>'[16]Sch C'!D193</f>
        <v>0</v>
      </c>
      <c r="D182" s="573">
        <f>'[16]Sch C'!F193</f>
        <v>0</v>
      </c>
      <c r="E182" s="171">
        <f t="shared" si="45"/>
        <v>0</v>
      </c>
      <c r="F182" s="665"/>
      <c r="G182" s="171">
        <f t="shared" si="46"/>
        <v>0</v>
      </c>
      <c r="H182" s="172">
        <f t="shared" si="47"/>
        <v>0</v>
      </c>
      <c r="I182" s="337"/>
      <c r="J182" s="223"/>
      <c r="K182" s="218"/>
      <c r="M182" s="364">
        <f t="shared" si="48"/>
        <v>0</v>
      </c>
      <c r="N182" s="359">
        <f>SUMMARY!J185</f>
        <v>4.5937156276453409E-2</v>
      </c>
    </row>
    <row r="183" spans="1:14" s="221" customFormat="1">
      <c r="A183" s="224" t="s">
        <v>133</v>
      </c>
      <c r="B183" s="148" t="s">
        <v>119</v>
      </c>
      <c r="C183" s="573">
        <f>'[16]Sch C'!D194</f>
        <v>0</v>
      </c>
      <c r="D183" s="573">
        <f>'[16]Sch C'!F194</f>
        <v>0</v>
      </c>
      <c r="E183" s="171">
        <f t="shared" si="45"/>
        <v>0</v>
      </c>
      <c r="F183" s="665"/>
      <c r="G183" s="171">
        <f t="shared" si="46"/>
        <v>0</v>
      </c>
      <c r="H183" s="172">
        <f t="shared" si="47"/>
        <v>0</v>
      </c>
      <c r="I183" s="337"/>
      <c r="J183" s="223"/>
      <c r="K183" s="218"/>
      <c r="M183" s="364">
        <f t="shared" si="48"/>
        <v>0</v>
      </c>
      <c r="N183" s="359">
        <f>SUMMARY!J186</f>
        <v>7.3129851396739571</v>
      </c>
    </row>
    <row r="184" spans="1:14" s="221" customFormat="1">
      <c r="A184" s="224" t="s">
        <v>134</v>
      </c>
      <c r="B184" s="148" t="s">
        <v>326</v>
      </c>
      <c r="C184" s="573">
        <f>'[16]Sch C'!D195</f>
        <v>612</v>
      </c>
      <c r="D184" s="573">
        <f>'[16]Sch C'!F195</f>
        <v>0</v>
      </c>
      <c r="E184" s="171">
        <f t="shared" si="45"/>
        <v>612</v>
      </c>
      <c r="F184" s="665"/>
      <c r="G184" s="171">
        <f t="shared" si="46"/>
        <v>612</v>
      </c>
      <c r="H184" s="172">
        <f t="shared" si="47"/>
        <v>9.6852361551764737E-5</v>
      </c>
      <c r="I184" s="337"/>
      <c r="J184" s="223"/>
      <c r="K184" s="218"/>
      <c r="M184" s="364">
        <f t="shared" si="48"/>
        <v>2.6405488199508134E-2</v>
      </c>
      <c r="N184" s="359">
        <f>SUMMARY!J187</f>
        <v>1.617871871330657</v>
      </c>
    </row>
    <row r="185" spans="1:14" s="221" customFormat="1">
      <c r="A185" s="224" t="s">
        <v>135</v>
      </c>
      <c r="B185" s="148" t="s">
        <v>327</v>
      </c>
      <c r="C185" s="573">
        <f>'[16]Sch C'!D196</f>
        <v>0</v>
      </c>
      <c r="D185" s="573">
        <f>'[16]Sch C'!F196</f>
        <v>0</v>
      </c>
      <c r="E185" s="171">
        <f t="shared" si="45"/>
        <v>0</v>
      </c>
      <c r="F185" s="665"/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</row>
    <row r="186" spans="1:14" s="221" customFormat="1">
      <c r="A186" s="224" t="s">
        <v>136</v>
      </c>
      <c r="B186" s="148" t="s">
        <v>328</v>
      </c>
      <c r="C186" s="573">
        <f>'[16]Sch C'!D197</f>
        <v>816</v>
      </c>
      <c r="D186" s="573">
        <f>'[16]Sch C'!F197</f>
        <v>0</v>
      </c>
      <c r="E186" s="171">
        <f t="shared" si="45"/>
        <v>816</v>
      </c>
      <c r="F186" s="665"/>
      <c r="G186" s="171">
        <f t="shared" si="46"/>
        <v>816</v>
      </c>
      <c r="H186" s="172">
        <f t="shared" si="47"/>
        <v>1.2913648206901965E-4</v>
      </c>
      <c r="I186" s="337"/>
      <c r="J186" s="223"/>
      <c r="K186" s="218"/>
      <c r="M186" s="364">
        <f t="shared" si="48"/>
        <v>3.520731759934418E-2</v>
      </c>
      <c r="N186" s="359">
        <f>SUMMARY!J189</f>
        <v>5.0698778515059661</v>
      </c>
    </row>
    <row r="187" spans="1:14" s="221" customFormat="1">
      <c r="A187" s="224" t="s">
        <v>137</v>
      </c>
      <c r="B187" s="148" t="s">
        <v>122</v>
      </c>
      <c r="C187" s="573">
        <f>'[16]Sch C'!D198</f>
        <v>30411</v>
      </c>
      <c r="D187" s="573">
        <f>'[16]Sch C'!F198</f>
        <v>0</v>
      </c>
      <c r="E187" s="171">
        <f t="shared" si="45"/>
        <v>30411</v>
      </c>
      <c r="F187" s="665"/>
      <c r="G187" s="171">
        <f t="shared" si="46"/>
        <v>30411</v>
      </c>
      <c r="H187" s="172">
        <f t="shared" si="47"/>
        <v>4.812707789461957E-3</v>
      </c>
      <c r="I187" s="337"/>
      <c r="J187" s="223"/>
      <c r="K187" s="218"/>
      <c r="M187" s="364">
        <f t="shared" si="48"/>
        <v>1.3121197739137938</v>
      </c>
      <c r="N187" s="359">
        <f>SUMMARY!J190</f>
        <v>1.3048000054613476</v>
      </c>
    </row>
    <row r="188" spans="1:14" s="221" customFormat="1">
      <c r="A188" s="224" t="s">
        <v>275</v>
      </c>
      <c r="B188" s="148" t="s">
        <v>329</v>
      </c>
      <c r="C188" s="573">
        <f>'[16]Sch C'!D199</f>
        <v>0</v>
      </c>
      <c r="D188" s="573">
        <f>'[16]Sch C'!F199</f>
        <v>0</v>
      </c>
      <c r="E188" s="171">
        <f t="shared" si="45"/>
        <v>0</v>
      </c>
      <c r="F188" s="665"/>
      <c r="G188" s="171">
        <f t="shared" si="46"/>
        <v>0</v>
      </c>
      <c r="H188" s="172">
        <f t="shared" si="47"/>
        <v>0</v>
      </c>
      <c r="I188" s="337"/>
      <c r="J188" s="223"/>
      <c r="K188" s="218"/>
      <c r="M188" s="364">
        <f t="shared" si="48"/>
        <v>0</v>
      </c>
      <c r="N188" s="359">
        <f>SUMMARY!J191</f>
        <v>0.39995945495753804</v>
      </c>
    </row>
    <row r="189" spans="1:14" s="221" customFormat="1">
      <c r="A189" s="224" t="s">
        <v>277</v>
      </c>
      <c r="B189" s="148" t="s">
        <v>278</v>
      </c>
      <c r="C189" s="573">
        <f>'[16]Sch C'!D200</f>
        <v>0</v>
      </c>
      <c r="D189" s="573">
        <f>'[16]Sch C'!F200</f>
        <v>0</v>
      </c>
      <c r="E189" s="171">
        <f t="shared" si="45"/>
        <v>0</v>
      </c>
      <c r="F189" s="665"/>
      <c r="G189" s="171">
        <f t="shared" si="46"/>
        <v>0</v>
      </c>
      <c r="H189" s="172">
        <f t="shared" si="47"/>
        <v>0</v>
      </c>
      <c r="I189" s="337"/>
      <c r="J189" s="223"/>
      <c r="K189" s="218"/>
      <c r="M189" s="364">
        <f t="shared" si="48"/>
        <v>0</v>
      </c>
      <c r="N189" s="359">
        <f>SUMMARY!J192</f>
        <v>5.0800032768083883E-3</v>
      </c>
    </row>
    <row r="190" spans="1:14" s="221" customFormat="1">
      <c r="A190" s="225" t="s">
        <v>279</v>
      </c>
      <c r="B190" s="226" t="s">
        <v>280</v>
      </c>
      <c r="C190" s="573">
        <f>'[16]Sch C'!D201</f>
        <v>0</v>
      </c>
      <c r="D190" s="573">
        <f>'[16]Sch C'!F201</f>
        <v>0</v>
      </c>
      <c r="E190" s="171">
        <f t="shared" si="45"/>
        <v>0</v>
      </c>
      <c r="F190" s="665"/>
      <c r="G190" s="171">
        <f t="shared" si="46"/>
        <v>0</v>
      </c>
      <c r="H190" s="172">
        <f t="shared" si="47"/>
        <v>0</v>
      </c>
      <c r="I190" s="337"/>
      <c r="J190" s="223"/>
      <c r="K190" s="218"/>
      <c r="M190" s="364">
        <f t="shared" si="48"/>
        <v>0</v>
      </c>
      <c r="N190" s="359">
        <f>SUMMARY!J193</f>
        <v>-2.2159984708227519E-2</v>
      </c>
    </row>
    <row r="191" spans="1:14" s="221" customFormat="1">
      <c r="A191" s="225" t="s">
        <v>281</v>
      </c>
      <c r="B191" s="226" t="s">
        <v>282</v>
      </c>
      <c r="C191" s="573">
        <f>'[16]Sch C'!D202</f>
        <v>0</v>
      </c>
      <c r="D191" s="573">
        <f>'[16]Sch C'!F202</f>
        <v>0</v>
      </c>
      <c r="E191" s="171">
        <f t="shared" si="45"/>
        <v>0</v>
      </c>
      <c r="F191" s="665"/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>
        <f t="shared" si="48"/>
        <v>0</v>
      </c>
      <c r="N191" s="359">
        <f>SUMMARY!J194</f>
        <v>4.7598918653231749E-4</v>
      </c>
    </row>
    <row r="192" spans="1:14" s="221" customFormat="1">
      <c r="A192" s="225" t="s">
        <v>283</v>
      </c>
      <c r="B192" s="226" t="s">
        <v>330</v>
      </c>
      <c r="C192" s="573">
        <f>'[16]Sch C'!D203</f>
        <v>0</v>
      </c>
      <c r="D192" s="573">
        <f>'[16]Sch C'!F203</f>
        <v>0</v>
      </c>
      <c r="E192" s="171">
        <f t="shared" si="45"/>
        <v>0</v>
      </c>
      <c r="F192" s="665"/>
      <c r="G192" s="171">
        <f t="shared" si="46"/>
        <v>0</v>
      </c>
      <c r="H192" s="172">
        <f t="shared" si="47"/>
        <v>0</v>
      </c>
      <c r="I192" s="337"/>
      <c r="J192" s="223"/>
      <c r="K192" s="218"/>
      <c r="M192" s="364">
        <f t="shared" si="48"/>
        <v>0</v>
      </c>
      <c r="N192" s="359">
        <f>SUMMARY!J195</f>
        <v>9.9736102236421709E-2</v>
      </c>
    </row>
    <row r="193" spans="1:14" s="221" customFormat="1">
      <c r="A193" s="225" t="s">
        <v>285</v>
      </c>
      <c r="B193" s="226" t="s">
        <v>331</v>
      </c>
      <c r="C193" s="573">
        <f>'[16]Sch C'!D204</f>
        <v>0</v>
      </c>
      <c r="D193" s="573">
        <f>'[16]Sch C'!F204</f>
        <v>0</v>
      </c>
      <c r="E193" s="171">
        <f t="shared" si="45"/>
        <v>0</v>
      </c>
      <c r="F193" s="665"/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>
        <f t="shared" si="48"/>
        <v>0</v>
      </c>
      <c r="N193" s="359">
        <f>SUMMARY!J196</f>
        <v>1.4186941918571311E-2</v>
      </c>
    </row>
    <row r="194" spans="1:14" s="221" customFormat="1">
      <c r="A194" s="224" t="s">
        <v>138</v>
      </c>
      <c r="B194" s="148" t="s">
        <v>332</v>
      </c>
      <c r="C194" s="573">
        <f>'[16]Sch C'!D205</f>
        <v>296389</v>
      </c>
      <c r="D194" s="573">
        <f>'[16]Sch C'!F205</f>
        <v>0</v>
      </c>
      <c r="E194" s="171">
        <f t="shared" si="45"/>
        <v>296389</v>
      </c>
      <c r="F194" s="665"/>
      <c r="G194" s="171">
        <f t="shared" si="46"/>
        <v>296389</v>
      </c>
      <c r="H194" s="172">
        <f t="shared" si="47"/>
        <v>4.6905187235238559E-2</v>
      </c>
      <c r="I194" s="337"/>
      <c r="J194" s="223"/>
      <c r="K194" s="218"/>
      <c r="M194" s="364">
        <f t="shared" si="48"/>
        <v>12.788065754843164</v>
      </c>
      <c r="N194" s="359">
        <f>SUMMARY!J197</f>
        <v>9.4205484776494348</v>
      </c>
    </row>
    <row r="195" spans="1:14" s="221" customFormat="1">
      <c r="A195" s="224" t="s">
        <v>139</v>
      </c>
      <c r="B195" s="148" t="s">
        <v>67</v>
      </c>
      <c r="C195" s="573">
        <f>'[16]Sch C'!D206</f>
        <v>707</v>
      </c>
      <c r="D195" s="573">
        <f>'[16]Sch C'!F206</f>
        <v>0</v>
      </c>
      <c r="E195" s="171">
        <f t="shared" si="45"/>
        <v>707</v>
      </c>
      <c r="F195" s="665"/>
      <c r="G195" s="171">
        <f t="shared" si="46"/>
        <v>707</v>
      </c>
      <c r="H195" s="172">
        <f t="shared" si="47"/>
        <v>1.118866333612707E-4</v>
      </c>
      <c r="I195" s="337"/>
      <c r="J195" s="223"/>
      <c r="K195" s="218"/>
      <c r="M195" s="364">
        <f t="shared" si="48"/>
        <v>3.0504379341588644E-2</v>
      </c>
      <c r="N195" s="359">
        <f>SUMMARY!J198</f>
        <v>0.51514733622784747</v>
      </c>
    </row>
    <row r="196" spans="1:14" s="221" customFormat="1">
      <c r="A196" s="225" t="s">
        <v>143</v>
      </c>
      <c r="B196" s="194" t="s">
        <v>333</v>
      </c>
      <c r="C196" s="573">
        <f>'[16]Sch C'!D207</f>
        <v>23618</v>
      </c>
      <c r="D196" s="573">
        <f>'[16]Sch C'!F207</f>
        <v>0</v>
      </c>
      <c r="E196" s="171">
        <f t="shared" si="45"/>
        <v>23618</v>
      </c>
      <c r="F196" s="665"/>
      <c r="G196" s="171">
        <f t="shared" si="46"/>
        <v>23618</v>
      </c>
      <c r="H196" s="172">
        <f t="shared" si="47"/>
        <v>3.7376782273359143E-3</v>
      </c>
      <c r="I196" s="337"/>
      <c r="J196" s="223"/>
      <c r="K196" s="218"/>
      <c r="M196" s="364">
        <f t="shared" si="48"/>
        <v>1.0190274841437632</v>
      </c>
      <c r="N196" s="359">
        <f>SUMMARY!J199</f>
        <v>0.43468466925335936</v>
      </c>
    </row>
    <row r="197" spans="1:14" s="167" customFormat="1">
      <c r="A197" s="163"/>
      <c r="B197" s="212" t="s">
        <v>130</v>
      </c>
      <c r="C197" s="573">
        <f>SUM(C164:C196)</f>
        <v>1027170</v>
      </c>
      <c r="D197" s="573">
        <f>SUM(D164:D196)</f>
        <v>135222</v>
      </c>
      <c r="E197" s="171">
        <f t="shared" ref="E197" si="49">SUM(E164:E196)</f>
        <v>1162392</v>
      </c>
      <c r="F197" s="171">
        <f>SUM(F164:F196)</f>
        <v>0</v>
      </c>
      <c r="G197" s="171">
        <f>SUM(G164:G196)</f>
        <v>1162392</v>
      </c>
      <c r="H197" s="172">
        <f>IF($G$208=0,0,G197/$G$208)</f>
        <v>0.1839549187073185</v>
      </c>
      <c r="I197" s="337"/>
      <c r="J197" s="168"/>
      <c r="K197" s="168"/>
      <c r="M197" s="364">
        <f>G197/G$228</f>
        <v>50.152823920265782</v>
      </c>
      <c r="N197" s="359">
        <f>SUMMARY!J200</f>
        <v>35.91740838389223</v>
      </c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341"/>
      <c r="J198" s="168"/>
      <c r="K198" s="168"/>
      <c r="M198" s="359"/>
      <c r="N198" s="359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1"/>
      <c r="J199" s="168"/>
      <c r="K199" s="168"/>
      <c r="M199" s="359"/>
      <c r="N199" s="359"/>
    </row>
    <row r="200" spans="1:14" s="167" customFormat="1">
      <c r="A200" s="169" t="s">
        <v>85</v>
      </c>
      <c r="B200" s="170" t="s">
        <v>69</v>
      </c>
      <c r="C200" s="573">
        <f>'[16]Sch C'!D211</f>
        <v>85805</v>
      </c>
      <c r="D200" s="573">
        <f>'[16]Sch C'!F211</f>
        <v>3461</v>
      </c>
      <c r="E200" s="171">
        <f t="shared" ref="E200:E205" si="50">C200+D200</f>
        <v>89266</v>
      </c>
      <c r="F200" s="171"/>
      <c r="G200" s="171">
        <f t="shared" ref="G200:G205" si="51">E200+F200</f>
        <v>89266</v>
      </c>
      <c r="H200" s="172">
        <f t="shared" ref="H200:H206" si="52">IF($G$208=0,0,G200/$G$208)</f>
        <v>1.4126834814182731E-2</v>
      </c>
      <c r="I200" s="337"/>
      <c r="J200" s="183">
        <v>4755</v>
      </c>
      <c r="K200" s="183">
        <v>5039</v>
      </c>
      <c r="M200" s="364">
        <f t="shared" ref="M200:M205" si="53">G200/G$228</f>
        <v>3.8514907019890408</v>
      </c>
      <c r="N200" s="359">
        <f>SUMMARY!J203</f>
        <v>4.8433639387236838</v>
      </c>
    </row>
    <row r="201" spans="1:14" s="167" customFormat="1">
      <c r="A201" s="169" t="s">
        <v>86</v>
      </c>
      <c r="B201" s="170" t="s">
        <v>45</v>
      </c>
      <c r="C201" s="573">
        <f>'[16]Sch C'!D212</f>
        <v>0</v>
      </c>
      <c r="D201" s="573">
        <f>'[16]Sch C'!F212</f>
        <v>14087</v>
      </c>
      <c r="E201" s="171">
        <f t="shared" si="50"/>
        <v>14087</v>
      </c>
      <c r="F201" s="171"/>
      <c r="G201" s="171">
        <f t="shared" si="51"/>
        <v>14087</v>
      </c>
      <c r="H201" s="172">
        <f t="shared" si="52"/>
        <v>2.2293451261106369E-3</v>
      </c>
      <c r="I201" s="337"/>
      <c r="J201" s="168"/>
      <c r="K201" s="168"/>
      <c r="M201" s="364">
        <f t="shared" si="53"/>
        <v>0.60780083703671739</v>
      </c>
      <c r="N201" s="359">
        <f>SUMMARY!J204</f>
        <v>0.96144674193499036</v>
      </c>
    </row>
    <row r="202" spans="1:14" s="167" customFormat="1">
      <c r="A202" s="169" t="s">
        <v>140</v>
      </c>
      <c r="B202" s="170" t="s">
        <v>54</v>
      </c>
      <c r="C202" s="573">
        <f>'[16]Sch C'!D213</f>
        <v>10584</v>
      </c>
      <c r="D202" s="573">
        <f>'[16]Sch C'!F213</f>
        <v>0</v>
      </c>
      <c r="E202" s="171">
        <f t="shared" si="50"/>
        <v>10584</v>
      </c>
      <c r="F202" s="171"/>
      <c r="G202" s="171">
        <f t="shared" si="51"/>
        <v>10584</v>
      </c>
      <c r="H202" s="172">
        <f t="shared" si="52"/>
        <v>1.6749761350716961E-3</v>
      </c>
      <c r="I202" s="337"/>
      <c r="J202" s="168"/>
      <c r="K202" s="168"/>
      <c r="M202" s="364">
        <f t="shared" si="53"/>
        <v>0.45665961945031713</v>
      </c>
      <c r="N202" s="359">
        <f>SUMMARY!J205</f>
        <v>0.5247184566232489</v>
      </c>
    </row>
    <row r="203" spans="1:14" s="167" customFormat="1">
      <c r="A203" s="169" t="s">
        <v>141</v>
      </c>
      <c r="B203" s="170" t="s">
        <v>70</v>
      </c>
      <c r="C203" s="573">
        <f>'[16]Sch C'!D214</f>
        <v>0</v>
      </c>
      <c r="D203" s="573">
        <f>'[16]Sch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>
        <f t="shared" si="53"/>
        <v>0</v>
      </c>
      <c r="N203" s="359">
        <f>SUMMARY!J206</f>
        <v>1.4027039130553507E-2</v>
      </c>
    </row>
    <row r="204" spans="1:14" s="167" customFormat="1">
      <c r="A204" s="169" t="s">
        <v>142</v>
      </c>
      <c r="B204" s="202" t="s">
        <v>71</v>
      </c>
      <c r="C204" s="573">
        <f>'[16]Sch C'!D215</f>
        <v>0</v>
      </c>
      <c r="D204" s="573">
        <f>'[16]Sch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</row>
    <row r="205" spans="1:14" s="167" customFormat="1">
      <c r="A205" s="169" t="s">
        <v>143</v>
      </c>
      <c r="B205" s="170" t="s">
        <v>312</v>
      </c>
      <c r="C205" s="573">
        <f>'[16]Sch C'!D216</f>
        <v>9522</v>
      </c>
      <c r="D205" s="573">
        <f>'[16]Sch C'!F216</f>
        <v>0</v>
      </c>
      <c r="E205" s="171">
        <f t="shared" si="50"/>
        <v>9522</v>
      </c>
      <c r="F205" s="171"/>
      <c r="G205" s="171">
        <f t="shared" si="51"/>
        <v>9522</v>
      </c>
      <c r="H205" s="172">
        <f t="shared" si="52"/>
        <v>1.5069088017906926E-3</v>
      </c>
      <c r="I205" s="337"/>
      <c r="J205" s="168"/>
      <c r="K205" s="168"/>
      <c r="M205" s="364">
        <f t="shared" si="53"/>
        <v>0.41083833110411183</v>
      </c>
      <c r="N205" s="359">
        <f>SUMMARY!J208</f>
        <v>0.36483307391933595</v>
      </c>
    </row>
    <row r="206" spans="1:14" s="167" customFormat="1">
      <c r="A206" s="163"/>
      <c r="B206" s="170" t="s">
        <v>144</v>
      </c>
      <c r="C206" s="573">
        <f>SUM(C200:C205)</f>
        <v>105911</v>
      </c>
      <c r="D206" s="573">
        <f>SUM(D200:D205)</f>
        <v>17548</v>
      </c>
      <c r="E206" s="171">
        <f t="shared" ref="E206" si="54">SUM(E200:E205)</f>
        <v>123459</v>
      </c>
      <c r="F206" s="171">
        <f>SUM(F200:F205)</f>
        <v>0</v>
      </c>
      <c r="G206" s="171">
        <f>SUM(G200:G205)</f>
        <v>123459</v>
      </c>
      <c r="H206" s="172">
        <f t="shared" si="52"/>
        <v>1.9538064877155755E-2</v>
      </c>
      <c r="I206" s="337"/>
      <c r="J206" s="168"/>
      <c r="K206" s="168"/>
      <c r="M206" s="364">
        <f>G206/G$228</f>
        <v>5.3267894895801868</v>
      </c>
      <c r="N206" s="359">
        <f>SUMMARY!J209</f>
        <v>6.7083892503318125</v>
      </c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14" s="167" customFormat="1">
      <c r="A208" s="227"/>
      <c r="B208" s="228" t="s">
        <v>145</v>
      </c>
      <c r="C208" s="573">
        <f>SUM(C25:C206)/2</f>
        <v>6833818</v>
      </c>
      <c r="D208" s="573">
        <f>SUM(D25:D206)/2</f>
        <v>-514922</v>
      </c>
      <c r="E208" s="171">
        <f t="shared" ref="E208:F208" si="55">SUM(E25:E206)/2</f>
        <v>6318896</v>
      </c>
      <c r="F208" s="171">
        <f t="shared" si="55"/>
        <v>0</v>
      </c>
      <c r="G208" s="171">
        <f>SUM(G25:G206)/2</f>
        <v>6318896</v>
      </c>
      <c r="H208" s="172">
        <f>IF($G$208=0,0,G208/$G$208)</f>
        <v>1</v>
      </c>
      <c r="I208" s="337"/>
      <c r="J208" s="183">
        <f>SUM(J25:J200)</f>
        <v>153939</v>
      </c>
      <c r="K208" s="183">
        <f>SUM(K25:K200)</f>
        <v>160791</v>
      </c>
      <c r="M208" s="364">
        <f>G208/G$228</f>
        <v>272.6364930750313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573">
        <f>'[16]Sch C'!D221</f>
        <v>6833818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573">
        <f>C208-C211</f>
        <v>0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619"/>
      <c r="D213" s="232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573">
        <f>C21-C208</f>
        <v>-543698</v>
      </c>
      <c r="D215" s="573">
        <f>D21-D208</f>
        <v>514922</v>
      </c>
      <c r="E215" s="171">
        <f t="shared" ref="E215:F215" si="56">E21-E208</f>
        <v>-28776</v>
      </c>
      <c r="F215" s="171">
        <f t="shared" si="56"/>
        <v>0</v>
      </c>
      <c r="G215" s="171">
        <f>G21-G208</f>
        <v>-28776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653">
        <f>'[16]Sch D'!C9</f>
        <v>11719</v>
      </c>
      <c r="D219" s="653"/>
      <c r="E219" s="235">
        <f t="shared" ref="E219:G227" si="57">C219+D219</f>
        <v>11719</v>
      </c>
      <c r="F219" s="234"/>
      <c r="G219" s="235">
        <f t="shared" si="57"/>
        <v>11719</v>
      </c>
      <c r="H219" s="172">
        <f t="shared" ref="H219:H228" si="58">IF($G$228=0,0,G219/$G$228)</f>
        <v>0.50563058204254219</v>
      </c>
      <c r="I219" s="337"/>
      <c r="J219" s="168"/>
      <c r="K219" s="168"/>
    </row>
    <row r="220" spans="1:14">
      <c r="A220" s="163"/>
      <c r="B220" s="170" t="s">
        <v>217</v>
      </c>
      <c r="C220" s="653">
        <f>'[16]Sch D'!D9</f>
        <v>275</v>
      </c>
      <c r="D220" s="653"/>
      <c r="E220" s="235">
        <f t="shared" ref="E220:E227" si="59">C220+D220</f>
        <v>275</v>
      </c>
      <c r="F220" s="234"/>
      <c r="G220" s="235">
        <f t="shared" si="57"/>
        <v>275</v>
      </c>
      <c r="H220" s="172">
        <f t="shared" si="58"/>
        <v>1.1865211200759373E-2</v>
      </c>
      <c r="I220" s="337"/>
      <c r="J220" s="168"/>
      <c r="K220" s="168"/>
    </row>
    <row r="221" spans="1:14">
      <c r="A221" s="163"/>
      <c r="B221" s="170" t="s">
        <v>72</v>
      </c>
      <c r="C221" s="653">
        <f>'[16]Sch D'!E9</f>
        <v>3534</v>
      </c>
      <c r="D221" s="653"/>
      <c r="E221" s="235">
        <f t="shared" si="59"/>
        <v>3534</v>
      </c>
      <c r="F221" s="234"/>
      <c r="G221" s="235">
        <f t="shared" si="57"/>
        <v>3534</v>
      </c>
      <c r="H221" s="172">
        <f t="shared" si="58"/>
        <v>0.152478750485395</v>
      </c>
      <c r="I221" s="337"/>
      <c r="J221" s="168"/>
      <c r="K221" s="168"/>
    </row>
    <row r="222" spans="1:14">
      <c r="A222" s="163"/>
      <c r="B222" s="202" t="s">
        <v>334</v>
      </c>
      <c r="C222" s="653">
        <f>'[16]Sch D'!F9</f>
        <v>0</v>
      </c>
      <c r="D222" s="653"/>
      <c r="E222" s="235">
        <f>C222+D222</f>
        <v>0</v>
      </c>
      <c r="F222" s="234">
        <v>2499</v>
      </c>
      <c r="G222" s="235">
        <f>E222+F222</f>
        <v>2499</v>
      </c>
      <c r="H222" s="172">
        <f t="shared" si="58"/>
        <v>0.10782241014799154</v>
      </c>
      <c r="I222" s="337"/>
      <c r="J222" s="168"/>
      <c r="K222" s="168"/>
    </row>
    <row r="223" spans="1:14">
      <c r="A223" s="163"/>
      <c r="B223" s="170" t="s">
        <v>73</v>
      </c>
      <c r="C223" s="653">
        <f>'[16]Sch D'!G9</f>
        <v>0</v>
      </c>
      <c r="D223" s="653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7"/>
      <c r="J223" s="168"/>
      <c r="K223" s="168"/>
    </row>
    <row r="224" spans="1:14">
      <c r="A224" s="163"/>
      <c r="B224" s="170" t="s">
        <v>74</v>
      </c>
      <c r="C224" s="653">
        <f>'[16]Sch D'!H9</f>
        <v>2786</v>
      </c>
      <c r="D224" s="653"/>
      <c r="E224" s="235">
        <f t="shared" si="59"/>
        <v>2786</v>
      </c>
      <c r="F224" s="234"/>
      <c r="G224" s="235">
        <f t="shared" si="57"/>
        <v>2786</v>
      </c>
      <c r="H224" s="172">
        <f t="shared" si="58"/>
        <v>0.12020537601932951</v>
      </c>
      <c r="I224" s="337"/>
      <c r="J224" s="168"/>
      <c r="K224" s="168"/>
    </row>
    <row r="225" spans="1:11">
      <c r="A225" s="163"/>
      <c r="B225" s="170" t="s">
        <v>236</v>
      </c>
      <c r="C225" s="653">
        <f>'[16]Sch D'!I9</f>
        <v>1937</v>
      </c>
      <c r="D225" s="653"/>
      <c r="E225" s="235">
        <f t="shared" si="59"/>
        <v>1937</v>
      </c>
      <c r="F225" s="234"/>
      <c r="G225" s="235">
        <f t="shared" si="57"/>
        <v>1937</v>
      </c>
      <c r="H225" s="172">
        <f t="shared" si="58"/>
        <v>8.3574233075894205E-2</v>
      </c>
      <c r="I225" s="337"/>
      <c r="J225" s="168"/>
      <c r="K225" s="168"/>
    </row>
    <row r="226" spans="1:11">
      <c r="A226" s="163"/>
      <c r="B226" s="170" t="s">
        <v>235</v>
      </c>
      <c r="C226" s="653">
        <f>'[16]Sch D'!J9</f>
        <v>117</v>
      </c>
      <c r="D226" s="653"/>
      <c r="E226" s="235">
        <f>C226+D226</f>
        <v>117</v>
      </c>
      <c r="F226" s="234"/>
      <c r="G226" s="235">
        <f>E226+F226</f>
        <v>117</v>
      </c>
      <c r="H226" s="172">
        <f t="shared" si="58"/>
        <v>5.0481080381412609E-3</v>
      </c>
      <c r="I226" s="337"/>
      <c r="J226" s="168"/>
      <c r="K226" s="168"/>
    </row>
    <row r="227" spans="1:11">
      <c r="A227" s="163"/>
      <c r="B227" s="170" t="s">
        <v>179</v>
      </c>
      <c r="C227" s="653">
        <f>'[16]Sch D'!K9</f>
        <v>2809</v>
      </c>
      <c r="D227" s="653"/>
      <c r="E227" s="235">
        <f t="shared" si="59"/>
        <v>2809</v>
      </c>
      <c r="F227" s="234">
        <v>-2499</v>
      </c>
      <c r="G227" s="235">
        <f t="shared" si="57"/>
        <v>310</v>
      </c>
      <c r="H227" s="172">
        <f t="shared" si="58"/>
        <v>1.3375328989946931E-2</v>
      </c>
      <c r="I227" s="337"/>
      <c r="J227" s="168"/>
      <c r="K227" s="168"/>
    </row>
    <row r="228" spans="1:11" ht="13.5" thickBot="1">
      <c r="A228" s="163"/>
      <c r="B228" s="236" t="s">
        <v>75</v>
      </c>
      <c r="C228" s="653">
        <f>SUM(C219:C227)</f>
        <v>23177</v>
      </c>
      <c r="D228" s="653">
        <f>SUM(D219:D227)</f>
        <v>0</v>
      </c>
      <c r="E228" s="237">
        <f>SUM(E219:E227)</f>
        <v>23177</v>
      </c>
      <c r="F228" s="237">
        <f>SUM(F219:F227)</f>
        <v>0</v>
      </c>
      <c r="G228" s="237">
        <f>SUM(G219:G227)</f>
        <v>23177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620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619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654">
        <f>'[16]Sch D'!N22</f>
        <v>88</v>
      </c>
      <c r="D231" s="574"/>
      <c r="E231" s="235">
        <f>C231+D231</f>
        <v>88</v>
      </c>
      <c r="F231" s="235"/>
      <c r="G231" s="235">
        <f>E231+F231</f>
        <v>88</v>
      </c>
      <c r="H231" s="167"/>
      <c r="J231" s="168"/>
      <c r="K231" s="168"/>
    </row>
    <row r="232" spans="1:11">
      <c r="A232" s="163"/>
      <c r="B232" s="202" t="s">
        <v>290</v>
      </c>
      <c r="C232" s="654">
        <f>'[16]Sch D'!N24</f>
        <v>88</v>
      </c>
      <c r="D232" s="574"/>
      <c r="E232" s="235">
        <f>C232+D232</f>
        <v>88</v>
      </c>
      <c r="F232" s="235"/>
      <c r="G232" s="235">
        <f>E232+F232</f>
        <v>88</v>
      </c>
      <c r="H232" s="167"/>
      <c r="J232" s="168"/>
      <c r="K232" s="168"/>
    </row>
    <row r="233" spans="1:11">
      <c r="A233" s="163"/>
      <c r="B233" s="202" t="s">
        <v>76</v>
      </c>
      <c r="C233" s="654">
        <f>$C$4-$C$3+1</f>
        <v>365</v>
      </c>
      <c r="D233" s="489"/>
      <c r="E233" s="235">
        <f>C233+D233</f>
        <v>365</v>
      </c>
      <c r="F233" s="240"/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621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654">
        <f>'[16]Sch D'!N28</f>
        <v>32120</v>
      </c>
      <c r="D235" s="489"/>
      <c r="E235" s="234">
        <f>E231*E233</f>
        <v>32120</v>
      </c>
      <c r="F235" s="240"/>
      <c r="G235" s="234">
        <f>G231*G233</f>
        <v>32120</v>
      </c>
      <c r="H235" s="167"/>
      <c r="J235" s="168"/>
      <c r="K235" s="168"/>
    </row>
    <row r="236" spans="1:11" ht="26">
      <c r="A236" s="163"/>
      <c r="B236" s="244" t="s">
        <v>336</v>
      </c>
      <c r="C236" s="655">
        <f>'[16]Sch D'!N30</f>
        <v>0.72157534246575339</v>
      </c>
      <c r="D236" s="240"/>
      <c r="E236" s="245">
        <f>IFERROR(E228/E235,"0")</f>
        <v>0.72157534246575339</v>
      </c>
      <c r="F236" s="246"/>
      <c r="G236" s="245">
        <f>IFERROR(G228/G235,"0")</f>
        <v>0.72157534246575339</v>
      </c>
      <c r="H236" s="167"/>
      <c r="J236" s="168"/>
      <c r="K236" s="168"/>
    </row>
    <row r="237" spans="1:11" ht="26">
      <c r="A237" s="163"/>
      <c r="B237" s="244" t="s">
        <v>337</v>
      </c>
      <c r="C237" s="655">
        <f>'[16]Sch D'!N32</f>
        <v>0.37341220423412202</v>
      </c>
      <c r="D237" s="240"/>
      <c r="E237" s="245">
        <f>IFERROR((E219+E220)/E235,"0")</f>
        <v>0.37341220423412202</v>
      </c>
      <c r="F237" s="246"/>
      <c r="G237" s="245">
        <f>IFERROR((G219+G220)/G235,"0")</f>
        <v>0.37341220423412202</v>
      </c>
      <c r="H237" s="167"/>
      <c r="J237" s="168"/>
      <c r="K237" s="168"/>
    </row>
    <row r="238" spans="1:11" ht="26">
      <c r="A238" s="163"/>
      <c r="B238" s="244" t="s">
        <v>338</v>
      </c>
      <c r="C238" s="655">
        <f>'[16]Sch D'!N34</f>
        <v>0.51749579324330153</v>
      </c>
      <c r="D238" s="240"/>
      <c r="E238" s="245">
        <f>IFERROR((E237/E236),"0")</f>
        <v>0.51749579324330153</v>
      </c>
      <c r="F238" s="246"/>
      <c r="G238" s="245">
        <f>IFERROR((G237/G236),"0")</f>
        <v>0.51749579324330153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73">
        <f>'[16]Sch B'!C85</f>
        <v>217.168130489335</v>
      </c>
    </row>
    <row r="242" spans="2:7">
      <c r="F242" s="142" t="s">
        <v>341</v>
      </c>
      <c r="G242" s="573">
        <f>'[16]Sch B'!E85</f>
        <v>221.26724137931035</v>
      </c>
    </row>
    <row r="243" spans="2:7">
      <c r="F243" s="142" t="s">
        <v>342</v>
      </c>
      <c r="G243" s="573">
        <f>'[16]Sch B'!G85</f>
        <v>231.8860759493671</v>
      </c>
    </row>
    <row r="244" spans="2:7">
      <c r="F244" s="142" t="s">
        <v>343</v>
      </c>
      <c r="G244" s="573">
        <f>'[16]Sch B'!I85</f>
        <v>254.96275071633238</v>
      </c>
    </row>
    <row r="245" spans="2:7">
      <c r="F245" s="142"/>
    </row>
  </sheetData>
  <customSheetViews>
    <customSheetView guid="{8B6AA640-12E9-11D5-ABB1-E7A21A3D4A14}" showGridLines="0" showRuler="0">
      <pageMargins left="0.75" right="0.75" top="1" bottom="1" header="0.5" footer="0.5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" right="0" top="1" bottom="1" header="0.5" footer="0.5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35">
    <tabColor rgb="FFE28CAB"/>
  </sheetPr>
  <dimension ref="A1:Q245"/>
  <sheetViews>
    <sheetView showGridLines="0" topLeftCell="A218" zoomScale="99" zoomScaleNormal="99" workbookViewId="0">
      <selection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43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478"/>
      <c r="D1" s="478"/>
      <c r="E1" s="478"/>
      <c r="F1" s="434"/>
      <c r="G1" s="417"/>
      <c r="H1" s="417"/>
      <c r="I1" s="479"/>
    </row>
    <row r="2" spans="1:14" ht="23">
      <c r="B2" s="143" t="s">
        <v>189</v>
      </c>
      <c r="C2" s="247" t="s">
        <v>375</v>
      </c>
      <c r="D2" s="144"/>
      <c r="E2" s="144"/>
      <c r="F2" s="435"/>
      <c r="G2" s="417"/>
      <c r="H2" s="417"/>
    </row>
    <row r="3" spans="1:14" ht="15.5">
      <c r="A3" s="145"/>
      <c r="B3" s="140" t="s">
        <v>79</v>
      </c>
      <c r="C3" s="495">
        <v>41821</v>
      </c>
      <c r="D3" s="377"/>
      <c r="E3" s="147"/>
      <c r="F3" s="435"/>
      <c r="G3" s="417"/>
      <c r="H3" s="417"/>
    </row>
    <row r="4" spans="1:14" ht="15.5">
      <c r="A4" s="145"/>
      <c r="B4" s="148" t="s">
        <v>80</v>
      </c>
      <c r="C4" s="495">
        <v>42185</v>
      </c>
      <c r="D4" s="377"/>
      <c r="E4" s="149"/>
      <c r="F4" s="435"/>
      <c r="G4" s="417"/>
      <c r="H4" s="417"/>
    </row>
    <row r="5" spans="1:14" ht="25.5">
      <c r="A5" s="397" t="s">
        <v>367</v>
      </c>
      <c r="C5" s="405"/>
      <c r="D5" s="144"/>
      <c r="F5" s="435"/>
      <c r="G5" s="417"/>
      <c r="H5" s="417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419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420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421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436"/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425"/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490"/>
      <c r="D11" s="490"/>
      <c r="E11" s="171">
        <f>C11+D11</f>
        <v>0</v>
      </c>
      <c r="F11" s="418"/>
      <c r="G11" s="171">
        <f t="shared" ref="G11:G20" si="0">E11+F11</f>
        <v>0</v>
      </c>
      <c r="H11" s="172">
        <f t="shared" ref="H11:H21" si="1">IF($G$21=0,0,G11/$G$21)</f>
        <v>0</v>
      </c>
      <c r="I11" s="337"/>
      <c r="J11" s="368" t="s">
        <v>344</v>
      </c>
      <c r="K11" s="369">
        <f>G21</f>
        <v>0</v>
      </c>
      <c r="M11" s="359">
        <f>IFERROR(G11/G219,0)</f>
        <v>0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490"/>
      <c r="D12" s="490"/>
      <c r="E12" s="171">
        <f t="shared" ref="E12:E20" si="2">C12+D12</f>
        <v>0</v>
      </c>
      <c r="F12" s="418"/>
      <c r="G12" s="171">
        <f>E12+F12</f>
        <v>0</v>
      </c>
      <c r="H12" s="172">
        <f t="shared" si="1"/>
        <v>0</v>
      </c>
      <c r="I12" s="337"/>
      <c r="J12" s="370" t="s">
        <v>345</v>
      </c>
      <c r="K12" s="371">
        <f>G208</f>
        <v>0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490"/>
      <c r="D13" s="490"/>
      <c r="E13" s="171">
        <f t="shared" si="2"/>
        <v>0</v>
      </c>
      <c r="F13" s="418"/>
      <c r="G13" s="171">
        <f t="shared" si="0"/>
        <v>0</v>
      </c>
      <c r="H13" s="172">
        <f t="shared" si="1"/>
        <v>0</v>
      </c>
      <c r="I13" s="337"/>
      <c r="J13" s="370" t="s">
        <v>346</v>
      </c>
      <c r="K13" s="371">
        <f>G228</f>
        <v>0</v>
      </c>
      <c r="M13" s="359">
        <f t="shared" si="3"/>
        <v>0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490"/>
      <c r="D14" s="490"/>
      <c r="E14" s="171">
        <f t="shared" si="2"/>
        <v>0</v>
      </c>
      <c r="F14" s="418"/>
      <c r="G14" s="175">
        <f>E14+F14</f>
        <v>0</v>
      </c>
      <c r="H14" s="176">
        <f t="shared" si="1"/>
        <v>0</v>
      </c>
      <c r="I14" s="338"/>
      <c r="J14" s="370" t="s">
        <v>347</v>
      </c>
      <c r="K14" s="371">
        <f>G231</f>
        <v>0</v>
      </c>
      <c r="M14" s="359">
        <f t="shared" si="3"/>
        <v>0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490"/>
      <c r="D15" s="490"/>
      <c r="E15" s="171">
        <f t="shared" si="2"/>
        <v>0</v>
      </c>
      <c r="F15" s="418"/>
      <c r="G15" s="171">
        <f t="shared" si="0"/>
        <v>0</v>
      </c>
      <c r="H15" s="172">
        <f t="shared" si="1"/>
        <v>0</v>
      </c>
      <c r="I15" s="337"/>
      <c r="J15" s="370" t="s">
        <v>348</v>
      </c>
      <c r="K15" s="371">
        <f>G235</f>
        <v>0</v>
      </c>
      <c r="M15" s="359">
        <f t="shared" si="3"/>
        <v>0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490"/>
      <c r="D16" s="490"/>
      <c r="E16" s="171">
        <f t="shared" si="2"/>
        <v>0</v>
      </c>
      <c r="F16" s="418"/>
      <c r="G16" s="171">
        <f t="shared" si="0"/>
        <v>0</v>
      </c>
      <c r="H16" s="172">
        <f t="shared" si="1"/>
        <v>0</v>
      </c>
      <c r="I16" s="337"/>
      <c r="J16" s="372"/>
      <c r="K16" s="371"/>
      <c r="M16" s="359">
        <f t="shared" si="3"/>
        <v>0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490"/>
      <c r="D17" s="490"/>
      <c r="E17" s="171">
        <f t="shared" si="2"/>
        <v>0</v>
      </c>
      <c r="F17" s="418"/>
      <c r="G17" s="171">
        <f>E17+F17</f>
        <v>0</v>
      </c>
      <c r="H17" s="172">
        <f t="shared" si="1"/>
        <v>0</v>
      </c>
      <c r="I17" s="337"/>
      <c r="J17" s="370" t="s">
        <v>156</v>
      </c>
      <c r="K17" s="371">
        <f>J208</f>
        <v>0</v>
      </c>
      <c r="M17" s="359">
        <f t="shared" si="3"/>
        <v>0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490"/>
      <c r="D18" s="490"/>
      <c r="E18" s="171">
        <f t="shared" si="2"/>
        <v>0</v>
      </c>
      <c r="F18" s="418"/>
      <c r="G18" s="171">
        <f>E18+F18</f>
        <v>0</v>
      </c>
      <c r="H18" s="172">
        <f t="shared" si="1"/>
        <v>0</v>
      </c>
      <c r="I18" s="337"/>
      <c r="J18" s="373" t="s">
        <v>252</v>
      </c>
      <c r="K18" s="374">
        <f>K208</f>
        <v>0</v>
      </c>
      <c r="M18" s="359">
        <f t="shared" si="3"/>
        <v>0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490"/>
      <c r="D19" s="490"/>
      <c r="E19" s="171">
        <f t="shared" si="2"/>
        <v>0</v>
      </c>
      <c r="F19" s="418"/>
      <c r="G19" s="171">
        <f t="shared" si="0"/>
        <v>0</v>
      </c>
      <c r="H19" s="172">
        <f t="shared" si="1"/>
        <v>0</v>
      </c>
      <c r="I19" s="337"/>
      <c r="J19" s="168"/>
      <c r="K19" s="168"/>
      <c r="M19" s="359">
        <f t="shared" si="3"/>
        <v>0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490"/>
      <c r="D20" s="490"/>
      <c r="E20" s="171">
        <f t="shared" si="2"/>
        <v>0</v>
      </c>
      <c r="F20" s="418"/>
      <c r="G20" s="171">
        <f t="shared" si="0"/>
        <v>0</v>
      </c>
      <c r="H20" s="172">
        <f t="shared" si="1"/>
        <v>0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490">
        <f>SUM(C11:C20)</f>
        <v>0</v>
      </c>
      <c r="D21" s="490">
        <f>SUM(D11:D20)</f>
        <v>0</v>
      </c>
      <c r="E21" s="171">
        <f>SUM(E11:E20)</f>
        <v>0</v>
      </c>
      <c r="F21" s="418">
        <f>SUM(F11:F20)</f>
        <v>0</v>
      </c>
      <c r="G21" s="171">
        <f>SUM(G11:G20)</f>
        <v>0</v>
      </c>
      <c r="H21" s="172">
        <f t="shared" si="1"/>
        <v>0</v>
      </c>
      <c r="I21" s="337"/>
      <c r="J21" s="168"/>
      <c r="K21" s="168"/>
      <c r="M21" s="359">
        <f>IFERROR(G21/G228,0)</f>
        <v>0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436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436"/>
      <c r="G23" s="144"/>
      <c r="M23" s="363"/>
      <c r="N23" s="363"/>
    </row>
    <row r="24" spans="1:14">
      <c r="A24" s="181" t="s">
        <v>161</v>
      </c>
      <c r="B24" s="148" t="s">
        <v>12</v>
      </c>
      <c r="M24" s="363"/>
      <c r="N24" s="363"/>
    </row>
    <row r="25" spans="1:14" s="167" customFormat="1">
      <c r="A25" s="169" t="s">
        <v>83</v>
      </c>
      <c r="B25" s="170" t="s">
        <v>14</v>
      </c>
      <c r="C25" s="490"/>
      <c r="D25" s="490"/>
      <c r="E25" s="171">
        <f t="shared" ref="E25:E60" si="4">C25+D25</f>
        <v>0</v>
      </c>
      <c r="F25" s="418"/>
      <c r="G25" s="182">
        <f>E25+F25</f>
        <v>0</v>
      </c>
      <c r="H25" s="172">
        <f>IF($G$208=0,0,G25/$G$208)</f>
        <v>0</v>
      </c>
      <c r="I25" s="337"/>
      <c r="J25" s="183"/>
      <c r="K25" s="183"/>
      <c r="M25" s="359" t="e">
        <f>G25/G$228</f>
        <v>#DIV/0!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490"/>
      <c r="D26" s="490"/>
      <c r="E26" s="171">
        <f t="shared" si="4"/>
        <v>0</v>
      </c>
      <c r="F26" s="418"/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183"/>
      <c r="K26" s="183"/>
      <c r="M26" s="359" t="e">
        <f t="shared" ref="M26:M60" si="7">G26/G$228</f>
        <v>#DIV/0!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490"/>
      <c r="D27" s="490"/>
      <c r="E27" s="171">
        <f t="shared" si="4"/>
        <v>0</v>
      </c>
      <c r="F27" s="418"/>
      <c r="G27" s="171">
        <f t="shared" si="5"/>
        <v>0</v>
      </c>
      <c r="H27" s="172">
        <f t="shared" si="6"/>
        <v>0</v>
      </c>
      <c r="I27" s="337"/>
      <c r="J27" s="185"/>
      <c r="K27" s="185"/>
      <c r="M27" s="359" t="e">
        <f t="shared" si="7"/>
        <v>#DIV/0!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490"/>
      <c r="D28" s="490"/>
      <c r="E28" s="171">
        <f t="shared" si="4"/>
        <v>0</v>
      </c>
      <c r="F28" s="418"/>
      <c r="G28" s="171">
        <f t="shared" si="5"/>
        <v>0</v>
      </c>
      <c r="H28" s="172">
        <f t="shared" si="6"/>
        <v>0</v>
      </c>
      <c r="I28" s="337"/>
      <c r="J28" s="168"/>
      <c r="K28" s="168"/>
      <c r="M28" s="359" t="e">
        <f t="shared" si="7"/>
        <v>#DIV/0!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490"/>
      <c r="D29" s="490"/>
      <c r="E29" s="171">
        <f t="shared" si="4"/>
        <v>0</v>
      </c>
      <c r="F29" s="418"/>
      <c r="G29" s="171">
        <f t="shared" si="5"/>
        <v>0</v>
      </c>
      <c r="H29" s="172">
        <f t="shared" si="6"/>
        <v>0</v>
      </c>
      <c r="I29" s="337"/>
      <c r="J29" s="168"/>
      <c r="K29" s="168"/>
      <c r="M29" s="359" t="e">
        <f t="shared" si="7"/>
        <v>#DIV/0!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490"/>
      <c r="D30" s="490"/>
      <c r="E30" s="171">
        <f t="shared" si="4"/>
        <v>0</v>
      </c>
      <c r="F30" s="418"/>
      <c r="G30" s="171">
        <f t="shared" si="5"/>
        <v>0</v>
      </c>
      <c r="H30" s="172">
        <f t="shared" si="6"/>
        <v>0</v>
      </c>
      <c r="I30" s="337"/>
      <c r="J30" s="168"/>
      <c r="K30" s="168"/>
      <c r="M30" s="359" t="e">
        <f t="shared" si="7"/>
        <v>#DIV/0!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490"/>
      <c r="D31" s="490"/>
      <c r="E31" s="171">
        <f t="shared" si="4"/>
        <v>0</v>
      </c>
      <c r="F31" s="418"/>
      <c r="G31" s="171">
        <f t="shared" si="5"/>
        <v>0</v>
      </c>
      <c r="H31" s="172">
        <f t="shared" si="6"/>
        <v>0</v>
      </c>
      <c r="I31" s="337"/>
      <c r="J31" s="168"/>
      <c r="K31" s="168"/>
      <c r="M31" s="359" t="e">
        <f t="shared" si="7"/>
        <v>#DIV/0!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490"/>
      <c r="D32" s="490"/>
      <c r="E32" s="171">
        <f t="shared" si="4"/>
        <v>0</v>
      </c>
      <c r="F32" s="418"/>
      <c r="G32" s="171">
        <f t="shared" si="5"/>
        <v>0</v>
      </c>
      <c r="H32" s="172">
        <f t="shared" si="6"/>
        <v>0</v>
      </c>
      <c r="I32" s="337"/>
      <c r="J32" s="168"/>
      <c r="K32" s="168"/>
      <c r="M32" s="359" t="e">
        <f t="shared" si="7"/>
        <v>#DIV/0!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490"/>
      <c r="D33" s="490"/>
      <c r="E33" s="171">
        <f t="shared" si="4"/>
        <v>0</v>
      </c>
      <c r="F33" s="418"/>
      <c r="G33" s="171">
        <f t="shared" si="5"/>
        <v>0</v>
      </c>
      <c r="H33" s="172">
        <f t="shared" si="6"/>
        <v>0</v>
      </c>
      <c r="I33" s="337"/>
      <c r="J33" s="168"/>
      <c r="K33" s="168"/>
      <c r="M33" s="359" t="e">
        <f t="shared" si="7"/>
        <v>#DIV/0!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490"/>
      <c r="D34" s="490"/>
      <c r="E34" s="171">
        <f t="shared" si="4"/>
        <v>0</v>
      </c>
      <c r="F34" s="418"/>
      <c r="G34" s="171">
        <f t="shared" si="5"/>
        <v>0</v>
      </c>
      <c r="H34" s="172">
        <f t="shared" si="6"/>
        <v>0</v>
      </c>
      <c r="I34" s="337"/>
      <c r="J34" s="168"/>
      <c r="K34" s="168"/>
      <c r="M34" s="359" t="e">
        <f t="shared" si="7"/>
        <v>#DIV/0!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490"/>
      <c r="D35" s="490"/>
      <c r="E35" s="171">
        <f t="shared" si="4"/>
        <v>0</v>
      </c>
      <c r="F35" s="418"/>
      <c r="G35" s="171">
        <f t="shared" si="5"/>
        <v>0</v>
      </c>
      <c r="H35" s="172">
        <f t="shared" si="6"/>
        <v>0</v>
      </c>
      <c r="I35" s="337"/>
      <c r="J35" s="168"/>
      <c r="K35" s="168"/>
      <c r="M35" s="359" t="e">
        <f t="shared" si="7"/>
        <v>#DIV/0!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490"/>
      <c r="D36" s="490"/>
      <c r="E36" s="171">
        <f t="shared" si="4"/>
        <v>0</v>
      </c>
      <c r="F36" s="418"/>
      <c r="G36" s="171">
        <f t="shared" si="5"/>
        <v>0</v>
      </c>
      <c r="H36" s="172">
        <f t="shared" si="6"/>
        <v>0</v>
      </c>
      <c r="I36" s="337"/>
      <c r="J36" s="168"/>
      <c r="K36" s="168"/>
      <c r="M36" s="359" t="e">
        <f t="shared" si="7"/>
        <v>#DIV/0!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490"/>
      <c r="D37" s="490"/>
      <c r="E37" s="171">
        <f t="shared" si="4"/>
        <v>0</v>
      </c>
      <c r="F37" s="418"/>
      <c r="G37" s="171">
        <f t="shared" si="5"/>
        <v>0</v>
      </c>
      <c r="H37" s="172">
        <f t="shared" si="6"/>
        <v>0</v>
      </c>
      <c r="I37" s="337"/>
      <c r="J37" s="168"/>
      <c r="K37" s="168"/>
      <c r="M37" s="359" t="e">
        <f t="shared" si="7"/>
        <v>#DIV/0!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490"/>
      <c r="D38" s="490"/>
      <c r="E38" s="171">
        <f t="shared" si="4"/>
        <v>0</v>
      </c>
      <c r="F38" s="418"/>
      <c r="G38" s="171">
        <f t="shared" si="5"/>
        <v>0</v>
      </c>
      <c r="H38" s="172">
        <f t="shared" si="6"/>
        <v>0</v>
      </c>
      <c r="I38" s="337"/>
      <c r="J38" s="168"/>
      <c r="K38" s="168"/>
      <c r="M38" s="359" t="e">
        <f t="shared" si="7"/>
        <v>#DIV/0!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490"/>
      <c r="D39" s="490"/>
      <c r="E39" s="171">
        <f t="shared" si="4"/>
        <v>0</v>
      </c>
      <c r="F39" s="418"/>
      <c r="G39" s="171">
        <f t="shared" si="5"/>
        <v>0</v>
      </c>
      <c r="H39" s="172">
        <f t="shared" si="6"/>
        <v>0</v>
      </c>
      <c r="I39" s="337"/>
      <c r="J39" s="168"/>
      <c r="K39" s="168"/>
      <c r="M39" s="359" t="e">
        <f t="shared" si="7"/>
        <v>#DIV/0!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490"/>
      <c r="D40" s="490"/>
      <c r="E40" s="171">
        <f t="shared" si="4"/>
        <v>0</v>
      </c>
      <c r="F40" s="418"/>
      <c r="G40" s="171">
        <f t="shared" si="5"/>
        <v>0</v>
      </c>
      <c r="H40" s="172">
        <f t="shared" si="6"/>
        <v>0</v>
      </c>
      <c r="I40" s="337"/>
      <c r="J40" s="168"/>
      <c r="K40" s="168"/>
      <c r="M40" s="359" t="e">
        <f t="shared" si="7"/>
        <v>#DIV/0!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490"/>
      <c r="D41" s="490"/>
      <c r="E41" s="171">
        <f t="shared" si="4"/>
        <v>0</v>
      </c>
      <c r="F41" s="418"/>
      <c r="G41" s="171">
        <f t="shared" si="5"/>
        <v>0</v>
      </c>
      <c r="H41" s="172">
        <f t="shared" si="6"/>
        <v>0</v>
      </c>
      <c r="I41" s="337"/>
      <c r="J41" s="168"/>
      <c r="K41" s="168"/>
      <c r="M41" s="359" t="e">
        <f t="shared" si="7"/>
        <v>#DIV/0!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490"/>
      <c r="D42" s="490"/>
      <c r="E42" s="171">
        <f t="shared" si="4"/>
        <v>0</v>
      </c>
      <c r="F42" s="418"/>
      <c r="G42" s="171">
        <f t="shared" si="5"/>
        <v>0</v>
      </c>
      <c r="H42" s="172">
        <f t="shared" si="6"/>
        <v>0</v>
      </c>
      <c r="I42" s="337"/>
      <c r="J42" s="168"/>
      <c r="K42" s="168"/>
      <c r="M42" s="359" t="e">
        <f t="shared" si="7"/>
        <v>#DIV/0!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490"/>
      <c r="D43" s="490"/>
      <c r="E43" s="171">
        <f t="shared" si="4"/>
        <v>0</v>
      </c>
      <c r="F43" s="418"/>
      <c r="G43" s="171">
        <f t="shared" si="5"/>
        <v>0</v>
      </c>
      <c r="H43" s="172">
        <f t="shared" si="6"/>
        <v>0</v>
      </c>
      <c r="I43" s="337"/>
      <c r="J43" s="168"/>
      <c r="K43" s="168"/>
      <c r="M43" s="359" t="e">
        <f t="shared" si="7"/>
        <v>#DIV/0!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490"/>
      <c r="D44" s="490"/>
      <c r="E44" s="171">
        <f t="shared" si="4"/>
        <v>0</v>
      </c>
      <c r="F44" s="418"/>
      <c r="G44" s="171">
        <f t="shared" si="5"/>
        <v>0</v>
      </c>
      <c r="H44" s="172">
        <f t="shared" si="6"/>
        <v>0</v>
      </c>
      <c r="I44" s="337"/>
      <c r="J44" s="168"/>
      <c r="K44" s="168"/>
      <c r="M44" s="359" t="e">
        <f t="shared" si="7"/>
        <v>#DIV/0!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490"/>
      <c r="D45" s="490"/>
      <c r="E45" s="171">
        <f t="shared" si="4"/>
        <v>0</v>
      </c>
      <c r="F45" s="418"/>
      <c r="G45" s="171">
        <f t="shared" si="5"/>
        <v>0</v>
      </c>
      <c r="H45" s="172">
        <f t="shared" si="6"/>
        <v>0</v>
      </c>
      <c r="I45" s="337"/>
      <c r="J45" s="168"/>
      <c r="K45" s="168"/>
      <c r="M45" s="359" t="e">
        <f t="shared" si="7"/>
        <v>#DIV/0!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490"/>
      <c r="D46" s="490"/>
      <c r="E46" s="171">
        <f t="shared" si="4"/>
        <v>0</v>
      </c>
      <c r="F46" s="418"/>
      <c r="G46" s="171">
        <f t="shared" si="5"/>
        <v>0</v>
      </c>
      <c r="H46" s="172">
        <f t="shared" si="6"/>
        <v>0</v>
      </c>
      <c r="I46" s="337"/>
      <c r="J46" s="168"/>
      <c r="K46" s="168"/>
      <c r="M46" s="359" t="e">
        <f t="shared" si="7"/>
        <v>#DIV/0!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490"/>
      <c r="D47" s="490"/>
      <c r="E47" s="171">
        <f t="shared" si="4"/>
        <v>0</v>
      </c>
      <c r="F47" s="418"/>
      <c r="G47" s="171">
        <f t="shared" si="5"/>
        <v>0</v>
      </c>
      <c r="H47" s="172">
        <f t="shared" si="6"/>
        <v>0</v>
      </c>
      <c r="I47" s="337"/>
      <c r="J47" s="168"/>
      <c r="K47" s="168"/>
      <c r="M47" s="359" t="e">
        <f t="shared" si="7"/>
        <v>#DIV/0!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490"/>
      <c r="D48" s="490"/>
      <c r="E48" s="171">
        <f t="shared" si="4"/>
        <v>0</v>
      </c>
      <c r="F48" s="418"/>
      <c r="G48" s="171">
        <f t="shared" si="5"/>
        <v>0</v>
      </c>
      <c r="H48" s="172">
        <f t="shared" si="6"/>
        <v>0</v>
      </c>
      <c r="I48" s="337"/>
      <c r="J48" s="168"/>
      <c r="K48" s="168"/>
      <c r="M48" s="359" t="e">
        <f t="shared" si="7"/>
        <v>#DIV/0!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490"/>
      <c r="D49" s="490"/>
      <c r="E49" s="171">
        <f t="shared" si="4"/>
        <v>0</v>
      </c>
      <c r="F49" s="418"/>
      <c r="G49" s="171">
        <f t="shared" si="5"/>
        <v>0</v>
      </c>
      <c r="H49" s="172">
        <f t="shared" si="6"/>
        <v>0</v>
      </c>
      <c r="I49" s="337"/>
      <c r="J49" s="168"/>
      <c r="K49" s="168"/>
      <c r="M49" s="359" t="e">
        <f t="shared" si="7"/>
        <v>#DIV/0!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490"/>
      <c r="D50" s="490"/>
      <c r="E50" s="171">
        <f t="shared" si="4"/>
        <v>0</v>
      </c>
      <c r="F50" s="418"/>
      <c r="G50" s="171">
        <f t="shared" si="5"/>
        <v>0</v>
      </c>
      <c r="H50" s="172">
        <f t="shared" si="6"/>
        <v>0</v>
      </c>
      <c r="I50" s="337"/>
      <c r="J50" s="168"/>
      <c r="K50" s="168"/>
      <c r="M50" s="359" t="e">
        <f t="shared" si="7"/>
        <v>#DIV/0!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490"/>
      <c r="D51" s="490"/>
      <c r="E51" s="171">
        <f t="shared" si="4"/>
        <v>0</v>
      </c>
      <c r="F51" s="418"/>
      <c r="G51" s="171">
        <f t="shared" si="5"/>
        <v>0</v>
      </c>
      <c r="H51" s="172">
        <f t="shared" si="6"/>
        <v>0</v>
      </c>
      <c r="I51" s="337"/>
      <c r="J51" s="183"/>
      <c r="K51" s="183"/>
      <c r="M51" s="359" t="e">
        <f t="shared" si="7"/>
        <v>#DIV/0!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490"/>
      <c r="D52" s="490"/>
      <c r="E52" s="171">
        <f t="shared" si="4"/>
        <v>0</v>
      </c>
      <c r="F52" s="418"/>
      <c r="G52" s="171">
        <f t="shared" si="5"/>
        <v>0</v>
      </c>
      <c r="H52" s="172">
        <f t="shared" si="6"/>
        <v>0</v>
      </c>
      <c r="I52" s="337"/>
      <c r="J52" s="168"/>
      <c r="K52" s="168"/>
      <c r="M52" s="359" t="e">
        <f t="shared" si="7"/>
        <v>#DIV/0!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490"/>
      <c r="D53" s="490"/>
      <c r="E53" s="171">
        <f t="shared" si="4"/>
        <v>0</v>
      </c>
      <c r="F53" s="418"/>
      <c r="G53" s="171">
        <f t="shared" si="5"/>
        <v>0</v>
      </c>
      <c r="H53" s="172">
        <f t="shared" si="6"/>
        <v>0</v>
      </c>
      <c r="I53" s="337"/>
      <c r="J53" s="168"/>
      <c r="K53" s="168"/>
      <c r="M53" s="359" t="e">
        <f t="shared" si="7"/>
        <v>#DIV/0!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490"/>
      <c r="D54" s="490"/>
      <c r="E54" s="171">
        <f t="shared" si="4"/>
        <v>0</v>
      </c>
      <c r="F54" s="418"/>
      <c r="G54" s="171">
        <f t="shared" si="5"/>
        <v>0</v>
      </c>
      <c r="H54" s="172">
        <f t="shared" si="6"/>
        <v>0</v>
      </c>
      <c r="I54" s="337"/>
      <c r="J54" s="168"/>
      <c r="K54" s="168"/>
      <c r="M54" s="359" t="e">
        <f t="shared" si="7"/>
        <v>#DIV/0!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490"/>
      <c r="D55" s="490"/>
      <c r="E55" s="171">
        <f t="shared" si="4"/>
        <v>0</v>
      </c>
      <c r="F55" s="418"/>
      <c r="G55" s="171">
        <f t="shared" si="5"/>
        <v>0</v>
      </c>
      <c r="H55" s="172">
        <f t="shared" si="6"/>
        <v>0</v>
      </c>
      <c r="I55" s="337"/>
      <c r="J55" s="168"/>
      <c r="K55" s="168"/>
      <c r="M55" s="359" t="e">
        <f t="shared" si="7"/>
        <v>#DIV/0!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490"/>
      <c r="D56" s="490"/>
      <c r="E56" s="171">
        <f t="shared" si="4"/>
        <v>0</v>
      </c>
      <c r="F56" s="418"/>
      <c r="G56" s="171">
        <f t="shared" si="5"/>
        <v>0</v>
      </c>
      <c r="H56" s="172">
        <f t="shared" si="6"/>
        <v>0</v>
      </c>
      <c r="I56" s="337"/>
      <c r="J56" s="168"/>
      <c r="K56" s="168"/>
      <c r="M56" s="359" t="e">
        <f t="shared" si="7"/>
        <v>#DIV/0!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490"/>
      <c r="D57" s="490"/>
      <c r="E57" s="171">
        <f t="shared" si="4"/>
        <v>0</v>
      </c>
      <c r="F57" s="418"/>
      <c r="G57" s="171">
        <f t="shared" si="5"/>
        <v>0</v>
      </c>
      <c r="H57" s="172">
        <f t="shared" si="6"/>
        <v>0</v>
      </c>
      <c r="I57" s="337"/>
      <c r="J57" s="168"/>
      <c r="K57" s="168"/>
      <c r="M57" s="359" t="e">
        <f t="shared" si="7"/>
        <v>#DIV/0!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490"/>
      <c r="D58" s="490"/>
      <c r="E58" s="171">
        <f t="shared" si="4"/>
        <v>0</v>
      </c>
      <c r="F58" s="418"/>
      <c r="G58" s="171">
        <f t="shared" si="5"/>
        <v>0</v>
      </c>
      <c r="H58" s="172">
        <f t="shared" si="6"/>
        <v>0</v>
      </c>
      <c r="I58" s="337"/>
      <c r="J58" s="168"/>
      <c r="K58" s="168"/>
      <c r="M58" s="359" t="e">
        <f t="shared" si="7"/>
        <v>#DIV/0!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490"/>
      <c r="D59" s="490"/>
      <c r="E59" s="171">
        <f t="shared" si="4"/>
        <v>0</v>
      </c>
      <c r="F59" s="418"/>
      <c r="G59" s="171">
        <f t="shared" si="5"/>
        <v>0</v>
      </c>
      <c r="H59" s="172">
        <f t="shared" si="6"/>
        <v>0</v>
      </c>
      <c r="I59" s="337"/>
      <c r="J59" s="168"/>
      <c r="K59" s="168"/>
      <c r="M59" s="359" t="e">
        <f t="shared" si="7"/>
        <v>#DIV/0!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490"/>
      <c r="D60" s="490"/>
      <c r="E60" s="171">
        <f t="shared" si="4"/>
        <v>0</v>
      </c>
      <c r="F60" s="418"/>
      <c r="G60" s="171">
        <f t="shared" si="5"/>
        <v>0</v>
      </c>
      <c r="H60" s="172">
        <f t="shared" si="6"/>
        <v>0</v>
      </c>
      <c r="I60" s="337"/>
      <c r="J60" s="168"/>
      <c r="K60" s="168"/>
      <c r="M60" s="359" t="e">
        <f t="shared" si="7"/>
        <v>#DIV/0!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490">
        <f>SUM(C25:C60)</f>
        <v>0</v>
      </c>
      <c r="D61" s="490">
        <f>SUM(D25:D60)</f>
        <v>0</v>
      </c>
      <c r="E61" s="171">
        <f t="shared" ref="E61:F61" si="8">SUM(E25:E60)</f>
        <v>0</v>
      </c>
      <c r="F61" s="171">
        <f t="shared" si="8"/>
        <v>0</v>
      </c>
      <c r="G61" s="171">
        <f>SUM(G25:G60)</f>
        <v>0</v>
      </c>
      <c r="H61" s="186">
        <f t="shared" si="6"/>
        <v>0</v>
      </c>
      <c r="I61" s="339"/>
      <c r="J61" s="168"/>
      <c r="K61" s="168"/>
      <c r="M61" s="364" t="e">
        <f>G61/G$228</f>
        <v>#DIV/0!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425"/>
      <c r="G62" s="165"/>
      <c r="H62" s="187"/>
      <c r="I62" s="340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425"/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490"/>
      <c r="D64" s="490"/>
      <c r="E64" s="171">
        <f t="shared" ref="E64:E78" si="9">C64+D64</f>
        <v>0</v>
      </c>
      <c r="F64" s="418"/>
      <c r="G64" s="171">
        <f t="shared" ref="G64:G78" si="10">E64+F64</f>
        <v>0</v>
      </c>
      <c r="H64" s="172">
        <f t="shared" ref="H64:H79" si="11">IF($G$208=0,0,G64/$G$208)</f>
        <v>0</v>
      </c>
      <c r="I64" s="337"/>
      <c r="J64" s="190"/>
      <c r="K64" s="168"/>
      <c r="M64" s="359" t="e">
        <f t="shared" ref="M64:M79" si="12">G64/G$228</f>
        <v>#DIV/0!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490"/>
      <c r="D65" s="490"/>
      <c r="E65" s="171">
        <f t="shared" si="9"/>
        <v>0</v>
      </c>
      <c r="F65" s="418"/>
      <c r="G65" s="171">
        <f t="shared" si="10"/>
        <v>0</v>
      </c>
      <c r="H65" s="172">
        <f t="shared" si="11"/>
        <v>0</v>
      </c>
      <c r="I65" s="337"/>
      <c r="J65" s="190"/>
      <c r="K65" s="168"/>
      <c r="M65" s="359" t="e">
        <f t="shared" si="12"/>
        <v>#DIV/0!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490"/>
      <c r="D66" s="490"/>
      <c r="E66" s="171">
        <f t="shared" si="9"/>
        <v>0</v>
      </c>
      <c r="F66" s="418"/>
      <c r="G66" s="171">
        <f t="shared" si="10"/>
        <v>0</v>
      </c>
      <c r="H66" s="172">
        <f t="shared" si="11"/>
        <v>0</v>
      </c>
      <c r="I66" s="337"/>
      <c r="J66" s="190"/>
      <c r="K66" s="168"/>
      <c r="M66" s="359" t="e">
        <f t="shared" si="12"/>
        <v>#DIV/0!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490"/>
      <c r="D67" s="490"/>
      <c r="E67" s="171">
        <f t="shared" si="9"/>
        <v>0</v>
      </c>
      <c r="F67" s="418"/>
      <c r="G67" s="171">
        <f t="shared" si="10"/>
        <v>0</v>
      </c>
      <c r="H67" s="172">
        <f t="shared" si="11"/>
        <v>0</v>
      </c>
      <c r="I67" s="337"/>
      <c r="J67" s="193"/>
      <c r="K67" s="168"/>
      <c r="M67" s="359" t="e">
        <f t="shared" si="12"/>
        <v>#DIV/0!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490"/>
      <c r="D68" s="490"/>
      <c r="E68" s="171">
        <f t="shared" si="9"/>
        <v>0</v>
      </c>
      <c r="F68" s="418"/>
      <c r="G68" s="171">
        <f t="shared" si="10"/>
        <v>0</v>
      </c>
      <c r="H68" s="172">
        <f t="shared" si="11"/>
        <v>0</v>
      </c>
      <c r="I68" s="337"/>
      <c r="J68" s="193"/>
      <c r="K68" s="168"/>
      <c r="M68" s="359" t="e">
        <f t="shared" si="12"/>
        <v>#DIV/0!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490"/>
      <c r="D69" s="490"/>
      <c r="E69" s="171">
        <f t="shared" si="9"/>
        <v>0</v>
      </c>
      <c r="F69" s="418"/>
      <c r="G69" s="171">
        <f t="shared" si="10"/>
        <v>0</v>
      </c>
      <c r="H69" s="172">
        <f t="shared" si="11"/>
        <v>0</v>
      </c>
      <c r="I69" s="337"/>
      <c r="J69" s="195"/>
      <c r="K69" s="168"/>
      <c r="M69" s="359" t="e">
        <f t="shared" si="12"/>
        <v>#DIV/0!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490"/>
      <c r="D70" s="490"/>
      <c r="E70" s="171">
        <f t="shared" si="9"/>
        <v>0</v>
      </c>
      <c r="F70" s="418"/>
      <c r="G70" s="171">
        <f t="shared" si="10"/>
        <v>0</v>
      </c>
      <c r="H70" s="172">
        <f t="shared" si="11"/>
        <v>0</v>
      </c>
      <c r="I70" s="337"/>
      <c r="J70" s="195"/>
      <c r="K70" s="168"/>
      <c r="M70" s="359" t="e">
        <f t="shared" si="12"/>
        <v>#DIV/0!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490"/>
      <c r="D71" s="490"/>
      <c r="E71" s="171">
        <f t="shared" si="9"/>
        <v>0</v>
      </c>
      <c r="F71" s="418"/>
      <c r="G71" s="171">
        <f t="shared" si="10"/>
        <v>0</v>
      </c>
      <c r="H71" s="172">
        <f t="shared" si="11"/>
        <v>0</v>
      </c>
      <c r="I71" s="337"/>
      <c r="J71" s="195"/>
      <c r="K71" s="168"/>
      <c r="M71" s="359" t="e">
        <f t="shared" si="12"/>
        <v>#DIV/0!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490"/>
      <c r="D72" s="490"/>
      <c r="E72" s="171">
        <f t="shared" si="9"/>
        <v>0</v>
      </c>
      <c r="F72" s="418"/>
      <c r="G72" s="171">
        <f t="shared" si="10"/>
        <v>0</v>
      </c>
      <c r="H72" s="172">
        <f t="shared" si="11"/>
        <v>0</v>
      </c>
      <c r="I72" s="337"/>
      <c r="J72" s="195"/>
      <c r="K72" s="168"/>
      <c r="M72" s="359" t="e">
        <f t="shared" si="12"/>
        <v>#DIV/0!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490"/>
      <c r="D73" s="490"/>
      <c r="E73" s="171">
        <f t="shared" si="9"/>
        <v>0</v>
      </c>
      <c r="F73" s="418"/>
      <c r="G73" s="171">
        <f t="shared" si="10"/>
        <v>0</v>
      </c>
      <c r="H73" s="172">
        <f t="shared" si="11"/>
        <v>0</v>
      </c>
      <c r="I73" s="337"/>
      <c r="J73" s="195"/>
      <c r="K73" s="168"/>
      <c r="M73" s="359" t="e">
        <f t="shared" si="12"/>
        <v>#DIV/0!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490"/>
      <c r="D74" s="490"/>
      <c r="E74" s="171">
        <f t="shared" si="9"/>
        <v>0</v>
      </c>
      <c r="F74" s="418"/>
      <c r="G74" s="171">
        <f t="shared" si="10"/>
        <v>0</v>
      </c>
      <c r="H74" s="172">
        <f t="shared" si="11"/>
        <v>0</v>
      </c>
      <c r="I74" s="337"/>
      <c r="J74" s="195"/>
      <c r="K74" s="168"/>
      <c r="M74" s="359" t="e">
        <f t="shared" si="12"/>
        <v>#DIV/0!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490"/>
      <c r="D75" s="490"/>
      <c r="E75" s="171">
        <f t="shared" si="9"/>
        <v>0</v>
      </c>
      <c r="F75" s="418"/>
      <c r="G75" s="171">
        <f t="shared" si="10"/>
        <v>0</v>
      </c>
      <c r="H75" s="172">
        <f t="shared" si="11"/>
        <v>0</v>
      </c>
      <c r="I75" s="337"/>
      <c r="J75" s="195"/>
      <c r="K75" s="168"/>
      <c r="M75" s="359" t="e">
        <f t="shared" si="12"/>
        <v>#DIV/0!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490"/>
      <c r="D76" s="490"/>
      <c r="E76" s="171">
        <f t="shared" si="9"/>
        <v>0</v>
      </c>
      <c r="F76" s="418"/>
      <c r="G76" s="171">
        <f t="shared" si="10"/>
        <v>0</v>
      </c>
      <c r="H76" s="172">
        <f t="shared" si="11"/>
        <v>0</v>
      </c>
      <c r="I76" s="337"/>
      <c r="J76" s="195"/>
      <c r="K76" s="168"/>
      <c r="M76" s="359" t="e">
        <f t="shared" si="12"/>
        <v>#DIV/0!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490"/>
      <c r="D77" s="490"/>
      <c r="E77" s="171">
        <f t="shared" si="9"/>
        <v>0</v>
      </c>
      <c r="F77" s="418"/>
      <c r="G77" s="171">
        <f t="shared" si="10"/>
        <v>0</v>
      </c>
      <c r="H77" s="172">
        <f t="shared" si="11"/>
        <v>0</v>
      </c>
      <c r="I77" s="337"/>
      <c r="J77" s="195"/>
      <c r="K77" s="168"/>
      <c r="M77" s="359" t="e">
        <f t="shared" si="12"/>
        <v>#DIV/0!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490"/>
      <c r="D78" s="490"/>
      <c r="E78" s="171">
        <f t="shared" si="9"/>
        <v>0</v>
      </c>
      <c r="F78" s="418"/>
      <c r="G78" s="171">
        <f t="shared" si="10"/>
        <v>0</v>
      </c>
      <c r="H78" s="172">
        <f t="shared" si="11"/>
        <v>0</v>
      </c>
      <c r="I78" s="337"/>
      <c r="J78" s="195"/>
      <c r="K78" s="168"/>
      <c r="M78" s="359" t="e">
        <f t="shared" si="12"/>
        <v>#DIV/0!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490">
        <f>SUM(C64:C78)</f>
        <v>0</v>
      </c>
      <c r="D79" s="490">
        <f>SUM(D64:D78)</f>
        <v>0</v>
      </c>
      <c r="E79" s="171">
        <f t="shared" ref="E79:F79" si="13">SUM(E64:E78)</f>
        <v>0</v>
      </c>
      <c r="F79" s="171">
        <f t="shared" si="13"/>
        <v>0</v>
      </c>
      <c r="G79" s="171">
        <f>SUM(G64:G78)</f>
        <v>0</v>
      </c>
      <c r="H79" s="172">
        <f t="shared" si="11"/>
        <v>0</v>
      </c>
      <c r="I79" s="337"/>
      <c r="J79" s="195"/>
      <c r="K79" s="168"/>
      <c r="M79" s="359" t="e">
        <f t="shared" si="12"/>
        <v>#DIV/0!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422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425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490"/>
      <c r="D82" s="490"/>
      <c r="E82" s="171">
        <f t="shared" ref="E82:E92" si="14">C82+D82</f>
        <v>0</v>
      </c>
      <c r="F82" s="418"/>
      <c r="G82" s="171">
        <f t="shared" ref="G82:G92" si="15">E82+F82</f>
        <v>0</v>
      </c>
      <c r="H82" s="172">
        <f t="shared" ref="H82:H93" si="16">IF($G$208=0,0,G82/$G$208)</f>
        <v>0</v>
      </c>
      <c r="I82" s="337"/>
      <c r="J82" s="183"/>
      <c r="K82" s="183"/>
      <c r="M82" s="359" t="e">
        <f t="shared" ref="M82:M92" si="17">G82/G$228</f>
        <v>#DIV/0!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490"/>
      <c r="D83" s="490"/>
      <c r="E83" s="171">
        <f t="shared" si="14"/>
        <v>0</v>
      </c>
      <c r="F83" s="418"/>
      <c r="G83" s="171">
        <f t="shared" si="15"/>
        <v>0</v>
      </c>
      <c r="H83" s="172">
        <f t="shared" si="16"/>
        <v>0</v>
      </c>
      <c r="I83" s="337"/>
      <c r="J83" s="168"/>
      <c r="K83" s="168"/>
      <c r="M83" s="359" t="e">
        <f t="shared" si="17"/>
        <v>#DIV/0!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490"/>
      <c r="D84" s="490"/>
      <c r="E84" s="171">
        <f t="shared" si="14"/>
        <v>0</v>
      </c>
      <c r="F84" s="418"/>
      <c r="G84" s="171">
        <f t="shared" si="15"/>
        <v>0</v>
      </c>
      <c r="H84" s="172">
        <f t="shared" si="16"/>
        <v>0</v>
      </c>
      <c r="I84" s="337"/>
      <c r="J84" s="168"/>
      <c r="K84" s="168"/>
      <c r="M84" s="359" t="e">
        <f t="shared" si="17"/>
        <v>#DIV/0!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490"/>
      <c r="D85" s="490"/>
      <c r="E85" s="171">
        <f t="shared" si="14"/>
        <v>0</v>
      </c>
      <c r="F85" s="418"/>
      <c r="G85" s="171">
        <f t="shared" si="15"/>
        <v>0</v>
      </c>
      <c r="H85" s="172">
        <f t="shared" si="16"/>
        <v>0</v>
      </c>
      <c r="I85" s="337"/>
      <c r="J85" s="168"/>
      <c r="K85" s="168"/>
      <c r="M85" s="359" t="e">
        <f t="shared" si="17"/>
        <v>#DIV/0!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490"/>
      <c r="D86" s="490"/>
      <c r="E86" s="171">
        <f t="shared" si="14"/>
        <v>0</v>
      </c>
      <c r="F86" s="418"/>
      <c r="G86" s="171">
        <f>E86+F86</f>
        <v>0</v>
      </c>
      <c r="H86" s="172">
        <f t="shared" si="16"/>
        <v>0</v>
      </c>
      <c r="I86" s="337"/>
      <c r="J86" s="168"/>
      <c r="K86" s="168"/>
      <c r="M86" s="359" t="e">
        <f t="shared" si="17"/>
        <v>#DIV/0!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490"/>
      <c r="D87" s="490"/>
      <c r="E87" s="171">
        <f t="shared" si="14"/>
        <v>0</v>
      </c>
      <c r="F87" s="418"/>
      <c r="G87" s="171">
        <f t="shared" si="15"/>
        <v>0</v>
      </c>
      <c r="H87" s="172">
        <f t="shared" si="16"/>
        <v>0</v>
      </c>
      <c r="I87" s="337"/>
      <c r="J87" s="168"/>
      <c r="K87" s="168"/>
      <c r="M87" s="359" t="e">
        <f t="shared" si="17"/>
        <v>#DIV/0!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490"/>
      <c r="D88" s="490"/>
      <c r="E88" s="171">
        <f t="shared" si="14"/>
        <v>0</v>
      </c>
      <c r="F88" s="418"/>
      <c r="G88" s="171">
        <f t="shared" si="15"/>
        <v>0</v>
      </c>
      <c r="H88" s="172">
        <f t="shared" si="16"/>
        <v>0</v>
      </c>
      <c r="I88" s="337"/>
      <c r="J88" s="168"/>
      <c r="K88" s="168"/>
      <c r="M88" s="359" t="e">
        <f t="shared" si="17"/>
        <v>#DIV/0!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490"/>
      <c r="D89" s="490"/>
      <c r="E89" s="171">
        <f t="shared" si="14"/>
        <v>0</v>
      </c>
      <c r="F89" s="418"/>
      <c r="G89" s="171">
        <f t="shared" si="15"/>
        <v>0</v>
      </c>
      <c r="H89" s="172">
        <f t="shared" si="16"/>
        <v>0</v>
      </c>
      <c r="I89" s="337"/>
      <c r="J89" s="168"/>
      <c r="K89" s="168"/>
      <c r="M89" s="359" t="e">
        <f t="shared" si="17"/>
        <v>#DIV/0!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490"/>
      <c r="D90" s="490"/>
      <c r="E90" s="171">
        <f t="shared" si="14"/>
        <v>0</v>
      </c>
      <c r="F90" s="418"/>
      <c r="G90" s="171">
        <f t="shared" si="15"/>
        <v>0</v>
      </c>
      <c r="H90" s="172">
        <f t="shared" si="16"/>
        <v>0</v>
      </c>
      <c r="I90" s="337"/>
      <c r="J90" s="168"/>
      <c r="K90" s="168"/>
      <c r="M90" s="359" t="e">
        <f t="shared" si="17"/>
        <v>#DIV/0!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490"/>
      <c r="D91" s="490"/>
      <c r="E91" s="171">
        <f t="shared" si="14"/>
        <v>0</v>
      </c>
      <c r="F91" s="418"/>
      <c r="G91" s="171">
        <f t="shared" si="15"/>
        <v>0</v>
      </c>
      <c r="H91" s="172">
        <f t="shared" si="16"/>
        <v>0</v>
      </c>
      <c r="I91" s="337"/>
      <c r="J91" s="168"/>
      <c r="K91" s="168"/>
      <c r="M91" s="359" t="e">
        <f t="shared" si="17"/>
        <v>#DIV/0!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490"/>
      <c r="D92" s="490"/>
      <c r="E92" s="171">
        <f t="shared" si="14"/>
        <v>0</v>
      </c>
      <c r="F92" s="418"/>
      <c r="G92" s="171">
        <f t="shared" si="15"/>
        <v>0</v>
      </c>
      <c r="H92" s="172">
        <f t="shared" si="16"/>
        <v>0</v>
      </c>
      <c r="I92" s="337"/>
      <c r="J92" s="168"/>
      <c r="K92" s="168"/>
      <c r="M92" s="359" t="e">
        <f t="shared" si="17"/>
        <v>#DIV/0!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490">
        <f>SUM(C82:C92)</f>
        <v>0</v>
      </c>
      <c r="D93" s="490">
        <f>SUM(D82:D92)</f>
        <v>0</v>
      </c>
      <c r="E93" s="171">
        <f t="shared" ref="E93:F93" si="18">SUM(E82:E92)</f>
        <v>0</v>
      </c>
      <c r="F93" s="171">
        <f t="shared" si="18"/>
        <v>0</v>
      </c>
      <c r="G93" s="171">
        <f>SUM(G82:G92)</f>
        <v>0</v>
      </c>
      <c r="H93" s="172">
        <f t="shared" si="16"/>
        <v>0</v>
      </c>
      <c r="I93" s="337"/>
      <c r="J93" s="168"/>
      <c r="K93" s="168"/>
      <c r="M93" s="364" t="e">
        <f>G93/G$228</f>
        <v>#DIV/0!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425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42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490"/>
      <c r="D96" s="490"/>
      <c r="E96" s="171">
        <f t="shared" ref="E96:E101" si="19">C96+D96</f>
        <v>0</v>
      </c>
      <c r="F96" s="418"/>
      <c r="G96" s="171">
        <f t="shared" ref="G96:G101" si="20">E96+F96</f>
        <v>0</v>
      </c>
      <c r="H96" s="172">
        <f t="shared" ref="H96:H102" si="21">IF($G$208=0,0,G96/$G$208)</f>
        <v>0</v>
      </c>
      <c r="I96" s="337"/>
      <c r="J96" s="183"/>
      <c r="K96" s="183"/>
      <c r="M96" s="364" t="e">
        <f t="shared" ref="M96:M101" si="22">G96/G$228</f>
        <v>#DIV/0!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490"/>
      <c r="D97" s="490"/>
      <c r="E97" s="171">
        <f t="shared" si="19"/>
        <v>0</v>
      </c>
      <c r="F97" s="418"/>
      <c r="G97" s="171">
        <f t="shared" si="20"/>
        <v>0</v>
      </c>
      <c r="H97" s="172">
        <f t="shared" si="21"/>
        <v>0</v>
      </c>
      <c r="I97" s="337"/>
      <c r="J97" s="168"/>
      <c r="K97" s="168"/>
      <c r="M97" s="364" t="e">
        <f t="shared" si="22"/>
        <v>#DIV/0!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490"/>
      <c r="D98" s="490"/>
      <c r="E98" s="171">
        <f t="shared" si="19"/>
        <v>0</v>
      </c>
      <c r="F98" s="418"/>
      <c r="G98" s="171">
        <f t="shared" si="20"/>
        <v>0</v>
      </c>
      <c r="H98" s="172">
        <f t="shared" si="21"/>
        <v>0</v>
      </c>
      <c r="I98" s="337"/>
      <c r="J98" s="168"/>
      <c r="K98" s="168"/>
      <c r="M98" s="364" t="e">
        <f t="shared" si="22"/>
        <v>#DIV/0!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490"/>
      <c r="D99" s="490"/>
      <c r="E99" s="171">
        <f t="shared" si="19"/>
        <v>0</v>
      </c>
      <c r="F99" s="418"/>
      <c r="G99" s="171">
        <f t="shared" si="20"/>
        <v>0</v>
      </c>
      <c r="H99" s="172">
        <f t="shared" si="21"/>
        <v>0</v>
      </c>
      <c r="I99" s="337"/>
      <c r="J99" s="168"/>
      <c r="K99" s="168"/>
      <c r="M99" s="364" t="e">
        <f t="shared" si="22"/>
        <v>#DIV/0!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490"/>
      <c r="D100" s="490"/>
      <c r="E100" s="171">
        <f t="shared" si="19"/>
        <v>0</v>
      </c>
      <c r="F100" s="418"/>
      <c r="G100" s="171">
        <f t="shared" si="20"/>
        <v>0</v>
      </c>
      <c r="H100" s="172">
        <f t="shared" si="21"/>
        <v>0</v>
      </c>
      <c r="I100" s="337"/>
      <c r="J100" s="168"/>
      <c r="K100" s="168"/>
      <c r="M100" s="364" t="e">
        <f t="shared" si="22"/>
        <v>#DIV/0!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490"/>
      <c r="D101" s="490"/>
      <c r="E101" s="171">
        <f t="shared" si="19"/>
        <v>0</v>
      </c>
      <c r="F101" s="418"/>
      <c r="G101" s="171">
        <f t="shared" si="20"/>
        <v>0</v>
      </c>
      <c r="H101" s="172">
        <f t="shared" si="21"/>
        <v>0</v>
      </c>
      <c r="I101" s="337"/>
      <c r="J101" s="168"/>
      <c r="K101" s="168"/>
      <c r="M101" s="364" t="e">
        <f t="shared" si="22"/>
        <v>#DIV/0!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490">
        <f>SUM(C96:C101)</f>
        <v>0</v>
      </c>
      <c r="D102" s="490">
        <f>SUM(D96:D101)</f>
        <v>0</v>
      </c>
      <c r="E102" s="171">
        <f t="shared" ref="E102:F102" si="23">SUM(E96:E101)</f>
        <v>0</v>
      </c>
      <c r="F102" s="171">
        <f t="shared" si="23"/>
        <v>0</v>
      </c>
      <c r="G102" s="171">
        <f>SUM(G96:G101)</f>
        <v>0</v>
      </c>
      <c r="H102" s="172">
        <f t="shared" si="21"/>
        <v>0</v>
      </c>
      <c r="I102" s="337"/>
      <c r="J102" s="168"/>
      <c r="K102" s="168"/>
      <c r="M102" s="364" t="e">
        <f>G102/G$228</f>
        <v>#DIV/0!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425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425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490"/>
      <c r="D105" s="490"/>
      <c r="E105" s="171">
        <f t="shared" ref="E105:E110" si="24">C105+D105</f>
        <v>0</v>
      </c>
      <c r="F105" s="418"/>
      <c r="G105" s="171">
        <f t="shared" ref="G105:G110" si="25">E105+F105</f>
        <v>0</v>
      </c>
      <c r="H105" s="172">
        <f t="shared" ref="H105:H111" si="26">IF($G$208=0,0,G105/$G$208)</f>
        <v>0</v>
      </c>
      <c r="I105" s="337"/>
      <c r="J105" s="183"/>
      <c r="K105" s="183"/>
      <c r="M105" s="364" t="e">
        <f t="shared" ref="M105:M110" si="27">G105/G$228</f>
        <v>#DIV/0!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490"/>
      <c r="D106" s="490"/>
      <c r="E106" s="171">
        <f t="shared" si="24"/>
        <v>0</v>
      </c>
      <c r="F106" s="418"/>
      <c r="G106" s="171">
        <f t="shared" si="25"/>
        <v>0</v>
      </c>
      <c r="H106" s="172">
        <f t="shared" si="26"/>
        <v>0</v>
      </c>
      <c r="I106" s="337"/>
      <c r="J106" s="168"/>
      <c r="K106" s="168"/>
      <c r="M106" s="364" t="e">
        <f t="shared" si="27"/>
        <v>#DIV/0!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490"/>
      <c r="D107" s="490"/>
      <c r="E107" s="171">
        <f t="shared" si="24"/>
        <v>0</v>
      </c>
      <c r="F107" s="418"/>
      <c r="G107" s="171">
        <f t="shared" si="25"/>
        <v>0</v>
      </c>
      <c r="H107" s="172">
        <f t="shared" si="26"/>
        <v>0</v>
      </c>
      <c r="I107" s="337"/>
      <c r="J107" s="168"/>
      <c r="K107" s="168"/>
      <c r="M107" s="364" t="e">
        <f t="shared" si="27"/>
        <v>#DIV/0!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490"/>
      <c r="D108" s="490"/>
      <c r="E108" s="171">
        <f t="shared" si="24"/>
        <v>0</v>
      </c>
      <c r="F108" s="418"/>
      <c r="G108" s="171">
        <f t="shared" si="25"/>
        <v>0</v>
      </c>
      <c r="H108" s="172">
        <f t="shared" si="26"/>
        <v>0</v>
      </c>
      <c r="I108" s="337"/>
      <c r="J108" s="168"/>
      <c r="K108" s="168"/>
      <c r="M108" s="364" t="e">
        <f t="shared" si="27"/>
        <v>#DIV/0!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490"/>
      <c r="D109" s="490"/>
      <c r="E109" s="171">
        <f t="shared" si="24"/>
        <v>0</v>
      </c>
      <c r="F109" s="418"/>
      <c r="G109" s="171">
        <f t="shared" si="25"/>
        <v>0</v>
      </c>
      <c r="H109" s="172">
        <f t="shared" si="26"/>
        <v>0</v>
      </c>
      <c r="I109" s="337"/>
      <c r="J109" s="168"/>
      <c r="K109" s="168"/>
      <c r="M109" s="364" t="e">
        <f t="shared" si="27"/>
        <v>#DIV/0!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490"/>
      <c r="D110" s="490"/>
      <c r="E110" s="171">
        <f t="shared" si="24"/>
        <v>0</v>
      </c>
      <c r="F110" s="418"/>
      <c r="G110" s="171">
        <f t="shared" si="25"/>
        <v>0</v>
      </c>
      <c r="H110" s="172">
        <f t="shared" si="26"/>
        <v>0</v>
      </c>
      <c r="I110" s="337"/>
      <c r="J110" s="168"/>
      <c r="K110" s="168"/>
      <c r="M110" s="364" t="e">
        <f t="shared" si="27"/>
        <v>#DIV/0!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490">
        <f>SUM(C105:C110)</f>
        <v>0</v>
      </c>
      <c r="D111" s="490">
        <f>SUM(D105:D110)</f>
        <v>0</v>
      </c>
      <c r="E111" s="171">
        <f t="shared" ref="E111:F111" si="28">SUM(E105:E110)</f>
        <v>0</v>
      </c>
      <c r="F111" s="171">
        <f t="shared" si="28"/>
        <v>0</v>
      </c>
      <c r="G111" s="171">
        <f>SUM(G105:G110)</f>
        <v>0</v>
      </c>
      <c r="H111" s="172">
        <f t="shared" si="26"/>
        <v>0</v>
      </c>
      <c r="I111" s="337"/>
      <c r="J111" s="168"/>
      <c r="K111" s="168"/>
      <c r="M111" s="364" t="e">
        <f>G111/G$228</f>
        <v>#DIV/0!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425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425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490"/>
      <c r="D114" s="490"/>
      <c r="E114" s="171">
        <f t="shared" ref="E114:E118" si="29">C114+D114</f>
        <v>0</v>
      </c>
      <c r="F114" s="418"/>
      <c r="G114" s="171">
        <f>E114+F114</f>
        <v>0</v>
      </c>
      <c r="H114" s="172">
        <f t="shared" ref="H114:H119" si="30">IF($G$208=0,0,G114/$G$208)</f>
        <v>0</v>
      </c>
      <c r="I114" s="337"/>
      <c r="J114" s="183"/>
      <c r="K114" s="183"/>
      <c r="M114" s="364" t="e">
        <f t="shared" ref="M114:M119" si="31">G114/G$228</f>
        <v>#DIV/0!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490"/>
      <c r="D115" s="490"/>
      <c r="E115" s="171">
        <f t="shared" si="29"/>
        <v>0</v>
      </c>
      <c r="F115" s="418"/>
      <c r="G115" s="171">
        <f>E115+F115</f>
        <v>0</v>
      </c>
      <c r="H115" s="172">
        <f t="shared" si="30"/>
        <v>0</v>
      </c>
      <c r="I115" s="337"/>
      <c r="J115" s="168"/>
      <c r="K115" s="168"/>
      <c r="M115" s="364" t="e">
        <f t="shared" si="31"/>
        <v>#DIV/0!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490"/>
      <c r="D116" s="490"/>
      <c r="E116" s="171">
        <f t="shared" si="29"/>
        <v>0</v>
      </c>
      <c r="F116" s="418"/>
      <c r="G116" s="171">
        <f>E116+F116</f>
        <v>0</v>
      </c>
      <c r="H116" s="172">
        <f t="shared" si="30"/>
        <v>0</v>
      </c>
      <c r="I116" s="337"/>
      <c r="J116" s="168"/>
      <c r="K116" s="168"/>
      <c r="M116" s="364" t="e">
        <f t="shared" si="31"/>
        <v>#DIV/0!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490"/>
      <c r="D117" s="490"/>
      <c r="E117" s="171">
        <f t="shared" si="29"/>
        <v>0</v>
      </c>
      <c r="F117" s="418"/>
      <c r="G117" s="171">
        <f>E117+F117</f>
        <v>0</v>
      </c>
      <c r="H117" s="172">
        <f t="shared" si="30"/>
        <v>0</v>
      </c>
      <c r="I117" s="337"/>
      <c r="J117" s="168"/>
      <c r="K117" s="168"/>
      <c r="M117" s="364" t="e">
        <f t="shared" si="31"/>
        <v>#DIV/0!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490"/>
      <c r="D118" s="490"/>
      <c r="E118" s="171">
        <f t="shared" si="29"/>
        <v>0</v>
      </c>
      <c r="F118" s="418"/>
      <c r="G118" s="171">
        <f>E118+F118</f>
        <v>0</v>
      </c>
      <c r="H118" s="172">
        <f t="shared" si="30"/>
        <v>0</v>
      </c>
      <c r="I118" s="337"/>
      <c r="J118" s="168"/>
      <c r="K118" s="168"/>
      <c r="M118" s="364" t="e">
        <f t="shared" si="31"/>
        <v>#DIV/0!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490">
        <f>SUM(C114:C118)</f>
        <v>0</v>
      </c>
      <c r="D119" s="490">
        <f>SUM(D114:D118)</f>
        <v>0</v>
      </c>
      <c r="E119" s="171">
        <f t="shared" ref="E119:F119" si="32">SUM(E114:E118)</f>
        <v>0</v>
      </c>
      <c r="F119" s="171">
        <f t="shared" si="32"/>
        <v>0</v>
      </c>
      <c r="G119" s="171">
        <f>SUM(G114:G118)</f>
        <v>0</v>
      </c>
      <c r="H119" s="172">
        <f t="shared" si="30"/>
        <v>0</v>
      </c>
      <c r="I119" s="337"/>
      <c r="J119" s="168"/>
      <c r="K119" s="168"/>
      <c r="M119" s="364" t="e">
        <f t="shared" si="31"/>
        <v>#DIV/0!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422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425"/>
      <c r="G121" s="165"/>
      <c r="H121" s="198"/>
      <c r="I121" s="341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425"/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490"/>
      <c r="D123" s="490"/>
      <c r="E123" s="171">
        <f t="shared" ref="E123:E127" si="33">C123+D123</f>
        <v>0</v>
      </c>
      <c r="F123" s="418"/>
      <c r="G123" s="171">
        <f>E123+F123</f>
        <v>0</v>
      </c>
      <c r="H123" s="172">
        <f>IF($G$208=0,0,G123/$G$208)</f>
        <v>0</v>
      </c>
      <c r="I123" s="337"/>
      <c r="J123" s="183"/>
      <c r="K123" s="183"/>
      <c r="M123" s="364" t="e">
        <f t="shared" ref="M123:M160" si="34">G123/G$228</f>
        <v>#DIV/0!</v>
      </c>
      <c r="N123" s="359">
        <f>SUMMARY!J126</f>
        <v>0.77002560279620991</v>
      </c>
    </row>
    <row r="124" spans="1:14" s="167" customFormat="1">
      <c r="B124" s="163" t="s">
        <v>194</v>
      </c>
      <c r="C124" s="490"/>
      <c r="D124" s="490"/>
      <c r="E124" s="171">
        <f t="shared" si="33"/>
        <v>0</v>
      </c>
      <c r="F124" s="418"/>
      <c r="G124" s="171">
        <f>E124+F124</f>
        <v>0</v>
      </c>
      <c r="H124" s="172">
        <f>IF($G$208=0,0,G124/$G$208)</f>
        <v>0</v>
      </c>
      <c r="I124" s="337"/>
      <c r="J124" s="183"/>
      <c r="K124" s="183"/>
      <c r="M124" s="364" t="e">
        <f t="shared" si="34"/>
        <v>#DIV/0!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490"/>
      <c r="D125" s="490"/>
      <c r="E125" s="171">
        <f t="shared" si="33"/>
        <v>0</v>
      </c>
      <c r="F125" s="418"/>
      <c r="G125" s="171">
        <f>E125+F125</f>
        <v>0</v>
      </c>
      <c r="H125" s="172">
        <f>IF($G$208=0,0,G125/$G$208)</f>
        <v>0</v>
      </c>
      <c r="I125" s="337"/>
      <c r="J125" s="183"/>
      <c r="K125" s="183"/>
      <c r="M125" s="364" t="e">
        <f t="shared" si="34"/>
        <v>#DIV/0!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490"/>
      <c r="D126" s="490"/>
      <c r="E126" s="171">
        <f t="shared" si="33"/>
        <v>0</v>
      </c>
      <c r="F126" s="418"/>
      <c r="G126" s="171">
        <f>E126+F126</f>
        <v>0</v>
      </c>
      <c r="H126" s="172">
        <f>IF($G$208=0,0,G126/$G$208)</f>
        <v>0</v>
      </c>
      <c r="I126" s="337"/>
      <c r="J126" s="183"/>
      <c r="K126" s="183"/>
      <c r="M126" s="364" t="e">
        <f t="shared" si="34"/>
        <v>#DIV/0!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490"/>
      <c r="D127" s="490"/>
      <c r="E127" s="171">
        <f t="shared" si="33"/>
        <v>0</v>
      </c>
      <c r="F127" s="418"/>
      <c r="G127" s="171">
        <f>E127+F127</f>
        <v>0</v>
      </c>
      <c r="H127" s="172">
        <f>IF($G$208=0,0,G127/$G$208)</f>
        <v>0</v>
      </c>
      <c r="I127" s="337"/>
      <c r="J127" s="183"/>
      <c r="K127" s="183"/>
      <c r="M127" s="364" t="e">
        <f t="shared" si="34"/>
        <v>#DIV/0!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3"/>
      <c r="E128" s="205"/>
      <c r="F128" s="422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490"/>
      <c r="D129" s="490"/>
      <c r="E129" s="171">
        <f t="shared" ref="E129:E133" si="35">C129+D129</f>
        <v>0</v>
      </c>
      <c r="F129" s="418"/>
      <c r="G129" s="171">
        <f>E129+F129</f>
        <v>0</v>
      </c>
      <c r="H129" s="172">
        <f>IF($G$208=0,0,G129/$G$208)</f>
        <v>0</v>
      </c>
      <c r="I129" s="337"/>
      <c r="J129" s="204"/>
      <c r="K129" s="204"/>
      <c r="M129" s="364" t="e">
        <f t="shared" si="34"/>
        <v>#DIV/0!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490"/>
      <c r="D130" s="490"/>
      <c r="E130" s="171">
        <f t="shared" si="35"/>
        <v>0</v>
      </c>
      <c r="F130" s="418"/>
      <c r="G130" s="171">
        <f>E130+F130</f>
        <v>0</v>
      </c>
      <c r="H130" s="172">
        <f>IF($G$208=0,0,G130/$G$208)</f>
        <v>0</v>
      </c>
      <c r="I130" s="337"/>
      <c r="J130" s="204"/>
      <c r="K130" s="204"/>
      <c r="M130" s="364" t="e">
        <f t="shared" si="34"/>
        <v>#DIV/0!</v>
      </c>
      <c r="N130" s="359">
        <f>SUMMARY!J133</f>
        <v>1.0792348507966931</v>
      </c>
    </row>
    <row r="131" spans="1:14" s="167" customFormat="1">
      <c r="B131" s="163" t="s">
        <v>195</v>
      </c>
      <c r="C131" s="490"/>
      <c r="D131" s="490"/>
      <c r="E131" s="171">
        <f t="shared" si="35"/>
        <v>0</v>
      </c>
      <c r="F131" s="418"/>
      <c r="G131" s="171">
        <f>E131+F131</f>
        <v>0</v>
      </c>
      <c r="H131" s="172">
        <f>IF($G$208=0,0,G131/$G$208)</f>
        <v>0</v>
      </c>
      <c r="I131" s="337"/>
      <c r="J131" s="168"/>
      <c r="K131" s="168"/>
      <c r="M131" s="364" t="e">
        <f t="shared" si="34"/>
        <v>#DIV/0!</v>
      </c>
      <c r="N131" s="359">
        <f>SUMMARY!J134</f>
        <v>8.2765628075518377E-2</v>
      </c>
    </row>
    <row r="132" spans="1:14" s="167" customFormat="1">
      <c r="B132" s="163" t="s">
        <v>196</v>
      </c>
      <c r="C132" s="490"/>
      <c r="D132" s="490"/>
      <c r="E132" s="171">
        <f t="shared" si="35"/>
        <v>0</v>
      </c>
      <c r="F132" s="418"/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 t="e">
        <f t="shared" si="34"/>
        <v>#DIV/0!</v>
      </c>
      <c r="N132" s="359">
        <f>SUMMARY!J135</f>
        <v>2.4827298902786038E-2</v>
      </c>
    </row>
    <row r="133" spans="1:14" s="167" customFormat="1">
      <c r="B133" s="163" t="s">
        <v>197</v>
      </c>
      <c r="C133" s="490"/>
      <c r="D133" s="490"/>
      <c r="E133" s="171">
        <f t="shared" si="35"/>
        <v>0</v>
      </c>
      <c r="F133" s="418"/>
      <c r="G133" s="171">
        <f>E133+F133</f>
        <v>0</v>
      </c>
      <c r="H133" s="172">
        <f>IF($G$208=0,0,G133/$G$208)</f>
        <v>0</v>
      </c>
      <c r="I133" s="337"/>
      <c r="J133" s="168"/>
      <c r="K133" s="168"/>
      <c r="M133" s="364" t="e">
        <f t="shared" si="34"/>
        <v>#DIV/0!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422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490"/>
      <c r="D135" s="490"/>
      <c r="E135" s="171">
        <f t="shared" ref="E135:E138" si="36">C135+D135</f>
        <v>0</v>
      </c>
      <c r="F135" s="418"/>
      <c r="G135" s="171">
        <f>E135+F135</f>
        <v>0</v>
      </c>
      <c r="H135" s="172">
        <f>IF($G$208=0,0,G135/$G$208)</f>
        <v>0</v>
      </c>
      <c r="I135" s="337"/>
      <c r="J135" s="183"/>
      <c r="K135" s="183"/>
      <c r="M135" s="364" t="e">
        <f t="shared" si="34"/>
        <v>#DIV/0!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490"/>
      <c r="D136" s="490"/>
      <c r="E136" s="171">
        <f t="shared" si="36"/>
        <v>0</v>
      </c>
      <c r="F136" s="418"/>
      <c r="G136" s="171">
        <f>E136+F136</f>
        <v>0</v>
      </c>
      <c r="H136" s="172">
        <f>IF($G$208=0,0,G136/$G$208)</f>
        <v>0</v>
      </c>
      <c r="I136" s="337"/>
      <c r="J136" s="183"/>
      <c r="K136" s="183"/>
      <c r="M136" s="364" t="e">
        <f t="shared" si="34"/>
        <v>#DIV/0!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490"/>
      <c r="D137" s="490"/>
      <c r="E137" s="171">
        <f t="shared" si="36"/>
        <v>0</v>
      </c>
      <c r="F137" s="418"/>
      <c r="G137" s="171">
        <f>E137+F137</f>
        <v>0</v>
      </c>
      <c r="H137" s="172">
        <f>IF($G$208=0,0,G137/$G$208)</f>
        <v>0</v>
      </c>
      <c r="I137" s="337"/>
      <c r="J137" s="183"/>
      <c r="K137" s="183"/>
      <c r="M137" s="364" t="e">
        <f t="shared" si="34"/>
        <v>#DIV/0!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490"/>
      <c r="D138" s="490"/>
      <c r="E138" s="171">
        <f t="shared" si="36"/>
        <v>0</v>
      </c>
      <c r="F138" s="418"/>
      <c r="G138" s="171">
        <f>E138+F138</f>
        <v>0</v>
      </c>
      <c r="H138" s="172">
        <f>IF($G$208=0,0,G138/$G$208)</f>
        <v>0</v>
      </c>
      <c r="I138" s="337"/>
      <c r="J138" s="183"/>
      <c r="K138" s="183"/>
      <c r="M138" s="364" t="e">
        <f t="shared" si="34"/>
        <v>#DIV/0!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422"/>
      <c r="G139" s="196"/>
      <c r="H139" s="197"/>
      <c r="I139" s="337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490"/>
      <c r="D140" s="490"/>
      <c r="E140" s="171">
        <f t="shared" ref="E140:E143" si="37">C140+D140</f>
        <v>0</v>
      </c>
      <c r="F140" s="418"/>
      <c r="G140" s="171">
        <f>E140+F140</f>
        <v>0</v>
      </c>
      <c r="H140" s="172">
        <f>IF($G$208=0,0,G140/$G$208)</f>
        <v>0</v>
      </c>
      <c r="I140" s="337"/>
      <c r="J140" s="168"/>
      <c r="K140" s="168"/>
      <c r="M140" s="364" t="e">
        <f t="shared" si="34"/>
        <v>#DIV/0!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490"/>
      <c r="D141" s="490"/>
      <c r="E141" s="171">
        <f t="shared" si="37"/>
        <v>0</v>
      </c>
      <c r="F141" s="418"/>
      <c r="G141" s="171">
        <f>E141+F141</f>
        <v>0</v>
      </c>
      <c r="H141" s="172">
        <f>IF($G$208=0,0,G141/$G$208)</f>
        <v>0</v>
      </c>
      <c r="I141" s="337"/>
      <c r="J141" s="168"/>
      <c r="K141" s="168"/>
      <c r="M141" s="364" t="e">
        <f t="shared" si="34"/>
        <v>#DIV/0!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490"/>
      <c r="D142" s="490"/>
      <c r="E142" s="171">
        <f t="shared" si="37"/>
        <v>0</v>
      </c>
      <c r="F142" s="418"/>
      <c r="G142" s="171">
        <f>E142+F142</f>
        <v>0</v>
      </c>
      <c r="H142" s="172">
        <f>IF($G$208=0,0,G142/$G$208)</f>
        <v>0</v>
      </c>
      <c r="I142" s="337"/>
      <c r="J142" s="168"/>
      <c r="K142" s="168"/>
      <c r="M142" s="364" t="e">
        <f t="shared" si="34"/>
        <v>#DIV/0!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490"/>
      <c r="D143" s="490"/>
      <c r="E143" s="171">
        <f t="shared" si="37"/>
        <v>0</v>
      </c>
      <c r="F143" s="418"/>
      <c r="G143" s="171">
        <f>E143+F143</f>
        <v>0</v>
      </c>
      <c r="H143" s="172">
        <f>IF($G$208=0,0,G143/$G$208)</f>
        <v>0</v>
      </c>
      <c r="I143" s="337"/>
      <c r="J143" s="168"/>
      <c r="K143" s="168"/>
      <c r="M143" s="364" t="e">
        <f t="shared" si="34"/>
        <v>#DIV/0!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422"/>
      <c r="G144" s="196"/>
      <c r="H144" s="197"/>
      <c r="I144" s="337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490"/>
      <c r="D145" s="490"/>
      <c r="E145" s="171">
        <f t="shared" ref="E145:E153" si="38">C145+D145</f>
        <v>0</v>
      </c>
      <c r="F145" s="418"/>
      <c r="G145" s="171">
        <f t="shared" ref="G145:G153" si="39">E145+F145</f>
        <v>0</v>
      </c>
      <c r="H145" s="172">
        <f t="shared" ref="H145:H153" si="40">IF($G$208=0,0,G145/$G$208)</f>
        <v>0</v>
      </c>
      <c r="I145" s="337"/>
      <c r="J145" s="183"/>
      <c r="K145" s="183"/>
      <c r="M145" s="364" t="e">
        <f t="shared" si="34"/>
        <v>#DIV/0!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490"/>
      <c r="D146" s="490"/>
      <c r="E146" s="171">
        <f t="shared" si="38"/>
        <v>0</v>
      </c>
      <c r="F146" s="418"/>
      <c r="G146" s="171">
        <f t="shared" si="39"/>
        <v>0</v>
      </c>
      <c r="H146" s="172">
        <f t="shared" si="40"/>
        <v>0</v>
      </c>
      <c r="I146" s="337"/>
      <c r="J146" s="183"/>
      <c r="K146" s="183"/>
      <c r="M146" s="364" t="e">
        <f t="shared" si="34"/>
        <v>#DIV/0!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490"/>
      <c r="D147" s="490"/>
      <c r="E147" s="171">
        <f t="shared" si="38"/>
        <v>0</v>
      </c>
      <c r="F147" s="418"/>
      <c r="G147" s="171">
        <f t="shared" si="39"/>
        <v>0</v>
      </c>
      <c r="H147" s="172">
        <f t="shared" si="40"/>
        <v>0</v>
      </c>
      <c r="I147" s="337"/>
      <c r="J147" s="183"/>
      <c r="K147" s="183"/>
      <c r="M147" s="364" t="e">
        <f t="shared" si="34"/>
        <v>#DIV/0!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490"/>
      <c r="D148" s="490"/>
      <c r="E148" s="171">
        <f t="shared" si="38"/>
        <v>0</v>
      </c>
      <c r="F148" s="418"/>
      <c r="G148" s="171">
        <f t="shared" si="39"/>
        <v>0</v>
      </c>
      <c r="H148" s="172">
        <f t="shared" si="40"/>
        <v>0</v>
      </c>
      <c r="I148" s="337"/>
      <c r="J148" s="183"/>
      <c r="K148" s="183"/>
      <c r="M148" s="364" t="e">
        <f t="shared" si="34"/>
        <v>#DIV/0!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490"/>
      <c r="D149" s="490"/>
      <c r="E149" s="171">
        <f t="shared" si="38"/>
        <v>0</v>
      </c>
      <c r="F149" s="418"/>
      <c r="G149" s="171">
        <f t="shared" si="39"/>
        <v>0</v>
      </c>
      <c r="H149" s="172">
        <f t="shared" si="40"/>
        <v>0</v>
      </c>
      <c r="I149" s="337"/>
      <c r="J149" s="183"/>
      <c r="K149" s="183"/>
      <c r="M149" s="364" t="e">
        <f t="shared" si="34"/>
        <v>#DIV/0!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490"/>
      <c r="D150" s="490"/>
      <c r="E150" s="171">
        <f t="shared" si="38"/>
        <v>0</v>
      </c>
      <c r="F150" s="418"/>
      <c r="G150" s="171">
        <f t="shared" si="39"/>
        <v>0</v>
      </c>
      <c r="H150" s="172">
        <f t="shared" si="40"/>
        <v>0</v>
      </c>
      <c r="I150" s="337"/>
      <c r="J150" s="168"/>
      <c r="K150" s="168"/>
      <c r="M150" s="364" t="e">
        <f t="shared" si="34"/>
        <v>#DIV/0!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490"/>
      <c r="D151" s="490"/>
      <c r="E151" s="171">
        <f t="shared" si="38"/>
        <v>0</v>
      </c>
      <c r="F151" s="418"/>
      <c r="G151" s="171">
        <f t="shared" si="39"/>
        <v>0</v>
      </c>
      <c r="H151" s="172">
        <f t="shared" si="40"/>
        <v>0</v>
      </c>
      <c r="I151" s="337"/>
      <c r="J151" s="168"/>
      <c r="K151" s="168"/>
      <c r="M151" s="364" t="e">
        <f t="shared" si="34"/>
        <v>#DIV/0!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490"/>
      <c r="D152" s="490"/>
      <c r="E152" s="171">
        <f t="shared" si="38"/>
        <v>0</v>
      </c>
      <c r="F152" s="418"/>
      <c r="G152" s="171">
        <f t="shared" si="39"/>
        <v>0</v>
      </c>
      <c r="H152" s="172">
        <f t="shared" si="40"/>
        <v>0</v>
      </c>
      <c r="I152" s="337"/>
      <c r="J152" s="168"/>
      <c r="K152" s="168"/>
      <c r="M152" s="364" t="e">
        <f t="shared" si="34"/>
        <v>#DIV/0!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490"/>
      <c r="D153" s="490"/>
      <c r="E153" s="171">
        <f t="shared" si="38"/>
        <v>0</v>
      </c>
      <c r="F153" s="418"/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 t="e">
        <f t="shared" si="34"/>
        <v>#DIV/0!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210"/>
      <c r="D154" s="210"/>
      <c r="E154" s="210"/>
      <c r="F154" s="423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490"/>
      <c r="D155" s="490"/>
      <c r="E155" s="171">
        <f t="shared" ref="E155:E160" si="41">C155+D155</f>
        <v>0</v>
      </c>
      <c r="F155" s="418"/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 t="e">
        <f t="shared" si="34"/>
        <v>#DIV/0!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490"/>
      <c r="D156" s="490"/>
      <c r="E156" s="171">
        <f t="shared" si="41"/>
        <v>0</v>
      </c>
      <c r="F156" s="418"/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 t="e">
        <f t="shared" si="34"/>
        <v>#DIV/0!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490"/>
      <c r="D157" s="490"/>
      <c r="E157" s="171">
        <f t="shared" si="41"/>
        <v>0</v>
      </c>
      <c r="F157" s="418"/>
      <c r="G157" s="171">
        <f t="shared" si="42"/>
        <v>0</v>
      </c>
      <c r="H157" s="172">
        <f t="shared" si="43"/>
        <v>0</v>
      </c>
      <c r="I157" s="337"/>
      <c r="J157" s="168"/>
      <c r="K157" s="168"/>
      <c r="M157" s="364" t="e">
        <f t="shared" si="34"/>
        <v>#DIV/0!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490"/>
      <c r="D158" s="490"/>
      <c r="E158" s="171">
        <f t="shared" si="41"/>
        <v>0</v>
      </c>
      <c r="F158" s="418"/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 t="e">
        <f t="shared" si="34"/>
        <v>#DIV/0!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490"/>
      <c r="D159" s="490"/>
      <c r="E159" s="171">
        <f t="shared" si="41"/>
        <v>0</v>
      </c>
      <c r="F159" s="418"/>
      <c r="G159" s="171">
        <f t="shared" si="42"/>
        <v>0</v>
      </c>
      <c r="H159" s="172">
        <f>IF($G$208=0,0,G159/$G$208)</f>
        <v>0</v>
      </c>
      <c r="I159" s="337"/>
      <c r="J159" s="168"/>
      <c r="K159" s="168"/>
      <c r="M159" s="364" t="e">
        <f t="shared" si="34"/>
        <v>#DIV/0!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490"/>
      <c r="D160" s="490"/>
      <c r="E160" s="171">
        <f t="shared" si="41"/>
        <v>0</v>
      </c>
      <c r="F160" s="418"/>
      <c r="G160" s="171">
        <f t="shared" si="42"/>
        <v>0</v>
      </c>
      <c r="H160" s="172">
        <f t="shared" si="43"/>
        <v>0</v>
      </c>
      <c r="I160" s="337"/>
      <c r="J160" s="168"/>
      <c r="K160" s="168"/>
      <c r="M160" s="364" t="e">
        <f t="shared" si="34"/>
        <v>#DIV/0!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490">
        <f>SUM(C123:C160)</f>
        <v>0</v>
      </c>
      <c r="D161" s="490">
        <f>SUM(D123:D160)</f>
        <v>0</v>
      </c>
      <c r="E161" s="171">
        <f t="shared" ref="E161:F161" si="44">SUM(E123:E160)</f>
        <v>0</v>
      </c>
      <c r="F161" s="171">
        <f t="shared" si="44"/>
        <v>0</v>
      </c>
      <c r="G161" s="171">
        <f>SUM(G123:G160)</f>
        <v>0</v>
      </c>
      <c r="H161" s="172">
        <f t="shared" si="43"/>
        <v>0</v>
      </c>
      <c r="I161" s="337"/>
      <c r="J161" s="168"/>
      <c r="K161" s="168"/>
      <c r="M161" s="364" t="e">
        <f>G161/G$228</f>
        <v>#DIV/0!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422"/>
      <c r="G162" s="196"/>
      <c r="H162" s="197"/>
      <c r="I162" s="337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437"/>
      <c r="G163" s="213"/>
      <c r="H163" s="214"/>
      <c r="I163" s="337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490"/>
      <c r="D164" s="490"/>
      <c r="E164" s="171">
        <f t="shared" ref="E164:E196" si="45">C164+D164</f>
        <v>0</v>
      </c>
      <c r="F164" s="424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/>
      <c r="K164" s="217"/>
      <c r="L164" s="218"/>
      <c r="M164" s="364" t="e">
        <f>G164/G$228</f>
        <v>#DIV/0!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490"/>
      <c r="D165" s="490"/>
      <c r="E165" s="171">
        <f t="shared" si="45"/>
        <v>0</v>
      </c>
      <c r="F165" s="424"/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8"/>
      <c r="M165" s="364" t="e">
        <f t="shared" ref="M165:M196" si="48">G165/G$228</f>
        <v>#DIV/0!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490"/>
      <c r="D166" s="490"/>
      <c r="E166" s="171">
        <f t="shared" si="45"/>
        <v>0</v>
      </c>
      <c r="F166" s="424"/>
      <c r="G166" s="171">
        <f t="shared" si="46"/>
        <v>0</v>
      </c>
      <c r="H166" s="172">
        <f t="shared" si="47"/>
        <v>0</v>
      </c>
      <c r="I166" s="343"/>
      <c r="J166" s="217"/>
      <c r="K166" s="217"/>
      <c r="L166" s="218"/>
      <c r="M166" s="364" t="e">
        <f t="shared" si="48"/>
        <v>#DIV/0!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490"/>
      <c r="D167" s="490"/>
      <c r="E167" s="171">
        <f t="shared" si="45"/>
        <v>0</v>
      </c>
      <c r="F167" s="424"/>
      <c r="G167" s="171">
        <f t="shared" si="46"/>
        <v>0</v>
      </c>
      <c r="H167" s="172">
        <f t="shared" si="47"/>
        <v>0</v>
      </c>
      <c r="I167" s="344"/>
      <c r="J167" s="222"/>
      <c r="K167" s="222"/>
      <c r="L167" s="218"/>
      <c r="M167" s="364" t="e">
        <f t="shared" si="48"/>
        <v>#DIV/0!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490"/>
      <c r="D168" s="490"/>
      <c r="E168" s="171">
        <f t="shared" si="45"/>
        <v>0</v>
      </c>
      <c r="F168" s="424"/>
      <c r="G168" s="171">
        <f t="shared" si="46"/>
        <v>0</v>
      </c>
      <c r="H168" s="172">
        <f t="shared" si="47"/>
        <v>0</v>
      </c>
      <c r="I168" s="343"/>
      <c r="J168" s="217"/>
      <c r="K168" s="217"/>
      <c r="L168" s="218"/>
      <c r="M168" s="364" t="e">
        <f t="shared" si="48"/>
        <v>#DIV/0!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490"/>
      <c r="D169" s="490"/>
      <c r="E169" s="171">
        <f t="shared" si="45"/>
        <v>0</v>
      </c>
      <c r="F169" s="424"/>
      <c r="G169" s="171">
        <f t="shared" si="46"/>
        <v>0</v>
      </c>
      <c r="H169" s="172">
        <f t="shared" si="47"/>
        <v>0</v>
      </c>
      <c r="I169" s="344"/>
      <c r="J169" s="222"/>
      <c r="K169" s="222"/>
      <c r="L169" s="218"/>
      <c r="M169" s="364" t="e">
        <f t="shared" si="48"/>
        <v>#DIV/0!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490"/>
      <c r="D170" s="490"/>
      <c r="E170" s="171">
        <f t="shared" si="45"/>
        <v>0</v>
      </c>
      <c r="F170" s="424"/>
      <c r="G170" s="171">
        <f t="shared" si="46"/>
        <v>0</v>
      </c>
      <c r="H170" s="172">
        <f t="shared" si="47"/>
        <v>0</v>
      </c>
      <c r="I170" s="343"/>
      <c r="J170" s="217"/>
      <c r="K170" s="217"/>
      <c r="L170" s="218"/>
      <c r="M170" s="364" t="e">
        <f t="shared" si="48"/>
        <v>#DIV/0!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490"/>
      <c r="D171" s="490"/>
      <c r="E171" s="171">
        <f t="shared" si="45"/>
        <v>0</v>
      </c>
      <c r="F171" s="424"/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18"/>
      <c r="M171" s="364" t="e">
        <f t="shared" si="48"/>
        <v>#DIV/0!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490"/>
      <c r="D172" s="490"/>
      <c r="E172" s="171">
        <f t="shared" si="45"/>
        <v>0</v>
      </c>
      <c r="F172" s="424"/>
      <c r="G172" s="171">
        <f t="shared" si="46"/>
        <v>0</v>
      </c>
      <c r="H172" s="172">
        <f t="shared" si="47"/>
        <v>0</v>
      </c>
      <c r="I172" s="343"/>
      <c r="J172" s="217"/>
      <c r="K172" s="217"/>
      <c r="L172" s="218"/>
      <c r="M172" s="364" t="e">
        <f t="shared" si="48"/>
        <v>#DIV/0!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490"/>
      <c r="D173" s="490"/>
      <c r="E173" s="171">
        <f t="shared" si="45"/>
        <v>0</v>
      </c>
      <c r="F173" s="424"/>
      <c r="G173" s="171">
        <f t="shared" si="46"/>
        <v>0</v>
      </c>
      <c r="H173" s="172">
        <f t="shared" si="47"/>
        <v>0</v>
      </c>
      <c r="I173" s="344"/>
      <c r="J173" s="222"/>
      <c r="K173" s="222"/>
      <c r="L173" s="218"/>
      <c r="M173" s="364" t="e">
        <f t="shared" si="48"/>
        <v>#DIV/0!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490"/>
      <c r="D174" s="490"/>
      <c r="E174" s="171">
        <f t="shared" si="45"/>
        <v>0</v>
      </c>
      <c r="F174" s="424"/>
      <c r="G174" s="171">
        <f t="shared" si="46"/>
        <v>0</v>
      </c>
      <c r="H174" s="172">
        <f t="shared" si="47"/>
        <v>0</v>
      </c>
      <c r="I174" s="343"/>
      <c r="J174" s="217"/>
      <c r="K174" s="217"/>
      <c r="L174" s="218"/>
      <c r="M174" s="364" t="e">
        <f t="shared" si="48"/>
        <v>#DIV/0!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490"/>
      <c r="D175" s="490"/>
      <c r="E175" s="171">
        <f t="shared" si="45"/>
        <v>0</v>
      </c>
      <c r="F175" s="424"/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 t="e">
        <f t="shared" si="48"/>
        <v>#DIV/0!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490"/>
      <c r="D176" s="490"/>
      <c r="E176" s="171">
        <f t="shared" si="45"/>
        <v>0</v>
      </c>
      <c r="F176" s="424"/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 t="e">
        <f t="shared" si="48"/>
        <v>#DIV/0!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490"/>
      <c r="D177" s="490"/>
      <c r="E177" s="171">
        <f t="shared" si="45"/>
        <v>0</v>
      </c>
      <c r="F177" s="424"/>
      <c r="G177" s="171">
        <f t="shared" si="46"/>
        <v>0</v>
      </c>
      <c r="H177" s="172">
        <f t="shared" si="47"/>
        <v>0</v>
      </c>
      <c r="I177" s="337"/>
      <c r="J177" s="223"/>
      <c r="K177" s="218"/>
      <c r="L177" s="220"/>
      <c r="M177" s="364" t="e">
        <f t="shared" si="48"/>
        <v>#DIV/0!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490"/>
      <c r="D178" s="490"/>
      <c r="E178" s="171">
        <f t="shared" si="45"/>
        <v>0</v>
      </c>
      <c r="F178" s="424"/>
      <c r="G178" s="171">
        <f t="shared" si="46"/>
        <v>0</v>
      </c>
      <c r="H178" s="172">
        <f t="shared" si="47"/>
        <v>0</v>
      </c>
      <c r="I178" s="337"/>
      <c r="J178" s="223"/>
      <c r="K178" s="218"/>
      <c r="L178" s="220"/>
      <c r="M178" s="364" t="e">
        <f t="shared" si="48"/>
        <v>#DIV/0!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490"/>
      <c r="D179" s="490"/>
      <c r="E179" s="171">
        <f t="shared" si="45"/>
        <v>0</v>
      </c>
      <c r="F179" s="424"/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 t="e">
        <f t="shared" si="48"/>
        <v>#DIV/0!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490"/>
      <c r="D180" s="490"/>
      <c r="E180" s="171">
        <f t="shared" si="45"/>
        <v>0</v>
      </c>
      <c r="F180" s="424"/>
      <c r="G180" s="171">
        <f t="shared" si="46"/>
        <v>0</v>
      </c>
      <c r="H180" s="172">
        <f t="shared" si="47"/>
        <v>0</v>
      </c>
      <c r="I180" s="337"/>
      <c r="J180" s="223"/>
      <c r="K180" s="218"/>
      <c r="L180" s="220"/>
      <c r="M180" s="364" t="e">
        <f t="shared" si="48"/>
        <v>#DIV/0!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490"/>
      <c r="D181" s="490"/>
      <c r="E181" s="171">
        <f t="shared" si="45"/>
        <v>0</v>
      </c>
      <c r="F181" s="424"/>
      <c r="G181" s="171">
        <f t="shared" si="46"/>
        <v>0</v>
      </c>
      <c r="H181" s="172">
        <f t="shared" si="47"/>
        <v>0</v>
      </c>
      <c r="I181" s="337"/>
      <c r="J181" s="223"/>
      <c r="K181" s="218"/>
      <c r="L181" s="220"/>
      <c r="M181" s="364" t="e">
        <f t="shared" si="48"/>
        <v>#DIV/0!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490"/>
      <c r="D182" s="490"/>
      <c r="E182" s="171">
        <f t="shared" si="45"/>
        <v>0</v>
      </c>
      <c r="F182" s="424"/>
      <c r="G182" s="171">
        <f t="shared" si="46"/>
        <v>0</v>
      </c>
      <c r="H182" s="172">
        <f t="shared" si="47"/>
        <v>0</v>
      </c>
      <c r="I182" s="337"/>
      <c r="J182" s="223"/>
      <c r="K182" s="218"/>
      <c r="L182" s="220"/>
      <c r="M182" s="364" t="e">
        <f t="shared" si="48"/>
        <v>#DIV/0!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490"/>
      <c r="D183" s="490"/>
      <c r="E183" s="171">
        <f t="shared" si="45"/>
        <v>0</v>
      </c>
      <c r="F183" s="424"/>
      <c r="G183" s="171">
        <f t="shared" si="46"/>
        <v>0</v>
      </c>
      <c r="H183" s="172">
        <f t="shared" si="47"/>
        <v>0</v>
      </c>
      <c r="I183" s="337"/>
      <c r="J183" s="223"/>
      <c r="K183" s="218"/>
      <c r="M183" s="364" t="e">
        <f t="shared" si="48"/>
        <v>#DIV/0!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490"/>
      <c r="D184" s="490"/>
      <c r="E184" s="171">
        <f t="shared" si="45"/>
        <v>0</v>
      </c>
      <c r="F184" s="424"/>
      <c r="G184" s="171">
        <f t="shared" si="46"/>
        <v>0</v>
      </c>
      <c r="H184" s="172">
        <f t="shared" si="47"/>
        <v>0</v>
      </c>
      <c r="I184" s="337"/>
      <c r="J184" s="223"/>
      <c r="K184" s="218"/>
      <c r="M184" s="364" t="e">
        <f t="shared" si="48"/>
        <v>#DIV/0!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490"/>
      <c r="D185" s="490"/>
      <c r="E185" s="171">
        <f t="shared" si="45"/>
        <v>0</v>
      </c>
      <c r="F185" s="424"/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 t="e">
        <f t="shared" si="48"/>
        <v>#DIV/0!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490"/>
      <c r="D186" s="490"/>
      <c r="E186" s="171">
        <f t="shared" si="45"/>
        <v>0</v>
      </c>
      <c r="F186" s="424"/>
      <c r="G186" s="171">
        <f t="shared" si="46"/>
        <v>0</v>
      </c>
      <c r="H186" s="172">
        <f t="shared" si="47"/>
        <v>0</v>
      </c>
      <c r="I186" s="337"/>
      <c r="J186" s="223"/>
      <c r="K186" s="218"/>
      <c r="M186" s="364" t="e">
        <f t="shared" si="48"/>
        <v>#DIV/0!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490"/>
      <c r="D187" s="490"/>
      <c r="E187" s="171">
        <f t="shared" si="45"/>
        <v>0</v>
      </c>
      <c r="F187" s="424"/>
      <c r="G187" s="171">
        <f t="shared" si="46"/>
        <v>0</v>
      </c>
      <c r="H187" s="172">
        <f t="shared" si="47"/>
        <v>0</v>
      </c>
      <c r="I187" s="337"/>
      <c r="J187" s="223"/>
      <c r="K187" s="218"/>
      <c r="M187" s="364" t="e">
        <f t="shared" si="48"/>
        <v>#DIV/0!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490"/>
      <c r="D188" s="490"/>
      <c r="E188" s="171">
        <f t="shared" si="45"/>
        <v>0</v>
      </c>
      <c r="F188" s="424"/>
      <c r="G188" s="171">
        <f t="shared" si="46"/>
        <v>0</v>
      </c>
      <c r="H188" s="172">
        <f t="shared" si="47"/>
        <v>0</v>
      </c>
      <c r="I188" s="337"/>
      <c r="J188" s="223"/>
      <c r="K188" s="218"/>
      <c r="M188" s="364" t="e">
        <f t="shared" si="48"/>
        <v>#DIV/0!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490"/>
      <c r="D189" s="490"/>
      <c r="E189" s="171">
        <f t="shared" si="45"/>
        <v>0</v>
      </c>
      <c r="F189" s="424"/>
      <c r="G189" s="171">
        <f t="shared" si="46"/>
        <v>0</v>
      </c>
      <c r="H189" s="172">
        <f t="shared" si="47"/>
        <v>0</v>
      </c>
      <c r="I189" s="337"/>
      <c r="J189" s="223"/>
      <c r="K189" s="218"/>
      <c r="M189" s="364" t="e">
        <f t="shared" si="48"/>
        <v>#DIV/0!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490"/>
      <c r="D190" s="490"/>
      <c r="E190" s="171">
        <f t="shared" si="45"/>
        <v>0</v>
      </c>
      <c r="F190" s="424"/>
      <c r="G190" s="171">
        <f t="shared" si="46"/>
        <v>0</v>
      </c>
      <c r="H190" s="172">
        <f t="shared" si="47"/>
        <v>0</v>
      </c>
      <c r="I190" s="337"/>
      <c r="J190" s="223"/>
      <c r="K190" s="218"/>
      <c r="M190" s="364" t="e">
        <f t="shared" si="48"/>
        <v>#DIV/0!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490"/>
      <c r="D191" s="490"/>
      <c r="E191" s="171">
        <f t="shared" si="45"/>
        <v>0</v>
      </c>
      <c r="F191" s="424"/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 t="e">
        <f t="shared" si="48"/>
        <v>#DIV/0!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490"/>
      <c r="D192" s="490"/>
      <c r="E192" s="171">
        <f t="shared" si="45"/>
        <v>0</v>
      </c>
      <c r="F192" s="424"/>
      <c r="G192" s="171">
        <f t="shared" si="46"/>
        <v>0</v>
      </c>
      <c r="H192" s="172">
        <f t="shared" si="47"/>
        <v>0</v>
      </c>
      <c r="I192" s="337"/>
      <c r="J192" s="223"/>
      <c r="K192" s="218"/>
      <c r="M192" s="364" t="e">
        <f t="shared" si="48"/>
        <v>#DIV/0!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490"/>
      <c r="D193" s="490"/>
      <c r="E193" s="171">
        <f t="shared" si="45"/>
        <v>0</v>
      </c>
      <c r="F193" s="424"/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 t="e">
        <f t="shared" si="48"/>
        <v>#DIV/0!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490"/>
      <c r="D194" s="490"/>
      <c r="E194" s="171">
        <f t="shared" si="45"/>
        <v>0</v>
      </c>
      <c r="F194" s="424"/>
      <c r="G194" s="171">
        <f t="shared" si="46"/>
        <v>0</v>
      </c>
      <c r="H194" s="172">
        <f t="shared" si="47"/>
        <v>0</v>
      </c>
      <c r="I194" s="337"/>
      <c r="J194" s="223"/>
      <c r="K194" s="218"/>
      <c r="M194" s="364" t="e">
        <f t="shared" si="48"/>
        <v>#DIV/0!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490"/>
      <c r="D195" s="490"/>
      <c r="E195" s="171">
        <f t="shared" si="45"/>
        <v>0</v>
      </c>
      <c r="F195" s="424"/>
      <c r="G195" s="171">
        <f t="shared" si="46"/>
        <v>0</v>
      </c>
      <c r="H195" s="172">
        <f t="shared" si="47"/>
        <v>0</v>
      </c>
      <c r="I195" s="337"/>
      <c r="J195" s="223"/>
      <c r="K195" s="218"/>
      <c r="M195" s="364" t="e">
        <f t="shared" si="48"/>
        <v>#DIV/0!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490"/>
      <c r="D196" s="490"/>
      <c r="E196" s="171">
        <f t="shared" si="45"/>
        <v>0</v>
      </c>
      <c r="F196" s="424"/>
      <c r="G196" s="171">
        <f t="shared" si="46"/>
        <v>0</v>
      </c>
      <c r="H196" s="172">
        <f t="shared" si="47"/>
        <v>0</v>
      </c>
      <c r="I196" s="337"/>
      <c r="J196" s="223"/>
      <c r="K196" s="218"/>
      <c r="M196" s="364" t="e">
        <f t="shared" si="48"/>
        <v>#DIV/0!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490">
        <f>SUM(C164:C196)</f>
        <v>0</v>
      </c>
      <c r="D197" s="490">
        <f>SUM(D164:D196)</f>
        <v>0</v>
      </c>
      <c r="E197" s="171">
        <f t="shared" ref="E197:F197" si="49">SUM(E164:E196)</f>
        <v>0</v>
      </c>
      <c r="F197" s="171">
        <f t="shared" si="49"/>
        <v>0</v>
      </c>
      <c r="G197" s="171">
        <f>SUM(G164:G196)</f>
        <v>0</v>
      </c>
      <c r="H197" s="172">
        <f>IF($G$208=0,0,G197/$G$208)</f>
        <v>0</v>
      </c>
      <c r="I197" s="337"/>
      <c r="J197" s="168"/>
      <c r="K197" s="168"/>
      <c r="M197" s="364" t="e">
        <f>G197/G$228</f>
        <v>#DIV/0!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425"/>
      <c r="G198" s="165"/>
      <c r="H198" s="198"/>
      <c r="I198" s="341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425"/>
      <c r="G199" s="165"/>
      <c r="H199" s="198"/>
      <c r="I199" s="341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490"/>
      <c r="D200" s="490"/>
      <c r="E200" s="171">
        <f t="shared" ref="E200:E205" si="50">C200+D200</f>
        <v>0</v>
      </c>
      <c r="F200" s="418"/>
      <c r="G200" s="171">
        <f t="shared" ref="G200:G205" si="51">E200+F200</f>
        <v>0</v>
      </c>
      <c r="H200" s="172">
        <f t="shared" ref="H200:H206" si="52">IF($G$208=0,0,G200/$G$208)</f>
        <v>0</v>
      </c>
      <c r="I200" s="337"/>
      <c r="J200" s="183"/>
      <c r="K200" s="183"/>
      <c r="M200" s="364" t="e">
        <f t="shared" ref="M200:M205" si="53">G200/G$228</f>
        <v>#DIV/0!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490"/>
      <c r="D201" s="490"/>
      <c r="E201" s="171">
        <f t="shared" si="50"/>
        <v>0</v>
      </c>
      <c r="F201" s="418"/>
      <c r="G201" s="171">
        <f t="shared" si="51"/>
        <v>0</v>
      </c>
      <c r="H201" s="172">
        <f t="shared" si="52"/>
        <v>0</v>
      </c>
      <c r="I201" s="337"/>
      <c r="J201" s="168"/>
      <c r="K201" s="168"/>
      <c r="M201" s="364" t="e">
        <f t="shared" si="53"/>
        <v>#DIV/0!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490"/>
      <c r="D202" s="490"/>
      <c r="E202" s="171">
        <f t="shared" si="50"/>
        <v>0</v>
      </c>
      <c r="F202" s="418"/>
      <c r="G202" s="171">
        <f t="shared" si="51"/>
        <v>0</v>
      </c>
      <c r="H202" s="172">
        <f t="shared" si="52"/>
        <v>0</v>
      </c>
      <c r="I202" s="337"/>
      <c r="J202" s="168"/>
      <c r="K202" s="168"/>
      <c r="M202" s="364" t="e">
        <f t="shared" si="53"/>
        <v>#DIV/0!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490"/>
      <c r="D203" s="490"/>
      <c r="E203" s="171">
        <f t="shared" si="50"/>
        <v>0</v>
      </c>
      <c r="F203" s="418"/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 t="e">
        <f t="shared" si="53"/>
        <v>#DIV/0!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490"/>
      <c r="D204" s="490"/>
      <c r="E204" s="171">
        <f t="shared" si="50"/>
        <v>0</v>
      </c>
      <c r="F204" s="418"/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 t="e">
        <f t="shared" si="53"/>
        <v>#DIV/0!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490"/>
      <c r="D205" s="490"/>
      <c r="E205" s="171">
        <f t="shared" si="50"/>
        <v>0</v>
      </c>
      <c r="F205" s="418"/>
      <c r="G205" s="171">
        <f t="shared" si="51"/>
        <v>0</v>
      </c>
      <c r="H205" s="172">
        <f t="shared" si="52"/>
        <v>0</v>
      </c>
      <c r="I205" s="337"/>
      <c r="J205" s="168"/>
      <c r="K205" s="168"/>
      <c r="M205" s="364" t="e">
        <f t="shared" si="53"/>
        <v>#DIV/0!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490">
        <f>SUM(C200:C205)</f>
        <v>0</v>
      </c>
      <c r="D206" s="490">
        <f>SUM(D200:D205)</f>
        <v>0</v>
      </c>
      <c r="E206" s="171">
        <f t="shared" ref="E206:F206" si="54">SUM(E200:E205)</f>
        <v>0</v>
      </c>
      <c r="F206" s="171">
        <f t="shared" si="54"/>
        <v>0</v>
      </c>
      <c r="G206" s="171">
        <f>SUM(G200:G205)</f>
        <v>0</v>
      </c>
      <c r="H206" s="172">
        <f t="shared" si="52"/>
        <v>0</v>
      </c>
      <c r="I206" s="337"/>
      <c r="J206" s="168"/>
      <c r="K206" s="168"/>
      <c r="M206" s="364" t="e">
        <f>G206/G$228</f>
        <v>#DIV/0!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425"/>
      <c r="G207" s="165"/>
      <c r="H207" s="198"/>
      <c r="I207" s="341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490">
        <f>SUM(C25:C206)/2</f>
        <v>0</v>
      </c>
      <c r="D208" s="490">
        <f>SUM(D25:D206)/2</f>
        <v>0</v>
      </c>
      <c r="E208" s="171">
        <f t="shared" ref="E208:F208" si="55">SUM(E25:E206)/2</f>
        <v>0</v>
      </c>
      <c r="F208" s="171">
        <f t="shared" si="55"/>
        <v>0</v>
      </c>
      <c r="G208" s="171">
        <f>SUM(G25:G206)/2</f>
        <v>0</v>
      </c>
      <c r="H208" s="172">
        <f>IF($G$208=0,0,G208/$G$208)</f>
        <v>0</v>
      </c>
      <c r="I208" s="337"/>
      <c r="J208" s="183">
        <f>SUM(J25:J200)</f>
        <v>0</v>
      </c>
      <c r="K208" s="183">
        <f>SUM(K25:K200)</f>
        <v>0</v>
      </c>
      <c r="M208" s="364" t="e">
        <f>G208/G$228</f>
        <v>#DIV/0!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490"/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490">
        <f>C208-C211</f>
        <v>0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231"/>
      <c r="D213" s="232"/>
      <c r="E213" s="232"/>
      <c r="F213" s="426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42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490">
        <f>C21-C208</f>
        <v>0</v>
      </c>
      <c r="D215" s="490">
        <f>D21-D208</f>
        <v>0</v>
      </c>
      <c r="E215" s="171">
        <f t="shared" ref="E215:F215" si="56">E21-E208</f>
        <v>0</v>
      </c>
      <c r="F215" s="171">
        <f t="shared" si="56"/>
        <v>0</v>
      </c>
      <c r="G215" s="171">
        <f>G21-G208</f>
        <v>0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422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422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42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491"/>
      <c r="D219" s="491"/>
      <c r="E219" s="235">
        <f t="shared" ref="E219:G227" si="57">C219+D219</f>
        <v>0</v>
      </c>
      <c r="F219" s="427"/>
      <c r="G219" s="235">
        <f t="shared" si="57"/>
        <v>0</v>
      </c>
      <c r="H219" s="172">
        <f t="shared" ref="H219:H228" si="58">IF($G$228=0,0,G219/$G$228)</f>
        <v>0</v>
      </c>
      <c r="I219" s="337"/>
      <c r="J219" s="168"/>
      <c r="K219" s="168"/>
    </row>
    <row r="220" spans="1:14">
      <c r="A220" s="163"/>
      <c r="B220" s="170" t="s">
        <v>217</v>
      </c>
      <c r="C220" s="491"/>
      <c r="D220" s="491"/>
      <c r="E220" s="235">
        <f t="shared" ref="E220:E227" si="59">C220+D220</f>
        <v>0</v>
      </c>
      <c r="F220" s="427"/>
      <c r="G220" s="235">
        <f t="shared" si="57"/>
        <v>0</v>
      </c>
      <c r="H220" s="172">
        <f t="shared" si="58"/>
        <v>0</v>
      </c>
      <c r="I220" s="337"/>
      <c r="J220" s="168"/>
      <c r="K220" s="168"/>
    </row>
    <row r="221" spans="1:14">
      <c r="A221" s="163"/>
      <c r="B221" s="170" t="s">
        <v>72</v>
      </c>
      <c r="C221" s="491"/>
      <c r="D221" s="491"/>
      <c r="E221" s="235">
        <f t="shared" si="59"/>
        <v>0</v>
      </c>
      <c r="F221" s="427"/>
      <c r="G221" s="235">
        <f t="shared" si="57"/>
        <v>0</v>
      </c>
      <c r="H221" s="172">
        <f t="shared" si="58"/>
        <v>0</v>
      </c>
      <c r="I221" s="337"/>
      <c r="J221" s="168"/>
      <c r="K221" s="168"/>
    </row>
    <row r="222" spans="1:14">
      <c r="A222" s="163"/>
      <c r="B222" s="202" t="s">
        <v>334</v>
      </c>
      <c r="C222" s="491"/>
      <c r="D222" s="491"/>
      <c r="E222" s="235">
        <f>C222+D222</f>
        <v>0</v>
      </c>
      <c r="F222" s="427"/>
      <c r="G222" s="235">
        <f>E222+F222</f>
        <v>0</v>
      </c>
      <c r="H222" s="172">
        <f t="shared" si="58"/>
        <v>0</v>
      </c>
      <c r="I222" s="337"/>
      <c r="J222" s="168"/>
      <c r="K222" s="168"/>
    </row>
    <row r="223" spans="1:14">
      <c r="A223" s="163"/>
      <c r="B223" s="170" t="s">
        <v>73</v>
      </c>
      <c r="C223" s="491"/>
      <c r="D223" s="491"/>
      <c r="E223" s="235">
        <f t="shared" si="59"/>
        <v>0</v>
      </c>
      <c r="F223" s="427"/>
      <c r="G223" s="235">
        <f t="shared" si="57"/>
        <v>0</v>
      </c>
      <c r="H223" s="172">
        <f t="shared" si="58"/>
        <v>0</v>
      </c>
      <c r="I223" s="337"/>
      <c r="J223" s="168"/>
      <c r="K223" s="168"/>
    </row>
    <row r="224" spans="1:14">
      <c r="A224" s="163"/>
      <c r="B224" s="170" t="s">
        <v>74</v>
      </c>
      <c r="C224" s="491"/>
      <c r="D224" s="491"/>
      <c r="E224" s="235">
        <f t="shared" si="59"/>
        <v>0</v>
      </c>
      <c r="F224" s="427"/>
      <c r="G224" s="235">
        <f t="shared" si="57"/>
        <v>0</v>
      </c>
      <c r="H224" s="172">
        <f t="shared" si="58"/>
        <v>0</v>
      </c>
      <c r="I224" s="337"/>
      <c r="J224" s="168"/>
      <c r="K224" s="168"/>
    </row>
    <row r="225" spans="1:11">
      <c r="A225" s="163"/>
      <c r="B225" s="170" t="s">
        <v>236</v>
      </c>
      <c r="C225" s="491"/>
      <c r="D225" s="491"/>
      <c r="E225" s="235">
        <f t="shared" si="59"/>
        <v>0</v>
      </c>
      <c r="F225" s="427"/>
      <c r="G225" s="235">
        <f t="shared" si="57"/>
        <v>0</v>
      </c>
      <c r="H225" s="172">
        <f t="shared" si="58"/>
        <v>0</v>
      </c>
      <c r="I225" s="337"/>
      <c r="J225" s="168"/>
      <c r="K225" s="168"/>
    </row>
    <row r="226" spans="1:11">
      <c r="A226" s="163"/>
      <c r="B226" s="170" t="s">
        <v>235</v>
      </c>
      <c r="C226" s="491"/>
      <c r="D226" s="491"/>
      <c r="E226" s="235">
        <f>C226+D226</f>
        <v>0</v>
      </c>
      <c r="F226" s="427"/>
      <c r="G226" s="235">
        <f>E226+F226</f>
        <v>0</v>
      </c>
      <c r="H226" s="172">
        <f t="shared" si="58"/>
        <v>0</v>
      </c>
      <c r="I226" s="337"/>
      <c r="J226" s="168"/>
      <c r="K226" s="168"/>
    </row>
    <row r="227" spans="1:11">
      <c r="A227" s="163"/>
      <c r="B227" s="170" t="s">
        <v>179</v>
      </c>
      <c r="C227" s="491"/>
      <c r="D227" s="491"/>
      <c r="E227" s="235">
        <f t="shared" si="59"/>
        <v>0</v>
      </c>
      <c r="F227" s="427"/>
      <c r="G227" s="235">
        <f t="shared" si="57"/>
        <v>0</v>
      </c>
      <c r="H227" s="172">
        <f t="shared" si="58"/>
        <v>0</v>
      </c>
      <c r="I227" s="337"/>
      <c r="J227" s="168"/>
      <c r="K227" s="168"/>
    </row>
    <row r="228" spans="1:11" ht="13.5" thickBot="1">
      <c r="A228" s="163"/>
      <c r="B228" s="236" t="s">
        <v>75</v>
      </c>
      <c r="C228" s="491">
        <f>SUM(C219:C227)</f>
        <v>0</v>
      </c>
      <c r="D228" s="491">
        <f>SUM(D219:D227)</f>
        <v>0</v>
      </c>
      <c r="E228" s="237">
        <f>SUM(E219:E227)</f>
        <v>0</v>
      </c>
      <c r="F228" s="428">
        <f>SUM(F219:F227)</f>
        <v>0</v>
      </c>
      <c r="G228" s="237">
        <f>SUM(G219:G227)</f>
        <v>0</v>
      </c>
      <c r="H228" s="172">
        <f t="shared" si="58"/>
        <v>0</v>
      </c>
      <c r="I228" s="337"/>
      <c r="J228" s="168"/>
      <c r="K228" s="168"/>
    </row>
    <row r="229" spans="1:11" ht="13.5" thickTop="1">
      <c r="A229" s="163"/>
      <c r="B229" s="167"/>
      <c r="C229" s="238"/>
      <c r="D229" s="239"/>
      <c r="E229" s="232"/>
      <c r="F229" s="431"/>
      <c r="G229" s="232"/>
      <c r="H229" s="167"/>
      <c r="J229" s="168"/>
      <c r="K229" s="168"/>
    </row>
    <row r="230" spans="1:11">
      <c r="A230" s="163"/>
      <c r="B230" s="233" t="s">
        <v>160</v>
      </c>
      <c r="C230" s="231"/>
      <c r="D230" s="232"/>
      <c r="E230" s="232"/>
      <c r="F230" s="426"/>
      <c r="G230" s="232"/>
      <c r="H230" s="167"/>
      <c r="J230" s="168"/>
      <c r="K230" s="168"/>
    </row>
    <row r="231" spans="1:11">
      <c r="A231" s="163"/>
      <c r="B231" s="202" t="s">
        <v>219</v>
      </c>
      <c r="C231" s="492"/>
      <c r="D231" s="526"/>
      <c r="E231" s="235">
        <f>C231+D231</f>
        <v>0</v>
      </c>
      <c r="F231" s="432"/>
      <c r="G231" s="235">
        <f>E231+F231</f>
        <v>0</v>
      </c>
      <c r="H231" s="167"/>
      <c r="J231" s="168"/>
      <c r="K231" s="168"/>
    </row>
    <row r="232" spans="1:11">
      <c r="A232" s="163"/>
      <c r="B232" s="202" t="s">
        <v>290</v>
      </c>
      <c r="C232" s="492"/>
      <c r="D232" s="526"/>
      <c r="E232" s="235">
        <f>C232+D232</f>
        <v>0</v>
      </c>
      <c r="F232" s="432"/>
      <c r="G232" s="235">
        <f>E232+F232</f>
        <v>0</v>
      </c>
      <c r="H232" s="167"/>
      <c r="J232" s="168"/>
      <c r="K232" s="168"/>
    </row>
    <row r="233" spans="1:11">
      <c r="A233" s="163"/>
      <c r="B233" s="202" t="s">
        <v>76</v>
      </c>
      <c r="C233" s="492">
        <f>$C$4-$C$3+1</f>
        <v>365</v>
      </c>
      <c r="D233" s="489"/>
      <c r="E233" s="235">
        <f>C233+D233</f>
        <v>365</v>
      </c>
      <c r="F233" s="429"/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242"/>
      <c r="D234" s="240"/>
      <c r="E234" s="242"/>
      <c r="F234" s="429"/>
      <c r="G234" s="243"/>
      <c r="H234" s="167"/>
      <c r="J234" s="168"/>
      <c r="K234" s="168"/>
    </row>
    <row r="235" spans="1:11" ht="26">
      <c r="A235" s="163"/>
      <c r="B235" s="244" t="s">
        <v>335</v>
      </c>
      <c r="C235" s="492"/>
      <c r="D235" s="489"/>
      <c r="E235" s="234">
        <f>E231*E233</f>
        <v>0</v>
      </c>
      <c r="F235" s="429"/>
      <c r="G235" s="234">
        <f>G231*G233</f>
        <v>0</v>
      </c>
      <c r="H235" s="167"/>
      <c r="J235" s="168"/>
      <c r="K235" s="168"/>
    </row>
    <row r="236" spans="1:11" ht="26">
      <c r="A236" s="163"/>
      <c r="B236" s="244" t="s">
        <v>336</v>
      </c>
      <c r="C236" s="493"/>
      <c r="D236" s="240"/>
      <c r="E236" s="245" t="e">
        <f>E228/E235</f>
        <v>#DIV/0!</v>
      </c>
      <c r="F236" s="433"/>
      <c r="G236" s="245" t="e">
        <f>G228/G235</f>
        <v>#DIV/0!</v>
      </c>
      <c r="H236" s="167"/>
      <c r="J236" s="168"/>
      <c r="K236" s="168"/>
    </row>
    <row r="237" spans="1:11" ht="26">
      <c r="A237" s="163"/>
      <c r="B237" s="244" t="s">
        <v>337</v>
      </c>
      <c r="C237" s="493"/>
      <c r="D237" s="240"/>
      <c r="E237" s="245" t="e">
        <f>(E219+E220)/E235</f>
        <v>#DIV/0!</v>
      </c>
      <c r="F237" s="433"/>
      <c r="G237" s="245" t="e">
        <f>(G219+G220)/G235</f>
        <v>#DIV/0!</v>
      </c>
      <c r="H237" s="167"/>
      <c r="J237" s="168"/>
      <c r="K237" s="168"/>
    </row>
    <row r="238" spans="1:11" ht="26">
      <c r="A238" s="163"/>
      <c r="B238" s="244" t="s">
        <v>338</v>
      </c>
      <c r="C238" s="493"/>
      <c r="D238" s="240"/>
      <c r="E238" s="245" t="e">
        <f>(E237/E236)</f>
        <v>#DIV/0!</v>
      </c>
      <c r="F238" s="433"/>
      <c r="G238" s="245" t="e">
        <f>(G237/G236)</f>
        <v>#DIV/0!</v>
      </c>
      <c r="H238" s="167"/>
      <c r="J238" s="168"/>
      <c r="K238" s="168"/>
    </row>
    <row r="241" spans="2:7">
      <c r="B241" s="148" t="s">
        <v>339</v>
      </c>
      <c r="F241" s="412" t="s">
        <v>340</v>
      </c>
      <c r="G241" s="490"/>
    </row>
    <row r="242" spans="2:7">
      <c r="F242" s="412" t="s">
        <v>341</v>
      </c>
      <c r="G242" s="490"/>
    </row>
    <row r="243" spans="2:7">
      <c r="F243" s="412" t="s">
        <v>342</v>
      </c>
      <c r="G243" s="490"/>
    </row>
    <row r="244" spans="2:7">
      <c r="F244" s="412" t="s">
        <v>343</v>
      </c>
      <c r="G244" s="490"/>
    </row>
    <row r="245" spans="2:7">
      <c r="F245" s="412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F4" sqref="F4"/>
      <pageMargins left="0" right="0" top="0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7">
    <tabColor rgb="FFE28CAB"/>
  </sheetPr>
  <dimension ref="A1:Q245"/>
  <sheetViews>
    <sheetView showGridLines="0" topLeftCell="A214" zoomScale="90" zoomScaleNormal="90" workbookViewId="0">
      <selection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478"/>
      <c r="D1" s="478"/>
      <c r="E1" s="478"/>
      <c r="F1" s="478"/>
      <c r="G1" s="478"/>
      <c r="H1" s="478"/>
      <c r="I1" s="479"/>
    </row>
    <row r="2" spans="1:14" ht="23">
      <c r="B2" s="143" t="s">
        <v>189</v>
      </c>
      <c r="C2" s="247" t="s">
        <v>464</v>
      </c>
      <c r="D2" s="247"/>
      <c r="E2" s="144"/>
    </row>
    <row r="3" spans="1:14" ht="15.5">
      <c r="A3" s="145"/>
      <c r="B3" s="140" t="s">
        <v>79</v>
      </c>
      <c r="C3" s="495">
        <v>41821</v>
      </c>
      <c r="D3"/>
      <c r="E3"/>
      <c r="F3"/>
      <c r="G3"/>
      <c r="H3"/>
      <c r="I3"/>
      <c r="J3"/>
      <c r="K3"/>
      <c r="L3"/>
    </row>
    <row r="4" spans="1:14" ht="15.5">
      <c r="A4" s="145"/>
      <c r="B4" s="148" t="s">
        <v>80</v>
      </c>
      <c r="C4" s="495">
        <v>42185</v>
      </c>
      <c r="D4"/>
      <c r="E4"/>
      <c r="F4"/>
      <c r="G4" s="150"/>
    </row>
    <row r="5" spans="1:14" ht="15.5">
      <c r="A5" s="145"/>
      <c r="B5" s="148"/>
      <c r="C5" s="151"/>
      <c r="D5" s="144"/>
      <c r="F5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434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/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144"/>
      <c r="G9" s="144"/>
    </row>
    <row r="10" spans="1:14" s="167" customFormat="1" ht="16" thickBot="1">
      <c r="A10" s="163" t="s">
        <v>245</v>
      </c>
      <c r="B10" s="164" t="s">
        <v>246</v>
      </c>
      <c r="C10"/>
      <c r="D10"/>
      <c r="E10" s="165"/>
      <c r="F10"/>
      <c r="G10"/>
      <c r="H10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490"/>
      <c r="D11" s="490"/>
      <c r="E11" s="171">
        <f>C11+D11</f>
        <v>0</v>
      </c>
      <c r="F11" s="573"/>
      <c r="G11" s="171">
        <f t="shared" ref="G11:G20" si="0">E11+F11</f>
        <v>0</v>
      </c>
      <c r="H11" s="172">
        <f t="shared" ref="H11:H21" si="1">IF($G$21=0,0,G11/$G$21)</f>
        <v>0</v>
      </c>
      <c r="I11" s="337"/>
      <c r="J11" s="368" t="s">
        <v>344</v>
      </c>
      <c r="K11" s="369">
        <f>G21</f>
        <v>0</v>
      </c>
      <c r="M11" s="359">
        <f>IFERROR(G11/G219,0)</f>
        <v>0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490"/>
      <c r="D12" s="490"/>
      <c r="E12" s="171">
        <f t="shared" ref="E12:E20" si="2">C12+D12</f>
        <v>0</v>
      </c>
      <c r="F12" s="573"/>
      <c r="G12" s="171">
        <f t="shared" si="0"/>
        <v>0</v>
      </c>
      <c r="H12" s="172">
        <f t="shared" si="1"/>
        <v>0</v>
      </c>
      <c r="I12" s="337"/>
      <c r="J12" s="370" t="s">
        <v>345</v>
      </c>
      <c r="K12" s="371">
        <f>G208</f>
        <v>0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490"/>
      <c r="D13" s="490"/>
      <c r="E13" s="171">
        <f t="shared" si="2"/>
        <v>0</v>
      </c>
      <c r="F13" s="573"/>
      <c r="G13" s="171">
        <f t="shared" si="0"/>
        <v>0</v>
      </c>
      <c r="H13" s="172">
        <f t="shared" si="1"/>
        <v>0</v>
      </c>
      <c r="I13" s="337"/>
      <c r="J13" s="370" t="s">
        <v>346</v>
      </c>
      <c r="K13" s="371">
        <f>G228</f>
        <v>0</v>
      </c>
      <c r="M13" s="359">
        <f t="shared" si="3"/>
        <v>0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490"/>
      <c r="D14" s="490"/>
      <c r="E14" s="171">
        <f t="shared" si="2"/>
        <v>0</v>
      </c>
      <c r="F14" s="573"/>
      <c r="G14" s="175">
        <f t="shared" si="0"/>
        <v>0</v>
      </c>
      <c r="H14" s="176">
        <f t="shared" si="1"/>
        <v>0</v>
      </c>
      <c r="I14" s="338"/>
      <c r="J14" s="370" t="s">
        <v>347</v>
      </c>
      <c r="K14" s="371">
        <f>G231</f>
        <v>0</v>
      </c>
      <c r="M14" s="359">
        <f t="shared" si="3"/>
        <v>0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490"/>
      <c r="D15" s="490"/>
      <c r="E15" s="171">
        <f t="shared" si="2"/>
        <v>0</v>
      </c>
      <c r="F15" s="573"/>
      <c r="G15" s="171">
        <f t="shared" si="0"/>
        <v>0</v>
      </c>
      <c r="H15" s="172">
        <f t="shared" si="1"/>
        <v>0</v>
      </c>
      <c r="I15" s="337"/>
      <c r="J15" s="370" t="s">
        <v>348</v>
      </c>
      <c r="K15" s="371">
        <f>G235</f>
        <v>0</v>
      </c>
      <c r="M15" s="359">
        <f t="shared" si="3"/>
        <v>0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490"/>
      <c r="D16" s="490"/>
      <c r="E16" s="171">
        <f t="shared" si="2"/>
        <v>0</v>
      </c>
      <c r="F16" s="573"/>
      <c r="G16" s="171">
        <f t="shared" si="0"/>
        <v>0</v>
      </c>
      <c r="H16" s="172">
        <f t="shared" si="1"/>
        <v>0</v>
      </c>
      <c r="I16" s="337"/>
      <c r="J16" s="372"/>
      <c r="K16" s="371"/>
      <c r="M16" s="359">
        <f t="shared" si="3"/>
        <v>0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490"/>
      <c r="D17" s="490"/>
      <c r="E17" s="171">
        <f t="shared" si="2"/>
        <v>0</v>
      </c>
      <c r="F17" s="573"/>
      <c r="G17" s="171">
        <f t="shared" si="0"/>
        <v>0</v>
      </c>
      <c r="H17" s="172">
        <f t="shared" si="1"/>
        <v>0</v>
      </c>
      <c r="I17" s="337"/>
      <c r="J17" s="370" t="s">
        <v>156</v>
      </c>
      <c r="K17" s="371">
        <f>J208</f>
        <v>0</v>
      </c>
      <c r="M17" s="359">
        <f t="shared" si="3"/>
        <v>0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490"/>
      <c r="D18" s="490"/>
      <c r="E18" s="171">
        <f t="shared" si="2"/>
        <v>0</v>
      </c>
      <c r="F18" s="573"/>
      <c r="G18" s="171">
        <f t="shared" si="0"/>
        <v>0</v>
      </c>
      <c r="H18" s="172">
        <f t="shared" si="1"/>
        <v>0</v>
      </c>
      <c r="I18" s="337"/>
      <c r="J18" s="373" t="s">
        <v>252</v>
      </c>
      <c r="K18" s="374">
        <f>K208</f>
        <v>0</v>
      </c>
      <c r="M18" s="359">
        <f t="shared" si="3"/>
        <v>0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490"/>
      <c r="D19" s="490"/>
      <c r="E19" s="171">
        <f t="shared" si="2"/>
        <v>0</v>
      </c>
      <c r="F19" s="573"/>
      <c r="G19" s="171">
        <f t="shared" si="0"/>
        <v>0</v>
      </c>
      <c r="H19" s="172">
        <f t="shared" si="1"/>
        <v>0</v>
      </c>
      <c r="I19" s="337"/>
      <c r="J19" s="168"/>
      <c r="K19" s="168"/>
      <c r="M19" s="359">
        <f t="shared" si="3"/>
        <v>0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490"/>
      <c r="D20" s="490"/>
      <c r="E20" s="171">
        <f t="shared" si="2"/>
        <v>0</v>
      </c>
      <c r="F20" s="573"/>
      <c r="G20" s="171">
        <f t="shared" si="0"/>
        <v>0</v>
      </c>
      <c r="H20" s="172">
        <f t="shared" si="1"/>
        <v>0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490">
        <f>SUM(C11:C20)</f>
        <v>0</v>
      </c>
      <c r="D21" s="490">
        <f>SUM(D11:D20)</f>
        <v>0</v>
      </c>
      <c r="E21" s="171">
        <f>SUM(E11:E20)</f>
        <v>0</v>
      </c>
      <c r="F21" s="573">
        <f>SUM(F11:F20)</f>
        <v>0</v>
      </c>
      <c r="G21" s="171">
        <f>SUM(G11:G20)</f>
        <v>0</v>
      </c>
      <c r="H21" s="172">
        <f t="shared" si="1"/>
        <v>0</v>
      </c>
      <c r="I21" s="337"/>
      <c r="J21" s="168"/>
      <c r="K21" s="168"/>
      <c r="M21" s="359">
        <f>IFERROR(G21/G228,0)</f>
        <v>0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4">
      <c r="A24" s="181" t="s">
        <v>161</v>
      </c>
      <c r="B24" s="148" t="s">
        <v>12</v>
      </c>
      <c r="M24" s="363"/>
      <c r="N24" s="363"/>
    </row>
    <row r="25" spans="1:14" s="167" customFormat="1">
      <c r="A25" s="169" t="s">
        <v>83</v>
      </c>
      <c r="B25" s="170" t="s">
        <v>14</v>
      </c>
      <c r="C25" s="490"/>
      <c r="D25" s="490"/>
      <c r="E25" s="171">
        <f t="shared" ref="E25:E60" si="4">C25+D25</f>
        <v>0</v>
      </c>
      <c r="F25" s="573"/>
      <c r="G25" s="182">
        <f t="shared" ref="G25:G60" si="5">E25+F25</f>
        <v>0</v>
      </c>
      <c r="H25" s="172">
        <f>IF($G$208=0,0,G25/$G$208)</f>
        <v>0</v>
      </c>
      <c r="I25" s="337"/>
      <c r="J25" s="183"/>
      <c r="K25" s="183"/>
      <c r="M25" s="359" t="e">
        <f>G25/G$228</f>
        <v>#DIV/0!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490"/>
      <c r="D26" s="490"/>
      <c r="E26" s="171">
        <f t="shared" si="4"/>
        <v>0</v>
      </c>
      <c r="F26" s="573"/>
      <c r="G26" s="171">
        <f t="shared" si="5"/>
        <v>0</v>
      </c>
      <c r="H26" s="184">
        <f t="shared" ref="H26:H61" si="6">IF($G$208=0,0,G26/$G$208)</f>
        <v>0</v>
      </c>
      <c r="I26" s="337"/>
      <c r="J26" s="183"/>
      <c r="K26" s="183"/>
      <c r="M26" s="359" t="e">
        <f t="shared" ref="M26:M60" si="7">G26/G$228</f>
        <v>#DIV/0!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490"/>
      <c r="D27" s="490"/>
      <c r="E27" s="171">
        <f t="shared" si="4"/>
        <v>0</v>
      </c>
      <c r="F27" s="573"/>
      <c r="G27" s="171">
        <f t="shared" si="5"/>
        <v>0</v>
      </c>
      <c r="H27" s="172">
        <f t="shared" si="6"/>
        <v>0</v>
      </c>
      <c r="I27" s="337"/>
      <c r="J27" s="185"/>
      <c r="K27" s="185"/>
      <c r="M27" s="359" t="e">
        <f t="shared" si="7"/>
        <v>#DIV/0!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490"/>
      <c r="D28" s="490"/>
      <c r="E28" s="171">
        <f t="shared" si="4"/>
        <v>0</v>
      </c>
      <c r="F28" s="573"/>
      <c r="G28" s="171">
        <f t="shared" si="5"/>
        <v>0</v>
      </c>
      <c r="H28" s="172">
        <f t="shared" si="6"/>
        <v>0</v>
      </c>
      <c r="I28" s="337"/>
      <c r="J28" s="168"/>
      <c r="K28" s="168"/>
      <c r="M28" s="359" t="e">
        <f t="shared" si="7"/>
        <v>#DIV/0!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490"/>
      <c r="D29" s="490"/>
      <c r="E29" s="171">
        <f t="shared" si="4"/>
        <v>0</v>
      </c>
      <c r="F29" s="573"/>
      <c r="G29" s="171">
        <f t="shared" si="5"/>
        <v>0</v>
      </c>
      <c r="H29" s="172">
        <f t="shared" si="6"/>
        <v>0</v>
      </c>
      <c r="I29" s="337"/>
      <c r="J29" s="168"/>
      <c r="K29" s="168"/>
      <c r="M29" s="359" t="e">
        <f t="shared" si="7"/>
        <v>#DIV/0!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490"/>
      <c r="D30" s="490"/>
      <c r="E30" s="171">
        <f t="shared" si="4"/>
        <v>0</v>
      </c>
      <c r="F30" s="573"/>
      <c r="G30" s="171">
        <f t="shared" si="5"/>
        <v>0</v>
      </c>
      <c r="H30" s="172">
        <f t="shared" si="6"/>
        <v>0</v>
      </c>
      <c r="I30" s="337"/>
      <c r="J30" s="168"/>
      <c r="K30" s="168"/>
      <c r="M30" s="359" t="e">
        <f t="shared" si="7"/>
        <v>#DIV/0!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490"/>
      <c r="D31" s="490"/>
      <c r="E31" s="171">
        <f t="shared" si="4"/>
        <v>0</v>
      </c>
      <c r="F31" s="573"/>
      <c r="G31" s="171">
        <f t="shared" si="5"/>
        <v>0</v>
      </c>
      <c r="H31" s="172">
        <f t="shared" si="6"/>
        <v>0</v>
      </c>
      <c r="I31" s="337"/>
      <c r="J31" s="168"/>
      <c r="K31" s="168"/>
      <c r="M31" s="359" t="e">
        <f t="shared" si="7"/>
        <v>#DIV/0!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490"/>
      <c r="D32" s="490"/>
      <c r="E32" s="171">
        <f t="shared" si="4"/>
        <v>0</v>
      </c>
      <c r="F32" s="573"/>
      <c r="G32" s="171">
        <f t="shared" si="5"/>
        <v>0</v>
      </c>
      <c r="H32" s="172">
        <f t="shared" si="6"/>
        <v>0</v>
      </c>
      <c r="I32" s="337"/>
      <c r="J32" s="168"/>
      <c r="K32" s="168"/>
      <c r="M32" s="359" t="e">
        <f t="shared" si="7"/>
        <v>#DIV/0!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490"/>
      <c r="D33" s="490"/>
      <c r="E33" s="171">
        <f t="shared" si="4"/>
        <v>0</v>
      </c>
      <c r="F33" s="573"/>
      <c r="G33" s="171">
        <f t="shared" si="5"/>
        <v>0</v>
      </c>
      <c r="H33" s="172">
        <f t="shared" si="6"/>
        <v>0</v>
      </c>
      <c r="I33" s="337"/>
      <c r="J33" s="168"/>
      <c r="K33" s="168"/>
      <c r="M33" s="359" t="e">
        <f t="shared" si="7"/>
        <v>#DIV/0!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490"/>
      <c r="D34" s="490"/>
      <c r="E34" s="171">
        <f t="shared" si="4"/>
        <v>0</v>
      </c>
      <c r="F34" s="573"/>
      <c r="G34" s="171">
        <f t="shared" si="5"/>
        <v>0</v>
      </c>
      <c r="H34" s="172">
        <f t="shared" si="6"/>
        <v>0</v>
      </c>
      <c r="I34" s="337"/>
      <c r="J34" s="168"/>
      <c r="K34" s="168"/>
      <c r="M34" s="359" t="e">
        <f t="shared" si="7"/>
        <v>#DIV/0!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490"/>
      <c r="D35" s="490"/>
      <c r="E35" s="171">
        <f t="shared" si="4"/>
        <v>0</v>
      </c>
      <c r="F35" s="573"/>
      <c r="G35" s="171">
        <f t="shared" si="5"/>
        <v>0</v>
      </c>
      <c r="H35" s="172">
        <f t="shared" si="6"/>
        <v>0</v>
      </c>
      <c r="I35" s="337"/>
      <c r="J35" s="168"/>
      <c r="K35" s="168"/>
      <c r="M35" s="359" t="e">
        <f t="shared" si="7"/>
        <v>#DIV/0!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490"/>
      <c r="D36" s="490"/>
      <c r="E36" s="171">
        <f t="shared" si="4"/>
        <v>0</v>
      </c>
      <c r="F36" s="573"/>
      <c r="G36" s="171">
        <f t="shared" si="5"/>
        <v>0</v>
      </c>
      <c r="H36" s="172">
        <f t="shared" si="6"/>
        <v>0</v>
      </c>
      <c r="I36" s="337"/>
      <c r="J36" s="168"/>
      <c r="K36" s="168"/>
      <c r="M36" s="359" t="e">
        <f t="shared" si="7"/>
        <v>#DIV/0!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490"/>
      <c r="D37" s="490"/>
      <c r="E37" s="171">
        <f t="shared" si="4"/>
        <v>0</v>
      </c>
      <c r="F37" s="573"/>
      <c r="G37" s="171">
        <f t="shared" si="5"/>
        <v>0</v>
      </c>
      <c r="H37" s="172">
        <f t="shared" si="6"/>
        <v>0</v>
      </c>
      <c r="I37" s="337"/>
      <c r="J37" s="168"/>
      <c r="K37" s="168"/>
      <c r="M37" s="359" t="e">
        <f t="shared" si="7"/>
        <v>#DIV/0!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490"/>
      <c r="D38" s="490"/>
      <c r="E38" s="171">
        <f t="shared" si="4"/>
        <v>0</v>
      </c>
      <c r="F38" s="573"/>
      <c r="G38" s="171">
        <f t="shared" si="5"/>
        <v>0</v>
      </c>
      <c r="H38" s="172">
        <f t="shared" si="6"/>
        <v>0</v>
      </c>
      <c r="I38" s="337"/>
      <c r="J38" s="168"/>
      <c r="K38" s="168"/>
      <c r="M38" s="359" t="e">
        <f t="shared" si="7"/>
        <v>#DIV/0!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490"/>
      <c r="D39" s="490"/>
      <c r="E39" s="171">
        <f t="shared" si="4"/>
        <v>0</v>
      </c>
      <c r="F39" s="573"/>
      <c r="G39" s="171">
        <f t="shared" si="5"/>
        <v>0</v>
      </c>
      <c r="H39" s="172">
        <f t="shared" si="6"/>
        <v>0</v>
      </c>
      <c r="I39" s="337"/>
      <c r="J39" s="168"/>
      <c r="K39" s="168"/>
      <c r="M39" s="359" t="e">
        <f t="shared" si="7"/>
        <v>#DIV/0!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490"/>
      <c r="D40" s="490"/>
      <c r="E40" s="171">
        <f t="shared" si="4"/>
        <v>0</v>
      </c>
      <c r="F40" s="573"/>
      <c r="G40" s="171">
        <f t="shared" si="5"/>
        <v>0</v>
      </c>
      <c r="H40" s="172">
        <f t="shared" si="6"/>
        <v>0</v>
      </c>
      <c r="I40" s="337"/>
      <c r="J40" s="168"/>
      <c r="K40" s="168"/>
      <c r="M40" s="359" t="e">
        <f t="shared" si="7"/>
        <v>#DIV/0!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490"/>
      <c r="D41" s="490"/>
      <c r="E41" s="171">
        <f t="shared" si="4"/>
        <v>0</v>
      </c>
      <c r="F41" s="573"/>
      <c r="G41" s="171">
        <f t="shared" si="5"/>
        <v>0</v>
      </c>
      <c r="H41" s="172">
        <f t="shared" si="6"/>
        <v>0</v>
      </c>
      <c r="I41" s="337"/>
      <c r="J41" s="168"/>
      <c r="K41" s="168"/>
      <c r="M41" s="359" t="e">
        <f t="shared" si="7"/>
        <v>#DIV/0!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490"/>
      <c r="D42" s="490"/>
      <c r="E42" s="171">
        <f t="shared" si="4"/>
        <v>0</v>
      </c>
      <c r="F42" s="573"/>
      <c r="G42" s="171">
        <f t="shared" si="5"/>
        <v>0</v>
      </c>
      <c r="H42" s="172">
        <f t="shared" si="6"/>
        <v>0</v>
      </c>
      <c r="I42" s="337"/>
      <c r="J42" s="168"/>
      <c r="K42" s="168"/>
      <c r="M42" s="359" t="e">
        <f t="shared" si="7"/>
        <v>#DIV/0!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490"/>
      <c r="D43" s="490"/>
      <c r="E43" s="171">
        <f t="shared" si="4"/>
        <v>0</v>
      </c>
      <c r="F43" s="573"/>
      <c r="G43" s="171">
        <f t="shared" si="5"/>
        <v>0</v>
      </c>
      <c r="H43" s="172">
        <f t="shared" si="6"/>
        <v>0</v>
      </c>
      <c r="I43" s="337"/>
      <c r="J43" s="168"/>
      <c r="K43" s="168"/>
      <c r="M43" s="359" t="e">
        <f t="shared" si="7"/>
        <v>#DIV/0!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490"/>
      <c r="D44" s="490"/>
      <c r="E44" s="171">
        <f t="shared" si="4"/>
        <v>0</v>
      </c>
      <c r="F44" s="573"/>
      <c r="G44" s="171">
        <f t="shared" si="5"/>
        <v>0</v>
      </c>
      <c r="H44" s="172">
        <f t="shared" si="6"/>
        <v>0</v>
      </c>
      <c r="I44" s="337"/>
      <c r="J44" s="168"/>
      <c r="K44" s="168"/>
      <c r="M44" s="359" t="e">
        <f t="shared" si="7"/>
        <v>#DIV/0!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490"/>
      <c r="D45" s="490"/>
      <c r="E45" s="171">
        <f t="shared" si="4"/>
        <v>0</v>
      </c>
      <c r="F45" s="573"/>
      <c r="G45" s="171">
        <f t="shared" si="5"/>
        <v>0</v>
      </c>
      <c r="H45" s="172">
        <f t="shared" si="6"/>
        <v>0</v>
      </c>
      <c r="I45" s="337"/>
      <c r="J45" s="168"/>
      <c r="K45" s="168"/>
      <c r="M45" s="359" t="e">
        <f t="shared" si="7"/>
        <v>#DIV/0!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490"/>
      <c r="D46" s="490"/>
      <c r="E46" s="171">
        <f t="shared" si="4"/>
        <v>0</v>
      </c>
      <c r="F46" s="573"/>
      <c r="G46" s="171">
        <f t="shared" si="5"/>
        <v>0</v>
      </c>
      <c r="H46" s="172">
        <f t="shared" si="6"/>
        <v>0</v>
      </c>
      <c r="I46" s="337"/>
      <c r="J46" s="168"/>
      <c r="K46" s="168"/>
      <c r="M46" s="359" t="e">
        <f t="shared" si="7"/>
        <v>#DIV/0!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490"/>
      <c r="D47" s="490"/>
      <c r="E47" s="171">
        <f t="shared" si="4"/>
        <v>0</v>
      </c>
      <c r="F47" s="573"/>
      <c r="G47" s="171">
        <f t="shared" si="5"/>
        <v>0</v>
      </c>
      <c r="H47" s="172">
        <f t="shared" si="6"/>
        <v>0</v>
      </c>
      <c r="I47" s="337"/>
      <c r="J47" s="168"/>
      <c r="K47" s="168"/>
      <c r="M47" s="359" t="e">
        <f t="shared" si="7"/>
        <v>#DIV/0!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490"/>
      <c r="D48" s="490"/>
      <c r="E48" s="171">
        <f t="shared" si="4"/>
        <v>0</v>
      </c>
      <c r="F48" s="573"/>
      <c r="G48" s="171">
        <f t="shared" si="5"/>
        <v>0</v>
      </c>
      <c r="H48" s="172">
        <f t="shared" si="6"/>
        <v>0</v>
      </c>
      <c r="I48" s="337"/>
      <c r="J48" s="168"/>
      <c r="K48" s="168"/>
      <c r="M48" s="359" t="e">
        <f t="shared" si="7"/>
        <v>#DIV/0!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490"/>
      <c r="D49" s="490"/>
      <c r="E49" s="171">
        <f t="shared" si="4"/>
        <v>0</v>
      </c>
      <c r="F49" s="573"/>
      <c r="G49" s="171">
        <f t="shared" si="5"/>
        <v>0</v>
      </c>
      <c r="H49" s="172">
        <f t="shared" si="6"/>
        <v>0</v>
      </c>
      <c r="I49" s="337"/>
      <c r="J49" s="168"/>
      <c r="K49" s="168"/>
      <c r="M49" s="359" t="e">
        <f t="shared" si="7"/>
        <v>#DIV/0!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490"/>
      <c r="D50" s="490"/>
      <c r="E50" s="171">
        <f t="shared" si="4"/>
        <v>0</v>
      </c>
      <c r="F50" s="573"/>
      <c r="G50" s="171">
        <f t="shared" si="5"/>
        <v>0</v>
      </c>
      <c r="H50" s="172">
        <f t="shared" si="6"/>
        <v>0</v>
      </c>
      <c r="I50" s="337"/>
      <c r="J50" s="168"/>
      <c r="K50" s="168"/>
      <c r="M50" s="359" t="e">
        <f t="shared" si="7"/>
        <v>#DIV/0!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490"/>
      <c r="D51" s="490"/>
      <c r="E51" s="171">
        <f t="shared" si="4"/>
        <v>0</v>
      </c>
      <c r="F51" s="573"/>
      <c r="G51" s="171">
        <f t="shared" si="5"/>
        <v>0</v>
      </c>
      <c r="H51" s="172">
        <f t="shared" si="6"/>
        <v>0</v>
      </c>
      <c r="I51" s="337"/>
      <c r="J51" s="183"/>
      <c r="K51" s="183"/>
      <c r="M51" s="359" t="e">
        <f t="shared" si="7"/>
        <v>#DIV/0!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490"/>
      <c r="D52" s="490"/>
      <c r="E52" s="171">
        <f t="shared" si="4"/>
        <v>0</v>
      </c>
      <c r="F52" s="573"/>
      <c r="G52" s="171">
        <f t="shared" si="5"/>
        <v>0</v>
      </c>
      <c r="H52" s="172">
        <f t="shared" si="6"/>
        <v>0</v>
      </c>
      <c r="I52" s="337"/>
      <c r="J52" s="168"/>
      <c r="K52" s="168"/>
      <c r="M52" s="359" t="e">
        <f t="shared" si="7"/>
        <v>#DIV/0!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490"/>
      <c r="D53" s="490"/>
      <c r="E53" s="171">
        <f t="shared" si="4"/>
        <v>0</v>
      </c>
      <c r="F53" s="573"/>
      <c r="G53" s="171">
        <f t="shared" si="5"/>
        <v>0</v>
      </c>
      <c r="H53" s="172">
        <f t="shared" si="6"/>
        <v>0</v>
      </c>
      <c r="I53" s="337"/>
      <c r="J53" s="168"/>
      <c r="K53" s="168"/>
      <c r="M53" s="359" t="e">
        <f t="shared" si="7"/>
        <v>#DIV/0!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490"/>
      <c r="D54" s="490"/>
      <c r="E54" s="171">
        <f t="shared" si="4"/>
        <v>0</v>
      </c>
      <c r="F54" s="573"/>
      <c r="G54" s="171">
        <f t="shared" si="5"/>
        <v>0</v>
      </c>
      <c r="H54" s="172">
        <f t="shared" si="6"/>
        <v>0</v>
      </c>
      <c r="I54" s="337"/>
      <c r="J54" s="168"/>
      <c r="K54" s="168"/>
      <c r="M54" s="359" t="e">
        <f t="shared" si="7"/>
        <v>#DIV/0!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490"/>
      <c r="D55" s="490"/>
      <c r="E55" s="171">
        <f t="shared" si="4"/>
        <v>0</v>
      </c>
      <c r="F55" s="573"/>
      <c r="G55" s="171">
        <f t="shared" si="5"/>
        <v>0</v>
      </c>
      <c r="H55" s="172">
        <f t="shared" si="6"/>
        <v>0</v>
      </c>
      <c r="I55" s="337"/>
      <c r="J55" s="168"/>
      <c r="K55" s="168"/>
      <c r="M55" s="359" t="e">
        <f t="shared" si="7"/>
        <v>#DIV/0!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490"/>
      <c r="D56" s="490"/>
      <c r="E56" s="171">
        <f t="shared" si="4"/>
        <v>0</v>
      </c>
      <c r="F56" s="573"/>
      <c r="G56" s="171">
        <f t="shared" si="5"/>
        <v>0</v>
      </c>
      <c r="H56" s="172">
        <f t="shared" si="6"/>
        <v>0</v>
      </c>
      <c r="I56" s="337"/>
      <c r="J56" s="168"/>
      <c r="K56" s="168"/>
      <c r="M56" s="359" t="e">
        <f t="shared" si="7"/>
        <v>#DIV/0!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490"/>
      <c r="D57" s="490"/>
      <c r="E57" s="171">
        <f t="shared" si="4"/>
        <v>0</v>
      </c>
      <c r="F57" s="573"/>
      <c r="G57" s="171">
        <f t="shared" si="5"/>
        <v>0</v>
      </c>
      <c r="H57" s="172">
        <f t="shared" si="6"/>
        <v>0</v>
      </c>
      <c r="I57" s="337"/>
      <c r="J57" s="168"/>
      <c r="K57" s="168"/>
      <c r="M57" s="359" t="e">
        <f t="shared" si="7"/>
        <v>#DIV/0!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490"/>
      <c r="D58" s="490"/>
      <c r="E58" s="171">
        <f t="shared" si="4"/>
        <v>0</v>
      </c>
      <c r="F58" s="573"/>
      <c r="G58" s="171">
        <f t="shared" si="5"/>
        <v>0</v>
      </c>
      <c r="H58" s="172">
        <f t="shared" si="6"/>
        <v>0</v>
      </c>
      <c r="I58" s="337"/>
      <c r="J58" s="168"/>
      <c r="K58" s="168"/>
      <c r="M58" s="359" t="e">
        <f t="shared" si="7"/>
        <v>#DIV/0!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490"/>
      <c r="D59" s="490"/>
      <c r="E59" s="171">
        <f t="shared" si="4"/>
        <v>0</v>
      </c>
      <c r="F59" s="573"/>
      <c r="G59" s="171">
        <f t="shared" si="5"/>
        <v>0</v>
      </c>
      <c r="H59" s="172">
        <f t="shared" si="6"/>
        <v>0</v>
      </c>
      <c r="I59" s="337"/>
      <c r="J59" s="168"/>
      <c r="K59" s="168"/>
      <c r="M59" s="359" t="e">
        <f t="shared" si="7"/>
        <v>#DIV/0!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490"/>
      <c r="D60" s="490"/>
      <c r="E60" s="171">
        <f t="shared" si="4"/>
        <v>0</v>
      </c>
      <c r="F60" s="573"/>
      <c r="G60" s="171">
        <f t="shared" si="5"/>
        <v>0</v>
      </c>
      <c r="H60" s="172">
        <f t="shared" si="6"/>
        <v>0</v>
      </c>
      <c r="I60" s="337"/>
      <c r="J60" s="168"/>
      <c r="K60" s="168"/>
      <c r="M60" s="359" t="e">
        <f t="shared" si="7"/>
        <v>#DIV/0!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490">
        <f>SUM(C25:C60)</f>
        <v>0</v>
      </c>
      <c r="D61" s="490">
        <f>SUM(D25:D60)</f>
        <v>0</v>
      </c>
      <c r="E61" s="171">
        <f t="shared" ref="E61" si="8">SUM(E25:E60)</f>
        <v>0</v>
      </c>
      <c r="F61" s="573">
        <f>SUM(F25:F60)</f>
        <v>0</v>
      </c>
      <c r="G61" s="171">
        <f>SUM(G25:G60)</f>
        <v>0</v>
      </c>
      <c r="H61" s="186">
        <f t="shared" si="6"/>
        <v>0</v>
      </c>
      <c r="I61" s="339"/>
      <c r="J61" s="168"/>
      <c r="K61" s="168"/>
      <c r="M61" s="364" t="e">
        <f>G61/G$228</f>
        <v>#DIV/0!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I62" s="340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490"/>
      <c r="D64" s="490"/>
      <c r="E64" s="171">
        <f t="shared" ref="E64:E78" si="9">C64+D64</f>
        <v>0</v>
      </c>
      <c r="F64" s="573"/>
      <c r="G64" s="171">
        <f t="shared" ref="G64:G78" si="10">E64+F64</f>
        <v>0</v>
      </c>
      <c r="H64" s="172">
        <f t="shared" ref="H64:H79" si="11">IF($G$208=0,0,G64/$G$208)</f>
        <v>0</v>
      </c>
      <c r="I64" s="337"/>
      <c r="J64" s="190"/>
      <c r="K64" s="168"/>
      <c r="M64" s="359" t="e">
        <f t="shared" ref="M64:M79" si="12">G64/G$228</f>
        <v>#DIV/0!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490"/>
      <c r="D65" s="490"/>
      <c r="E65" s="171">
        <f t="shared" si="9"/>
        <v>0</v>
      </c>
      <c r="F65" s="573"/>
      <c r="G65" s="171">
        <f t="shared" si="10"/>
        <v>0</v>
      </c>
      <c r="H65" s="172">
        <f t="shared" si="11"/>
        <v>0</v>
      </c>
      <c r="I65" s="337"/>
      <c r="J65" s="190"/>
      <c r="K65" s="168"/>
      <c r="M65" s="359" t="e">
        <f t="shared" si="12"/>
        <v>#DIV/0!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490"/>
      <c r="D66" s="490"/>
      <c r="E66" s="171">
        <f t="shared" si="9"/>
        <v>0</v>
      </c>
      <c r="F66" s="573"/>
      <c r="G66" s="171">
        <f t="shared" si="10"/>
        <v>0</v>
      </c>
      <c r="H66" s="172">
        <f t="shared" si="11"/>
        <v>0</v>
      </c>
      <c r="I66" s="337"/>
      <c r="J66" s="190"/>
      <c r="K66" s="168"/>
      <c r="M66" s="359" t="e">
        <f t="shared" si="12"/>
        <v>#DIV/0!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490"/>
      <c r="D67" s="490"/>
      <c r="E67" s="171">
        <f t="shared" si="9"/>
        <v>0</v>
      </c>
      <c r="F67" s="573"/>
      <c r="G67" s="171">
        <f t="shared" si="10"/>
        <v>0</v>
      </c>
      <c r="H67" s="172">
        <f t="shared" si="11"/>
        <v>0</v>
      </c>
      <c r="I67" s="337"/>
      <c r="J67" s="193"/>
      <c r="K67" s="168"/>
      <c r="M67" s="359" t="e">
        <f t="shared" si="12"/>
        <v>#DIV/0!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490"/>
      <c r="D68" s="490"/>
      <c r="E68" s="171">
        <f t="shared" si="9"/>
        <v>0</v>
      </c>
      <c r="F68" s="573"/>
      <c r="G68" s="171">
        <f t="shared" si="10"/>
        <v>0</v>
      </c>
      <c r="H68" s="172">
        <f t="shared" si="11"/>
        <v>0</v>
      </c>
      <c r="I68" s="337"/>
      <c r="J68" s="193"/>
      <c r="K68" s="168"/>
      <c r="M68" s="359" t="e">
        <f t="shared" si="12"/>
        <v>#DIV/0!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490"/>
      <c r="D69" s="490"/>
      <c r="E69" s="171">
        <f t="shared" si="9"/>
        <v>0</v>
      </c>
      <c r="F69" s="573"/>
      <c r="G69" s="171">
        <f t="shared" si="10"/>
        <v>0</v>
      </c>
      <c r="H69" s="172">
        <f t="shared" si="11"/>
        <v>0</v>
      </c>
      <c r="I69" s="337"/>
      <c r="J69" s="195"/>
      <c r="K69" s="168"/>
      <c r="M69" s="359" t="e">
        <f t="shared" si="12"/>
        <v>#DIV/0!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490"/>
      <c r="D70" s="490"/>
      <c r="E70" s="171">
        <f t="shared" si="9"/>
        <v>0</v>
      </c>
      <c r="F70" s="573"/>
      <c r="G70" s="171">
        <f t="shared" si="10"/>
        <v>0</v>
      </c>
      <c r="H70" s="172">
        <f t="shared" si="11"/>
        <v>0</v>
      </c>
      <c r="I70" s="337"/>
      <c r="J70" s="195"/>
      <c r="K70" s="168"/>
      <c r="M70" s="359" t="e">
        <f t="shared" si="12"/>
        <v>#DIV/0!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490"/>
      <c r="D71" s="490"/>
      <c r="E71" s="171">
        <f t="shared" si="9"/>
        <v>0</v>
      </c>
      <c r="F71" s="573"/>
      <c r="G71" s="171">
        <f t="shared" si="10"/>
        <v>0</v>
      </c>
      <c r="H71" s="172">
        <f t="shared" si="11"/>
        <v>0</v>
      </c>
      <c r="I71" s="337"/>
      <c r="J71" s="195"/>
      <c r="K71" s="168"/>
      <c r="M71" s="359" t="e">
        <f t="shared" si="12"/>
        <v>#DIV/0!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490"/>
      <c r="D72" s="490"/>
      <c r="E72" s="171">
        <f t="shared" si="9"/>
        <v>0</v>
      </c>
      <c r="F72" s="573"/>
      <c r="G72" s="171">
        <f t="shared" si="10"/>
        <v>0</v>
      </c>
      <c r="H72" s="172">
        <f t="shared" si="11"/>
        <v>0</v>
      </c>
      <c r="I72" s="337"/>
      <c r="J72" s="195"/>
      <c r="K72" s="168"/>
      <c r="M72" s="359" t="e">
        <f t="shared" si="12"/>
        <v>#DIV/0!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490"/>
      <c r="D73" s="490"/>
      <c r="E73" s="171">
        <f t="shared" si="9"/>
        <v>0</v>
      </c>
      <c r="F73" s="573"/>
      <c r="G73" s="171">
        <f t="shared" si="10"/>
        <v>0</v>
      </c>
      <c r="H73" s="172">
        <f t="shared" si="11"/>
        <v>0</v>
      </c>
      <c r="I73" s="337"/>
      <c r="J73" s="195"/>
      <c r="K73" s="168"/>
      <c r="M73" s="359" t="e">
        <f t="shared" si="12"/>
        <v>#DIV/0!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490"/>
      <c r="D74" s="490"/>
      <c r="E74" s="171">
        <f t="shared" si="9"/>
        <v>0</v>
      </c>
      <c r="F74" s="573"/>
      <c r="G74" s="171">
        <f t="shared" si="10"/>
        <v>0</v>
      </c>
      <c r="H74" s="172">
        <f t="shared" si="11"/>
        <v>0</v>
      </c>
      <c r="I74" s="337"/>
      <c r="J74" s="195"/>
      <c r="K74" s="168"/>
      <c r="M74" s="359" t="e">
        <f t="shared" si="12"/>
        <v>#DIV/0!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490"/>
      <c r="D75" s="490"/>
      <c r="E75" s="171">
        <f t="shared" si="9"/>
        <v>0</v>
      </c>
      <c r="F75" s="573"/>
      <c r="G75" s="171">
        <f t="shared" si="10"/>
        <v>0</v>
      </c>
      <c r="H75" s="172">
        <f t="shared" si="11"/>
        <v>0</v>
      </c>
      <c r="I75" s="337"/>
      <c r="J75" s="195"/>
      <c r="K75" s="168"/>
      <c r="M75" s="359" t="e">
        <f t="shared" si="12"/>
        <v>#DIV/0!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490"/>
      <c r="D76" s="490"/>
      <c r="E76" s="171">
        <f t="shared" si="9"/>
        <v>0</v>
      </c>
      <c r="F76" s="573"/>
      <c r="G76" s="171">
        <f t="shared" si="10"/>
        <v>0</v>
      </c>
      <c r="H76" s="172">
        <f t="shared" si="11"/>
        <v>0</v>
      </c>
      <c r="I76" s="337"/>
      <c r="J76" s="195"/>
      <c r="K76" s="168"/>
      <c r="M76" s="359" t="e">
        <f t="shared" si="12"/>
        <v>#DIV/0!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490"/>
      <c r="D77" s="490"/>
      <c r="E77" s="171">
        <f t="shared" si="9"/>
        <v>0</v>
      </c>
      <c r="F77" s="573"/>
      <c r="G77" s="171">
        <f t="shared" si="10"/>
        <v>0</v>
      </c>
      <c r="H77" s="172">
        <f t="shared" si="11"/>
        <v>0</v>
      </c>
      <c r="I77" s="337"/>
      <c r="J77" s="195"/>
      <c r="K77" s="168"/>
      <c r="M77" s="359" t="e">
        <f t="shared" si="12"/>
        <v>#DIV/0!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490"/>
      <c r="D78" s="490"/>
      <c r="E78" s="171">
        <f t="shared" si="9"/>
        <v>0</v>
      </c>
      <c r="F78" s="573"/>
      <c r="G78" s="171">
        <f t="shared" si="10"/>
        <v>0</v>
      </c>
      <c r="H78" s="172">
        <f t="shared" si="11"/>
        <v>0</v>
      </c>
      <c r="I78" s="337"/>
      <c r="J78" s="195"/>
      <c r="K78" s="168"/>
      <c r="M78" s="359" t="e">
        <f t="shared" si="12"/>
        <v>#DIV/0!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490">
        <f>SUM(C64:C78)</f>
        <v>0</v>
      </c>
      <c r="D79" s="490">
        <f>SUM(D64:D78)</f>
        <v>0</v>
      </c>
      <c r="E79" s="171">
        <f t="shared" ref="E79" si="13">SUM(E64:E78)</f>
        <v>0</v>
      </c>
      <c r="F79" s="573">
        <f>SUM(F64:F78)</f>
        <v>0</v>
      </c>
      <c r="G79" s="171">
        <f>SUM(G64:G78)</f>
        <v>0</v>
      </c>
      <c r="H79" s="172">
        <f t="shared" si="11"/>
        <v>0</v>
      </c>
      <c r="I79" s="337"/>
      <c r="J79" s="195"/>
      <c r="K79" s="168"/>
      <c r="M79" s="359" t="e">
        <f t="shared" si="12"/>
        <v>#DIV/0!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490"/>
      <c r="D82" s="490"/>
      <c r="E82" s="171">
        <f t="shared" ref="E82:E92" si="14">C82+D82</f>
        <v>0</v>
      </c>
      <c r="F82" s="573"/>
      <c r="G82" s="171">
        <f t="shared" ref="G82:G92" si="15">E82+F82</f>
        <v>0</v>
      </c>
      <c r="H82" s="172">
        <f t="shared" ref="H82:H93" si="16">IF($G$208=0,0,G82/$G$208)</f>
        <v>0</v>
      </c>
      <c r="I82" s="337"/>
      <c r="J82" s="183"/>
      <c r="K82" s="183"/>
      <c r="M82" s="359" t="e">
        <f t="shared" ref="M82:M92" si="17">G82/G$228</f>
        <v>#DIV/0!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490"/>
      <c r="D83" s="490"/>
      <c r="E83" s="171">
        <f t="shared" si="14"/>
        <v>0</v>
      </c>
      <c r="F83" s="573"/>
      <c r="G83" s="171">
        <f t="shared" si="15"/>
        <v>0</v>
      </c>
      <c r="H83" s="172">
        <f t="shared" si="16"/>
        <v>0</v>
      </c>
      <c r="I83" s="337"/>
      <c r="J83" s="168"/>
      <c r="K83" s="168"/>
      <c r="M83" s="359" t="e">
        <f t="shared" si="17"/>
        <v>#DIV/0!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490"/>
      <c r="D84" s="490"/>
      <c r="E84" s="171">
        <f t="shared" si="14"/>
        <v>0</v>
      </c>
      <c r="F84" s="573"/>
      <c r="G84" s="171">
        <f t="shared" si="15"/>
        <v>0</v>
      </c>
      <c r="H84" s="172">
        <f t="shared" si="16"/>
        <v>0</v>
      </c>
      <c r="I84" s="337"/>
      <c r="J84" s="168"/>
      <c r="K84" s="168"/>
      <c r="M84" s="359" t="e">
        <f t="shared" si="17"/>
        <v>#DIV/0!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490"/>
      <c r="D85" s="490"/>
      <c r="E85" s="171">
        <f t="shared" si="14"/>
        <v>0</v>
      </c>
      <c r="F85" s="573"/>
      <c r="G85" s="171">
        <f t="shared" si="15"/>
        <v>0</v>
      </c>
      <c r="H85" s="172">
        <f t="shared" si="16"/>
        <v>0</v>
      </c>
      <c r="I85" s="337"/>
      <c r="J85" s="168"/>
      <c r="K85" s="168"/>
      <c r="M85" s="359" t="e">
        <f t="shared" si="17"/>
        <v>#DIV/0!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490"/>
      <c r="D86" s="490"/>
      <c r="E86" s="171">
        <f t="shared" si="14"/>
        <v>0</v>
      </c>
      <c r="F86" s="573"/>
      <c r="G86" s="171">
        <f t="shared" si="15"/>
        <v>0</v>
      </c>
      <c r="H86" s="172">
        <f t="shared" si="16"/>
        <v>0</v>
      </c>
      <c r="I86" s="337"/>
      <c r="J86" s="168"/>
      <c r="K86" s="168"/>
      <c r="M86" s="359" t="e">
        <f t="shared" si="17"/>
        <v>#DIV/0!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490"/>
      <c r="D87" s="490"/>
      <c r="E87" s="171">
        <f t="shared" si="14"/>
        <v>0</v>
      </c>
      <c r="F87" s="573"/>
      <c r="G87" s="171">
        <f t="shared" si="15"/>
        <v>0</v>
      </c>
      <c r="H87" s="172">
        <f t="shared" si="16"/>
        <v>0</v>
      </c>
      <c r="I87" s="337"/>
      <c r="J87" s="168"/>
      <c r="K87" s="168"/>
      <c r="M87" s="359" t="e">
        <f t="shared" si="17"/>
        <v>#DIV/0!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490"/>
      <c r="D88" s="490"/>
      <c r="E88" s="171">
        <f t="shared" si="14"/>
        <v>0</v>
      </c>
      <c r="F88" s="573"/>
      <c r="G88" s="171">
        <f t="shared" si="15"/>
        <v>0</v>
      </c>
      <c r="H88" s="172">
        <f t="shared" si="16"/>
        <v>0</v>
      </c>
      <c r="I88" s="337"/>
      <c r="J88" s="168"/>
      <c r="K88" s="168"/>
      <c r="M88" s="359" t="e">
        <f t="shared" si="17"/>
        <v>#DIV/0!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490"/>
      <c r="D89" s="490"/>
      <c r="E89" s="171">
        <f t="shared" si="14"/>
        <v>0</v>
      </c>
      <c r="F89" s="573"/>
      <c r="G89" s="171">
        <f t="shared" si="15"/>
        <v>0</v>
      </c>
      <c r="H89" s="172">
        <f t="shared" si="16"/>
        <v>0</v>
      </c>
      <c r="I89" s="337"/>
      <c r="J89" s="168"/>
      <c r="K89" s="168"/>
      <c r="M89" s="359" t="e">
        <f t="shared" si="17"/>
        <v>#DIV/0!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490"/>
      <c r="D90" s="490"/>
      <c r="E90" s="171">
        <f t="shared" si="14"/>
        <v>0</v>
      </c>
      <c r="F90" s="573"/>
      <c r="G90" s="171">
        <f t="shared" si="15"/>
        <v>0</v>
      </c>
      <c r="H90" s="172">
        <f t="shared" si="16"/>
        <v>0</v>
      </c>
      <c r="I90" s="337"/>
      <c r="J90" s="168"/>
      <c r="K90" s="168"/>
      <c r="M90" s="359" t="e">
        <f t="shared" si="17"/>
        <v>#DIV/0!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490"/>
      <c r="D91" s="490"/>
      <c r="E91" s="171">
        <f t="shared" si="14"/>
        <v>0</v>
      </c>
      <c r="F91" s="573"/>
      <c r="G91" s="171">
        <f t="shared" si="15"/>
        <v>0</v>
      </c>
      <c r="H91" s="172">
        <f t="shared" si="16"/>
        <v>0</v>
      </c>
      <c r="I91" s="337"/>
      <c r="J91" s="168"/>
      <c r="K91" s="168"/>
      <c r="M91" s="359" t="e">
        <f t="shared" si="17"/>
        <v>#DIV/0!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490"/>
      <c r="D92" s="490"/>
      <c r="E92" s="171">
        <f t="shared" si="14"/>
        <v>0</v>
      </c>
      <c r="F92" s="573"/>
      <c r="G92" s="171">
        <f t="shared" si="15"/>
        <v>0</v>
      </c>
      <c r="H92" s="172">
        <f t="shared" si="16"/>
        <v>0</v>
      </c>
      <c r="I92" s="337"/>
      <c r="J92" s="168"/>
      <c r="K92" s="168"/>
      <c r="M92" s="359" t="e">
        <f t="shared" si="17"/>
        <v>#DIV/0!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490">
        <f>SUM(C82:C92)</f>
        <v>0</v>
      </c>
      <c r="D93" s="490">
        <f>SUM(D82:D92)</f>
        <v>0</v>
      </c>
      <c r="E93" s="171">
        <f t="shared" ref="E93" si="18">SUM(E82:E92)</f>
        <v>0</v>
      </c>
      <c r="F93" s="573">
        <f>SUM(F82:F92)</f>
        <v>0</v>
      </c>
      <c r="G93" s="171">
        <f>SUM(G82:G92)</f>
        <v>0</v>
      </c>
      <c r="H93" s="172">
        <f t="shared" si="16"/>
        <v>0</v>
      </c>
      <c r="I93" s="337"/>
      <c r="J93" s="168"/>
      <c r="K93" s="168"/>
      <c r="M93" s="364" t="e">
        <f>G93/G$228</f>
        <v>#DIV/0!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490"/>
      <c r="D96" s="490"/>
      <c r="E96" s="171">
        <f t="shared" ref="E96:E101" si="19">C96+D96</f>
        <v>0</v>
      </c>
      <c r="F96" s="573"/>
      <c r="G96" s="171">
        <f t="shared" ref="G96:G101" si="20">E96+F96</f>
        <v>0</v>
      </c>
      <c r="H96" s="172">
        <f t="shared" ref="H96:H102" si="21">IF($G$208=0,0,G96/$G$208)</f>
        <v>0</v>
      </c>
      <c r="I96" s="337"/>
      <c r="J96" s="183"/>
      <c r="K96" s="183"/>
      <c r="M96" s="364" t="e">
        <f t="shared" ref="M96:M101" si="22">G96/G$228</f>
        <v>#DIV/0!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490"/>
      <c r="D97" s="490"/>
      <c r="E97" s="171">
        <f t="shared" si="19"/>
        <v>0</v>
      </c>
      <c r="F97" s="573"/>
      <c r="G97" s="171">
        <f t="shared" si="20"/>
        <v>0</v>
      </c>
      <c r="H97" s="172">
        <f t="shared" si="21"/>
        <v>0</v>
      </c>
      <c r="I97" s="337"/>
      <c r="J97" s="168"/>
      <c r="K97" s="168"/>
      <c r="M97" s="364" t="e">
        <f t="shared" si="22"/>
        <v>#DIV/0!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490"/>
      <c r="D98" s="490"/>
      <c r="E98" s="171">
        <f t="shared" si="19"/>
        <v>0</v>
      </c>
      <c r="F98" s="573"/>
      <c r="G98" s="171">
        <f t="shared" si="20"/>
        <v>0</v>
      </c>
      <c r="H98" s="172">
        <f t="shared" si="21"/>
        <v>0</v>
      </c>
      <c r="I98" s="337"/>
      <c r="J98" s="168"/>
      <c r="K98" s="168"/>
      <c r="M98" s="364" t="e">
        <f t="shared" si="22"/>
        <v>#DIV/0!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490"/>
      <c r="D99" s="490"/>
      <c r="E99" s="171">
        <f t="shared" si="19"/>
        <v>0</v>
      </c>
      <c r="F99" s="573"/>
      <c r="G99" s="171">
        <f t="shared" si="20"/>
        <v>0</v>
      </c>
      <c r="H99" s="172">
        <f t="shared" si="21"/>
        <v>0</v>
      </c>
      <c r="I99" s="337"/>
      <c r="J99" s="168"/>
      <c r="K99" s="168"/>
      <c r="M99" s="364" t="e">
        <f t="shared" si="22"/>
        <v>#DIV/0!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490"/>
      <c r="D100" s="490"/>
      <c r="E100" s="171">
        <f t="shared" si="19"/>
        <v>0</v>
      </c>
      <c r="F100" s="573"/>
      <c r="G100" s="171">
        <f t="shared" si="20"/>
        <v>0</v>
      </c>
      <c r="H100" s="172">
        <f t="shared" si="21"/>
        <v>0</v>
      </c>
      <c r="I100" s="337"/>
      <c r="J100" s="168"/>
      <c r="K100" s="168"/>
      <c r="M100" s="364" t="e">
        <f t="shared" si="22"/>
        <v>#DIV/0!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490"/>
      <c r="D101" s="490"/>
      <c r="E101" s="171">
        <f t="shared" si="19"/>
        <v>0</v>
      </c>
      <c r="F101" s="573"/>
      <c r="G101" s="171">
        <f t="shared" si="20"/>
        <v>0</v>
      </c>
      <c r="H101" s="172">
        <f t="shared" si="21"/>
        <v>0</v>
      </c>
      <c r="I101" s="337"/>
      <c r="J101" s="168"/>
      <c r="K101" s="168"/>
      <c r="M101" s="364" t="e">
        <f t="shared" si="22"/>
        <v>#DIV/0!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490">
        <f>SUM(C96:C101)</f>
        <v>0</v>
      </c>
      <c r="D102" s="490">
        <f>SUM(D96:D101)</f>
        <v>0</v>
      </c>
      <c r="E102" s="171">
        <f t="shared" ref="E102" si="23">SUM(E96:E101)</f>
        <v>0</v>
      </c>
      <c r="F102" s="573">
        <f>SUM(F96:F101)</f>
        <v>0</v>
      </c>
      <c r="G102" s="171">
        <f>SUM(G96:G101)</f>
        <v>0</v>
      </c>
      <c r="H102" s="172">
        <f t="shared" si="21"/>
        <v>0</v>
      </c>
      <c r="I102" s="337"/>
      <c r="J102" s="168"/>
      <c r="K102" s="168"/>
      <c r="M102" s="364" t="e">
        <f>G102/G$228</f>
        <v>#DIV/0!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490"/>
      <c r="D105" s="490"/>
      <c r="E105" s="171">
        <f t="shared" ref="E105:E110" si="24">C105+D105</f>
        <v>0</v>
      </c>
      <c r="F105" s="573"/>
      <c r="G105" s="171">
        <f t="shared" ref="G105:G110" si="25">E105+F105</f>
        <v>0</v>
      </c>
      <c r="H105" s="172">
        <f t="shared" ref="H105:H111" si="26">IF($G$208=0,0,G105/$G$208)</f>
        <v>0</v>
      </c>
      <c r="I105" s="337"/>
      <c r="J105" s="504"/>
      <c r="K105" s="504"/>
      <c r="M105" s="364" t="e">
        <f t="shared" ref="M105:M110" si="27">G105/G$228</f>
        <v>#DIV/0!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490"/>
      <c r="D106" s="490"/>
      <c r="E106" s="171">
        <f t="shared" si="24"/>
        <v>0</v>
      </c>
      <c r="F106" s="573"/>
      <c r="G106" s="171">
        <f t="shared" si="25"/>
        <v>0</v>
      </c>
      <c r="H106" s="172">
        <f t="shared" si="26"/>
        <v>0</v>
      </c>
      <c r="I106" s="337"/>
      <c r="J106" s="168"/>
      <c r="K106" s="168"/>
      <c r="M106" s="364" t="e">
        <f t="shared" si="27"/>
        <v>#DIV/0!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490"/>
      <c r="D107" s="490"/>
      <c r="E107" s="171">
        <f t="shared" si="24"/>
        <v>0</v>
      </c>
      <c r="F107" s="573"/>
      <c r="G107" s="171">
        <f t="shared" si="25"/>
        <v>0</v>
      </c>
      <c r="H107" s="172">
        <f t="shared" si="26"/>
        <v>0</v>
      </c>
      <c r="I107" s="337"/>
      <c r="J107" s="168"/>
      <c r="K107" s="168"/>
      <c r="M107" s="364" t="e">
        <f t="shared" si="27"/>
        <v>#DIV/0!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490"/>
      <c r="D108" s="490"/>
      <c r="E108" s="171">
        <f t="shared" si="24"/>
        <v>0</v>
      </c>
      <c r="F108" s="573"/>
      <c r="G108" s="171">
        <f t="shared" si="25"/>
        <v>0</v>
      </c>
      <c r="H108" s="172">
        <f t="shared" si="26"/>
        <v>0</v>
      </c>
      <c r="I108" s="337"/>
      <c r="J108" s="168"/>
      <c r="K108" s="168"/>
      <c r="M108" s="364" t="e">
        <f t="shared" si="27"/>
        <v>#DIV/0!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490"/>
      <c r="D109" s="490"/>
      <c r="E109" s="171">
        <f t="shared" si="24"/>
        <v>0</v>
      </c>
      <c r="F109" s="573"/>
      <c r="G109" s="171">
        <f t="shared" si="25"/>
        <v>0</v>
      </c>
      <c r="H109" s="172">
        <f t="shared" si="26"/>
        <v>0</v>
      </c>
      <c r="I109" s="337"/>
      <c r="J109" s="168"/>
      <c r="K109" s="168"/>
      <c r="M109" s="364" t="e">
        <f t="shared" si="27"/>
        <v>#DIV/0!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490"/>
      <c r="D110" s="490"/>
      <c r="E110" s="171">
        <f t="shared" si="24"/>
        <v>0</v>
      </c>
      <c r="F110" s="573"/>
      <c r="G110" s="171">
        <f t="shared" si="25"/>
        <v>0</v>
      </c>
      <c r="H110" s="172">
        <f t="shared" si="26"/>
        <v>0</v>
      </c>
      <c r="I110" s="337"/>
      <c r="J110" s="168"/>
      <c r="K110" s="168"/>
      <c r="M110" s="364" t="e">
        <f t="shared" si="27"/>
        <v>#DIV/0!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490">
        <f>SUM(C105:C110)</f>
        <v>0</v>
      </c>
      <c r="D111" s="490">
        <f>SUM(D105:D110)</f>
        <v>0</v>
      </c>
      <c r="E111" s="171">
        <f t="shared" ref="E111" si="28">SUM(E105:E110)</f>
        <v>0</v>
      </c>
      <c r="F111" s="573">
        <f>SUM(F105:F110)</f>
        <v>0</v>
      </c>
      <c r="G111" s="171">
        <f>SUM(G105:G110)</f>
        <v>0</v>
      </c>
      <c r="H111" s="172">
        <f t="shared" si="26"/>
        <v>0</v>
      </c>
      <c r="I111" s="337"/>
      <c r="J111" s="168"/>
      <c r="K111" s="168"/>
      <c r="M111" s="364" t="e">
        <f>G111/G$228</f>
        <v>#DIV/0!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490"/>
      <c r="D114" s="490"/>
      <c r="E114" s="171">
        <f t="shared" ref="E114:E118" si="29">C114+D114</f>
        <v>0</v>
      </c>
      <c r="F114" s="573"/>
      <c r="G114" s="171">
        <f>E114+F114</f>
        <v>0</v>
      </c>
      <c r="H114" s="172">
        <f t="shared" ref="H114:H119" si="30">IF($G$208=0,0,G114/$G$208)</f>
        <v>0</v>
      </c>
      <c r="I114" s="337"/>
      <c r="J114" s="504"/>
      <c r="K114" s="504"/>
      <c r="M114" s="364" t="e">
        <f t="shared" ref="M114:M119" si="31">G114/G$228</f>
        <v>#DIV/0!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490"/>
      <c r="D115" s="490"/>
      <c r="E115" s="171">
        <f t="shared" si="29"/>
        <v>0</v>
      </c>
      <c r="F115" s="573"/>
      <c r="G115" s="171">
        <f>E115+F115</f>
        <v>0</v>
      </c>
      <c r="H115" s="172">
        <f t="shared" si="30"/>
        <v>0</v>
      </c>
      <c r="I115" s="337"/>
      <c r="J115" s="168"/>
      <c r="K115" s="168"/>
      <c r="M115" s="364" t="e">
        <f t="shared" si="31"/>
        <v>#DIV/0!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490"/>
      <c r="D116" s="490"/>
      <c r="E116" s="171">
        <f t="shared" si="29"/>
        <v>0</v>
      </c>
      <c r="F116" s="573"/>
      <c r="G116" s="171">
        <f>E116+F116</f>
        <v>0</v>
      </c>
      <c r="H116" s="172">
        <f t="shared" si="30"/>
        <v>0</v>
      </c>
      <c r="I116" s="337"/>
      <c r="J116" s="168"/>
      <c r="K116" s="168"/>
      <c r="M116" s="364" t="e">
        <f t="shared" si="31"/>
        <v>#DIV/0!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490"/>
      <c r="D117" s="490"/>
      <c r="E117" s="171">
        <f t="shared" si="29"/>
        <v>0</v>
      </c>
      <c r="F117" s="573"/>
      <c r="G117" s="171">
        <f>E117+F117</f>
        <v>0</v>
      </c>
      <c r="H117" s="172">
        <f t="shared" si="30"/>
        <v>0</v>
      </c>
      <c r="I117" s="337"/>
      <c r="J117" s="168"/>
      <c r="K117" s="168"/>
      <c r="M117" s="364" t="e">
        <f t="shared" si="31"/>
        <v>#DIV/0!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490"/>
      <c r="D118" s="490"/>
      <c r="E118" s="171">
        <f t="shared" si="29"/>
        <v>0</v>
      </c>
      <c r="F118" s="573"/>
      <c r="G118" s="171">
        <f>E118+F118</f>
        <v>0</v>
      </c>
      <c r="H118" s="172">
        <f t="shared" si="30"/>
        <v>0</v>
      </c>
      <c r="I118" s="337"/>
      <c r="J118" s="168"/>
      <c r="K118" s="168"/>
      <c r="M118" s="364" t="e">
        <f t="shared" si="31"/>
        <v>#DIV/0!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490">
        <f>SUM(C114:C118)</f>
        <v>0</v>
      </c>
      <c r="D119" s="490">
        <f>SUM(D114:D118)</f>
        <v>0</v>
      </c>
      <c r="E119" s="171">
        <f t="shared" ref="E119" si="32">SUM(E114:E118)</f>
        <v>0</v>
      </c>
      <c r="F119" s="573">
        <f>SUM(F114:F118)</f>
        <v>0</v>
      </c>
      <c r="G119" s="171">
        <f>SUM(G114:G118)</f>
        <v>0</v>
      </c>
      <c r="H119" s="172">
        <f t="shared" si="30"/>
        <v>0</v>
      </c>
      <c r="I119" s="337"/>
      <c r="J119" s="168"/>
      <c r="K119" s="168"/>
      <c r="M119" s="364" t="e">
        <f t="shared" si="31"/>
        <v>#DIV/0!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1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490"/>
      <c r="D123" s="490"/>
      <c r="E123" s="171">
        <f t="shared" ref="E123:E127" si="33">C123+D123</f>
        <v>0</v>
      </c>
      <c r="F123" s="573"/>
      <c r="G123" s="171">
        <f>E123+F123</f>
        <v>0</v>
      </c>
      <c r="H123" s="172">
        <f>IF($G$208=0,0,G123/$G$208)</f>
        <v>0</v>
      </c>
      <c r="I123" s="337"/>
      <c r="J123" s="183"/>
      <c r="K123" s="183"/>
      <c r="M123" s="364" t="e">
        <f t="shared" ref="M123:M160" si="34">G123/G$228</f>
        <v>#DIV/0!</v>
      </c>
      <c r="N123" s="359">
        <f>SUMMARY!J126</f>
        <v>0.77002560279620991</v>
      </c>
    </row>
    <row r="124" spans="1:14" s="167" customFormat="1">
      <c r="B124" s="163" t="s">
        <v>194</v>
      </c>
      <c r="C124" s="490"/>
      <c r="D124" s="490"/>
      <c r="E124" s="171">
        <f t="shared" si="33"/>
        <v>0</v>
      </c>
      <c r="F124" s="573"/>
      <c r="G124" s="171">
        <f>E124+F124</f>
        <v>0</v>
      </c>
      <c r="H124" s="172">
        <f>IF($G$208=0,0,G124/$G$208)</f>
        <v>0</v>
      </c>
      <c r="I124" s="337"/>
      <c r="J124" s="183"/>
      <c r="K124" s="183"/>
      <c r="M124" s="364" t="e">
        <f t="shared" si="34"/>
        <v>#DIV/0!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490"/>
      <c r="D125" s="490"/>
      <c r="E125" s="171">
        <f t="shared" si="33"/>
        <v>0</v>
      </c>
      <c r="F125" s="573"/>
      <c r="G125" s="171">
        <f>E125+F125</f>
        <v>0</v>
      </c>
      <c r="H125" s="172">
        <f>IF($G$208=0,0,G125/$G$208)</f>
        <v>0</v>
      </c>
      <c r="I125" s="337"/>
      <c r="J125" s="183"/>
      <c r="K125" s="183"/>
      <c r="M125" s="364" t="e">
        <f t="shared" si="34"/>
        <v>#DIV/0!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490"/>
      <c r="D126" s="490"/>
      <c r="E126" s="171">
        <f t="shared" si="33"/>
        <v>0</v>
      </c>
      <c r="F126" s="573"/>
      <c r="G126" s="171">
        <f>E126+F126</f>
        <v>0</v>
      </c>
      <c r="H126" s="172">
        <f>IF($G$208=0,0,G126/$G$208)</f>
        <v>0</v>
      </c>
      <c r="I126" s="337"/>
      <c r="J126" s="183"/>
      <c r="K126" s="183"/>
      <c r="M126" s="364" t="e">
        <f t="shared" si="34"/>
        <v>#DIV/0!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490"/>
      <c r="D127" s="490"/>
      <c r="E127" s="171">
        <f t="shared" si="33"/>
        <v>0</v>
      </c>
      <c r="F127" s="573"/>
      <c r="G127" s="171">
        <f>E127+F127</f>
        <v>0</v>
      </c>
      <c r="H127" s="172">
        <f>IF($G$208=0,0,G127/$G$208)</f>
        <v>0</v>
      </c>
      <c r="I127" s="337"/>
      <c r="J127" s="183"/>
      <c r="K127" s="183"/>
      <c r="M127" s="364" t="e">
        <f t="shared" si="34"/>
        <v>#DIV/0!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3"/>
      <c r="E128" s="205"/>
      <c r="F128" s="573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490"/>
      <c r="D129" s="490"/>
      <c r="E129" s="171">
        <f t="shared" ref="E129:E133" si="35">C129+D129</f>
        <v>0</v>
      </c>
      <c r="F129" s="573"/>
      <c r="G129" s="171">
        <f>E129+F129</f>
        <v>0</v>
      </c>
      <c r="H129" s="172">
        <f>IF($G$208=0,0,G129/$G$208)</f>
        <v>0</v>
      </c>
      <c r="I129" s="337"/>
      <c r="J129" s="204"/>
      <c r="K129" s="204"/>
      <c r="M129" s="364" t="e">
        <f t="shared" si="34"/>
        <v>#DIV/0!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490"/>
      <c r="D130" s="490"/>
      <c r="E130" s="171">
        <f t="shared" si="35"/>
        <v>0</v>
      </c>
      <c r="F130" s="573"/>
      <c r="G130" s="171">
        <f>E130+F130</f>
        <v>0</v>
      </c>
      <c r="H130" s="172">
        <f>IF($G$208=0,0,G130/$G$208)</f>
        <v>0</v>
      </c>
      <c r="I130" s="337"/>
      <c r="J130" s="204"/>
      <c r="K130" s="204"/>
      <c r="M130" s="364" t="e">
        <f t="shared" si="34"/>
        <v>#DIV/0!</v>
      </c>
      <c r="N130" s="359">
        <f>SUMMARY!J133</f>
        <v>1.0792348507966931</v>
      </c>
    </row>
    <row r="131" spans="1:14" s="167" customFormat="1">
      <c r="B131" s="163" t="s">
        <v>195</v>
      </c>
      <c r="C131" s="490"/>
      <c r="D131" s="490"/>
      <c r="E131" s="171">
        <f t="shared" si="35"/>
        <v>0</v>
      </c>
      <c r="F131" s="573"/>
      <c r="G131" s="171">
        <f>E131+F131</f>
        <v>0</v>
      </c>
      <c r="H131" s="172">
        <f>IF($G$208=0,0,G131/$G$208)</f>
        <v>0</v>
      </c>
      <c r="I131" s="337"/>
      <c r="J131" s="168"/>
      <c r="K131" s="168"/>
      <c r="M131" s="364" t="e">
        <f t="shared" si="34"/>
        <v>#DIV/0!</v>
      </c>
      <c r="N131" s="359">
        <f>SUMMARY!J134</f>
        <v>8.2765628075518377E-2</v>
      </c>
    </row>
    <row r="132" spans="1:14" s="167" customFormat="1">
      <c r="B132" s="163" t="s">
        <v>196</v>
      </c>
      <c r="C132" s="490"/>
      <c r="D132" s="490"/>
      <c r="E132" s="171">
        <f t="shared" si="35"/>
        <v>0</v>
      </c>
      <c r="F132" s="573"/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 t="e">
        <f t="shared" si="34"/>
        <v>#DIV/0!</v>
      </c>
      <c r="N132" s="359">
        <f>SUMMARY!J135</f>
        <v>2.4827298902786038E-2</v>
      </c>
    </row>
    <row r="133" spans="1:14" s="167" customFormat="1">
      <c r="B133" s="163" t="s">
        <v>197</v>
      </c>
      <c r="C133" s="490"/>
      <c r="D133" s="490"/>
      <c r="E133" s="171">
        <f t="shared" si="35"/>
        <v>0</v>
      </c>
      <c r="F133" s="573"/>
      <c r="G133" s="171">
        <f>E133+F133</f>
        <v>0</v>
      </c>
      <c r="H133" s="172">
        <f>IF($G$208=0,0,G133/$G$208)</f>
        <v>0</v>
      </c>
      <c r="I133" s="337"/>
      <c r="J133" s="168"/>
      <c r="K133" s="168"/>
      <c r="M133" s="364" t="e">
        <f t="shared" si="34"/>
        <v>#DIV/0!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490"/>
      <c r="D135" s="490"/>
      <c r="E135" s="171">
        <f t="shared" ref="E135:E138" si="36">C135+D135</f>
        <v>0</v>
      </c>
      <c r="F135" s="573"/>
      <c r="G135" s="171">
        <f>E135+F135</f>
        <v>0</v>
      </c>
      <c r="H135" s="172">
        <f>IF($G$208=0,0,G135/$G$208)</f>
        <v>0</v>
      </c>
      <c r="I135" s="337"/>
      <c r="J135" s="183"/>
      <c r="K135" s="183"/>
      <c r="M135" s="364" t="e">
        <f t="shared" si="34"/>
        <v>#DIV/0!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490"/>
      <c r="D136" s="490"/>
      <c r="E136" s="171">
        <f t="shared" si="36"/>
        <v>0</v>
      </c>
      <c r="F136" s="573"/>
      <c r="G136" s="171">
        <f>E136+F136</f>
        <v>0</v>
      </c>
      <c r="H136" s="172">
        <f>IF($G$208=0,0,G136/$G$208)</f>
        <v>0</v>
      </c>
      <c r="I136" s="337"/>
      <c r="J136" s="183"/>
      <c r="K136" s="183"/>
      <c r="M136" s="364" t="e">
        <f t="shared" si="34"/>
        <v>#DIV/0!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490"/>
      <c r="D137" s="490"/>
      <c r="E137" s="171">
        <f t="shared" si="36"/>
        <v>0</v>
      </c>
      <c r="F137" s="573"/>
      <c r="G137" s="171">
        <f>E137+F137</f>
        <v>0</v>
      </c>
      <c r="H137" s="172">
        <f>IF($G$208=0,0,G137/$G$208)</f>
        <v>0</v>
      </c>
      <c r="I137" s="337"/>
      <c r="J137" s="183"/>
      <c r="K137" s="183"/>
      <c r="M137" s="364" t="e">
        <f t="shared" si="34"/>
        <v>#DIV/0!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490"/>
      <c r="D138" s="490"/>
      <c r="E138" s="171">
        <f t="shared" si="36"/>
        <v>0</v>
      </c>
      <c r="F138" s="573"/>
      <c r="G138" s="171">
        <f>E138+F138</f>
        <v>0</v>
      </c>
      <c r="H138" s="172">
        <f>IF($G$208=0,0,G138/$G$208)</f>
        <v>0</v>
      </c>
      <c r="I138" s="337"/>
      <c r="J138" s="183"/>
      <c r="K138" s="183"/>
      <c r="M138" s="364" t="e">
        <f t="shared" si="34"/>
        <v>#DIV/0!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7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490"/>
      <c r="D140" s="490"/>
      <c r="E140" s="171">
        <f t="shared" ref="E140:E143" si="37">C140+D140</f>
        <v>0</v>
      </c>
      <c r="F140" s="573"/>
      <c r="G140" s="171">
        <f>E140+F140</f>
        <v>0</v>
      </c>
      <c r="H140" s="172">
        <f>IF($G$208=0,0,G140/$G$208)</f>
        <v>0</v>
      </c>
      <c r="I140" s="337"/>
      <c r="J140" s="168"/>
      <c r="K140" s="168"/>
      <c r="M140" s="364" t="e">
        <f t="shared" si="34"/>
        <v>#DIV/0!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490"/>
      <c r="D141" s="490"/>
      <c r="E141" s="171">
        <f t="shared" si="37"/>
        <v>0</v>
      </c>
      <c r="F141" s="573"/>
      <c r="G141" s="171">
        <f>E141+F141</f>
        <v>0</v>
      </c>
      <c r="H141" s="172">
        <f>IF($G$208=0,0,G141/$G$208)</f>
        <v>0</v>
      </c>
      <c r="I141" s="337"/>
      <c r="J141" s="168"/>
      <c r="K141" s="168"/>
      <c r="M141" s="364" t="e">
        <f t="shared" si="34"/>
        <v>#DIV/0!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490"/>
      <c r="D142" s="490"/>
      <c r="E142" s="171">
        <f t="shared" si="37"/>
        <v>0</v>
      </c>
      <c r="F142" s="573"/>
      <c r="G142" s="171">
        <f>E142+F142</f>
        <v>0</v>
      </c>
      <c r="H142" s="172">
        <f>IF($G$208=0,0,G142/$G$208)</f>
        <v>0</v>
      </c>
      <c r="I142" s="337"/>
      <c r="J142" s="168"/>
      <c r="K142" s="168"/>
      <c r="M142" s="364" t="e">
        <f t="shared" si="34"/>
        <v>#DIV/0!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490"/>
      <c r="D143" s="490"/>
      <c r="E143" s="171">
        <f t="shared" si="37"/>
        <v>0</v>
      </c>
      <c r="F143" s="573"/>
      <c r="G143" s="171">
        <f>E143+F143</f>
        <v>0</v>
      </c>
      <c r="H143" s="172">
        <f>IF($G$208=0,0,G143/$G$208)</f>
        <v>0</v>
      </c>
      <c r="I143" s="337"/>
      <c r="J143" s="168"/>
      <c r="K143" s="168"/>
      <c r="M143" s="364" t="e">
        <f t="shared" si="34"/>
        <v>#DIV/0!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7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490"/>
      <c r="D145" s="490"/>
      <c r="E145" s="171">
        <f t="shared" ref="E145:E153" si="38">C145+D145</f>
        <v>0</v>
      </c>
      <c r="F145" s="573"/>
      <c r="G145" s="171">
        <f t="shared" ref="G145:G153" si="39">E145+F145</f>
        <v>0</v>
      </c>
      <c r="H145" s="172">
        <f t="shared" ref="H145:H153" si="40">IF($G$208=0,0,G145/$G$208)</f>
        <v>0</v>
      </c>
      <c r="I145" s="337"/>
      <c r="J145" s="183"/>
      <c r="K145" s="183"/>
      <c r="M145" s="364" t="e">
        <f t="shared" si="34"/>
        <v>#DIV/0!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490"/>
      <c r="D146" s="490"/>
      <c r="E146" s="171">
        <f t="shared" si="38"/>
        <v>0</v>
      </c>
      <c r="F146" s="573"/>
      <c r="G146" s="171">
        <f t="shared" si="39"/>
        <v>0</v>
      </c>
      <c r="H146" s="172">
        <f t="shared" si="40"/>
        <v>0</v>
      </c>
      <c r="I146" s="337"/>
      <c r="J146" s="183"/>
      <c r="K146" s="183"/>
      <c r="M146" s="364" t="e">
        <f t="shared" si="34"/>
        <v>#DIV/0!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490"/>
      <c r="D147" s="490"/>
      <c r="E147" s="171">
        <f t="shared" si="38"/>
        <v>0</v>
      </c>
      <c r="F147" s="573"/>
      <c r="G147" s="171">
        <f t="shared" si="39"/>
        <v>0</v>
      </c>
      <c r="H147" s="172">
        <f t="shared" si="40"/>
        <v>0</v>
      </c>
      <c r="I147" s="337"/>
      <c r="J147" s="183"/>
      <c r="K147" s="183"/>
      <c r="M147" s="364" t="e">
        <f t="shared" si="34"/>
        <v>#DIV/0!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490"/>
      <c r="D148" s="490"/>
      <c r="E148" s="171">
        <f t="shared" si="38"/>
        <v>0</v>
      </c>
      <c r="F148" s="573"/>
      <c r="G148" s="171">
        <f t="shared" si="39"/>
        <v>0</v>
      </c>
      <c r="H148" s="172">
        <f t="shared" si="40"/>
        <v>0</v>
      </c>
      <c r="I148" s="337"/>
      <c r="J148" s="183"/>
      <c r="K148" s="183"/>
      <c r="M148" s="364" t="e">
        <f t="shared" si="34"/>
        <v>#DIV/0!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490"/>
      <c r="D149" s="490"/>
      <c r="E149" s="171">
        <f t="shared" si="38"/>
        <v>0</v>
      </c>
      <c r="F149" s="573"/>
      <c r="G149" s="171">
        <f t="shared" si="39"/>
        <v>0</v>
      </c>
      <c r="H149" s="172">
        <f t="shared" si="40"/>
        <v>0</v>
      </c>
      <c r="I149" s="337"/>
      <c r="J149" s="183"/>
      <c r="K149" s="183"/>
      <c r="M149" s="364" t="e">
        <f t="shared" si="34"/>
        <v>#DIV/0!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490"/>
      <c r="D150" s="490"/>
      <c r="E150" s="171">
        <f t="shared" si="38"/>
        <v>0</v>
      </c>
      <c r="F150" s="573"/>
      <c r="G150" s="171">
        <f t="shared" si="39"/>
        <v>0</v>
      </c>
      <c r="H150" s="172">
        <f t="shared" si="40"/>
        <v>0</v>
      </c>
      <c r="I150" s="337"/>
      <c r="J150" s="168"/>
      <c r="K150" s="168"/>
      <c r="M150" s="364" t="e">
        <f t="shared" si="34"/>
        <v>#DIV/0!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490"/>
      <c r="D151" s="490"/>
      <c r="E151" s="171">
        <f t="shared" si="38"/>
        <v>0</v>
      </c>
      <c r="F151" s="573"/>
      <c r="G151" s="171">
        <f t="shared" si="39"/>
        <v>0</v>
      </c>
      <c r="H151" s="172">
        <f t="shared" si="40"/>
        <v>0</v>
      </c>
      <c r="I151" s="337"/>
      <c r="J151" s="168"/>
      <c r="K151" s="168"/>
      <c r="M151" s="364" t="e">
        <f t="shared" si="34"/>
        <v>#DIV/0!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490"/>
      <c r="D152" s="490"/>
      <c r="E152" s="171">
        <f t="shared" si="38"/>
        <v>0</v>
      </c>
      <c r="F152" s="573"/>
      <c r="G152" s="171">
        <f t="shared" si="39"/>
        <v>0</v>
      </c>
      <c r="H152" s="172">
        <f t="shared" si="40"/>
        <v>0</v>
      </c>
      <c r="I152" s="337"/>
      <c r="J152" s="168"/>
      <c r="K152" s="168"/>
      <c r="M152" s="364" t="e">
        <f t="shared" si="34"/>
        <v>#DIV/0!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490"/>
      <c r="D153" s="490"/>
      <c r="E153" s="171">
        <f t="shared" si="38"/>
        <v>0</v>
      </c>
      <c r="F153" s="573"/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 t="e">
        <f t="shared" si="34"/>
        <v>#DIV/0!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210"/>
      <c r="D154" s="210"/>
      <c r="E154" s="210"/>
      <c r="F154" s="572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490"/>
      <c r="D155" s="490"/>
      <c r="E155" s="171">
        <f t="shared" ref="E155:E160" si="41">C155+D155</f>
        <v>0</v>
      </c>
      <c r="F155" s="573"/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 t="e">
        <f t="shared" si="34"/>
        <v>#DIV/0!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490"/>
      <c r="D156" s="490"/>
      <c r="E156" s="171">
        <f t="shared" si="41"/>
        <v>0</v>
      </c>
      <c r="F156" s="573"/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 t="e">
        <f t="shared" si="34"/>
        <v>#DIV/0!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490"/>
      <c r="D157" s="490"/>
      <c r="E157" s="171">
        <f t="shared" si="41"/>
        <v>0</v>
      </c>
      <c r="F157" s="573"/>
      <c r="G157" s="171">
        <f t="shared" si="42"/>
        <v>0</v>
      </c>
      <c r="H157" s="172">
        <f t="shared" si="43"/>
        <v>0</v>
      </c>
      <c r="I157" s="337"/>
      <c r="J157" s="168"/>
      <c r="K157" s="168"/>
      <c r="M157" s="364" t="e">
        <f t="shared" si="34"/>
        <v>#DIV/0!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490"/>
      <c r="D158" s="490"/>
      <c r="E158" s="171">
        <f t="shared" si="41"/>
        <v>0</v>
      </c>
      <c r="F158" s="573"/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 t="e">
        <f t="shared" si="34"/>
        <v>#DIV/0!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490"/>
      <c r="D159" s="490"/>
      <c r="E159" s="171">
        <f t="shared" si="41"/>
        <v>0</v>
      </c>
      <c r="F159" s="573"/>
      <c r="G159" s="171">
        <f t="shared" si="42"/>
        <v>0</v>
      </c>
      <c r="H159" s="172">
        <f>IF($G$208=0,0,G159/$G$208)</f>
        <v>0</v>
      </c>
      <c r="I159" s="337"/>
      <c r="J159" s="168"/>
      <c r="K159" s="168"/>
      <c r="M159" s="364" t="e">
        <f t="shared" si="34"/>
        <v>#DIV/0!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490"/>
      <c r="D160" s="490"/>
      <c r="E160" s="171">
        <f t="shared" si="41"/>
        <v>0</v>
      </c>
      <c r="F160" s="573"/>
      <c r="G160" s="171">
        <f t="shared" si="42"/>
        <v>0</v>
      </c>
      <c r="H160" s="172">
        <f t="shared" si="43"/>
        <v>0</v>
      </c>
      <c r="I160" s="337"/>
      <c r="J160" s="168"/>
      <c r="K160" s="168"/>
      <c r="M160" s="364" t="e">
        <f t="shared" si="34"/>
        <v>#DIV/0!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490">
        <f>SUM(C123:C160)</f>
        <v>0</v>
      </c>
      <c r="D161" s="490">
        <f>SUM(D123:D160)</f>
        <v>0</v>
      </c>
      <c r="E161" s="171">
        <f t="shared" ref="E161" si="44">SUM(E123:E160)</f>
        <v>0</v>
      </c>
      <c r="F161" s="573">
        <f>SUM(F123:F160)</f>
        <v>0</v>
      </c>
      <c r="G161" s="171">
        <f>SUM(G123:G160)</f>
        <v>0</v>
      </c>
      <c r="H161" s="172">
        <f t="shared" si="43"/>
        <v>0</v>
      </c>
      <c r="I161" s="337"/>
      <c r="J161" s="168"/>
      <c r="K161" s="168"/>
      <c r="M161" s="364" t="e">
        <f>G161/G$228</f>
        <v>#DIV/0!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337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7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490"/>
      <c r="D164" s="490"/>
      <c r="E164" s="171">
        <f t="shared" ref="E164:E196" si="45">C164+D164</f>
        <v>0</v>
      </c>
      <c r="F164" s="573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/>
      <c r="K164" s="217"/>
      <c r="L164" s="218"/>
      <c r="M164" s="364" t="e">
        <f>G164/G$228</f>
        <v>#DIV/0!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490"/>
      <c r="D165" s="490"/>
      <c r="E165" s="171">
        <f t="shared" si="45"/>
        <v>0</v>
      </c>
      <c r="F165" s="573"/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8"/>
      <c r="M165" s="364" t="e">
        <f t="shared" ref="M165:M196" si="48">G165/G$228</f>
        <v>#DIV/0!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490"/>
      <c r="D166" s="490"/>
      <c r="E166" s="171">
        <f t="shared" si="45"/>
        <v>0</v>
      </c>
      <c r="F166" s="573"/>
      <c r="G166" s="171">
        <f t="shared" si="46"/>
        <v>0</v>
      </c>
      <c r="H166" s="172">
        <f t="shared" si="47"/>
        <v>0</v>
      </c>
      <c r="I166" s="343"/>
      <c r="J166" s="217"/>
      <c r="K166" s="217"/>
      <c r="L166" s="218"/>
      <c r="M166" s="364" t="e">
        <f t="shared" si="48"/>
        <v>#DIV/0!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490"/>
      <c r="D167" s="490"/>
      <c r="E167" s="171">
        <f t="shared" si="45"/>
        <v>0</v>
      </c>
      <c r="F167" s="573"/>
      <c r="G167" s="171">
        <f t="shared" si="46"/>
        <v>0</v>
      </c>
      <c r="H167" s="172">
        <f t="shared" si="47"/>
        <v>0</v>
      </c>
      <c r="I167" s="344"/>
      <c r="J167" s="222"/>
      <c r="K167" s="222"/>
      <c r="L167" s="218"/>
      <c r="M167" s="364" t="e">
        <f t="shared" si="48"/>
        <v>#DIV/0!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490"/>
      <c r="D168" s="490"/>
      <c r="E168" s="171">
        <f t="shared" si="45"/>
        <v>0</v>
      </c>
      <c r="F168" s="573"/>
      <c r="G168" s="171">
        <f t="shared" si="46"/>
        <v>0</v>
      </c>
      <c r="H168" s="172">
        <f t="shared" si="47"/>
        <v>0</v>
      </c>
      <c r="I168" s="343"/>
      <c r="J168" s="217"/>
      <c r="K168" s="217"/>
      <c r="L168" s="218"/>
      <c r="M168" s="364" t="e">
        <f t="shared" si="48"/>
        <v>#DIV/0!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490"/>
      <c r="D169" s="490"/>
      <c r="E169" s="171">
        <f t="shared" si="45"/>
        <v>0</v>
      </c>
      <c r="F169" s="573"/>
      <c r="G169" s="171">
        <f t="shared" si="46"/>
        <v>0</v>
      </c>
      <c r="H169" s="172">
        <f t="shared" si="47"/>
        <v>0</v>
      </c>
      <c r="I169" s="344"/>
      <c r="J169" s="222"/>
      <c r="K169" s="222"/>
      <c r="L169" s="218"/>
      <c r="M169" s="364" t="e">
        <f t="shared" si="48"/>
        <v>#DIV/0!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490"/>
      <c r="D170" s="490"/>
      <c r="E170" s="171">
        <f t="shared" si="45"/>
        <v>0</v>
      </c>
      <c r="F170" s="573"/>
      <c r="G170" s="171">
        <f t="shared" si="46"/>
        <v>0</v>
      </c>
      <c r="H170" s="172">
        <f t="shared" si="47"/>
        <v>0</v>
      </c>
      <c r="I170" s="343"/>
      <c r="J170" s="217"/>
      <c r="K170" s="217"/>
      <c r="L170" s="218"/>
      <c r="M170" s="364" t="e">
        <f t="shared" si="48"/>
        <v>#DIV/0!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490"/>
      <c r="D171" s="490"/>
      <c r="E171" s="171">
        <f t="shared" si="45"/>
        <v>0</v>
      </c>
      <c r="F171" s="573"/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18"/>
      <c r="M171" s="364" t="e">
        <f t="shared" si="48"/>
        <v>#DIV/0!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490"/>
      <c r="D172" s="490"/>
      <c r="E172" s="171">
        <f t="shared" si="45"/>
        <v>0</v>
      </c>
      <c r="F172" s="573"/>
      <c r="G172" s="171">
        <f t="shared" si="46"/>
        <v>0</v>
      </c>
      <c r="H172" s="172">
        <f t="shared" si="47"/>
        <v>0</v>
      </c>
      <c r="I172" s="343"/>
      <c r="J172" s="217"/>
      <c r="K172" s="217"/>
      <c r="L172" s="218"/>
      <c r="M172" s="364" t="e">
        <f t="shared" si="48"/>
        <v>#DIV/0!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490"/>
      <c r="D173" s="490"/>
      <c r="E173" s="171">
        <f t="shared" si="45"/>
        <v>0</v>
      </c>
      <c r="F173" s="573"/>
      <c r="G173" s="171">
        <f t="shared" si="46"/>
        <v>0</v>
      </c>
      <c r="H173" s="172">
        <f t="shared" si="47"/>
        <v>0</v>
      </c>
      <c r="I173" s="344"/>
      <c r="J173" s="222"/>
      <c r="K173" s="222"/>
      <c r="L173" s="218"/>
      <c r="M173" s="364" t="e">
        <f t="shared" si="48"/>
        <v>#DIV/0!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490"/>
      <c r="D174" s="490"/>
      <c r="E174" s="171">
        <f t="shared" si="45"/>
        <v>0</v>
      </c>
      <c r="F174" s="573"/>
      <c r="G174" s="171">
        <f t="shared" si="46"/>
        <v>0</v>
      </c>
      <c r="H174" s="172">
        <f t="shared" si="47"/>
        <v>0</v>
      </c>
      <c r="I174" s="343"/>
      <c r="J174" s="217"/>
      <c r="K174" s="217"/>
      <c r="L174" s="218"/>
      <c r="M174" s="364" t="e">
        <f t="shared" si="48"/>
        <v>#DIV/0!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490"/>
      <c r="D175" s="490"/>
      <c r="E175" s="171">
        <f t="shared" si="45"/>
        <v>0</v>
      </c>
      <c r="F175" s="573"/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 t="e">
        <f t="shared" si="48"/>
        <v>#DIV/0!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490"/>
      <c r="D176" s="490"/>
      <c r="E176" s="171">
        <f t="shared" si="45"/>
        <v>0</v>
      </c>
      <c r="F176" s="573"/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 t="e">
        <f t="shared" si="48"/>
        <v>#DIV/0!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490"/>
      <c r="D177" s="490"/>
      <c r="E177" s="171">
        <f t="shared" si="45"/>
        <v>0</v>
      </c>
      <c r="F177" s="573"/>
      <c r="G177" s="171">
        <f t="shared" si="46"/>
        <v>0</v>
      </c>
      <c r="H177" s="172">
        <f t="shared" si="47"/>
        <v>0</v>
      </c>
      <c r="I177" s="337"/>
      <c r="J177" s="223"/>
      <c r="K177" s="218"/>
      <c r="L177" s="220"/>
      <c r="M177" s="364" t="e">
        <f t="shared" si="48"/>
        <v>#DIV/0!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490"/>
      <c r="D178" s="490"/>
      <c r="E178" s="171">
        <f t="shared" si="45"/>
        <v>0</v>
      </c>
      <c r="F178" s="573"/>
      <c r="G178" s="171">
        <f t="shared" si="46"/>
        <v>0</v>
      </c>
      <c r="H178" s="172">
        <f t="shared" si="47"/>
        <v>0</v>
      </c>
      <c r="I178" s="337"/>
      <c r="J178" s="223"/>
      <c r="K178" s="218"/>
      <c r="L178" s="220"/>
      <c r="M178" s="364" t="e">
        <f t="shared" si="48"/>
        <v>#DIV/0!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490"/>
      <c r="D179" s="490"/>
      <c r="E179" s="171">
        <f t="shared" si="45"/>
        <v>0</v>
      </c>
      <c r="F179" s="573"/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 t="e">
        <f t="shared" si="48"/>
        <v>#DIV/0!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490"/>
      <c r="D180" s="490"/>
      <c r="E180" s="171">
        <f t="shared" si="45"/>
        <v>0</v>
      </c>
      <c r="F180" s="573"/>
      <c r="G180" s="171">
        <f t="shared" si="46"/>
        <v>0</v>
      </c>
      <c r="H180" s="172">
        <f t="shared" si="47"/>
        <v>0</v>
      </c>
      <c r="I180" s="337"/>
      <c r="J180" s="223"/>
      <c r="K180" s="218"/>
      <c r="L180" s="220"/>
      <c r="M180" s="364" t="e">
        <f t="shared" si="48"/>
        <v>#DIV/0!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490"/>
      <c r="D181" s="490"/>
      <c r="E181" s="171">
        <f t="shared" si="45"/>
        <v>0</v>
      </c>
      <c r="F181" s="573"/>
      <c r="G181" s="171">
        <f t="shared" si="46"/>
        <v>0</v>
      </c>
      <c r="H181" s="172">
        <f t="shared" si="47"/>
        <v>0</v>
      </c>
      <c r="I181" s="337"/>
      <c r="J181" s="223"/>
      <c r="K181" s="218"/>
      <c r="L181" s="220"/>
      <c r="M181" s="364" t="e">
        <f t="shared" si="48"/>
        <v>#DIV/0!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490"/>
      <c r="D182" s="490"/>
      <c r="E182" s="171">
        <f t="shared" si="45"/>
        <v>0</v>
      </c>
      <c r="F182" s="573"/>
      <c r="G182" s="171">
        <f t="shared" si="46"/>
        <v>0</v>
      </c>
      <c r="H182" s="172">
        <f t="shared" si="47"/>
        <v>0</v>
      </c>
      <c r="I182" s="337"/>
      <c r="J182" s="223"/>
      <c r="K182" s="218"/>
      <c r="L182" s="220"/>
      <c r="M182" s="364" t="e">
        <f t="shared" si="48"/>
        <v>#DIV/0!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490"/>
      <c r="D183" s="490"/>
      <c r="E183" s="171">
        <f t="shared" si="45"/>
        <v>0</v>
      </c>
      <c r="F183" s="573"/>
      <c r="G183" s="171">
        <f t="shared" si="46"/>
        <v>0</v>
      </c>
      <c r="H183" s="172">
        <f t="shared" si="47"/>
        <v>0</v>
      </c>
      <c r="I183" s="337"/>
      <c r="J183" s="223"/>
      <c r="K183" s="218"/>
      <c r="M183" s="364" t="e">
        <f t="shared" si="48"/>
        <v>#DIV/0!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490"/>
      <c r="D184" s="490"/>
      <c r="E184" s="171">
        <f t="shared" si="45"/>
        <v>0</v>
      </c>
      <c r="F184" s="573"/>
      <c r="G184" s="171">
        <f t="shared" si="46"/>
        <v>0</v>
      </c>
      <c r="H184" s="172">
        <f t="shared" si="47"/>
        <v>0</v>
      </c>
      <c r="I184" s="337"/>
      <c r="J184" s="223"/>
      <c r="K184" s="218"/>
      <c r="M184" s="364" t="e">
        <f t="shared" si="48"/>
        <v>#DIV/0!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490"/>
      <c r="D185" s="490"/>
      <c r="E185" s="171">
        <f t="shared" si="45"/>
        <v>0</v>
      </c>
      <c r="F185" s="573"/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 t="e">
        <f t="shared" si="48"/>
        <v>#DIV/0!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490"/>
      <c r="D186" s="490"/>
      <c r="E186" s="171">
        <f t="shared" si="45"/>
        <v>0</v>
      </c>
      <c r="F186" s="573"/>
      <c r="G186" s="171">
        <f t="shared" si="46"/>
        <v>0</v>
      </c>
      <c r="H186" s="172">
        <f t="shared" si="47"/>
        <v>0</v>
      </c>
      <c r="I186" s="337"/>
      <c r="J186" s="223"/>
      <c r="K186" s="218"/>
      <c r="M186" s="364" t="e">
        <f t="shared" si="48"/>
        <v>#DIV/0!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490"/>
      <c r="D187" s="490"/>
      <c r="E187" s="171">
        <f t="shared" si="45"/>
        <v>0</v>
      </c>
      <c r="F187" s="573"/>
      <c r="G187" s="171">
        <f t="shared" si="46"/>
        <v>0</v>
      </c>
      <c r="H187" s="172">
        <f t="shared" si="47"/>
        <v>0</v>
      </c>
      <c r="I187" s="337"/>
      <c r="J187" s="223"/>
      <c r="K187" s="218"/>
      <c r="M187" s="364" t="e">
        <f t="shared" si="48"/>
        <v>#DIV/0!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490"/>
      <c r="D188" s="490"/>
      <c r="E188" s="171">
        <f t="shared" si="45"/>
        <v>0</v>
      </c>
      <c r="F188" s="573"/>
      <c r="G188" s="171">
        <f t="shared" si="46"/>
        <v>0</v>
      </c>
      <c r="H188" s="172">
        <f t="shared" si="47"/>
        <v>0</v>
      </c>
      <c r="I188" s="337"/>
      <c r="J188" s="223"/>
      <c r="K188" s="218"/>
      <c r="M188" s="364" t="e">
        <f t="shared" si="48"/>
        <v>#DIV/0!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490"/>
      <c r="D189" s="490"/>
      <c r="E189" s="171">
        <f t="shared" si="45"/>
        <v>0</v>
      </c>
      <c r="F189" s="573"/>
      <c r="G189" s="171">
        <f t="shared" si="46"/>
        <v>0</v>
      </c>
      <c r="H189" s="172">
        <f t="shared" si="47"/>
        <v>0</v>
      </c>
      <c r="I189" s="337"/>
      <c r="J189" s="223"/>
      <c r="K189" s="218"/>
      <c r="M189" s="364" t="e">
        <f t="shared" si="48"/>
        <v>#DIV/0!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490"/>
      <c r="D190" s="490"/>
      <c r="E190" s="171">
        <f t="shared" si="45"/>
        <v>0</v>
      </c>
      <c r="F190" s="573"/>
      <c r="G190" s="171">
        <f t="shared" si="46"/>
        <v>0</v>
      </c>
      <c r="H190" s="172">
        <f t="shared" si="47"/>
        <v>0</v>
      </c>
      <c r="I190" s="337"/>
      <c r="J190" s="223"/>
      <c r="K190" s="218"/>
      <c r="M190" s="364" t="e">
        <f t="shared" si="48"/>
        <v>#DIV/0!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490"/>
      <c r="D191" s="490"/>
      <c r="E191" s="171">
        <f t="shared" si="45"/>
        <v>0</v>
      </c>
      <c r="F191" s="573"/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 t="e">
        <f t="shared" si="48"/>
        <v>#DIV/0!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490"/>
      <c r="D192" s="490"/>
      <c r="E192" s="171">
        <f t="shared" si="45"/>
        <v>0</v>
      </c>
      <c r="F192" s="573"/>
      <c r="G192" s="171">
        <f t="shared" si="46"/>
        <v>0</v>
      </c>
      <c r="H192" s="172">
        <f t="shared" si="47"/>
        <v>0</v>
      </c>
      <c r="I192" s="337"/>
      <c r="J192" s="223"/>
      <c r="K192" s="218"/>
      <c r="M192" s="364" t="e">
        <f t="shared" si="48"/>
        <v>#DIV/0!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490"/>
      <c r="D193" s="490"/>
      <c r="E193" s="171">
        <f t="shared" si="45"/>
        <v>0</v>
      </c>
      <c r="F193" s="573"/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 t="e">
        <f t="shared" si="48"/>
        <v>#DIV/0!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490"/>
      <c r="D194" s="490"/>
      <c r="E194" s="171">
        <f t="shared" si="45"/>
        <v>0</v>
      </c>
      <c r="F194" s="573"/>
      <c r="G194" s="171">
        <f t="shared" si="46"/>
        <v>0</v>
      </c>
      <c r="H194" s="172">
        <f t="shared" si="47"/>
        <v>0</v>
      </c>
      <c r="I194" s="337"/>
      <c r="J194" s="223"/>
      <c r="K194" s="218"/>
      <c r="M194" s="364" t="e">
        <f t="shared" si="48"/>
        <v>#DIV/0!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490"/>
      <c r="D195" s="490"/>
      <c r="E195" s="171">
        <f t="shared" si="45"/>
        <v>0</v>
      </c>
      <c r="F195" s="573"/>
      <c r="G195" s="171">
        <f t="shared" si="46"/>
        <v>0</v>
      </c>
      <c r="H195" s="172">
        <f t="shared" si="47"/>
        <v>0</v>
      </c>
      <c r="I195" s="337"/>
      <c r="J195" s="223"/>
      <c r="K195" s="218"/>
      <c r="M195" s="364" t="e">
        <f t="shared" si="48"/>
        <v>#DIV/0!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490"/>
      <c r="D196" s="490"/>
      <c r="E196" s="171">
        <f t="shared" si="45"/>
        <v>0</v>
      </c>
      <c r="F196" s="573"/>
      <c r="G196" s="171">
        <f t="shared" si="46"/>
        <v>0</v>
      </c>
      <c r="H196" s="172">
        <f t="shared" si="47"/>
        <v>0</v>
      </c>
      <c r="I196" s="337"/>
      <c r="J196" s="223"/>
      <c r="K196" s="218"/>
      <c r="M196" s="364" t="e">
        <f t="shared" si="48"/>
        <v>#DIV/0!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490">
        <f>SUM(C164:C196)</f>
        <v>0</v>
      </c>
      <c r="D197" s="490">
        <f>SUM(D164:D196)</f>
        <v>0</v>
      </c>
      <c r="E197" s="171">
        <f t="shared" ref="E197" si="49">SUM(E164:E196)</f>
        <v>0</v>
      </c>
      <c r="F197" s="573">
        <f>SUM(F164:F196)</f>
        <v>0</v>
      </c>
      <c r="G197" s="171">
        <f>SUM(G164:G196)</f>
        <v>0</v>
      </c>
      <c r="H197" s="172">
        <f>IF($G$208=0,0,G197/$G$208)</f>
        <v>0</v>
      </c>
      <c r="I197" s="337"/>
      <c r="J197" s="168"/>
      <c r="K197" s="168"/>
      <c r="M197" s="364" t="e">
        <f>G197/G$228</f>
        <v>#DIV/0!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165"/>
      <c r="G198" s="165"/>
      <c r="H198" s="198"/>
      <c r="I198" s="341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1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490"/>
      <c r="D200" s="490"/>
      <c r="E200" s="171">
        <f t="shared" ref="E200:E205" si="50">C200+D200</f>
        <v>0</v>
      </c>
      <c r="F200" s="573"/>
      <c r="G200" s="171">
        <f t="shared" ref="G200:G205" si="51">E200+F200</f>
        <v>0</v>
      </c>
      <c r="H200" s="172">
        <f t="shared" ref="H200:H206" si="52">IF($G$208=0,0,G200/$G$208)</f>
        <v>0</v>
      </c>
      <c r="I200" s="337"/>
      <c r="J200" s="183"/>
      <c r="K200" s="183"/>
      <c r="M200" s="364" t="e">
        <f t="shared" ref="M200:M205" si="53">G200/G$228</f>
        <v>#DIV/0!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490"/>
      <c r="D201" s="490"/>
      <c r="E201" s="171">
        <f t="shared" si="50"/>
        <v>0</v>
      </c>
      <c r="F201" s="573"/>
      <c r="G201" s="171">
        <f t="shared" si="51"/>
        <v>0</v>
      </c>
      <c r="H201" s="172">
        <f t="shared" si="52"/>
        <v>0</v>
      </c>
      <c r="I201" s="337"/>
      <c r="J201" s="168"/>
      <c r="K201" s="168"/>
      <c r="M201" s="364" t="e">
        <f t="shared" si="53"/>
        <v>#DIV/0!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490"/>
      <c r="D202" s="490"/>
      <c r="E202" s="171">
        <f t="shared" si="50"/>
        <v>0</v>
      </c>
      <c r="F202" s="573"/>
      <c r="G202" s="171">
        <f t="shared" si="51"/>
        <v>0</v>
      </c>
      <c r="H202" s="172">
        <f t="shared" si="52"/>
        <v>0</v>
      </c>
      <c r="I202" s="337"/>
      <c r="J202" s="168"/>
      <c r="K202" s="168"/>
      <c r="M202" s="364" t="e">
        <f t="shared" si="53"/>
        <v>#DIV/0!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490"/>
      <c r="D203" s="490"/>
      <c r="E203" s="171">
        <f t="shared" si="50"/>
        <v>0</v>
      </c>
      <c r="F203" s="573"/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 t="e">
        <f t="shared" si="53"/>
        <v>#DIV/0!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490"/>
      <c r="D204" s="490"/>
      <c r="E204" s="171">
        <f t="shared" si="50"/>
        <v>0</v>
      </c>
      <c r="F204" s="573"/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 t="e">
        <f t="shared" si="53"/>
        <v>#DIV/0!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490"/>
      <c r="D205" s="490"/>
      <c r="E205" s="171">
        <f t="shared" si="50"/>
        <v>0</v>
      </c>
      <c r="F205" s="573"/>
      <c r="G205" s="171">
        <f t="shared" si="51"/>
        <v>0</v>
      </c>
      <c r="H205" s="172">
        <f t="shared" si="52"/>
        <v>0</v>
      </c>
      <c r="I205" s="337"/>
      <c r="J205" s="168"/>
      <c r="K205" s="168"/>
      <c r="M205" s="364" t="e">
        <f t="shared" si="53"/>
        <v>#DIV/0!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490">
        <f>SUM(C200:C205)</f>
        <v>0</v>
      </c>
      <c r="D206" s="490">
        <f>SUM(D200:D205)</f>
        <v>0</v>
      </c>
      <c r="E206" s="171">
        <f t="shared" ref="E206" si="54">SUM(E200:E205)</f>
        <v>0</v>
      </c>
      <c r="F206" s="573">
        <f>SUM(F200:F205)</f>
        <v>0</v>
      </c>
      <c r="G206" s="171">
        <f>SUM(G200:G205)</f>
        <v>0</v>
      </c>
      <c r="H206" s="172">
        <f t="shared" si="52"/>
        <v>0</v>
      </c>
      <c r="I206" s="337"/>
      <c r="J206" s="168"/>
      <c r="K206" s="168"/>
      <c r="M206" s="364" t="e">
        <f>G206/G$228</f>
        <v>#DIV/0!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490">
        <f>SUM(C25:C206)/2</f>
        <v>0</v>
      </c>
      <c r="D208" s="490">
        <f>SUM(D25:D206)/2</f>
        <v>0</v>
      </c>
      <c r="E208" s="171">
        <f t="shared" ref="E208:F208" si="55">SUM(E25:E206)/2</f>
        <v>0</v>
      </c>
      <c r="F208" s="171">
        <f t="shared" si="55"/>
        <v>0</v>
      </c>
      <c r="G208" s="171">
        <f>SUM(G25:G206)/2</f>
        <v>0</v>
      </c>
      <c r="H208" s="172">
        <f>IF($G$208=0,0,G208/$G$208)</f>
        <v>0</v>
      </c>
      <c r="I208" s="337"/>
      <c r="J208" s="183">
        <f>SUM(J25:J200)</f>
        <v>0</v>
      </c>
      <c r="K208" s="183">
        <f>SUM(K25:K200)</f>
        <v>0</v>
      </c>
      <c r="M208" s="364" t="e">
        <f>G208/G$228</f>
        <v>#DIV/0!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515" t="s">
        <v>451</v>
      </c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490"/>
      <c r="D211" s="196"/>
      <c r="E211" s="516" t="s">
        <v>453</v>
      </c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490">
        <f>C208-C211</f>
        <v>0</v>
      </c>
      <c r="D212" s="229"/>
      <c r="E212" s="515" t="s">
        <v>452</v>
      </c>
      <c r="F212"/>
      <c r="G212"/>
      <c r="I212" s="333"/>
      <c r="J212" s="168"/>
      <c r="K212" s="168"/>
    </row>
    <row r="213" spans="1:14" s="167" customFormat="1">
      <c r="A213" s="163"/>
      <c r="B213" s="230"/>
      <c r="C213" s="231"/>
      <c r="D213" s="232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490">
        <f>C21-C208</f>
        <v>0</v>
      </c>
      <c r="D215" s="490">
        <f>D21-D208</f>
        <v>0</v>
      </c>
      <c r="E215" s="171">
        <f t="shared" ref="E215:F215" si="56">E21-E208</f>
        <v>0</v>
      </c>
      <c r="F215" s="171">
        <f t="shared" si="56"/>
        <v>0</v>
      </c>
      <c r="G215" s="171">
        <f>G21-G208</f>
        <v>0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491"/>
      <c r="D219" s="491"/>
      <c r="E219" s="235">
        <f t="shared" ref="E219:G227" si="57">C219+D219</f>
        <v>0</v>
      </c>
      <c r="F219" s="497"/>
      <c r="G219" s="235">
        <f t="shared" si="57"/>
        <v>0</v>
      </c>
      <c r="H219" s="172">
        <f t="shared" ref="H219:H228" si="58">IF($G$228=0,0,G219/$G$228)</f>
        <v>0</v>
      </c>
      <c r="I219" s="337"/>
      <c r="J219" s="168"/>
      <c r="K219" s="168"/>
    </row>
    <row r="220" spans="1:14">
      <c r="A220" s="163"/>
      <c r="B220" s="170" t="s">
        <v>217</v>
      </c>
      <c r="C220" s="491"/>
      <c r="D220" s="491"/>
      <c r="E220" s="235">
        <f t="shared" ref="E220:E227" si="59">C220+D220</f>
        <v>0</v>
      </c>
      <c r="F220" s="497"/>
      <c r="G220" s="235">
        <f t="shared" si="57"/>
        <v>0</v>
      </c>
      <c r="H220" s="172">
        <f t="shared" si="58"/>
        <v>0</v>
      </c>
      <c r="I220" s="337"/>
      <c r="J220" s="168"/>
      <c r="K220" s="168"/>
    </row>
    <row r="221" spans="1:14">
      <c r="A221" s="163"/>
      <c r="B221" s="170" t="s">
        <v>72</v>
      </c>
      <c r="C221" s="491"/>
      <c r="D221" s="491"/>
      <c r="E221" s="235">
        <f t="shared" si="59"/>
        <v>0</v>
      </c>
      <c r="F221" s="497"/>
      <c r="G221" s="235">
        <f t="shared" si="57"/>
        <v>0</v>
      </c>
      <c r="H221" s="172">
        <f t="shared" si="58"/>
        <v>0</v>
      </c>
      <c r="I221" s="337"/>
      <c r="J221" s="168"/>
      <c r="K221" s="168"/>
    </row>
    <row r="222" spans="1:14">
      <c r="A222" s="163"/>
      <c r="B222" s="202" t="s">
        <v>334</v>
      </c>
      <c r="C222" s="491"/>
      <c r="D222" s="491"/>
      <c r="E222" s="235">
        <f>C222+D222</f>
        <v>0</v>
      </c>
      <c r="F222" s="497"/>
      <c r="G222" s="235">
        <f t="shared" si="57"/>
        <v>0</v>
      </c>
      <c r="H222" s="172">
        <f t="shared" si="58"/>
        <v>0</v>
      </c>
      <c r="I222" s="337"/>
      <c r="J222" s="168"/>
      <c r="K222" s="168"/>
    </row>
    <row r="223" spans="1:14">
      <c r="A223" s="163"/>
      <c r="B223" s="170" t="s">
        <v>73</v>
      </c>
      <c r="C223" s="491"/>
      <c r="D223" s="491"/>
      <c r="E223" s="235">
        <f t="shared" si="59"/>
        <v>0</v>
      </c>
      <c r="F223" s="497"/>
      <c r="G223" s="235">
        <f t="shared" si="57"/>
        <v>0</v>
      </c>
      <c r="H223" s="172">
        <f t="shared" si="58"/>
        <v>0</v>
      </c>
      <c r="I223" s="337"/>
      <c r="J223" s="168"/>
      <c r="K223" s="168"/>
    </row>
    <row r="224" spans="1:14">
      <c r="A224" s="163"/>
      <c r="B224" s="170" t="s">
        <v>74</v>
      </c>
      <c r="C224" s="491"/>
      <c r="D224" s="491"/>
      <c r="E224" s="235">
        <f t="shared" si="59"/>
        <v>0</v>
      </c>
      <c r="F224" s="497"/>
      <c r="G224" s="235">
        <f t="shared" si="57"/>
        <v>0</v>
      </c>
      <c r="H224" s="172">
        <f t="shared" si="58"/>
        <v>0</v>
      </c>
      <c r="I224" s="337"/>
      <c r="J224" s="168"/>
      <c r="K224" s="168"/>
    </row>
    <row r="225" spans="1:11">
      <c r="A225" s="163"/>
      <c r="B225" s="170" t="s">
        <v>236</v>
      </c>
      <c r="C225" s="491"/>
      <c r="D225" s="491"/>
      <c r="E225" s="235">
        <f t="shared" si="59"/>
        <v>0</v>
      </c>
      <c r="F225" s="497"/>
      <c r="G225" s="235">
        <f t="shared" si="57"/>
        <v>0</v>
      </c>
      <c r="H225" s="172">
        <f t="shared" si="58"/>
        <v>0</v>
      </c>
      <c r="I225" s="337"/>
      <c r="J225" s="168"/>
      <c r="K225" s="168"/>
    </row>
    <row r="226" spans="1:11">
      <c r="A226" s="163"/>
      <c r="B226" s="170" t="s">
        <v>235</v>
      </c>
      <c r="C226" s="491"/>
      <c r="D226" s="491"/>
      <c r="E226" s="235">
        <f>C226+D226</f>
        <v>0</v>
      </c>
      <c r="F226" s="497"/>
      <c r="G226" s="235">
        <f t="shared" si="57"/>
        <v>0</v>
      </c>
      <c r="H226" s="172">
        <f t="shared" si="58"/>
        <v>0</v>
      </c>
      <c r="I226" s="337"/>
      <c r="J226" s="168"/>
      <c r="K226" s="168"/>
    </row>
    <row r="227" spans="1:11">
      <c r="A227" s="163"/>
      <c r="B227" s="170" t="s">
        <v>179</v>
      </c>
      <c r="C227" s="491"/>
      <c r="D227" s="491"/>
      <c r="E227" s="235">
        <f t="shared" si="59"/>
        <v>0</v>
      </c>
      <c r="F227" s="497"/>
      <c r="G227" s="235">
        <f t="shared" si="57"/>
        <v>0</v>
      </c>
      <c r="H227" s="172">
        <f t="shared" si="58"/>
        <v>0</v>
      </c>
      <c r="I227" s="337"/>
      <c r="J227" s="168"/>
      <c r="K227" s="168"/>
    </row>
    <row r="228" spans="1:11" ht="13.5" thickBot="1">
      <c r="A228" s="163"/>
      <c r="B228" s="236" t="s">
        <v>75</v>
      </c>
      <c r="C228" s="491">
        <f>SUM(C219:C227)</f>
        <v>0</v>
      </c>
      <c r="D228" s="491">
        <f>SUM(D219:D227)</f>
        <v>0</v>
      </c>
      <c r="E228" s="237">
        <f>SUM(E219:E227)</f>
        <v>0</v>
      </c>
      <c r="F228" s="497">
        <f>SUM(F219:F227)</f>
        <v>0</v>
      </c>
      <c r="G228" s="237">
        <f>SUM(G219:G227)</f>
        <v>0</v>
      </c>
      <c r="H228" s="172">
        <f t="shared" si="58"/>
        <v>0</v>
      </c>
      <c r="I228" s="337"/>
      <c r="J228" s="168"/>
      <c r="K228" s="168"/>
    </row>
    <row r="229" spans="1:11" ht="13.5" thickTop="1">
      <c r="A229" s="163"/>
      <c r="B229" s="167"/>
      <c r="C229" s="238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231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492"/>
      <c r="D231" s="526"/>
      <c r="E231" s="235">
        <f>C231+D231</f>
        <v>0</v>
      </c>
      <c r="F231" s="497"/>
      <c r="G231" s="235">
        <f>E231</f>
        <v>0</v>
      </c>
      <c r="H231" s="167"/>
      <c r="J231" s="168"/>
      <c r="K231" s="168"/>
    </row>
    <row r="232" spans="1:11">
      <c r="A232" s="163"/>
      <c r="B232" s="202" t="s">
        <v>290</v>
      </c>
      <c r="C232" s="492"/>
      <c r="D232" s="526"/>
      <c r="E232" s="235">
        <f>C232+D232</f>
        <v>0</v>
      </c>
      <c r="F232" s="497"/>
      <c r="G232" s="235">
        <f>E232</f>
        <v>0</v>
      </c>
      <c r="H232" s="167"/>
      <c r="J232" s="168"/>
      <c r="K232" s="168"/>
    </row>
    <row r="233" spans="1:11">
      <c r="A233" s="163"/>
      <c r="B233" s="202" t="s">
        <v>76</v>
      </c>
      <c r="C233" s="492">
        <f>$C$4-$C$3+1</f>
        <v>365</v>
      </c>
      <c r="D233" s="489"/>
      <c r="E233" s="235">
        <f>C233+D233</f>
        <v>365</v>
      </c>
      <c r="F233" s="498"/>
      <c r="G233" s="235">
        <f>SUM(E233:F233)</f>
        <v>365</v>
      </c>
      <c r="H233" s="167"/>
      <c r="J233" s="168"/>
      <c r="K233" s="168"/>
    </row>
    <row r="234" spans="1:11">
      <c r="A234" s="163"/>
      <c r="B234" s="241"/>
      <c r="C234" s="242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492"/>
      <c r="D235" s="489"/>
      <c r="E235" s="234">
        <f>E231*E233</f>
        <v>0</v>
      </c>
      <c r="F235" s="498">
        <f>(D4-D3+1)*F231</f>
        <v>0</v>
      </c>
      <c r="G235" s="234">
        <f>G231*G233</f>
        <v>0</v>
      </c>
      <c r="H235" s="167"/>
      <c r="J235" s="168"/>
      <c r="K235" s="168"/>
    </row>
    <row r="236" spans="1:11" ht="26">
      <c r="A236" s="163"/>
      <c r="B236" s="244" t="s">
        <v>336</v>
      </c>
      <c r="C236" s="493"/>
      <c r="D236" s="240"/>
      <c r="E236" s="245" t="e">
        <f>E228/E235</f>
        <v>#DIV/0!</v>
      </c>
      <c r="F236" s="246"/>
      <c r="G236" s="245" t="e">
        <f>G228/G235</f>
        <v>#DIV/0!</v>
      </c>
      <c r="H236" s="167"/>
      <c r="J236" s="168"/>
      <c r="K236" s="168"/>
    </row>
    <row r="237" spans="1:11" ht="26">
      <c r="A237" s="163"/>
      <c r="B237" s="244" t="s">
        <v>337</v>
      </c>
      <c r="C237" s="493"/>
      <c r="D237" s="240"/>
      <c r="E237" s="245" t="e">
        <f>(E219+E220)/E235</f>
        <v>#DIV/0!</v>
      </c>
      <c r="F237" s="246"/>
      <c r="G237" s="245" t="e">
        <f>(G219+G220)/G235</f>
        <v>#DIV/0!</v>
      </c>
      <c r="H237" s="167"/>
      <c r="J237" s="168"/>
      <c r="K237" s="168"/>
    </row>
    <row r="238" spans="1:11" ht="26">
      <c r="A238" s="163"/>
      <c r="B238" s="244" t="s">
        <v>338</v>
      </c>
      <c r="C238" s="493"/>
      <c r="D238" s="240"/>
      <c r="E238" s="245" t="e">
        <f>(E237/E236)</f>
        <v>#DIV/0!</v>
      </c>
      <c r="F238" s="246"/>
      <c r="G238" s="245" t="e">
        <f>(G237/G236)</f>
        <v>#DIV/0!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490"/>
    </row>
    <row r="242" spans="2:7">
      <c r="F242" s="142" t="s">
        <v>341</v>
      </c>
      <c r="G242" s="490"/>
    </row>
    <row r="243" spans="2:7">
      <c r="F243" s="142" t="s">
        <v>342</v>
      </c>
      <c r="G243" s="490"/>
    </row>
    <row r="244" spans="2:7">
      <c r="F244" s="142" t="s">
        <v>343</v>
      </c>
      <c r="G244" s="490"/>
    </row>
    <row r="245" spans="2:7">
      <c r="F245" s="142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F13" sqref="F13"/>
      <pageMargins left="0" right="0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3">
    <tabColor rgb="FFE28CAB"/>
  </sheetPr>
  <dimension ref="A1:Q245"/>
  <sheetViews>
    <sheetView showGridLines="0" topLeftCell="A214" zoomScale="90" zoomScaleNormal="90" workbookViewId="0">
      <selection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478"/>
      <c r="D1" s="478"/>
      <c r="E1" s="478"/>
      <c r="F1" s="478"/>
      <c r="G1" s="478"/>
      <c r="H1" s="478"/>
      <c r="I1" s="479"/>
    </row>
    <row r="2" spans="1:14" ht="23">
      <c r="B2" s="143" t="s">
        <v>189</v>
      </c>
      <c r="C2" s="247" t="s">
        <v>496</v>
      </c>
      <c r="D2" s="247"/>
      <c r="E2" s="144"/>
    </row>
    <row r="3" spans="1:14" ht="15.5">
      <c r="A3" s="145"/>
      <c r="B3" s="140" t="s">
        <v>79</v>
      </c>
      <c r="C3" s="495">
        <v>41821</v>
      </c>
      <c r="D3"/>
      <c r="E3"/>
      <c r="F3"/>
      <c r="G3"/>
    </row>
    <row r="4" spans="1:14" ht="15.5">
      <c r="A4" s="145"/>
      <c r="B4" s="148" t="s">
        <v>80</v>
      </c>
      <c r="C4" s="495">
        <v>42185</v>
      </c>
      <c r="D4"/>
      <c r="E4"/>
      <c r="F4"/>
      <c r="G4"/>
    </row>
    <row r="5" spans="1:14" ht="15.5">
      <c r="A5" s="145"/>
      <c r="B5" s="148"/>
      <c r="C5" s="151"/>
      <c r="D5"/>
      <c r="E5"/>
      <c r="F5"/>
      <c r="G5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144"/>
      <c r="G9" s="144"/>
    </row>
    <row r="10" spans="1:14" s="167" customFormat="1" ht="16" thickBot="1">
      <c r="A10" s="163" t="s">
        <v>245</v>
      </c>
      <c r="B10" s="164" t="s">
        <v>246</v>
      </c>
      <c r="C10" s="165"/>
      <c r="D10" s="165"/>
      <c r="E10" s="165"/>
      <c r="F10"/>
      <c r="G10"/>
      <c r="H10"/>
      <c r="I10"/>
      <c r="J10"/>
      <c r="K10" s="168"/>
    </row>
    <row r="11" spans="1:14" s="167" customFormat="1">
      <c r="A11" s="169" t="s">
        <v>13</v>
      </c>
      <c r="B11" s="170" t="s">
        <v>213</v>
      </c>
      <c r="C11" s="490"/>
      <c r="D11" s="490"/>
      <c r="E11" s="171">
        <f>C11+D11</f>
        <v>0</v>
      </c>
      <c r="F11" s="496"/>
      <c r="G11" s="171">
        <f t="shared" ref="G11:G20" si="0">E11+F11</f>
        <v>0</v>
      </c>
      <c r="H11" s="172">
        <f t="shared" ref="H11:H21" si="1">IF($G$21=0,0,G11/$G$21)</f>
        <v>0</v>
      </c>
      <c r="I11" s="337"/>
      <c r="J11" s="368" t="s">
        <v>344</v>
      </c>
      <c r="K11" s="369">
        <f>G21</f>
        <v>0</v>
      </c>
      <c r="M11" s="359">
        <f>IFERROR(G11/G219,0)</f>
        <v>0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490"/>
      <c r="D12" s="490"/>
      <c r="E12" s="171">
        <f t="shared" ref="E12:E20" si="2">C12+D12</f>
        <v>0</v>
      </c>
      <c r="F12" s="496"/>
      <c r="G12" s="171">
        <f>E12+F12</f>
        <v>0</v>
      </c>
      <c r="H12" s="172">
        <f t="shared" si="1"/>
        <v>0</v>
      </c>
      <c r="I12" s="337"/>
      <c r="J12" s="370" t="s">
        <v>345</v>
      </c>
      <c r="K12" s="371">
        <f>G208</f>
        <v>0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490"/>
      <c r="D13" s="490"/>
      <c r="E13" s="171">
        <f t="shared" si="2"/>
        <v>0</v>
      </c>
      <c r="F13" s="496"/>
      <c r="G13" s="171">
        <f t="shared" si="0"/>
        <v>0</v>
      </c>
      <c r="H13" s="172">
        <f t="shared" si="1"/>
        <v>0</v>
      </c>
      <c r="I13" s="337"/>
      <c r="J13" s="370" t="s">
        <v>346</v>
      </c>
      <c r="K13" s="371">
        <f>G228</f>
        <v>0</v>
      </c>
      <c r="M13" s="359">
        <f t="shared" si="3"/>
        <v>0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490"/>
      <c r="D14" s="490"/>
      <c r="E14" s="171">
        <f t="shared" si="2"/>
        <v>0</v>
      </c>
      <c r="F14" s="496"/>
      <c r="G14" s="175">
        <f>E14+F14</f>
        <v>0</v>
      </c>
      <c r="H14" s="176">
        <f t="shared" si="1"/>
        <v>0</v>
      </c>
      <c r="I14" s="338"/>
      <c r="J14" s="370" t="s">
        <v>347</v>
      </c>
      <c r="K14" s="371">
        <f>G231</f>
        <v>0</v>
      </c>
      <c r="M14" s="359">
        <f t="shared" si="3"/>
        <v>0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490"/>
      <c r="D15" s="490"/>
      <c r="E15" s="171">
        <f t="shared" si="2"/>
        <v>0</v>
      </c>
      <c r="F15" s="496"/>
      <c r="G15" s="171">
        <f t="shared" si="0"/>
        <v>0</v>
      </c>
      <c r="H15" s="172">
        <f t="shared" si="1"/>
        <v>0</v>
      </c>
      <c r="I15" s="337"/>
      <c r="J15" s="370" t="s">
        <v>348</v>
      </c>
      <c r="K15" s="371">
        <f>G235</f>
        <v>0</v>
      </c>
      <c r="M15" s="359">
        <f t="shared" si="3"/>
        <v>0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490"/>
      <c r="D16" s="490"/>
      <c r="E16" s="171">
        <f t="shared" si="2"/>
        <v>0</v>
      </c>
      <c r="F16" s="496"/>
      <c r="G16" s="171">
        <f t="shared" si="0"/>
        <v>0</v>
      </c>
      <c r="H16" s="172">
        <f t="shared" si="1"/>
        <v>0</v>
      </c>
      <c r="I16" s="337"/>
      <c r="J16" s="372"/>
      <c r="K16" s="371"/>
      <c r="M16" s="359">
        <f t="shared" si="3"/>
        <v>0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490"/>
      <c r="D17" s="490"/>
      <c r="E17" s="171">
        <f t="shared" si="2"/>
        <v>0</v>
      </c>
      <c r="F17" s="496"/>
      <c r="G17" s="171">
        <f>E17+F17</f>
        <v>0</v>
      </c>
      <c r="H17" s="172">
        <f t="shared" si="1"/>
        <v>0</v>
      </c>
      <c r="I17" s="337"/>
      <c r="J17" s="370" t="s">
        <v>156</v>
      </c>
      <c r="K17" s="371">
        <f>J208</f>
        <v>0</v>
      </c>
      <c r="M17" s="359">
        <f t="shared" si="3"/>
        <v>0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490"/>
      <c r="D18" s="490"/>
      <c r="E18" s="171">
        <f t="shared" si="2"/>
        <v>0</v>
      </c>
      <c r="F18" s="496"/>
      <c r="G18" s="171">
        <f>E18+F18</f>
        <v>0</v>
      </c>
      <c r="H18" s="172">
        <f t="shared" si="1"/>
        <v>0</v>
      </c>
      <c r="I18" s="337"/>
      <c r="J18" s="373" t="s">
        <v>252</v>
      </c>
      <c r="K18" s="374">
        <f>K208</f>
        <v>0</v>
      </c>
      <c r="M18" s="359">
        <f t="shared" si="3"/>
        <v>0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490"/>
      <c r="D19" s="490"/>
      <c r="E19" s="171">
        <f t="shared" si="2"/>
        <v>0</v>
      </c>
      <c r="F19" s="496"/>
      <c r="G19" s="171">
        <f t="shared" si="0"/>
        <v>0</v>
      </c>
      <c r="H19" s="172">
        <f t="shared" si="1"/>
        <v>0</v>
      </c>
      <c r="I19" s="337"/>
      <c r="J19" s="168"/>
      <c r="K19" s="168"/>
      <c r="M19" s="359">
        <f t="shared" si="3"/>
        <v>0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490"/>
      <c r="D20" s="490"/>
      <c r="E20" s="171">
        <f t="shared" si="2"/>
        <v>0</v>
      </c>
      <c r="F20" s="496"/>
      <c r="G20" s="171">
        <f t="shared" si="0"/>
        <v>0</v>
      </c>
      <c r="H20" s="172">
        <f t="shared" si="1"/>
        <v>0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490">
        <f>SUM(C11:C20)</f>
        <v>0</v>
      </c>
      <c r="D21" s="490">
        <f>SUM(D11:D20)</f>
        <v>0</v>
      </c>
      <c r="E21" s="171">
        <f>SUM(E11:E20)</f>
        <v>0</v>
      </c>
      <c r="F21" s="496">
        <f>SUM(F11:F20)</f>
        <v>0</v>
      </c>
      <c r="G21" s="171">
        <f>SUM(G11:G20)</f>
        <v>0</v>
      </c>
      <c r="H21" s="172">
        <f t="shared" si="1"/>
        <v>0</v>
      </c>
      <c r="I21" s="337"/>
      <c r="J21" s="168"/>
      <c r="K21" s="168"/>
      <c r="M21" s="359">
        <f>IFERROR(G21/G228,0)</f>
        <v>0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/>
      <c r="G22" s="144"/>
      <c r="M22" s="363"/>
      <c r="N22" s="363"/>
    </row>
    <row r="23" spans="1:14" ht="26.5">
      <c r="A23" s="180" t="s">
        <v>231</v>
      </c>
      <c r="B23" s="179" t="s">
        <v>222</v>
      </c>
      <c r="C23" s="151"/>
      <c r="D23" s="144"/>
      <c r="F23"/>
      <c r="G23" s="144"/>
      <c r="M23" s="363"/>
      <c r="N23" s="363"/>
    </row>
    <row r="24" spans="1:14" ht="15.5">
      <c r="A24" s="181" t="s">
        <v>161</v>
      </c>
      <c r="B24" s="148" t="s">
        <v>12</v>
      </c>
      <c r="F24"/>
      <c r="M24" s="363"/>
      <c r="N24" s="363"/>
    </row>
    <row r="25" spans="1:14" s="167" customFormat="1">
      <c r="A25" s="169" t="s">
        <v>83</v>
      </c>
      <c r="B25" s="170" t="s">
        <v>14</v>
      </c>
      <c r="C25" s="490"/>
      <c r="D25" s="490"/>
      <c r="E25" s="171">
        <f t="shared" ref="E25:E60" si="4">C25+D25</f>
        <v>0</v>
      </c>
      <c r="F25" s="496"/>
      <c r="G25" s="182">
        <f>E25+F25</f>
        <v>0</v>
      </c>
      <c r="H25" s="172">
        <f>IF($G$208=0,0,G25/$G$208)</f>
        <v>0</v>
      </c>
      <c r="I25" s="337"/>
      <c r="J25" s="183"/>
      <c r="K25" s="183"/>
      <c r="M25" s="359" t="e">
        <f>G25/G$228</f>
        <v>#DIV/0!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490"/>
      <c r="D26" s="490"/>
      <c r="E26" s="171">
        <f t="shared" si="4"/>
        <v>0</v>
      </c>
      <c r="F26" s="496"/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183"/>
      <c r="K26" s="183"/>
      <c r="M26" s="359" t="e">
        <f t="shared" ref="M26:M60" si="7">G26/G$228</f>
        <v>#DIV/0!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490"/>
      <c r="D27" s="490"/>
      <c r="E27" s="171">
        <f t="shared" si="4"/>
        <v>0</v>
      </c>
      <c r="F27" s="496"/>
      <c r="G27" s="171">
        <f t="shared" si="5"/>
        <v>0</v>
      </c>
      <c r="H27" s="172">
        <f t="shared" si="6"/>
        <v>0</v>
      </c>
      <c r="I27" s="337"/>
      <c r="J27" s="185"/>
      <c r="K27" s="185"/>
      <c r="M27" s="359" t="e">
        <f t="shared" si="7"/>
        <v>#DIV/0!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490"/>
      <c r="D28" s="490"/>
      <c r="E28" s="171">
        <f t="shared" si="4"/>
        <v>0</v>
      </c>
      <c r="F28" s="496"/>
      <c r="G28" s="171">
        <f t="shared" si="5"/>
        <v>0</v>
      </c>
      <c r="H28" s="172">
        <f t="shared" si="6"/>
        <v>0</v>
      </c>
      <c r="I28" s="337"/>
      <c r="J28" s="168"/>
      <c r="K28" s="168"/>
      <c r="M28" s="359" t="e">
        <f t="shared" si="7"/>
        <v>#DIV/0!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490"/>
      <c r="D29" s="490"/>
      <c r="E29" s="171">
        <f t="shared" si="4"/>
        <v>0</v>
      </c>
      <c r="F29" s="496"/>
      <c r="G29" s="171">
        <f t="shared" si="5"/>
        <v>0</v>
      </c>
      <c r="H29" s="172">
        <f t="shared" si="6"/>
        <v>0</v>
      </c>
      <c r="I29" s="337"/>
      <c r="J29" s="168"/>
      <c r="K29" s="168"/>
      <c r="M29" s="359" t="e">
        <f t="shared" si="7"/>
        <v>#DIV/0!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490"/>
      <c r="D30" s="490"/>
      <c r="E30" s="171">
        <f t="shared" si="4"/>
        <v>0</v>
      </c>
      <c r="F30" s="496"/>
      <c r="G30" s="171">
        <f t="shared" si="5"/>
        <v>0</v>
      </c>
      <c r="H30" s="172">
        <f t="shared" si="6"/>
        <v>0</v>
      </c>
      <c r="I30" s="337"/>
      <c r="J30" s="168"/>
      <c r="K30" s="168"/>
      <c r="M30" s="359" t="e">
        <f t="shared" si="7"/>
        <v>#DIV/0!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490"/>
      <c r="D31" s="490"/>
      <c r="E31" s="171">
        <f t="shared" si="4"/>
        <v>0</v>
      </c>
      <c r="F31" s="496"/>
      <c r="G31" s="171">
        <f t="shared" si="5"/>
        <v>0</v>
      </c>
      <c r="H31" s="172">
        <f t="shared" si="6"/>
        <v>0</v>
      </c>
      <c r="I31" s="337"/>
      <c r="J31" s="168"/>
      <c r="K31" s="168"/>
      <c r="M31" s="359" t="e">
        <f t="shared" si="7"/>
        <v>#DIV/0!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490"/>
      <c r="D32" s="490"/>
      <c r="E32" s="171">
        <f t="shared" si="4"/>
        <v>0</v>
      </c>
      <c r="F32" s="496"/>
      <c r="G32" s="171">
        <f t="shared" si="5"/>
        <v>0</v>
      </c>
      <c r="H32" s="172">
        <f t="shared" si="6"/>
        <v>0</v>
      </c>
      <c r="I32" s="337"/>
      <c r="J32" s="168"/>
      <c r="K32" s="168"/>
      <c r="M32" s="359" t="e">
        <f t="shared" si="7"/>
        <v>#DIV/0!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490"/>
      <c r="D33" s="490"/>
      <c r="E33" s="171">
        <f t="shared" si="4"/>
        <v>0</v>
      </c>
      <c r="F33" s="496"/>
      <c r="G33" s="171">
        <f t="shared" si="5"/>
        <v>0</v>
      </c>
      <c r="H33" s="172">
        <f t="shared" si="6"/>
        <v>0</v>
      </c>
      <c r="I33" s="337"/>
      <c r="J33" s="168"/>
      <c r="K33" s="168"/>
      <c r="M33" s="359" t="e">
        <f t="shared" si="7"/>
        <v>#DIV/0!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490"/>
      <c r="D34" s="490"/>
      <c r="E34" s="171">
        <f t="shared" si="4"/>
        <v>0</v>
      </c>
      <c r="F34" s="496"/>
      <c r="G34" s="171">
        <f t="shared" si="5"/>
        <v>0</v>
      </c>
      <c r="H34" s="172">
        <f t="shared" si="6"/>
        <v>0</v>
      </c>
      <c r="I34" s="337"/>
      <c r="J34" s="168"/>
      <c r="K34" s="168"/>
      <c r="M34" s="359" t="e">
        <f t="shared" si="7"/>
        <v>#DIV/0!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490"/>
      <c r="D35" s="490"/>
      <c r="E35" s="171">
        <f t="shared" si="4"/>
        <v>0</v>
      </c>
      <c r="F35" s="496"/>
      <c r="G35" s="171">
        <f t="shared" si="5"/>
        <v>0</v>
      </c>
      <c r="H35" s="172">
        <f t="shared" si="6"/>
        <v>0</v>
      </c>
      <c r="I35" s="337"/>
      <c r="J35" s="168"/>
      <c r="K35" s="168"/>
      <c r="M35" s="359" t="e">
        <f t="shared" si="7"/>
        <v>#DIV/0!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490"/>
      <c r="D36" s="490"/>
      <c r="E36" s="171">
        <f t="shared" si="4"/>
        <v>0</v>
      </c>
      <c r="F36" s="496"/>
      <c r="G36" s="171">
        <f t="shared" si="5"/>
        <v>0</v>
      </c>
      <c r="H36" s="172">
        <f t="shared" si="6"/>
        <v>0</v>
      </c>
      <c r="I36" s="337"/>
      <c r="J36" s="168"/>
      <c r="K36" s="168"/>
      <c r="M36" s="359" t="e">
        <f t="shared" si="7"/>
        <v>#DIV/0!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490"/>
      <c r="D37" s="490"/>
      <c r="E37" s="171">
        <f t="shared" si="4"/>
        <v>0</v>
      </c>
      <c r="F37" s="496"/>
      <c r="G37" s="171">
        <f t="shared" si="5"/>
        <v>0</v>
      </c>
      <c r="H37" s="172">
        <f t="shared" si="6"/>
        <v>0</v>
      </c>
      <c r="I37" s="337"/>
      <c r="J37" s="168"/>
      <c r="K37" s="168"/>
      <c r="M37" s="359" t="e">
        <f t="shared" si="7"/>
        <v>#DIV/0!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490"/>
      <c r="D38" s="490"/>
      <c r="E38" s="171">
        <f t="shared" si="4"/>
        <v>0</v>
      </c>
      <c r="F38" s="496"/>
      <c r="G38" s="171">
        <f t="shared" si="5"/>
        <v>0</v>
      </c>
      <c r="H38" s="172">
        <f t="shared" si="6"/>
        <v>0</v>
      </c>
      <c r="I38" s="337"/>
      <c r="J38" s="168"/>
      <c r="K38" s="168"/>
      <c r="M38" s="359" t="e">
        <f t="shared" si="7"/>
        <v>#DIV/0!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490"/>
      <c r="D39" s="490"/>
      <c r="E39" s="171">
        <f t="shared" si="4"/>
        <v>0</v>
      </c>
      <c r="F39" s="496"/>
      <c r="G39" s="171">
        <f t="shared" si="5"/>
        <v>0</v>
      </c>
      <c r="H39" s="172">
        <f t="shared" si="6"/>
        <v>0</v>
      </c>
      <c r="I39" s="337"/>
      <c r="J39" s="168"/>
      <c r="K39" s="168"/>
      <c r="M39" s="359" t="e">
        <f t="shared" si="7"/>
        <v>#DIV/0!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490"/>
      <c r="D40" s="490"/>
      <c r="E40" s="171">
        <f t="shared" si="4"/>
        <v>0</v>
      </c>
      <c r="F40" s="496"/>
      <c r="G40" s="171">
        <f t="shared" si="5"/>
        <v>0</v>
      </c>
      <c r="H40" s="172">
        <f t="shared" si="6"/>
        <v>0</v>
      </c>
      <c r="I40" s="337"/>
      <c r="J40" s="168"/>
      <c r="K40" s="168"/>
      <c r="M40" s="359" t="e">
        <f t="shared" si="7"/>
        <v>#DIV/0!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490"/>
      <c r="D41" s="490"/>
      <c r="E41" s="171">
        <f t="shared" si="4"/>
        <v>0</v>
      </c>
      <c r="F41" s="496"/>
      <c r="G41" s="171">
        <f t="shared" si="5"/>
        <v>0</v>
      </c>
      <c r="H41" s="172">
        <f t="shared" si="6"/>
        <v>0</v>
      </c>
      <c r="I41" s="337"/>
      <c r="J41" s="168"/>
      <c r="K41" s="168"/>
      <c r="M41" s="359" t="e">
        <f t="shared" si="7"/>
        <v>#DIV/0!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490"/>
      <c r="D42" s="490"/>
      <c r="E42" s="171">
        <f t="shared" si="4"/>
        <v>0</v>
      </c>
      <c r="F42" s="496"/>
      <c r="G42" s="171">
        <f t="shared" si="5"/>
        <v>0</v>
      </c>
      <c r="H42" s="172">
        <f t="shared" si="6"/>
        <v>0</v>
      </c>
      <c r="I42" s="337"/>
      <c r="J42" s="168"/>
      <c r="K42" s="168"/>
      <c r="M42" s="359" t="e">
        <f t="shared" si="7"/>
        <v>#DIV/0!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490"/>
      <c r="D43" s="490"/>
      <c r="E43" s="171">
        <f t="shared" si="4"/>
        <v>0</v>
      </c>
      <c r="F43" s="496"/>
      <c r="G43" s="171">
        <f t="shared" si="5"/>
        <v>0</v>
      </c>
      <c r="H43" s="172">
        <f t="shared" si="6"/>
        <v>0</v>
      </c>
      <c r="I43" s="337"/>
      <c r="J43" s="168"/>
      <c r="K43" s="168"/>
      <c r="M43" s="359" t="e">
        <f t="shared" si="7"/>
        <v>#DIV/0!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490"/>
      <c r="D44" s="490"/>
      <c r="E44" s="171">
        <f t="shared" si="4"/>
        <v>0</v>
      </c>
      <c r="F44" s="496"/>
      <c r="G44" s="171">
        <f t="shared" si="5"/>
        <v>0</v>
      </c>
      <c r="H44" s="172">
        <f t="shared" si="6"/>
        <v>0</v>
      </c>
      <c r="I44" s="337"/>
      <c r="J44" s="168"/>
      <c r="K44" s="168"/>
      <c r="M44" s="359" t="e">
        <f t="shared" si="7"/>
        <v>#DIV/0!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490"/>
      <c r="D45" s="490"/>
      <c r="E45" s="171">
        <f t="shared" si="4"/>
        <v>0</v>
      </c>
      <c r="F45" s="496"/>
      <c r="G45" s="171">
        <f t="shared" si="5"/>
        <v>0</v>
      </c>
      <c r="H45" s="172">
        <f t="shared" si="6"/>
        <v>0</v>
      </c>
      <c r="I45" s="337"/>
      <c r="J45" s="168"/>
      <c r="K45" s="168"/>
      <c r="M45" s="359" t="e">
        <f t="shared" si="7"/>
        <v>#DIV/0!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490"/>
      <c r="D46" s="490"/>
      <c r="E46" s="171">
        <f t="shared" si="4"/>
        <v>0</v>
      </c>
      <c r="F46" s="496"/>
      <c r="G46" s="171">
        <f t="shared" si="5"/>
        <v>0</v>
      </c>
      <c r="H46" s="172">
        <f t="shared" si="6"/>
        <v>0</v>
      </c>
      <c r="I46" s="337"/>
      <c r="J46" s="168"/>
      <c r="K46" s="168"/>
      <c r="M46" s="359" t="e">
        <f t="shared" si="7"/>
        <v>#DIV/0!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490"/>
      <c r="D47" s="490"/>
      <c r="E47" s="171">
        <f t="shared" si="4"/>
        <v>0</v>
      </c>
      <c r="F47" s="496"/>
      <c r="G47" s="171">
        <f t="shared" si="5"/>
        <v>0</v>
      </c>
      <c r="H47" s="172">
        <f t="shared" si="6"/>
        <v>0</v>
      </c>
      <c r="I47" s="337"/>
      <c r="J47" s="168"/>
      <c r="K47" s="168"/>
      <c r="M47" s="359" t="e">
        <f t="shared" si="7"/>
        <v>#DIV/0!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490"/>
      <c r="D48" s="490"/>
      <c r="E48" s="171">
        <f t="shared" si="4"/>
        <v>0</v>
      </c>
      <c r="F48" s="496"/>
      <c r="G48" s="171">
        <f t="shared" si="5"/>
        <v>0</v>
      </c>
      <c r="H48" s="172">
        <f t="shared" si="6"/>
        <v>0</v>
      </c>
      <c r="I48" s="337"/>
      <c r="J48" s="168"/>
      <c r="K48" s="168"/>
      <c r="M48" s="359" t="e">
        <f t="shared" si="7"/>
        <v>#DIV/0!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490"/>
      <c r="D49" s="490"/>
      <c r="E49" s="171">
        <f t="shared" si="4"/>
        <v>0</v>
      </c>
      <c r="F49" s="496"/>
      <c r="G49" s="171">
        <f t="shared" si="5"/>
        <v>0</v>
      </c>
      <c r="H49" s="172">
        <f t="shared" si="6"/>
        <v>0</v>
      </c>
      <c r="I49" s="337"/>
      <c r="J49" s="168"/>
      <c r="K49" s="168"/>
      <c r="M49" s="359" t="e">
        <f t="shared" si="7"/>
        <v>#DIV/0!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490"/>
      <c r="D50" s="490"/>
      <c r="E50" s="171">
        <f t="shared" si="4"/>
        <v>0</v>
      </c>
      <c r="F50" s="496"/>
      <c r="G50" s="171">
        <f t="shared" si="5"/>
        <v>0</v>
      </c>
      <c r="H50" s="172">
        <f t="shared" si="6"/>
        <v>0</v>
      </c>
      <c r="I50" s="337"/>
      <c r="J50" s="168"/>
      <c r="K50" s="168"/>
      <c r="M50" s="359" t="e">
        <f t="shared" si="7"/>
        <v>#DIV/0!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490"/>
      <c r="D51" s="490"/>
      <c r="E51" s="171">
        <f t="shared" si="4"/>
        <v>0</v>
      </c>
      <c r="F51" s="496"/>
      <c r="G51" s="171">
        <f t="shared" si="5"/>
        <v>0</v>
      </c>
      <c r="H51" s="172">
        <f t="shared" si="6"/>
        <v>0</v>
      </c>
      <c r="I51" s="337"/>
      <c r="J51" s="183"/>
      <c r="K51" s="183"/>
      <c r="M51" s="359" t="e">
        <f t="shared" si="7"/>
        <v>#DIV/0!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490"/>
      <c r="D52" s="490"/>
      <c r="E52" s="171">
        <f t="shared" si="4"/>
        <v>0</v>
      </c>
      <c r="F52" s="496"/>
      <c r="G52" s="171">
        <f t="shared" si="5"/>
        <v>0</v>
      </c>
      <c r="H52" s="172">
        <f t="shared" si="6"/>
        <v>0</v>
      </c>
      <c r="I52" s="337"/>
      <c r="J52" s="168"/>
      <c r="K52" s="168"/>
      <c r="M52" s="359" t="e">
        <f t="shared" si="7"/>
        <v>#DIV/0!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490"/>
      <c r="D53" s="490"/>
      <c r="E53" s="171">
        <f t="shared" si="4"/>
        <v>0</v>
      </c>
      <c r="F53" s="496"/>
      <c r="G53" s="171">
        <f t="shared" si="5"/>
        <v>0</v>
      </c>
      <c r="H53" s="172">
        <f t="shared" si="6"/>
        <v>0</v>
      </c>
      <c r="I53" s="337"/>
      <c r="J53" s="168"/>
      <c r="K53" s="168"/>
      <c r="M53" s="359" t="e">
        <f t="shared" si="7"/>
        <v>#DIV/0!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490"/>
      <c r="D54" s="490"/>
      <c r="E54" s="171">
        <f t="shared" si="4"/>
        <v>0</v>
      </c>
      <c r="F54" s="496"/>
      <c r="G54" s="171">
        <f t="shared" si="5"/>
        <v>0</v>
      </c>
      <c r="H54" s="172">
        <f t="shared" si="6"/>
        <v>0</v>
      </c>
      <c r="I54" s="337"/>
      <c r="J54" s="168"/>
      <c r="K54" s="168"/>
      <c r="M54" s="359" t="e">
        <f t="shared" si="7"/>
        <v>#DIV/0!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490"/>
      <c r="D55" s="490"/>
      <c r="E55" s="171">
        <f t="shared" si="4"/>
        <v>0</v>
      </c>
      <c r="F55" s="496"/>
      <c r="G55" s="171">
        <f t="shared" si="5"/>
        <v>0</v>
      </c>
      <c r="H55" s="172">
        <f t="shared" si="6"/>
        <v>0</v>
      </c>
      <c r="I55" s="337"/>
      <c r="J55" s="168"/>
      <c r="K55" s="168"/>
      <c r="M55" s="359" t="e">
        <f t="shared" si="7"/>
        <v>#DIV/0!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490"/>
      <c r="D56" s="490"/>
      <c r="E56" s="171">
        <f t="shared" si="4"/>
        <v>0</v>
      </c>
      <c r="F56" s="496"/>
      <c r="G56" s="171">
        <f t="shared" si="5"/>
        <v>0</v>
      </c>
      <c r="H56" s="172">
        <f t="shared" si="6"/>
        <v>0</v>
      </c>
      <c r="I56" s="337"/>
      <c r="J56" s="168"/>
      <c r="K56" s="168"/>
      <c r="M56" s="359" t="e">
        <f t="shared" si="7"/>
        <v>#DIV/0!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490"/>
      <c r="D57" s="490"/>
      <c r="E57" s="171">
        <f t="shared" si="4"/>
        <v>0</v>
      </c>
      <c r="F57" s="496"/>
      <c r="G57" s="171">
        <f t="shared" si="5"/>
        <v>0</v>
      </c>
      <c r="H57" s="172">
        <f t="shared" si="6"/>
        <v>0</v>
      </c>
      <c r="I57" s="337"/>
      <c r="J57" s="168"/>
      <c r="K57" s="168"/>
      <c r="M57" s="359" t="e">
        <f t="shared" si="7"/>
        <v>#DIV/0!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490"/>
      <c r="D58" s="490"/>
      <c r="E58" s="171">
        <f t="shared" si="4"/>
        <v>0</v>
      </c>
      <c r="F58" s="496"/>
      <c r="G58" s="171">
        <f t="shared" si="5"/>
        <v>0</v>
      </c>
      <c r="H58" s="172">
        <f t="shared" si="6"/>
        <v>0</v>
      </c>
      <c r="I58" s="337"/>
      <c r="J58" s="168"/>
      <c r="K58" s="168"/>
      <c r="M58" s="359" t="e">
        <f t="shared" si="7"/>
        <v>#DIV/0!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490"/>
      <c r="D59" s="490"/>
      <c r="E59" s="171">
        <f t="shared" si="4"/>
        <v>0</v>
      </c>
      <c r="F59" s="496"/>
      <c r="G59" s="171">
        <f t="shared" si="5"/>
        <v>0</v>
      </c>
      <c r="H59" s="172">
        <f t="shared" si="6"/>
        <v>0</v>
      </c>
      <c r="I59" s="337"/>
      <c r="J59" s="168"/>
      <c r="K59" s="168"/>
      <c r="M59" s="359" t="e">
        <f t="shared" si="7"/>
        <v>#DIV/0!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490"/>
      <c r="D60" s="490"/>
      <c r="E60" s="171">
        <f t="shared" si="4"/>
        <v>0</v>
      </c>
      <c r="F60" s="496"/>
      <c r="G60" s="171">
        <f t="shared" si="5"/>
        <v>0</v>
      </c>
      <c r="H60" s="172">
        <f t="shared" si="6"/>
        <v>0</v>
      </c>
      <c r="I60" s="337"/>
      <c r="J60" s="168"/>
      <c r="K60" s="168"/>
      <c r="M60" s="359" t="e">
        <f t="shared" si="7"/>
        <v>#DIV/0!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490">
        <f>SUM(C25:C60)</f>
        <v>0</v>
      </c>
      <c r="D61" s="490">
        <f>SUM(D25:D60)</f>
        <v>0</v>
      </c>
      <c r="E61" s="171">
        <f t="shared" ref="E61:F61" si="8">SUM(E25:E60)</f>
        <v>0</v>
      </c>
      <c r="F61" s="171">
        <f t="shared" si="8"/>
        <v>0</v>
      </c>
      <c r="G61" s="171">
        <f>SUM(G25:G60)</f>
        <v>0</v>
      </c>
      <c r="H61" s="186">
        <f t="shared" si="6"/>
        <v>0</v>
      </c>
      <c r="I61" s="339"/>
      <c r="J61" s="168"/>
      <c r="K61" s="168"/>
      <c r="M61" s="364" t="e">
        <f>G61/G$228</f>
        <v>#DIV/0!</v>
      </c>
      <c r="N61" s="359">
        <f>SUMMARY!J64</f>
        <v>50.526072695090264</v>
      </c>
    </row>
    <row r="62" spans="1:14" s="167" customFormat="1" ht="15.5">
      <c r="A62" s="163"/>
      <c r="C62" s="165"/>
      <c r="D62" s="165"/>
      <c r="E62" s="165"/>
      <c r="F62"/>
      <c r="G62" s="165"/>
      <c r="H62" s="187"/>
      <c r="I62" s="340"/>
      <c r="J62" s="168"/>
      <c r="K62" s="168"/>
      <c r="M62" s="359"/>
      <c r="N62" s="359"/>
    </row>
    <row r="63" spans="1:14" s="167" customFormat="1" ht="15.5">
      <c r="A63" s="169" t="s">
        <v>162</v>
      </c>
      <c r="B63" s="170" t="s">
        <v>178</v>
      </c>
      <c r="C63" s="165"/>
      <c r="D63" s="165"/>
      <c r="E63" s="165"/>
      <c r="F63"/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490"/>
      <c r="D64" s="490"/>
      <c r="E64" s="171">
        <f t="shared" ref="E64:E78" si="9">C64+D64</f>
        <v>0</v>
      </c>
      <c r="F64" s="496"/>
      <c r="G64" s="171">
        <f t="shared" ref="G64:G78" si="10">E64+F64</f>
        <v>0</v>
      </c>
      <c r="H64" s="172">
        <f t="shared" ref="H64:H79" si="11">IF($G$208=0,0,G64/$G$208)</f>
        <v>0</v>
      </c>
      <c r="I64" s="337"/>
      <c r="J64" s="190"/>
      <c r="K64" s="168"/>
      <c r="M64" s="359" t="e">
        <f t="shared" ref="M64:M79" si="12">G64/G$228</f>
        <v>#DIV/0!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490"/>
      <c r="D65" s="490"/>
      <c r="E65" s="171">
        <f t="shared" si="9"/>
        <v>0</v>
      </c>
      <c r="F65" s="496"/>
      <c r="G65" s="171">
        <f t="shared" si="10"/>
        <v>0</v>
      </c>
      <c r="H65" s="172">
        <f t="shared" si="11"/>
        <v>0</v>
      </c>
      <c r="I65" s="337"/>
      <c r="J65" s="190"/>
      <c r="K65" s="168"/>
      <c r="M65" s="359" t="e">
        <f t="shared" si="12"/>
        <v>#DIV/0!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490"/>
      <c r="D66" s="490"/>
      <c r="E66" s="171">
        <f t="shared" si="9"/>
        <v>0</v>
      </c>
      <c r="F66" s="496"/>
      <c r="G66" s="171">
        <f t="shared" si="10"/>
        <v>0</v>
      </c>
      <c r="H66" s="172">
        <f t="shared" si="11"/>
        <v>0</v>
      </c>
      <c r="I66" s="337"/>
      <c r="J66" s="190"/>
      <c r="K66" s="168"/>
      <c r="M66" s="359" t="e">
        <f t="shared" si="12"/>
        <v>#DIV/0!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490"/>
      <c r="D67" s="490"/>
      <c r="E67" s="171">
        <f t="shared" si="9"/>
        <v>0</v>
      </c>
      <c r="F67" s="496"/>
      <c r="G67" s="171">
        <f t="shared" si="10"/>
        <v>0</v>
      </c>
      <c r="H67" s="172">
        <f t="shared" si="11"/>
        <v>0</v>
      </c>
      <c r="I67" s="337"/>
      <c r="J67" s="193"/>
      <c r="K67" s="168"/>
      <c r="M67" s="359" t="e">
        <f t="shared" si="12"/>
        <v>#DIV/0!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490"/>
      <c r="D68" s="490"/>
      <c r="E68" s="171">
        <f t="shared" si="9"/>
        <v>0</v>
      </c>
      <c r="F68" s="496"/>
      <c r="G68" s="171">
        <f t="shared" si="10"/>
        <v>0</v>
      </c>
      <c r="H68" s="172">
        <f t="shared" si="11"/>
        <v>0</v>
      </c>
      <c r="I68" s="337"/>
      <c r="J68" s="193"/>
      <c r="K68" s="168"/>
      <c r="M68" s="359" t="e">
        <f t="shared" si="12"/>
        <v>#DIV/0!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490"/>
      <c r="D69" s="490"/>
      <c r="E69" s="171">
        <f t="shared" si="9"/>
        <v>0</v>
      </c>
      <c r="F69" s="496"/>
      <c r="G69" s="171">
        <f t="shared" si="10"/>
        <v>0</v>
      </c>
      <c r="H69" s="172">
        <f t="shared" si="11"/>
        <v>0</v>
      </c>
      <c r="I69" s="337"/>
      <c r="J69" s="195"/>
      <c r="K69" s="168"/>
      <c r="M69" s="359" t="e">
        <f t="shared" si="12"/>
        <v>#DIV/0!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490"/>
      <c r="D70" s="490"/>
      <c r="E70" s="171">
        <f t="shared" si="9"/>
        <v>0</v>
      </c>
      <c r="F70" s="496"/>
      <c r="G70" s="171">
        <f t="shared" si="10"/>
        <v>0</v>
      </c>
      <c r="H70" s="172">
        <f t="shared" si="11"/>
        <v>0</v>
      </c>
      <c r="I70" s="337"/>
      <c r="J70" s="195"/>
      <c r="K70" s="168"/>
      <c r="M70" s="359" t="e">
        <f t="shared" si="12"/>
        <v>#DIV/0!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490"/>
      <c r="D71" s="490"/>
      <c r="E71" s="171">
        <f t="shared" si="9"/>
        <v>0</v>
      </c>
      <c r="F71" s="496"/>
      <c r="G71" s="171">
        <f t="shared" si="10"/>
        <v>0</v>
      </c>
      <c r="H71" s="172">
        <f t="shared" si="11"/>
        <v>0</v>
      </c>
      <c r="I71" s="337"/>
      <c r="J71" s="195"/>
      <c r="K71" s="168"/>
      <c r="M71" s="359" t="e">
        <f t="shared" si="12"/>
        <v>#DIV/0!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490"/>
      <c r="D72" s="490"/>
      <c r="E72" s="171">
        <f t="shared" si="9"/>
        <v>0</v>
      </c>
      <c r="F72" s="496"/>
      <c r="G72" s="171">
        <f t="shared" si="10"/>
        <v>0</v>
      </c>
      <c r="H72" s="172">
        <f t="shared" si="11"/>
        <v>0</v>
      </c>
      <c r="I72" s="337"/>
      <c r="J72" s="195"/>
      <c r="K72" s="168"/>
      <c r="M72" s="359" t="e">
        <f t="shared" si="12"/>
        <v>#DIV/0!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490"/>
      <c r="D73" s="490"/>
      <c r="E73" s="171">
        <f t="shared" si="9"/>
        <v>0</v>
      </c>
      <c r="F73" s="496"/>
      <c r="G73" s="171">
        <f t="shared" si="10"/>
        <v>0</v>
      </c>
      <c r="H73" s="172">
        <f t="shared" si="11"/>
        <v>0</v>
      </c>
      <c r="I73" s="337"/>
      <c r="J73" s="195"/>
      <c r="K73" s="168"/>
      <c r="M73" s="359" t="e">
        <f t="shared" si="12"/>
        <v>#DIV/0!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490"/>
      <c r="D74" s="490"/>
      <c r="E74" s="171">
        <f t="shared" si="9"/>
        <v>0</v>
      </c>
      <c r="F74" s="496"/>
      <c r="G74" s="171">
        <f t="shared" si="10"/>
        <v>0</v>
      </c>
      <c r="H74" s="172">
        <f t="shared" si="11"/>
        <v>0</v>
      </c>
      <c r="I74" s="337"/>
      <c r="J74" s="195"/>
      <c r="K74" s="168"/>
      <c r="M74" s="359" t="e">
        <f t="shared" si="12"/>
        <v>#DIV/0!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490"/>
      <c r="D75" s="490"/>
      <c r="E75" s="171">
        <f t="shared" si="9"/>
        <v>0</v>
      </c>
      <c r="F75" s="496"/>
      <c r="G75" s="171">
        <f t="shared" si="10"/>
        <v>0</v>
      </c>
      <c r="H75" s="172">
        <f t="shared" si="11"/>
        <v>0</v>
      </c>
      <c r="I75" s="337"/>
      <c r="J75" s="195"/>
      <c r="K75" s="168"/>
      <c r="M75" s="359" t="e">
        <f t="shared" si="12"/>
        <v>#DIV/0!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490"/>
      <c r="D76" s="490"/>
      <c r="E76" s="171">
        <f t="shared" si="9"/>
        <v>0</v>
      </c>
      <c r="F76" s="496"/>
      <c r="G76" s="171">
        <f t="shared" si="10"/>
        <v>0</v>
      </c>
      <c r="H76" s="172">
        <f t="shared" si="11"/>
        <v>0</v>
      </c>
      <c r="I76" s="337"/>
      <c r="J76" s="195"/>
      <c r="K76" s="168"/>
      <c r="M76" s="359" t="e">
        <f t="shared" si="12"/>
        <v>#DIV/0!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490"/>
      <c r="D77" s="490"/>
      <c r="E77" s="171">
        <f t="shared" si="9"/>
        <v>0</v>
      </c>
      <c r="F77" s="496"/>
      <c r="G77" s="171">
        <f t="shared" si="10"/>
        <v>0</v>
      </c>
      <c r="H77" s="172">
        <f t="shared" si="11"/>
        <v>0</v>
      </c>
      <c r="I77" s="337"/>
      <c r="J77" s="195"/>
      <c r="K77" s="168"/>
      <c r="M77" s="359" t="e">
        <f t="shared" si="12"/>
        <v>#DIV/0!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490"/>
      <c r="D78" s="490"/>
      <c r="E78" s="171">
        <f t="shared" si="9"/>
        <v>0</v>
      </c>
      <c r="F78" s="496"/>
      <c r="G78" s="171">
        <f t="shared" si="10"/>
        <v>0</v>
      </c>
      <c r="H78" s="172">
        <f t="shared" si="11"/>
        <v>0</v>
      </c>
      <c r="I78" s="337"/>
      <c r="J78" s="195"/>
      <c r="K78" s="168"/>
      <c r="M78" s="359" t="e">
        <f t="shared" si="12"/>
        <v>#DIV/0!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490">
        <f>SUM(C64:C78)</f>
        <v>0</v>
      </c>
      <c r="D79" s="490">
        <f>SUM(D64:D78)</f>
        <v>0</v>
      </c>
      <c r="E79" s="171">
        <f t="shared" ref="E79:F79" si="13">SUM(E64:E78)</f>
        <v>0</v>
      </c>
      <c r="F79" s="171">
        <f t="shared" si="13"/>
        <v>0</v>
      </c>
      <c r="G79" s="171">
        <f>SUM(G64:G78)</f>
        <v>0</v>
      </c>
      <c r="H79" s="172">
        <f t="shared" si="11"/>
        <v>0</v>
      </c>
      <c r="I79" s="337"/>
      <c r="J79" s="195"/>
      <c r="K79" s="168"/>
      <c r="M79" s="359" t="e">
        <f t="shared" si="12"/>
        <v>#DIV/0!</v>
      </c>
      <c r="N79" s="359">
        <f>SUMMARY!J82</f>
        <v>21.548739024618541</v>
      </c>
    </row>
    <row r="80" spans="1:14" s="167" customFormat="1" ht="15.5">
      <c r="A80" s="163"/>
      <c r="B80" s="170"/>
      <c r="C80" s="196"/>
      <c r="D80" s="196"/>
      <c r="E80" s="196"/>
      <c r="F80"/>
      <c r="G80" s="196"/>
      <c r="H80" s="197"/>
      <c r="I80" s="337"/>
      <c r="J80" s="168"/>
      <c r="K80" s="168"/>
      <c r="M80" s="359"/>
      <c r="N80" s="359"/>
    </row>
    <row r="81" spans="1:14" s="167" customFormat="1" ht="15.5">
      <c r="A81" s="169" t="s">
        <v>163</v>
      </c>
      <c r="B81" s="170" t="s">
        <v>43</v>
      </c>
      <c r="C81" s="165"/>
      <c r="D81" s="165"/>
      <c r="E81" s="165"/>
      <c r="F81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490"/>
      <c r="D82" s="490"/>
      <c r="E82" s="171">
        <f t="shared" ref="E82:E92" si="14">C82+D82</f>
        <v>0</v>
      </c>
      <c r="F82" s="496"/>
      <c r="G82" s="171">
        <f t="shared" ref="G82:G92" si="15">E82+F82</f>
        <v>0</v>
      </c>
      <c r="H82" s="172">
        <f t="shared" ref="H82:H93" si="16">IF($G$208=0,0,G82/$G$208)</f>
        <v>0</v>
      </c>
      <c r="I82" s="337"/>
      <c r="J82" s="183"/>
      <c r="K82" s="183"/>
      <c r="M82" s="359" t="e">
        <f t="shared" ref="M82:M92" si="17">G82/G$228</f>
        <v>#DIV/0!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490"/>
      <c r="D83" s="490"/>
      <c r="E83" s="171">
        <f t="shared" si="14"/>
        <v>0</v>
      </c>
      <c r="F83" s="496"/>
      <c r="G83" s="171">
        <f t="shared" si="15"/>
        <v>0</v>
      </c>
      <c r="H83" s="172">
        <f t="shared" si="16"/>
        <v>0</v>
      </c>
      <c r="I83" s="337"/>
      <c r="J83" s="168"/>
      <c r="K83" s="168"/>
      <c r="M83" s="359" t="e">
        <f t="shared" si="17"/>
        <v>#DIV/0!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490"/>
      <c r="D84" s="490"/>
      <c r="E84" s="171">
        <f t="shared" si="14"/>
        <v>0</v>
      </c>
      <c r="F84" s="496"/>
      <c r="G84" s="171">
        <f t="shared" si="15"/>
        <v>0</v>
      </c>
      <c r="H84" s="172">
        <f t="shared" si="16"/>
        <v>0</v>
      </c>
      <c r="I84" s="337"/>
      <c r="J84" s="168"/>
      <c r="K84" s="168"/>
      <c r="M84" s="359" t="e">
        <f t="shared" si="17"/>
        <v>#DIV/0!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490"/>
      <c r="D85" s="490"/>
      <c r="E85" s="171">
        <f t="shared" si="14"/>
        <v>0</v>
      </c>
      <c r="F85" s="496"/>
      <c r="G85" s="171">
        <f t="shared" si="15"/>
        <v>0</v>
      </c>
      <c r="H85" s="172">
        <f t="shared" si="16"/>
        <v>0</v>
      </c>
      <c r="I85" s="337"/>
      <c r="J85" s="168"/>
      <c r="K85" s="168"/>
      <c r="M85" s="359" t="e">
        <f t="shared" si="17"/>
        <v>#DIV/0!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490"/>
      <c r="D86" s="490"/>
      <c r="E86" s="171">
        <f t="shared" si="14"/>
        <v>0</v>
      </c>
      <c r="F86" s="496"/>
      <c r="G86" s="171">
        <f>E86+F86</f>
        <v>0</v>
      </c>
      <c r="H86" s="172">
        <f t="shared" si="16"/>
        <v>0</v>
      </c>
      <c r="I86" s="337"/>
      <c r="J86" s="168"/>
      <c r="K86" s="168"/>
      <c r="M86" s="359" t="e">
        <f t="shared" si="17"/>
        <v>#DIV/0!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490"/>
      <c r="D87" s="490"/>
      <c r="E87" s="171">
        <f t="shared" si="14"/>
        <v>0</v>
      </c>
      <c r="F87" s="496"/>
      <c r="G87" s="171">
        <f t="shared" si="15"/>
        <v>0</v>
      </c>
      <c r="H87" s="172">
        <f t="shared" si="16"/>
        <v>0</v>
      </c>
      <c r="I87" s="337"/>
      <c r="J87" s="168"/>
      <c r="K87" s="168"/>
      <c r="M87" s="359" t="e">
        <f t="shared" si="17"/>
        <v>#DIV/0!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490"/>
      <c r="D88" s="490"/>
      <c r="E88" s="171">
        <f t="shared" si="14"/>
        <v>0</v>
      </c>
      <c r="F88" s="496"/>
      <c r="G88" s="171">
        <f t="shared" si="15"/>
        <v>0</v>
      </c>
      <c r="H88" s="172">
        <f t="shared" si="16"/>
        <v>0</v>
      </c>
      <c r="I88" s="337"/>
      <c r="J88" s="168"/>
      <c r="K88" s="168"/>
      <c r="M88" s="359" t="e">
        <f t="shared" si="17"/>
        <v>#DIV/0!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490"/>
      <c r="D89" s="490"/>
      <c r="E89" s="171">
        <f t="shared" si="14"/>
        <v>0</v>
      </c>
      <c r="F89" s="496"/>
      <c r="G89" s="171">
        <f t="shared" si="15"/>
        <v>0</v>
      </c>
      <c r="H89" s="172">
        <f t="shared" si="16"/>
        <v>0</v>
      </c>
      <c r="I89" s="337"/>
      <c r="J89" s="168"/>
      <c r="K89" s="168"/>
      <c r="M89" s="359" t="e">
        <f t="shared" si="17"/>
        <v>#DIV/0!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490"/>
      <c r="D90" s="490"/>
      <c r="E90" s="171">
        <f t="shared" si="14"/>
        <v>0</v>
      </c>
      <c r="F90" s="496"/>
      <c r="G90" s="171">
        <f t="shared" si="15"/>
        <v>0</v>
      </c>
      <c r="H90" s="172">
        <f t="shared" si="16"/>
        <v>0</v>
      </c>
      <c r="I90" s="337"/>
      <c r="J90" s="168"/>
      <c r="K90" s="168"/>
      <c r="M90" s="359" t="e">
        <f t="shared" si="17"/>
        <v>#DIV/0!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490"/>
      <c r="D91" s="490"/>
      <c r="E91" s="171">
        <f t="shared" si="14"/>
        <v>0</v>
      </c>
      <c r="F91" s="496"/>
      <c r="G91" s="171">
        <f t="shared" si="15"/>
        <v>0</v>
      </c>
      <c r="H91" s="172">
        <f t="shared" si="16"/>
        <v>0</v>
      </c>
      <c r="I91" s="337"/>
      <c r="J91" s="168"/>
      <c r="K91" s="168"/>
      <c r="M91" s="359" t="e">
        <f t="shared" si="17"/>
        <v>#DIV/0!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490"/>
      <c r="D92" s="490"/>
      <c r="E92" s="171">
        <f t="shared" si="14"/>
        <v>0</v>
      </c>
      <c r="F92" s="496"/>
      <c r="G92" s="171">
        <f t="shared" si="15"/>
        <v>0</v>
      </c>
      <c r="H92" s="172">
        <f t="shared" si="16"/>
        <v>0</v>
      </c>
      <c r="I92" s="337"/>
      <c r="J92" s="168"/>
      <c r="K92" s="168"/>
      <c r="M92" s="359" t="e">
        <f t="shared" si="17"/>
        <v>#DIV/0!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490">
        <f>SUM(C82:C92)</f>
        <v>0</v>
      </c>
      <c r="D93" s="490">
        <f>SUM(D82:D92)</f>
        <v>0</v>
      </c>
      <c r="E93" s="171">
        <f t="shared" ref="E93:F93" si="18">SUM(E82:E92)</f>
        <v>0</v>
      </c>
      <c r="F93" s="171">
        <f t="shared" si="18"/>
        <v>0</v>
      </c>
      <c r="G93" s="171">
        <f>SUM(G82:G92)</f>
        <v>0</v>
      </c>
      <c r="H93" s="172">
        <f t="shared" si="16"/>
        <v>0</v>
      </c>
      <c r="I93" s="337"/>
      <c r="J93" s="168"/>
      <c r="K93" s="168"/>
      <c r="M93" s="364" t="e">
        <f>G93/G$228</f>
        <v>#DIV/0!</v>
      </c>
      <c r="N93" s="359">
        <f>SUMMARY!J96</f>
        <v>11.17524664351876</v>
      </c>
    </row>
    <row r="94" spans="1:14" s="167" customFormat="1" ht="15.5">
      <c r="A94" s="163"/>
      <c r="C94" s="165"/>
      <c r="D94" s="165"/>
      <c r="E94" s="165"/>
      <c r="F94"/>
      <c r="G94" s="165"/>
      <c r="H94" s="198"/>
      <c r="I94" s="341"/>
      <c r="J94" s="168"/>
      <c r="K94" s="168"/>
      <c r="M94" s="359"/>
      <c r="N94" s="359"/>
    </row>
    <row r="95" spans="1:14" s="167" customFormat="1" ht="15.5">
      <c r="A95" s="169" t="s">
        <v>164</v>
      </c>
      <c r="B95" s="170" t="s">
        <v>51</v>
      </c>
      <c r="C95" s="165"/>
      <c r="D95" s="165"/>
      <c r="E95" s="165"/>
      <c r="F9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490"/>
      <c r="D96" s="490"/>
      <c r="E96" s="171">
        <f t="shared" ref="E96:E101" si="19">C96+D96</f>
        <v>0</v>
      </c>
      <c r="F96" s="496"/>
      <c r="G96" s="171">
        <f t="shared" ref="G96:G101" si="20">E96+F96</f>
        <v>0</v>
      </c>
      <c r="H96" s="172">
        <f t="shared" ref="H96:H102" si="21">IF($G$208=0,0,G96/$G$208)</f>
        <v>0</v>
      </c>
      <c r="I96" s="337"/>
      <c r="J96" s="183"/>
      <c r="K96" s="183"/>
      <c r="M96" s="364" t="e">
        <f t="shared" ref="M96:M101" si="22">G96/G$228</f>
        <v>#DIV/0!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490"/>
      <c r="D97" s="490"/>
      <c r="E97" s="171">
        <f t="shared" si="19"/>
        <v>0</v>
      </c>
      <c r="F97" s="496"/>
      <c r="G97" s="171">
        <f t="shared" si="20"/>
        <v>0</v>
      </c>
      <c r="H97" s="172">
        <f t="shared" si="21"/>
        <v>0</v>
      </c>
      <c r="I97" s="337"/>
      <c r="J97" s="168"/>
      <c r="K97" s="168"/>
      <c r="M97" s="364" t="e">
        <f t="shared" si="22"/>
        <v>#DIV/0!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490"/>
      <c r="D98" s="490"/>
      <c r="E98" s="171">
        <f t="shared" si="19"/>
        <v>0</v>
      </c>
      <c r="F98" s="496"/>
      <c r="G98" s="171">
        <f t="shared" si="20"/>
        <v>0</v>
      </c>
      <c r="H98" s="172">
        <f t="shared" si="21"/>
        <v>0</v>
      </c>
      <c r="I98" s="337"/>
      <c r="J98" s="168"/>
      <c r="K98" s="168"/>
      <c r="M98" s="364" t="e">
        <f t="shared" si="22"/>
        <v>#DIV/0!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490"/>
      <c r="D99" s="490"/>
      <c r="E99" s="171">
        <f t="shared" si="19"/>
        <v>0</v>
      </c>
      <c r="F99" s="496"/>
      <c r="G99" s="171">
        <f t="shared" si="20"/>
        <v>0</v>
      </c>
      <c r="H99" s="172">
        <f t="shared" si="21"/>
        <v>0</v>
      </c>
      <c r="I99" s="337"/>
      <c r="J99" s="168"/>
      <c r="K99" s="168"/>
      <c r="M99" s="364" t="e">
        <f t="shared" si="22"/>
        <v>#DIV/0!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490"/>
      <c r="D100" s="490"/>
      <c r="E100" s="171">
        <f t="shared" si="19"/>
        <v>0</v>
      </c>
      <c r="F100" s="496"/>
      <c r="G100" s="171">
        <f t="shared" si="20"/>
        <v>0</v>
      </c>
      <c r="H100" s="172">
        <f t="shared" si="21"/>
        <v>0</v>
      </c>
      <c r="I100" s="337"/>
      <c r="J100" s="168"/>
      <c r="K100" s="168"/>
      <c r="M100" s="364" t="e">
        <f t="shared" si="22"/>
        <v>#DIV/0!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490"/>
      <c r="D101" s="490"/>
      <c r="E101" s="171">
        <f t="shared" si="19"/>
        <v>0</v>
      </c>
      <c r="F101" s="496"/>
      <c r="G101" s="171">
        <f t="shared" si="20"/>
        <v>0</v>
      </c>
      <c r="H101" s="172">
        <f t="shared" si="21"/>
        <v>0</v>
      </c>
      <c r="I101" s="337"/>
      <c r="J101" s="168"/>
      <c r="K101" s="168"/>
      <c r="M101" s="364" t="e">
        <f t="shared" si="22"/>
        <v>#DIV/0!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490">
        <f>SUM(C96:C101)</f>
        <v>0</v>
      </c>
      <c r="D102" s="490">
        <f>SUM(D96:D101)</f>
        <v>0</v>
      </c>
      <c r="E102" s="171">
        <f t="shared" ref="E102:F102" si="23">SUM(E96:E101)</f>
        <v>0</v>
      </c>
      <c r="F102" s="171">
        <f t="shared" si="23"/>
        <v>0</v>
      </c>
      <c r="G102" s="171">
        <f>SUM(G96:G101)</f>
        <v>0</v>
      </c>
      <c r="H102" s="172">
        <f t="shared" si="21"/>
        <v>0</v>
      </c>
      <c r="I102" s="337"/>
      <c r="J102" s="168"/>
      <c r="K102" s="168"/>
      <c r="M102" s="364" t="e">
        <f>G102/G$228</f>
        <v>#DIV/0!</v>
      </c>
      <c r="N102" s="359">
        <f>SUMMARY!J105</f>
        <v>18.68930531346383</v>
      </c>
    </row>
    <row r="103" spans="1:14" s="167" customFormat="1" ht="15.5">
      <c r="A103" s="163"/>
      <c r="C103" s="165"/>
      <c r="D103" s="165"/>
      <c r="E103" s="165"/>
      <c r="F103"/>
      <c r="G103" s="165"/>
      <c r="H103" s="198"/>
      <c r="I103" s="341"/>
      <c r="J103" s="168"/>
      <c r="K103" s="168"/>
      <c r="M103" s="359"/>
      <c r="N103" s="359"/>
    </row>
    <row r="104" spans="1:14" s="167" customFormat="1" ht="15.5">
      <c r="A104" s="169" t="s">
        <v>165</v>
      </c>
      <c r="B104" s="170" t="s">
        <v>56</v>
      </c>
      <c r="C104" s="165"/>
      <c r="D104" s="165"/>
      <c r="E104" s="165"/>
      <c r="F104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490"/>
      <c r="D105" s="490"/>
      <c r="E105" s="171">
        <f t="shared" ref="E105:E110" si="24">C105+D105</f>
        <v>0</v>
      </c>
      <c r="F105" s="496"/>
      <c r="G105" s="171">
        <f t="shared" ref="G105:G110" si="25">E105+F105</f>
        <v>0</v>
      </c>
      <c r="H105" s="172">
        <f t="shared" ref="H105:H111" si="26">IF($G$208=0,0,G105/$G$208)</f>
        <v>0</v>
      </c>
      <c r="I105" s="337"/>
      <c r="J105" s="183"/>
      <c r="K105" s="183"/>
      <c r="M105" s="364" t="e">
        <f t="shared" ref="M105:M110" si="27">G105/G$228</f>
        <v>#DIV/0!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490"/>
      <c r="D106" s="490"/>
      <c r="E106" s="171">
        <f t="shared" si="24"/>
        <v>0</v>
      </c>
      <c r="F106" s="496"/>
      <c r="G106" s="171">
        <f t="shared" si="25"/>
        <v>0</v>
      </c>
      <c r="H106" s="172">
        <f t="shared" si="26"/>
        <v>0</v>
      </c>
      <c r="I106" s="337"/>
      <c r="J106" s="168"/>
      <c r="K106" s="168"/>
      <c r="M106" s="364" t="e">
        <f t="shared" si="27"/>
        <v>#DIV/0!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490"/>
      <c r="D107" s="490"/>
      <c r="E107" s="171">
        <f t="shared" si="24"/>
        <v>0</v>
      </c>
      <c r="F107" s="496"/>
      <c r="G107" s="171">
        <f t="shared" si="25"/>
        <v>0</v>
      </c>
      <c r="H107" s="172">
        <f t="shared" si="26"/>
        <v>0</v>
      </c>
      <c r="I107" s="337"/>
      <c r="J107" s="168"/>
      <c r="K107" s="168"/>
      <c r="M107" s="364" t="e">
        <f t="shared" si="27"/>
        <v>#DIV/0!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490"/>
      <c r="D108" s="490"/>
      <c r="E108" s="171">
        <f t="shared" si="24"/>
        <v>0</v>
      </c>
      <c r="F108" s="496"/>
      <c r="G108" s="171">
        <f t="shared" si="25"/>
        <v>0</v>
      </c>
      <c r="H108" s="172">
        <f t="shared" si="26"/>
        <v>0</v>
      </c>
      <c r="I108" s="337"/>
      <c r="J108" s="168"/>
      <c r="K108" s="168"/>
      <c r="M108" s="364" t="e">
        <f t="shared" si="27"/>
        <v>#DIV/0!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490"/>
      <c r="D109" s="490"/>
      <c r="E109" s="171">
        <f t="shared" si="24"/>
        <v>0</v>
      </c>
      <c r="F109" s="496"/>
      <c r="G109" s="171">
        <f t="shared" si="25"/>
        <v>0</v>
      </c>
      <c r="H109" s="172">
        <f t="shared" si="26"/>
        <v>0</v>
      </c>
      <c r="I109" s="337"/>
      <c r="J109" s="168"/>
      <c r="K109" s="168"/>
      <c r="M109" s="364" t="e">
        <f t="shared" si="27"/>
        <v>#DIV/0!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490"/>
      <c r="D110" s="490"/>
      <c r="E110" s="171">
        <f t="shared" si="24"/>
        <v>0</v>
      </c>
      <c r="F110" s="496"/>
      <c r="G110" s="171">
        <f t="shared" si="25"/>
        <v>0</v>
      </c>
      <c r="H110" s="172">
        <f t="shared" si="26"/>
        <v>0</v>
      </c>
      <c r="I110" s="337"/>
      <c r="J110" s="168"/>
      <c r="K110" s="168"/>
      <c r="M110" s="364" t="e">
        <f t="shared" si="27"/>
        <v>#DIV/0!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490">
        <f>SUM(C105:C110)</f>
        <v>0</v>
      </c>
      <c r="D111" s="490">
        <f>SUM(D105:D110)</f>
        <v>0</v>
      </c>
      <c r="E111" s="171">
        <f t="shared" ref="E111:F111" si="28">SUM(E105:E110)</f>
        <v>0</v>
      </c>
      <c r="F111" s="171">
        <f t="shared" si="28"/>
        <v>0</v>
      </c>
      <c r="G111" s="171">
        <f>SUM(G105:G110)</f>
        <v>0</v>
      </c>
      <c r="H111" s="172">
        <f t="shared" si="26"/>
        <v>0</v>
      </c>
      <c r="I111" s="337"/>
      <c r="J111" s="168"/>
      <c r="K111" s="168"/>
      <c r="M111" s="364" t="e">
        <f>G111/G$228</f>
        <v>#DIV/0!</v>
      </c>
      <c r="N111" s="359">
        <f>SUMMARY!J114</f>
        <v>2.269671356169523</v>
      </c>
    </row>
    <row r="112" spans="1:14" s="167" customFormat="1" ht="15.5">
      <c r="A112" s="163"/>
      <c r="C112" s="165"/>
      <c r="D112" s="165"/>
      <c r="E112" s="165"/>
      <c r="F112"/>
      <c r="G112" s="165"/>
      <c r="H112" s="198"/>
      <c r="I112" s="341"/>
      <c r="J112" s="168"/>
      <c r="K112" s="168"/>
      <c r="M112" s="359"/>
      <c r="N112" s="359"/>
    </row>
    <row r="113" spans="1:14" s="167" customFormat="1" ht="15.5">
      <c r="A113" s="169" t="s">
        <v>166</v>
      </c>
      <c r="B113" s="170" t="s">
        <v>59</v>
      </c>
      <c r="C113" s="165"/>
      <c r="D113" s="165"/>
      <c r="E113" s="165"/>
      <c r="F113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490"/>
      <c r="D114" s="490"/>
      <c r="E114" s="171">
        <f t="shared" ref="E114:E118" si="29">C114+D114</f>
        <v>0</v>
      </c>
      <c r="F114" s="496"/>
      <c r="G114" s="171">
        <f>E114+F114</f>
        <v>0</v>
      </c>
      <c r="H114" s="172">
        <f t="shared" ref="H114:H119" si="30">IF($G$208=0,0,G114/$G$208)</f>
        <v>0</v>
      </c>
      <c r="I114" s="337"/>
      <c r="J114" s="491"/>
      <c r="K114" s="491"/>
      <c r="M114" s="364" t="e">
        <f t="shared" ref="M114:M119" si="31">G114/G$228</f>
        <v>#DIV/0!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490"/>
      <c r="D115" s="490"/>
      <c r="E115" s="171">
        <f t="shared" si="29"/>
        <v>0</v>
      </c>
      <c r="F115" s="496"/>
      <c r="G115" s="171">
        <f>E115+F115</f>
        <v>0</v>
      </c>
      <c r="H115" s="172">
        <f t="shared" si="30"/>
        <v>0</v>
      </c>
      <c r="I115" s="337"/>
      <c r="J115" s="168"/>
      <c r="K115" s="168"/>
      <c r="M115" s="364" t="e">
        <f t="shared" si="31"/>
        <v>#DIV/0!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490"/>
      <c r="D116" s="490"/>
      <c r="E116" s="171">
        <f t="shared" si="29"/>
        <v>0</v>
      </c>
      <c r="F116" s="496"/>
      <c r="G116" s="171">
        <f>E116+F116</f>
        <v>0</v>
      </c>
      <c r="H116" s="172">
        <f t="shared" si="30"/>
        <v>0</v>
      </c>
      <c r="I116" s="337"/>
      <c r="J116" s="168"/>
      <c r="K116" s="168"/>
      <c r="M116" s="364" t="e">
        <f t="shared" si="31"/>
        <v>#DIV/0!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490"/>
      <c r="D117" s="490"/>
      <c r="E117" s="171">
        <f t="shared" si="29"/>
        <v>0</v>
      </c>
      <c r="F117" s="496"/>
      <c r="G117" s="171">
        <f>E117+F117</f>
        <v>0</v>
      </c>
      <c r="H117" s="172">
        <f t="shared" si="30"/>
        <v>0</v>
      </c>
      <c r="I117" s="337"/>
      <c r="J117" s="168"/>
      <c r="K117" s="168"/>
      <c r="M117" s="364" t="e">
        <f t="shared" si="31"/>
        <v>#DIV/0!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490"/>
      <c r="D118" s="490"/>
      <c r="E118" s="171">
        <f t="shared" si="29"/>
        <v>0</v>
      </c>
      <c r="F118" s="496"/>
      <c r="G118" s="171">
        <f>E118+F118</f>
        <v>0</v>
      </c>
      <c r="H118" s="172">
        <f t="shared" si="30"/>
        <v>0</v>
      </c>
      <c r="I118" s="337"/>
      <c r="J118" s="168"/>
      <c r="K118" s="168"/>
      <c r="M118" s="364" t="e">
        <f t="shared" si="31"/>
        <v>#DIV/0!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490">
        <f>SUM(C114:C118)</f>
        <v>0</v>
      </c>
      <c r="D119" s="490">
        <f>SUM(D114:D118)</f>
        <v>0</v>
      </c>
      <c r="E119" s="171">
        <f t="shared" ref="E119:F119" si="32">SUM(E114:E118)</f>
        <v>0</v>
      </c>
      <c r="F119" s="171">
        <f t="shared" si="32"/>
        <v>0</v>
      </c>
      <c r="G119" s="171">
        <f>SUM(G114:G118)</f>
        <v>0</v>
      </c>
      <c r="H119" s="172">
        <f t="shared" si="30"/>
        <v>0</v>
      </c>
      <c r="I119" s="337"/>
      <c r="J119" s="168"/>
      <c r="K119" s="168"/>
      <c r="M119" s="364" t="e">
        <f t="shared" si="31"/>
        <v>#DIV/0!</v>
      </c>
      <c r="N119" s="359">
        <f>SUMMARY!J122</f>
        <v>5.7499401387004214</v>
      </c>
    </row>
    <row r="120" spans="1:14" s="167" customFormat="1" ht="15.5">
      <c r="A120" s="163"/>
      <c r="B120" s="170"/>
      <c r="C120" s="196"/>
      <c r="D120" s="196"/>
      <c r="E120" s="196"/>
      <c r="F120"/>
      <c r="G120" s="196"/>
      <c r="H120" s="197"/>
      <c r="I120" s="337"/>
      <c r="J120" s="203"/>
      <c r="K120" s="203"/>
      <c r="M120" s="359"/>
      <c r="N120" s="359"/>
    </row>
    <row r="121" spans="1:14" s="167" customFormat="1" ht="15.5">
      <c r="A121" s="169" t="s">
        <v>167</v>
      </c>
      <c r="B121" s="170" t="s">
        <v>62</v>
      </c>
      <c r="C121" s="165"/>
      <c r="D121" s="165"/>
      <c r="E121" s="165"/>
      <c r="F121"/>
      <c r="G121" s="165"/>
      <c r="H121" s="198"/>
      <c r="I121" s="341"/>
      <c r="J121" s="204"/>
      <c r="K121" s="204"/>
      <c r="M121" s="359"/>
      <c r="N121" s="359"/>
    </row>
    <row r="122" spans="1:14" s="167" customFormat="1" ht="15.5">
      <c r="A122" s="169" t="s">
        <v>85</v>
      </c>
      <c r="B122" s="170" t="s">
        <v>63</v>
      </c>
      <c r="C122" s="165"/>
      <c r="D122" s="165"/>
      <c r="E122" s="165"/>
      <c r="F122"/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490"/>
      <c r="D123" s="490"/>
      <c r="E123" s="171">
        <f t="shared" ref="E123:E127" si="33">C123+D123</f>
        <v>0</v>
      </c>
      <c r="F123" s="496"/>
      <c r="G123" s="171">
        <f>E123+F123</f>
        <v>0</v>
      </c>
      <c r="H123" s="172">
        <f>IF($G$208=0,0,G123/$G$208)</f>
        <v>0</v>
      </c>
      <c r="I123" s="337"/>
      <c r="J123" s="183"/>
      <c r="K123" s="183"/>
      <c r="M123" s="364" t="e">
        <f t="shared" ref="M123:M160" si="34">G123/G$228</f>
        <v>#DIV/0!</v>
      </c>
      <c r="N123" s="359">
        <f>SUMMARY!J126</f>
        <v>0.77002560279620991</v>
      </c>
    </row>
    <row r="124" spans="1:14" s="167" customFormat="1">
      <c r="B124" s="163" t="s">
        <v>194</v>
      </c>
      <c r="C124" s="490"/>
      <c r="D124" s="490"/>
      <c r="E124" s="171">
        <f t="shared" si="33"/>
        <v>0</v>
      </c>
      <c r="F124" s="496"/>
      <c r="G124" s="171">
        <f>E124+F124</f>
        <v>0</v>
      </c>
      <c r="H124" s="172">
        <f>IF($G$208=0,0,G124/$G$208)</f>
        <v>0</v>
      </c>
      <c r="I124" s="337"/>
      <c r="J124" s="183"/>
      <c r="K124" s="183"/>
      <c r="M124" s="364" t="e">
        <f t="shared" si="34"/>
        <v>#DIV/0!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490"/>
      <c r="D125" s="490"/>
      <c r="E125" s="171">
        <f t="shared" si="33"/>
        <v>0</v>
      </c>
      <c r="F125" s="496"/>
      <c r="G125" s="171">
        <f>E125+F125</f>
        <v>0</v>
      </c>
      <c r="H125" s="172">
        <f>IF($G$208=0,0,G125/$G$208)</f>
        <v>0</v>
      </c>
      <c r="I125" s="337"/>
      <c r="J125" s="183"/>
      <c r="K125" s="183"/>
      <c r="M125" s="364" t="e">
        <f t="shared" si="34"/>
        <v>#DIV/0!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490"/>
      <c r="D126" s="490"/>
      <c r="E126" s="171">
        <f t="shared" si="33"/>
        <v>0</v>
      </c>
      <c r="F126" s="496"/>
      <c r="G126" s="171">
        <f>E126+F126</f>
        <v>0</v>
      </c>
      <c r="H126" s="172">
        <f>IF($G$208=0,0,G126/$G$208)</f>
        <v>0</v>
      </c>
      <c r="I126" s="337"/>
      <c r="J126" s="183"/>
      <c r="K126" s="183"/>
      <c r="M126" s="364" t="e">
        <f t="shared" si="34"/>
        <v>#DIV/0!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490"/>
      <c r="D127" s="490"/>
      <c r="E127" s="171">
        <f t="shared" si="33"/>
        <v>0</v>
      </c>
      <c r="F127" s="496"/>
      <c r="G127" s="171">
        <f>E127+F127</f>
        <v>0</v>
      </c>
      <c r="H127" s="172">
        <f>IF($G$208=0,0,G127/$G$208)</f>
        <v>0</v>
      </c>
      <c r="I127" s="337"/>
      <c r="J127" s="183"/>
      <c r="K127" s="183"/>
      <c r="M127" s="364" t="e">
        <f t="shared" si="34"/>
        <v>#DIV/0!</v>
      </c>
      <c r="N127" s="359">
        <f>SUMMARY!J130</f>
        <v>2.5140796974413586</v>
      </c>
    </row>
    <row r="128" spans="1:14" s="167" customFormat="1" ht="15.5">
      <c r="A128" s="169" t="s">
        <v>95</v>
      </c>
      <c r="B128" s="170" t="s">
        <v>152</v>
      </c>
      <c r="C128" s="580"/>
      <c r="D128" s="583"/>
      <c r="E128" s="205"/>
      <c r="F128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490"/>
      <c r="D129" s="490"/>
      <c r="E129" s="171">
        <f t="shared" ref="E129:E133" si="35">C129+D129</f>
        <v>0</v>
      </c>
      <c r="F129" s="496"/>
      <c r="G129" s="171">
        <f>E129+F129</f>
        <v>0</v>
      </c>
      <c r="H129" s="172">
        <f>IF($G$208=0,0,G129/$G$208)</f>
        <v>0</v>
      </c>
      <c r="I129" s="337"/>
      <c r="J129" s="204"/>
      <c r="K129" s="204"/>
      <c r="M129" s="364" t="e">
        <f t="shared" si="34"/>
        <v>#DIV/0!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490"/>
      <c r="D130" s="490"/>
      <c r="E130" s="171">
        <f t="shared" si="35"/>
        <v>0</v>
      </c>
      <c r="F130" s="496"/>
      <c r="G130" s="171">
        <f>E130+F130</f>
        <v>0</v>
      </c>
      <c r="H130" s="172">
        <f>IF($G$208=0,0,G130/$G$208)</f>
        <v>0</v>
      </c>
      <c r="I130" s="337"/>
      <c r="J130" s="204"/>
      <c r="K130" s="204"/>
      <c r="M130" s="364" t="e">
        <f t="shared" si="34"/>
        <v>#DIV/0!</v>
      </c>
      <c r="N130" s="359">
        <f>SUMMARY!J133</f>
        <v>1.0792348507966931</v>
      </c>
    </row>
    <row r="131" spans="1:14" s="167" customFormat="1">
      <c r="B131" s="163" t="s">
        <v>195</v>
      </c>
      <c r="C131" s="490"/>
      <c r="D131" s="490"/>
      <c r="E131" s="171">
        <f t="shared" si="35"/>
        <v>0</v>
      </c>
      <c r="F131" s="496"/>
      <c r="G131" s="171">
        <f>E131+F131</f>
        <v>0</v>
      </c>
      <c r="H131" s="172">
        <f>IF($G$208=0,0,G131/$G$208)</f>
        <v>0</v>
      </c>
      <c r="I131" s="337"/>
      <c r="J131" s="168"/>
      <c r="K131" s="168"/>
      <c r="M131" s="364" t="e">
        <f t="shared" si="34"/>
        <v>#DIV/0!</v>
      </c>
      <c r="N131" s="359">
        <f>SUMMARY!J134</f>
        <v>8.2765628075518377E-2</v>
      </c>
    </row>
    <row r="132" spans="1:14" s="167" customFormat="1">
      <c r="B132" s="163" t="s">
        <v>196</v>
      </c>
      <c r="C132" s="490"/>
      <c r="D132" s="490"/>
      <c r="E132" s="171">
        <f t="shared" si="35"/>
        <v>0</v>
      </c>
      <c r="F132" s="496"/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 t="e">
        <f t="shared" si="34"/>
        <v>#DIV/0!</v>
      </c>
      <c r="N132" s="359">
        <f>SUMMARY!J135</f>
        <v>2.4827298902786038E-2</v>
      </c>
    </row>
    <row r="133" spans="1:14" s="167" customFormat="1">
      <c r="B133" s="163" t="s">
        <v>197</v>
      </c>
      <c r="C133" s="490"/>
      <c r="D133" s="490"/>
      <c r="E133" s="171">
        <f t="shared" si="35"/>
        <v>0</v>
      </c>
      <c r="F133" s="496"/>
      <c r="G133" s="171">
        <f>E133+F133</f>
        <v>0</v>
      </c>
      <c r="H133" s="172">
        <f>IF($G$208=0,0,G133/$G$208)</f>
        <v>0</v>
      </c>
      <c r="I133" s="337"/>
      <c r="J133" s="168"/>
      <c r="K133" s="168"/>
      <c r="M133" s="364" t="e">
        <f t="shared" si="34"/>
        <v>#DIV/0!</v>
      </c>
      <c r="N133" s="359">
        <f>SUMMARY!J136</f>
        <v>0.48951420004915208</v>
      </c>
    </row>
    <row r="134" spans="1:14" s="167" customFormat="1" ht="15.5">
      <c r="A134" s="169" t="s">
        <v>86</v>
      </c>
      <c r="B134" s="170" t="s">
        <v>64</v>
      </c>
      <c r="C134" s="196"/>
      <c r="D134" s="196"/>
      <c r="E134" s="196"/>
      <c r="F134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490"/>
      <c r="D135" s="490"/>
      <c r="E135" s="171">
        <f t="shared" ref="E135:E138" si="36">C135+D135</f>
        <v>0</v>
      </c>
      <c r="F135" s="496"/>
      <c r="G135" s="171">
        <f>E135+F135</f>
        <v>0</v>
      </c>
      <c r="H135" s="172">
        <f>IF($G$208=0,0,G135/$G$208)</f>
        <v>0</v>
      </c>
      <c r="I135" s="337"/>
      <c r="J135" s="183"/>
      <c r="K135" s="183"/>
      <c r="M135" s="364" t="e">
        <f t="shared" si="34"/>
        <v>#DIV/0!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490"/>
      <c r="D136" s="490"/>
      <c r="E136" s="171">
        <f t="shared" si="36"/>
        <v>0</v>
      </c>
      <c r="F136" s="496"/>
      <c r="G136" s="171">
        <f>E136+F136</f>
        <v>0</v>
      </c>
      <c r="H136" s="172">
        <f>IF($G$208=0,0,G136/$G$208)</f>
        <v>0</v>
      </c>
      <c r="I136" s="337"/>
      <c r="J136" s="183"/>
      <c r="K136" s="183"/>
      <c r="M136" s="364" t="e">
        <f t="shared" si="34"/>
        <v>#DIV/0!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490"/>
      <c r="D137" s="490"/>
      <c r="E137" s="171">
        <f t="shared" si="36"/>
        <v>0</v>
      </c>
      <c r="F137" s="496"/>
      <c r="G137" s="171">
        <f>E137+F137</f>
        <v>0</v>
      </c>
      <c r="H137" s="172">
        <f>IF($G$208=0,0,G137/$G$208)</f>
        <v>0</v>
      </c>
      <c r="I137" s="337"/>
      <c r="J137" s="183"/>
      <c r="K137" s="183"/>
      <c r="M137" s="364" t="e">
        <f t="shared" si="34"/>
        <v>#DIV/0!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490"/>
      <c r="D138" s="490"/>
      <c r="E138" s="171">
        <f t="shared" si="36"/>
        <v>0</v>
      </c>
      <c r="F138" s="496"/>
      <c r="G138" s="171">
        <f>E138+F138</f>
        <v>0</v>
      </c>
      <c r="H138" s="172">
        <f>IF($G$208=0,0,G138/$G$208)</f>
        <v>0</v>
      </c>
      <c r="I138" s="337"/>
      <c r="J138" s="183"/>
      <c r="K138" s="183"/>
      <c r="M138" s="364" t="e">
        <f t="shared" si="34"/>
        <v>#DIV/0!</v>
      </c>
      <c r="N138" s="359">
        <f>SUMMARY!J141</f>
        <v>2.553029289205647</v>
      </c>
    </row>
    <row r="139" spans="1:14" s="167" customFormat="1" ht="15.5">
      <c r="A139" s="169" t="s">
        <v>96</v>
      </c>
      <c r="B139" s="170" t="s">
        <v>153</v>
      </c>
      <c r="C139" s="196"/>
      <c r="D139" s="196"/>
      <c r="E139" s="196"/>
      <c r="F139"/>
      <c r="G139" s="196"/>
      <c r="H139" s="197"/>
      <c r="I139" s="337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490"/>
      <c r="D140" s="490"/>
      <c r="E140" s="171">
        <f t="shared" ref="E140:E143" si="37">C140+D140</f>
        <v>0</v>
      </c>
      <c r="F140" s="496"/>
      <c r="G140" s="171">
        <f>E140+F140</f>
        <v>0</v>
      </c>
      <c r="H140" s="172">
        <f>IF($G$208=0,0,G140/$G$208)</f>
        <v>0</v>
      </c>
      <c r="I140" s="337"/>
      <c r="J140" s="168"/>
      <c r="K140" s="168"/>
      <c r="M140" s="364" t="e">
        <f t="shared" si="34"/>
        <v>#DIV/0!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490"/>
      <c r="D141" s="490"/>
      <c r="E141" s="171">
        <f t="shared" si="37"/>
        <v>0</v>
      </c>
      <c r="F141" s="496"/>
      <c r="G141" s="171">
        <f>E141+F141</f>
        <v>0</v>
      </c>
      <c r="H141" s="172">
        <f>IF($G$208=0,0,G141/$G$208)</f>
        <v>0</v>
      </c>
      <c r="I141" s="337"/>
      <c r="J141" s="168"/>
      <c r="K141" s="168"/>
      <c r="M141" s="364" t="e">
        <f t="shared" si="34"/>
        <v>#DIV/0!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490"/>
      <c r="D142" s="490"/>
      <c r="E142" s="171">
        <f t="shared" si="37"/>
        <v>0</v>
      </c>
      <c r="F142" s="496"/>
      <c r="G142" s="171">
        <f>E142+F142</f>
        <v>0</v>
      </c>
      <c r="H142" s="172">
        <f>IF($G$208=0,0,G142/$G$208)</f>
        <v>0</v>
      </c>
      <c r="I142" s="337"/>
      <c r="J142" s="168"/>
      <c r="K142" s="168"/>
      <c r="M142" s="364" t="e">
        <f t="shared" si="34"/>
        <v>#DIV/0!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490"/>
      <c r="D143" s="490"/>
      <c r="E143" s="171">
        <f t="shared" si="37"/>
        <v>0</v>
      </c>
      <c r="F143" s="496"/>
      <c r="G143" s="171">
        <f>E143+F143</f>
        <v>0</v>
      </c>
      <c r="H143" s="172">
        <f>IF($G$208=0,0,G143/$G$208)</f>
        <v>0</v>
      </c>
      <c r="I143" s="337"/>
      <c r="J143" s="168"/>
      <c r="K143" s="168"/>
      <c r="M143" s="364" t="e">
        <f t="shared" si="34"/>
        <v>#DIV/0!</v>
      </c>
      <c r="N143" s="359">
        <f>SUMMARY!J146</f>
        <v>0.71727598372518497</v>
      </c>
    </row>
    <row r="144" spans="1:14" s="167" customFormat="1" ht="15.5">
      <c r="A144" s="169" t="s">
        <v>87</v>
      </c>
      <c r="B144" s="170" t="s">
        <v>98</v>
      </c>
      <c r="C144" s="196"/>
      <c r="D144" s="196"/>
      <c r="E144" s="196"/>
      <c r="F144"/>
      <c r="G144" s="196"/>
      <c r="H144" s="197"/>
      <c r="I144" s="337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490"/>
      <c r="D145" s="490"/>
      <c r="E145" s="171">
        <f t="shared" ref="E145:E153" si="38">C145+D145</f>
        <v>0</v>
      </c>
      <c r="F145" s="496"/>
      <c r="G145" s="171">
        <f t="shared" ref="G145:G153" si="39">E145+F145</f>
        <v>0</v>
      </c>
      <c r="H145" s="172">
        <f t="shared" ref="H145:H153" si="40">IF($G$208=0,0,G145/$G$208)</f>
        <v>0</v>
      </c>
      <c r="I145" s="337"/>
      <c r="J145" s="183"/>
      <c r="K145" s="183"/>
      <c r="M145" s="364" t="e">
        <f t="shared" si="34"/>
        <v>#DIV/0!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490"/>
      <c r="D146" s="490"/>
      <c r="E146" s="171">
        <f t="shared" si="38"/>
        <v>0</v>
      </c>
      <c r="F146" s="496"/>
      <c r="G146" s="171">
        <f t="shared" si="39"/>
        <v>0</v>
      </c>
      <c r="H146" s="172">
        <f t="shared" si="40"/>
        <v>0</v>
      </c>
      <c r="I146" s="337"/>
      <c r="J146" s="183"/>
      <c r="K146" s="183"/>
      <c r="M146" s="364" t="e">
        <f t="shared" si="34"/>
        <v>#DIV/0!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490"/>
      <c r="D147" s="490"/>
      <c r="E147" s="171">
        <f t="shared" si="38"/>
        <v>0</v>
      </c>
      <c r="F147" s="496"/>
      <c r="G147" s="171">
        <f t="shared" si="39"/>
        <v>0</v>
      </c>
      <c r="H147" s="172">
        <f t="shared" si="40"/>
        <v>0</v>
      </c>
      <c r="I147" s="337"/>
      <c r="J147" s="183"/>
      <c r="K147" s="183"/>
      <c r="M147" s="364" t="e">
        <f t="shared" si="34"/>
        <v>#DIV/0!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490"/>
      <c r="D148" s="490"/>
      <c r="E148" s="171">
        <f t="shared" si="38"/>
        <v>0</v>
      </c>
      <c r="F148" s="496"/>
      <c r="G148" s="171">
        <f t="shared" si="39"/>
        <v>0</v>
      </c>
      <c r="H148" s="172">
        <f t="shared" si="40"/>
        <v>0</v>
      </c>
      <c r="I148" s="337"/>
      <c r="J148" s="183"/>
      <c r="K148" s="183"/>
      <c r="M148" s="364" t="e">
        <f t="shared" si="34"/>
        <v>#DIV/0!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490"/>
      <c r="D149" s="490"/>
      <c r="E149" s="171">
        <f t="shared" si="38"/>
        <v>0</v>
      </c>
      <c r="F149" s="496"/>
      <c r="G149" s="171">
        <f t="shared" si="39"/>
        <v>0</v>
      </c>
      <c r="H149" s="172">
        <f t="shared" si="40"/>
        <v>0</v>
      </c>
      <c r="I149" s="337"/>
      <c r="J149" s="183"/>
      <c r="K149" s="183"/>
      <c r="M149" s="364" t="e">
        <f t="shared" si="34"/>
        <v>#DIV/0!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490"/>
      <c r="D150" s="490"/>
      <c r="E150" s="171">
        <f t="shared" si="38"/>
        <v>0</v>
      </c>
      <c r="F150" s="496"/>
      <c r="G150" s="171">
        <f t="shared" si="39"/>
        <v>0</v>
      </c>
      <c r="H150" s="172">
        <f t="shared" si="40"/>
        <v>0</v>
      </c>
      <c r="I150" s="337"/>
      <c r="J150" s="168"/>
      <c r="K150" s="168"/>
      <c r="M150" s="364" t="e">
        <f t="shared" si="34"/>
        <v>#DIV/0!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490"/>
      <c r="D151" s="490"/>
      <c r="E151" s="171">
        <f t="shared" si="38"/>
        <v>0</v>
      </c>
      <c r="F151" s="496"/>
      <c r="G151" s="171">
        <f t="shared" si="39"/>
        <v>0</v>
      </c>
      <c r="H151" s="172">
        <f t="shared" si="40"/>
        <v>0</v>
      </c>
      <c r="I151" s="337"/>
      <c r="J151" s="168"/>
      <c r="K151" s="168"/>
      <c r="M151" s="364" t="e">
        <f t="shared" si="34"/>
        <v>#DIV/0!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490"/>
      <c r="D152" s="490"/>
      <c r="E152" s="171">
        <f t="shared" si="38"/>
        <v>0</v>
      </c>
      <c r="F152" s="496"/>
      <c r="G152" s="171">
        <f t="shared" si="39"/>
        <v>0</v>
      </c>
      <c r="H152" s="172">
        <f t="shared" si="40"/>
        <v>0</v>
      </c>
      <c r="I152" s="337"/>
      <c r="J152" s="168"/>
      <c r="K152" s="168"/>
      <c r="M152" s="364" t="e">
        <f t="shared" si="34"/>
        <v>#DIV/0!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490"/>
      <c r="D153" s="490"/>
      <c r="E153" s="171">
        <f t="shared" si="38"/>
        <v>0</v>
      </c>
      <c r="F153" s="496"/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 t="e">
        <f t="shared" si="34"/>
        <v>#DIV/0!</v>
      </c>
      <c r="N153" s="359">
        <f>SUMMARY!J156</f>
        <v>0.98203545506676493</v>
      </c>
    </row>
    <row r="154" spans="1:14" s="167" customFormat="1" ht="15.5">
      <c r="A154" s="169"/>
      <c r="B154" s="209" t="s">
        <v>101</v>
      </c>
      <c r="C154" s="210"/>
      <c r="D154" s="210"/>
      <c r="E154" s="210"/>
      <c r="F154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490"/>
      <c r="D155" s="490"/>
      <c r="E155" s="171">
        <f t="shared" ref="E155:E160" si="41">C155+D155</f>
        <v>0</v>
      </c>
      <c r="F155" s="496"/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 t="e">
        <f t="shared" si="34"/>
        <v>#DIV/0!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490"/>
      <c r="D156" s="490"/>
      <c r="E156" s="171">
        <f t="shared" si="41"/>
        <v>0</v>
      </c>
      <c r="F156" s="496"/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 t="e">
        <f t="shared" si="34"/>
        <v>#DIV/0!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490"/>
      <c r="D157" s="490"/>
      <c r="E157" s="171">
        <f t="shared" si="41"/>
        <v>0</v>
      </c>
      <c r="F157" s="496"/>
      <c r="G157" s="171">
        <f t="shared" si="42"/>
        <v>0</v>
      </c>
      <c r="H157" s="172">
        <f t="shared" si="43"/>
        <v>0</v>
      </c>
      <c r="I157" s="337"/>
      <c r="J157" s="168"/>
      <c r="K157" s="168"/>
      <c r="M157" s="364" t="e">
        <f t="shared" si="34"/>
        <v>#DIV/0!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490"/>
      <c r="D158" s="490"/>
      <c r="E158" s="171">
        <f t="shared" si="41"/>
        <v>0</v>
      </c>
      <c r="F158" s="496"/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 t="e">
        <f t="shared" si="34"/>
        <v>#DIV/0!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490"/>
      <c r="D159" s="490"/>
      <c r="E159" s="171">
        <f t="shared" si="41"/>
        <v>0</v>
      </c>
      <c r="F159" s="496"/>
      <c r="G159" s="171">
        <f t="shared" si="42"/>
        <v>0</v>
      </c>
      <c r="H159" s="172">
        <f>IF($G$208=0,0,G159/$G$208)</f>
        <v>0</v>
      </c>
      <c r="I159" s="337"/>
      <c r="J159" s="168"/>
      <c r="K159" s="168"/>
      <c r="M159" s="364" t="e">
        <f t="shared" si="34"/>
        <v>#DIV/0!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490"/>
      <c r="D160" s="490"/>
      <c r="E160" s="171">
        <f t="shared" si="41"/>
        <v>0</v>
      </c>
      <c r="F160" s="496"/>
      <c r="G160" s="171">
        <f t="shared" si="42"/>
        <v>0</v>
      </c>
      <c r="H160" s="172">
        <f t="shared" si="43"/>
        <v>0</v>
      </c>
      <c r="I160" s="337"/>
      <c r="J160" s="168"/>
      <c r="K160" s="168"/>
      <c r="M160" s="364" t="e">
        <f t="shared" si="34"/>
        <v>#DIV/0!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490">
        <f>SUM(C123:C160)</f>
        <v>0</v>
      </c>
      <c r="D161" s="490">
        <f>SUM(D123:D160)</f>
        <v>0</v>
      </c>
      <c r="E161" s="171">
        <f t="shared" ref="E161:F161" si="44">SUM(E123:E160)</f>
        <v>0</v>
      </c>
      <c r="F161" s="171">
        <f t="shared" si="44"/>
        <v>0</v>
      </c>
      <c r="G161" s="171">
        <f>SUM(G123:G160)</f>
        <v>0</v>
      </c>
      <c r="H161" s="172">
        <f t="shared" si="43"/>
        <v>0</v>
      </c>
      <c r="I161" s="337"/>
      <c r="J161" s="168"/>
      <c r="K161" s="168"/>
      <c r="M161" s="364" t="e">
        <f>G161/G$228</f>
        <v>#DIV/0!</v>
      </c>
      <c r="N161" s="359">
        <f>SUMMARY!J164</f>
        <v>98.597321527877028</v>
      </c>
    </row>
    <row r="162" spans="1:17" s="167" customFormat="1" ht="15.5">
      <c r="A162" s="169"/>
      <c r="B162" s="170"/>
      <c r="C162" s="196"/>
      <c r="D162" s="196"/>
      <c r="E162" s="196"/>
      <c r="F162"/>
      <c r="G162" s="196"/>
      <c r="H162" s="197"/>
      <c r="I162" s="337"/>
      <c r="J162" s="168"/>
      <c r="K162" s="168"/>
      <c r="M162" s="359"/>
      <c r="N162" s="359"/>
    </row>
    <row r="163" spans="1:17" s="167" customFormat="1" ht="15.5">
      <c r="A163" s="169" t="s">
        <v>168</v>
      </c>
      <c r="B163" s="212" t="s">
        <v>100</v>
      </c>
      <c r="C163" s="213"/>
      <c r="D163" s="213"/>
      <c r="E163" s="213"/>
      <c r="F163"/>
      <c r="G163" s="213"/>
      <c r="H163" s="214"/>
      <c r="I163" s="337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490"/>
      <c r="D164" s="490"/>
      <c r="E164" s="171">
        <f t="shared" ref="E164:E196" si="45">C164+D164</f>
        <v>0</v>
      </c>
      <c r="F164" s="496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/>
      <c r="K164" s="217"/>
      <c r="L164" s="218"/>
      <c r="M164" s="364" t="e">
        <f>G164/G$228</f>
        <v>#DIV/0!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490"/>
      <c r="D165" s="490"/>
      <c r="E165" s="171">
        <f t="shared" si="45"/>
        <v>0</v>
      </c>
      <c r="F165" s="496"/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8"/>
      <c r="M165" s="364" t="e">
        <f t="shared" ref="M165:M196" si="48">G165/G$228</f>
        <v>#DIV/0!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490"/>
      <c r="D166" s="490"/>
      <c r="E166" s="171">
        <f t="shared" si="45"/>
        <v>0</v>
      </c>
      <c r="F166" s="496"/>
      <c r="G166" s="171">
        <f t="shared" si="46"/>
        <v>0</v>
      </c>
      <c r="H166" s="172">
        <f t="shared" si="47"/>
        <v>0</v>
      </c>
      <c r="I166" s="343"/>
      <c r="J166" s="217"/>
      <c r="K166" s="217"/>
      <c r="L166" s="218"/>
      <c r="M166" s="364" t="e">
        <f t="shared" si="48"/>
        <v>#DIV/0!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490"/>
      <c r="D167" s="490"/>
      <c r="E167" s="171">
        <f t="shared" si="45"/>
        <v>0</v>
      </c>
      <c r="F167" s="496"/>
      <c r="G167" s="171">
        <f t="shared" si="46"/>
        <v>0</v>
      </c>
      <c r="H167" s="172">
        <f t="shared" si="47"/>
        <v>0</v>
      </c>
      <c r="I167" s="344"/>
      <c r="J167" s="222"/>
      <c r="K167" s="222"/>
      <c r="L167" s="218"/>
      <c r="M167" s="364" t="e">
        <f t="shared" si="48"/>
        <v>#DIV/0!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490"/>
      <c r="D168" s="490"/>
      <c r="E168" s="171">
        <f t="shared" si="45"/>
        <v>0</v>
      </c>
      <c r="F168" s="496"/>
      <c r="G168" s="171">
        <f t="shared" si="46"/>
        <v>0</v>
      </c>
      <c r="H168" s="172">
        <f t="shared" si="47"/>
        <v>0</v>
      </c>
      <c r="I168" s="343"/>
      <c r="J168" s="217"/>
      <c r="K168" s="217"/>
      <c r="L168" s="218"/>
      <c r="M168" s="364" t="e">
        <f t="shared" si="48"/>
        <v>#DIV/0!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490"/>
      <c r="D169" s="490"/>
      <c r="E169" s="171">
        <f t="shared" si="45"/>
        <v>0</v>
      </c>
      <c r="F169" s="496"/>
      <c r="G169" s="171">
        <f t="shared" si="46"/>
        <v>0</v>
      </c>
      <c r="H169" s="172">
        <f t="shared" si="47"/>
        <v>0</v>
      </c>
      <c r="I169" s="344"/>
      <c r="J169" s="222"/>
      <c r="K169" s="222"/>
      <c r="L169" s="218"/>
      <c r="M169" s="364" t="e">
        <f t="shared" si="48"/>
        <v>#DIV/0!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490"/>
      <c r="D170" s="490"/>
      <c r="E170" s="171">
        <f t="shared" si="45"/>
        <v>0</v>
      </c>
      <c r="F170" s="496"/>
      <c r="G170" s="171">
        <f t="shared" si="46"/>
        <v>0</v>
      </c>
      <c r="H170" s="172">
        <f t="shared" si="47"/>
        <v>0</v>
      </c>
      <c r="I170" s="343"/>
      <c r="J170" s="217"/>
      <c r="K170" s="217"/>
      <c r="L170" s="218"/>
      <c r="M170" s="364" t="e">
        <f t="shared" si="48"/>
        <v>#DIV/0!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490"/>
      <c r="D171" s="490"/>
      <c r="E171" s="171">
        <f t="shared" si="45"/>
        <v>0</v>
      </c>
      <c r="F171" s="496"/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18"/>
      <c r="M171" s="364" t="e">
        <f t="shared" si="48"/>
        <v>#DIV/0!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490"/>
      <c r="D172" s="490"/>
      <c r="E172" s="171">
        <f t="shared" si="45"/>
        <v>0</v>
      </c>
      <c r="F172" s="496"/>
      <c r="G172" s="171">
        <f t="shared" si="46"/>
        <v>0</v>
      </c>
      <c r="H172" s="172">
        <f t="shared" si="47"/>
        <v>0</v>
      </c>
      <c r="I172" s="343"/>
      <c r="J172" s="217"/>
      <c r="K172" s="217"/>
      <c r="L172" s="218"/>
      <c r="M172" s="364" t="e">
        <f t="shared" si="48"/>
        <v>#DIV/0!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490"/>
      <c r="D173" s="490"/>
      <c r="E173" s="171">
        <f t="shared" si="45"/>
        <v>0</v>
      </c>
      <c r="F173" s="496"/>
      <c r="G173" s="171">
        <f t="shared" si="46"/>
        <v>0</v>
      </c>
      <c r="H173" s="172">
        <f t="shared" si="47"/>
        <v>0</v>
      </c>
      <c r="I173" s="344"/>
      <c r="J173" s="222"/>
      <c r="K173" s="222"/>
      <c r="L173" s="218"/>
      <c r="M173" s="364" t="e">
        <f t="shared" si="48"/>
        <v>#DIV/0!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490"/>
      <c r="D174" s="490"/>
      <c r="E174" s="171">
        <f t="shared" si="45"/>
        <v>0</v>
      </c>
      <c r="F174" s="496"/>
      <c r="G174" s="171">
        <f t="shared" si="46"/>
        <v>0</v>
      </c>
      <c r="H174" s="172">
        <f t="shared" si="47"/>
        <v>0</v>
      </c>
      <c r="I174" s="343"/>
      <c r="J174" s="217"/>
      <c r="K174" s="217"/>
      <c r="L174" s="218"/>
      <c r="M174" s="364" t="e">
        <f t="shared" si="48"/>
        <v>#DIV/0!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490"/>
      <c r="D175" s="490"/>
      <c r="E175" s="171">
        <f t="shared" si="45"/>
        <v>0</v>
      </c>
      <c r="F175" s="496"/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 t="e">
        <f t="shared" si="48"/>
        <v>#DIV/0!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490"/>
      <c r="D176" s="490"/>
      <c r="E176" s="171">
        <f t="shared" si="45"/>
        <v>0</v>
      </c>
      <c r="F176" s="496"/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 t="e">
        <f t="shared" si="48"/>
        <v>#DIV/0!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490"/>
      <c r="D177" s="490"/>
      <c r="E177" s="171">
        <f t="shared" si="45"/>
        <v>0</v>
      </c>
      <c r="F177" s="496"/>
      <c r="G177" s="171">
        <f t="shared" si="46"/>
        <v>0</v>
      </c>
      <c r="H177" s="172">
        <f t="shared" si="47"/>
        <v>0</v>
      </c>
      <c r="I177" s="337"/>
      <c r="J177" s="223"/>
      <c r="K177" s="218"/>
      <c r="L177" s="220"/>
      <c r="M177" s="364" t="e">
        <f t="shared" si="48"/>
        <v>#DIV/0!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490"/>
      <c r="D178" s="490"/>
      <c r="E178" s="171">
        <f t="shared" si="45"/>
        <v>0</v>
      </c>
      <c r="F178" s="496"/>
      <c r="G178" s="171">
        <f t="shared" si="46"/>
        <v>0</v>
      </c>
      <c r="H178" s="172">
        <f t="shared" si="47"/>
        <v>0</v>
      </c>
      <c r="I178" s="337"/>
      <c r="J178" s="223"/>
      <c r="K178" s="218"/>
      <c r="L178" s="220"/>
      <c r="M178" s="364" t="e">
        <f t="shared" si="48"/>
        <v>#DIV/0!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490"/>
      <c r="D179" s="490"/>
      <c r="E179" s="171">
        <f t="shared" si="45"/>
        <v>0</v>
      </c>
      <c r="F179" s="496"/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 t="e">
        <f t="shared" si="48"/>
        <v>#DIV/0!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490"/>
      <c r="D180" s="490"/>
      <c r="E180" s="171">
        <f t="shared" si="45"/>
        <v>0</v>
      </c>
      <c r="F180" s="496"/>
      <c r="G180" s="171">
        <f t="shared" si="46"/>
        <v>0</v>
      </c>
      <c r="H180" s="172">
        <f t="shared" si="47"/>
        <v>0</v>
      </c>
      <c r="I180" s="337"/>
      <c r="J180" s="223"/>
      <c r="K180" s="218"/>
      <c r="L180" s="220"/>
      <c r="M180" s="364" t="e">
        <f t="shared" si="48"/>
        <v>#DIV/0!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490"/>
      <c r="D181" s="490"/>
      <c r="E181" s="171">
        <f t="shared" si="45"/>
        <v>0</v>
      </c>
      <c r="F181" s="496"/>
      <c r="G181" s="171">
        <f t="shared" si="46"/>
        <v>0</v>
      </c>
      <c r="H181" s="172">
        <f t="shared" si="47"/>
        <v>0</v>
      </c>
      <c r="I181" s="337"/>
      <c r="J181" s="223"/>
      <c r="K181" s="218"/>
      <c r="L181" s="220"/>
      <c r="M181" s="364" t="e">
        <f t="shared" si="48"/>
        <v>#DIV/0!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490"/>
      <c r="D182" s="490"/>
      <c r="E182" s="171">
        <f t="shared" si="45"/>
        <v>0</v>
      </c>
      <c r="F182" s="496"/>
      <c r="G182" s="171">
        <f t="shared" si="46"/>
        <v>0</v>
      </c>
      <c r="H182" s="172">
        <f t="shared" si="47"/>
        <v>0</v>
      </c>
      <c r="I182" s="337"/>
      <c r="J182" s="223"/>
      <c r="K182" s="218"/>
      <c r="L182" s="220"/>
      <c r="M182" s="364" t="e">
        <f t="shared" si="48"/>
        <v>#DIV/0!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490"/>
      <c r="D183" s="490"/>
      <c r="E183" s="171">
        <f t="shared" si="45"/>
        <v>0</v>
      </c>
      <c r="F183" s="496"/>
      <c r="G183" s="171">
        <f t="shared" si="46"/>
        <v>0</v>
      </c>
      <c r="H183" s="172">
        <f t="shared" si="47"/>
        <v>0</v>
      </c>
      <c r="I183" s="337"/>
      <c r="J183" s="223"/>
      <c r="K183" s="218"/>
      <c r="M183" s="364" t="e">
        <f t="shared" si="48"/>
        <v>#DIV/0!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490"/>
      <c r="D184" s="490"/>
      <c r="E184" s="171">
        <f t="shared" si="45"/>
        <v>0</v>
      </c>
      <c r="F184" s="496"/>
      <c r="G184" s="171">
        <f t="shared" si="46"/>
        <v>0</v>
      </c>
      <c r="H184" s="172">
        <f t="shared" si="47"/>
        <v>0</v>
      </c>
      <c r="I184" s="337"/>
      <c r="J184" s="223"/>
      <c r="K184" s="218"/>
      <c r="M184" s="364" t="e">
        <f t="shared" si="48"/>
        <v>#DIV/0!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490"/>
      <c r="D185" s="490"/>
      <c r="E185" s="171">
        <f t="shared" si="45"/>
        <v>0</v>
      </c>
      <c r="F185" s="496"/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 t="e">
        <f t="shared" si="48"/>
        <v>#DIV/0!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490"/>
      <c r="D186" s="490"/>
      <c r="E186" s="171">
        <f t="shared" si="45"/>
        <v>0</v>
      </c>
      <c r="F186" s="496"/>
      <c r="G186" s="171">
        <f t="shared" si="46"/>
        <v>0</v>
      </c>
      <c r="H186" s="172">
        <f t="shared" si="47"/>
        <v>0</v>
      </c>
      <c r="I186" s="337"/>
      <c r="J186" s="223"/>
      <c r="K186" s="218"/>
      <c r="M186" s="364" t="e">
        <f t="shared" si="48"/>
        <v>#DIV/0!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490"/>
      <c r="D187" s="490"/>
      <c r="E187" s="171">
        <f t="shared" si="45"/>
        <v>0</v>
      </c>
      <c r="F187" s="496"/>
      <c r="G187" s="171">
        <f t="shared" si="46"/>
        <v>0</v>
      </c>
      <c r="H187" s="172">
        <f t="shared" si="47"/>
        <v>0</v>
      </c>
      <c r="I187" s="337"/>
      <c r="J187" s="223"/>
      <c r="K187" s="218"/>
      <c r="M187" s="364" t="e">
        <f t="shared" si="48"/>
        <v>#DIV/0!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490"/>
      <c r="D188" s="490"/>
      <c r="E188" s="171">
        <f t="shared" si="45"/>
        <v>0</v>
      </c>
      <c r="F188" s="496"/>
      <c r="G188" s="171">
        <f t="shared" si="46"/>
        <v>0</v>
      </c>
      <c r="H188" s="172">
        <f t="shared" si="47"/>
        <v>0</v>
      </c>
      <c r="I188" s="337"/>
      <c r="J188" s="223"/>
      <c r="K188" s="218"/>
      <c r="M188" s="364" t="e">
        <f t="shared" si="48"/>
        <v>#DIV/0!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490"/>
      <c r="D189" s="490"/>
      <c r="E189" s="171">
        <f t="shared" si="45"/>
        <v>0</v>
      </c>
      <c r="F189" s="496"/>
      <c r="G189" s="171">
        <f t="shared" si="46"/>
        <v>0</v>
      </c>
      <c r="H189" s="172">
        <f t="shared" si="47"/>
        <v>0</v>
      </c>
      <c r="I189" s="337"/>
      <c r="J189" s="223"/>
      <c r="K189" s="218"/>
      <c r="M189" s="364" t="e">
        <f t="shared" si="48"/>
        <v>#DIV/0!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490"/>
      <c r="D190" s="490"/>
      <c r="E190" s="171">
        <f t="shared" si="45"/>
        <v>0</v>
      </c>
      <c r="F190" s="496"/>
      <c r="G190" s="171">
        <f t="shared" si="46"/>
        <v>0</v>
      </c>
      <c r="H190" s="172">
        <f t="shared" si="47"/>
        <v>0</v>
      </c>
      <c r="I190" s="337"/>
      <c r="J190" s="223"/>
      <c r="K190" s="218"/>
      <c r="M190" s="364" t="e">
        <f t="shared" si="48"/>
        <v>#DIV/0!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490"/>
      <c r="D191" s="490"/>
      <c r="E191" s="171">
        <f t="shared" si="45"/>
        <v>0</v>
      </c>
      <c r="F191" s="496"/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 t="e">
        <f t="shared" si="48"/>
        <v>#DIV/0!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490"/>
      <c r="D192" s="490"/>
      <c r="E192" s="171">
        <f t="shared" si="45"/>
        <v>0</v>
      </c>
      <c r="F192" s="496"/>
      <c r="G192" s="171">
        <f t="shared" si="46"/>
        <v>0</v>
      </c>
      <c r="H192" s="172">
        <f t="shared" si="47"/>
        <v>0</v>
      </c>
      <c r="I192" s="337"/>
      <c r="J192" s="223"/>
      <c r="K192" s="218"/>
      <c r="M192" s="364" t="e">
        <f t="shared" si="48"/>
        <v>#DIV/0!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490"/>
      <c r="D193" s="490"/>
      <c r="E193" s="171">
        <f t="shared" si="45"/>
        <v>0</v>
      </c>
      <c r="F193" s="496"/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 t="e">
        <f t="shared" si="48"/>
        <v>#DIV/0!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490"/>
      <c r="D194" s="490"/>
      <c r="E194" s="171">
        <f t="shared" si="45"/>
        <v>0</v>
      </c>
      <c r="F194" s="496"/>
      <c r="G194" s="171">
        <f t="shared" si="46"/>
        <v>0</v>
      </c>
      <c r="H194" s="172">
        <f t="shared" si="47"/>
        <v>0</v>
      </c>
      <c r="I194" s="337"/>
      <c r="J194" s="223"/>
      <c r="K194" s="218"/>
      <c r="M194" s="364" t="e">
        <f t="shared" si="48"/>
        <v>#DIV/0!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490"/>
      <c r="D195" s="490"/>
      <c r="E195" s="171">
        <f t="shared" si="45"/>
        <v>0</v>
      </c>
      <c r="F195" s="496"/>
      <c r="G195" s="171">
        <f t="shared" si="46"/>
        <v>0</v>
      </c>
      <c r="H195" s="172">
        <f t="shared" si="47"/>
        <v>0</v>
      </c>
      <c r="I195" s="337"/>
      <c r="J195" s="223"/>
      <c r="K195" s="218"/>
      <c r="M195" s="364" t="e">
        <f t="shared" si="48"/>
        <v>#DIV/0!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490"/>
      <c r="D196" s="490"/>
      <c r="E196" s="171">
        <f t="shared" si="45"/>
        <v>0</v>
      </c>
      <c r="F196" s="496"/>
      <c r="G196" s="171">
        <f t="shared" si="46"/>
        <v>0</v>
      </c>
      <c r="H196" s="172">
        <f t="shared" si="47"/>
        <v>0</v>
      </c>
      <c r="I196" s="337"/>
      <c r="J196" s="223"/>
      <c r="K196" s="218"/>
      <c r="M196" s="364" t="e">
        <f t="shared" si="48"/>
        <v>#DIV/0!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490">
        <f>SUM(C164:C196)</f>
        <v>0</v>
      </c>
      <c r="D197" s="490">
        <f>SUM(D164:D196)</f>
        <v>0</v>
      </c>
      <c r="E197" s="171">
        <f t="shared" ref="E197:F197" si="49">SUM(E164:E196)</f>
        <v>0</v>
      </c>
      <c r="F197" s="171">
        <f t="shared" si="49"/>
        <v>0</v>
      </c>
      <c r="G197" s="171">
        <f>SUM(G164:G196)</f>
        <v>0</v>
      </c>
      <c r="H197" s="172">
        <f>IF($G$208=0,0,G197/$G$208)</f>
        <v>0</v>
      </c>
      <c r="I197" s="337"/>
      <c r="J197" s="168"/>
      <c r="K197" s="168"/>
      <c r="M197" s="364" t="e">
        <f>G197/G$228</f>
        <v>#DIV/0!</v>
      </c>
      <c r="N197" s="359">
        <f>SUMMARY!J200</f>
        <v>35.91740838389223</v>
      </c>
    </row>
    <row r="198" spans="1:16" s="167" customFormat="1" ht="15.5">
      <c r="A198" s="163"/>
      <c r="C198" s="165"/>
      <c r="D198" s="165"/>
      <c r="E198" s="165"/>
      <c r="F198"/>
      <c r="G198" s="165"/>
      <c r="H198" s="198"/>
      <c r="I198" s="341"/>
      <c r="J198" s="168"/>
      <c r="K198" s="168"/>
      <c r="M198" s="359"/>
      <c r="N198" s="359"/>
    </row>
    <row r="199" spans="1:16" s="167" customFormat="1" ht="15.5">
      <c r="A199" s="169" t="s">
        <v>169</v>
      </c>
      <c r="B199" s="170" t="s">
        <v>68</v>
      </c>
      <c r="C199" s="165"/>
      <c r="D199" s="165"/>
      <c r="E199" s="165"/>
      <c r="F199"/>
      <c r="G199" s="165"/>
      <c r="H199" s="198"/>
      <c r="I199" s="341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490"/>
      <c r="D200" s="490"/>
      <c r="E200" s="171">
        <f t="shared" ref="E200:E205" si="50">C200+D200</f>
        <v>0</v>
      </c>
      <c r="F200" s="496"/>
      <c r="G200" s="171">
        <f t="shared" ref="G200:G205" si="51">E200+F200</f>
        <v>0</v>
      </c>
      <c r="H200" s="172">
        <f t="shared" ref="H200:H206" si="52">IF($G$208=0,0,G200/$G$208)</f>
        <v>0</v>
      </c>
      <c r="I200" s="337"/>
      <c r="J200" s="491"/>
      <c r="K200" s="491"/>
      <c r="M200" s="364" t="e">
        <f t="shared" ref="M200:M205" si="53">G200/G$228</f>
        <v>#DIV/0!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490"/>
      <c r="D201" s="490"/>
      <c r="E201" s="171">
        <f t="shared" si="50"/>
        <v>0</v>
      </c>
      <c r="F201" s="496"/>
      <c r="G201" s="171">
        <f t="shared" si="51"/>
        <v>0</v>
      </c>
      <c r="H201" s="172">
        <f t="shared" si="52"/>
        <v>0</v>
      </c>
      <c r="I201" s="337"/>
      <c r="J201" s="168"/>
      <c r="K201" s="168"/>
      <c r="M201" s="364" t="e">
        <f t="shared" si="53"/>
        <v>#DIV/0!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490"/>
      <c r="D202" s="490"/>
      <c r="E202" s="171">
        <f t="shared" si="50"/>
        <v>0</v>
      </c>
      <c r="F202" s="496"/>
      <c r="G202" s="171">
        <f t="shared" si="51"/>
        <v>0</v>
      </c>
      <c r="H202" s="172">
        <f t="shared" si="52"/>
        <v>0</v>
      </c>
      <c r="I202" s="337"/>
      <c r="J202" s="168"/>
      <c r="K202" s="168"/>
      <c r="M202" s="364" t="e">
        <f t="shared" si="53"/>
        <v>#DIV/0!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490"/>
      <c r="D203" s="490"/>
      <c r="E203" s="171">
        <f t="shared" si="50"/>
        <v>0</v>
      </c>
      <c r="F203" s="496"/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 t="e">
        <f t="shared" si="53"/>
        <v>#DIV/0!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490"/>
      <c r="D204" s="490"/>
      <c r="E204" s="171">
        <f t="shared" si="50"/>
        <v>0</v>
      </c>
      <c r="F204" s="496"/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 t="e">
        <f t="shared" si="53"/>
        <v>#DIV/0!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490"/>
      <c r="D205" s="490"/>
      <c r="E205" s="171">
        <f t="shared" si="50"/>
        <v>0</v>
      </c>
      <c r="F205" s="496"/>
      <c r="G205" s="171">
        <f t="shared" si="51"/>
        <v>0</v>
      </c>
      <c r="H205" s="172">
        <f t="shared" si="52"/>
        <v>0</v>
      </c>
      <c r="I205" s="337"/>
      <c r="J205" s="168"/>
      <c r="K205" s="168"/>
      <c r="M205" s="364" t="e">
        <f t="shared" si="53"/>
        <v>#DIV/0!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490">
        <f>SUM(C200:C205)</f>
        <v>0</v>
      </c>
      <c r="D206" s="490">
        <f>SUM(D200:D205)</f>
        <v>0</v>
      </c>
      <c r="E206" s="171">
        <f t="shared" ref="E206:F206" si="54">SUM(E200:E205)</f>
        <v>0</v>
      </c>
      <c r="F206" s="171">
        <f t="shared" si="54"/>
        <v>0</v>
      </c>
      <c r="G206" s="171">
        <f>SUM(G200:G205)</f>
        <v>0</v>
      </c>
      <c r="H206" s="172">
        <f t="shared" si="52"/>
        <v>0</v>
      </c>
      <c r="I206" s="337"/>
      <c r="J206" s="168"/>
      <c r="K206" s="168"/>
      <c r="M206" s="364" t="e">
        <f>G206/G$228</f>
        <v>#DIV/0!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490">
        <f>SUM(C25:C206)/2</f>
        <v>0</v>
      </c>
      <c r="D208" s="490">
        <f>SUM(D25:D206)/2</f>
        <v>0</v>
      </c>
      <c r="E208" s="171">
        <f t="shared" ref="E208:F208" si="55">SUM(E25:E206)/2</f>
        <v>0</v>
      </c>
      <c r="F208" s="171">
        <f t="shared" si="55"/>
        <v>0</v>
      </c>
      <c r="G208" s="171">
        <f>SUM(G25:G206)/2</f>
        <v>0</v>
      </c>
      <c r="H208" s="172">
        <f>IF($G$208=0,0,G208/$G$208)</f>
        <v>0</v>
      </c>
      <c r="I208" s="337"/>
      <c r="J208" s="183">
        <f>SUM(J25:J200)</f>
        <v>0</v>
      </c>
      <c r="K208" s="183">
        <f>SUM(K25:K200)</f>
        <v>0</v>
      </c>
      <c r="M208" s="364" t="e">
        <f>G208/G$228</f>
        <v>#DIV/0!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517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490"/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490">
        <f>C208-C211</f>
        <v>0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231"/>
      <c r="D213" s="232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490">
        <f>C21-C208</f>
        <v>0</v>
      </c>
      <c r="D215" s="490">
        <f>D21-D208</f>
        <v>0</v>
      </c>
      <c r="E215" s="171">
        <f t="shared" ref="E215:F215" si="56">E21-E208</f>
        <v>0</v>
      </c>
      <c r="F215" s="171">
        <f t="shared" si="56"/>
        <v>0</v>
      </c>
      <c r="G215" s="171">
        <f>G21-G208</f>
        <v>0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491"/>
      <c r="D219" s="491"/>
      <c r="E219" s="235">
        <f t="shared" ref="E219:G227" si="57">C219+D219</f>
        <v>0</v>
      </c>
      <c r="F219" s="234"/>
      <c r="G219" s="235">
        <f t="shared" si="57"/>
        <v>0</v>
      </c>
      <c r="H219" s="172">
        <f t="shared" ref="H219:H228" si="58">IF($G$228=0,0,G219/$G$228)</f>
        <v>0</v>
      </c>
      <c r="I219" s="337"/>
      <c r="J219" s="168"/>
      <c r="K219" s="168"/>
    </row>
    <row r="220" spans="1:14">
      <c r="A220" s="163"/>
      <c r="B220" s="170" t="s">
        <v>217</v>
      </c>
      <c r="C220" s="491"/>
      <c r="D220" s="491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7"/>
      <c r="J220" s="168"/>
      <c r="K220" s="168"/>
    </row>
    <row r="221" spans="1:14">
      <c r="A221" s="163"/>
      <c r="B221" s="170" t="s">
        <v>72</v>
      </c>
      <c r="C221" s="491"/>
      <c r="D221" s="491"/>
      <c r="E221" s="235">
        <f t="shared" si="59"/>
        <v>0</v>
      </c>
      <c r="F221" s="234"/>
      <c r="G221" s="235">
        <f t="shared" si="57"/>
        <v>0</v>
      </c>
      <c r="H221" s="172">
        <f t="shared" si="58"/>
        <v>0</v>
      </c>
      <c r="I221" s="337"/>
      <c r="J221" s="168"/>
      <c r="K221" s="168"/>
    </row>
    <row r="222" spans="1:14">
      <c r="A222" s="163"/>
      <c r="B222" s="202" t="s">
        <v>334</v>
      </c>
      <c r="C222" s="491"/>
      <c r="D222" s="491"/>
      <c r="E222" s="235">
        <f>C222+D222</f>
        <v>0</v>
      </c>
      <c r="F222" s="234"/>
      <c r="G222" s="235">
        <f>E222+F222</f>
        <v>0</v>
      </c>
      <c r="H222" s="172">
        <f t="shared" si="58"/>
        <v>0</v>
      </c>
      <c r="I222" s="337"/>
      <c r="J222" s="168"/>
      <c r="K222" s="168"/>
    </row>
    <row r="223" spans="1:14">
      <c r="A223" s="163"/>
      <c r="B223" s="170" t="s">
        <v>73</v>
      </c>
      <c r="C223" s="491"/>
      <c r="D223" s="491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7"/>
      <c r="J223" s="168"/>
      <c r="K223" s="168"/>
    </row>
    <row r="224" spans="1:14">
      <c r="A224" s="163"/>
      <c r="B224" s="170" t="s">
        <v>74</v>
      </c>
      <c r="C224" s="491"/>
      <c r="D224" s="491"/>
      <c r="E224" s="235">
        <f t="shared" si="59"/>
        <v>0</v>
      </c>
      <c r="F224" s="234"/>
      <c r="G224" s="235">
        <f t="shared" si="57"/>
        <v>0</v>
      </c>
      <c r="H224" s="172">
        <f t="shared" si="58"/>
        <v>0</v>
      </c>
      <c r="I224" s="337"/>
      <c r="J224" s="168"/>
      <c r="K224" s="168"/>
    </row>
    <row r="225" spans="1:11">
      <c r="A225" s="163"/>
      <c r="B225" s="170" t="s">
        <v>236</v>
      </c>
      <c r="C225" s="491"/>
      <c r="D225" s="491"/>
      <c r="E225" s="235">
        <f t="shared" si="59"/>
        <v>0</v>
      </c>
      <c r="F225" s="234"/>
      <c r="G225" s="235">
        <f t="shared" si="57"/>
        <v>0</v>
      </c>
      <c r="H225" s="172">
        <f t="shared" si="58"/>
        <v>0</v>
      </c>
      <c r="I225" s="337"/>
      <c r="J225" s="168"/>
      <c r="K225" s="168"/>
    </row>
    <row r="226" spans="1:11">
      <c r="A226" s="163"/>
      <c r="B226" s="170" t="s">
        <v>235</v>
      </c>
      <c r="C226" s="491"/>
      <c r="D226" s="491"/>
      <c r="E226" s="235">
        <f>C226+D226</f>
        <v>0</v>
      </c>
      <c r="F226" s="234"/>
      <c r="G226" s="235">
        <f>E226+F226</f>
        <v>0</v>
      </c>
      <c r="H226" s="172">
        <f t="shared" si="58"/>
        <v>0</v>
      </c>
      <c r="I226" s="337"/>
      <c r="J226" s="168"/>
      <c r="K226" s="168"/>
    </row>
    <row r="227" spans="1:11">
      <c r="A227" s="163"/>
      <c r="B227" s="170" t="s">
        <v>179</v>
      </c>
      <c r="C227" s="491"/>
      <c r="D227" s="491"/>
      <c r="E227" s="235">
        <f t="shared" si="59"/>
        <v>0</v>
      </c>
      <c r="F227" s="234"/>
      <c r="G227" s="235">
        <f t="shared" si="57"/>
        <v>0</v>
      </c>
      <c r="H227" s="172">
        <f t="shared" si="58"/>
        <v>0</v>
      </c>
      <c r="I227" s="337"/>
      <c r="J227" s="168"/>
      <c r="K227" s="168"/>
    </row>
    <row r="228" spans="1:11" ht="13.5" thickBot="1">
      <c r="A228" s="163"/>
      <c r="B228" s="236" t="s">
        <v>75</v>
      </c>
      <c r="C228" s="491">
        <f>SUM(C219:C227)</f>
        <v>0</v>
      </c>
      <c r="D228" s="491">
        <f>SUM(D219:D227)</f>
        <v>0</v>
      </c>
      <c r="E228" s="237">
        <f>SUM(E219:E227)</f>
        <v>0</v>
      </c>
      <c r="F228" s="237">
        <f>SUM(F219:F227)</f>
        <v>0</v>
      </c>
      <c r="G228" s="237">
        <f>SUM(G219:G227)</f>
        <v>0</v>
      </c>
      <c r="H228" s="172">
        <f t="shared" si="58"/>
        <v>0</v>
      </c>
      <c r="I228" s="337"/>
      <c r="J228" s="168"/>
      <c r="K228" s="168"/>
    </row>
    <row r="229" spans="1:11" ht="13.5" thickTop="1">
      <c r="A229" s="163"/>
      <c r="B229" s="167"/>
      <c r="C229" s="238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231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492"/>
      <c r="D231" s="526"/>
      <c r="E231" s="235">
        <f>C231+D231</f>
        <v>0</v>
      </c>
      <c r="F231" s="509"/>
      <c r="G231" s="235">
        <f>SUM(E231:F231)</f>
        <v>0</v>
      </c>
      <c r="H231" s="167"/>
      <c r="J231" s="168"/>
      <c r="K231" s="168"/>
    </row>
    <row r="232" spans="1:11">
      <c r="A232" s="163"/>
      <c r="B232" s="202" t="s">
        <v>290</v>
      </c>
      <c r="C232" s="492"/>
      <c r="D232" s="526"/>
      <c r="E232" s="235">
        <f>C232+D232</f>
        <v>0</v>
      </c>
      <c r="F232" s="509"/>
      <c r="G232" s="235">
        <f>SUM(E232:F232)</f>
        <v>0</v>
      </c>
      <c r="H232" s="167"/>
      <c r="J232" s="168"/>
      <c r="K232" s="168"/>
    </row>
    <row r="233" spans="1:11">
      <c r="A233" s="163"/>
      <c r="B233" s="202" t="s">
        <v>76</v>
      </c>
      <c r="C233" s="492">
        <f>$C$4-$C$3+1</f>
        <v>365</v>
      </c>
      <c r="D233" s="489"/>
      <c r="E233" s="235">
        <f>C233+D233</f>
        <v>365</v>
      </c>
      <c r="F233" s="498"/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242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492"/>
      <c r="D235" s="489"/>
      <c r="E235" s="234">
        <f>E231*E233</f>
        <v>0</v>
      </c>
      <c r="F235" s="240"/>
      <c r="G235" s="234">
        <f>G231*G233</f>
        <v>0</v>
      </c>
      <c r="H235" s="167"/>
      <c r="J235" s="168"/>
      <c r="K235" s="168"/>
    </row>
    <row r="236" spans="1:11" ht="26">
      <c r="A236" s="163"/>
      <c r="B236" s="244" t="s">
        <v>336</v>
      </c>
      <c r="C236" s="493"/>
      <c r="D236" s="240"/>
      <c r="E236" s="245" t="e">
        <f>E228/E235</f>
        <v>#DIV/0!</v>
      </c>
      <c r="F236" s="246"/>
      <c r="G236" s="245" t="e">
        <f>G228/G235</f>
        <v>#DIV/0!</v>
      </c>
      <c r="H236" s="167"/>
      <c r="J236" s="168"/>
      <c r="K236" s="168"/>
    </row>
    <row r="237" spans="1:11" ht="26">
      <c r="A237" s="163"/>
      <c r="B237" s="244" t="s">
        <v>337</v>
      </c>
      <c r="C237" s="493"/>
      <c r="D237" s="240"/>
      <c r="E237" s="245" t="e">
        <f>(E219+E220)/E235</f>
        <v>#DIV/0!</v>
      </c>
      <c r="F237" s="246"/>
      <c r="G237" s="245" t="e">
        <f>(G219+G220)/G235</f>
        <v>#DIV/0!</v>
      </c>
      <c r="H237" s="167"/>
      <c r="J237" s="168"/>
      <c r="K237" s="168"/>
    </row>
    <row r="238" spans="1:11" ht="26">
      <c r="A238" s="163"/>
      <c r="B238" s="244" t="s">
        <v>338</v>
      </c>
      <c r="C238" s="493"/>
      <c r="D238" s="240"/>
      <c r="E238" s="245" t="e">
        <f>(E237/E236)</f>
        <v>#DIV/0!</v>
      </c>
      <c r="F238" s="246"/>
      <c r="G238" s="245" t="e">
        <f>(G237/G236)</f>
        <v>#DIV/0!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490"/>
    </row>
    <row r="242" spans="2:7">
      <c r="F242" s="142" t="s">
        <v>341</v>
      </c>
      <c r="G242" s="490"/>
    </row>
    <row r="243" spans="2:7">
      <c r="F243" s="142" t="s">
        <v>342</v>
      </c>
      <c r="G243" s="490"/>
    </row>
    <row r="244" spans="2:7">
      <c r="F244" s="142" t="s">
        <v>343</v>
      </c>
      <c r="G244" s="490"/>
    </row>
    <row r="245" spans="2:7">
      <c r="F245" s="142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F161" sqref="F161"/>
      <pageMargins left="0" right="0" top="0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rgb="FFE28CAB"/>
  </sheetPr>
  <dimension ref="A1:Q245"/>
  <sheetViews>
    <sheetView showGridLines="0" zoomScaleNormal="100" workbookViewId="0">
      <pane xSplit="2" topLeftCell="C1" activePane="topRight" state="frozen"/>
      <selection activeCell="N1" sqref="N1"/>
      <selection pane="topRight"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662" t="s">
        <v>676</v>
      </c>
      <c r="D1" s="478"/>
      <c r="E1" s="478"/>
      <c r="F1" s="478"/>
      <c r="G1" s="478"/>
      <c r="H1" s="478"/>
      <c r="I1" s="479"/>
    </row>
    <row r="2" spans="1:14" ht="23">
      <c r="B2" s="143" t="s">
        <v>189</v>
      </c>
      <c r="C2" s="485" t="s">
        <v>362</v>
      </c>
      <c r="D2" s="144"/>
    </row>
    <row r="3" spans="1:14">
      <c r="A3" s="145"/>
      <c r="B3" s="140" t="s">
        <v>79</v>
      </c>
      <c r="C3" s="495">
        <v>41821</v>
      </c>
      <c r="D3" s="144"/>
      <c r="E3" s="147"/>
    </row>
    <row r="4" spans="1:14">
      <c r="A4" s="145"/>
      <c r="B4" s="148" t="s">
        <v>80</v>
      </c>
      <c r="C4" s="495">
        <v>42185</v>
      </c>
      <c r="D4" s="144"/>
      <c r="E4" s="149"/>
      <c r="G4" s="150"/>
    </row>
    <row r="5" spans="1:14">
      <c r="A5" s="145"/>
      <c r="B5" s="148"/>
      <c r="C5" s="151"/>
      <c r="D5" s="144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144"/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573">
        <f>'[2]Sch B'!E10</f>
        <v>1813532.0299999998</v>
      </c>
      <c r="D11" s="573">
        <f>'[2]Sch B'!G10</f>
        <v>0</v>
      </c>
      <c r="E11" s="171">
        <f>C11+D11</f>
        <v>1813532.0299999998</v>
      </c>
      <c r="F11" s="171"/>
      <c r="G11" s="171">
        <f t="shared" ref="G11:G20" si="0">E11+F11</f>
        <v>1813532.0299999998</v>
      </c>
      <c r="H11" s="172">
        <f t="shared" ref="H11:H21" si="1">IF($G$21=0,0,G11/$G$21)</f>
        <v>0.71970824610555317</v>
      </c>
      <c r="I11" s="337"/>
      <c r="J11" s="368" t="s">
        <v>344</v>
      </c>
      <c r="K11" s="369">
        <f>G21</f>
        <v>2519815.5499999998</v>
      </c>
      <c r="M11" s="359">
        <f>IFERROR(G11/G219,0)</f>
        <v>148.43116958585691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573">
        <f>'[2]Sch B'!E15</f>
        <v>0</v>
      </c>
      <c r="D12" s="573">
        <f>'[2]Sch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7"/>
      <c r="J12" s="370" t="s">
        <v>345</v>
      </c>
      <c r="K12" s="371">
        <f>G208</f>
        <v>2452364.092636425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573">
        <f>'[2]Sch B'!E21</f>
        <v>443686.62000000005</v>
      </c>
      <c r="D13" s="573">
        <f>'[2]Sch B'!G21</f>
        <v>0</v>
      </c>
      <c r="E13" s="171">
        <f t="shared" si="2"/>
        <v>443686.62000000005</v>
      </c>
      <c r="F13" s="171"/>
      <c r="G13" s="171">
        <f t="shared" si="0"/>
        <v>443686.62000000005</v>
      </c>
      <c r="H13" s="172">
        <f t="shared" si="1"/>
        <v>0.17607900705271864</v>
      </c>
      <c r="I13" s="337"/>
      <c r="J13" s="370" t="s">
        <v>346</v>
      </c>
      <c r="K13" s="371">
        <f>G228</f>
        <v>14474</v>
      </c>
      <c r="M13" s="359">
        <f t="shared" si="3"/>
        <v>463.13843423799585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573">
        <f>'[2]Sch B'!E27</f>
        <v>0</v>
      </c>
      <c r="D14" s="573">
        <f>'[2]Sch B'!G27</f>
        <v>0</v>
      </c>
      <c r="E14" s="171">
        <f t="shared" si="2"/>
        <v>0</v>
      </c>
      <c r="F14" s="175"/>
      <c r="G14" s="175">
        <f>E14+F14</f>
        <v>0</v>
      </c>
      <c r="H14" s="176">
        <f t="shared" si="1"/>
        <v>0</v>
      </c>
      <c r="I14" s="338"/>
      <c r="J14" s="370" t="s">
        <v>347</v>
      </c>
      <c r="K14" s="371">
        <f>G231</f>
        <v>55</v>
      </c>
      <c r="M14" s="359">
        <f t="shared" si="3"/>
        <v>0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573">
        <f>'[2]Sch B'!E32</f>
        <v>0</v>
      </c>
      <c r="D15" s="573">
        <f>'[2]Sch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7"/>
      <c r="J15" s="370" t="s">
        <v>348</v>
      </c>
      <c r="K15" s="371">
        <f>G235</f>
        <v>20075</v>
      </c>
      <c r="M15" s="359">
        <f t="shared" si="3"/>
        <v>0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573">
        <f>'[2]Sch B'!E37</f>
        <v>45301.42</v>
      </c>
      <c r="D16" s="573">
        <f>'[2]Sch B'!G37</f>
        <v>0</v>
      </c>
      <c r="E16" s="171">
        <f t="shared" si="2"/>
        <v>45301.42</v>
      </c>
      <c r="F16" s="171"/>
      <c r="G16" s="171">
        <f t="shared" si="0"/>
        <v>45301.42</v>
      </c>
      <c r="H16" s="172">
        <f t="shared" si="1"/>
        <v>1.797806986308978E-2</v>
      </c>
      <c r="I16" s="337"/>
      <c r="J16" s="372"/>
      <c r="K16" s="371"/>
      <c r="M16" s="359">
        <f t="shared" si="3"/>
        <v>154.08646258503401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573">
        <f>'[2]Sch B'!E42</f>
        <v>148732.15</v>
      </c>
      <c r="D17" s="573">
        <f>'[2]Sch B'!G42</f>
        <v>0</v>
      </c>
      <c r="E17" s="171">
        <f t="shared" si="2"/>
        <v>148732.15</v>
      </c>
      <c r="F17" s="171"/>
      <c r="G17" s="171">
        <f>E17+F17</f>
        <v>148732.15</v>
      </c>
      <c r="H17" s="172">
        <f t="shared" si="1"/>
        <v>5.902501474760722E-2</v>
      </c>
      <c r="I17" s="337"/>
      <c r="J17" s="370" t="s">
        <v>156</v>
      </c>
      <c r="K17" s="371">
        <f>J208</f>
        <v>84135.09</v>
      </c>
      <c r="M17" s="359">
        <f t="shared" si="3"/>
        <v>148.13959163346613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573">
        <f>'[2]Sch B'!E47</f>
        <v>0</v>
      </c>
      <c r="D18" s="573">
        <f>'[2]Sch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337"/>
      <c r="J18" s="373" t="s">
        <v>252</v>
      </c>
      <c r="K18" s="374">
        <f>K208</f>
        <v>90713.400000000009</v>
      </c>
      <c r="M18" s="359">
        <f t="shared" si="3"/>
        <v>0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573">
        <f>'[2]Sch B'!E52</f>
        <v>0</v>
      </c>
      <c r="D19" s="573">
        <f>'[2]Sch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337"/>
      <c r="J19" s="168"/>
      <c r="K19" s="168"/>
      <c r="M19" s="359">
        <f t="shared" si="3"/>
        <v>0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573">
        <f>'[2]Sch B'!E67</f>
        <v>68563.33</v>
      </c>
      <c r="D20" s="573">
        <f>'[2]Sch B'!G67</f>
        <v>0</v>
      </c>
      <c r="E20" s="171">
        <f t="shared" si="2"/>
        <v>68563.33</v>
      </c>
      <c r="F20" s="171"/>
      <c r="G20" s="171">
        <f t="shared" si="0"/>
        <v>68563.33</v>
      </c>
      <c r="H20" s="172">
        <f t="shared" si="1"/>
        <v>2.7209662231031159E-2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573">
        <f>SUM(C11:C20)</f>
        <v>2519815.5499999998</v>
      </c>
      <c r="D21" s="573">
        <f>SUM(D11:D20)</f>
        <v>0</v>
      </c>
      <c r="E21" s="171">
        <f>SUM(E11:E20)</f>
        <v>2519815.5499999998</v>
      </c>
      <c r="F21" s="171">
        <f>SUM(F11:F20)</f>
        <v>0</v>
      </c>
      <c r="G21" s="171">
        <f>SUM(G11:G20)</f>
        <v>2519815.5499999998</v>
      </c>
      <c r="H21" s="172">
        <f t="shared" si="1"/>
        <v>1</v>
      </c>
      <c r="I21" s="337"/>
      <c r="J21" s="168"/>
      <c r="K21" s="168"/>
      <c r="M21" s="359">
        <f>IFERROR(G21/G228,0)</f>
        <v>174.09254870802818</v>
      </c>
      <c r="N21" s="359">
        <f>SUMMARY!J24</f>
        <v>264.67475627099196</v>
      </c>
    </row>
    <row r="22" spans="1:14">
      <c r="A22" s="145"/>
      <c r="B22" s="179"/>
      <c r="C22" s="151"/>
      <c r="D22" s="144"/>
      <c r="F22" s="144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4">
      <c r="A24" s="181" t="s">
        <v>161</v>
      </c>
      <c r="B24" s="148" t="s">
        <v>12</v>
      </c>
      <c r="M24" s="363"/>
      <c r="N24" s="363"/>
    </row>
    <row r="25" spans="1:14" s="167" customFormat="1">
      <c r="A25" s="169" t="s">
        <v>83</v>
      </c>
      <c r="B25" s="170" t="s">
        <v>14</v>
      </c>
      <c r="C25" s="573">
        <f>'[2]Sch C'!D10</f>
        <v>99359.11</v>
      </c>
      <c r="D25" s="573">
        <f>'[2]Sch C'!F10</f>
        <v>-26719</v>
      </c>
      <c r="E25" s="171">
        <f t="shared" ref="E25:E60" si="4">C25+D25</f>
        <v>72640.11</v>
      </c>
      <c r="F25" s="573"/>
      <c r="G25" s="182">
        <f>E25+F25</f>
        <v>72640.11</v>
      </c>
      <c r="H25" s="172">
        <f>IF($G$208=0,0,G25/$G$208)</f>
        <v>2.9620442665145991E-2</v>
      </c>
      <c r="I25" s="337"/>
      <c r="J25" s="183">
        <v>1361</v>
      </c>
      <c r="K25" s="183">
        <v>1426.78</v>
      </c>
      <c r="M25" s="359">
        <f>G25/G$228</f>
        <v>5.0186617382893468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573">
        <f>'[2]Sch C'!D11</f>
        <v>0</v>
      </c>
      <c r="D26" s="573">
        <f>'[2]Sch C'!F11</f>
        <v>26719</v>
      </c>
      <c r="E26" s="171">
        <f t="shared" si="4"/>
        <v>26719</v>
      </c>
      <c r="F26" s="573"/>
      <c r="G26" s="171">
        <f t="shared" ref="G26:G60" si="5">E26+F26</f>
        <v>26719</v>
      </c>
      <c r="H26" s="184">
        <f t="shared" ref="H26:H61" si="6">IF($G$208=0,0,G26/$G$208)</f>
        <v>1.0895201116436026E-2</v>
      </c>
      <c r="I26" s="337"/>
      <c r="J26" s="183">
        <v>1308.22</v>
      </c>
      <c r="K26" s="183">
        <v>1332.22</v>
      </c>
      <c r="M26" s="359">
        <f t="shared" ref="M26:M60" si="7">G26/G$228</f>
        <v>1.8459997236423933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573">
        <f>'[2]Sch C'!D12</f>
        <v>33704.44</v>
      </c>
      <c r="D27" s="573">
        <f>'[2]Sch C'!F12</f>
        <v>0</v>
      </c>
      <c r="E27" s="171">
        <f t="shared" si="4"/>
        <v>33704.44</v>
      </c>
      <c r="F27" s="573"/>
      <c r="G27" s="171">
        <f t="shared" si="5"/>
        <v>33704.44</v>
      </c>
      <c r="H27" s="172">
        <f t="shared" si="6"/>
        <v>1.3743652543764777E-2</v>
      </c>
      <c r="I27" s="337"/>
      <c r="J27" s="185">
        <v>1881.94</v>
      </c>
      <c r="K27" s="185">
        <v>2034.86</v>
      </c>
      <c r="M27" s="359">
        <f t="shared" si="7"/>
        <v>2.3286195937543184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573">
        <f>'[2]Sch C'!D13</f>
        <v>163649.97</v>
      </c>
      <c r="D28" s="573">
        <f>'[2]Sch C'!F13</f>
        <v>-146219</v>
      </c>
      <c r="E28" s="171">
        <f t="shared" si="4"/>
        <v>17430.97</v>
      </c>
      <c r="F28" s="573"/>
      <c r="G28" s="171">
        <f t="shared" si="5"/>
        <v>17430.97</v>
      </c>
      <c r="H28" s="172">
        <f t="shared" si="6"/>
        <v>7.1078230399551964E-3</v>
      </c>
      <c r="I28" s="337"/>
      <c r="J28" s="168"/>
      <c r="K28" s="168"/>
      <c r="M28" s="359">
        <f t="shared" si="7"/>
        <v>1.2042952881028051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573">
        <f>'[2]Sch C'!D14</f>
        <v>0</v>
      </c>
      <c r="D29" s="573">
        <f>'[2]Sch C'!F14</f>
        <v>0</v>
      </c>
      <c r="E29" s="171">
        <f t="shared" si="4"/>
        <v>0</v>
      </c>
      <c r="F29" s="573"/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573">
        <f>'[2]Sch C'!D15</f>
        <v>48000</v>
      </c>
      <c r="D30" s="573">
        <f>'[2]Sch C'!F15</f>
        <v>-48000</v>
      </c>
      <c r="E30" s="171">
        <f t="shared" si="4"/>
        <v>0</v>
      </c>
      <c r="F30" s="573"/>
      <c r="G30" s="171">
        <f t="shared" si="5"/>
        <v>0</v>
      </c>
      <c r="H30" s="172">
        <f t="shared" si="6"/>
        <v>0</v>
      </c>
      <c r="I30" s="337"/>
      <c r="J30" s="168"/>
      <c r="K30" s="168"/>
      <c r="M30" s="359">
        <f t="shared" si="7"/>
        <v>0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573">
        <f>'[2]Sch C'!D16</f>
        <v>0</v>
      </c>
      <c r="D31" s="573">
        <f>'[2]Sch C'!F16</f>
        <v>105175</v>
      </c>
      <c r="E31" s="171">
        <f t="shared" si="4"/>
        <v>105175</v>
      </c>
      <c r="F31" s="573"/>
      <c r="G31" s="171">
        <f t="shared" si="5"/>
        <v>105175</v>
      </c>
      <c r="H31" s="172">
        <f t="shared" si="6"/>
        <v>4.2887188046751713E-2</v>
      </c>
      <c r="I31" s="337"/>
      <c r="J31" s="168"/>
      <c r="K31" s="168"/>
      <c r="M31" s="359">
        <f t="shared" si="7"/>
        <v>7.2664778223020585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573">
        <f>'[2]Sch C'!D17</f>
        <v>218.81</v>
      </c>
      <c r="D32" s="573">
        <f>'[2]Sch C'!F17</f>
        <v>-219</v>
      </c>
      <c r="E32" s="171">
        <f t="shared" si="4"/>
        <v>-0.18999999999999773</v>
      </c>
      <c r="F32" s="573"/>
      <c r="G32" s="171">
        <f t="shared" si="5"/>
        <v>-0.18999999999999773</v>
      </c>
      <c r="H32" s="172">
        <f t="shared" si="6"/>
        <v>-7.7476260792799891E-8</v>
      </c>
      <c r="I32" s="337"/>
      <c r="J32" s="168"/>
      <c r="K32" s="168"/>
      <c r="M32" s="359">
        <f t="shared" si="7"/>
        <v>-1.3126986320298309E-5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573">
        <f>'[2]Sch C'!D18</f>
        <v>38077.99</v>
      </c>
      <c r="D33" s="573">
        <f>'[2]Sch C'!F18</f>
        <v>0</v>
      </c>
      <c r="E33" s="171">
        <f t="shared" si="4"/>
        <v>38077.99</v>
      </c>
      <c r="F33" s="573"/>
      <c r="G33" s="171">
        <f t="shared" si="5"/>
        <v>38077.99</v>
      </c>
      <c r="H33" s="172">
        <f t="shared" si="6"/>
        <v>1.5527054124766638E-2</v>
      </c>
      <c r="I33" s="337"/>
      <c r="J33" s="168"/>
      <c r="K33" s="168"/>
      <c r="M33" s="359">
        <f t="shared" si="7"/>
        <v>2.630785546497167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573">
        <f>'[2]Sch C'!D19</f>
        <v>6951.74</v>
      </c>
      <c r="D34" s="573">
        <f>'[2]Sch C'!F19</f>
        <v>0</v>
      </c>
      <c r="E34" s="171">
        <f t="shared" si="4"/>
        <v>6951.74</v>
      </c>
      <c r="F34" s="573"/>
      <c r="G34" s="171">
        <f t="shared" si="5"/>
        <v>6951.74</v>
      </c>
      <c r="H34" s="172">
        <f t="shared" si="6"/>
        <v>2.834709585282869E-3</v>
      </c>
      <c r="I34" s="337"/>
      <c r="J34" s="168"/>
      <c r="K34" s="168"/>
      <c r="M34" s="359">
        <f t="shared" si="7"/>
        <v>0.48029155727511397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573">
        <f>'[2]Sch C'!D20</f>
        <v>9582.7800000000007</v>
      </c>
      <c r="D35" s="573">
        <f>'[2]Sch C'!F20</f>
        <v>0</v>
      </c>
      <c r="E35" s="171">
        <f t="shared" si="4"/>
        <v>9582.7800000000007</v>
      </c>
      <c r="F35" s="573"/>
      <c r="G35" s="171">
        <f t="shared" si="5"/>
        <v>9582.7800000000007</v>
      </c>
      <c r="H35" s="172">
        <f t="shared" si="6"/>
        <v>3.9075682231580833E-3</v>
      </c>
      <c r="I35" s="337"/>
      <c r="J35" s="168"/>
      <c r="K35" s="168"/>
      <c r="M35" s="359">
        <f t="shared" si="7"/>
        <v>0.66206853668647236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573">
        <f>'[2]Sch C'!D21</f>
        <v>11972.67</v>
      </c>
      <c r="D36" s="573">
        <f>'[2]Sch C'!F21</f>
        <v>0</v>
      </c>
      <c r="E36" s="171">
        <f t="shared" si="4"/>
        <v>11972.67</v>
      </c>
      <c r="F36" s="573"/>
      <c r="G36" s="171">
        <f t="shared" si="5"/>
        <v>11972.67</v>
      </c>
      <c r="H36" s="172">
        <f t="shared" si="6"/>
        <v>4.882093175295487E-3</v>
      </c>
      <c r="I36" s="337"/>
      <c r="J36" s="168"/>
      <c r="K36" s="168"/>
      <c r="M36" s="359">
        <f t="shared" si="7"/>
        <v>0.82718460688130446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573">
        <f>'[2]Sch C'!D22</f>
        <v>0</v>
      </c>
      <c r="D37" s="573">
        <f>'[2]Sch C'!F22</f>
        <v>0</v>
      </c>
      <c r="E37" s="171">
        <f t="shared" si="4"/>
        <v>0</v>
      </c>
      <c r="F37" s="573"/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573">
        <f>'[2]Sch C'!D23</f>
        <v>11905.4</v>
      </c>
      <c r="D38" s="573">
        <f>'[2]Sch C'!F23</f>
        <v>0</v>
      </c>
      <c r="E38" s="171">
        <f t="shared" si="4"/>
        <v>11905.4</v>
      </c>
      <c r="F38" s="573"/>
      <c r="G38" s="171">
        <f t="shared" si="5"/>
        <v>11905.4</v>
      </c>
      <c r="H38" s="172">
        <f t="shared" si="6"/>
        <v>4.8546625012768985E-3</v>
      </c>
      <c r="I38" s="337"/>
      <c r="J38" s="168"/>
      <c r="K38" s="168"/>
      <c r="M38" s="359">
        <f t="shared" si="7"/>
        <v>0.82253696282990185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573">
        <f>'[2]Sch C'!D24</f>
        <v>32283.62</v>
      </c>
      <c r="D39" s="573">
        <f>'[2]Sch C'!F24</f>
        <v>0</v>
      </c>
      <c r="E39" s="171">
        <f t="shared" si="4"/>
        <v>32283.62</v>
      </c>
      <c r="F39" s="573">
        <v>-15832</v>
      </c>
      <c r="G39" s="171">
        <f t="shared" si="5"/>
        <v>16451.62</v>
      </c>
      <c r="H39" s="172">
        <f t="shared" si="6"/>
        <v>6.7084736925476715E-3</v>
      </c>
      <c r="I39" s="337"/>
      <c r="J39" s="168"/>
      <c r="K39" s="168"/>
      <c r="M39" s="359">
        <f t="shared" si="7"/>
        <v>1.1366325825618349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573">
        <f>'[2]Sch C'!D25</f>
        <v>0</v>
      </c>
      <c r="D40" s="573">
        <f>'[2]Sch C'!F25</f>
        <v>0</v>
      </c>
      <c r="E40" s="171">
        <f t="shared" si="4"/>
        <v>0</v>
      </c>
      <c r="F40" s="573"/>
      <c r="G40" s="171">
        <f t="shared" si="5"/>
        <v>0</v>
      </c>
      <c r="H40" s="172">
        <f t="shared" si="6"/>
        <v>0</v>
      </c>
      <c r="I40" s="337"/>
      <c r="J40" s="168"/>
      <c r="K40" s="168"/>
      <c r="M40" s="359">
        <f t="shared" si="7"/>
        <v>0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573">
        <f>'[2]Sch C'!D26</f>
        <v>208169.77</v>
      </c>
      <c r="D41" s="573">
        <f>'[2]Sch C'!F26</f>
        <v>0</v>
      </c>
      <c r="E41" s="171">
        <f t="shared" si="4"/>
        <v>208169.77</v>
      </c>
      <c r="F41" s="573"/>
      <c r="G41" s="171">
        <f t="shared" si="5"/>
        <v>208169.77</v>
      </c>
      <c r="H41" s="172">
        <f t="shared" si="6"/>
        <v>8.4885344156301903E-2</v>
      </c>
      <c r="I41" s="337"/>
      <c r="J41" s="168"/>
      <c r="K41" s="168"/>
      <c r="M41" s="359">
        <f t="shared" si="7"/>
        <v>14.382324858366726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573">
        <f>'[2]Sch C'!D27</f>
        <v>4880.8500000000004</v>
      </c>
      <c r="D42" s="573">
        <f>'[2]Sch C'!F27</f>
        <v>0</v>
      </c>
      <c r="E42" s="171">
        <f t="shared" si="4"/>
        <v>4880.8500000000004</v>
      </c>
      <c r="F42" s="573"/>
      <c r="G42" s="171">
        <f t="shared" si="5"/>
        <v>4880.8500000000004</v>
      </c>
      <c r="H42" s="172">
        <f t="shared" si="6"/>
        <v>1.9902631973186414E-3</v>
      </c>
      <c r="I42" s="337"/>
      <c r="J42" s="168"/>
      <c r="K42" s="168"/>
      <c r="M42" s="359">
        <f t="shared" si="7"/>
        <v>0.33721500621804618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573">
        <f>'[2]Sch C'!D28</f>
        <v>0</v>
      </c>
      <c r="D43" s="573">
        <f>'[2]Sch C'!F28</f>
        <v>0</v>
      </c>
      <c r="E43" s="171">
        <f t="shared" si="4"/>
        <v>0</v>
      </c>
      <c r="F43" s="573"/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573">
        <f>'[2]Sch C'!D29</f>
        <v>207155.99</v>
      </c>
      <c r="D44" s="573">
        <f>'[2]Sch C'!F29</f>
        <v>-207155.99</v>
      </c>
      <c r="E44" s="171">
        <f t="shared" si="4"/>
        <v>0</v>
      </c>
      <c r="F44" s="573"/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573">
        <f>'[2]Sch C'!D30</f>
        <v>250</v>
      </c>
      <c r="D45" s="573">
        <f>'[2]Sch C'!F30</f>
        <v>-250</v>
      </c>
      <c r="E45" s="171">
        <f t="shared" si="4"/>
        <v>0</v>
      </c>
      <c r="F45" s="573"/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573">
        <f>'[2]Sch C'!D31</f>
        <v>67036.240000000005</v>
      </c>
      <c r="D46" s="573">
        <f>'[2]Sch C'!F31</f>
        <v>0</v>
      </c>
      <c r="E46" s="171">
        <f t="shared" si="4"/>
        <v>67036.240000000005</v>
      </c>
      <c r="F46" s="573"/>
      <c r="G46" s="171">
        <f t="shared" si="5"/>
        <v>67036.240000000005</v>
      </c>
      <c r="H46" s="172">
        <f t="shared" si="6"/>
        <v>2.7335353751625189E-2</v>
      </c>
      <c r="I46" s="337"/>
      <c r="J46" s="168"/>
      <c r="K46" s="168"/>
      <c r="M46" s="359">
        <f t="shared" si="7"/>
        <v>4.6314937128644473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573">
        <f>'[2]Sch C'!D32</f>
        <v>16218.17</v>
      </c>
      <c r="D47" s="573">
        <f>'[2]Sch C'!F32</f>
        <v>0</v>
      </c>
      <c r="E47" s="171">
        <f t="shared" si="4"/>
        <v>16218.17</v>
      </c>
      <c r="F47" s="573"/>
      <c r="G47" s="171">
        <f t="shared" si="5"/>
        <v>16218.17</v>
      </c>
      <c r="H47" s="172">
        <f t="shared" si="6"/>
        <v>6.6132798342209385E-3</v>
      </c>
      <c r="I47" s="337"/>
      <c r="J47" s="168"/>
      <c r="K47" s="168"/>
      <c r="M47" s="359">
        <f t="shared" si="7"/>
        <v>1.1205036617382893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573">
        <f>'[2]Sch C'!D33</f>
        <v>0</v>
      </c>
      <c r="D48" s="573">
        <f>'[2]Sch C'!F33</f>
        <v>0</v>
      </c>
      <c r="E48" s="171">
        <f t="shared" si="4"/>
        <v>0</v>
      </c>
      <c r="F48" s="573"/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573">
        <f>'[2]Sch C'!D34</f>
        <v>0</v>
      </c>
      <c r="D49" s="573">
        <f>'[2]Sch C'!F34</f>
        <v>0</v>
      </c>
      <c r="E49" s="171">
        <f t="shared" si="4"/>
        <v>0</v>
      </c>
      <c r="F49" s="573"/>
      <c r="G49" s="171">
        <f t="shared" si="5"/>
        <v>0</v>
      </c>
      <c r="H49" s="172">
        <f t="shared" si="6"/>
        <v>0</v>
      </c>
      <c r="I49" s="337"/>
      <c r="J49" s="168"/>
      <c r="K49" s="168"/>
      <c r="M49" s="359">
        <f t="shared" si="7"/>
        <v>0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573">
        <f>'[2]Sch C'!D35</f>
        <v>0</v>
      </c>
      <c r="D50" s="573">
        <f>'[2]Sch C'!F35</f>
        <v>0</v>
      </c>
      <c r="E50" s="171">
        <f t="shared" si="4"/>
        <v>0</v>
      </c>
      <c r="F50" s="573"/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573">
        <f>'[2]Sch C'!D36</f>
        <v>0</v>
      </c>
      <c r="D51" s="573">
        <f>'[2]Sch C'!F36</f>
        <v>0</v>
      </c>
      <c r="E51" s="171">
        <f t="shared" si="4"/>
        <v>0</v>
      </c>
      <c r="F51" s="573"/>
      <c r="G51" s="171">
        <f t="shared" si="5"/>
        <v>0</v>
      </c>
      <c r="H51" s="172">
        <f t="shared" si="6"/>
        <v>0</v>
      </c>
      <c r="I51" s="337"/>
      <c r="J51" s="183">
        <v>0</v>
      </c>
      <c r="K51" s="183">
        <v>0</v>
      </c>
      <c r="M51" s="359">
        <f t="shared" si="7"/>
        <v>0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573">
        <f>'[2]Sch C'!D37</f>
        <v>0</v>
      </c>
      <c r="D52" s="573">
        <f>'[2]Sch C'!F37</f>
        <v>0</v>
      </c>
      <c r="E52" s="171">
        <f t="shared" si="4"/>
        <v>0</v>
      </c>
      <c r="F52" s="573"/>
      <c r="G52" s="171">
        <f t="shared" si="5"/>
        <v>0</v>
      </c>
      <c r="H52" s="172">
        <f t="shared" si="6"/>
        <v>0</v>
      </c>
      <c r="I52" s="337"/>
      <c r="J52" s="168"/>
      <c r="K52" s="168"/>
      <c r="M52" s="359">
        <f t="shared" si="7"/>
        <v>0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573">
        <f>'[2]Sch C'!D38</f>
        <v>126.11</v>
      </c>
      <c r="D53" s="573">
        <f>'[2]Sch C'!F38</f>
        <v>0</v>
      </c>
      <c r="E53" s="171">
        <f t="shared" si="4"/>
        <v>126.11</v>
      </c>
      <c r="F53" s="573"/>
      <c r="G53" s="171">
        <f t="shared" si="5"/>
        <v>126.11</v>
      </c>
      <c r="H53" s="172">
        <f t="shared" si="6"/>
        <v>5.1423848676737426E-5</v>
      </c>
      <c r="I53" s="337"/>
      <c r="J53" s="168"/>
      <c r="K53" s="168"/>
      <c r="M53" s="359">
        <f t="shared" si="7"/>
        <v>8.7128644465938928E-3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573">
        <f>'[2]Sch C'!D39</f>
        <v>838.35</v>
      </c>
      <c r="D54" s="573">
        <f>'[2]Sch C'!F39</f>
        <v>0</v>
      </c>
      <c r="E54" s="171">
        <f t="shared" si="4"/>
        <v>838.35</v>
      </c>
      <c r="F54" s="573"/>
      <c r="G54" s="171">
        <f t="shared" si="5"/>
        <v>838.35</v>
      </c>
      <c r="H54" s="172">
        <f t="shared" si="6"/>
        <v>3.4185380650339243E-4</v>
      </c>
      <c r="I54" s="337"/>
      <c r="J54" s="168"/>
      <c r="K54" s="168"/>
      <c r="M54" s="359">
        <f t="shared" si="7"/>
        <v>5.7921099903274841E-2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573">
        <f>'[2]Sch C'!D40</f>
        <v>1867.31</v>
      </c>
      <c r="D55" s="573">
        <f>'[2]Sch C'!F40</f>
        <v>-1867</v>
      </c>
      <c r="E55" s="171">
        <f t="shared" si="4"/>
        <v>0.30999999999994543</v>
      </c>
      <c r="F55" s="573"/>
      <c r="G55" s="171">
        <f t="shared" si="5"/>
        <v>0.30999999999994543</v>
      </c>
      <c r="H55" s="172">
        <f t="shared" si="6"/>
        <v>1.2640863603033697E-7</v>
      </c>
      <c r="I55" s="337"/>
      <c r="J55" s="168"/>
      <c r="K55" s="168"/>
      <c r="M55" s="359">
        <f t="shared" si="7"/>
        <v>2.1417714522588464E-5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573">
        <f>'[2]Sch C'!D41</f>
        <v>0</v>
      </c>
      <c r="D56" s="573">
        <f>'[2]Sch C'!F41</f>
        <v>0</v>
      </c>
      <c r="E56" s="171">
        <f t="shared" si="4"/>
        <v>0</v>
      </c>
      <c r="F56" s="573"/>
      <c r="G56" s="171">
        <f t="shared" si="5"/>
        <v>0</v>
      </c>
      <c r="H56" s="172">
        <f t="shared" si="6"/>
        <v>0</v>
      </c>
      <c r="I56" s="337"/>
      <c r="J56" s="168"/>
      <c r="K56" s="168"/>
      <c r="M56" s="359">
        <f t="shared" si="7"/>
        <v>0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573">
        <f>'[2]Sch C'!D42</f>
        <v>3970.5</v>
      </c>
      <c r="D57" s="573">
        <f>'[2]Sch C'!F42</f>
        <v>0</v>
      </c>
      <c r="E57" s="171">
        <f t="shared" si="4"/>
        <v>3970.5</v>
      </c>
      <c r="F57" s="573"/>
      <c r="G57" s="171">
        <f t="shared" si="5"/>
        <v>3970.5</v>
      </c>
      <c r="H57" s="172">
        <f t="shared" si="6"/>
        <v>1.6190499656727139E-3</v>
      </c>
      <c r="I57" s="337"/>
      <c r="J57" s="168"/>
      <c r="K57" s="168"/>
      <c r="M57" s="359">
        <f t="shared" si="7"/>
        <v>0.27431946939339508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573">
        <f>'[2]Sch C'!D43</f>
        <v>6208.9</v>
      </c>
      <c r="D58" s="573">
        <f>'[2]Sch C'!F43</f>
        <v>0</v>
      </c>
      <c r="E58" s="171">
        <f t="shared" si="4"/>
        <v>6208.9</v>
      </c>
      <c r="F58" s="573"/>
      <c r="G58" s="171">
        <f t="shared" si="5"/>
        <v>6208.9</v>
      </c>
      <c r="H58" s="172">
        <f t="shared" si="6"/>
        <v>2.5318018717706363E-3</v>
      </c>
      <c r="I58" s="337"/>
      <c r="J58" s="168"/>
      <c r="K58" s="168"/>
      <c r="M58" s="359">
        <f t="shared" si="7"/>
        <v>0.42896918612684809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573">
        <f>'[2]Sch C'!D44</f>
        <v>0</v>
      </c>
      <c r="D59" s="573">
        <f>'[2]Sch C'!F44</f>
        <v>0</v>
      </c>
      <c r="E59" s="171">
        <f t="shared" si="4"/>
        <v>0</v>
      </c>
      <c r="F59" s="573"/>
      <c r="G59" s="171">
        <f t="shared" si="5"/>
        <v>0</v>
      </c>
      <c r="H59" s="172">
        <f t="shared" si="6"/>
        <v>0</v>
      </c>
      <c r="I59" s="337"/>
      <c r="J59" s="168"/>
      <c r="K59" s="168"/>
      <c r="M59" s="359">
        <f t="shared" si="7"/>
        <v>0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573">
        <f>'[2]Sch C'!D45</f>
        <v>8008.69</v>
      </c>
      <c r="D60" s="573">
        <f>'[2]Sch C'!F45</f>
        <v>-8009</v>
      </c>
      <c r="E60" s="171">
        <f t="shared" si="4"/>
        <v>-0.31000000000040018</v>
      </c>
      <c r="F60" s="573"/>
      <c r="G60" s="171">
        <f t="shared" si="5"/>
        <v>-0.31000000000040018</v>
      </c>
      <c r="H60" s="172">
        <f t="shared" si="6"/>
        <v>-1.2640863603052239E-7</v>
      </c>
      <c r="I60" s="337"/>
      <c r="J60" s="168"/>
      <c r="K60" s="168"/>
      <c r="M60" s="359">
        <f t="shared" si="7"/>
        <v>-2.1417714522619882E-5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573">
        <f>SUM(C25:C60)</f>
        <v>980437.41</v>
      </c>
      <c r="D61" s="573">
        <f>SUM(D25:D60)</f>
        <v>-306544.99</v>
      </c>
      <c r="E61" s="171">
        <f t="shared" ref="E61" si="8">SUM(E25:E60)</f>
        <v>673892.42</v>
      </c>
      <c r="F61" s="573">
        <f>SUM(F25:F60)</f>
        <v>-15832</v>
      </c>
      <c r="G61" s="171">
        <f>SUM(G25:G60)</f>
        <v>658060.42000000004</v>
      </c>
      <c r="H61" s="186">
        <f t="shared" si="6"/>
        <v>0.26833716167021071</v>
      </c>
      <c r="I61" s="339"/>
      <c r="J61" s="168"/>
      <c r="K61" s="168"/>
      <c r="M61" s="364">
        <f>G61/G$228</f>
        <v>45.465000690894023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I62" s="340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573">
        <f>'[2]Sch C'!D57</f>
        <v>105264.51</v>
      </c>
      <c r="D64" s="573">
        <f>'[2]Sch C'!F57</f>
        <v>-105265</v>
      </c>
      <c r="E64" s="171">
        <f t="shared" ref="E64:E78" si="9">C64+D64</f>
        <v>-0.49000000000523869</v>
      </c>
      <c r="F64" s="573"/>
      <c r="G64" s="171">
        <f t="shared" ref="G64:G78" si="10">E64+F64</f>
        <v>-0.49000000000523869</v>
      </c>
      <c r="H64" s="172">
        <f t="shared" ref="H64:H79" si="11">IF($G$208=0,0,G64/$G$208)</f>
        <v>-1.99807198888833E-7</v>
      </c>
      <c r="I64" s="337"/>
      <c r="J64" s="190"/>
      <c r="K64" s="168"/>
      <c r="M64" s="359">
        <f t="shared" ref="M64:M79" si="12">G64/G$228</f>
        <v>-3.3853806826394828E-5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573">
        <f>'[2]Sch C'!D58</f>
        <v>7569.02</v>
      </c>
      <c r="D65" s="573">
        <f>'[2]Sch C'!F58</f>
        <v>0</v>
      </c>
      <c r="E65" s="171">
        <f t="shared" si="9"/>
        <v>7569.02</v>
      </c>
      <c r="F65" s="573"/>
      <c r="G65" s="171">
        <f t="shared" si="10"/>
        <v>7569.02</v>
      </c>
      <c r="H65" s="172">
        <f t="shared" si="11"/>
        <v>3.0864177235048699E-3</v>
      </c>
      <c r="I65" s="337"/>
      <c r="J65" s="190"/>
      <c r="K65" s="168"/>
      <c r="M65" s="359">
        <f t="shared" si="12"/>
        <v>0.52293906314771321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573">
        <f>'[2]Sch C'!D59</f>
        <v>0</v>
      </c>
      <c r="D66" s="573">
        <f>'[2]Sch C'!F59</f>
        <v>0</v>
      </c>
      <c r="E66" s="171">
        <f t="shared" si="9"/>
        <v>0</v>
      </c>
      <c r="F66" s="573"/>
      <c r="G66" s="171">
        <f t="shared" si="10"/>
        <v>0</v>
      </c>
      <c r="H66" s="172">
        <f t="shared" si="11"/>
        <v>0</v>
      </c>
      <c r="I66" s="337"/>
      <c r="J66" s="190"/>
      <c r="K66" s="168"/>
      <c r="M66" s="359">
        <f t="shared" si="12"/>
        <v>0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573">
        <f>'[2]Sch C'!D60</f>
        <v>0</v>
      </c>
      <c r="D67" s="573">
        <f>'[2]Sch C'!F60</f>
        <v>0</v>
      </c>
      <c r="E67" s="171">
        <f t="shared" si="9"/>
        <v>0</v>
      </c>
      <c r="F67" s="573"/>
      <c r="G67" s="171">
        <f t="shared" si="10"/>
        <v>0</v>
      </c>
      <c r="H67" s="172">
        <f t="shared" si="11"/>
        <v>0</v>
      </c>
      <c r="I67" s="337"/>
      <c r="J67" s="193"/>
      <c r="K67" s="168"/>
      <c r="M67" s="359">
        <f t="shared" si="12"/>
        <v>0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573">
        <f>'[2]Sch C'!D61</f>
        <v>9725.6299999999992</v>
      </c>
      <c r="D68" s="573">
        <f>'[2]Sch C'!F61</f>
        <v>0</v>
      </c>
      <c r="E68" s="171">
        <f t="shared" si="9"/>
        <v>9725.6299999999992</v>
      </c>
      <c r="F68" s="573"/>
      <c r="G68" s="171">
        <f t="shared" si="10"/>
        <v>9725.6299999999992</v>
      </c>
      <c r="H68" s="172">
        <f t="shared" si="11"/>
        <v>3.9658181381804596E-3</v>
      </c>
      <c r="I68" s="337"/>
      <c r="J68" s="193"/>
      <c r="K68" s="168"/>
      <c r="M68" s="359">
        <f t="shared" si="12"/>
        <v>0.67193795771728615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573">
        <f>'[2]Sch C'!D62</f>
        <v>0</v>
      </c>
      <c r="D69" s="573">
        <f>'[2]Sch C'!F62</f>
        <v>0</v>
      </c>
      <c r="E69" s="171">
        <f t="shared" si="9"/>
        <v>0</v>
      </c>
      <c r="F69" s="573"/>
      <c r="G69" s="171">
        <f t="shared" si="10"/>
        <v>0</v>
      </c>
      <c r="H69" s="172">
        <f t="shared" si="11"/>
        <v>0</v>
      </c>
      <c r="I69" s="337"/>
      <c r="J69" s="195"/>
      <c r="K69" s="168"/>
      <c r="M69" s="359">
        <f t="shared" si="12"/>
        <v>0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573">
        <f>'[2]Sch C'!D63</f>
        <v>-3027.25</v>
      </c>
      <c r="D70" s="573">
        <f>'[2]Sch C'!F63</f>
        <v>0</v>
      </c>
      <c r="E70" s="171">
        <f t="shared" si="9"/>
        <v>-3027.25</v>
      </c>
      <c r="F70" s="573"/>
      <c r="G70" s="171">
        <f t="shared" si="10"/>
        <v>-3027.25</v>
      </c>
      <c r="H70" s="172">
        <f t="shared" si="11"/>
        <v>-1.2344211078158223E-3</v>
      </c>
      <c r="I70" s="337"/>
      <c r="J70" s="195"/>
      <c r="K70" s="168"/>
      <c r="M70" s="359">
        <f t="shared" si="12"/>
        <v>-0.20915089125328173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573">
        <f>'[2]Sch C'!D64</f>
        <v>0</v>
      </c>
      <c r="D71" s="573">
        <f>'[2]Sch C'!F64</f>
        <v>0</v>
      </c>
      <c r="E71" s="171">
        <f t="shared" si="9"/>
        <v>0</v>
      </c>
      <c r="F71" s="573"/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573">
        <f>'[2]Sch C'!D65</f>
        <v>4994.3900000000003</v>
      </c>
      <c r="D72" s="573">
        <f>'[2]Sch C'!F65</f>
        <v>0</v>
      </c>
      <c r="E72" s="171">
        <f t="shared" si="9"/>
        <v>4994.3900000000003</v>
      </c>
      <c r="F72" s="573"/>
      <c r="G72" s="171">
        <f t="shared" si="10"/>
        <v>4994.3900000000003</v>
      </c>
      <c r="H72" s="172">
        <f t="shared" si="11"/>
        <v>2.0365613796892446E-3</v>
      </c>
      <c r="I72" s="337"/>
      <c r="J72" s="195"/>
      <c r="K72" s="168"/>
      <c r="M72" s="359">
        <f t="shared" si="12"/>
        <v>0.34505941688544978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573">
        <f>'[2]Sch C'!D66</f>
        <v>6688.48</v>
      </c>
      <c r="D73" s="573">
        <f>'[2]Sch C'!F66</f>
        <v>0</v>
      </c>
      <c r="E73" s="171">
        <f t="shared" si="9"/>
        <v>6688.48</v>
      </c>
      <c r="F73" s="573"/>
      <c r="G73" s="171">
        <f t="shared" si="10"/>
        <v>6688.48</v>
      </c>
      <c r="H73" s="172">
        <f t="shared" si="11"/>
        <v>2.7273601094075389E-3</v>
      </c>
      <c r="I73" s="337"/>
      <c r="J73" s="195"/>
      <c r="K73" s="168"/>
      <c r="M73" s="359">
        <f t="shared" si="12"/>
        <v>0.46210308138731515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573">
        <f>'[2]Sch C'!D67</f>
        <v>22707.03</v>
      </c>
      <c r="D74" s="573">
        <f>'[2]Sch C'!F67</f>
        <v>0</v>
      </c>
      <c r="E74" s="171">
        <f t="shared" si="9"/>
        <v>22707.03</v>
      </c>
      <c r="F74" s="573"/>
      <c r="G74" s="171">
        <f t="shared" si="10"/>
        <v>22707.03</v>
      </c>
      <c r="H74" s="172">
        <f t="shared" si="11"/>
        <v>9.2592409374207992E-3</v>
      </c>
      <c r="I74" s="337"/>
      <c r="J74" s="195"/>
      <c r="K74" s="168"/>
      <c r="M74" s="359">
        <f t="shared" si="12"/>
        <v>1.5688151167610889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573">
        <f>'[2]Sch C'!D68</f>
        <v>0</v>
      </c>
      <c r="D75" s="573">
        <f>'[2]Sch C'!F68</f>
        <v>0</v>
      </c>
      <c r="E75" s="171">
        <f t="shared" si="9"/>
        <v>0</v>
      </c>
      <c r="F75" s="573"/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573">
        <f>'[2]Sch C'!D69</f>
        <v>814.2</v>
      </c>
      <c r="D76" s="573">
        <f>'[2]Sch C'!F69</f>
        <v>0</v>
      </c>
      <c r="E76" s="171">
        <f t="shared" si="9"/>
        <v>814.2</v>
      </c>
      <c r="F76" s="573"/>
      <c r="G76" s="171">
        <f t="shared" si="10"/>
        <v>814.2</v>
      </c>
      <c r="H76" s="172">
        <f t="shared" si="11"/>
        <v>3.3200616598683379E-4</v>
      </c>
      <c r="I76" s="337"/>
      <c r="J76" s="195"/>
      <c r="K76" s="168"/>
      <c r="M76" s="359">
        <f t="shared" si="12"/>
        <v>5.625259085256322E-2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573">
        <f>'[2]Sch C'!D70</f>
        <v>0</v>
      </c>
      <c r="D77" s="573">
        <f>'[2]Sch C'!F70</f>
        <v>0</v>
      </c>
      <c r="E77" s="171">
        <f t="shared" si="9"/>
        <v>0</v>
      </c>
      <c r="F77" s="573"/>
      <c r="G77" s="171">
        <f t="shared" si="10"/>
        <v>0</v>
      </c>
      <c r="H77" s="172">
        <f t="shared" si="11"/>
        <v>0</v>
      </c>
      <c r="I77" s="337"/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573">
        <f>'[2]Sch C'!D71</f>
        <v>0</v>
      </c>
      <c r="D78" s="573">
        <f>'[2]Sch C'!F71</f>
        <v>0</v>
      </c>
      <c r="E78" s="171">
        <f t="shared" si="9"/>
        <v>0</v>
      </c>
      <c r="F78" s="573"/>
      <c r="G78" s="171">
        <f t="shared" si="10"/>
        <v>0</v>
      </c>
      <c r="H78" s="172">
        <f t="shared" si="11"/>
        <v>0</v>
      </c>
      <c r="I78" s="337"/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573">
        <f>SUM(C64:C78)</f>
        <v>154736.01</v>
      </c>
      <c r="D79" s="573">
        <f>SUM(D64:D78)</f>
        <v>-105265</v>
      </c>
      <c r="E79" s="171">
        <f t="shared" ref="E79" si="13">SUM(E64:E78)</f>
        <v>49471.009999999995</v>
      </c>
      <c r="F79" s="573">
        <f>SUM(F64:F78)</f>
        <v>0</v>
      </c>
      <c r="G79" s="171">
        <f>SUM(G64:G78)</f>
        <v>49471.009999999995</v>
      </c>
      <c r="H79" s="172">
        <f t="shared" si="11"/>
        <v>2.0172783539175034E-2</v>
      </c>
      <c r="I79" s="337"/>
      <c r="J79" s="195"/>
      <c r="K79" s="168"/>
      <c r="M79" s="359">
        <f t="shared" si="12"/>
        <v>3.4179224816913081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573">
        <f>'[2]Sch C'!D75</f>
        <v>30911.61</v>
      </c>
      <c r="D82" s="573">
        <f>'[2]Sch C'!F75</f>
        <v>0</v>
      </c>
      <c r="E82" s="171">
        <f t="shared" ref="E82:E92" si="14">C82+D82</f>
        <v>30911.61</v>
      </c>
      <c r="F82" s="573"/>
      <c r="G82" s="171">
        <f t="shared" ref="G82:G92" si="15">E82+F82</f>
        <v>30911.61</v>
      </c>
      <c r="H82" s="172">
        <f t="shared" ref="H82:H93" si="16">IF($G$208=0,0,G82/$G$208)</f>
        <v>1.2604820830975524E-2</v>
      </c>
      <c r="I82" s="337"/>
      <c r="J82" s="183">
        <v>2007.88</v>
      </c>
      <c r="K82" s="183">
        <v>2116.6</v>
      </c>
      <c r="M82" s="359">
        <f t="shared" ref="M82:M92" si="17">G82/G$228</f>
        <v>2.1356646400442174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573">
        <f>'[2]Sch C'!D76</f>
        <v>0</v>
      </c>
      <c r="D83" s="573">
        <f>'[2]Sch C'!F76</f>
        <v>4049.3471091816996</v>
      </c>
      <c r="E83" s="171">
        <f t="shared" si="14"/>
        <v>4049.3471091816996</v>
      </c>
      <c r="F83" s="573"/>
      <c r="G83" s="171">
        <f t="shared" si="15"/>
        <v>4049.3471091816996</v>
      </c>
      <c r="H83" s="172">
        <f t="shared" si="16"/>
        <v>1.6512014351133444E-3</v>
      </c>
      <c r="I83" s="337"/>
      <c r="J83" s="168"/>
      <c r="K83" s="168"/>
      <c r="M83" s="359">
        <f t="shared" si="17"/>
        <v>0.27976696899141218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573">
        <f>'[2]Sch C'!D77</f>
        <v>5234.4799999999996</v>
      </c>
      <c r="D84" s="573">
        <f>'[2]Sch C'!F77</f>
        <v>0</v>
      </c>
      <c r="E84" s="171">
        <f t="shared" si="14"/>
        <v>5234.4799999999996</v>
      </c>
      <c r="F84" s="573"/>
      <c r="G84" s="171">
        <f t="shared" si="15"/>
        <v>5234.4799999999996</v>
      </c>
      <c r="H84" s="172">
        <f t="shared" si="16"/>
        <v>2.1344628294457891E-3</v>
      </c>
      <c r="I84" s="337"/>
      <c r="J84" s="168"/>
      <c r="K84" s="168"/>
      <c r="M84" s="359">
        <f t="shared" si="17"/>
        <v>0.361647091336189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573">
        <f>'[2]Sch C'!D78</f>
        <v>0</v>
      </c>
      <c r="D85" s="573">
        <f>'[2]Sch C'!F78</f>
        <v>0</v>
      </c>
      <c r="E85" s="171">
        <f t="shared" si="14"/>
        <v>0</v>
      </c>
      <c r="F85" s="573"/>
      <c r="G85" s="171">
        <f t="shared" si="15"/>
        <v>0</v>
      </c>
      <c r="H85" s="172">
        <f t="shared" si="16"/>
        <v>0</v>
      </c>
      <c r="I85" s="337"/>
      <c r="J85" s="168"/>
      <c r="K85" s="168"/>
      <c r="M85" s="359">
        <f t="shared" si="17"/>
        <v>0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573">
        <f>'[2]Sch C'!D79</f>
        <v>5092.6899999999996</v>
      </c>
      <c r="D86" s="573">
        <f>'[2]Sch C'!F79</f>
        <v>0</v>
      </c>
      <c r="E86" s="171">
        <f t="shared" si="14"/>
        <v>5092.6899999999996</v>
      </c>
      <c r="F86" s="573"/>
      <c r="G86" s="171">
        <f>E86+F86</f>
        <v>5092.6899999999996</v>
      </c>
      <c r="H86" s="172">
        <f t="shared" si="16"/>
        <v>2.0766451504046777E-3</v>
      </c>
      <c r="I86" s="337"/>
      <c r="J86" s="168"/>
      <c r="K86" s="168"/>
      <c r="M86" s="359">
        <f t="shared" si="17"/>
        <v>0.35185090507116207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573">
        <f>'[2]Sch C'!D80</f>
        <v>4220.0200000000004</v>
      </c>
      <c r="D87" s="573">
        <f>'[2]Sch C'!F80</f>
        <v>0</v>
      </c>
      <c r="E87" s="171">
        <f t="shared" si="14"/>
        <v>4220.0200000000004</v>
      </c>
      <c r="F87" s="573"/>
      <c r="G87" s="171">
        <f t="shared" si="15"/>
        <v>4220.0200000000004</v>
      </c>
      <c r="H87" s="172">
        <f t="shared" si="16"/>
        <v>1.7207966845833437E-3</v>
      </c>
      <c r="I87" s="337"/>
      <c r="J87" s="168"/>
      <c r="K87" s="168"/>
      <c r="M87" s="359">
        <f t="shared" si="17"/>
        <v>0.29155865690203125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573">
        <f>'[2]Sch C'!D81</f>
        <v>2511.4</v>
      </c>
      <c r="D88" s="573">
        <f>'[2]Sch C'!F81</f>
        <v>0</v>
      </c>
      <c r="E88" s="171">
        <f t="shared" si="14"/>
        <v>2511.4</v>
      </c>
      <c r="F88" s="573"/>
      <c r="G88" s="171">
        <f t="shared" si="15"/>
        <v>2511.4</v>
      </c>
      <c r="H88" s="172">
        <f t="shared" si="16"/>
        <v>1.0240730597633682E-3</v>
      </c>
      <c r="I88" s="337"/>
      <c r="J88" s="168"/>
      <c r="K88" s="168"/>
      <c r="M88" s="359">
        <f t="shared" si="17"/>
        <v>0.17351112339367142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573">
        <f>'[2]Sch C'!D82</f>
        <v>8109.2</v>
      </c>
      <c r="D89" s="573">
        <f>'[2]Sch C'!F82</f>
        <v>0</v>
      </c>
      <c r="E89" s="171">
        <f t="shared" si="14"/>
        <v>8109.2</v>
      </c>
      <c r="F89" s="573"/>
      <c r="G89" s="171">
        <f t="shared" si="15"/>
        <v>8109.2</v>
      </c>
      <c r="H89" s="172">
        <f t="shared" si="16"/>
        <v>3.3066868106367388E-3</v>
      </c>
      <c r="I89" s="337"/>
      <c r="J89" s="168"/>
      <c r="K89" s="168"/>
      <c r="M89" s="359">
        <f t="shared" si="17"/>
        <v>0.56025977615033851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573">
        <f>'[2]Sch C'!D83</f>
        <v>10880.21</v>
      </c>
      <c r="D90" s="573">
        <f>'[2]Sch C'!F83</f>
        <v>0</v>
      </c>
      <c r="E90" s="171">
        <f t="shared" si="14"/>
        <v>10880.21</v>
      </c>
      <c r="F90" s="573"/>
      <c r="G90" s="171">
        <f t="shared" si="15"/>
        <v>10880.21</v>
      </c>
      <c r="H90" s="172">
        <f t="shared" si="16"/>
        <v>4.4366209865286275E-3</v>
      </c>
      <c r="I90" s="337"/>
      <c r="J90" s="168"/>
      <c r="K90" s="168"/>
      <c r="M90" s="359">
        <f t="shared" si="17"/>
        <v>0.75170719911565564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573">
        <f>'[2]Sch C'!D84</f>
        <v>50201.120000000003</v>
      </c>
      <c r="D91" s="573">
        <f>'[2]Sch C'!F84</f>
        <v>0</v>
      </c>
      <c r="E91" s="171">
        <f t="shared" si="14"/>
        <v>50201.120000000003</v>
      </c>
      <c r="F91" s="573"/>
      <c r="G91" s="171">
        <f t="shared" si="15"/>
        <v>50201.120000000003</v>
      </c>
      <c r="H91" s="172">
        <f t="shared" si="16"/>
        <v>2.0470500343214154E-2</v>
      </c>
      <c r="I91" s="337"/>
      <c r="J91" s="168"/>
      <c r="K91" s="168"/>
      <c r="M91" s="359">
        <f t="shared" si="17"/>
        <v>3.4683653447561147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573">
        <f>'[2]Sch C'!D85</f>
        <v>0</v>
      </c>
      <c r="D92" s="573">
        <f>'[2]Sch C'!F85</f>
        <v>0</v>
      </c>
      <c r="E92" s="171">
        <f t="shared" si="14"/>
        <v>0</v>
      </c>
      <c r="F92" s="573"/>
      <c r="G92" s="171">
        <f t="shared" si="15"/>
        <v>0</v>
      </c>
      <c r="H92" s="172">
        <f t="shared" si="16"/>
        <v>0</v>
      </c>
      <c r="I92" s="337"/>
      <c r="J92" s="168"/>
      <c r="K92" s="168"/>
      <c r="M92" s="359">
        <f t="shared" si="17"/>
        <v>0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573">
        <f>SUM(C82:C92)</f>
        <v>117160.73000000001</v>
      </c>
      <c r="D93" s="573">
        <f>SUM(D82:D92)</f>
        <v>4049.3471091816996</v>
      </c>
      <c r="E93" s="171">
        <f t="shared" ref="E93" si="18">SUM(E82:E92)</f>
        <v>121210.0771091817</v>
      </c>
      <c r="F93" s="573">
        <f>SUM(F82:F92)</f>
        <v>0</v>
      </c>
      <c r="G93" s="171">
        <f>SUM(G82:G92)</f>
        <v>121210.0771091817</v>
      </c>
      <c r="H93" s="172">
        <f t="shared" si="16"/>
        <v>4.9425808130665563E-2</v>
      </c>
      <c r="I93" s="337"/>
      <c r="J93" s="168"/>
      <c r="K93" s="168"/>
      <c r="M93" s="364">
        <f>G93/G$228</f>
        <v>8.3743317057607918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573">
        <f>'[2]Sch C'!D89</f>
        <v>124311.27</v>
      </c>
      <c r="D96" s="573">
        <f>'[2]Sch C'!F89</f>
        <v>0</v>
      </c>
      <c r="E96" s="171">
        <f t="shared" ref="E96:E101" si="19">C96+D96</f>
        <v>124311.27</v>
      </c>
      <c r="F96" s="573"/>
      <c r="G96" s="171">
        <f t="shared" ref="G96:G101" si="20">E96+F96</f>
        <v>124311.27</v>
      </c>
      <c r="H96" s="172">
        <f t="shared" ref="H96:H102" si="21">IF($G$208=0,0,G96/$G$208)</f>
        <v>5.0690380915811982E-2</v>
      </c>
      <c r="I96" s="337"/>
      <c r="J96" s="183">
        <v>11776.06</v>
      </c>
      <c r="K96" s="183">
        <v>12985.32</v>
      </c>
      <c r="M96" s="364">
        <f t="shared" ref="M96:M101" si="22">G96/G$228</f>
        <v>8.5885912670996269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573">
        <f>'[2]Sch C'!D90</f>
        <v>0</v>
      </c>
      <c r="D97" s="573">
        <f>'[2]Sch C'!F90</f>
        <v>16284.479579459165</v>
      </c>
      <c r="E97" s="171">
        <f t="shared" si="19"/>
        <v>16284.479579459165</v>
      </c>
      <c r="F97" s="573"/>
      <c r="G97" s="171">
        <f t="shared" si="20"/>
        <v>16284.479579459165</v>
      </c>
      <c r="H97" s="172">
        <f t="shared" si="21"/>
        <v>6.6403188777537769E-3</v>
      </c>
      <c r="I97" s="337"/>
      <c r="J97" s="168"/>
      <c r="K97" s="168"/>
      <c r="M97" s="364">
        <f t="shared" si="22"/>
        <v>1.1250849509091587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573">
        <f>'[2]Sch C'!D91</f>
        <v>12040.5</v>
      </c>
      <c r="D98" s="573">
        <f>'[2]Sch C'!F91</f>
        <v>0</v>
      </c>
      <c r="E98" s="171">
        <f t="shared" si="19"/>
        <v>12040.5</v>
      </c>
      <c r="F98" s="573"/>
      <c r="G98" s="171">
        <f t="shared" si="20"/>
        <v>12040.5</v>
      </c>
      <c r="H98" s="172">
        <f t="shared" si="21"/>
        <v>4.9097522003985171E-3</v>
      </c>
      <c r="I98" s="337"/>
      <c r="J98" s="168"/>
      <c r="K98" s="168"/>
      <c r="M98" s="364">
        <f t="shared" si="22"/>
        <v>0.83187094099765091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573">
        <f>'[2]Sch C'!D92</f>
        <v>110315.29</v>
      </c>
      <c r="D99" s="573">
        <f>'[2]Sch C'!F92</f>
        <v>0</v>
      </c>
      <c r="E99" s="171">
        <f t="shared" si="19"/>
        <v>110315.29</v>
      </c>
      <c r="F99" s="573"/>
      <c r="G99" s="171">
        <f t="shared" si="20"/>
        <v>110315.29</v>
      </c>
      <c r="H99" s="172">
        <f t="shared" si="21"/>
        <v>4.4983243039333952E-2</v>
      </c>
      <c r="I99" s="337"/>
      <c r="J99" s="168"/>
      <c r="K99" s="168"/>
      <c r="M99" s="364">
        <f t="shared" si="22"/>
        <v>7.6216173828934641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573">
        <f>'[2]Sch C'!D93</f>
        <v>10859.2</v>
      </c>
      <c r="D100" s="573">
        <f>'[2]Sch C'!F93</f>
        <v>0</v>
      </c>
      <c r="E100" s="171">
        <f t="shared" si="19"/>
        <v>10859.2</v>
      </c>
      <c r="F100" s="573"/>
      <c r="G100" s="171">
        <f t="shared" si="20"/>
        <v>10859.2</v>
      </c>
      <c r="H100" s="172">
        <f t="shared" si="21"/>
        <v>4.4280537431641192E-3</v>
      </c>
      <c r="I100" s="337"/>
      <c r="J100" s="168"/>
      <c r="K100" s="168"/>
      <c r="M100" s="364">
        <f t="shared" si="22"/>
        <v>0.75025563078623747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573">
        <f>'[2]Sch C'!D94</f>
        <v>0</v>
      </c>
      <c r="D101" s="573">
        <f>'[2]Sch C'!F94</f>
        <v>0</v>
      </c>
      <c r="E101" s="171">
        <f t="shared" si="19"/>
        <v>0</v>
      </c>
      <c r="F101" s="573"/>
      <c r="G101" s="171">
        <f t="shared" si="20"/>
        <v>0</v>
      </c>
      <c r="H101" s="172">
        <f t="shared" si="21"/>
        <v>0</v>
      </c>
      <c r="I101" s="337"/>
      <c r="J101" s="168"/>
      <c r="K101" s="168"/>
      <c r="M101" s="364">
        <f t="shared" si="22"/>
        <v>0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573">
        <f>SUM(C96:C101)</f>
        <v>257526.26</v>
      </c>
      <c r="D102" s="573">
        <f>SUM(D96:D101)</f>
        <v>16284.479579459165</v>
      </c>
      <c r="E102" s="171">
        <f t="shared" ref="E102" si="23">SUM(E96:E101)</f>
        <v>273810.73957945919</v>
      </c>
      <c r="F102" s="573">
        <f>SUM(F96:F101)</f>
        <v>0</v>
      </c>
      <c r="G102" s="171">
        <f>SUM(G96:G101)</f>
        <v>273810.73957945919</v>
      </c>
      <c r="H102" s="172">
        <f t="shared" si="21"/>
        <v>0.11165174877646236</v>
      </c>
      <c r="I102" s="337"/>
      <c r="J102" s="168"/>
      <c r="K102" s="168"/>
      <c r="M102" s="364">
        <f>G102/G$228</f>
        <v>18.917420172686139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573">
        <f>'[2]Sch C'!D98</f>
        <v>0</v>
      </c>
      <c r="D105" s="573">
        <f>'[2]Sch C'!F98</f>
        <v>0</v>
      </c>
      <c r="E105" s="171">
        <f t="shared" ref="E105:E110" si="24">C105+D105</f>
        <v>0</v>
      </c>
      <c r="F105" s="573"/>
      <c r="G105" s="171">
        <f t="shared" ref="G105:G110" si="25">E105+F105</f>
        <v>0</v>
      </c>
      <c r="H105" s="172">
        <f t="shared" ref="H105:H111" si="26">IF($G$208=0,0,G105/$G$208)</f>
        <v>0</v>
      </c>
      <c r="I105" s="337"/>
      <c r="J105" s="183">
        <v>0</v>
      </c>
      <c r="K105" s="183">
        <v>0</v>
      </c>
      <c r="M105" s="364">
        <f t="shared" ref="M105:M110" si="27">G105/G$228</f>
        <v>0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573">
        <f>'[2]Sch C'!D99</f>
        <v>0</v>
      </c>
      <c r="D106" s="573">
        <f>'[2]Sch C'!F99</f>
        <v>0</v>
      </c>
      <c r="E106" s="171">
        <f t="shared" si="24"/>
        <v>0</v>
      </c>
      <c r="F106" s="573"/>
      <c r="G106" s="171">
        <f t="shared" si="25"/>
        <v>0</v>
      </c>
      <c r="H106" s="172">
        <f t="shared" si="26"/>
        <v>0</v>
      </c>
      <c r="I106" s="337"/>
      <c r="J106" s="168"/>
      <c r="K106" s="168"/>
      <c r="M106" s="364">
        <f t="shared" si="27"/>
        <v>0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573">
        <f>'[2]Sch C'!D100</f>
        <v>132.66999999999999</v>
      </c>
      <c r="D107" s="573">
        <f>'[2]Sch C'!F100</f>
        <v>0</v>
      </c>
      <c r="E107" s="171">
        <f t="shared" si="24"/>
        <v>132.66999999999999</v>
      </c>
      <c r="F107" s="573"/>
      <c r="G107" s="171">
        <f t="shared" si="25"/>
        <v>132.66999999999999</v>
      </c>
      <c r="H107" s="172">
        <f t="shared" si="26"/>
        <v>5.4098818523057279E-5</v>
      </c>
      <c r="I107" s="337"/>
      <c r="J107" s="168"/>
      <c r="K107" s="168"/>
      <c r="M107" s="364">
        <f t="shared" si="27"/>
        <v>9.1660909216526171E-3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573">
        <f>'[2]Sch C'!D101</f>
        <v>0</v>
      </c>
      <c r="D108" s="573">
        <f>'[2]Sch C'!F101</f>
        <v>0</v>
      </c>
      <c r="E108" s="171">
        <f t="shared" si="24"/>
        <v>0</v>
      </c>
      <c r="F108" s="573"/>
      <c r="G108" s="171">
        <f t="shared" si="25"/>
        <v>0</v>
      </c>
      <c r="H108" s="172">
        <f t="shared" si="26"/>
        <v>0</v>
      </c>
      <c r="I108" s="337"/>
      <c r="J108" s="168"/>
      <c r="K108" s="168"/>
      <c r="M108" s="364">
        <f t="shared" si="27"/>
        <v>0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573">
        <f>'[2]Sch C'!D102</f>
        <v>157.82</v>
      </c>
      <c r="D109" s="573">
        <f>'[2]Sch C'!F102</f>
        <v>0</v>
      </c>
      <c r="E109" s="171">
        <f t="shared" si="24"/>
        <v>157.82</v>
      </c>
      <c r="F109" s="573"/>
      <c r="G109" s="171">
        <f t="shared" si="25"/>
        <v>157.82</v>
      </c>
      <c r="H109" s="172">
        <f t="shared" si="26"/>
        <v>6.4354228833262236E-5</v>
      </c>
      <c r="I109" s="337"/>
      <c r="J109" s="168"/>
      <c r="K109" s="168"/>
      <c r="M109" s="364">
        <f t="shared" si="27"/>
        <v>1.090368937405002E-2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573">
        <f>'[2]Sch C'!D103</f>
        <v>0</v>
      </c>
      <c r="D110" s="573">
        <f>'[2]Sch C'!F103</f>
        <v>0</v>
      </c>
      <c r="E110" s="171">
        <f t="shared" si="24"/>
        <v>0</v>
      </c>
      <c r="F110" s="573"/>
      <c r="G110" s="171">
        <f t="shared" si="25"/>
        <v>0</v>
      </c>
      <c r="H110" s="172">
        <f t="shared" si="26"/>
        <v>0</v>
      </c>
      <c r="I110" s="337"/>
      <c r="J110" s="168"/>
      <c r="K110" s="168"/>
      <c r="M110" s="364">
        <f t="shared" si="27"/>
        <v>0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573">
        <f>SUM(C105:C110)</f>
        <v>290.49</v>
      </c>
      <c r="D111" s="573">
        <f>SUM(D105:D110)</f>
        <v>0</v>
      </c>
      <c r="E111" s="171">
        <f t="shared" ref="E111" si="28">SUM(E105:E110)</f>
        <v>290.49</v>
      </c>
      <c r="F111" s="573">
        <f>SUM(F105:F110)</f>
        <v>0</v>
      </c>
      <c r="G111" s="171">
        <f>SUM(G105:G110)</f>
        <v>290.49</v>
      </c>
      <c r="H111" s="172">
        <f t="shared" si="26"/>
        <v>1.1845304735631952E-4</v>
      </c>
      <c r="I111" s="337"/>
      <c r="J111" s="168"/>
      <c r="K111" s="168"/>
      <c r="M111" s="364">
        <f>G111/G$228</f>
        <v>2.0069780295702638E-2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573">
        <f>'[2]Sch C'!D115</f>
        <v>77138.77</v>
      </c>
      <c r="D114" s="573">
        <f>'[2]Sch C'!F115</f>
        <v>0</v>
      </c>
      <c r="E114" s="171">
        <f t="shared" ref="E114:E118" si="29">C114+D114</f>
        <v>77138.77</v>
      </c>
      <c r="F114" s="573"/>
      <c r="G114" s="171">
        <f>E114+F114</f>
        <v>77138.77</v>
      </c>
      <c r="H114" s="172">
        <f t="shared" ref="H114:H119" si="30">IF($G$208=0,0,G114/$G$208)</f>
        <v>3.1454860325030948E-2</v>
      </c>
      <c r="I114" s="337"/>
      <c r="J114" s="183">
        <v>8522.7199999999993</v>
      </c>
      <c r="K114" s="183">
        <v>9245.7800000000007</v>
      </c>
      <c r="M114" s="364">
        <f t="shared" ref="M114:M119" si="31">G114/G$228</f>
        <v>5.3294714660771039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573">
        <f>'[2]Sch C'!D116</f>
        <v>0</v>
      </c>
      <c r="D115" s="573">
        <f>'[2]Sch C'!F116</f>
        <v>10104.994702810109</v>
      </c>
      <c r="E115" s="171">
        <f t="shared" si="29"/>
        <v>10104.994702810109</v>
      </c>
      <c r="F115" s="573"/>
      <c r="G115" s="171">
        <f>E115+F115</f>
        <v>10104.994702810109</v>
      </c>
      <c r="H115" s="172">
        <f t="shared" si="30"/>
        <v>4.120511604762035E-3</v>
      </c>
      <c r="I115" s="337"/>
      <c r="J115" s="168"/>
      <c r="K115" s="168"/>
      <c r="M115" s="364">
        <f t="shared" si="31"/>
        <v>0.69814803805514081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573">
        <f>'[2]Sch C'!D117</f>
        <v>16858.71</v>
      </c>
      <c r="D116" s="573">
        <f>'[2]Sch C'!F117</f>
        <v>0</v>
      </c>
      <c r="E116" s="171">
        <f t="shared" si="29"/>
        <v>16858.71</v>
      </c>
      <c r="F116" s="573">
        <v>-1152</v>
      </c>
      <c r="G116" s="171">
        <f>E116+F116</f>
        <v>15706.71</v>
      </c>
      <c r="H116" s="172">
        <f t="shared" si="30"/>
        <v>6.4047218955625915E-3</v>
      </c>
      <c r="I116" s="337"/>
      <c r="J116" s="168"/>
      <c r="K116" s="168"/>
      <c r="M116" s="364">
        <f t="shared" si="31"/>
        <v>1.0851671963520795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573">
        <f>'[2]Sch C'!D118</f>
        <v>585</v>
      </c>
      <c r="D117" s="573">
        <f>'[2]Sch C'!F118</f>
        <v>0</v>
      </c>
      <c r="E117" s="171">
        <f t="shared" si="29"/>
        <v>585</v>
      </c>
      <c r="F117" s="573"/>
      <c r="G117" s="171">
        <f>E117+F117</f>
        <v>585</v>
      </c>
      <c r="H117" s="172">
        <f t="shared" si="30"/>
        <v>2.3854532928309724E-4</v>
      </c>
      <c r="I117" s="337"/>
      <c r="J117" s="168"/>
      <c r="K117" s="168"/>
      <c r="M117" s="364">
        <f t="shared" si="31"/>
        <v>4.0417299986182119E-2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573">
        <f>'[2]Sch C'!D119</f>
        <v>0</v>
      </c>
      <c r="D118" s="573">
        <f>'[2]Sch C'!F119</f>
        <v>0</v>
      </c>
      <c r="E118" s="171">
        <f t="shared" si="29"/>
        <v>0</v>
      </c>
      <c r="F118" s="573"/>
      <c r="G118" s="171">
        <f>E118+F118</f>
        <v>0</v>
      </c>
      <c r="H118" s="172">
        <f t="shared" si="30"/>
        <v>0</v>
      </c>
      <c r="I118" s="337"/>
      <c r="J118" s="168"/>
      <c r="K118" s="168"/>
      <c r="M118" s="364">
        <f t="shared" si="31"/>
        <v>0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573">
        <f>SUM(C114:C118)</f>
        <v>94582.48000000001</v>
      </c>
      <c r="D119" s="573">
        <f>SUM(D114:D118)</f>
        <v>10104.994702810109</v>
      </c>
      <c r="E119" s="171">
        <f t="shared" ref="E119" si="32">SUM(E114:E118)</f>
        <v>104687.47470281011</v>
      </c>
      <c r="F119" s="573">
        <f>SUM(F114:F118)</f>
        <v>-1152</v>
      </c>
      <c r="G119" s="171">
        <f>SUM(G114:G118)</f>
        <v>103535.47470281011</v>
      </c>
      <c r="H119" s="172">
        <f t="shared" si="30"/>
        <v>4.2218639154638672E-2</v>
      </c>
      <c r="I119" s="337"/>
      <c r="J119" s="168"/>
      <c r="K119" s="168"/>
      <c r="M119" s="364">
        <f t="shared" si="31"/>
        <v>7.1532040004705069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1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573">
        <f>'[2]Sch C'!D124</f>
        <v>0</v>
      </c>
      <c r="D123" s="573">
        <f>'[2]Sch C'!F124</f>
        <v>0</v>
      </c>
      <c r="E123" s="171">
        <f t="shared" ref="E123:E127" si="33">C123+D123</f>
        <v>0</v>
      </c>
      <c r="F123" s="573"/>
      <c r="G123" s="171">
        <f>E123+F123</f>
        <v>0</v>
      </c>
      <c r="H123" s="172">
        <f>IF($G$208=0,0,G123/$G$208)</f>
        <v>0</v>
      </c>
      <c r="I123" s="337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0.77002560279620991</v>
      </c>
    </row>
    <row r="124" spans="1:14" s="167" customFormat="1">
      <c r="B124" s="163" t="s">
        <v>194</v>
      </c>
      <c r="C124" s="573">
        <f>'[2]Sch C'!D125</f>
        <v>55117.99</v>
      </c>
      <c r="D124" s="573">
        <f>'[2]Sch C'!F125</f>
        <v>0</v>
      </c>
      <c r="E124" s="171">
        <f t="shared" si="33"/>
        <v>55117.99</v>
      </c>
      <c r="F124" s="573"/>
      <c r="G124" s="171">
        <f>E124+F124</f>
        <v>55117.99</v>
      </c>
      <c r="H124" s="172">
        <f>IF($G$208=0,0,G124/$G$208)</f>
        <v>2.2475451408499932E-2</v>
      </c>
      <c r="I124" s="337"/>
      <c r="J124" s="183">
        <v>1903.46</v>
      </c>
      <c r="K124" s="183">
        <v>2054.44</v>
      </c>
      <c r="M124" s="364">
        <f t="shared" si="34"/>
        <v>3.8080689512228822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573">
        <f>'[2]Sch C'!D126</f>
        <v>0</v>
      </c>
      <c r="D125" s="573">
        <f>'[2]Sch C'!F126</f>
        <v>0</v>
      </c>
      <c r="E125" s="171">
        <f t="shared" si="33"/>
        <v>0</v>
      </c>
      <c r="F125" s="573"/>
      <c r="G125" s="171">
        <f>E125+F125</f>
        <v>0</v>
      </c>
      <c r="H125" s="172">
        <f>IF($G$208=0,0,G125/$G$208)</f>
        <v>0</v>
      </c>
      <c r="I125" s="337"/>
      <c r="J125" s="183">
        <v>0</v>
      </c>
      <c r="K125" s="183">
        <v>0</v>
      </c>
      <c r="M125" s="364">
        <f t="shared" si="34"/>
        <v>0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573">
        <f>'[2]Sch C'!D127</f>
        <v>0</v>
      </c>
      <c r="D126" s="573">
        <f>'[2]Sch C'!F127</f>
        <v>0</v>
      </c>
      <c r="E126" s="171">
        <f t="shared" si="33"/>
        <v>0</v>
      </c>
      <c r="F126" s="573"/>
      <c r="G126" s="171">
        <f>E126+F126</f>
        <v>0</v>
      </c>
      <c r="H126" s="172">
        <f>IF($G$208=0,0,G126/$G$208)</f>
        <v>0</v>
      </c>
      <c r="I126" s="337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573">
        <f>'[2]Sch C'!D128</f>
        <v>2738.6</v>
      </c>
      <c r="D127" s="573">
        <f>'[2]Sch C'!F128</f>
        <v>0</v>
      </c>
      <c r="E127" s="171">
        <f t="shared" si="33"/>
        <v>2738.6</v>
      </c>
      <c r="F127" s="573"/>
      <c r="G127" s="171">
        <f>E127+F127</f>
        <v>2738.6</v>
      </c>
      <c r="H127" s="172">
        <f>IF($G$208=0,0,G127/$G$208)</f>
        <v>1.1167183568798122E-3</v>
      </c>
      <c r="I127" s="337"/>
      <c r="J127" s="183">
        <v>173.17</v>
      </c>
      <c r="K127" s="183">
        <v>173.17</v>
      </c>
      <c r="M127" s="364">
        <f t="shared" si="34"/>
        <v>0.18920823545668095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580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573">
        <f>'[2]Sch C'!D130</f>
        <v>0</v>
      </c>
      <c r="D129" s="573">
        <f>'[2]Sch C'!F130</f>
        <v>0</v>
      </c>
      <c r="E129" s="171">
        <f t="shared" ref="E129:E133" si="35">C129+D129</f>
        <v>0</v>
      </c>
      <c r="F129" s="573"/>
      <c r="G129" s="171">
        <f>E129+F129</f>
        <v>0</v>
      </c>
      <c r="H129" s="172">
        <f>IF($G$208=0,0,G129/$G$208)</f>
        <v>0</v>
      </c>
      <c r="I129" s="337"/>
      <c r="J129" s="204"/>
      <c r="K129" s="204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573">
        <f>'[2]Sch C'!D131</f>
        <v>0</v>
      </c>
      <c r="D130" s="573">
        <f>'[2]Sch C'!F131</f>
        <v>7220.3250969589035</v>
      </c>
      <c r="E130" s="171">
        <f t="shared" si="35"/>
        <v>7220.3250969589035</v>
      </c>
      <c r="F130" s="573"/>
      <c r="G130" s="171">
        <f>E130+F130</f>
        <v>7220.3250969589035</v>
      </c>
      <c r="H130" s="172">
        <f>IF($G$208=0,0,G130/$G$208)</f>
        <v>2.9442304748462781E-3</v>
      </c>
      <c r="I130" s="337"/>
      <c r="J130" s="204"/>
      <c r="K130" s="204"/>
      <c r="M130" s="364">
        <f t="shared" si="34"/>
        <v>0.49884794092572221</v>
      </c>
      <c r="N130" s="359">
        <f>SUMMARY!J133</f>
        <v>1.0792348507966931</v>
      </c>
    </row>
    <row r="131" spans="1:14" s="167" customFormat="1">
      <c r="B131" s="163" t="s">
        <v>195</v>
      </c>
      <c r="C131" s="573">
        <f>'[2]Sch C'!D132</f>
        <v>0</v>
      </c>
      <c r="D131" s="573">
        <f>'[2]Sch C'!F132</f>
        <v>0</v>
      </c>
      <c r="E131" s="171">
        <f t="shared" si="35"/>
        <v>0</v>
      </c>
      <c r="F131" s="573"/>
      <c r="G131" s="171">
        <f>E131+F131</f>
        <v>0</v>
      </c>
      <c r="H131" s="172">
        <f>IF($G$208=0,0,G131/$G$208)</f>
        <v>0</v>
      </c>
      <c r="I131" s="337"/>
      <c r="J131" s="168"/>
      <c r="K131" s="168"/>
      <c r="M131" s="364">
        <f t="shared" si="34"/>
        <v>0</v>
      </c>
      <c r="N131" s="359">
        <f>SUMMARY!J134</f>
        <v>8.2765628075518377E-2</v>
      </c>
    </row>
    <row r="132" spans="1:14" s="167" customFormat="1">
      <c r="B132" s="163" t="s">
        <v>196</v>
      </c>
      <c r="C132" s="573">
        <f>'[2]Sch C'!D133</f>
        <v>0</v>
      </c>
      <c r="D132" s="573">
        <f>'[2]Sch C'!F133</f>
        <v>0</v>
      </c>
      <c r="E132" s="171">
        <f t="shared" si="35"/>
        <v>0</v>
      </c>
      <c r="F132" s="573"/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573">
        <f>'[2]Sch C'!D134</f>
        <v>0</v>
      </c>
      <c r="D133" s="573">
        <f>'[2]Sch C'!F134</f>
        <v>0</v>
      </c>
      <c r="E133" s="171">
        <f t="shared" si="35"/>
        <v>0</v>
      </c>
      <c r="F133" s="573"/>
      <c r="G133" s="171">
        <f>E133+F133</f>
        <v>0</v>
      </c>
      <c r="H133" s="172">
        <f>IF($G$208=0,0,G133/$G$208)</f>
        <v>0</v>
      </c>
      <c r="I133" s="337"/>
      <c r="J133" s="168"/>
      <c r="K133" s="168"/>
      <c r="M133" s="364">
        <f t="shared" si="34"/>
        <v>0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573">
        <f>'[2]Sch C'!D136</f>
        <v>172004.57</v>
      </c>
      <c r="D135" s="573">
        <f>'[2]Sch C'!F136</f>
        <v>0</v>
      </c>
      <c r="E135" s="171">
        <f t="shared" ref="E135:E138" si="36">C135+D135</f>
        <v>172004.57</v>
      </c>
      <c r="F135" s="573"/>
      <c r="G135" s="171">
        <f>E135+F135</f>
        <v>172004.57</v>
      </c>
      <c r="H135" s="172">
        <f>IF($G$208=0,0,G135/$G$208)</f>
        <v>7.0138268015124017E-2</v>
      </c>
      <c r="I135" s="337"/>
      <c r="J135" s="183">
        <v>6349.03</v>
      </c>
      <c r="K135" s="183">
        <v>6950.16</v>
      </c>
      <c r="M135" s="364">
        <f t="shared" si="34"/>
        <v>11.883692828520106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573">
        <f>'[2]Sch C'!D137</f>
        <v>189451.37</v>
      </c>
      <c r="D136" s="573">
        <f>'[2]Sch C'!F137</f>
        <v>0</v>
      </c>
      <c r="E136" s="171">
        <f t="shared" si="36"/>
        <v>189451.37</v>
      </c>
      <c r="F136" s="573"/>
      <c r="G136" s="171">
        <f>E136+F136</f>
        <v>189451.37</v>
      </c>
      <c r="H136" s="172">
        <f>IF($G$208=0,0,G136/$G$208)</f>
        <v>7.7252546050912627E-2</v>
      </c>
      <c r="I136" s="337"/>
      <c r="J136" s="183">
        <v>9089.66</v>
      </c>
      <c r="K136" s="183">
        <v>9767.69</v>
      </c>
      <c r="M136" s="364">
        <f t="shared" si="34"/>
        <v>13.089081801851595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573">
        <f>'[2]Sch C'!D138</f>
        <v>399727.81</v>
      </c>
      <c r="D137" s="573">
        <f>'[2]Sch C'!F138</f>
        <v>0</v>
      </c>
      <c r="E137" s="171">
        <f t="shared" si="36"/>
        <v>399727.81</v>
      </c>
      <c r="F137" s="573"/>
      <c r="G137" s="171">
        <f>E137+F137</f>
        <v>399727.81</v>
      </c>
      <c r="H137" s="172">
        <f>IF($G$208=0,0,G137/$G$208)</f>
        <v>0.16299692659839543</v>
      </c>
      <c r="I137" s="337"/>
      <c r="J137" s="183">
        <v>35860.629999999997</v>
      </c>
      <c r="K137" s="183">
        <v>38414.300000000003</v>
      </c>
      <c r="M137" s="364">
        <f t="shared" si="34"/>
        <v>27.616955230067706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573">
        <f>'[2]Sch C'!D139</f>
        <v>0</v>
      </c>
      <c r="D138" s="573">
        <f>'[2]Sch C'!F139</f>
        <v>0</v>
      </c>
      <c r="E138" s="171">
        <f t="shared" si="36"/>
        <v>0</v>
      </c>
      <c r="F138" s="573"/>
      <c r="G138" s="171">
        <f>E138+F138</f>
        <v>0</v>
      </c>
      <c r="H138" s="172">
        <f>IF($G$208=0,0,G138/$G$208)</f>
        <v>0</v>
      </c>
      <c r="I138" s="337"/>
      <c r="J138" s="183">
        <v>0</v>
      </c>
      <c r="K138" s="183">
        <v>0</v>
      </c>
      <c r="M138" s="364">
        <f t="shared" si="34"/>
        <v>0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7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573">
        <f>'[2]Sch C'!D141</f>
        <v>0</v>
      </c>
      <c r="D140" s="573">
        <f>'[2]Sch C'!F141</f>
        <v>22532.188012709183</v>
      </c>
      <c r="E140" s="171">
        <f t="shared" ref="E140:E143" si="37">C140+D140</f>
        <v>22532.188012709183</v>
      </c>
      <c r="F140" s="573"/>
      <c r="G140" s="171">
        <f>E140+F140</f>
        <v>22532.188012709183</v>
      </c>
      <c r="H140" s="172">
        <f>IF($G$208=0,0,G140/$G$208)</f>
        <v>9.1879456563425093E-3</v>
      </c>
      <c r="I140" s="337"/>
      <c r="J140" s="168"/>
      <c r="K140" s="168"/>
      <c r="M140" s="364">
        <f t="shared" si="34"/>
        <v>1.5567353884696133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573">
        <f>'[2]Sch C'!D142</f>
        <v>0</v>
      </c>
      <c r="D141" s="573">
        <f>'[2]Sch C'!F142</f>
        <v>24817.677158841372</v>
      </c>
      <c r="E141" s="171">
        <f t="shared" si="37"/>
        <v>24817.677158841372</v>
      </c>
      <c r="F141" s="573"/>
      <c r="G141" s="171">
        <f>E141+F141</f>
        <v>24817.677158841372</v>
      </c>
      <c r="H141" s="172">
        <f>IF($G$208=0,0,G141/$G$208)</f>
        <v>1.0119899093841738E-2</v>
      </c>
      <c r="I141" s="337"/>
      <c r="J141" s="168"/>
      <c r="K141" s="168"/>
      <c r="M141" s="364">
        <f t="shared" si="34"/>
        <v>1.7146384661352336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573">
        <f>'[2]Sch C'!D143</f>
        <v>0</v>
      </c>
      <c r="D142" s="573">
        <f>'[2]Sch C'!F143</f>
        <v>52363.388768266406</v>
      </c>
      <c r="E142" s="171">
        <f t="shared" si="37"/>
        <v>52363.388768266406</v>
      </c>
      <c r="F142" s="573"/>
      <c r="G142" s="171">
        <f>E142+F142</f>
        <v>52363.388768266406</v>
      </c>
      <c r="H142" s="172">
        <f>IF($G$208=0,0,G142/$G$208)</f>
        <v>2.1352208232658026E-2</v>
      </c>
      <c r="I142" s="337"/>
      <c r="J142" s="168"/>
      <c r="K142" s="168"/>
      <c r="M142" s="364">
        <f t="shared" si="34"/>
        <v>3.6177552002394919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573">
        <f>'[2]Sch C'!D144</f>
        <v>0</v>
      </c>
      <c r="D143" s="573">
        <f>'[2]Sch C'!F144</f>
        <v>0</v>
      </c>
      <c r="E143" s="171">
        <f t="shared" si="37"/>
        <v>0</v>
      </c>
      <c r="F143" s="573"/>
      <c r="G143" s="171">
        <f>E143+F143</f>
        <v>0</v>
      </c>
      <c r="H143" s="172">
        <f>IF($G$208=0,0,G143/$G$208)</f>
        <v>0</v>
      </c>
      <c r="I143" s="337"/>
      <c r="J143" s="168"/>
      <c r="K143" s="168"/>
      <c r="M143" s="364">
        <f t="shared" si="34"/>
        <v>0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7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573">
        <f>'[2]Sch C'!D146</f>
        <v>12000</v>
      </c>
      <c r="D145" s="573">
        <f>'[2]Sch C'!F146</f>
        <v>0</v>
      </c>
      <c r="E145" s="171">
        <f t="shared" ref="E145:E153" si="38">C145+D145</f>
        <v>12000</v>
      </c>
      <c r="F145" s="573"/>
      <c r="G145" s="171">
        <f t="shared" ref="G145:G153" si="39">E145+F145</f>
        <v>12000</v>
      </c>
      <c r="H145" s="172">
        <f t="shared" ref="H145:H153" si="40">IF($G$208=0,0,G145/$G$208)</f>
        <v>4.8932375237558407E-3</v>
      </c>
      <c r="I145" s="337"/>
      <c r="J145" s="183">
        <v>0</v>
      </c>
      <c r="K145" s="183">
        <v>0</v>
      </c>
      <c r="M145" s="364">
        <f t="shared" si="34"/>
        <v>0.82907282022937678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573">
        <f>'[2]Sch C'!D147</f>
        <v>0</v>
      </c>
      <c r="D146" s="573">
        <f>'[2]Sch C'!F147</f>
        <v>0</v>
      </c>
      <c r="E146" s="171">
        <f t="shared" si="38"/>
        <v>0</v>
      </c>
      <c r="F146" s="573"/>
      <c r="G146" s="171">
        <f t="shared" si="39"/>
        <v>0</v>
      </c>
      <c r="H146" s="172">
        <f t="shared" si="40"/>
        <v>0</v>
      </c>
      <c r="I146" s="337"/>
      <c r="J146" s="183">
        <v>0</v>
      </c>
      <c r="K146" s="183">
        <v>0</v>
      </c>
      <c r="M146" s="364">
        <f t="shared" si="34"/>
        <v>0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573">
        <f>'[2]Sch C'!D148</f>
        <v>0</v>
      </c>
      <c r="D147" s="573">
        <f>'[2]Sch C'!F148</f>
        <v>0</v>
      </c>
      <c r="E147" s="171">
        <f t="shared" si="38"/>
        <v>0</v>
      </c>
      <c r="F147" s="573"/>
      <c r="G147" s="171">
        <f t="shared" si="39"/>
        <v>0</v>
      </c>
      <c r="H147" s="172">
        <f t="shared" si="40"/>
        <v>0</v>
      </c>
      <c r="I147" s="337"/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573">
        <f>'[2]Sch C'!D149</f>
        <v>0</v>
      </c>
      <c r="D148" s="573">
        <f>'[2]Sch C'!F149</f>
        <v>0</v>
      </c>
      <c r="E148" s="171">
        <f t="shared" si="38"/>
        <v>0</v>
      </c>
      <c r="F148" s="573"/>
      <c r="G148" s="171">
        <f t="shared" si="39"/>
        <v>0</v>
      </c>
      <c r="H148" s="172">
        <f t="shared" si="40"/>
        <v>0</v>
      </c>
      <c r="I148" s="337"/>
      <c r="J148" s="183">
        <v>0</v>
      </c>
      <c r="K148" s="183">
        <v>0</v>
      </c>
      <c r="M148" s="364">
        <f t="shared" si="34"/>
        <v>0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573">
        <f>'[2]Sch C'!D150</f>
        <v>4795</v>
      </c>
      <c r="D149" s="573">
        <f>'[2]Sch C'!F150</f>
        <v>0</v>
      </c>
      <c r="E149" s="171">
        <f t="shared" si="38"/>
        <v>4795</v>
      </c>
      <c r="F149" s="573"/>
      <c r="G149" s="171">
        <f t="shared" si="39"/>
        <v>4795</v>
      </c>
      <c r="H149" s="172">
        <f t="shared" si="40"/>
        <v>1.9552561605341049E-3</v>
      </c>
      <c r="I149" s="337"/>
      <c r="J149" s="183">
        <v>0</v>
      </c>
      <c r="K149" s="183">
        <v>0</v>
      </c>
      <c r="M149" s="364">
        <f t="shared" si="34"/>
        <v>0.33128368108332185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573">
        <f>'[2]Sch C'!D151</f>
        <v>80788.61</v>
      </c>
      <c r="D150" s="573">
        <f>'[2]Sch C'!F151</f>
        <v>0</v>
      </c>
      <c r="E150" s="171">
        <f t="shared" si="38"/>
        <v>80788.61</v>
      </c>
      <c r="F150" s="573">
        <v>-2465</v>
      </c>
      <c r="G150" s="171">
        <f t="shared" si="39"/>
        <v>78323.61</v>
      </c>
      <c r="H150" s="172">
        <f t="shared" si="40"/>
        <v>3.193800228733485E-2</v>
      </c>
      <c r="I150" s="337"/>
      <c r="J150" s="168"/>
      <c r="K150" s="168"/>
      <c r="M150" s="364">
        <f t="shared" si="34"/>
        <v>5.4113313527704854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573">
        <f>'[2]Sch C'!D152</f>
        <v>318.7</v>
      </c>
      <c r="D151" s="573">
        <f>'[2]Sch C'!F152</f>
        <v>0</v>
      </c>
      <c r="E151" s="171">
        <f t="shared" si="38"/>
        <v>318.7</v>
      </c>
      <c r="F151" s="573"/>
      <c r="G151" s="171">
        <f t="shared" si="39"/>
        <v>318.7</v>
      </c>
      <c r="H151" s="172">
        <f t="shared" si="40"/>
        <v>1.2995623323508221E-4</v>
      </c>
      <c r="I151" s="337"/>
      <c r="J151" s="168"/>
      <c r="K151" s="168"/>
      <c r="M151" s="364">
        <f t="shared" si="34"/>
        <v>2.2018792317258531E-2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573">
        <f>'[2]Sch C'!D153</f>
        <v>2941.82</v>
      </c>
      <c r="D152" s="573">
        <f>'[2]Sch C'!F153</f>
        <v>0</v>
      </c>
      <c r="E152" s="171">
        <f t="shared" si="38"/>
        <v>2941.82</v>
      </c>
      <c r="F152" s="573"/>
      <c r="G152" s="171">
        <f t="shared" si="39"/>
        <v>2941.82</v>
      </c>
      <c r="H152" s="172">
        <f t="shared" si="40"/>
        <v>1.1995853343446173E-3</v>
      </c>
      <c r="I152" s="337"/>
      <c r="J152" s="168"/>
      <c r="K152" s="168"/>
      <c r="M152" s="364">
        <f t="shared" si="34"/>
        <v>0.20324858366726545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573">
        <f>'[2]Sch C'!D154</f>
        <v>0</v>
      </c>
      <c r="D153" s="573">
        <f>'[2]Sch C'!F154</f>
        <v>0</v>
      </c>
      <c r="E153" s="171">
        <f t="shared" si="38"/>
        <v>0</v>
      </c>
      <c r="F153" s="573"/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572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573">
        <f>'[2]Sch C'!D156</f>
        <v>0</v>
      </c>
      <c r="D155" s="573">
        <f>'[2]Sch C'!F156</f>
        <v>0</v>
      </c>
      <c r="E155" s="171">
        <f t="shared" ref="E155:E160" si="41">C155+D155</f>
        <v>0</v>
      </c>
      <c r="F155" s="573"/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573">
        <f>'[2]Sch C'!D157</f>
        <v>5080</v>
      </c>
      <c r="D156" s="573">
        <f>'[2]Sch C'!F157</f>
        <v>0</v>
      </c>
      <c r="E156" s="171">
        <f t="shared" si="41"/>
        <v>5080</v>
      </c>
      <c r="F156" s="573"/>
      <c r="G156" s="171">
        <f t="shared" si="42"/>
        <v>5080</v>
      </c>
      <c r="H156" s="172">
        <f t="shared" si="43"/>
        <v>2.0714705517233061E-3</v>
      </c>
      <c r="I156" s="337"/>
      <c r="J156" s="168"/>
      <c r="K156" s="168"/>
      <c r="M156" s="364">
        <f t="shared" si="34"/>
        <v>0.35097416056376951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573">
        <f>'[2]Sch C'!D158</f>
        <v>300</v>
      </c>
      <c r="D157" s="573">
        <f>'[2]Sch C'!F158</f>
        <v>0</v>
      </c>
      <c r="E157" s="171">
        <f t="shared" si="41"/>
        <v>300</v>
      </c>
      <c r="F157" s="573"/>
      <c r="G157" s="171">
        <f t="shared" si="42"/>
        <v>300</v>
      </c>
      <c r="H157" s="172">
        <f t="shared" si="43"/>
        <v>1.2233093809389602E-4</v>
      </c>
      <c r="I157" s="337"/>
      <c r="J157" s="168"/>
      <c r="K157" s="168"/>
      <c r="M157" s="364">
        <f t="shared" si="34"/>
        <v>2.072682050573442E-2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573">
        <f>'[2]Sch C'!D159</f>
        <v>0</v>
      </c>
      <c r="D158" s="573">
        <f>'[2]Sch C'!F159</f>
        <v>0</v>
      </c>
      <c r="E158" s="171">
        <f t="shared" si="41"/>
        <v>0</v>
      </c>
      <c r="F158" s="573"/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573">
        <f>'[2]Sch C'!D160</f>
        <v>0</v>
      </c>
      <c r="D159" s="573">
        <f>'[2]Sch C'!F160</f>
        <v>0</v>
      </c>
      <c r="E159" s="171">
        <f t="shared" si="41"/>
        <v>0</v>
      </c>
      <c r="F159" s="573"/>
      <c r="G159" s="171">
        <f t="shared" si="42"/>
        <v>0</v>
      </c>
      <c r="H159" s="172">
        <f>IF($G$208=0,0,G159/$G$208)</f>
        <v>0</v>
      </c>
      <c r="I159" s="337"/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573">
        <f>'[2]Sch C'!D161</f>
        <v>0</v>
      </c>
      <c r="D160" s="573">
        <f>'[2]Sch C'!F161</f>
        <v>0</v>
      </c>
      <c r="E160" s="171">
        <f t="shared" si="41"/>
        <v>0</v>
      </c>
      <c r="F160" s="573"/>
      <c r="G160" s="171">
        <f t="shared" si="42"/>
        <v>0</v>
      </c>
      <c r="H160" s="172">
        <f t="shared" si="43"/>
        <v>0</v>
      </c>
      <c r="I160" s="337"/>
      <c r="J160" s="168"/>
      <c r="K160" s="168"/>
      <c r="M160" s="364">
        <f t="shared" si="34"/>
        <v>0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573">
        <f>SUM(C123:C160)</f>
        <v>925264.47</v>
      </c>
      <c r="D161" s="573">
        <f>SUM(D123:D160)</f>
        <v>106933.57903677586</v>
      </c>
      <c r="E161" s="171">
        <f t="shared" ref="E161" si="44">SUM(E123:E160)</f>
        <v>1032198.0490367757</v>
      </c>
      <c r="F161" s="573">
        <f>SUM(F123:F160)</f>
        <v>-2465</v>
      </c>
      <c r="G161" s="171">
        <f>SUM(G123:G160)</f>
        <v>1029733.0490367757</v>
      </c>
      <c r="H161" s="172">
        <f t="shared" si="43"/>
        <v>0.419894032916522</v>
      </c>
      <c r="I161" s="337"/>
      <c r="J161" s="168"/>
      <c r="K161" s="168"/>
      <c r="M161" s="364">
        <f>G161/G$228</f>
        <v>71.143640254026238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337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7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573">
        <f>'[2]Sch C'!D175</f>
        <v>0</v>
      </c>
      <c r="D164" s="573">
        <f>'[2]Sch C'!F175</f>
        <v>0</v>
      </c>
      <c r="E164" s="171">
        <f t="shared" ref="E164:E196" si="45">C164+D164</f>
        <v>0</v>
      </c>
      <c r="F164" s="573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573">
        <f>'[2]Sch C'!D176</f>
        <v>0</v>
      </c>
      <c r="D165" s="573">
        <f>'[2]Sch C'!F176</f>
        <v>0</v>
      </c>
      <c r="E165" s="171">
        <f t="shared" si="45"/>
        <v>0</v>
      </c>
      <c r="F165" s="573"/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573">
        <f>'[2]Sch C'!D177</f>
        <v>0</v>
      </c>
      <c r="D166" s="573">
        <f>'[2]Sch C'!F177</f>
        <v>0</v>
      </c>
      <c r="E166" s="171">
        <f t="shared" si="45"/>
        <v>0</v>
      </c>
      <c r="F166" s="573"/>
      <c r="G166" s="171">
        <f t="shared" si="46"/>
        <v>0</v>
      </c>
      <c r="H166" s="172">
        <f t="shared" si="47"/>
        <v>0</v>
      </c>
      <c r="I166" s="343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573">
        <f>'[2]Sch C'!D178</f>
        <v>0</v>
      </c>
      <c r="D167" s="573">
        <f>'[2]Sch C'!F178</f>
        <v>0</v>
      </c>
      <c r="E167" s="171">
        <f t="shared" si="45"/>
        <v>0</v>
      </c>
      <c r="F167" s="573"/>
      <c r="G167" s="171">
        <f t="shared" si="46"/>
        <v>0</v>
      </c>
      <c r="H167" s="172">
        <f t="shared" si="47"/>
        <v>0</v>
      </c>
      <c r="I167" s="344"/>
      <c r="J167" s="222"/>
      <c r="K167" s="222"/>
      <c r="L167" s="218"/>
      <c r="M167" s="364">
        <f t="shared" si="48"/>
        <v>0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573">
        <f>'[2]Sch C'!D179</f>
        <v>0</v>
      </c>
      <c r="D168" s="573">
        <f>'[2]Sch C'!F179</f>
        <v>0</v>
      </c>
      <c r="E168" s="171">
        <f t="shared" si="45"/>
        <v>0</v>
      </c>
      <c r="F168" s="573"/>
      <c r="G168" s="171">
        <f t="shared" si="46"/>
        <v>0</v>
      </c>
      <c r="H168" s="172">
        <f t="shared" si="47"/>
        <v>0</v>
      </c>
      <c r="I168" s="343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573">
        <f>'[2]Sch C'!D180</f>
        <v>0</v>
      </c>
      <c r="D169" s="573">
        <f>'[2]Sch C'!F180</f>
        <v>0</v>
      </c>
      <c r="E169" s="171">
        <f t="shared" si="45"/>
        <v>0</v>
      </c>
      <c r="F169" s="573"/>
      <c r="G169" s="171">
        <f t="shared" si="46"/>
        <v>0</v>
      </c>
      <c r="H169" s="172">
        <f t="shared" si="47"/>
        <v>0</v>
      </c>
      <c r="I169" s="344"/>
      <c r="J169" s="222"/>
      <c r="K169" s="222"/>
      <c r="L169" s="218"/>
      <c r="M169" s="364">
        <f t="shared" si="48"/>
        <v>0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573">
        <f>'[2]Sch C'!D181</f>
        <v>0</v>
      </c>
      <c r="D170" s="573">
        <f>'[2]Sch C'!F181</f>
        <v>0</v>
      </c>
      <c r="E170" s="171">
        <f t="shared" si="45"/>
        <v>0</v>
      </c>
      <c r="F170" s="573"/>
      <c r="G170" s="171">
        <f t="shared" si="46"/>
        <v>0</v>
      </c>
      <c r="H170" s="172">
        <f t="shared" si="47"/>
        <v>0</v>
      </c>
      <c r="I170" s="343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573">
        <f>'[2]Sch C'!D182</f>
        <v>0</v>
      </c>
      <c r="D171" s="573">
        <f>'[2]Sch C'!F182</f>
        <v>0</v>
      </c>
      <c r="E171" s="171">
        <f t="shared" si="45"/>
        <v>0</v>
      </c>
      <c r="F171" s="573"/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573">
        <f>'[2]Sch C'!D183</f>
        <v>0</v>
      </c>
      <c r="D172" s="573">
        <f>'[2]Sch C'!F183</f>
        <v>0</v>
      </c>
      <c r="E172" s="171">
        <f t="shared" si="45"/>
        <v>0</v>
      </c>
      <c r="F172" s="573"/>
      <c r="G172" s="171">
        <f t="shared" si="46"/>
        <v>0</v>
      </c>
      <c r="H172" s="172">
        <f t="shared" si="47"/>
        <v>0</v>
      </c>
      <c r="I172" s="343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573">
        <f>'[2]Sch C'!D184</f>
        <v>0</v>
      </c>
      <c r="D173" s="573">
        <f>'[2]Sch C'!F184</f>
        <v>0</v>
      </c>
      <c r="E173" s="171">
        <f t="shared" si="45"/>
        <v>0</v>
      </c>
      <c r="F173" s="573"/>
      <c r="G173" s="171">
        <f t="shared" si="46"/>
        <v>0</v>
      </c>
      <c r="H173" s="172">
        <f t="shared" si="47"/>
        <v>0</v>
      </c>
      <c r="I173" s="344"/>
      <c r="J173" s="222"/>
      <c r="K173" s="222"/>
      <c r="L173" s="218"/>
      <c r="M173" s="364">
        <f t="shared" si="48"/>
        <v>0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573">
        <f>'[2]Sch C'!D185</f>
        <v>0</v>
      </c>
      <c r="D174" s="573">
        <f>'[2]Sch C'!F185</f>
        <v>0</v>
      </c>
      <c r="E174" s="171">
        <f t="shared" si="45"/>
        <v>0</v>
      </c>
      <c r="F174" s="573"/>
      <c r="G174" s="171">
        <f t="shared" si="46"/>
        <v>0</v>
      </c>
      <c r="H174" s="172">
        <f t="shared" si="47"/>
        <v>0</v>
      </c>
      <c r="I174" s="343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573">
        <f>'[2]Sch C'!D186</f>
        <v>0</v>
      </c>
      <c r="D175" s="573">
        <f>'[2]Sch C'!F186</f>
        <v>0</v>
      </c>
      <c r="E175" s="171">
        <f t="shared" si="45"/>
        <v>0</v>
      </c>
      <c r="F175" s="573"/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573">
        <f>'[2]Sch C'!D187</f>
        <v>0</v>
      </c>
      <c r="D176" s="573">
        <f>'[2]Sch C'!F187</f>
        <v>0</v>
      </c>
      <c r="E176" s="171">
        <f t="shared" si="45"/>
        <v>0</v>
      </c>
      <c r="F176" s="573"/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573">
        <f>'[2]Sch C'!D188</f>
        <v>0</v>
      </c>
      <c r="D177" s="573">
        <f>'[2]Sch C'!F188</f>
        <v>0</v>
      </c>
      <c r="E177" s="171">
        <f t="shared" si="45"/>
        <v>0</v>
      </c>
      <c r="F177" s="573"/>
      <c r="G177" s="171">
        <f t="shared" si="46"/>
        <v>0</v>
      </c>
      <c r="H177" s="172">
        <f t="shared" si="47"/>
        <v>0</v>
      </c>
      <c r="I177" s="337"/>
      <c r="J177" s="223"/>
      <c r="K177" s="218"/>
      <c r="L177" s="220"/>
      <c r="M177" s="364">
        <f t="shared" si="48"/>
        <v>0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573">
        <f>'[2]Sch C'!D189</f>
        <v>0</v>
      </c>
      <c r="D178" s="573">
        <f>'[2]Sch C'!F189</f>
        <v>0</v>
      </c>
      <c r="E178" s="171">
        <f t="shared" si="45"/>
        <v>0</v>
      </c>
      <c r="F178" s="573"/>
      <c r="G178" s="171">
        <f t="shared" si="46"/>
        <v>0</v>
      </c>
      <c r="H178" s="172">
        <f t="shared" si="47"/>
        <v>0</v>
      </c>
      <c r="I178" s="337"/>
      <c r="J178" s="223"/>
      <c r="K178" s="218"/>
      <c r="L178" s="220"/>
      <c r="M178" s="364">
        <f t="shared" si="48"/>
        <v>0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573">
        <f>'[2]Sch C'!D190</f>
        <v>0</v>
      </c>
      <c r="D179" s="573">
        <f>'[2]Sch C'!F190</f>
        <v>0</v>
      </c>
      <c r="E179" s="171">
        <f t="shared" si="45"/>
        <v>0</v>
      </c>
      <c r="F179" s="573"/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573">
        <f>'[2]Sch C'!D191</f>
        <v>0</v>
      </c>
      <c r="D180" s="573">
        <f>'[2]Sch C'!F191</f>
        <v>0</v>
      </c>
      <c r="E180" s="171">
        <f t="shared" si="45"/>
        <v>0</v>
      </c>
      <c r="F180" s="573"/>
      <c r="G180" s="171">
        <f t="shared" si="46"/>
        <v>0</v>
      </c>
      <c r="H180" s="172">
        <f t="shared" si="47"/>
        <v>0</v>
      </c>
      <c r="I180" s="337"/>
      <c r="J180" s="223"/>
      <c r="K180" s="218"/>
      <c r="L180" s="220"/>
      <c r="M180" s="364">
        <f t="shared" si="48"/>
        <v>0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573">
        <f>'[2]Sch C'!D192</f>
        <v>0</v>
      </c>
      <c r="D181" s="573">
        <f>'[2]Sch C'!F192</f>
        <v>0</v>
      </c>
      <c r="E181" s="171">
        <f t="shared" si="45"/>
        <v>0</v>
      </c>
      <c r="F181" s="573"/>
      <c r="G181" s="171">
        <f t="shared" si="46"/>
        <v>0</v>
      </c>
      <c r="H181" s="172">
        <f t="shared" si="47"/>
        <v>0</v>
      </c>
      <c r="I181" s="337"/>
      <c r="J181" s="223"/>
      <c r="K181" s="218"/>
      <c r="L181" s="220"/>
      <c r="M181" s="364">
        <f t="shared" si="48"/>
        <v>0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573">
        <f>'[2]Sch C'!D193</f>
        <v>724.43</v>
      </c>
      <c r="D182" s="573">
        <f>'[2]Sch C'!F193</f>
        <v>0</v>
      </c>
      <c r="E182" s="171">
        <f t="shared" si="45"/>
        <v>724.43</v>
      </c>
      <c r="F182" s="573"/>
      <c r="G182" s="171">
        <f t="shared" si="46"/>
        <v>724.43</v>
      </c>
      <c r="H182" s="172">
        <f t="shared" si="47"/>
        <v>2.9540067161120363E-4</v>
      </c>
      <c r="I182" s="337"/>
      <c r="J182" s="223"/>
      <c r="K182" s="218"/>
      <c r="L182" s="220"/>
      <c r="M182" s="364">
        <f t="shared" si="48"/>
        <v>5.0050435263230615E-2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573">
        <f>'[2]Sch C'!D194</f>
        <v>58081.19</v>
      </c>
      <c r="D183" s="573">
        <f>'[2]Sch C'!F194</f>
        <v>0</v>
      </c>
      <c r="E183" s="171">
        <f t="shared" si="45"/>
        <v>58081.19</v>
      </c>
      <c r="F183" s="573">
        <v>-29041</v>
      </c>
      <c r="G183" s="171">
        <f t="shared" si="46"/>
        <v>29040.190000000002</v>
      </c>
      <c r="H183" s="172">
        <f t="shared" si="47"/>
        <v>1.1841712283749929E-2</v>
      </c>
      <c r="I183" s="337"/>
      <c r="J183" s="223"/>
      <c r="K183" s="218"/>
      <c r="M183" s="364">
        <f t="shared" si="48"/>
        <v>2.0063693519414123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573">
        <f>'[2]Sch C'!D195</f>
        <v>0</v>
      </c>
      <c r="D184" s="573">
        <f>'[2]Sch C'!F195</f>
        <v>0</v>
      </c>
      <c r="E184" s="171">
        <f t="shared" si="45"/>
        <v>0</v>
      </c>
      <c r="F184" s="573"/>
      <c r="G184" s="171">
        <f t="shared" si="46"/>
        <v>0</v>
      </c>
      <c r="H184" s="172">
        <f t="shared" si="47"/>
        <v>0</v>
      </c>
      <c r="I184" s="337"/>
      <c r="J184" s="223"/>
      <c r="K184" s="218"/>
      <c r="M184" s="364">
        <f t="shared" si="48"/>
        <v>0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573">
        <f>'[2]Sch C'!D196</f>
        <v>0</v>
      </c>
      <c r="D185" s="573">
        <f>'[2]Sch C'!F196</f>
        <v>0</v>
      </c>
      <c r="E185" s="171">
        <f t="shared" si="45"/>
        <v>0</v>
      </c>
      <c r="F185" s="573"/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573">
        <f>'[2]Sch C'!D197</f>
        <v>36220.76</v>
      </c>
      <c r="D186" s="573">
        <f>'[2]Sch C'!F197</f>
        <v>0</v>
      </c>
      <c r="E186" s="171">
        <f t="shared" si="45"/>
        <v>36220.76</v>
      </c>
      <c r="F186" s="573">
        <v>-18111</v>
      </c>
      <c r="G186" s="171">
        <f t="shared" si="46"/>
        <v>18109.760000000002</v>
      </c>
      <c r="H186" s="172">
        <f t="shared" si="47"/>
        <v>7.3846130981843824E-3</v>
      </c>
      <c r="I186" s="337"/>
      <c r="J186" s="223"/>
      <c r="K186" s="218"/>
      <c r="M186" s="364">
        <f t="shared" si="48"/>
        <v>1.2511924830730967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573">
        <f>'[2]Sch C'!D198</f>
        <v>13741.62</v>
      </c>
      <c r="D187" s="573">
        <f>'[2]Sch C'!F198</f>
        <v>0</v>
      </c>
      <c r="E187" s="171">
        <f t="shared" si="45"/>
        <v>13741.62</v>
      </c>
      <c r="F187" s="573"/>
      <c r="G187" s="171">
        <f t="shared" si="46"/>
        <v>13741.62</v>
      </c>
      <c r="H187" s="172">
        <f t="shared" si="47"/>
        <v>5.6034175517661452E-3</v>
      </c>
      <c r="I187" s="337"/>
      <c r="J187" s="223"/>
      <c r="K187" s="218"/>
      <c r="M187" s="364">
        <f t="shared" si="48"/>
        <v>0.9494003039933675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573">
        <f>'[2]Sch C'!D199</f>
        <v>0</v>
      </c>
      <c r="D188" s="573">
        <f>'[2]Sch C'!F199</f>
        <v>0</v>
      </c>
      <c r="E188" s="171">
        <f t="shared" si="45"/>
        <v>0</v>
      </c>
      <c r="F188" s="573"/>
      <c r="G188" s="171">
        <f t="shared" si="46"/>
        <v>0</v>
      </c>
      <c r="H188" s="172">
        <f t="shared" si="47"/>
        <v>0</v>
      </c>
      <c r="I188" s="337"/>
      <c r="J188" s="223"/>
      <c r="K188" s="218"/>
      <c r="M188" s="364">
        <f t="shared" si="48"/>
        <v>0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573">
        <f>'[2]Sch C'!D200</f>
        <v>114</v>
      </c>
      <c r="D189" s="573">
        <f>'[2]Sch C'!F200</f>
        <v>0</v>
      </c>
      <c r="E189" s="171">
        <f t="shared" si="45"/>
        <v>114</v>
      </c>
      <c r="F189" s="573"/>
      <c r="G189" s="171">
        <f t="shared" si="46"/>
        <v>114</v>
      </c>
      <c r="H189" s="172">
        <f t="shared" si="47"/>
        <v>4.648575647568049E-5</v>
      </c>
      <c r="I189" s="337"/>
      <c r="J189" s="223"/>
      <c r="K189" s="218"/>
      <c r="M189" s="364">
        <f t="shared" si="48"/>
        <v>7.8761917921790804E-3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573">
        <f>'[2]Sch C'!D201</f>
        <v>0</v>
      </c>
      <c r="D190" s="573">
        <f>'[2]Sch C'!F201</f>
        <v>0</v>
      </c>
      <c r="E190" s="171">
        <f t="shared" si="45"/>
        <v>0</v>
      </c>
      <c r="F190" s="573"/>
      <c r="G190" s="171">
        <f t="shared" si="46"/>
        <v>0</v>
      </c>
      <c r="H190" s="172">
        <f t="shared" si="47"/>
        <v>0</v>
      </c>
      <c r="I190" s="337"/>
      <c r="J190" s="223"/>
      <c r="K190" s="218"/>
      <c r="M190" s="364">
        <f t="shared" si="48"/>
        <v>0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573">
        <f>'[2]Sch C'!D202</f>
        <v>0</v>
      </c>
      <c r="D191" s="573">
        <f>'[2]Sch C'!F202</f>
        <v>0</v>
      </c>
      <c r="E191" s="171">
        <f t="shared" si="45"/>
        <v>0</v>
      </c>
      <c r="F191" s="573"/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573">
        <f>'[2]Sch C'!D203</f>
        <v>0</v>
      </c>
      <c r="D192" s="573">
        <f>'[2]Sch C'!F203</f>
        <v>0</v>
      </c>
      <c r="E192" s="171">
        <f t="shared" si="45"/>
        <v>0</v>
      </c>
      <c r="F192" s="573"/>
      <c r="G192" s="171">
        <f t="shared" si="46"/>
        <v>0</v>
      </c>
      <c r="H192" s="172">
        <f t="shared" si="47"/>
        <v>0</v>
      </c>
      <c r="I192" s="337"/>
      <c r="J192" s="223"/>
      <c r="K192" s="218"/>
      <c r="M192" s="364">
        <f t="shared" si="48"/>
        <v>0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573">
        <f>'[2]Sch C'!D204</f>
        <v>0</v>
      </c>
      <c r="D193" s="573">
        <f>'[2]Sch C'!F204</f>
        <v>0</v>
      </c>
      <c r="E193" s="171">
        <f t="shared" si="45"/>
        <v>0</v>
      </c>
      <c r="F193" s="573"/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573">
        <f>'[2]Sch C'!D205</f>
        <v>63250.03</v>
      </c>
      <c r="D194" s="573">
        <f>'[2]Sch C'!F205</f>
        <v>0</v>
      </c>
      <c r="E194" s="171">
        <f t="shared" si="45"/>
        <v>63250.03</v>
      </c>
      <c r="F194" s="573"/>
      <c r="G194" s="171">
        <f t="shared" si="46"/>
        <v>63250.03</v>
      </c>
      <c r="H194" s="172">
        <f t="shared" si="47"/>
        <v>2.5791451681223553E-2</v>
      </c>
      <c r="I194" s="337"/>
      <c r="J194" s="223"/>
      <c r="K194" s="218"/>
      <c r="M194" s="364">
        <f t="shared" si="48"/>
        <v>4.3699067293077238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573">
        <f>'[2]Sch C'!D206</f>
        <v>0</v>
      </c>
      <c r="D195" s="573">
        <f>'[2]Sch C'!F206</f>
        <v>0</v>
      </c>
      <c r="E195" s="171">
        <f t="shared" si="45"/>
        <v>0</v>
      </c>
      <c r="F195" s="573"/>
      <c r="G195" s="171">
        <f t="shared" si="46"/>
        <v>0</v>
      </c>
      <c r="H195" s="172">
        <f t="shared" si="47"/>
        <v>0</v>
      </c>
      <c r="I195" s="337"/>
      <c r="J195" s="223"/>
      <c r="K195" s="218"/>
      <c r="M195" s="364">
        <f t="shared" si="48"/>
        <v>0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573">
        <f>'[2]Sch C'!D207</f>
        <v>299</v>
      </c>
      <c r="D196" s="573">
        <f>'[2]Sch C'!F207</f>
        <v>0</v>
      </c>
      <c r="E196" s="171">
        <f t="shared" si="45"/>
        <v>299</v>
      </c>
      <c r="F196" s="573"/>
      <c r="G196" s="171">
        <f t="shared" si="46"/>
        <v>299</v>
      </c>
      <c r="H196" s="172">
        <f t="shared" si="47"/>
        <v>1.219231683002497E-4</v>
      </c>
      <c r="I196" s="337"/>
      <c r="J196" s="223"/>
      <c r="K196" s="218"/>
      <c r="M196" s="364">
        <f t="shared" si="48"/>
        <v>2.065773110404864E-2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573">
        <f>SUM(C164:C196)</f>
        <v>172431.03</v>
      </c>
      <c r="D197" s="573">
        <f>SUM(D164:D196)</f>
        <v>0</v>
      </c>
      <c r="E197" s="171">
        <f t="shared" ref="E197" si="49">SUM(E164:E196)</f>
        <v>172431.03</v>
      </c>
      <c r="F197" s="573">
        <f>SUM(F164:F196)</f>
        <v>-47152</v>
      </c>
      <c r="G197" s="171">
        <f>SUM(G164:G196)</f>
        <v>125279.03</v>
      </c>
      <c r="H197" s="172">
        <f>IF($G$208=0,0,G197/$G$208)</f>
        <v>5.1085004211311139E-2</v>
      </c>
      <c r="I197" s="337"/>
      <c r="J197" s="168"/>
      <c r="K197" s="168"/>
      <c r="M197" s="364">
        <f>G197/G$228</f>
        <v>8.6554532264750588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165"/>
      <c r="G198" s="165"/>
      <c r="H198" s="198"/>
      <c r="I198" s="341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1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573">
        <f>'[2]Sch C'!D211</f>
        <v>67532.240000000005</v>
      </c>
      <c r="D200" s="573">
        <f>'[2]Sch C'!F211</f>
        <v>0</v>
      </c>
      <c r="E200" s="171">
        <f t="shared" ref="E200:E205" si="50">C200+D200</f>
        <v>67532.240000000005</v>
      </c>
      <c r="F200" s="573"/>
      <c r="G200" s="171">
        <f t="shared" ref="G200:G205" si="51">E200+F200</f>
        <v>67532.240000000005</v>
      </c>
      <c r="H200" s="172">
        <f t="shared" ref="H200:H206" si="52">IF($G$208=0,0,G200/$G$208)</f>
        <v>2.7537607569273766E-2</v>
      </c>
      <c r="I200" s="337"/>
      <c r="J200" s="183">
        <v>3901.32</v>
      </c>
      <c r="K200" s="183">
        <v>4212.08</v>
      </c>
      <c r="M200" s="364">
        <f t="shared" ref="M200:M205" si="53">G200/G$228</f>
        <v>4.6657620561005944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573">
        <f>'[2]Sch C'!D212</f>
        <v>0</v>
      </c>
      <c r="D201" s="573">
        <f>'[2]Sch C'!F212</f>
        <v>8846.5622081983038</v>
      </c>
      <c r="E201" s="171">
        <f t="shared" si="50"/>
        <v>8846.5622081983038</v>
      </c>
      <c r="F201" s="573"/>
      <c r="G201" s="171">
        <f t="shared" si="51"/>
        <v>8846.5622081983038</v>
      </c>
      <c r="H201" s="172">
        <f t="shared" si="52"/>
        <v>3.6073608461163558E-3</v>
      </c>
      <c r="I201" s="337"/>
      <c r="J201" s="168"/>
      <c r="K201" s="168"/>
      <c r="M201" s="364">
        <f t="shared" si="53"/>
        <v>0.61120368994046592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573">
        <f>'[2]Sch C'!D213</f>
        <v>6463.75</v>
      </c>
      <c r="D202" s="573">
        <f>'[2]Sch C'!F213</f>
        <v>0</v>
      </c>
      <c r="E202" s="171">
        <f t="shared" si="50"/>
        <v>6463.75</v>
      </c>
      <c r="F202" s="573"/>
      <c r="G202" s="171">
        <f t="shared" si="51"/>
        <v>6463.75</v>
      </c>
      <c r="H202" s="172">
        <f t="shared" si="52"/>
        <v>2.6357220036814012E-3</v>
      </c>
      <c r="I202" s="337"/>
      <c r="J202" s="168"/>
      <c r="K202" s="168"/>
      <c r="M202" s="364">
        <f t="shared" si="53"/>
        <v>0.44657662014646954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573">
        <f>'[2]Sch C'!D214</f>
        <v>5636.25</v>
      </c>
      <c r="D203" s="573">
        <f>'[2]Sch C'!F214</f>
        <v>0</v>
      </c>
      <c r="E203" s="171">
        <f t="shared" si="50"/>
        <v>5636.25</v>
      </c>
      <c r="F203" s="573"/>
      <c r="G203" s="171">
        <f t="shared" si="51"/>
        <v>5636.25</v>
      </c>
      <c r="H203" s="172">
        <f t="shared" si="52"/>
        <v>2.2982924994390717E-3</v>
      </c>
      <c r="I203" s="337"/>
      <c r="J203" s="168"/>
      <c r="K203" s="168"/>
      <c r="M203" s="364">
        <f t="shared" si="53"/>
        <v>0.38940514025148543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573">
        <f>'[2]Sch C'!D215</f>
        <v>0</v>
      </c>
      <c r="D204" s="573">
        <f>'[2]Sch C'!F215</f>
        <v>0</v>
      </c>
      <c r="E204" s="171">
        <f t="shared" si="50"/>
        <v>0</v>
      </c>
      <c r="F204" s="573"/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573">
        <f>'[2]Sch C'!D216</f>
        <v>0</v>
      </c>
      <c r="D205" s="573">
        <f>'[2]Sch C'!F216</f>
        <v>0</v>
      </c>
      <c r="E205" s="171">
        <f t="shared" si="50"/>
        <v>0</v>
      </c>
      <c r="F205" s="573">
        <v>2495</v>
      </c>
      <c r="G205" s="171">
        <f t="shared" si="51"/>
        <v>2495</v>
      </c>
      <c r="H205" s="172">
        <f t="shared" si="52"/>
        <v>1.0173856351475686E-3</v>
      </c>
      <c r="I205" s="337"/>
      <c r="J205" s="168"/>
      <c r="K205" s="168"/>
      <c r="M205" s="364">
        <f t="shared" si="53"/>
        <v>0.17237805720602459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573">
        <f>SUM(C200:C205)</f>
        <v>79632.240000000005</v>
      </c>
      <c r="D206" s="573">
        <f>SUM(D200:D205)</f>
        <v>8846.5622081983038</v>
      </c>
      <c r="E206" s="171">
        <f t="shared" ref="E206" si="54">SUM(E200:E205)</f>
        <v>88478.802208198307</v>
      </c>
      <c r="F206" s="573">
        <f>SUM(F200:F205)</f>
        <v>2495</v>
      </c>
      <c r="G206" s="171">
        <f>SUM(G200:G205)</f>
        <v>90973.802208198307</v>
      </c>
      <c r="H206" s="172">
        <f t="shared" si="52"/>
        <v>3.7096368553658159E-2</v>
      </c>
      <c r="I206" s="337"/>
      <c r="J206" s="168"/>
      <c r="K206" s="168"/>
      <c r="M206" s="364">
        <f>G206/G$228</f>
        <v>6.2853255636450402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573">
        <f>SUM(C25:C206)/2</f>
        <v>2782061.1200000006</v>
      </c>
      <c r="D208" s="573">
        <f>SUM(D25:D206)/2</f>
        <v>-265591.02736357483</v>
      </c>
      <c r="E208" s="171">
        <f t="shared" ref="E208:F208" si="55">SUM(E25:E206)/2</f>
        <v>2516470.092636425</v>
      </c>
      <c r="F208" s="171">
        <f t="shared" si="55"/>
        <v>-64106</v>
      </c>
      <c r="G208" s="171">
        <f>SUM(G25:G206)/2</f>
        <v>2452364.092636425</v>
      </c>
      <c r="H208" s="172">
        <f>IF($G$208=0,0,G208/$G$208)</f>
        <v>1</v>
      </c>
      <c r="I208" s="337"/>
      <c r="J208" s="183">
        <f>SUM(J25:J200)</f>
        <v>84135.09</v>
      </c>
      <c r="K208" s="183">
        <f>SUM(K25:K200)</f>
        <v>90713.400000000009</v>
      </c>
      <c r="M208" s="364">
        <f>G208/G$228</f>
        <v>169.43236787594481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573">
        <f>'[2]Sch C'!D221</f>
        <v>2782061.12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573">
        <f>C208-C211</f>
        <v>0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619"/>
      <c r="D213" s="232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573">
        <f>C21-C208</f>
        <v>-262245.57000000076</v>
      </c>
      <c r="D215" s="573">
        <f>D21-D208</f>
        <v>265591.02736357483</v>
      </c>
      <c r="E215" s="171">
        <f t="shared" ref="E215:F215" si="56">E21-E208</f>
        <v>3345.4573635747656</v>
      </c>
      <c r="F215" s="171">
        <f t="shared" si="56"/>
        <v>64106</v>
      </c>
      <c r="G215" s="171">
        <f>G21-G208</f>
        <v>67451.457363574766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653">
        <f>'[2]Sch D'!C9</f>
        <v>12218</v>
      </c>
      <c r="D219" s="653"/>
      <c r="E219" s="235">
        <f t="shared" ref="E219:G227" si="57">C219+D219</f>
        <v>12218</v>
      </c>
      <c r="F219" s="234"/>
      <c r="G219" s="235">
        <f t="shared" si="57"/>
        <v>12218</v>
      </c>
      <c r="H219" s="172">
        <f t="shared" ref="H219:H228" si="58">IF($G$228=0,0,G219/$G$228)</f>
        <v>0.8441343097968772</v>
      </c>
      <c r="I219" s="337"/>
      <c r="J219" s="168"/>
      <c r="K219" s="168"/>
    </row>
    <row r="220" spans="1:14">
      <c r="A220" s="163"/>
      <c r="B220" s="170" t="s">
        <v>217</v>
      </c>
      <c r="C220" s="653">
        <f>'[2]Sch D'!D9</f>
        <v>0</v>
      </c>
      <c r="D220" s="653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7"/>
      <c r="J220" s="168"/>
      <c r="K220" s="168"/>
    </row>
    <row r="221" spans="1:14">
      <c r="A221" s="163"/>
      <c r="B221" s="170" t="s">
        <v>72</v>
      </c>
      <c r="C221" s="653">
        <f>'[2]Sch D'!E9</f>
        <v>958</v>
      </c>
      <c r="D221" s="653"/>
      <c r="E221" s="235">
        <f t="shared" si="59"/>
        <v>958</v>
      </c>
      <c r="F221" s="234"/>
      <c r="G221" s="235">
        <f t="shared" si="57"/>
        <v>958</v>
      </c>
      <c r="H221" s="172">
        <f t="shared" si="58"/>
        <v>6.6187646814978587E-2</v>
      </c>
      <c r="I221" s="337"/>
      <c r="J221" s="168"/>
      <c r="K221" s="168"/>
    </row>
    <row r="222" spans="1:14">
      <c r="A222" s="163"/>
      <c r="B222" s="202" t="s">
        <v>334</v>
      </c>
      <c r="C222" s="653">
        <f>'[2]Sch D'!F9</f>
        <v>0</v>
      </c>
      <c r="D222" s="653"/>
      <c r="E222" s="235">
        <f>C222+D222</f>
        <v>0</v>
      </c>
      <c r="F222" s="234"/>
      <c r="G222" s="235">
        <f>E222+F222</f>
        <v>0</v>
      </c>
      <c r="H222" s="172">
        <f t="shared" si="58"/>
        <v>0</v>
      </c>
      <c r="I222" s="337"/>
      <c r="J222" s="168"/>
      <c r="K222" s="168"/>
    </row>
    <row r="223" spans="1:14">
      <c r="A223" s="163"/>
      <c r="B223" s="170" t="s">
        <v>73</v>
      </c>
      <c r="C223" s="653">
        <f>'[2]Sch D'!G9</f>
        <v>0</v>
      </c>
      <c r="D223" s="653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7"/>
      <c r="J223" s="168"/>
      <c r="K223" s="168"/>
    </row>
    <row r="224" spans="1:14">
      <c r="A224" s="163"/>
      <c r="B224" s="170" t="s">
        <v>74</v>
      </c>
      <c r="C224" s="653">
        <f>'[2]Sch D'!H9</f>
        <v>294</v>
      </c>
      <c r="D224" s="653"/>
      <c r="E224" s="235">
        <f t="shared" si="59"/>
        <v>294</v>
      </c>
      <c r="F224" s="234"/>
      <c r="G224" s="235">
        <f t="shared" si="57"/>
        <v>294</v>
      </c>
      <c r="H224" s="172">
        <f t="shared" si="58"/>
        <v>2.0312284095619731E-2</v>
      </c>
      <c r="I224" s="337"/>
      <c r="J224" s="168"/>
      <c r="K224" s="168"/>
    </row>
    <row r="225" spans="1:11">
      <c r="A225" s="163"/>
      <c r="B225" s="170" t="s">
        <v>236</v>
      </c>
      <c r="C225" s="653">
        <f>'[2]Sch D'!I9</f>
        <v>1004</v>
      </c>
      <c r="D225" s="653"/>
      <c r="E225" s="235">
        <f t="shared" si="59"/>
        <v>1004</v>
      </c>
      <c r="F225" s="234"/>
      <c r="G225" s="235">
        <f t="shared" si="57"/>
        <v>1004</v>
      </c>
      <c r="H225" s="172">
        <f t="shared" si="58"/>
        <v>6.9365759292524531E-2</v>
      </c>
      <c r="I225" s="337"/>
      <c r="J225" s="168"/>
      <c r="K225" s="168"/>
    </row>
    <row r="226" spans="1:11">
      <c r="A226" s="163"/>
      <c r="B226" s="170" t="s">
        <v>235</v>
      </c>
      <c r="C226" s="653">
        <f>'[2]Sch D'!J9</f>
        <v>0</v>
      </c>
      <c r="D226" s="653"/>
      <c r="E226" s="235">
        <f>C226+D226</f>
        <v>0</v>
      </c>
      <c r="F226" s="234"/>
      <c r="G226" s="235">
        <f>E226+F226</f>
        <v>0</v>
      </c>
      <c r="H226" s="172">
        <f t="shared" si="58"/>
        <v>0</v>
      </c>
      <c r="I226" s="337"/>
      <c r="J226" s="168"/>
      <c r="K226" s="168"/>
    </row>
    <row r="227" spans="1:11">
      <c r="A227" s="163"/>
      <c r="B227" s="170" t="s">
        <v>179</v>
      </c>
      <c r="C227" s="653">
        <f>'[2]Sch D'!K9</f>
        <v>0</v>
      </c>
      <c r="D227" s="653"/>
      <c r="E227" s="235">
        <f t="shared" si="59"/>
        <v>0</v>
      </c>
      <c r="F227" s="234"/>
      <c r="G227" s="235">
        <f t="shared" si="57"/>
        <v>0</v>
      </c>
      <c r="H227" s="172">
        <f t="shared" si="58"/>
        <v>0</v>
      </c>
      <c r="I227" s="337"/>
      <c r="J227" s="168"/>
      <c r="K227" s="168"/>
    </row>
    <row r="228" spans="1:11" ht="13.5" thickBot="1">
      <c r="A228" s="163"/>
      <c r="B228" s="236" t="s">
        <v>75</v>
      </c>
      <c r="C228" s="653">
        <f>SUM(C219:C227)</f>
        <v>14474</v>
      </c>
      <c r="D228" s="653">
        <f>SUM(D219:D227)</f>
        <v>0</v>
      </c>
      <c r="E228" s="237">
        <f>SUM(E219:E227)</f>
        <v>14474</v>
      </c>
      <c r="F228" s="237">
        <f>SUM(F219:F227)</f>
        <v>0</v>
      </c>
      <c r="G228" s="237">
        <f>SUM(G219:G227)</f>
        <v>14474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620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619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654">
        <f>'[2]Sch D'!N22</f>
        <v>55</v>
      </c>
      <c r="D231" s="574"/>
      <c r="E231" s="235">
        <f>C231+D231</f>
        <v>55</v>
      </c>
      <c r="F231" s="235"/>
      <c r="G231" s="235">
        <f>E231+F231</f>
        <v>55</v>
      </c>
      <c r="H231" s="167"/>
      <c r="J231" s="168"/>
      <c r="K231" s="168"/>
    </row>
    <row r="232" spans="1:11">
      <c r="A232" s="163"/>
      <c r="B232" s="202" t="s">
        <v>290</v>
      </c>
      <c r="C232" s="654">
        <f>'[2]Sch D'!N24</f>
        <v>55</v>
      </c>
      <c r="D232" s="574"/>
      <c r="E232" s="235">
        <f>C232+D232</f>
        <v>55</v>
      </c>
      <c r="F232" s="235"/>
      <c r="G232" s="235">
        <f>E232+F232</f>
        <v>55</v>
      </c>
      <c r="H232" s="167"/>
      <c r="J232" s="168"/>
      <c r="K232" s="168"/>
    </row>
    <row r="233" spans="1:11">
      <c r="A233" s="163"/>
      <c r="B233" s="202" t="s">
        <v>76</v>
      </c>
      <c r="C233" s="654">
        <f>$C$4-$C$3+1</f>
        <v>365</v>
      </c>
      <c r="D233" s="489"/>
      <c r="E233" s="235">
        <f>C233+D233</f>
        <v>365</v>
      </c>
      <c r="F233" s="240"/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621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654">
        <f>'[2]Sch D'!N28</f>
        <v>20075</v>
      </c>
      <c r="D235" s="489"/>
      <c r="E235" s="234">
        <f>E231*E233</f>
        <v>20075</v>
      </c>
      <c r="F235" s="240"/>
      <c r="G235" s="234">
        <f>G231*G233</f>
        <v>20075</v>
      </c>
      <c r="H235" s="167"/>
      <c r="J235" s="168"/>
      <c r="K235" s="168"/>
    </row>
    <row r="236" spans="1:11" ht="26">
      <c r="A236" s="163"/>
      <c r="B236" s="244" t="s">
        <v>336</v>
      </c>
      <c r="C236" s="655">
        <f>'[2]Sch D'!N30</f>
        <v>0.72099626400996264</v>
      </c>
      <c r="D236" s="240"/>
      <c r="E236" s="245">
        <f>E228/E235</f>
        <v>0.72099626400996264</v>
      </c>
      <c r="F236" s="246"/>
      <c r="G236" s="245">
        <f>G228/G235</f>
        <v>0.72099626400996264</v>
      </c>
      <c r="H236" s="167"/>
      <c r="J236" s="168"/>
      <c r="K236" s="168"/>
    </row>
    <row r="237" spans="1:11" ht="26">
      <c r="A237" s="163"/>
      <c r="B237" s="244" t="s">
        <v>337</v>
      </c>
      <c r="C237" s="655">
        <f>'[2]Sch D'!N32</f>
        <v>0.60861768368617686</v>
      </c>
      <c r="D237" s="240"/>
      <c r="E237" s="245">
        <f>(E219+E220)/E235</f>
        <v>0.60861768368617686</v>
      </c>
      <c r="F237" s="246"/>
      <c r="G237" s="245">
        <f>(G219+G220)/G235</f>
        <v>0.60861768368617686</v>
      </c>
      <c r="H237" s="167"/>
      <c r="J237" s="168"/>
      <c r="K237" s="168"/>
    </row>
    <row r="238" spans="1:11" ht="26">
      <c r="A238" s="163"/>
      <c r="B238" s="244" t="s">
        <v>338</v>
      </c>
      <c r="C238" s="655">
        <f>'[2]Sch D'!N34</f>
        <v>0.8441343097968772</v>
      </c>
      <c r="D238" s="240"/>
      <c r="E238" s="245">
        <f>(E237/E236)</f>
        <v>0.8441343097968772</v>
      </c>
      <c r="F238" s="246"/>
      <c r="G238" s="245">
        <f>(G237/G236)</f>
        <v>0.8441343097968772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73">
        <f>'[2]Sch B'!C85</f>
        <v>127.10685483870968</v>
      </c>
    </row>
    <row r="242" spans="2:7">
      <c r="F242" s="142" t="s">
        <v>341</v>
      </c>
      <c r="G242" s="573">
        <f>'[2]Sch B'!E85</f>
        <v>153.74571428571429</v>
      </c>
    </row>
    <row r="243" spans="2:7">
      <c r="B243" s="465"/>
      <c r="F243" s="142" t="s">
        <v>342</v>
      </c>
      <c r="G243" s="573">
        <f>'[2]Sch B'!G85</f>
        <v>192.77376344086019</v>
      </c>
    </row>
    <row r="244" spans="2:7" ht="16.5">
      <c r="B244" s="556"/>
      <c r="F244" s="142" t="s">
        <v>343</v>
      </c>
      <c r="G244" s="573" t="str">
        <f>'[2]Sch B'!I85</f>
        <v/>
      </c>
    </row>
    <row r="245" spans="2:7" ht="16.5">
      <c r="B245" s="556"/>
      <c r="F245" s="142"/>
    </row>
  </sheetData>
  <customSheetViews>
    <customSheetView guid="{8B6AA640-12E9-11D5-ABB1-E7A21A3D4A14}" showGridLines="0" showRuler="0">
      <selection activeCell="B7" sqref="B7"/>
      <pageMargins left="0" right="0" top="0" bottom="1" header="0.5" footer="0.5"/>
      <printOptions horizontalCentered="1"/>
      <pageSetup scale="75" orientation="portrait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A16" sqref="A16"/>
      <pageMargins left="0" right="0" top="0" bottom="1" header="0.5" footer="0.5"/>
      <printOptions horizontalCentered="1"/>
      <pageSetup scale="75" orientation="portrait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" bottom="1" header="0.5" footer="0.5"/>
  <pageSetup scale="70" orientation="portrait" r:id="rId3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8">
    <tabColor rgb="FFE28CAB"/>
  </sheetPr>
  <dimension ref="A1:Q245"/>
  <sheetViews>
    <sheetView showGridLines="0" zoomScale="90" zoomScaleNormal="90" workbookViewId="0">
      <selection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478"/>
      <c r="E1" s="478"/>
      <c r="F1" s="478"/>
      <c r="G1" s="478"/>
      <c r="H1" s="478"/>
      <c r="I1" s="479"/>
    </row>
    <row r="2" spans="1:14" ht="23">
      <c r="B2" s="143" t="s">
        <v>189</v>
      </c>
      <c r="C2" s="247" t="s">
        <v>376</v>
      </c>
      <c r="D2" s="247"/>
      <c r="E2" s="144"/>
    </row>
    <row r="3" spans="1:14">
      <c r="A3" s="145"/>
      <c r="B3" s="140" t="s">
        <v>79</v>
      </c>
      <c r="C3" s="495">
        <v>41821</v>
      </c>
      <c r="D3" s="144"/>
      <c r="E3" s="147"/>
    </row>
    <row r="4" spans="1:14">
      <c r="A4" s="145"/>
      <c r="B4" s="148" t="s">
        <v>80</v>
      </c>
      <c r="C4" s="495">
        <v>42185</v>
      </c>
      <c r="D4" s="144"/>
      <c r="E4" s="149"/>
      <c r="G4" s="150"/>
    </row>
    <row r="5" spans="1:14">
      <c r="A5" s="145"/>
      <c r="B5" s="148"/>
      <c r="C5" s="151"/>
      <c r="D5" s="144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144"/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490">
        <f>'[17]Sch B'!E10</f>
        <v>2355839</v>
      </c>
      <c r="D11" s="490">
        <f>'[17]Sch B'!G10</f>
        <v>0</v>
      </c>
      <c r="E11" s="171">
        <f>C11+D11</f>
        <v>2355839</v>
      </c>
      <c r="F11" s="171"/>
      <c r="G11" s="171">
        <f t="shared" ref="G11:G20" si="0">E11+F11</f>
        <v>2355839</v>
      </c>
      <c r="H11" s="172">
        <f t="shared" ref="H11:H21" si="1">IF($G$21=0,0,G11/$G$21)</f>
        <v>0.50294615076862514</v>
      </c>
      <c r="I11" s="337"/>
      <c r="J11" s="368" t="s">
        <v>344</v>
      </c>
      <c r="K11" s="369">
        <f>G21</f>
        <v>4684078</v>
      </c>
      <c r="M11" s="359">
        <f>IFERROR(G11/G219,0)</f>
        <v>171.28391740584559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490">
        <f>'[17]Sch B'!E15</f>
        <v>0</v>
      </c>
      <c r="D12" s="490">
        <f>'[17]Sch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7"/>
      <c r="J12" s="370" t="s">
        <v>345</v>
      </c>
      <c r="K12" s="371">
        <f>G208</f>
        <v>4672724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490">
        <f>'[17]Sch B'!E21</f>
        <v>949513</v>
      </c>
      <c r="D13" s="490">
        <f>'[17]Sch B'!G21</f>
        <v>0</v>
      </c>
      <c r="E13" s="171">
        <f t="shared" si="2"/>
        <v>949513</v>
      </c>
      <c r="F13" s="171"/>
      <c r="G13" s="171">
        <f t="shared" si="0"/>
        <v>949513</v>
      </c>
      <c r="H13" s="172">
        <f t="shared" si="1"/>
        <v>0.20271075759199569</v>
      </c>
      <c r="I13" s="337"/>
      <c r="J13" s="370" t="s">
        <v>346</v>
      </c>
      <c r="K13" s="371">
        <f>G228</f>
        <v>20550</v>
      </c>
      <c r="M13" s="359">
        <f t="shared" si="3"/>
        <v>634.27722110888442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490">
        <f>'[17]Sch B'!E27</f>
        <v>740656</v>
      </c>
      <c r="D14" s="490">
        <f>'[17]Sch B'!G27</f>
        <v>0</v>
      </c>
      <c r="E14" s="171">
        <f t="shared" si="2"/>
        <v>740656</v>
      </c>
      <c r="F14" s="175"/>
      <c r="G14" s="175">
        <f>E14+F14</f>
        <v>740656</v>
      </c>
      <c r="H14" s="176">
        <f t="shared" si="1"/>
        <v>0.15812204664397134</v>
      </c>
      <c r="I14" s="338"/>
      <c r="J14" s="370" t="s">
        <v>347</v>
      </c>
      <c r="K14" s="371">
        <f>G231</f>
        <v>93</v>
      </c>
      <c r="M14" s="359">
        <f t="shared" si="3"/>
        <v>436.96519174041299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490">
        <f>'[17]Sch B'!E32</f>
        <v>0</v>
      </c>
      <c r="D15" s="490">
        <f>'[17]Sch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7"/>
      <c r="J15" s="370" t="s">
        <v>348</v>
      </c>
      <c r="K15" s="371">
        <f>G235</f>
        <v>33945</v>
      </c>
      <c r="M15" s="359">
        <f t="shared" si="3"/>
        <v>0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490">
        <f>'[17]Sch B'!E37</f>
        <v>480001</v>
      </c>
      <c r="D16" s="490">
        <f>'[17]Sch B'!G37</f>
        <v>0</v>
      </c>
      <c r="E16" s="171">
        <f t="shared" si="2"/>
        <v>480001</v>
      </c>
      <c r="F16" s="171"/>
      <c r="G16" s="171">
        <f t="shared" si="0"/>
        <v>480001</v>
      </c>
      <c r="H16" s="172">
        <f t="shared" si="1"/>
        <v>0.10247502283266846</v>
      </c>
      <c r="I16" s="337"/>
      <c r="J16" s="372"/>
      <c r="K16" s="371"/>
      <c r="M16" s="359">
        <f t="shared" si="3"/>
        <v>179.30556593201345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490">
        <f>'[17]Sch B'!E42</f>
        <v>0</v>
      </c>
      <c r="D17" s="490">
        <f>'[17]Sch B'!G42</f>
        <v>0</v>
      </c>
      <c r="E17" s="171">
        <f t="shared" si="2"/>
        <v>0</v>
      </c>
      <c r="F17" s="171"/>
      <c r="G17" s="171">
        <f>E17+F17</f>
        <v>0</v>
      </c>
      <c r="H17" s="172">
        <f t="shared" si="1"/>
        <v>0</v>
      </c>
      <c r="I17" s="337"/>
      <c r="J17" s="370" t="s">
        <v>156</v>
      </c>
      <c r="K17" s="371">
        <f>J208</f>
        <v>96936.75</v>
      </c>
      <c r="M17" s="359">
        <f t="shared" si="3"/>
        <v>0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490">
        <f>'[17]Sch B'!E47</f>
        <v>152962</v>
      </c>
      <c r="D18" s="490">
        <f>'[17]Sch B'!G47</f>
        <v>0</v>
      </c>
      <c r="E18" s="171">
        <f t="shared" si="2"/>
        <v>152962</v>
      </c>
      <c r="F18" s="171"/>
      <c r="G18" s="171">
        <f>E18+F18</f>
        <v>152962</v>
      </c>
      <c r="H18" s="172">
        <f t="shared" si="1"/>
        <v>3.2655732889161966E-2</v>
      </c>
      <c r="I18" s="337"/>
      <c r="J18" s="373" t="s">
        <v>252</v>
      </c>
      <c r="K18" s="374">
        <f>K208</f>
        <v>103095.75</v>
      </c>
      <c r="M18" s="359">
        <f t="shared" si="3"/>
        <v>171.09843400447429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490">
        <f>'[17]Sch B'!E52</f>
        <v>0</v>
      </c>
      <c r="D19" s="490">
        <f>'[17]Sch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337"/>
      <c r="J19" s="168"/>
      <c r="K19" s="168"/>
      <c r="M19" s="359">
        <f t="shared" si="3"/>
        <v>0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490">
        <f>'[17]Sch B'!E67</f>
        <v>5107</v>
      </c>
      <c r="D20" s="490">
        <f>'[17]Sch B'!G67</f>
        <v>0</v>
      </c>
      <c r="E20" s="171">
        <f t="shared" si="2"/>
        <v>5107</v>
      </c>
      <c r="F20" s="171"/>
      <c r="G20" s="171">
        <f t="shared" si="0"/>
        <v>5107</v>
      </c>
      <c r="H20" s="172">
        <f t="shared" si="1"/>
        <v>1.0902892735774254E-3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490">
        <f>SUM(C11:C20)</f>
        <v>4684078</v>
      </c>
      <c r="D21" s="490">
        <f>SUM(D11:D20)</f>
        <v>0</v>
      </c>
      <c r="E21" s="171">
        <f>SUM(E11:E20)</f>
        <v>4684078</v>
      </c>
      <c r="F21" s="171">
        <f>SUM(F11:F20)</f>
        <v>0</v>
      </c>
      <c r="G21" s="171">
        <f>SUM(G11:G20)</f>
        <v>4684078</v>
      </c>
      <c r="H21" s="172">
        <f t="shared" si="1"/>
        <v>1</v>
      </c>
      <c r="I21" s="337"/>
      <c r="J21" s="168"/>
      <c r="K21" s="168"/>
      <c r="M21" s="359">
        <f>IFERROR(G21/G228,0)</f>
        <v>227.93566909975669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414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4">
      <c r="A24" s="181" t="s">
        <v>161</v>
      </c>
      <c r="B24" s="148" t="s">
        <v>12</v>
      </c>
      <c r="M24" s="363"/>
      <c r="N24" s="363"/>
    </row>
    <row r="25" spans="1:14" s="167" customFormat="1">
      <c r="A25" s="169" t="s">
        <v>83</v>
      </c>
      <c r="B25" s="170" t="s">
        <v>14</v>
      </c>
      <c r="C25" s="490">
        <f>'[17]Sch C'!D10</f>
        <v>115664</v>
      </c>
      <c r="D25" s="490">
        <f>'[17]Sch C'!F10</f>
        <v>7525</v>
      </c>
      <c r="E25" s="171">
        <f t="shared" ref="E25:E60" si="4">C25+D25</f>
        <v>123189</v>
      </c>
      <c r="F25" s="573"/>
      <c r="G25" s="182">
        <f>E25+F25</f>
        <v>123189</v>
      </c>
      <c r="H25" s="172">
        <f>IF($G$208=0,0,G25/$G$208)</f>
        <v>2.6363423133915036E-2</v>
      </c>
      <c r="I25" s="337"/>
      <c r="J25" s="183">
        <v>2080</v>
      </c>
      <c r="K25" s="183">
        <v>2080</v>
      </c>
      <c r="M25" s="359">
        <f>G25/G$228</f>
        <v>5.9945985401459856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490">
        <f>'[17]Sch C'!D11</f>
        <v>0</v>
      </c>
      <c r="D26" s="490">
        <f>'[17]Sch C'!F11</f>
        <v>0</v>
      </c>
      <c r="E26" s="171">
        <f t="shared" si="4"/>
        <v>0</v>
      </c>
      <c r="F26" s="573"/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490">
        <f>'[17]Sch C'!D12</f>
        <v>158085</v>
      </c>
      <c r="D27" s="490">
        <f>'[17]Sch C'!F12</f>
        <v>-380</v>
      </c>
      <c r="E27" s="171">
        <f t="shared" si="4"/>
        <v>157705</v>
      </c>
      <c r="F27" s="573"/>
      <c r="G27" s="171">
        <f t="shared" si="5"/>
        <v>157705</v>
      </c>
      <c r="H27" s="172">
        <f t="shared" si="6"/>
        <v>3.3750120914481575E-2</v>
      </c>
      <c r="I27" s="337"/>
      <c r="J27" s="185">
        <v>6081</v>
      </c>
      <c r="K27" s="185">
        <v>6477</v>
      </c>
      <c r="M27" s="359">
        <f t="shared" si="7"/>
        <v>7.6742092457420927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490">
        <f>'[17]Sch C'!D13</f>
        <v>441066</v>
      </c>
      <c r="D28" s="490">
        <f>'[17]Sch C'!F13</f>
        <v>-401852</v>
      </c>
      <c r="E28" s="171">
        <f t="shared" si="4"/>
        <v>39214</v>
      </c>
      <c r="F28" s="573"/>
      <c r="G28" s="171">
        <f t="shared" si="5"/>
        <v>39214</v>
      </c>
      <c r="H28" s="172">
        <f t="shared" si="6"/>
        <v>8.3921070450555177E-3</v>
      </c>
      <c r="I28" s="337"/>
      <c r="J28" s="168"/>
      <c r="K28" s="168"/>
      <c r="M28" s="359">
        <f t="shared" si="7"/>
        <v>1.9082238442822383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490">
        <f>'[17]Sch C'!D14</f>
        <v>0</v>
      </c>
      <c r="D29" s="490">
        <f>'[17]Sch C'!F14</f>
        <v>0</v>
      </c>
      <c r="E29" s="171">
        <f t="shared" si="4"/>
        <v>0</v>
      </c>
      <c r="F29" s="573"/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490">
        <f>'[17]Sch C'!D15</f>
        <v>0</v>
      </c>
      <c r="D30" s="490">
        <f>'[17]Sch C'!F15</f>
        <v>0</v>
      </c>
      <c r="E30" s="171">
        <f t="shared" si="4"/>
        <v>0</v>
      </c>
      <c r="F30" s="573"/>
      <c r="G30" s="171">
        <f t="shared" si="5"/>
        <v>0</v>
      </c>
      <c r="H30" s="172">
        <f t="shared" si="6"/>
        <v>0</v>
      </c>
      <c r="I30" s="337"/>
      <c r="J30" s="168"/>
      <c r="K30" s="168"/>
      <c r="M30" s="359">
        <f t="shared" si="7"/>
        <v>0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490">
        <f>'[17]Sch C'!D16</f>
        <v>236347</v>
      </c>
      <c r="D31" s="490">
        <f>'[17]Sch C'!F16</f>
        <v>125105</v>
      </c>
      <c r="E31" s="171">
        <f t="shared" si="4"/>
        <v>361452</v>
      </c>
      <c r="F31" s="573"/>
      <c r="G31" s="171">
        <f t="shared" si="5"/>
        <v>361452</v>
      </c>
      <c r="H31" s="172">
        <f t="shared" si="6"/>
        <v>7.7353595033646333E-2</v>
      </c>
      <c r="I31" s="337"/>
      <c r="J31" s="168"/>
      <c r="K31" s="168"/>
      <c r="M31" s="359">
        <f t="shared" si="7"/>
        <v>17.588905109489051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490">
        <f>'[17]Sch C'!D17</f>
        <v>0</v>
      </c>
      <c r="D32" s="490">
        <f>'[17]Sch C'!F17</f>
        <v>0</v>
      </c>
      <c r="E32" s="171">
        <f t="shared" si="4"/>
        <v>0</v>
      </c>
      <c r="F32" s="573"/>
      <c r="G32" s="171">
        <f t="shared" si="5"/>
        <v>0</v>
      </c>
      <c r="H32" s="172">
        <f t="shared" si="6"/>
        <v>0</v>
      </c>
      <c r="I32" s="337"/>
      <c r="J32" s="168"/>
      <c r="K32" s="168"/>
      <c r="M32" s="359">
        <f t="shared" si="7"/>
        <v>0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490">
        <f>'[17]Sch C'!D18</f>
        <v>11180</v>
      </c>
      <c r="D33" s="490">
        <f>'[17]Sch C'!F18</f>
        <v>0</v>
      </c>
      <c r="E33" s="171">
        <f t="shared" si="4"/>
        <v>11180</v>
      </c>
      <c r="F33" s="573"/>
      <c r="G33" s="171">
        <f t="shared" si="5"/>
        <v>11180</v>
      </c>
      <c r="H33" s="172">
        <f t="shared" si="6"/>
        <v>2.3926086796481026E-3</v>
      </c>
      <c r="I33" s="337"/>
      <c r="J33" s="168"/>
      <c r="K33" s="168"/>
      <c r="M33" s="359">
        <f t="shared" si="7"/>
        <v>0.54403892944038934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490">
        <f>'[17]Sch C'!D19</f>
        <v>12036</v>
      </c>
      <c r="D34" s="490">
        <f>'[17]Sch C'!F19</f>
        <v>-1513</v>
      </c>
      <c r="E34" s="171">
        <f t="shared" si="4"/>
        <v>10523</v>
      </c>
      <c r="F34" s="573"/>
      <c r="G34" s="171">
        <f t="shared" si="5"/>
        <v>10523</v>
      </c>
      <c r="H34" s="172">
        <f t="shared" si="6"/>
        <v>2.2520054683306781E-3</v>
      </c>
      <c r="I34" s="337"/>
      <c r="J34" s="168"/>
      <c r="K34" s="168"/>
      <c r="M34" s="359">
        <f t="shared" si="7"/>
        <v>0.51206812652068123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490">
        <f>'[17]Sch C'!D20</f>
        <v>15175</v>
      </c>
      <c r="D35" s="490">
        <f>'[17]Sch C'!F20</f>
        <v>0</v>
      </c>
      <c r="E35" s="171">
        <f t="shared" si="4"/>
        <v>15175</v>
      </c>
      <c r="F35" s="573"/>
      <c r="G35" s="171">
        <f t="shared" si="5"/>
        <v>15175</v>
      </c>
      <c r="H35" s="172">
        <f t="shared" si="6"/>
        <v>3.2475703679481177E-3</v>
      </c>
      <c r="I35" s="337"/>
      <c r="J35" s="168"/>
      <c r="K35" s="168"/>
      <c r="M35" s="359">
        <f t="shared" si="7"/>
        <v>0.73844282238442827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490">
        <f>'[17]Sch C'!D21</f>
        <v>10514</v>
      </c>
      <c r="D36" s="490">
        <f>'[17]Sch C'!F21</f>
        <v>0</v>
      </c>
      <c r="E36" s="171">
        <f t="shared" si="4"/>
        <v>10514</v>
      </c>
      <c r="F36" s="573"/>
      <c r="G36" s="171">
        <f t="shared" si="5"/>
        <v>10514</v>
      </c>
      <c r="H36" s="172">
        <f t="shared" si="6"/>
        <v>2.2500793969427685E-3</v>
      </c>
      <c r="I36" s="337"/>
      <c r="J36" s="168"/>
      <c r="K36" s="168"/>
      <c r="M36" s="359">
        <f t="shared" si="7"/>
        <v>0.51163017031630176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490">
        <f>'[17]Sch C'!D22</f>
        <v>0</v>
      </c>
      <c r="D37" s="490">
        <f>'[17]Sch C'!F22</f>
        <v>0</v>
      </c>
      <c r="E37" s="171">
        <f t="shared" si="4"/>
        <v>0</v>
      </c>
      <c r="F37" s="573"/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490">
        <f>'[17]Sch C'!D23</f>
        <v>12200</v>
      </c>
      <c r="D38" s="490">
        <f>'[17]Sch C'!F23</f>
        <v>0</v>
      </c>
      <c r="E38" s="171">
        <f t="shared" si="4"/>
        <v>12200</v>
      </c>
      <c r="F38" s="573"/>
      <c r="G38" s="171">
        <f t="shared" si="5"/>
        <v>12200</v>
      </c>
      <c r="H38" s="172">
        <f t="shared" si="6"/>
        <v>2.6108967702778937E-3</v>
      </c>
      <c r="I38" s="337"/>
      <c r="J38" s="168"/>
      <c r="K38" s="168"/>
      <c r="M38" s="359">
        <f t="shared" si="7"/>
        <v>0.59367396593673971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490">
        <f>'[17]Sch C'!D24</f>
        <v>43890</v>
      </c>
      <c r="D39" s="490">
        <f>'[17]Sch C'!F24</f>
        <v>-10200</v>
      </c>
      <c r="E39" s="171">
        <f t="shared" si="4"/>
        <v>33690</v>
      </c>
      <c r="F39" s="573"/>
      <c r="G39" s="171">
        <f t="shared" si="5"/>
        <v>33690</v>
      </c>
      <c r="H39" s="172">
        <f t="shared" si="6"/>
        <v>7.2099272287428065E-3</v>
      </c>
      <c r="I39" s="337"/>
      <c r="J39" s="168"/>
      <c r="K39" s="168"/>
      <c r="M39" s="359">
        <f t="shared" si="7"/>
        <v>1.6394160583941606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490">
        <f>'[17]Sch C'!D25</f>
        <v>0</v>
      </c>
      <c r="D40" s="490">
        <f>'[17]Sch C'!F25</f>
        <v>0</v>
      </c>
      <c r="E40" s="171">
        <f t="shared" si="4"/>
        <v>0</v>
      </c>
      <c r="F40" s="573"/>
      <c r="G40" s="171">
        <f t="shared" si="5"/>
        <v>0</v>
      </c>
      <c r="H40" s="172">
        <f t="shared" si="6"/>
        <v>0</v>
      </c>
      <c r="I40" s="337"/>
      <c r="J40" s="168"/>
      <c r="K40" s="168"/>
      <c r="M40" s="359">
        <f t="shared" si="7"/>
        <v>0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490">
        <f>'[17]Sch C'!D26</f>
        <v>265626</v>
      </c>
      <c r="D41" s="490">
        <f>'[17]Sch C'!F26</f>
        <v>0</v>
      </c>
      <c r="E41" s="171">
        <f t="shared" si="4"/>
        <v>265626</v>
      </c>
      <c r="F41" s="573"/>
      <c r="G41" s="171">
        <f t="shared" si="5"/>
        <v>265626</v>
      </c>
      <c r="H41" s="172">
        <f t="shared" si="6"/>
        <v>5.684607094277342E-2</v>
      </c>
      <c r="I41" s="337"/>
      <c r="J41" s="168"/>
      <c r="K41" s="168"/>
      <c r="M41" s="359">
        <f t="shared" si="7"/>
        <v>12.925839416058395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490">
        <f>'[17]Sch C'!D27</f>
        <v>0</v>
      </c>
      <c r="D42" s="490">
        <f>'[17]Sch C'!F27</f>
        <v>0</v>
      </c>
      <c r="E42" s="171">
        <f t="shared" si="4"/>
        <v>0</v>
      </c>
      <c r="F42" s="573"/>
      <c r="G42" s="171">
        <f t="shared" si="5"/>
        <v>0</v>
      </c>
      <c r="H42" s="172">
        <f t="shared" si="6"/>
        <v>0</v>
      </c>
      <c r="I42" s="337"/>
      <c r="J42" s="168"/>
      <c r="K42" s="168"/>
      <c r="M42" s="359">
        <f t="shared" si="7"/>
        <v>0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490">
        <f>'[17]Sch C'!D28</f>
        <v>0</v>
      </c>
      <c r="D43" s="490">
        <f>'[17]Sch C'!F28</f>
        <v>0</v>
      </c>
      <c r="E43" s="171">
        <f t="shared" si="4"/>
        <v>0</v>
      </c>
      <c r="F43" s="573"/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490">
        <f>'[17]Sch C'!D29</f>
        <v>67602</v>
      </c>
      <c r="D44" s="490">
        <f>'[17]Sch C'!F29</f>
        <v>-67602</v>
      </c>
      <c r="E44" s="171">
        <f t="shared" si="4"/>
        <v>0</v>
      </c>
      <c r="F44" s="573"/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490">
        <f>'[17]Sch C'!D30</f>
        <v>0</v>
      </c>
      <c r="D45" s="490">
        <f>'[17]Sch C'!F30</f>
        <v>0</v>
      </c>
      <c r="E45" s="171">
        <f t="shared" si="4"/>
        <v>0</v>
      </c>
      <c r="F45" s="573"/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490">
        <f>'[17]Sch C'!D31</f>
        <v>56351</v>
      </c>
      <c r="D46" s="490">
        <f>'[17]Sch C'!F31</f>
        <v>0</v>
      </c>
      <c r="E46" s="171">
        <f t="shared" si="4"/>
        <v>56351</v>
      </c>
      <c r="F46" s="573"/>
      <c r="G46" s="171">
        <f t="shared" si="5"/>
        <v>56351</v>
      </c>
      <c r="H46" s="172">
        <f t="shared" si="6"/>
        <v>1.2059560975567998E-2</v>
      </c>
      <c r="I46" s="337"/>
      <c r="J46" s="168"/>
      <c r="K46" s="168"/>
      <c r="M46" s="359">
        <f t="shared" si="7"/>
        <v>2.7421411192214111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490">
        <f>'[17]Sch C'!D32</f>
        <v>81600</v>
      </c>
      <c r="D47" s="490">
        <f>'[17]Sch C'!F32</f>
        <v>-24480</v>
      </c>
      <c r="E47" s="171">
        <f t="shared" si="4"/>
        <v>57120</v>
      </c>
      <c r="F47" s="573"/>
      <c r="G47" s="171">
        <f t="shared" si="5"/>
        <v>57120</v>
      </c>
      <c r="H47" s="172">
        <f t="shared" si="6"/>
        <v>1.2224133075268302E-2</v>
      </c>
      <c r="I47" s="337"/>
      <c r="J47" s="168"/>
      <c r="K47" s="168"/>
      <c r="M47" s="359">
        <f t="shared" si="7"/>
        <v>2.7795620437956203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490">
        <f>'[17]Sch C'!D33</f>
        <v>0</v>
      </c>
      <c r="D48" s="490">
        <f>'[17]Sch C'!F33</f>
        <v>0</v>
      </c>
      <c r="E48" s="171">
        <f t="shared" si="4"/>
        <v>0</v>
      </c>
      <c r="F48" s="573"/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490">
        <f>'[17]Sch C'!D34</f>
        <v>0</v>
      </c>
      <c r="D49" s="490">
        <f>'[17]Sch C'!F34</f>
        <v>0</v>
      </c>
      <c r="E49" s="171">
        <f t="shared" si="4"/>
        <v>0</v>
      </c>
      <c r="F49" s="573"/>
      <c r="G49" s="171">
        <f t="shared" si="5"/>
        <v>0</v>
      </c>
      <c r="H49" s="172">
        <f t="shared" si="6"/>
        <v>0</v>
      </c>
      <c r="I49" s="337"/>
      <c r="J49" s="168"/>
      <c r="K49" s="168"/>
      <c r="M49" s="359">
        <f t="shared" si="7"/>
        <v>0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490">
        <f>'[17]Sch C'!D35</f>
        <v>132</v>
      </c>
      <c r="D50" s="490">
        <f>'[17]Sch C'!F35</f>
        <v>-132</v>
      </c>
      <c r="E50" s="171">
        <f t="shared" si="4"/>
        <v>0</v>
      </c>
      <c r="F50" s="573"/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490">
        <f>'[17]Sch C'!D36</f>
        <v>0</v>
      </c>
      <c r="D51" s="490">
        <f>'[17]Sch C'!F36</f>
        <v>0</v>
      </c>
      <c r="E51" s="171">
        <f t="shared" si="4"/>
        <v>0</v>
      </c>
      <c r="F51" s="573"/>
      <c r="G51" s="171">
        <f t="shared" si="5"/>
        <v>0</v>
      </c>
      <c r="H51" s="172">
        <f t="shared" si="6"/>
        <v>0</v>
      </c>
      <c r="I51" s="337"/>
      <c r="J51" s="183">
        <v>0</v>
      </c>
      <c r="K51" s="183">
        <v>0</v>
      </c>
      <c r="M51" s="359">
        <f t="shared" si="7"/>
        <v>0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490">
        <f>'[17]Sch C'!D37</f>
        <v>0</v>
      </c>
      <c r="D52" s="490">
        <f>'[17]Sch C'!F37</f>
        <v>0</v>
      </c>
      <c r="E52" s="171">
        <f t="shared" si="4"/>
        <v>0</v>
      </c>
      <c r="F52" s="573"/>
      <c r="G52" s="171">
        <f t="shared" si="5"/>
        <v>0</v>
      </c>
      <c r="H52" s="172">
        <f t="shared" si="6"/>
        <v>0</v>
      </c>
      <c r="I52" s="337"/>
      <c r="J52" s="168"/>
      <c r="K52" s="168"/>
      <c r="M52" s="359">
        <f t="shared" si="7"/>
        <v>0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490">
        <f>'[17]Sch C'!D38</f>
        <v>0</v>
      </c>
      <c r="D53" s="490">
        <f>'[17]Sch C'!F38</f>
        <v>0</v>
      </c>
      <c r="E53" s="171">
        <f t="shared" si="4"/>
        <v>0</v>
      </c>
      <c r="F53" s="573"/>
      <c r="G53" s="171">
        <f t="shared" si="5"/>
        <v>0</v>
      </c>
      <c r="H53" s="172">
        <f t="shared" si="6"/>
        <v>0</v>
      </c>
      <c r="I53" s="337"/>
      <c r="J53" s="168"/>
      <c r="K53" s="168"/>
      <c r="M53" s="359">
        <f t="shared" si="7"/>
        <v>0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490">
        <f>'[17]Sch C'!D39</f>
        <v>6059</v>
      </c>
      <c r="D54" s="490">
        <f>'[17]Sch C'!F39</f>
        <v>0</v>
      </c>
      <c r="E54" s="171">
        <f t="shared" si="4"/>
        <v>6059</v>
      </c>
      <c r="F54" s="573"/>
      <c r="G54" s="171">
        <f t="shared" si="5"/>
        <v>6059</v>
      </c>
      <c r="H54" s="172">
        <f t="shared" si="6"/>
        <v>1.2966740599273572E-3</v>
      </c>
      <c r="I54" s="337"/>
      <c r="J54" s="168"/>
      <c r="K54" s="168"/>
      <c r="M54" s="359">
        <f t="shared" si="7"/>
        <v>0.29484184914841849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490">
        <f>'[17]Sch C'!D40</f>
        <v>9066</v>
      </c>
      <c r="D55" s="490">
        <f>'[17]Sch C'!F40</f>
        <v>0</v>
      </c>
      <c r="E55" s="171">
        <f t="shared" si="4"/>
        <v>9066</v>
      </c>
      <c r="F55" s="573"/>
      <c r="G55" s="171">
        <f t="shared" si="5"/>
        <v>9066</v>
      </c>
      <c r="H55" s="172">
        <f t="shared" si="6"/>
        <v>1.940195911421261E-3</v>
      </c>
      <c r="I55" s="337"/>
      <c r="J55" s="168"/>
      <c r="K55" s="168"/>
      <c r="M55" s="359">
        <f t="shared" si="7"/>
        <v>0.44116788321167882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490">
        <f>'[17]Sch C'!D41</f>
        <v>8891</v>
      </c>
      <c r="D56" s="490">
        <f>'[17]Sch C'!F41</f>
        <v>0</v>
      </c>
      <c r="E56" s="171">
        <f t="shared" si="4"/>
        <v>8891</v>
      </c>
      <c r="F56" s="573"/>
      <c r="G56" s="171">
        <f t="shared" si="5"/>
        <v>8891</v>
      </c>
      <c r="H56" s="172">
        <f t="shared" si="6"/>
        <v>1.9027445233230124E-3</v>
      </c>
      <c r="I56" s="337"/>
      <c r="J56" s="168"/>
      <c r="K56" s="168"/>
      <c r="M56" s="359">
        <f t="shared" si="7"/>
        <v>0.43265206812652068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490">
        <f>'[17]Sch C'!D42</f>
        <v>7534</v>
      </c>
      <c r="D57" s="490">
        <f>'[17]Sch C'!F42</f>
        <v>0</v>
      </c>
      <c r="E57" s="171">
        <f t="shared" si="4"/>
        <v>7534</v>
      </c>
      <c r="F57" s="573"/>
      <c r="G57" s="171">
        <f t="shared" si="5"/>
        <v>7534</v>
      </c>
      <c r="H57" s="172">
        <f t="shared" si="6"/>
        <v>1.6123357596125943E-3</v>
      </c>
      <c r="I57" s="337"/>
      <c r="J57" s="168"/>
      <c r="K57" s="168"/>
      <c r="M57" s="359">
        <f t="shared" si="7"/>
        <v>0.36661800486618007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490">
        <f>'[17]Sch C'!D43</f>
        <v>7849</v>
      </c>
      <c r="D58" s="490">
        <f>'[17]Sch C'!F43</f>
        <v>0</v>
      </c>
      <c r="E58" s="171">
        <f t="shared" si="4"/>
        <v>7849</v>
      </c>
      <c r="F58" s="573"/>
      <c r="G58" s="171">
        <f t="shared" si="5"/>
        <v>7849</v>
      </c>
      <c r="H58" s="172">
        <f t="shared" si="6"/>
        <v>1.6797482581894416E-3</v>
      </c>
      <c r="I58" s="337"/>
      <c r="J58" s="168"/>
      <c r="K58" s="168"/>
      <c r="M58" s="359">
        <f t="shared" si="7"/>
        <v>0.38194647201946474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490">
        <f>'[17]Sch C'!D44</f>
        <v>0</v>
      </c>
      <c r="D59" s="490">
        <f>'[17]Sch C'!F44</f>
        <v>0</v>
      </c>
      <c r="E59" s="171">
        <f t="shared" si="4"/>
        <v>0</v>
      </c>
      <c r="F59" s="573"/>
      <c r="G59" s="171">
        <f t="shared" si="5"/>
        <v>0</v>
      </c>
      <c r="H59" s="172">
        <f t="shared" si="6"/>
        <v>0</v>
      </c>
      <c r="I59" s="337"/>
      <c r="J59" s="168"/>
      <c r="K59" s="168"/>
      <c r="M59" s="359">
        <f t="shared" si="7"/>
        <v>0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490">
        <f>'[17]Sch C'!D45</f>
        <v>54143</v>
      </c>
      <c r="D60" s="490">
        <f>'[17]Sch C'!F45</f>
        <v>-5171</v>
      </c>
      <c r="E60" s="171">
        <f t="shared" si="4"/>
        <v>48972</v>
      </c>
      <c r="F60" s="573"/>
      <c r="G60" s="171">
        <f t="shared" si="5"/>
        <v>48972</v>
      </c>
      <c r="H60" s="172">
        <f t="shared" si="6"/>
        <v>1.0480396445413853E-2</v>
      </c>
      <c r="I60" s="337"/>
      <c r="J60" s="168"/>
      <c r="K60" s="168"/>
      <c r="M60" s="359">
        <f t="shared" si="7"/>
        <v>2.3830656934306571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490">
        <f>SUM(C25:C60)</f>
        <v>1621010</v>
      </c>
      <c r="D61" s="490">
        <f>SUM(D25:D60)</f>
        <v>-378700</v>
      </c>
      <c r="E61" s="171">
        <f t="shared" ref="E61" si="8">SUM(E25:E60)</f>
        <v>1242310</v>
      </c>
      <c r="F61" s="573">
        <f>SUM(F25:F60)</f>
        <v>0</v>
      </c>
      <c r="G61" s="171">
        <f>SUM(G25:G60)</f>
        <v>1242310</v>
      </c>
      <c r="H61" s="186">
        <f t="shared" si="6"/>
        <v>0.26586419399048605</v>
      </c>
      <c r="I61" s="339"/>
      <c r="J61" s="168"/>
      <c r="K61" s="168"/>
      <c r="M61" s="364">
        <f>G61/G$228</f>
        <v>60.453041362530413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I62" s="340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490">
        <f>'[17]Sch C'!D57</f>
        <v>420000</v>
      </c>
      <c r="D64" s="490">
        <f>'[17]Sch C'!F57</f>
        <v>0</v>
      </c>
      <c r="E64" s="171">
        <f t="shared" ref="E64:E78" si="9">C64+D64</f>
        <v>420000</v>
      </c>
      <c r="F64" s="573"/>
      <c r="G64" s="171">
        <f t="shared" ref="G64:G78" si="10">E64+F64</f>
        <v>420000</v>
      </c>
      <c r="H64" s="172">
        <f t="shared" ref="H64:H79" si="11">IF($G$208=0,0,G64/$G$208)</f>
        <v>8.988333143579634E-2</v>
      </c>
      <c r="I64" s="337"/>
      <c r="J64" s="190"/>
      <c r="K64" s="168"/>
      <c r="M64" s="359">
        <f t="shared" ref="M64:M79" si="12">G64/G$228</f>
        <v>20.437956204379564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490">
        <f>'[17]Sch C'!D58</f>
        <v>45550</v>
      </c>
      <c r="D65" s="490">
        <f>'[17]Sch C'!F58</f>
        <v>0</v>
      </c>
      <c r="E65" s="171">
        <f t="shared" si="9"/>
        <v>45550</v>
      </c>
      <c r="F65" s="573"/>
      <c r="G65" s="171">
        <f t="shared" si="10"/>
        <v>45550</v>
      </c>
      <c r="H65" s="172">
        <f t="shared" si="11"/>
        <v>9.748061302144102E-3</v>
      </c>
      <c r="I65" s="337"/>
      <c r="J65" s="190"/>
      <c r="K65" s="168"/>
      <c r="M65" s="359">
        <f t="shared" si="12"/>
        <v>2.21654501216545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490">
        <f>'[17]Sch C'!D59</f>
        <v>0</v>
      </c>
      <c r="D66" s="490">
        <f>'[17]Sch C'!F59</f>
        <v>0</v>
      </c>
      <c r="E66" s="171">
        <f t="shared" si="9"/>
        <v>0</v>
      </c>
      <c r="F66" s="573"/>
      <c r="G66" s="171">
        <f t="shared" si="10"/>
        <v>0</v>
      </c>
      <c r="H66" s="172">
        <f t="shared" si="11"/>
        <v>0</v>
      </c>
      <c r="I66" s="337"/>
      <c r="J66" s="190"/>
      <c r="K66" s="168"/>
      <c r="M66" s="359">
        <f t="shared" si="12"/>
        <v>0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490">
        <f>'[17]Sch C'!D60</f>
        <v>27136</v>
      </c>
      <c r="D67" s="490">
        <f>'[17]Sch C'!F60</f>
        <v>0</v>
      </c>
      <c r="E67" s="171">
        <f t="shared" si="9"/>
        <v>27136</v>
      </c>
      <c r="F67" s="573"/>
      <c r="G67" s="171">
        <f t="shared" si="10"/>
        <v>27136</v>
      </c>
      <c r="H67" s="172">
        <f t="shared" si="11"/>
        <v>5.807319242480403E-3</v>
      </c>
      <c r="I67" s="337"/>
      <c r="J67" s="193"/>
      <c r="K67" s="168"/>
      <c r="M67" s="359">
        <f t="shared" si="12"/>
        <v>1.3204866180048662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490">
        <f>'[17]Sch C'!D61</f>
        <v>9355</v>
      </c>
      <c r="D68" s="490">
        <f>'[17]Sch C'!F61</f>
        <v>0</v>
      </c>
      <c r="E68" s="171">
        <f t="shared" si="9"/>
        <v>9355</v>
      </c>
      <c r="F68" s="573"/>
      <c r="G68" s="171">
        <f t="shared" si="10"/>
        <v>9355</v>
      </c>
      <c r="H68" s="172">
        <f t="shared" si="11"/>
        <v>2.0020442037663685E-3</v>
      </c>
      <c r="I68" s="337"/>
      <c r="J68" s="193"/>
      <c r="K68" s="168"/>
      <c r="M68" s="359">
        <f t="shared" si="12"/>
        <v>0.45523114355231142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490">
        <f>'[17]Sch C'!D62</f>
        <v>6351</v>
      </c>
      <c r="D69" s="490">
        <f>'[17]Sch C'!F62</f>
        <v>0</v>
      </c>
      <c r="E69" s="171">
        <f t="shared" si="9"/>
        <v>6351</v>
      </c>
      <c r="F69" s="573"/>
      <c r="G69" s="171">
        <f t="shared" si="10"/>
        <v>6351</v>
      </c>
      <c r="H69" s="172">
        <f t="shared" si="11"/>
        <v>1.3591643760684346E-3</v>
      </c>
      <c r="I69" s="337"/>
      <c r="J69" s="195"/>
      <c r="K69" s="168"/>
      <c r="M69" s="359">
        <f t="shared" si="12"/>
        <v>0.30905109489051097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490">
        <f>'[17]Sch C'!D63</f>
        <v>0</v>
      </c>
      <c r="D70" s="490">
        <f>'[17]Sch C'!F63</f>
        <v>0</v>
      </c>
      <c r="E70" s="171">
        <f t="shared" si="9"/>
        <v>0</v>
      </c>
      <c r="F70" s="573"/>
      <c r="G70" s="171">
        <f t="shared" si="10"/>
        <v>0</v>
      </c>
      <c r="H70" s="172">
        <f t="shared" si="11"/>
        <v>0</v>
      </c>
      <c r="I70" s="337"/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490">
        <f>'[17]Sch C'!D64</f>
        <v>0</v>
      </c>
      <c r="D71" s="490">
        <f>'[17]Sch C'!F64</f>
        <v>0</v>
      </c>
      <c r="E71" s="171">
        <f t="shared" si="9"/>
        <v>0</v>
      </c>
      <c r="F71" s="573"/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490">
        <f>'[17]Sch C'!D65</f>
        <v>5646</v>
      </c>
      <c r="D72" s="490">
        <f>'[17]Sch C'!F65</f>
        <v>0</v>
      </c>
      <c r="E72" s="171">
        <f t="shared" si="9"/>
        <v>5646</v>
      </c>
      <c r="F72" s="573"/>
      <c r="G72" s="171">
        <f t="shared" si="10"/>
        <v>5646</v>
      </c>
      <c r="H72" s="172">
        <f t="shared" si="11"/>
        <v>1.2082887840154908E-3</v>
      </c>
      <c r="I72" s="337"/>
      <c r="J72" s="195"/>
      <c r="K72" s="168"/>
      <c r="M72" s="359">
        <f t="shared" si="12"/>
        <v>0.27474452554744527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490">
        <f>'[17]Sch C'!D66</f>
        <v>1736</v>
      </c>
      <c r="D73" s="490">
        <f>'[17]Sch C'!F66</f>
        <v>0</v>
      </c>
      <c r="E73" s="171">
        <f t="shared" si="9"/>
        <v>1736</v>
      </c>
      <c r="F73" s="573"/>
      <c r="G73" s="171">
        <f t="shared" si="10"/>
        <v>1736</v>
      </c>
      <c r="H73" s="172">
        <f t="shared" si="11"/>
        <v>3.7151776993462487E-4</v>
      </c>
      <c r="I73" s="337"/>
      <c r="J73" s="195"/>
      <c r="K73" s="168"/>
      <c r="M73" s="359">
        <f t="shared" si="12"/>
        <v>8.4476885644768851E-2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490">
        <f>'[17]Sch C'!D67</f>
        <v>50678</v>
      </c>
      <c r="D74" s="490">
        <f>'[17]Sch C'!F67</f>
        <v>0</v>
      </c>
      <c r="E74" s="171">
        <f t="shared" si="9"/>
        <v>50678</v>
      </c>
      <c r="F74" s="573"/>
      <c r="G74" s="171">
        <f t="shared" si="10"/>
        <v>50678</v>
      </c>
      <c r="H74" s="172">
        <f t="shared" si="11"/>
        <v>1.0845493977388779E-2</v>
      </c>
      <c r="I74" s="337"/>
      <c r="J74" s="195"/>
      <c r="K74" s="168"/>
      <c r="M74" s="359">
        <f t="shared" si="12"/>
        <v>2.466082725060827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490">
        <f>'[17]Sch C'!D68</f>
        <v>0</v>
      </c>
      <c r="D75" s="490">
        <f>'[17]Sch C'!F68</f>
        <v>0</v>
      </c>
      <c r="E75" s="171">
        <f t="shared" si="9"/>
        <v>0</v>
      </c>
      <c r="F75" s="573"/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490">
        <f>'[17]Sch C'!D69</f>
        <v>6333</v>
      </c>
      <c r="D76" s="490">
        <f>'[17]Sch C'!F69</f>
        <v>0</v>
      </c>
      <c r="E76" s="171">
        <f t="shared" si="9"/>
        <v>6333</v>
      </c>
      <c r="F76" s="573"/>
      <c r="G76" s="171">
        <f t="shared" si="10"/>
        <v>6333</v>
      </c>
      <c r="H76" s="172">
        <f t="shared" si="11"/>
        <v>1.3553122332926148E-3</v>
      </c>
      <c r="I76" s="337"/>
      <c r="J76" s="195"/>
      <c r="K76" s="168"/>
      <c r="M76" s="359">
        <f t="shared" si="12"/>
        <v>0.3081751824817518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490">
        <f>'[17]Sch C'!D70</f>
        <v>0</v>
      </c>
      <c r="D77" s="490">
        <f>'[17]Sch C'!F70</f>
        <v>0</v>
      </c>
      <c r="E77" s="171">
        <f t="shared" si="9"/>
        <v>0</v>
      </c>
      <c r="F77" s="573"/>
      <c r="G77" s="171">
        <f t="shared" si="10"/>
        <v>0</v>
      </c>
      <c r="H77" s="172">
        <f t="shared" si="11"/>
        <v>0</v>
      </c>
      <c r="I77" s="337"/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490">
        <f>'[17]Sch C'!D71</f>
        <v>0</v>
      </c>
      <c r="D78" s="490">
        <f>'[17]Sch C'!F71</f>
        <v>0</v>
      </c>
      <c r="E78" s="171">
        <f t="shared" si="9"/>
        <v>0</v>
      </c>
      <c r="F78" s="573"/>
      <c r="G78" s="171">
        <f t="shared" si="10"/>
        <v>0</v>
      </c>
      <c r="H78" s="172">
        <f t="shared" si="11"/>
        <v>0</v>
      </c>
      <c r="I78" s="337"/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490">
        <f>SUM(C64:C78)</f>
        <v>572785</v>
      </c>
      <c r="D79" s="490">
        <f>SUM(D64:D78)</f>
        <v>0</v>
      </c>
      <c r="E79" s="171">
        <f t="shared" ref="E79" si="13">SUM(E64:E78)</f>
        <v>572785</v>
      </c>
      <c r="F79" s="573">
        <f>SUM(F64:F78)</f>
        <v>0</v>
      </c>
      <c r="G79" s="171">
        <f>SUM(G64:G78)</f>
        <v>572785</v>
      </c>
      <c r="H79" s="172">
        <f t="shared" si="11"/>
        <v>0.12258053332488715</v>
      </c>
      <c r="I79" s="337"/>
      <c r="J79" s="195"/>
      <c r="K79" s="168"/>
      <c r="M79" s="359">
        <f t="shared" si="12"/>
        <v>27.872749391727496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490">
        <f>'[17]Sch C'!D75</f>
        <v>41251</v>
      </c>
      <c r="D82" s="490">
        <f>'[17]Sch C'!F75</f>
        <v>2684</v>
      </c>
      <c r="E82" s="171">
        <f t="shared" ref="E82:E92" si="14">C82+D82</f>
        <v>43935</v>
      </c>
      <c r="F82" s="573"/>
      <c r="G82" s="171">
        <f t="shared" ref="G82:G92" si="15">E82+F82</f>
        <v>43935</v>
      </c>
      <c r="H82" s="172">
        <f t="shared" ref="H82:H93" si="16">IF($G$208=0,0,G82/$G$208)</f>
        <v>9.4024384919802664E-3</v>
      </c>
      <c r="I82" s="337"/>
      <c r="J82" s="183">
        <v>1941</v>
      </c>
      <c r="K82" s="183">
        <v>2067</v>
      </c>
      <c r="M82" s="359">
        <f t="shared" ref="M82:M92" si="17">G82/G$228</f>
        <v>2.1379562043795621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490">
        <f>'[17]Sch C'!D76</f>
        <v>0</v>
      </c>
      <c r="D83" s="490">
        <f>'[17]Sch C'!F76</f>
        <v>5926</v>
      </c>
      <c r="E83" s="171">
        <f t="shared" si="14"/>
        <v>5926</v>
      </c>
      <c r="F83" s="573"/>
      <c r="G83" s="171">
        <f t="shared" si="15"/>
        <v>5926</v>
      </c>
      <c r="H83" s="172">
        <f t="shared" si="16"/>
        <v>1.2682110049726883E-3</v>
      </c>
      <c r="I83" s="337"/>
      <c r="J83" s="168"/>
      <c r="K83" s="168"/>
      <c r="M83" s="359">
        <f t="shared" si="17"/>
        <v>0.28836982968369829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490">
        <f>'[17]Sch C'!D77</f>
        <v>19217</v>
      </c>
      <c r="D84" s="490">
        <f>'[17]Sch C'!F77</f>
        <v>0</v>
      </c>
      <c r="E84" s="171">
        <f t="shared" si="14"/>
        <v>19217</v>
      </c>
      <c r="F84" s="573"/>
      <c r="G84" s="171">
        <f t="shared" si="15"/>
        <v>19217</v>
      </c>
      <c r="H84" s="172">
        <f t="shared" si="16"/>
        <v>4.1125904290516624E-3</v>
      </c>
      <c r="I84" s="337"/>
      <c r="J84" s="168"/>
      <c r="K84" s="168"/>
      <c r="M84" s="359">
        <f t="shared" si="17"/>
        <v>0.93513381995133815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490">
        <f>'[17]Sch C'!D78</f>
        <v>0</v>
      </c>
      <c r="D85" s="490">
        <f>'[17]Sch C'!F78</f>
        <v>0</v>
      </c>
      <c r="E85" s="171">
        <f t="shared" si="14"/>
        <v>0</v>
      </c>
      <c r="F85" s="573"/>
      <c r="G85" s="171">
        <f t="shared" si="15"/>
        <v>0</v>
      </c>
      <c r="H85" s="172">
        <f t="shared" si="16"/>
        <v>0</v>
      </c>
      <c r="I85" s="337"/>
      <c r="J85" s="168"/>
      <c r="K85" s="168"/>
      <c r="M85" s="359">
        <f t="shared" si="17"/>
        <v>0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490">
        <f>'[17]Sch C'!D79</f>
        <v>8452</v>
      </c>
      <c r="D86" s="490">
        <f>'[17]Sch C'!F79</f>
        <v>0</v>
      </c>
      <c r="E86" s="171">
        <f t="shared" si="14"/>
        <v>8452</v>
      </c>
      <c r="F86" s="573"/>
      <c r="G86" s="171">
        <f>E86+F86</f>
        <v>8452</v>
      </c>
      <c r="H86" s="172">
        <f t="shared" si="16"/>
        <v>1.8087950411794062E-3</v>
      </c>
      <c r="I86" s="337"/>
      <c r="J86" s="168"/>
      <c r="K86" s="168"/>
      <c r="M86" s="359">
        <f t="shared" si="17"/>
        <v>0.41128953771289539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490">
        <f>'[17]Sch C'!D80</f>
        <v>13471</v>
      </c>
      <c r="D87" s="490">
        <f>'[17]Sch C'!F80</f>
        <v>0</v>
      </c>
      <c r="E87" s="171">
        <f t="shared" si="14"/>
        <v>13471</v>
      </c>
      <c r="F87" s="573"/>
      <c r="G87" s="171">
        <f t="shared" si="15"/>
        <v>13471</v>
      </c>
      <c r="H87" s="172">
        <f t="shared" si="16"/>
        <v>2.8829008518371723E-3</v>
      </c>
      <c r="I87" s="337"/>
      <c r="J87" s="168"/>
      <c r="K87" s="168"/>
      <c r="M87" s="359">
        <f t="shared" si="17"/>
        <v>0.65552311435523114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490">
        <f>'[17]Sch C'!D81</f>
        <v>11678</v>
      </c>
      <c r="D88" s="490">
        <f>'[17]Sch C'!F81</f>
        <v>0</v>
      </c>
      <c r="E88" s="171">
        <f t="shared" si="14"/>
        <v>11678</v>
      </c>
      <c r="F88" s="573"/>
      <c r="G88" s="171">
        <f t="shared" si="15"/>
        <v>11678</v>
      </c>
      <c r="H88" s="172">
        <f t="shared" si="16"/>
        <v>2.499184629779118E-3</v>
      </c>
      <c r="I88" s="337"/>
      <c r="J88" s="168"/>
      <c r="K88" s="168"/>
      <c r="M88" s="359">
        <f t="shared" si="17"/>
        <v>0.56827250608272506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490">
        <f>'[17]Sch C'!D82</f>
        <v>814</v>
      </c>
      <c r="D89" s="490">
        <f>'[17]Sch C'!F82</f>
        <v>0</v>
      </c>
      <c r="E89" s="171">
        <f t="shared" si="14"/>
        <v>814</v>
      </c>
      <c r="F89" s="573"/>
      <c r="G89" s="171">
        <f t="shared" si="15"/>
        <v>814</v>
      </c>
      <c r="H89" s="172">
        <f t="shared" si="16"/>
        <v>1.7420245663985289E-4</v>
      </c>
      <c r="I89" s="337"/>
      <c r="J89" s="168"/>
      <c r="K89" s="168"/>
      <c r="M89" s="359">
        <f t="shared" si="17"/>
        <v>3.9610705596107056E-2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490">
        <f>'[17]Sch C'!D83</f>
        <v>0</v>
      </c>
      <c r="D90" s="490">
        <f>'[17]Sch C'!F83</f>
        <v>0</v>
      </c>
      <c r="E90" s="171">
        <f t="shared" si="14"/>
        <v>0</v>
      </c>
      <c r="F90" s="573"/>
      <c r="G90" s="171">
        <f t="shared" si="15"/>
        <v>0</v>
      </c>
      <c r="H90" s="172">
        <f t="shared" si="16"/>
        <v>0</v>
      </c>
      <c r="I90" s="337"/>
      <c r="J90" s="168"/>
      <c r="K90" s="168"/>
      <c r="M90" s="359">
        <f t="shared" si="17"/>
        <v>0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490">
        <f>'[17]Sch C'!D84</f>
        <v>74129</v>
      </c>
      <c r="D91" s="490">
        <f>'[17]Sch C'!F84</f>
        <v>0</v>
      </c>
      <c r="E91" s="171">
        <f t="shared" si="14"/>
        <v>74129</v>
      </c>
      <c r="F91" s="573"/>
      <c r="G91" s="171">
        <f t="shared" si="15"/>
        <v>74129</v>
      </c>
      <c r="H91" s="172">
        <f t="shared" si="16"/>
        <v>1.5864193990486063E-2</v>
      </c>
      <c r="I91" s="337"/>
      <c r="J91" s="168"/>
      <c r="K91" s="168"/>
      <c r="M91" s="359">
        <f t="shared" si="17"/>
        <v>3.6072506082725062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490">
        <f>'[17]Sch C'!D85</f>
        <v>0</v>
      </c>
      <c r="D92" s="490">
        <f>'[17]Sch C'!F85</f>
        <v>0</v>
      </c>
      <c r="E92" s="171">
        <f t="shared" si="14"/>
        <v>0</v>
      </c>
      <c r="F92" s="573"/>
      <c r="G92" s="171">
        <f t="shared" si="15"/>
        <v>0</v>
      </c>
      <c r="H92" s="172">
        <f t="shared" si="16"/>
        <v>0</v>
      </c>
      <c r="I92" s="337"/>
      <c r="J92" s="168"/>
      <c r="K92" s="168"/>
      <c r="M92" s="359">
        <f t="shared" si="17"/>
        <v>0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490">
        <f>SUM(C82:C92)</f>
        <v>169012</v>
      </c>
      <c r="D93" s="490">
        <f>SUM(D82:D92)</f>
        <v>8610</v>
      </c>
      <c r="E93" s="171">
        <f t="shared" ref="E93" si="18">SUM(E82:E92)</f>
        <v>177622</v>
      </c>
      <c r="F93" s="573">
        <f>SUM(F82:F92)</f>
        <v>0</v>
      </c>
      <c r="G93" s="171">
        <f>SUM(G82:G92)</f>
        <v>177622</v>
      </c>
      <c r="H93" s="172">
        <f t="shared" si="16"/>
        <v>3.8012516895926232E-2</v>
      </c>
      <c r="I93" s="337"/>
      <c r="J93" s="168"/>
      <c r="K93" s="168"/>
      <c r="M93" s="364">
        <f>G93/G$228</f>
        <v>8.6434063260340626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490">
        <f>'[17]Sch C'!D89</f>
        <v>136531</v>
      </c>
      <c r="D96" s="490">
        <f>'[17]Sch C'!F89</f>
        <v>8883</v>
      </c>
      <c r="E96" s="171">
        <f t="shared" ref="E96:E101" si="19">C96+D96</f>
        <v>145414</v>
      </c>
      <c r="F96" s="573"/>
      <c r="G96" s="171">
        <f t="shared" ref="G96:G101" si="20">E96+F96</f>
        <v>145414</v>
      </c>
      <c r="H96" s="172">
        <f t="shared" ref="H96:H102" si="21">IF($G$208=0,0,G96/$G$208)</f>
        <v>3.1119749422392592E-2</v>
      </c>
      <c r="I96" s="337"/>
      <c r="J96" s="183">
        <v>9450</v>
      </c>
      <c r="K96" s="183">
        <v>10065</v>
      </c>
      <c r="M96" s="364">
        <f t="shared" ref="M96:M101" si="22">G96/G$228</f>
        <v>7.0761070559610708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490">
        <f>'[17]Sch C'!D90</f>
        <v>0</v>
      </c>
      <c r="D97" s="490">
        <f>'[17]Sch C'!F90</f>
        <v>19614</v>
      </c>
      <c r="E97" s="171">
        <f t="shared" si="19"/>
        <v>19614</v>
      </c>
      <c r="F97" s="573"/>
      <c r="G97" s="171">
        <f t="shared" si="20"/>
        <v>19614</v>
      </c>
      <c r="H97" s="172">
        <f t="shared" si="21"/>
        <v>4.1975515780516889E-3</v>
      </c>
      <c r="I97" s="337"/>
      <c r="J97" s="168"/>
      <c r="K97" s="168"/>
      <c r="M97" s="364">
        <f t="shared" si="22"/>
        <v>0.95445255474452551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490">
        <f>'[17]Sch C'!D91</f>
        <v>11212</v>
      </c>
      <c r="D98" s="490">
        <f>'[17]Sch C'!F91</f>
        <v>0</v>
      </c>
      <c r="E98" s="171">
        <f t="shared" si="19"/>
        <v>11212</v>
      </c>
      <c r="F98" s="573"/>
      <c r="G98" s="171">
        <f t="shared" si="20"/>
        <v>11212</v>
      </c>
      <c r="H98" s="172">
        <f t="shared" si="21"/>
        <v>2.3994569334717824E-3</v>
      </c>
      <c r="I98" s="337"/>
      <c r="J98" s="168"/>
      <c r="K98" s="168"/>
      <c r="M98" s="364">
        <f t="shared" si="22"/>
        <v>0.54559610705596107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490">
        <f>'[17]Sch C'!D92</f>
        <v>117486</v>
      </c>
      <c r="D99" s="490">
        <f>'[17]Sch C'!F92</f>
        <v>0</v>
      </c>
      <c r="E99" s="171">
        <f t="shared" si="19"/>
        <v>117486</v>
      </c>
      <c r="F99" s="573"/>
      <c r="G99" s="171">
        <f t="shared" si="20"/>
        <v>117486</v>
      </c>
      <c r="H99" s="172">
        <f t="shared" si="21"/>
        <v>2.5142935897776116E-2</v>
      </c>
      <c r="I99" s="337"/>
      <c r="J99" s="168"/>
      <c r="K99" s="168"/>
      <c r="M99" s="364">
        <f t="shared" si="22"/>
        <v>5.7170802919708033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490">
        <f>'[17]Sch C'!D93</f>
        <v>17900</v>
      </c>
      <c r="D100" s="490">
        <f>'[17]Sch C'!F93</f>
        <v>0</v>
      </c>
      <c r="E100" s="171">
        <f t="shared" si="19"/>
        <v>17900</v>
      </c>
      <c r="F100" s="573"/>
      <c r="G100" s="171">
        <f t="shared" si="20"/>
        <v>17900</v>
      </c>
      <c r="H100" s="172">
        <f t="shared" si="21"/>
        <v>3.830741982620844E-3</v>
      </c>
      <c r="I100" s="337"/>
      <c r="J100" s="168"/>
      <c r="K100" s="168"/>
      <c r="M100" s="364">
        <f t="shared" si="22"/>
        <v>0.87104622871046233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490">
        <f>'[17]Sch C'!D94</f>
        <v>0</v>
      </c>
      <c r="D101" s="490">
        <f>'[17]Sch C'!F94</f>
        <v>0</v>
      </c>
      <c r="E101" s="171">
        <f t="shared" si="19"/>
        <v>0</v>
      </c>
      <c r="F101" s="573"/>
      <c r="G101" s="171">
        <f t="shared" si="20"/>
        <v>0</v>
      </c>
      <c r="H101" s="172">
        <f t="shared" si="21"/>
        <v>0</v>
      </c>
      <c r="I101" s="337"/>
      <c r="J101" s="168"/>
      <c r="K101" s="168"/>
      <c r="M101" s="364">
        <f t="shared" si="22"/>
        <v>0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490">
        <f>SUM(C96:C101)</f>
        <v>283129</v>
      </c>
      <c r="D102" s="490">
        <f>SUM(D96:D101)</f>
        <v>28497</v>
      </c>
      <c r="E102" s="171">
        <f t="shared" ref="E102" si="23">SUM(E96:E101)</f>
        <v>311626</v>
      </c>
      <c r="F102" s="573">
        <f>SUM(F96:F101)</f>
        <v>0</v>
      </c>
      <c r="G102" s="171">
        <f>SUM(G96:G101)</f>
        <v>311626</v>
      </c>
      <c r="H102" s="172">
        <f t="shared" si="21"/>
        <v>6.6690435814313026E-2</v>
      </c>
      <c r="I102" s="337"/>
      <c r="J102" s="168"/>
      <c r="K102" s="168"/>
      <c r="M102" s="364">
        <f>G102/G$228</f>
        <v>15.164282238442823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490">
        <f>'[17]Sch C'!D98</f>
        <v>8361</v>
      </c>
      <c r="D105" s="490">
        <f>'[17]Sch C'!F98</f>
        <v>544</v>
      </c>
      <c r="E105" s="171">
        <f t="shared" ref="E105:E110" si="24">C105+D105</f>
        <v>8905</v>
      </c>
      <c r="F105" s="573"/>
      <c r="G105" s="171">
        <f t="shared" ref="G105:G110" si="25">E105+F105</f>
        <v>8905</v>
      </c>
      <c r="H105" s="172">
        <f t="shared" ref="H105:H111" si="26">IF($G$208=0,0,G105/$G$208)</f>
        <v>1.9057406343708724E-3</v>
      </c>
      <c r="I105" s="337"/>
      <c r="J105" s="183">
        <v>875</v>
      </c>
      <c r="K105" s="183">
        <v>932</v>
      </c>
      <c r="M105" s="364">
        <f t="shared" ref="M105:M110" si="27">G105/G$228</f>
        <v>0.43333333333333335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490">
        <f>'[17]Sch C'!D99</f>
        <v>0</v>
      </c>
      <c r="D106" s="490">
        <f>'[17]Sch C'!F99</f>
        <v>1201</v>
      </c>
      <c r="E106" s="171">
        <f t="shared" si="24"/>
        <v>1201</v>
      </c>
      <c r="F106" s="573"/>
      <c r="G106" s="171">
        <f t="shared" si="25"/>
        <v>1201</v>
      </c>
      <c r="H106" s="172">
        <f t="shared" si="26"/>
        <v>2.5702352631997951E-4</v>
      </c>
      <c r="I106" s="337"/>
      <c r="J106" s="168"/>
      <c r="K106" s="168"/>
      <c r="M106" s="364">
        <f t="shared" si="27"/>
        <v>5.8442822384428224E-2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490">
        <f>'[17]Sch C'!D100</f>
        <v>5540</v>
      </c>
      <c r="D107" s="490">
        <f>'[17]Sch C'!F100</f>
        <v>0</v>
      </c>
      <c r="E107" s="171">
        <f t="shared" si="24"/>
        <v>5540</v>
      </c>
      <c r="F107" s="573"/>
      <c r="G107" s="171">
        <f t="shared" si="25"/>
        <v>5540</v>
      </c>
      <c r="H107" s="172">
        <f t="shared" si="26"/>
        <v>1.1856039432245518E-3</v>
      </c>
      <c r="I107" s="337"/>
      <c r="J107" s="168"/>
      <c r="K107" s="168"/>
      <c r="M107" s="364">
        <f t="shared" si="27"/>
        <v>0.26958637469586377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490">
        <f>'[17]Sch C'!D101</f>
        <v>31018</v>
      </c>
      <c r="D108" s="490">
        <f>'[17]Sch C'!F101</f>
        <v>0</v>
      </c>
      <c r="E108" s="171">
        <f t="shared" si="24"/>
        <v>31018</v>
      </c>
      <c r="F108" s="573"/>
      <c r="G108" s="171">
        <f t="shared" si="25"/>
        <v>31018</v>
      </c>
      <c r="H108" s="172">
        <f t="shared" si="26"/>
        <v>6.6380980344655496E-3</v>
      </c>
      <c r="I108" s="337"/>
      <c r="J108" s="168"/>
      <c r="K108" s="168"/>
      <c r="M108" s="364">
        <f t="shared" si="27"/>
        <v>1.5093917274939173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490">
        <f>'[17]Sch C'!D102</f>
        <v>2084</v>
      </c>
      <c r="D109" s="490">
        <f>'[17]Sch C'!F102</f>
        <v>0</v>
      </c>
      <c r="E109" s="171">
        <f t="shared" si="24"/>
        <v>2084</v>
      </c>
      <c r="F109" s="573"/>
      <c r="G109" s="171">
        <f t="shared" si="25"/>
        <v>2084</v>
      </c>
      <c r="H109" s="172">
        <f t="shared" si="26"/>
        <v>4.4599253026714181E-4</v>
      </c>
      <c r="I109" s="337"/>
      <c r="J109" s="168"/>
      <c r="K109" s="168"/>
      <c r="M109" s="364">
        <f t="shared" si="27"/>
        <v>0.10141119221411192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490">
        <f>'[17]Sch C'!D103</f>
        <v>0</v>
      </c>
      <c r="D110" s="490">
        <f>'[17]Sch C'!F103</f>
        <v>0</v>
      </c>
      <c r="E110" s="171">
        <f t="shared" si="24"/>
        <v>0</v>
      </c>
      <c r="F110" s="573"/>
      <c r="G110" s="171">
        <f t="shared" si="25"/>
        <v>0</v>
      </c>
      <c r="H110" s="172">
        <f t="shared" si="26"/>
        <v>0</v>
      </c>
      <c r="I110" s="337"/>
      <c r="J110" s="168"/>
      <c r="K110" s="168"/>
      <c r="M110" s="364">
        <f t="shared" si="27"/>
        <v>0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490">
        <f>SUM(C105:C110)</f>
        <v>47003</v>
      </c>
      <c r="D111" s="490">
        <f>SUM(D105:D110)</f>
        <v>1745</v>
      </c>
      <c r="E111" s="171">
        <f t="shared" ref="E111" si="28">SUM(E105:E110)</f>
        <v>48748</v>
      </c>
      <c r="F111" s="573">
        <f>SUM(F105:F110)</f>
        <v>0</v>
      </c>
      <c r="G111" s="171">
        <f>SUM(G105:G110)</f>
        <v>48748</v>
      </c>
      <c r="H111" s="172">
        <f t="shared" si="26"/>
        <v>1.0432458668648096E-2</v>
      </c>
      <c r="I111" s="337"/>
      <c r="J111" s="168"/>
      <c r="K111" s="168"/>
      <c r="M111" s="364">
        <f>G111/G$228</f>
        <v>2.3721654501216545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490">
        <f>'[17]Sch C'!D115</f>
        <v>19022</v>
      </c>
      <c r="D114" s="490">
        <f>'[17]Sch C'!F115</f>
        <v>1238</v>
      </c>
      <c r="E114" s="171">
        <f t="shared" ref="E114:E118" si="29">C114+D114</f>
        <v>20260</v>
      </c>
      <c r="F114" s="573"/>
      <c r="G114" s="171">
        <f>E114+F114</f>
        <v>20260</v>
      </c>
      <c r="H114" s="172">
        <f t="shared" ref="H114:H119" si="30">IF($G$208=0,0,G114/$G$208)</f>
        <v>4.3358007021172236E-3</v>
      </c>
      <c r="I114" s="337"/>
      <c r="J114" s="183">
        <v>2048</v>
      </c>
      <c r="K114" s="183">
        <v>2181</v>
      </c>
      <c r="M114" s="364">
        <f t="shared" ref="M114:M119" si="31">G114/G$228</f>
        <v>0.98588807785888077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490">
        <f>'[17]Sch C'!D116</f>
        <v>0</v>
      </c>
      <c r="D115" s="490">
        <f>'[17]Sch C'!F116</f>
        <v>2733</v>
      </c>
      <c r="E115" s="171">
        <f t="shared" si="29"/>
        <v>2733</v>
      </c>
      <c r="F115" s="573"/>
      <c r="G115" s="171">
        <f>E115+F115</f>
        <v>2733</v>
      </c>
      <c r="H115" s="172">
        <f t="shared" si="30"/>
        <v>5.8488367812864614E-4</v>
      </c>
      <c r="I115" s="337"/>
      <c r="J115" s="168"/>
      <c r="K115" s="168"/>
      <c r="M115" s="364">
        <f t="shared" si="31"/>
        <v>0.132992700729927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490">
        <f>'[17]Sch C'!D117</f>
        <v>8754</v>
      </c>
      <c r="D116" s="490">
        <f>'[17]Sch C'!F117</f>
        <v>0</v>
      </c>
      <c r="E116" s="171">
        <f t="shared" si="29"/>
        <v>8754</v>
      </c>
      <c r="F116" s="573"/>
      <c r="G116" s="171">
        <f>E116+F116</f>
        <v>8754</v>
      </c>
      <c r="H116" s="172">
        <f t="shared" si="30"/>
        <v>1.8734254366403835E-3</v>
      </c>
      <c r="I116" s="337"/>
      <c r="J116" s="168"/>
      <c r="K116" s="168"/>
      <c r="M116" s="364">
        <f t="shared" si="31"/>
        <v>0.42598540145985403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490">
        <f>'[17]Sch C'!D118</f>
        <v>46527</v>
      </c>
      <c r="D117" s="490">
        <f>'[17]Sch C'!F118</f>
        <v>0</v>
      </c>
      <c r="E117" s="171">
        <f t="shared" si="29"/>
        <v>46527</v>
      </c>
      <c r="F117" s="573"/>
      <c r="G117" s="171">
        <f>E117+F117</f>
        <v>46527</v>
      </c>
      <c r="H117" s="172">
        <f t="shared" si="30"/>
        <v>9.957147051698324E-3</v>
      </c>
      <c r="I117" s="337"/>
      <c r="J117" s="168"/>
      <c r="K117" s="168"/>
      <c r="M117" s="364">
        <f t="shared" si="31"/>
        <v>2.2640875912408758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490">
        <f>'[17]Sch C'!D119</f>
        <v>0</v>
      </c>
      <c r="D118" s="490">
        <f>'[17]Sch C'!F119</f>
        <v>0</v>
      </c>
      <c r="E118" s="171">
        <f t="shared" si="29"/>
        <v>0</v>
      </c>
      <c r="F118" s="573"/>
      <c r="G118" s="171">
        <f>E118+F118</f>
        <v>0</v>
      </c>
      <c r="H118" s="172">
        <f t="shared" si="30"/>
        <v>0</v>
      </c>
      <c r="I118" s="337"/>
      <c r="J118" s="168"/>
      <c r="K118" s="168"/>
      <c r="M118" s="364">
        <f t="shared" si="31"/>
        <v>0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490">
        <f>SUM(C114:C118)</f>
        <v>74303</v>
      </c>
      <c r="D119" s="490">
        <f>SUM(D114:D118)</f>
        <v>3971</v>
      </c>
      <c r="E119" s="171">
        <f t="shared" ref="E119" si="32">SUM(E114:E118)</f>
        <v>78274</v>
      </c>
      <c r="F119" s="573">
        <f>SUM(F114:F118)</f>
        <v>0</v>
      </c>
      <c r="G119" s="171">
        <f>SUM(G114:G118)</f>
        <v>78274</v>
      </c>
      <c r="H119" s="172">
        <f t="shared" si="30"/>
        <v>1.6751256868584578E-2</v>
      </c>
      <c r="I119" s="337"/>
      <c r="J119" s="168"/>
      <c r="K119" s="168"/>
      <c r="M119" s="364">
        <f t="shared" si="31"/>
        <v>3.8089537712895378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1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490">
        <f>'[17]Sch C'!D124</f>
        <v>0</v>
      </c>
      <c r="D123" s="490">
        <f>'[17]Sch C'!F124</f>
        <v>0</v>
      </c>
      <c r="E123" s="171">
        <f t="shared" ref="E123:E127" si="33">C123+D123</f>
        <v>0</v>
      </c>
      <c r="F123" s="573"/>
      <c r="G123" s="171">
        <f>E123+F123</f>
        <v>0</v>
      </c>
      <c r="H123" s="172">
        <f>IF($G$208=0,0,G123/$G$208)</f>
        <v>0</v>
      </c>
      <c r="I123" s="337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0.77002560279620991</v>
      </c>
    </row>
    <row r="124" spans="1:14" s="167" customFormat="1">
      <c r="B124" s="163" t="s">
        <v>194</v>
      </c>
      <c r="C124" s="490">
        <f>'[17]Sch C'!D125</f>
        <v>73716</v>
      </c>
      <c r="D124" s="490">
        <f>'[17]Sch C'!F125</f>
        <v>4796</v>
      </c>
      <c r="E124" s="171">
        <f t="shared" si="33"/>
        <v>78512</v>
      </c>
      <c r="F124" s="573"/>
      <c r="G124" s="171">
        <f>E124+F124</f>
        <v>78512</v>
      </c>
      <c r="H124" s="172">
        <f>IF($G$208=0,0,G124/$G$208)</f>
        <v>1.6802190756398196E-2</v>
      </c>
      <c r="I124" s="337"/>
      <c r="J124" s="183">
        <v>1879</v>
      </c>
      <c r="K124" s="183">
        <v>2001</v>
      </c>
      <c r="M124" s="364">
        <f t="shared" si="34"/>
        <v>3.8205352798053527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490">
        <f>'[17]Sch C'!D126</f>
        <v>56873</v>
      </c>
      <c r="D125" s="490">
        <f>'[17]Sch C'!F126</f>
        <v>3700</v>
      </c>
      <c r="E125" s="171">
        <f t="shared" si="33"/>
        <v>60573</v>
      </c>
      <c r="F125" s="573"/>
      <c r="G125" s="171">
        <f>E125+F125</f>
        <v>60573</v>
      </c>
      <c r="H125" s="172">
        <f>IF($G$208=0,0,G125/$G$208)</f>
        <v>1.2963102464429742E-2</v>
      </c>
      <c r="I125" s="337"/>
      <c r="J125" s="183">
        <v>1539</v>
      </c>
      <c r="K125" s="183">
        <v>1639</v>
      </c>
      <c r="M125" s="364">
        <f t="shared" si="34"/>
        <v>2.9475912408759126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490">
        <f>'[17]Sch C'!D127</f>
        <v>0</v>
      </c>
      <c r="D126" s="490">
        <f>'[17]Sch C'!F127</f>
        <v>0</v>
      </c>
      <c r="E126" s="171">
        <f t="shared" si="33"/>
        <v>0</v>
      </c>
      <c r="F126" s="573"/>
      <c r="G126" s="171">
        <f>E126+F126</f>
        <v>0</v>
      </c>
      <c r="H126" s="172">
        <f>IF($G$208=0,0,G126/$G$208)</f>
        <v>0</v>
      </c>
      <c r="I126" s="337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490">
        <f>'[17]Sch C'!D128</f>
        <v>41791</v>
      </c>
      <c r="D127" s="490">
        <f>'[17]Sch C'!F128</f>
        <v>2719</v>
      </c>
      <c r="E127" s="171">
        <f t="shared" si="33"/>
        <v>44510</v>
      </c>
      <c r="F127" s="573"/>
      <c r="G127" s="171">
        <f>E127+F127</f>
        <v>44510</v>
      </c>
      <c r="H127" s="172">
        <f>IF($G$208=0,0,G127/$G$208)</f>
        <v>9.5254930528745115E-3</v>
      </c>
      <c r="I127" s="337"/>
      <c r="J127" s="183">
        <v>2168</v>
      </c>
      <c r="K127" s="183">
        <v>2309</v>
      </c>
      <c r="M127" s="364">
        <f t="shared" si="34"/>
        <v>2.1659367396593674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573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490">
        <f>'[17]Sch C'!D130</f>
        <v>0</v>
      </c>
      <c r="D129" s="490">
        <f>'[17]Sch C'!F130</f>
        <v>0</v>
      </c>
      <c r="E129" s="171">
        <f t="shared" ref="E129:E133" si="35">C129+D129</f>
        <v>0</v>
      </c>
      <c r="F129" s="573"/>
      <c r="G129" s="171">
        <f>E129+F129</f>
        <v>0</v>
      </c>
      <c r="H129" s="172">
        <f>IF($G$208=0,0,G129/$G$208)</f>
        <v>0</v>
      </c>
      <c r="I129" s="337"/>
      <c r="J129" s="204"/>
      <c r="K129" s="204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490">
        <f>'[17]Sch C'!D131</f>
        <v>0</v>
      </c>
      <c r="D130" s="490">
        <f>'[17]Sch C'!F131</f>
        <v>10589</v>
      </c>
      <c r="E130" s="171">
        <f t="shared" si="35"/>
        <v>10589</v>
      </c>
      <c r="F130" s="573"/>
      <c r="G130" s="171">
        <f>E130+F130</f>
        <v>10589</v>
      </c>
      <c r="H130" s="172">
        <f>IF($G$208=0,0,G130/$G$208)</f>
        <v>2.2661299918420178E-3</v>
      </c>
      <c r="I130" s="337"/>
      <c r="J130" s="204"/>
      <c r="K130" s="204"/>
      <c r="M130" s="364">
        <f t="shared" si="34"/>
        <v>0.51527980535279805</v>
      </c>
      <c r="N130" s="359">
        <f>SUMMARY!J133</f>
        <v>1.0792348507966931</v>
      </c>
    </row>
    <row r="131" spans="1:14" s="167" customFormat="1">
      <c r="B131" s="163" t="s">
        <v>195</v>
      </c>
      <c r="C131" s="490">
        <f>'[17]Sch C'!D132</f>
        <v>0</v>
      </c>
      <c r="D131" s="490">
        <f>'[17]Sch C'!F132</f>
        <v>8170</v>
      </c>
      <c r="E131" s="171">
        <f t="shared" si="35"/>
        <v>8170</v>
      </c>
      <c r="F131" s="573"/>
      <c r="G131" s="171">
        <f>E131+F131</f>
        <v>8170</v>
      </c>
      <c r="H131" s="172">
        <f>IF($G$208=0,0,G131/$G$208)</f>
        <v>1.7484448043582287E-3</v>
      </c>
      <c r="I131" s="337"/>
      <c r="J131" s="168"/>
      <c r="K131" s="168"/>
      <c r="M131" s="364">
        <f t="shared" si="34"/>
        <v>0.39756690997566912</v>
      </c>
      <c r="N131" s="359">
        <f>SUMMARY!J134</f>
        <v>8.2765628075518377E-2</v>
      </c>
    </row>
    <row r="132" spans="1:14" s="167" customFormat="1">
      <c r="B132" s="163" t="s">
        <v>196</v>
      </c>
      <c r="C132" s="490">
        <f>'[17]Sch C'!D133</f>
        <v>0</v>
      </c>
      <c r="D132" s="490">
        <f>'[17]Sch C'!F133</f>
        <v>0</v>
      </c>
      <c r="E132" s="171">
        <f t="shared" si="35"/>
        <v>0</v>
      </c>
      <c r="F132" s="573"/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490">
        <f>'[17]Sch C'!D134</f>
        <v>0</v>
      </c>
      <c r="D133" s="490">
        <f>'[17]Sch C'!F134</f>
        <v>6003</v>
      </c>
      <c r="E133" s="171">
        <f t="shared" si="35"/>
        <v>6003</v>
      </c>
      <c r="F133" s="573"/>
      <c r="G133" s="171">
        <f>E133+F133</f>
        <v>6003</v>
      </c>
      <c r="H133" s="172">
        <f>IF($G$208=0,0,G133/$G$208)</f>
        <v>1.2846896157359176E-3</v>
      </c>
      <c r="I133" s="337"/>
      <c r="J133" s="168"/>
      <c r="K133" s="168"/>
      <c r="M133" s="364">
        <f t="shared" si="34"/>
        <v>0.29211678832116789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490">
        <f>'[17]Sch C'!D136</f>
        <v>424939</v>
      </c>
      <c r="D135" s="490">
        <f>'[17]Sch C'!F136</f>
        <v>27648</v>
      </c>
      <c r="E135" s="171">
        <f t="shared" ref="E135:E138" si="36">C135+D135</f>
        <v>452587</v>
      </c>
      <c r="F135" s="573"/>
      <c r="G135" s="171">
        <f>E135+F135</f>
        <v>452587</v>
      </c>
      <c r="H135" s="172">
        <f>IF($G$208=0,0,G135/$G$208)</f>
        <v>9.6857207915554189E-2</v>
      </c>
      <c r="I135" s="337"/>
      <c r="J135" s="183">
        <v>12851</v>
      </c>
      <c r="K135" s="183">
        <v>13687</v>
      </c>
      <c r="M135" s="364">
        <f t="shared" si="34"/>
        <v>22.023698296836983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490">
        <f>'[17]Sch C'!D137</f>
        <v>112321</v>
      </c>
      <c r="D136" s="490">
        <f>'[17]Sch C'!F137</f>
        <v>7308</v>
      </c>
      <c r="E136" s="171">
        <f t="shared" si="36"/>
        <v>119629</v>
      </c>
      <c r="F136" s="573"/>
      <c r="G136" s="171">
        <f>E136+F136</f>
        <v>119629</v>
      </c>
      <c r="H136" s="172">
        <f>IF($G$208=0,0,G136/$G$208)</f>
        <v>2.5601554896030665E-2</v>
      </c>
      <c r="I136" s="337"/>
      <c r="J136" s="183">
        <v>4637</v>
      </c>
      <c r="K136" s="183">
        <v>4939</v>
      </c>
      <c r="M136" s="364">
        <f t="shared" si="34"/>
        <v>5.8213625304136256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490">
        <f>'[17]Sch C'!D138</f>
        <v>435933</v>
      </c>
      <c r="D137" s="490">
        <f>'[17]Sch C'!F138</f>
        <v>17946</v>
      </c>
      <c r="E137" s="171">
        <f t="shared" si="36"/>
        <v>453879</v>
      </c>
      <c r="F137" s="573"/>
      <c r="G137" s="171">
        <f>E137+F137</f>
        <v>453879</v>
      </c>
      <c r="H137" s="172">
        <f>IF($G$208=0,0,G137/$G$208)</f>
        <v>9.7133706163685246E-2</v>
      </c>
      <c r="I137" s="337"/>
      <c r="J137" s="183">
        <v>31374</v>
      </c>
      <c r="K137" s="183">
        <v>33415</v>
      </c>
      <c r="M137" s="364">
        <f t="shared" si="34"/>
        <v>22.086569343065694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490">
        <f>'[17]Sch C'!D139</f>
        <v>65478</v>
      </c>
      <c r="D138" s="490">
        <f>'[17]Sch C'!F139</f>
        <v>4260</v>
      </c>
      <c r="E138" s="171">
        <f t="shared" si="36"/>
        <v>69738</v>
      </c>
      <c r="F138" s="573"/>
      <c r="G138" s="171">
        <f>E138+F138</f>
        <v>69738</v>
      </c>
      <c r="H138" s="172">
        <f>IF($G$208=0,0,G138/$G$208)</f>
        <v>1.4924485161118013E-2</v>
      </c>
      <c r="I138" s="337"/>
      <c r="J138" s="183">
        <v>6111</v>
      </c>
      <c r="K138" s="183">
        <v>6509</v>
      </c>
      <c r="M138" s="364">
        <f t="shared" si="34"/>
        <v>3.3935766423357663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7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490">
        <f>'[17]Sch C'!D141</f>
        <v>0</v>
      </c>
      <c r="D140" s="490">
        <f>'[17]Sch C'!F141</f>
        <v>61045</v>
      </c>
      <c r="E140" s="171">
        <f t="shared" ref="E140:E143" si="37">C140+D140</f>
        <v>61045</v>
      </c>
      <c r="F140" s="573"/>
      <c r="G140" s="171">
        <f>E140+F140</f>
        <v>61045</v>
      </c>
      <c r="H140" s="172">
        <f>IF($G$208=0,0,G140/$G$208)</f>
        <v>1.3064114208329017E-2</v>
      </c>
      <c r="I140" s="337"/>
      <c r="J140" s="168"/>
      <c r="K140" s="168"/>
      <c r="M140" s="364">
        <f t="shared" si="34"/>
        <v>2.970559610705596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490">
        <f>'[17]Sch C'!D142</f>
        <v>0</v>
      </c>
      <c r="D141" s="490">
        <f>'[17]Sch C'!F142</f>
        <v>16136</v>
      </c>
      <c r="E141" s="171">
        <f t="shared" si="37"/>
        <v>16136</v>
      </c>
      <c r="F141" s="573"/>
      <c r="G141" s="171">
        <f>E141+F141</f>
        <v>16136</v>
      </c>
      <c r="H141" s="172">
        <f>IF($G$208=0,0,G141/$G$208)</f>
        <v>3.4532319905904991E-3</v>
      </c>
      <c r="I141" s="337"/>
      <c r="J141" s="168"/>
      <c r="K141" s="168"/>
      <c r="M141" s="364">
        <f t="shared" si="34"/>
        <v>0.78520681265206815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490">
        <f>'[17]Sch C'!D143</f>
        <v>0</v>
      </c>
      <c r="D142" s="490">
        <f>'[17]Sch C'!F143</f>
        <v>61203</v>
      </c>
      <c r="E142" s="171">
        <f t="shared" si="37"/>
        <v>61203</v>
      </c>
      <c r="F142" s="573"/>
      <c r="G142" s="171">
        <f>E142+F142</f>
        <v>61203</v>
      </c>
      <c r="H142" s="172">
        <f>IF($G$208=0,0,G142/$G$208)</f>
        <v>1.3097927461583437E-2</v>
      </c>
      <c r="I142" s="337"/>
      <c r="J142" s="168"/>
      <c r="K142" s="168"/>
      <c r="M142" s="364">
        <f t="shared" si="34"/>
        <v>2.9782481751824816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490">
        <f>'[17]Sch C'!D144</f>
        <v>0</v>
      </c>
      <c r="D143" s="490">
        <f>'[17]Sch C'!F144</f>
        <v>9406</v>
      </c>
      <c r="E143" s="171">
        <f t="shared" si="37"/>
        <v>9406</v>
      </c>
      <c r="F143" s="573"/>
      <c r="G143" s="171">
        <f>E143+F143</f>
        <v>9406</v>
      </c>
      <c r="H143" s="172">
        <f>IF($G$208=0,0,G143/$G$208)</f>
        <v>2.0129586082978579E-3</v>
      </c>
      <c r="I143" s="337"/>
      <c r="J143" s="168"/>
      <c r="K143" s="168"/>
      <c r="M143" s="364">
        <f t="shared" si="34"/>
        <v>0.45771289537712895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7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490">
        <f>'[17]Sch C'!D146</f>
        <v>24000</v>
      </c>
      <c r="D145" s="490">
        <f>'[17]Sch C'!F146</f>
        <v>0</v>
      </c>
      <c r="E145" s="171">
        <f t="shared" ref="E145:E153" si="38">C145+D145</f>
        <v>24000</v>
      </c>
      <c r="F145" s="573"/>
      <c r="G145" s="171">
        <f t="shared" ref="G145:G153" si="39">E145+F145</f>
        <v>24000</v>
      </c>
      <c r="H145" s="172">
        <f t="shared" ref="H145:H153" si="40">IF($G$208=0,0,G145/$G$208)</f>
        <v>5.136190367759791E-3</v>
      </c>
      <c r="I145" s="337"/>
      <c r="J145" s="183">
        <v>0</v>
      </c>
      <c r="K145" s="183">
        <v>0</v>
      </c>
      <c r="M145" s="364">
        <f t="shared" si="34"/>
        <v>1.167883211678832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490">
        <f>'[17]Sch C'!D147</f>
        <v>0</v>
      </c>
      <c r="D146" s="490">
        <f>'[17]Sch C'!F147</f>
        <v>0</v>
      </c>
      <c r="E146" s="171">
        <f t="shared" si="38"/>
        <v>0</v>
      </c>
      <c r="F146" s="573"/>
      <c r="G146" s="171">
        <f t="shared" si="39"/>
        <v>0</v>
      </c>
      <c r="H146" s="172">
        <f t="shared" si="40"/>
        <v>0</v>
      </c>
      <c r="I146" s="337"/>
      <c r="J146" s="183">
        <v>0</v>
      </c>
      <c r="K146" s="183">
        <v>0</v>
      </c>
      <c r="M146" s="364">
        <f t="shared" si="34"/>
        <v>0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490">
        <f>'[17]Sch C'!D148</f>
        <v>0</v>
      </c>
      <c r="D147" s="490">
        <f>'[17]Sch C'!F148</f>
        <v>0</v>
      </c>
      <c r="E147" s="171">
        <f t="shared" si="38"/>
        <v>0</v>
      </c>
      <c r="F147" s="573"/>
      <c r="G147" s="171">
        <f t="shared" si="39"/>
        <v>0</v>
      </c>
      <c r="H147" s="172">
        <f t="shared" si="40"/>
        <v>0</v>
      </c>
      <c r="I147" s="337"/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490">
        <f>'[17]Sch C'!D149</f>
        <v>3068</v>
      </c>
      <c r="D148" s="490">
        <f>'[17]Sch C'!F149</f>
        <v>0</v>
      </c>
      <c r="E148" s="171">
        <f t="shared" si="38"/>
        <v>3068</v>
      </c>
      <c r="F148" s="573"/>
      <c r="G148" s="171">
        <f t="shared" si="39"/>
        <v>3068</v>
      </c>
      <c r="H148" s="172">
        <f t="shared" si="40"/>
        <v>6.5657633534529328E-4</v>
      </c>
      <c r="I148" s="337"/>
      <c r="J148" s="183">
        <v>191.75</v>
      </c>
      <c r="K148" s="183">
        <v>191.75</v>
      </c>
      <c r="M148" s="364">
        <f t="shared" si="34"/>
        <v>0.14929440389294404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490">
        <f>'[17]Sch C'!D150</f>
        <v>10081</v>
      </c>
      <c r="D149" s="490">
        <f>'[17]Sch C'!F150</f>
        <v>0</v>
      </c>
      <c r="E149" s="171">
        <f t="shared" si="38"/>
        <v>10081</v>
      </c>
      <c r="F149" s="573"/>
      <c r="G149" s="171">
        <f t="shared" si="39"/>
        <v>10081</v>
      </c>
      <c r="H149" s="172">
        <f t="shared" si="40"/>
        <v>2.1574139623911021E-3</v>
      </c>
      <c r="I149" s="337"/>
      <c r="J149" s="183">
        <v>0</v>
      </c>
      <c r="K149" s="183">
        <v>0</v>
      </c>
      <c r="M149" s="364">
        <f t="shared" si="34"/>
        <v>0.49055961070559612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490">
        <f>'[17]Sch C'!D151</f>
        <v>63703</v>
      </c>
      <c r="D150" s="490">
        <f>'[17]Sch C'!F151</f>
        <v>0</v>
      </c>
      <c r="E150" s="171">
        <f t="shared" si="38"/>
        <v>63703</v>
      </c>
      <c r="F150" s="573"/>
      <c r="G150" s="171">
        <f t="shared" si="39"/>
        <v>63703</v>
      </c>
      <c r="H150" s="172">
        <f t="shared" si="40"/>
        <v>1.3632947291558414E-2</v>
      </c>
      <c r="I150" s="337"/>
      <c r="J150" s="168"/>
      <c r="K150" s="168"/>
      <c r="M150" s="364">
        <f t="shared" si="34"/>
        <v>3.0999026763990267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490">
        <f>'[17]Sch C'!D152</f>
        <v>2152</v>
      </c>
      <c r="D151" s="490">
        <f>'[17]Sch C'!F152</f>
        <v>0</v>
      </c>
      <c r="E151" s="171">
        <f t="shared" si="38"/>
        <v>2152</v>
      </c>
      <c r="F151" s="573"/>
      <c r="G151" s="171">
        <f t="shared" si="39"/>
        <v>2152</v>
      </c>
      <c r="H151" s="172">
        <f t="shared" si="40"/>
        <v>4.6054506964246121E-4</v>
      </c>
      <c r="I151" s="337"/>
      <c r="J151" s="168"/>
      <c r="K151" s="168"/>
      <c r="M151" s="364">
        <f t="shared" si="34"/>
        <v>0.10472019464720195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490">
        <f>'[17]Sch C'!D153</f>
        <v>0</v>
      </c>
      <c r="D152" s="490">
        <f>'[17]Sch C'!F153</f>
        <v>0</v>
      </c>
      <c r="E152" s="171">
        <f t="shared" si="38"/>
        <v>0</v>
      </c>
      <c r="F152" s="573"/>
      <c r="G152" s="171">
        <f t="shared" si="39"/>
        <v>0</v>
      </c>
      <c r="H152" s="172">
        <f t="shared" si="40"/>
        <v>0</v>
      </c>
      <c r="I152" s="337"/>
      <c r="J152" s="168"/>
      <c r="K152" s="168"/>
      <c r="M152" s="364">
        <f t="shared" si="34"/>
        <v>0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490">
        <f>'[17]Sch C'!D154</f>
        <v>0</v>
      </c>
      <c r="D153" s="490">
        <f>'[17]Sch C'!F154</f>
        <v>0</v>
      </c>
      <c r="E153" s="171">
        <f t="shared" si="38"/>
        <v>0</v>
      </c>
      <c r="F153" s="573"/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572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490">
        <f>'[17]Sch C'!D156</f>
        <v>0</v>
      </c>
      <c r="D155" s="490">
        <f>'[17]Sch C'!F156</f>
        <v>0</v>
      </c>
      <c r="E155" s="171">
        <f t="shared" ref="E155:E160" si="41">C155+D155</f>
        <v>0</v>
      </c>
      <c r="F155" s="573"/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490">
        <f>'[17]Sch C'!D157</f>
        <v>0</v>
      </c>
      <c r="D156" s="490">
        <f>'[17]Sch C'!F157</f>
        <v>0</v>
      </c>
      <c r="E156" s="171">
        <f t="shared" si="41"/>
        <v>0</v>
      </c>
      <c r="F156" s="573"/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490">
        <f>'[17]Sch C'!D158</f>
        <v>0</v>
      </c>
      <c r="D157" s="490">
        <f>'[17]Sch C'!F158</f>
        <v>0</v>
      </c>
      <c r="E157" s="171">
        <f t="shared" si="41"/>
        <v>0</v>
      </c>
      <c r="F157" s="573"/>
      <c r="G157" s="171">
        <f t="shared" si="42"/>
        <v>0</v>
      </c>
      <c r="H157" s="172">
        <f t="shared" si="43"/>
        <v>0</v>
      </c>
      <c r="I157" s="337"/>
      <c r="J157" s="168"/>
      <c r="K157" s="168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490">
        <f>'[17]Sch C'!D159</f>
        <v>0</v>
      </c>
      <c r="D158" s="490">
        <f>'[17]Sch C'!F159</f>
        <v>0</v>
      </c>
      <c r="E158" s="171">
        <f t="shared" si="41"/>
        <v>0</v>
      </c>
      <c r="F158" s="573"/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490">
        <f>'[17]Sch C'!D160</f>
        <v>0</v>
      </c>
      <c r="D159" s="490">
        <f>'[17]Sch C'!F160</f>
        <v>0</v>
      </c>
      <c r="E159" s="171">
        <f t="shared" si="41"/>
        <v>0</v>
      </c>
      <c r="F159" s="573"/>
      <c r="G159" s="171">
        <f t="shared" si="42"/>
        <v>0</v>
      </c>
      <c r="H159" s="172">
        <f>IF($G$208=0,0,G159/$G$208)</f>
        <v>0</v>
      </c>
      <c r="I159" s="337"/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490">
        <f>'[17]Sch C'!D161</f>
        <v>1745</v>
      </c>
      <c r="D160" s="490">
        <f>'[17]Sch C'!F161</f>
        <v>0</v>
      </c>
      <c r="E160" s="171">
        <f t="shared" si="41"/>
        <v>1745</v>
      </c>
      <c r="F160" s="573"/>
      <c r="G160" s="171">
        <f t="shared" si="42"/>
        <v>1745</v>
      </c>
      <c r="H160" s="172">
        <f t="shared" si="43"/>
        <v>3.734438413225348E-4</v>
      </c>
      <c r="I160" s="337"/>
      <c r="J160" s="168"/>
      <c r="K160" s="168"/>
      <c r="M160" s="364">
        <f t="shared" si="34"/>
        <v>8.4914841849148423E-2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490">
        <f>SUM(C123:C160)</f>
        <v>1315800</v>
      </c>
      <c r="D161" s="490">
        <f>SUM(D123:D160)</f>
        <v>240929</v>
      </c>
      <c r="E161" s="171">
        <f t="shared" ref="E161" si="44">SUM(E123:E160)</f>
        <v>1556729</v>
      </c>
      <c r="F161" s="573">
        <f>SUM(F123:F160)</f>
        <v>0</v>
      </c>
      <c r="G161" s="171">
        <f>SUM(G123:G160)</f>
        <v>1556729</v>
      </c>
      <c r="H161" s="172">
        <f t="shared" si="43"/>
        <v>0.33315235395884712</v>
      </c>
      <c r="I161" s="337"/>
      <c r="J161" s="168"/>
      <c r="K161" s="168"/>
      <c r="M161" s="364">
        <f>G161/G$228</f>
        <v>75.753236009732362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337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7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490">
        <f>'[17]Sch C'!D175</f>
        <v>0</v>
      </c>
      <c r="D164" s="490">
        <f>'[17]Sch C'!F175</f>
        <v>0</v>
      </c>
      <c r="E164" s="171">
        <f t="shared" ref="E164:E196" si="45">C164+D164</f>
        <v>0</v>
      </c>
      <c r="F164" s="573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490">
        <f>'[17]Sch C'!D176</f>
        <v>0</v>
      </c>
      <c r="D165" s="490">
        <f>'[17]Sch C'!F176</f>
        <v>0</v>
      </c>
      <c r="E165" s="171">
        <f t="shared" si="45"/>
        <v>0</v>
      </c>
      <c r="F165" s="573"/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490">
        <f>'[17]Sch C'!D177</f>
        <v>206448</v>
      </c>
      <c r="D166" s="490">
        <f>'[17]Sch C'!F177</f>
        <v>13432</v>
      </c>
      <c r="E166" s="171">
        <f t="shared" si="45"/>
        <v>219880</v>
      </c>
      <c r="F166" s="573"/>
      <c r="G166" s="171">
        <f t="shared" si="46"/>
        <v>219880</v>
      </c>
      <c r="H166" s="172">
        <f t="shared" si="47"/>
        <v>4.7056064085959283E-2</v>
      </c>
      <c r="I166" s="343"/>
      <c r="J166" s="217">
        <v>5613</v>
      </c>
      <c r="K166" s="217">
        <v>5978</v>
      </c>
      <c r="L166" s="218"/>
      <c r="M166" s="364">
        <f t="shared" si="48"/>
        <v>10.699756690997567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490">
        <f>'[17]Sch C'!D178</f>
        <v>0</v>
      </c>
      <c r="D167" s="490">
        <f>'[17]Sch C'!F178</f>
        <v>29657</v>
      </c>
      <c r="E167" s="171">
        <f t="shared" si="45"/>
        <v>29657</v>
      </c>
      <c r="F167" s="573"/>
      <c r="G167" s="171">
        <f t="shared" si="46"/>
        <v>29657</v>
      </c>
      <c r="H167" s="172">
        <f t="shared" si="47"/>
        <v>6.346833239027171E-3</v>
      </c>
      <c r="I167" s="344"/>
      <c r="J167" s="222"/>
      <c r="K167" s="222"/>
      <c r="L167" s="218"/>
      <c r="M167" s="364">
        <f t="shared" si="48"/>
        <v>1.4431630170316301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490">
        <f>'[17]Sch C'!D179</f>
        <v>62470</v>
      </c>
      <c r="D168" s="490">
        <f>'[17]Sch C'!F179</f>
        <v>4064</v>
      </c>
      <c r="E168" s="171">
        <f t="shared" si="45"/>
        <v>66534</v>
      </c>
      <c r="F168" s="573"/>
      <c r="G168" s="171">
        <f t="shared" si="46"/>
        <v>66534</v>
      </c>
      <c r="H168" s="172">
        <f t="shared" si="47"/>
        <v>1.4238803747022079E-2</v>
      </c>
      <c r="I168" s="343"/>
      <c r="J168" s="217">
        <v>1270</v>
      </c>
      <c r="K168" s="217">
        <v>1353</v>
      </c>
      <c r="L168" s="218"/>
      <c r="M168" s="364">
        <f t="shared" si="48"/>
        <v>3.2376642335766421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490">
        <f>'[17]Sch C'!D180</f>
        <v>0</v>
      </c>
      <c r="D169" s="490">
        <f>'[17]Sch C'!F180</f>
        <v>8974</v>
      </c>
      <c r="E169" s="171">
        <f t="shared" si="45"/>
        <v>8974</v>
      </c>
      <c r="F169" s="573"/>
      <c r="G169" s="171">
        <f t="shared" si="46"/>
        <v>8974</v>
      </c>
      <c r="H169" s="172">
        <f t="shared" si="47"/>
        <v>1.9205071816781817E-3</v>
      </c>
      <c r="I169" s="344"/>
      <c r="J169" s="222"/>
      <c r="K169" s="222"/>
      <c r="L169" s="218"/>
      <c r="M169" s="364">
        <f t="shared" si="48"/>
        <v>0.43669099756690999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490">
        <f>'[17]Sch C'!D181</f>
        <v>0</v>
      </c>
      <c r="D170" s="490">
        <f>'[17]Sch C'!F181</f>
        <v>0</v>
      </c>
      <c r="E170" s="171">
        <f t="shared" si="45"/>
        <v>0</v>
      </c>
      <c r="F170" s="573"/>
      <c r="G170" s="171">
        <f t="shared" si="46"/>
        <v>0</v>
      </c>
      <c r="H170" s="172">
        <f t="shared" si="47"/>
        <v>0</v>
      </c>
      <c r="I170" s="343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490">
        <f>'[17]Sch C'!D182</f>
        <v>0</v>
      </c>
      <c r="D171" s="490">
        <f>'[17]Sch C'!F182</f>
        <v>0</v>
      </c>
      <c r="E171" s="171">
        <f t="shared" si="45"/>
        <v>0</v>
      </c>
      <c r="F171" s="573"/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490">
        <f>'[17]Sch C'!D183</f>
        <v>86321</v>
      </c>
      <c r="D172" s="490">
        <f>'[17]Sch C'!F183</f>
        <v>5616</v>
      </c>
      <c r="E172" s="171">
        <f t="shared" si="45"/>
        <v>91937</v>
      </c>
      <c r="F172" s="573"/>
      <c r="G172" s="171">
        <f t="shared" si="46"/>
        <v>91937</v>
      </c>
      <c r="H172" s="172">
        <f t="shared" si="47"/>
        <v>1.9675247243363829E-2</v>
      </c>
      <c r="I172" s="343"/>
      <c r="J172" s="217">
        <v>2813</v>
      </c>
      <c r="K172" s="217">
        <v>2996</v>
      </c>
      <c r="L172" s="218"/>
      <c r="M172" s="364">
        <f t="shared" si="48"/>
        <v>4.4738199513381991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490">
        <f>'[17]Sch C'!D184</f>
        <v>0</v>
      </c>
      <c r="D173" s="490">
        <f>'[17]Sch C'!F184</f>
        <v>12400</v>
      </c>
      <c r="E173" s="171">
        <f t="shared" si="45"/>
        <v>12400</v>
      </c>
      <c r="F173" s="573"/>
      <c r="G173" s="171">
        <f t="shared" si="46"/>
        <v>12400</v>
      </c>
      <c r="H173" s="172">
        <f t="shared" si="47"/>
        <v>2.6536983566758919E-3</v>
      </c>
      <c r="I173" s="344"/>
      <c r="J173" s="222"/>
      <c r="K173" s="222"/>
      <c r="L173" s="218"/>
      <c r="M173" s="364">
        <f t="shared" si="48"/>
        <v>0.6034063260340633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490">
        <f>'[17]Sch C'!D185</f>
        <v>0</v>
      </c>
      <c r="D174" s="490">
        <f>'[17]Sch C'!F185</f>
        <v>0</v>
      </c>
      <c r="E174" s="171">
        <f t="shared" si="45"/>
        <v>0</v>
      </c>
      <c r="F174" s="573"/>
      <c r="G174" s="171">
        <f t="shared" si="46"/>
        <v>0</v>
      </c>
      <c r="H174" s="172">
        <f t="shared" si="47"/>
        <v>0</v>
      </c>
      <c r="I174" s="343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490">
        <f>'[17]Sch C'!D186</f>
        <v>0</v>
      </c>
      <c r="D175" s="490">
        <f>'[17]Sch C'!F186</f>
        <v>0</v>
      </c>
      <c r="E175" s="171">
        <f t="shared" si="45"/>
        <v>0</v>
      </c>
      <c r="F175" s="573"/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490">
        <f>'[17]Sch C'!D187</f>
        <v>0</v>
      </c>
      <c r="D176" s="490">
        <f>'[17]Sch C'!F187</f>
        <v>0</v>
      </c>
      <c r="E176" s="171">
        <f t="shared" si="45"/>
        <v>0</v>
      </c>
      <c r="F176" s="573"/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490">
        <f>'[17]Sch C'!D188</f>
        <v>1470</v>
      </c>
      <c r="D177" s="490">
        <f>'[17]Sch C'!F188</f>
        <v>0</v>
      </c>
      <c r="E177" s="171">
        <f t="shared" si="45"/>
        <v>1470</v>
      </c>
      <c r="F177" s="573"/>
      <c r="G177" s="171">
        <f t="shared" si="46"/>
        <v>1470</v>
      </c>
      <c r="H177" s="172">
        <f t="shared" si="47"/>
        <v>3.1459166002528716E-4</v>
      </c>
      <c r="I177" s="337"/>
      <c r="J177" s="223"/>
      <c r="K177" s="218"/>
      <c r="L177" s="220"/>
      <c r="M177" s="364">
        <f t="shared" si="48"/>
        <v>7.153284671532846E-2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490">
        <f>'[17]Sch C'!D189</f>
        <v>0</v>
      </c>
      <c r="D178" s="490">
        <f>'[17]Sch C'!F189</f>
        <v>0</v>
      </c>
      <c r="E178" s="171">
        <f t="shared" si="45"/>
        <v>0</v>
      </c>
      <c r="F178" s="573"/>
      <c r="G178" s="171">
        <f t="shared" si="46"/>
        <v>0</v>
      </c>
      <c r="H178" s="172">
        <f t="shared" si="47"/>
        <v>0</v>
      </c>
      <c r="I178" s="337"/>
      <c r="J178" s="223"/>
      <c r="K178" s="218"/>
      <c r="L178" s="220"/>
      <c r="M178" s="364">
        <f t="shared" si="48"/>
        <v>0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490">
        <f>'[17]Sch C'!D190</f>
        <v>0</v>
      </c>
      <c r="D179" s="490">
        <f>'[17]Sch C'!F190</f>
        <v>0</v>
      </c>
      <c r="E179" s="171">
        <f t="shared" si="45"/>
        <v>0</v>
      </c>
      <c r="F179" s="573"/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490">
        <f>'[17]Sch C'!D191</f>
        <v>0</v>
      </c>
      <c r="D180" s="490">
        <f>'[17]Sch C'!F191</f>
        <v>0</v>
      </c>
      <c r="E180" s="171">
        <f t="shared" si="45"/>
        <v>0</v>
      </c>
      <c r="F180" s="573"/>
      <c r="G180" s="171">
        <f t="shared" si="46"/>
        <v>0</v>
      </c>
      <c r="H180" s="172">
        <f t="shared" si="47"/>
        <v>0</v>
      </c>
      <c r="I180" s="337"/>
      <c r="J180" s="223"/>
      <c r="K180" s="218"/>
      <c r="L180" s="220"/>
      <c r="M180" s="364">
        <f t="shared" si="48"/>
        <v>0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490">
        <f>'[17]Sch C'!D192</f>
        <v>0</v>
      </c>
      <c r="D181" s="490">
        <f>'[17]Sch C'!F192</f>
        <v>0</v>
      </c>
      <c r="E181" s="171">
        <f t="shared" si="45"/>
        <v>0</v>
      </c>
      <c r="F181" s="573"/>
      <c r="G181" s="171">
        <f t="shared" si="46"/>
        <v>0</v>
      </c>
      <c r="H181" s="172">
        <f t="shared" si="47"/>
        <v>0</v>
      </c>
      <c r="I181" s="337"/>
      <c r="J181" s="223"/>
      <c r="K181" s="218"/>
      <c r="L181" s="220"/>
      <c r="M181" s="364">
        <f t="shared" si="48"/>
        <v>0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490">
        <f>'[17]Sch C'!D193</f>
        <v>0</v>
      </c>
      <c r="D182" s="490">
        <f>'[17]Sch C'!F193</f>
        <v>0</v>
      </c>
      <c r="E182" s="171">
        <f t="shared" si="45"/>
        <v>0</v>
      </c>
      <c r="F182" s="573"/>
      <c r="G182" s="171">
        <f t="shared" si="46"/>
        <v>0</v>
      </c>
      <c r="H182" s="172">
        <f t="shared" si="47"/>
        <v>0</v>
      </c>
      <c r="I182" s="337"/>
      <c r="J182" s="223"/>
      <c r="K182" s="218"/>
      <c r="L182" s="220"/>
      <c r="M182" s="364">
        <f t="shared" si="48"/>
        <v>0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490">
        <f>'[17]Sch C'!D194</f>
        <v>0</v>
      </c>
      <c r="D183" s="490">
        <f>'[17]Sch C'!F194</f>
        <v>0</v>
      </c>
      <c r="E183" s="171">
        <f t="shared" si="45"/>
        <v>0</v>
      </c>
      <c r="F183" s="573"/>
      <c r="G183" s="171">
        <f t="shared" si="46"/>
        <v>0</v>
      </c>
      <c r="H183" s="172">
        <f t="shared" si="47"/>
        <v>0</v>
      </c>
      <c r="I183" s="337"/>
      <c r="J183" s="223"/>
      <c r="K183" s="218"/>
      <c r="M183" s="364">
        <f t="shared" si="48"/>
        <v>0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490">
        <f>'[17]Sch C'!D195</f>
        <v>0</v>
      </c>
      <c r="D184" s="490">
        <f>'[17]Sch C'!F195</f>
        <v>0</v>
      </c>
      <c r="E184" s="171">
        <f t="shared" si="45"/>
        <v>0</v>
      </c>
      <c r="F184" s="573"/>
      <c r="G184" s="171">
        <f t="shared" si="46"/>
        <v>0</v>
      </c>
      <c r="H184" s="172">
        <f t="shared" si="47"/>
        <v>0</v>
      </c>
      <c r="I184" s="337"/>
      <c r="J184" s="223"/>
      <c r="K184" s="218"/>
      <c r="M184" s="364">
        <f t="shared" si="48"/>
        <v>0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490">
        <f>'[17]Sch C'!D196</f>
        <v>0</v>
      </c>
      <c r="D185" s="490">
        <f>'[17]Sch C'!F196</f>
        <v>0</v>
      </c>
      <c r="E185" s="171">
        <f t="shared" si="45"/>
        <v>0</v>
      </c>
      <c r="F185" s="573"/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490">
        <f>'[17]Sch C'!D197</f>
        <v>0</v>
      </c>
      <c r="D186" s="490">
        <f>'[17]Sch C'!F197</f>
        <v>0</v>
      </c>
      <c r="E186" s="171">
        <f t="shared" si="45"/>
        <v>0</v>
      </c>
      <c r="F186" s="573"/>
      <c r="G186" s="171">
        <f t="shared" si="46"/>
        <v>0</v>
      </c>
      <c r="H186" s="172">
        <f t="shared" si="47"/>
        <v>0</v>
      </c>
      <c r="I186" s="337"/>
      <c r="J186" s="223"/>
      <c r="K186" s="218"/>
      <c r="M186" s="364">
        <f t="shared" si="48"/>
        <v>0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490">
        <f>'[17]Sch C'!D198</f>
        <v>21370</v>
      </c>
      <c r="D187" s="490">
        <f>'[17]Sch C'!F198</f>
        <v>0</v>
      </c>
      <c r="E187" s="171">
        <f t="shared" si="45"/>
        <v>21370</v>
      </c>
      <c r="F187" s="573"/>
      <c r="G187" s="171">
        <f t="shared" si="46"/>
        <v>21370</v>
      </c>
      <c r="H187" s="172">
        <f t="shared" si="47"/>
        <v>4.5733495066261134E-3</v>
      </c>
      <c r="I187" s="337"/>
      <c r="J187" s="223"/>
      <c r="K187" s="218"/>
      <c r="M187" s="364">
        <f t="shared" si="48"/>
        <v>1.0399026763990267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490">
        <f>'[17]Sch C'!D199</f>
        <v>0</v>
      </c>
      <c r="D188" s="490">
        <f>'[17]Sch C'!F199</f>
        <v>0</v>
      </c>
      <c r="E188" s="171">
        <f t="shared" si="45"/>
        <v>0</v>
      </c>
      <c r="F188" s="573"/>
      <c r="G188" s="171">
        <f t="shared" si="46"/>
        <v>0</v>
      </c>
      <c r="H188" s="172">
        <f t="shared" si="47"/>
        <v>0</v>
      </c>
      <c r="I188" s="337"/>
      <c r="J188" s="223"/>
      <c r="K188" s="218"/>
      <c r="M188" s="364">
        <f t="shared" si="48"/>
        <v>0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490">
        <f>'[17]Sch C'!D200</f>
        <v>0</v>
      </c>
      <c r="D189" s="490">
        <f>'[17]Sch C'!F200</f>
        <v>0</v>
      </c>
      <c r="E189" s="171">
        <f t="shared" si="45"/>
        <v>0</v>
      </c>
      <c r="F189" s="573"/>
      <c r="G189" s="171">
        <f t="shared" si="46"/>
        <v>0</v>
      </c>
      <c r="H189" s="172">
        <f t="shared" si="47"/>
        <v>0</v>
      </c>
      <c r="I189" s="337"/>
      <c r="J189" s="223"/>
      <c r="K189" s="218"/>
      <c r="M189" s="364">
        <f t="shared" si="48"/>
        <v>0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490">
        <f>'[17]Sch C'!D201</f>
        <v>0</v>
      </c>
      <c r="D190" s="490">
        <f>'[17]Sch C'!F201</f>
        <v>0</v>
      </c>
      <c r="E190" s="171">
        <f t="shared" si="45"/>
        <v>0</v>
      </c>
      <c r="F190" s="573"/>
      <c r="G190" s="171">
        <f t="shared" si="46"/>
        <v>0</v>
      </c>
      <c r="H190" s="172">
        <f t="shared" si="47"/>
        <v>0</v>
      </c>
      <c r="I190" s="337"/>
      <c r="J190" s="223"/>
      <c r="K190" s="218"/>
      <c r="M190" s="364">
        <f t="shared" si="48"/>
        <v>0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490">
        <f>'[17]Sch C'!D202</f>
        <v>0</v>
      </c>
      <c r="D191" s="490">
        <f>'[17]Sch C'!F202</f>
        <v>0</v>
      </c>
      <c r="E191" s="171">
        <f t="shared" si="45"/>
        <v>0</v>
      </c>
      <c r="F191" s="573"/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490">
        <f>'[17]Sch C'!D203</f>
        <v>0</v>
      </c>
      <c r="D192" s="490">
        <f>'[17]Sch C'!F203</f>
        <v>0</v>
      </c>
      <c r="E192" s="171">
        <f t="shared" si="45"/>
        <v>0</v>
      </c>
      <c r="F192" s="573"/>
      <c r="G192" s="171">
        <f t="shared" si="46"/>
        <v>0</v>
      </c>
      <c r="H192" s="172">
        <f t="shared" si="47"/>
        <v>0</v>
      </c>
      <c r="I192" s="337"/>
      <c r="J192" s="223"/>
      <c r="K192" s="218"/>
      <c r="M192" s="364">
        <f t="shared" si="48"/>
        <v>0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490">
        <f>'[17]Sch C'!D204</f>
        <v>0</v>
      </c>
      <c r="D193" s="490">
        <f>'[17]Sch C'!F204</f>
        <v>0</v>
      </c>
      <c r="E193" s="171">
        <f t="shared" si="45"/>
        <v>0</v>
      </c>
      <c r="F193" s="573"/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490">
        <f>'[17]Sch C'!D205</f>
        <v>85017</v>
      </c>
      <c r="D194" s="490">
        <f>'[17]Sch C'!F205</f>
        <v>0</v>
      </c>
      <c r="E194" s="171">
        <f t="shared" si="45"/>
        <v>85017</v>
      </c>
      <c r="F194" s="573"/>
      <c r="G194" s="171">
        <f t="shared" si="46"/>
        <v>85017</v>
      </c>
      <c r="H194" s="172">
        <f t="shared" si="47"/>
        <v>1.8194312353993089E-2</v>
      </c>
      <c r="I194" s="337"/>
      <c r="J194" s="223"/>
      <c r="K194" s="218"/>
      <c r="M194" s="364">
        <f t="shared" si="48"/>
        <v>4.1370802919708032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490">
        <f>'[17]Sch C'!D206</f>
        <v>2200</v>
      </c>
      <c r="D195" s="490">
        <f>'[17]Sch C'!F206</f>
        <v>0</v>
      </c>
      <c r="E195" s="171">
        <f t="shared" si="45"/>
        <v>2200</v>
      </c>
      <c r="F195" s="573"/>
      <c r="G195" s="171">
        <f t="shared" si="46"/>
        <v>2200</v>
      </c>
      <c r="H195" s="172">
        <f t="shared" si="47"/>
        <v>4.7081745037798079E-4</v>
      </c>
      <c r="I195" s="337"/>
      <c r="J195" s="223"/>
      <c r="K195" s="218"/>
      <c r="M195" s="364">
        <f t="shared" si="48"/>
        <v>0.1070559610705596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490">
        <f>'[17]Sch C'!D207</f>
        <v>34649</v>
      </c>
      <c r="D196" s="490">
        <f>'[17]Sch C'!F207</f>
        <v>-488</v>
      </c>
      <c r="E196" s="171">
        <f t="shared" si="45"/>
        <v>34161</v>
      </c>
      <c r="F196" s="573"/>
      <c r="G196" s="171">
        <f t="shared" si="46"/>
        <v>34161</v>
      </c>
      <c r="H196" s="172">
        <f t="shared" si="47"/>
        <v>7.3107249647100924E-3</v>
      </c>
      <c r="I196" s="337"/>
      <c r="J196" s="223"/>
      <c r="K196" s="218"/>
      <c r="M196" s="364">
        <f t="shared" si="48"/>
        <v>1.6623357664233576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490">
        <f>SUM(C164:C196)</f>
        <v>499945</v>
      </c>
      <c r="D197" s="490">
        <f>SUM(D164:D196)</f>
        <v>73655</v>
      </c>
      <c r="E197" s="171">
        <f t="shared" ref="E197" si="49">SUM(E164:E196)</f>
        <v>573600</v>
      </c>
      <c r="F197" s="573">
        <f>SUM(F164:F196)</f>
        <v>0</v>
      </c>
      <c r="G197" s="171">
        <f>SUM(G164:G196)</f>
        <v>573600</v>
      </c>
      <c r="H197" s="172">
        <f>IF($G$208=0,0,G197/$G$208)</f>
        <v>0.122754949789459</v>
      </c>
      <c r="I197" s="337"/>
      <c r="J197" s="168"/>
      <c r="K197" s="168"/>
      <c r="M197" s="364">
        <f>G197/G$228</f>
        <v>27.912408759124087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165"/>
      <c r="G198" s="165"/>
      <c r="H198" s="198"/>
      <c r="I198" s="341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1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490">
        <f>'[17]Sch C'!D211</f>
        <v>81122</v>
      </c>
      <c r="D200" s="490">
        <f>'[17]Sch C'!F211</f>
        <v>5278</v>
      </c>
      <c r="E200" s="171">
        <f t="shared" ref="E200:E205" si="50">C200+D200</f>
        <v>86400</v>
      </c>
      <c r="F200" s="573"/>
      <c r="G200" s="171">
        <f t="shared" ref="G200:G205" si="51">E200+F200</f>
        <v>86400</v>
      </c>
      <c r="H200" s="172">
        <f t="shared" ref="H200:H206" si="52">IF($G$208=0,0,G200/$G$208)</f>
        <v>1.8490285323935245E-2</v>
      </c>
      <c r="I200" s="337"/>
      <c r="J200" s="183">
        <v>4015</v>
      </c>
      <c r="K200" s="183">
        <v>4276</v>
      </c>
      <c r="M200" s="364">
        <f t="shared" ref="M200:M205" si="53">G200/G$228</f>
        <v>4.2043795620437958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490">
        <f>'[17]Sch C'!D212</f>
        <v>0</v>
      </c>
      <c r="D201" s="490">
        <f>'[17]Sch C'!F212</f>
        <v>11654</v>
      </c>
      <c r="E201" s="171">
        <f t="shared" si="50"/>
        <v>11654</v>
      </c>
      <c r="F201" s="573"/>
      <c r="G201" s="171">
        <f t="shared" si="51"/>
        <v>11654</v>
      </c>
      <c r="H201" s="172">
        <f t="shared" si="52"/>
        <v>2.4940484394113584E-3</v>
      </c>
      <c r="I201" s="337"/>
      <c r="J201" s="168"/>
      <c r="K201" s="168"/>
      <c r="M201" s="364">
        <f t="shared" si="53"/>
        <v>0.56710462287104624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490">
        <f>'[17]Sch C'!D213</f>
        <v>10536</v>
      </c>
      <c r="D202" s="490">
        <f>'[17]Sch C'!F213</f>
        <v>0</v>
      </c>
      <c r="E202" s="171">
        <f t="shared" si="50"/>
        <v>10536</v>
      </c>
      <c r="F202" s="573"/>
      <c r="G202" s="171">
        <f t="shared" si="51"/>
        <v>10536</v>
      </c>
      <c r="H202" s="172">
        <f t="shared" si="52"/>
        <v>2.2547875714465479E-3</v>
      </c>
      <c r="I202" s="337"/>
      <c r="J202" s="168"/>
      <c r="K202" s="168"/>
      <c r="M202" s="364">
        <f t="shared" si="53"/>
        <v>0.51270072992700733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490">
        <f>'[17]Sch C'!D214</f>
        <v>0</v>
      </c>
      <c r="D203" s="490">
        <f>'[17]Sch C'!F214</f>
        <v>0</v>
      </c>
      <c r="E203" s="171">
        <f t="shared" si="50"/>
        <v>0</v>
      </c>
      <c r="F203" s="573"/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>
        <f t="shared" si="53"/>
        <v>0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490">
        <f>'[17]Sch C'!D215</f>
        <v>0</v>
      </c>
      <c r="D204" s="490">
        <f>'[17]Sch C'!F215</f>
        <v>0</v>
      </c>
      <c r="E204" s="171">
        <f t="shared" si="50"/>
        <v>0</v>
      </c>
      <c r="F204" s="573"/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490">
        <f>'[17]Sch C'!D216</f>
        <v>2440</v>
      </c>
      <c r="D205" s="490">
        <f>'[17]Sch C'!F216</f>
        <v>0</v>
      </c>
      <c r="E205" s="171">
        <f t="shared" si="50"/>
        <v>2440</v>
      </c>
      <c r="F205" s="573"/>
      <c r="G205" s="171">
        <f t="shared" si="51"/>
        <v>2440</v>
      </c>
      <c r="H205" s="172">
        <f t="shared" si="52"/>
        <v>5.2217935405557869E-4</v>
      </c>
      <c r="I205" s="337"/>
      <c r="J205" s="168"/>
      <c r="K205" s="168"/>
      <c r="M205" s="364">
        <f t="shared" si="53"/>
        <v>0.11873479318734793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490">
        <f>SUM(C200:C205)</f>
        <v>94098</v>
      </c>
      <c r="D206" s="490">
        <f>SUM(D200:D205)</f>
        <v>16932</v>
      </c>
      <c r="E206" s="171">
        <f t="shared" ref="E206:F206" si="54">SUM(E200:E205)</f>
        <v>111030</v>
      </c>
      <c r="F206" s="171">
        <f t="shared" si="54"/>
        <v>0</v>
      </c>
      <c r="G206" s="171">
        <f>SUM(G200:G205)</f>
        <v>111030</v>
      </c>
      <c r="H206" s="172">
        <f t="shared" si="52"/>
        <v>2.3761300688848731E-2</v>
      </c>
      <c r="I206" s="337"/>
      <c r="J206" s="168"/>
      <c r="K206" s="168"/>
      <c r="M206" s="364">
        <f>G206/G$228</f>
        <v>5.4029197080291969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490">
        <f>SUM(C25:C206)/2</f>
        <v>4677085</v>
      </c>
      <c r="D208" s="490">
        <f>SUM(D25:D206)/2</f>
        <v>-4361</v>
      </c>
      <c r="E208" s="171">
        <f t="shared" ref="E208:F208" si="55">SUM(E25:E206)/2</f>
        <v>4672724</v>
      </c>
      <c r="F208" s="171">
        <f t="shared" si="55"/>
        <v>0</v>
      </c>
      <c r="G208" s="171">
        <f>SUM(G25:G206)/2</f>
        <v>4672724</v>
      </c>
      <c r="H208" s="172">
        <f>IF($G$208=0,0,G208/$G$208)</f>
        <v>1</v>
      </c>
      <c r="I208" s="337"/>
      <c r="J208" s="183">
        <f>SUM(J25:J200)</f>
        <v>96936.75</v>
      </c>
      <c r="K208" s="183">
        <f>SUM(K25:K200)</f>
        <v>103095.75</v>
      </c>
      <c r="M208" s="364">
        <f>G208/G$228</f>
        <v>227.38316301703162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490">
        <f>'[17]Sch C'!D221</f>
        <v>4677085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490">
        <f>C208-C211</f>
        <v>0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585"/>
      <c r="D213" s="232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490">
        <f>C21-C208</f>
        <v>6993</v>
      </c>
      <c r="D215" s="490">
        <f>D21-D208</f>
        <v>4361</v>
      </c>
      <c r="E215" s="171">
        <f t="shared" ref="E215:F215" si="56">E21-E208</f>
        <v>11354</v>
      </c>
      <c r="F215" s="171">
        <f t="shared" si="56"/>
        <v>0</v>
      </c>
      <c r="G215" s="171">
        <f>G21-G208</f>
        <v>11354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491">
        <f>'[17]Sch D'!C9</f>
        <v>13754</v>
      </c>
      <c r="D219" s="491"/>
      <c r="E219" s="235">
        <f t="shared" ref="E219:G227" si="57">C219+D219</f>
        <v>13754</v>
      </c>
      <c r="F219" s="234"/>
      <c r="G219" s="235">
        <f t="shared" si="57"/>
        <v>13754</v>
      </c>
      <c r="H219" s="172">
        <f t="shared" ref="H219:H228" si="58">IF($G$228=0,0,G219/$G$228)</f>
        <v>0.66929440389294403</v>
      </c>
      <c r="I219" s="337"/>
      <c r="J219" s="168"/>
      <c r="K219" s="168"/>
    </row>
    <row r="220" spans="1:14">
      <c r="A220" s="163"/>
      <c r="B220" s="170" t="s">
        <v>217</v>
      </c>
      <c r="C220" s="491">
        <f>'[17]Sch D'!D9</f>
        <v>0</v>
      </c>
      <c r="D220" s="491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7"/>
      <c r="J220" s="168"/>
      <c r="K220" s="168"/>
    </row>
    <row r="221" spans="1:14">
      <c r="A221" s="163"/>
      <c r="B221" s="170" t="s">
        <v>72</v>
      </c>
      <c r="C221" s="491">
        <f>'[17]Sch D'!E9</f>
        <v>1497</v>
      </c>
      <c r="D221" s="491"/>
      <c r="E221" s="235">
        <f t="shared" si="59"/>
        <v>1497</v>
      </c>
      <c r="F221" s="234"/>
      <c r="G221" s="235">
        <f t="shared" si="57"/>
        <v>1497</v>
      </c>
      <c r="H221" s="172">
        <f t="shared" si="58"/>
        <v>7.2846715328467149E-2</v>
      </c>
      <c r="I221" s="337"/>
      <c r="J221" s="168"/>
      <c r="K221" s="168"/>
    </row>
    <row r="222" spans="1:14">
      <c r="A222" s="163"/>
      <c r="B222" s="202" t="s">
        <v>334</v>
      </c>
      <c r="C222" s="491">
        <f>'[17]Sch D'!F9</f>
        <v>1695</v>
      </c>
      <c r="D222" s="491"/>
      <c r="E222" s="235">
        <f>C222+D222</f>
        <v>1695</v>
      </c>
      <c r="F222" s="234"/>
      <c r="G222" s="235">
        <f>E222+F222</f>
        <v>1695</v>
      </c>
      <c r="H222" s="172">
        <f t="shared" si="58"/>
        <v>8.2481751824817512E-2</v>
      </c>
      <c r="I222" s="337"/>
      <c r="J222" s="168"/>
      <c r="K222" s="168"/>
    </row>
    <row r="223" spans="1:14">
      <c r="A223" s="163"/>
      <c r="B223" s="170" t="s">
        <v>73</v>
      </c>
      <c r="C223" s="491">
        <f>'[17]Sch D'!G9</f>
        <v>0</v>
      </c>
      <c r="D223" s="491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7"/>
      <c r="J223" s="168"/>
      <c r="K223" s="168"/>
    </row>
    <row r="224" spans="1:14">
      <c r="A224" s="163"/>
      <c r="B224" s="170" t="s">
        <v>74</v>
      </c>
      <c r="C224" s="491">
        <f>'[17]Sch D'!H9</f>
        <v>2677</v>
      </c>
      <c r="D224" s="491"/>
      <c r="E224" s="235">
        <f t="shared" si="59"/>
        <v>2677</v>
      </c>
      <c r="F224" s="234"/>
      <c r="G224" s="235">
        <f t="shared" si="57"/>
        <v>2677</v>
      </c>
      <c r="H224" s="172">
        <f t="shared" si="58"/>
        <v>0.1302676399026764</v>
      </c>
      <c r="I224" s="337"/>
      <c r="J224" s="168"/>
      <c r="K224" s="168"/>
    </row>
    <row r="225" spans="1:11">
      <c r="A225" s="163"/>
      <c r="B225" s="170" t="s">
        <v>236</v>
      </c>
      <c r="C225" s="491">
        <f>'[17]Sch D'!I9</f>
        <v>0</v>
      </c>
      <c r="D225" s="491"/>
      <c r="E225" s="235">
        <f t="shared" si="59"/>
        <v>0</v>
      </c>
      <c r="F225" s="234"/>
      <c r="G225" s="235">
        <f t="shared" si="57"/>
        <v>0</v>
      </c>
      <c r="H225" s="172">
        <f t="shared" si="58"/>
        <v>0</v>
      </c>
      <c r="I225" s="337"/>
      <c r="J225" s="168"/>
      <c r="K225" s="168"/>
    </row>
    <row r="226" spans="1:11">
      <c r="A226" s="163"/>
      <c r="B226" s="170" t="s">
        <v>235</v>
      </c>
      <c r="C226" s="491">
        <f>'[17]Sch D'!J9</f>
        <v>894</v>
      </c>
      <c r="D226" s="491"/>
      <c r="E226" s="235">
        <f>C226+D226</f>
        <v>894</v>
      </c>
      <c r="F226" s="234"/>
      <c r="G226" s="235">
        <f>E226+F226</f>
        <v>894</v>
      </c>
      <c r="H226" s="172">
        <f t="shared" si="58"/>
        <v>4.3503649635036494E-2</v>
      </c>
      <c r="I226" s="337"/>
      <c r="J226" s="168"/>
      <c r="K226" s="168"/>
    </row>
    <row r="227" spans="1:11">
      <c r="A227" s="163"/>
      <c r="B227" s="170" t="s">
        <v>179</v>
      </c>
      <c r="C227" s="491">
        <f>'[17]Sch D'!K9</f>
        <v>33</v>
      </c>
      <c r="D227" s="491"/>
      <c r="E227" s="235">
        <f t="shared" si="59"/>
        <v>33</v>
      </c>
      <c r="F227" s="234"/>
      <c r="G227" s="235">
        <f t="shared" si="57"/>
        <v>33</v>
      </c>
      <c r="H227" s="172">
        <f t="shared" si="58"/>
        <v>1.6058394160583941E-3</v>
      </c>
      <c r="I227" s="337"/>
      <c r="J227" s="168"/>
      <c r="K227" s="168"/>
    </row>
    <row r="228" spans="1:11" ht="13.5" thickBot="1">
      <c r="A228" s="163"/>
      <c r="B228" s="236" t="s">
        <v>75</v>
      </c>
      <c r="C228" s="491">
        <f>SUM(C219:C227)</f>
        <v>20550</v>
      </c>
      <c r="D228" s="491">
        <f>SUM(D219:D227)</f>
        <v>0</v>
      </c>
      <c r="E228" s="237">
        <f>SUM(E219:E227)</f>
        <v>20550</v>
      </c>
      <c r="F228" s="237">
        <f>SUM(F219:F227)</f>
        <v>0</v>
      </c>
      <c r="G228" s="237">
        <f>SUM(G219:G227)</f>
        <v>20550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586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585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492">
        <f>'[17]Sch D'!N22</f>
        <v>93</v>
      </c>
      <c r="D231" s="526"/>
      <c r="E231" s="235">
        <f>C231+D231</f>
        <v>93</v>
      </c>
      <c r="F231" s="235"/>
      <c r="G231" s="235">
        <f>E231+F231</f>
        <v>93</v>
      </c>
      <c r="H231" s="167"/>
      <c r="J231" s="168"/>
      <c r="K231" s="168"/>
    </row>
    <row r="232" spans="1:11">
      <c r="A232" s="163"/>
      <c r="B232" s="202" t="s">
        <v>290</v>
      </c>
      <c r="C232" s="492">
        <f>'[17]Sch D'!N24</f>
        <v>93</v>
      </c>
      <c r="D232" s="526"/>
      <c r="E232" s="235">
        <f>C232+D232</f>
        <v>93</v>
      </c>
      <c r="F232" s="235"/>
      <c r="G232" s="235">
        <f>E232+F232</f>
        <v>93</v>
      </c>
      <c r="H232" s="167"/>
      <c r="J232" s="168"/>
      <c r="K232" s="168"/>
    </row>
    <row r="233" spans="1:11">
      <c r="A233" s="163"/>
      <c r="B233" s="202" t="s">
        <v>76</v>
      </c>
      <c r="C233" s="492">
        <f>$C$4-$C$3+1</f>
        <v>365</v>
      </c>
      <c r="D233" s="489"/>
      <c r="E233" s="235">
        <f>C233+D233</f>
        <v>365</v>
      </c>
      <c r="F233" s="240"/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587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492">
        <f>'[17]Sch D'!N28</f>
        <v>33945</v>
      </c>
      <c r="D235" s="489"/>
      <c r="E235" s="234">
        <f>E231*E233</f>
        <v>33945</v>
      </c>
      <c r="F235" s="240"/>
      <c r="G235" s="234">
        <f>G231*G233</f>
        <v>33945</v>
      </c>
      <c r="H235" s="167"/>
      <c r="J235" s="168"/>
      <c r="K235" s="168"/>
    </row>
    <row r="236" spans="1:11" ht="26">
      <c r="A236" s="163"/>
      <c r="B236" s="244" t="s">
        <v>336</v>
      </c>
      <c r="C236" s="493">
        <f>'[17]Sch D'!N30</f>
        <v>0.60539107379584622</v>
      </c>
      <c r="D236" s="240"/>
      <c r="E236" s="245">
        <f>E228/E235</f>
        <v>0.60539107379584622</v>
      </c>
      <c r="F236" s="246"/>
      <c r="G236" s="245">
        <f>G228/G235</f>
        <v>0.60539107379584622</v>
      </c>
      <c r="H236" s="167"/>
      <c r="J236" s="168"/>
      <c r="K236" s="168"/>
    </row>
    <row r="237" spans="1:11" ht="26">
      <c r="A237" s="163"/>
      <c r="B237" s="244" t="s">
        <v>337</v>
      </c>
      <c r="C237" s="493">
        <f>'[17]Sch D'!N32</f>
        <v>0.40518485785830022</v>
      </c>
      <c r="D237" s="240"/>
      <c r="E237" s="245">
        <f>(E219+E220)/E235</f>
        <v>0.40518485785830022</v>
      </c>
      <c r="F237" s="246"/>
      <c r="G237" s="245">
        <f>(G219+G220)/G235</f>
        <v>0.40518485785830022</v>
      </c>
      <c r="H237" s="167"/>
      <c r="J237" s="168"/>
      <c r="K237" s="168"/>
    </row>
    <row r="238" spans="1:11" ht="26">
      <c r="A238" s="163"/>
      <c r="B238" s="244" t="s">
        <v>338</v>
      </c>
      <c r="C238" s="493">
        <f>'[17]Sch D'!N34</f>
        <v>0.66929440389294403</v>
      </c>
      <c r="D238" s="240"/>
      <c r="E238" s="245">
        <f>(E237/E236)</f>
        <v>0.66929440389294403</v>
      </c>
      <c r="F238" s="246"/>
      <c r="G238" s="245">
        <f>(G237/G236)</f>
        <v>0.66929440389294403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490">
        <f>'[17]Sch B'!C85</f>
        <v>169.3047619047619</v>
      </c>
    </row>
    <row r="242" spans="2:7">
      <c r="F242" s="142" t="s">
        <v>341</v>
      </c>
      <c r="G242" s="490">
        <f>'[17]Sch B'!E85</f>
        <v>183.56144890038809</v>
      </c>
    </row>
    <row r="243" spans="2:7">
      <c r="F243" s="142" t="s">
        <v>342</v>
      </c>
      <c r="G243" s="490">
        <f>'[17]Sch B'!G85</f>
        <v>185.80678466076697</v>
      </c>
    </row>
    <row r="244" spans="2:7">
      <c r="F244" s="142" t="s">
        <v>343</v>
      </c>
      <c r="G244" s="490">
        <f>'[17]Sch B'!I85</f>
        <v>178.59877800407332</v>
      </c>
    </row>
    <row r="245" spans="2:7">
      <c r="F245" s="142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" right="0" top="0.75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fitToHeight="4" orientation="portrait" horizontalDpi="300" verticalDpi="300" r:id="rId3"/>
  <headerFooter alignWithMargins="0">
    <oddFooter>&amp;R&amp;D
&amp;T
&amp;F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0">
    <tabColor rgb="FFE28CAB"/>
  </sheetPr>
  <dimension ref="A1:Q247"/>
  <sheetViews>
    <sheetView showGridLines="0" zoomScale="90" zoomScaleNormal="90" workbookViewId="0">
      <pane xSplit="2" topLeftCell="C1" activePane="topRight" state="frozen"/>
      <selection activeCell="N1" sqref="N1"/>
      <selection pane="topRight"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545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478"/>
      <c r="E1" s="478"/>
      <c r="F1" s="478"/>
      <c r="G1" s="478"/>
      <c r="H1" s="478"/>
      <c r="I1" s="544"/>
    </row>
    <row r="2" spans="1:14" ht="23">
      <c r="B2" s="143" t="s">
        <v>189</v>
      </c>
      <c r="C2" s="247" t="s">
        <v>377</v>
      </c>
      <c r="D2" s="247"/>
      <c r="E2" s="144"/>
    </row>
    <row r="3" spans="1:14">
      <c r="A3" s="145"/>
      <c r="B3" s="140" t="s">
        <v>79</v>
      </c>
      <c r="C3" s="495">
        <v>41821</v>
      </c>
      <c r="D3" s="144"/>
      <c r="E3" s="147"/>
    </row>
    <row r="4" spans="1:14">
      <c r="A4" s="145"/>
      <c r="B4" s="148" t="s">
        <v>80</v>
      </c>
      <c r="C4" s="495">
        <v>42185</v>
      </c>
      <c r="D4" s="144"/>
      <c r="E4" s="149"/>
      <c r="F4" s="140" t="s">
        <v>678</v>
      </c>
      <c r="G4" s="150"/>
    </row>
    <row r="5" spans="1:14">
      <c r="A5" s="145"/>
      <c r="B5" s="148"/>
      <c r="C5" s="151"/>
      <c r="D5" s="144"/>
      <c r="F5" s="140" t="s">
        <v>679</v>
      </c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546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547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547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144"/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548"/>
      <c r="J10" s="168"/>
      <c r="K10" s="168"/>
    </row>
    <row r="11" spans="1:14" s="167" customFormat="1">
      <c r="A11" s="169" t="s">
        <v>13</v>
      </c>
      <c r="B11" s="170" t="s">
        <v>213</v>
      </c>
      <c r="C11" s="573">
        <f>'[18]Sch B'!E10</f>
        <v>758261.58</v>
      </c>
      <c r="D11" s="573">
        <f>'[18]Sch B'!G10</f>
        <v>0</v>
      </c>
      <c r="E11" s="171">
        <f>C11+D11</f>
        <v>758261.58</v>
      </c>
      <c r="F11" s="171">
        <f>380684.41-8032</f>
        <v>372652.41</v>
      </c>
      <c r="G11" s="171">
        <f t="shared" ref="G11:G20" si="0">E11+F11</f>
        <v>1130913.99</v>
      </c>
      <c r="H11" s="172">
        <f t="shared" ref="H11:H21" si="1">IF($G$21=0,0,G11/$G$21)</f>
        <v>0.52731462495105186</v>
      </c>
      <c r="I11" s="541"/>
      <c r="J11" s="368" t="s">
        <v>344</v>
      </c>
      <c r="K11" s="369">
        <f>G21</f>
        <v>2144666.46</v>
      </c>
      <c r="M11" s="359">
        <f>IFERROR(G11/G219,0)</f>
        <v>236.74146744818924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573">
        <f>'[18]Sch B'!E15</f>
        <v>0</v>
      </c>
      <c r="D12" s="573">
        <f>'[18]Sch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541"/>
      <c r="J12" s="370" t="s">
        <v>345</v>
      </c>
      <c r="K12" s="371">
        <f>G208</f>
        <v>2119906.6517670737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573">
        <f>'[18]Sch B'!E21</f>
        <v>602945.75</v>
      </c>
      <c r="D13" s="573">
        <f>'[18]Sch B'!G21</f>
        <v>0</v>
      </c>
      <c r="E13" s="171">
        <f t="shared" si="2"/>
        <v>602945.75</v>
      </c>
      <c r="F13" s="171"/>
      <c r="G13" s="171">
        <f t="shared" si="0"/>
        <v>602945.75</v>
      </c>
      <c r="H13" s="172">
        <f t="shared" si="1"/>
        <v>0.28113730561161476</v>
      </c>
      <c r="I13" s="541"/>
      <c r="J13" s="370" t="s">
        <v>346</v>
      </c>
      <c r="K13" s="371">
        <f>G228</f>
        <v>8129</v>
      </c>
      <c r="M13" s="359">
        <f t="shared" si="3"/>
        <v>464.51906779661016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573">
        <f>'[18]Sch B'!E27</f>
        <v>-5132.6499999999996</v>
      </c>
      <c r="D14" s="573">
        <f>'[18]Sch B'!G27</f>
        <v>0</v>
      </c>
      <c r="E14" s="171">
        <f t="shared" si="2"/>
        <v>-5132.6499999999996</v>
      </c>
      <c r="F14" s="175"/>
      <c r="G14" s="175">
        <f>E14+F14</f>
        <v>-5132.6499999999996</v>
      </c>
      <c r="H14" s="176">
        <f t="shared" si="1"/>
        <v>-2.3932159595576458E-3</v>
      </c>
      <c r="I14" s="549"/>
      <c r="J14" s="370" t="s">
        <v>347</v>
      </c>
      <c r="K14" s="371">
        <f>G231</f>
        <v>55</v>
      </c>
      <c r="M14" s="359">
        <f t="shared" si="3"/>
        <v>-165.56935483870967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573">
        <f>'[18]Sch B'!E32</f>
        <v>0</v>
      </c>
      <c r="D15" s="573">
        <f>'[18]Sch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541"/>
      <c r="J15" s="370" t="s">
        <v>348</v>
      </c>
      <c r="K15" s="371">
        <f>G235</f>
        <v>20075</v>
      </c>
      <c r="M15" s="359">
        <f t="shared" si="3"/>
        <v>0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573">
        <f>'[18]Sch B'!E37</f>
        <v>232922.89</v>
      </c>
      <c r="D16" s="573">
        <f>'[18]Sch B'!G37</f>
        <v>0</v>
      </c>
      <c r="E16" s="171">
        <f t="shared" si="2"/>
        <v>232922.89</v>
      </c>
      <c r="F16" s="171"/>
      <c r="G16" s="171">
        <f t="shared" si="0"/>
        <v>232922.89</v>
      </c>
      <c r="H16" s="172">
        <f t="shared" si="1"/>
        <v>0.10860564770523805</v>
      </c>
      <c r="I16" s="541"/>
      <c r="J16" s="372"/>
      <c r="K16" s="371"/>
      <c r="M16" s="359">
        <f t="shared" si="3"/>
        <v>170.88986793837125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573">
        <f>'[18]Sch B'!E42</f>
        <v>106960.52</v>
      </c>
      <c r="D17" s="573">
        <f>'[18]Sch B'!G42</f>
        <v>0</v>
      </c>
      <c r="E17" s="171">
        <f t="shared" si="2"/>
        <v>106960.52</v>
      </c>
      <c r="F17" s="171"/>
      <c r="G17" s="171">
        <f>E17+F17</f>
        <v>106960.52</v>
      </c>
      <c r="H17" s="172">
        <f t="shared" si="1"/>
        <v>4.9872799334960458E-2</v>
      </c>
      <c r="I17" s="541"/>
      <c r="J17" s="370" t="s">
        <v>156</v>
      </c>
      <c r="K17" s="371">
        <f>J208</f>
        <v>61016.240000000005</v>
      </c>
      <c r="M17" s="359">
        <f t="shared" si="3"/>
        <v>164.55464615384616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573">
        <f>'[18]Sch B'!E47</f>
        <v>0</v>
      </c>
      <c r="D18" s="573">
        <f>'[18]Sch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541"/>
      <c r="J18" s="373" t="s">
        <v>252</v>
      </c>
      <c r="K18" s="374">
        <f>K208</f>
        <v>67410.880000000005</v>
      </c>
      <c r="M18" s="359">
        <f t="shared" si="3"/>
        <v>0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573">
        <f>'[18]Sch B'!E52</f>
        <v>0</v>
      </c>
      <c r="D19" s="573">
        <f>'[18]Sch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541"/>
      <c r="J19" s="168"/>
      <c r="K19" s="168"/>
      <c r="M19" s="359">
        <f t="shared" si="3"/>
        <v>0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573">
        <f>'[18]Sch B'!E67</f>
        <v>447546.97</v>
      </c>
      <c r="D20" s="573">
        <f>'[18]Sch B'!G67</f>
        <v>1161.4000000000001</v>
      </c>
      <c r="E20" s="171">
        <f t="shared" si="2"/>
        <v>448708.37</v>
      </c>
      <c r="F20" s="171">
        <f>-380684.41+8032</f>
        <v>-372652.41</v>
      </c>
      <c r="G20" s="171">
        <f t="shared" si="0"/>
        <v>76055.960000000021</v>
      </c>
      <c r="H20" s="172">
        <f t="shared" si="1"/>
        <v>3.5462838356692547E-2</v>
      </c>
      <c r="I20" s="541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573">
        <f>SUM(C11:C20)</f>
        <v>2143505.0600000005</v>
      </c>
      <c r="D21" s="573">
        <f>SUM(D11:D20)</f>
        <v>1161.4000000000001</v>
      </c>
      <c r="E21" s="171">
        <f>SUM(E11:E20)</f>
        <v>2144666.4600000004</v>
      </c>
      <c r="F21" s="171">
        <f>SUM(F11:F20)</f>
        <v>0</v>
      </c>
      <c r="G21" s="171">
        <f>SUM(G11:G20)</f>
        <v>2144666.46</v>
      </c>
      <c r="H21" s="172">
        <f t="shared" si="1"/>
        <v>1</v>
      </c>
      <c r="I21" s="541"/>
      <c r="J21" s="168"/>
      <c r="K21" s="168"/>
      <c r="M21" s="359">
        <f>IFERROR(G21/G228,0)</f>
        <v>263.82906384549142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4">
      <c r="A24" s="181" t="s">
        <v>161</v>
      </c>
      <c r="B24" s="148" t="s">
        <v>12</v>
      </c>
      <c r="M24" s="363"/>
      <c r="N24" s="363"/>
    </row>
    <row r="25" spans="1:14" s="167" customFormat="1">
      <c r="A25" s="169" t="s">
        <v>83</v>
      </c>
      <c r="B25" s="170" t="s">
        <v>14</v>
      </c>
      <c r="C25" s="573">
        <f>'[18]Sch C'!D10</f>
        <v>65147.27</v>
      </c>
      <c r="D25" s="573">
        <f>'[18]Sch C'!F10</f>
        <v>0</v>
      </c>
      <c r="E25" s="171">
        <f t="shared" ref="E25:E60" si="4">C25+D25</f>
        <v>65147.27</v>
      </c>
      <c r="F25" s="171"/>
      <c r="G25" s="182">
        <f>E25+F25</f>
        <v>65147.27</v>
      </c>
      <c r="H25" s="172">
        <f>IF($G$208=0,0,G25/$G$208)</f>
        <v>3.0731197501406821E-2</v>
      </c>
      <c r="I25" s="541"/>
      <c r="J25" s="183">
        <v>1840.08</v>
      </c>
      <c r="K25" s="183">
        <v>2080.08</v>
      </c>
      <c r="M25" s="359">
        <f>G25/G$228</f>
        <v>8.0141800959527618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573">
        <f>'[18]Sch C'!D11</f>
        <v>0</v>
      </c>
      <c r="D26" s="573">
        <f>'[18]Sch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541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573">
        <f>'[18]Sch C'!D12</f>
        <v>35011.440000000002</v>
      </c>
      <c r="D27" s="573">
        <f>'[18]Sch C'!F12</f>
        <v>0</v>
      </c>
      <c r="E27" s="171">
        <f t="shared" si="4"/>
        <v>35011.440000000002</v>
      </c>
      <c r="F27" s="171"/>
      <c r="G27" s="171">
        <f t="shared" si="5"/>
        <v>35011.440000000002</v>
      </c>
      <c r="H27" s="172">
        <f t="shared" si="6"/>
        <v>1.6515557404763931E-2</v>
      </c>
      <c r="I27" s="541"/>
      <c r="J27" s="185">
        <v>2205.4</v>
      </c>
      <c r="K27" s="185">
        <v>2506.9899999999998</v>
      </c>
      <c r="M27" s="359">
        <f t="shared" si="7"/>
        <v>4.3069799483331286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573">
        <f>'[18]Sch C'!D13</f>
        <v>276304.53000000003</v>
      </c>
      <c r="D28" s="573">
        <f>'[18]Sch C'!F13</f>
        <v>-254254</v>
      </c>
      <c r="E28" s="171">
        <f t="shared" si="4"/>
        <v>22050.530000000028</v>
      </c>
      <c r="F28" s="171"/>
      <c r="G28" s="171">
        <f t="shared" si="5"/>
        <v>22050.530000000028</v>
      </c>
      <c r="H28" s="172">
        <f t="shared" si="6"/>
        <v>1.0401651403668903E-2</v>
      </c>
      <c r="I28" s="541"/>
      <c r="J28" s="168"/>
      <c r="K28" s="168"/>
      <c r="M28" s="359">
        <f t="shared" si="7"/>
        <v>2.7125759626030295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573">
        <f>'[18]Sch C'!D14</f>
        <v>3000</v>
      </c>
      <c r="D29" s="573">
        <f>'[18]Sch C'!F14</f>
        <v>0</v>
      </c>
      <c r="E29" s="171">
        <f t="shared" si="4"/>
        <v>3000</v>
      </c>
      <c r="F29" s="171"/>
      <c r="G29" s="171">
        <f t="shared" si="5"/>
        <v>3000</v>
      </c>
      <c r="H29" s="172">
        <f t="shared" si="6"/>
        <v>1.415156652062634E-3</v>
      </c>
      <c r="I29" s="541"/>
      <c r="J29" s="168"/>
      <c r="K29" s="168"/>
      <c r="M29" s="359">
        <f t="shared" si="7"/>
        <v>0.36904908352810922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573">
        <f>'[18]Sch C'!D15</f>
        <v>39240</v>
      </c>
      <c r="D30" s="573">
        <f>'[18]Sch C'!F15</f>
        <v>-39240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541"/>
      <c r="J30" s="168"/>
      <c r="K30" s="168"/>
      <c r="M30" s="359">
        <f t="shared" si="7"/>
        <v>0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573">
        <f>'[18]Sch C'!D16</f>
        <v>0</v>
      </c>
      <c r="D31" s="573">
        <f>'[18]Sch C'!F16</f>
        <v>52910</v>
      </c>
      <c r="E31" s="171">
        <f t="shared" si="4"/>
        <v>52910</v>
      </c>
      <c r="F31" s="171"/>
      <c r="G31" s="171">
        <f t="shared" si="5"/>
        <v>52910</v>
      </c>
      <c r="H31" s="172">
        <f t="shared" si="6"/>
        <v>2.4958646153544654E-2</v>
      </c>
      <c r="I31" s="541"/>
      <c r="J31" s="168"/>
      <c r="K31" s="168"/>
      <c r="M31" s="359">
        <f t="shared" si="7"/>
        <v>6.508795669824087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573">
        <f>'[18]Sch C'!D17</f>
        <v>4918.91</v>
      </c>
      <c r="D32" s="573">
        <f>'[18]Sch C'!F17</f>
        <v>-4919</v>
      </c>
      <c r="E32" s="171">
        <f t="shared" si="4"/>
        <v>-9.0000000000145519E-2</v>
      </c>
      <c r="F32" s="171"/>
      <c r="G32" s="171">
        <f t="shared" si="5"/>
        <v>-9.0000000000145519E-2</v>
      </c>
      <c r="H32" s="172">
        <f t="shared" si="6"/>
        <v>-4.2454699561947662E-8</v>
      </c>
      <c r="I32" s="541"/>
      <c r="J32" s="168"/>
      <c r="K32" s="168"/>
      <c r="M32" s="359">
        <f t="shared" si="7"/>
        <v>-1.1071472505861179E-5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573">
        <f>'[18]Sch C'!D18</f>
        <v>14984.34</v>
      </c>
      <c r="D33" s="573">
        <f>'[18]Sch C'!F18</f>
        <v>0</v>
      </c>
      <c r="E33" s="171">
        <f t="shared" si="4"/>
        <v>14984.34</v>
      </c>
      <c r="F33" s="171"/>
      <c r="G33" s="171">
        <f t="shared" si="5"/>
        <v>14984.34</v>
      </c>
      <c r="H33" s="172">
        <f t="shared" si="6"/>
        <v>7.0683961425894032E-3</v>
      </c>
      <c r="I33" s="541"/>
      <c r="J33" s="168"/>
      <c r="K33" s="168"/>
      <c r="M33" s="359">
        <f t="shared" si="7"/>
        <v>1.8433189814245294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573">
        <f>'[18]Sch C'!D19</f>
        <v>6702.99</v>
      </c>
      <c r="D34" s="573">
        <f>'[18]Sch C'!F19</f>
        <v>0</v>
      </c>
      <c r="E34" s="171">
        <f t="shared" si="4"/>
        <v>6702.99</v>
      </c>
      <c r="F34" s="171"/>
      <c r="G34" s="171">
        <f t="shared" si="5"/>
        <v>6702.99</v>
      </c>
      <c r="H34" s="172">
        <f t="shared" si="6"/>
        <v>3.1619269624031049E-3</v>
      </c>
      <c r="I34" s="541"/>
      <c r="J34" s="168"/>
      <c r="K34" s="168"/>
      <c r="M34" s="359">
        <f t="shared" si="7"/>
        <v>0.8245774387993603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573">
        <f>'[18]Sch C'!D20</f>
        <v>5756.08</v>
      </c>
      <c r="D35" s="573">
        <f>'[18]Sch C'!F20</f>
        <v>0</v>
      </c>
      <c r="E35" s="171">
        <f t="shared" si="4"/>
        <v>5756.08</v>
      </c>
      <c r="F35" s="171"/>
      <c r="G35" s="171">
        <f t="shared" si="5"/>
        <v>5756.08</v>
      </c>
      <c r="H35" s="172">
        <f t="shared" si="6"/>
        <v>2.7152516339348952E-3</v>
      </c>
      <c r="I35" s="541"/>
      <c r="J35" s="168"/>
      <c r="K35" s="168"/>
      <c r="M35" s="359">
        <f t="shared" si="7"/>
        <v>0.70809201623815965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573">
        <f>'[18]Sch C'!D21</f>
        <v>7391.9</v>
      </c>
      <c r="D36" s="573">
        <f>'[18]Sch C'!F21</f>
        <v>0</v>
      </c>
      <c r="E36" s="171">
        <f t="shared" si="4"/>
        <v>7391.9</v>
      </c>
      <c r="F36" s="171"/>
      <c r="G36" s="171">
        <f t="shared" si="5"/>
        <v>7391.9</v>
      </c>
      <c r="H36" s="172">
        <f t="shared" si="6"/>
        <v>3.4868988187939276E-3</v>
      </c>
      <c r="I36" s="541"/>
      <c r="J36" s="168"/>
      <c r="K36" s="168"/>
      <c r="M36" s="359">
        <f t="shared" si="7"/>
        <v>0.90932464017714354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573">
        <f>'[18]Sch C'!D22</f>
        <v>0</v>
      </c>
      <c r="D37" s="573">
        <f>'[18]Sch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541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573">
        <f>'[18]Sch C'!D23</f>
        <v>7260.53</v>
      </c>
      <c r="D38" s="573">
        <f>'[18]Sch C'!F23</f>
        <v>0</v>
      </c>
      <c r="E38" s="171">
        <f t="shared" si="4"/>
        <v>7260.53</v>
      </c>
      <c r="F38" s="171"/>
      <c r="G38" s="171">
        <f t="shared" si="5"/>
        <v>7260.53</v>
      </c>
      <c r="H38" s="172">
        <f t="shared" si="6"/>
        <v>3.4249291090001051E-3</v>
      </c>
      <c r="I38" s="541"/>
      <c r="J38" s="168"/>
      <c r="K38" s="168"/>
      <c r="M38" s="359">
        <f t="shared" si="7"/>
        <v>0.89316398080944759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573">
        <f>'[18]Sch C'!D24</f>
        <v>33058.81</v>
      </c>
      <c r="D39" s="573">
        <f>'[18]Sch C'!F24</f>
        <v>0</v>
      </c>
      <c r="E39" s="171">
        <f t="shared" si="4"/>
        <v>33058.81</v>
      </c>
      <c r="F39" s="171">
        <v>-24423</v>
      </c>
      <c r="G39" s="171">
        <f t="shared" si="5"/>
        <v>8635.8099999999977</v>
      </c>
      <c r="H39" s="172">
        <f t="shared" si="6"/>
        <v>4.0736746558163372E-3</v>
      </c>
      <c r="I39" s="541"/>
      <c r="J39" s="168"/>
      <c r="K39" s="168"/>
      <c r="M39" s="359">
        <f t="shared" si="7"/>
        <v>1.0623459220076268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573">
        <f>'[18]Sch C'!D25</f>
        <v>0</v>
      </c>
      <c r="D40" s="573">
        <f>'[18]Sch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541"/>
      <c r="J40" s="168"/>
      <c r="K40" s="168"/>
      <c r="M40" s="359">
        <f t="shared" si="7"/>
        <v>0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573">
        <f>'[18]Sch C'!D26</f>
        <v>104164.92</v>
      </c>
      <c r="D41" s="573">
        <f>'[18]Sch C'!F26</f>
        <v>0</v>
      </c>
      <c r="E41" s="171">
        <f t="shared" si="4"/>
        <v>104164.92</v>
      </c>
      <c r="F41" s="171"/>
      <c r="G41" s="171">
        <f t="shared" si="5"/>
        <v>104164.92</v>
      </c>
      <c r="H41" s="172">
        <f t="shared" si="6"/>
        <v>4.9136559816524032E-2</v>
      </c>
      <c r="I41" s="541"/>
      <c r="J41" s="168"/>
      <c r="K41" s="168"/>
      <c r="M41" s="359">
        <f t="shared" si="7"/>
        <v>12.813989420592939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573">
        <f>'[18]Sch C'!D27</f>
        <v>922.42</v>
      </c>
      <c r="D42" s="573">
        <f>'[18]Sch C'!F27</f>
        <v>0</v>
      </c>
      <c r="E42" s="171">
        <f t="shared" si="4"/>
        <v>922.42</v>
      </c>
      <c r="F42" s="171"/>
      <c r="G42" s="171">
        <f t="shared" si="5"/>
        <v>922.42</v>
      </c>
      <c r="H42" s="172">
        <f t="shared" si="6"/>
        <v>4.3512293299853826E-4</v>
      </c>
      <c r="I42" s="541"/>
      <c r="J42" s="168"/>
      <c r="K42" s="168"/>
      <c r="M42" s="359">
        <f t="shared" si="7"/>
        <v>0.11347275187599951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573">
        <f>'[18]Sch C'!D28</f>
        <v>0</v>
      </c>
      <c r="D43" s="573">
        <f>'[18]Sch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541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573">
        <f>'[18]Sch C'!D29</f>
        <v>36243.050000000003</v>
      </c>
      <c r="D44" s="573">
        <f>'[18]Sch C'!F29</f>
        <v>-36243.050000000003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541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573">
        <f>'[18]Sch C'!D30</f>
        <v>0</v>
      </c>
      <c r="D45" s="573">
        <f>'[18]Sch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541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573">
        <f>'[18]Sch C'!D31</f>
        <v>60782.54</v>
      </c>
      <c r="D46" s="573">
        <f>'[18]Sch C'!F31</f>
        <v>0</v>
      </c>
      <c r="E46" s="171">
        <f t="shared" si="4"/>
        <v>60782.54</v>
      </c>
      <c r="F46" s="171"/>
      <c r="G46" s="171">
        <f t="shared" si="5"/>
        <v>60782.54</v>
      </c>
      <c r="H46" s="172">
        <f t="shared" si="6"/>
        <v>2.8672271936754378E-2</v>
      </c>
      <c r="I46" s="541"/>
      <c r="J46" s="168"/>
      <c r="K46" s="168"/>
      <c r="M46" s="359">
        <f t="shared" si="7"/>
        <v>7.4772468938368801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573">
        <f>'[18]Sch C'!D32</f>
        <v>0</v>
      </c>
      <c r="D47" s="573">
        <f>'[18]Sch C'!F32</f>
        <v>0</v>
      </c>
      <c r="E47" s="171">
        <f t="shared" si="4"/>
        <v>0</v>
      </c>
      <c r="F47" s="171"/>
      <c r="G47" s="171">
        <f t="shared" si="5"/>
        <v>0</v>
      </c>
      <c r="H47" s="172">
        <f t="shared" si="6"/>
        <v>0</v>
      </c>
      <c r="I47" s="541"/>
      <c r="J47" s="168"/>
      <c r="K47" s="168"/>
      <c r="M47" s="359">
        <f t="shared" si="7"/>
        <v>0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573">
        <f>'[18]Sch C'!D33</f>
        <v>0</v>
      </c>
      <c r="D48" s="573">
        <f>'[18]Sch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541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573">
        <f>'[18]Sch C'!D34</f>
        <v>0</v>
      </c>
      <c r="D49" s="573">
        <f>'[18]Sch C'!F34</f>
        <v>0</v>
      </c>
      <c r="E49" s="171">
        <f t="shared" si="4"/>
        <v>0</v>
      </c>
      <c r="F49" s="171"/>
      <c r="G49" s="171">
        <f t="shared" si="5"/>
        <v>0</v>
      </c>
      <c r="H49" s="172">
        <f t="shared" si="6"/>
        <v>0</v>
      </c>
      <c r="I49" s="541"/>
      <c r="J49" s="168"/>
      <c r="K49" s="168"/>
      <c r="M49" s="359">
        <f t="shared" si="7"/>
        <v>0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573">
        <f>'[18]Sch C'!D35</f>
        <v>0</v>
      </c>
      <c r="D50" s="573">
        <f>'[18]Sch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541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573">
        <f>'[18]Sch C'!D36</f>
        <v>0</v>
      </c>
      <c r="D51" s="573">
        <f>'[18]Sch C'!F36</f>
        <v>0</v>
      </c>
      <c r="E51" s="171">
        <f t="shared" si="4"/>
        <v>0</v>
      </c>
      <c r="F51" s="171"/>
      <c r="G51" s="171">
        <f t="shared" si="5"/>
        <v>0</v>
      </c>
      <c r="H51" s="172">
        <f t="shared" si="6"/>
        <v>0</v>
      </c>
      <c r="I51" s="541"/>
      <c r="J51" s="183">
        <v>0</v>
      </c>
      <c r="K51" s="183">
        <v>0</v>
      </c>
      <c r="M51" s="359">
        <f t="shared" si="7"/>
        <v>0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573">
        <f>'[18]Sch C'!D37</f>
        <v>0</v>
      </c>
      <c r="D52" s="573">
        <f>'[18]Sch C'!F37</f>
        <v>0</v>
      </c>
      <c r="E52" s="171">
        <f t="shared" si="4"/>
        <v>0</v>
      </c>
      <c r="F52" s="171"/>
      <c r="G52" s="171">
        <f t="shared" si="5"/>
        <v>0</v>
      </c>
      <c r="H52" s="172">
        <f t="shared" si="6"/>
        <v>0</v>
      </c>
      <c r="I52" s="541"/>
      <c r="J52" s="168"/>
      <c r="K52" s="168"/>
      <c r="M52" s="359">
        <f t="shared" si="7"/>
        <v>0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573">
        <f>'[18]Sch C'!D38</f>
        <v>154.59</v>
      </c>
      <c r="D53" s="573">
        <f>'[18]Sch C'!F38</f>
        <v>0</v>
      </c>
      <c r="E53" s="171">
        <f t="shared" si="4"/>
        <v>154.59</v>
      </c>
      <c r="F53" s="171"/>
      <c r="G53" s="171">
        <f t="shared" si="5"/>
        <v>154.59</v>
      </c>
      <c r="H53" s="172">
        <f t="shared" si="6"/>
        <v>7.2923022280787532E-5</v>
      </c>
      <c r="I53" s="541"/>
      <c r="J53" s="168"/>
      <c r="K53" s="168"/>
      <c r="M53" s="359">
        <f t="shared" si="7"/>
        <v>1.9017099274203468E-2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573">
        <f>'[18]Sch C'!D39</f>
        <v>2151.34</v>
      </c>
      <c r="D54" s="573">
        <f>'[18]Sch C'!F39</f>
        <v>0</v>
      </c>
      <c r="E54" s="171">
        <f t="shared" si="4"/>
        <v>2151.34</v>
      </c>
      <c r="F54" s="171"/>
      <c r="G54" s="171">
        <f t="shared" si="5"/>
        <v>2151.34</v>
      </c>
      <c r="H54" s="172">
        <f t="shared" si="6"/>
        <v>1.0148277039494758E-3</v>
      </c>
      <c r="I54" s="541"/>
      <c r="J54" s="168"/>
      <c r="K54" s="168"/>
      <c r="M54" s="359">
        <f t="shared" si="7"/>
        <v>0.26465001845245417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573">
        <f>'[18]Sch C'!D40</f>
        <v>2081.7399999999998</v>
      </c>
      <c r="D55" s="573">
        <f>'[18]Sch C'!F40</f>
        <v>-2082</v>
      </c>
      <c r="E55" s="171">
        <f t="shared" si="4"/>
        <v>-0.26000000000021828</v>
      </c>
      <c r="F55" s="171"/>
      <c r="G55" s="171">
        <f t="shared" si="5"/>
        <v>-0.26000000000021828</v>
      </c>
      <c r="H55" s="172">
        <f t="shared" si="6"/>
        <v>-1.2264690984553125E-7</v>
      </c>
      <c r="I55" s="541"/>
      <c r="J55" s="168"/>
      <c r="K55" s="168"/>
      <c r="M55" s="359">
        <f t="shared" si="7"/>
        <v>-3.1984253905796322E-5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573">
        <f>'[18]Sch C'!D41</f>
        <v>0</v>
      </c>
      <c r="D56" s="573">
        <f>'[18]Sch C'!F41</f>
        <v>0</v>
      </c>
      <c r="E56" s="171">
        <f t="shared" si="4"/>
        <v>0</v>
      </c>
      <c r="F56" s="171"/>
      <c r="G56" s="171">
        <f t="shared" si="5"/>
        <v>0</v>
      </c>
      <c r="H56" s="172">
        <f t="shared" si="6"/>
        <v>0</v>
      </c>
      <c r="I56" s="541"/>
      <c r="J56" s="168"/>
      <c r="K56" s="168"/>
      <c r="M56" s="359">
        <f t="shared" si="7"/>
        <v>0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573">
        <f>'[18]Sch C'!D42</f>
        <v>1800</v>
      </c>
      <c r="D57" s="573">
        <f>'[18]Sch C'!F42</f>
        <v>0</v>
      </c>
      <c r="E57" s="171">
        <f t="shared" si="4"/>
        <v>1800</v>
      </c>
      <c r="F57" s="171"/>
      <c r="G57" s="171">
        <f t="shared" si="5"/>
        <v>1800</v>
      </c>
      <c r="H57" s="172">
        <f t="shared" si="6"/>
        <v>8.4909399123758039E-4</v>
      </c>
      <c r="I57" s="541"/>
      <c r="J57" s="168"/>
      <c r="K57" s="168"/>
      <c r="M57" s="359">
        <f t="shared" si="7"/>
        <v>0.22142945011686554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573">
        <f>'[18]Sch C'!D43</f>
        <v>0</v>
      </c>
      <c r="D58" s="573">
        <f>'[18]Sch C'!F43</f>
        <v>0</v>
      </c>
      <c r="E58" s="171">
        <f t="shared" si="4"/>
        <v>0</v>
      </c>
      <c r="F58" s="171"/>
      <c r="G58" s="171">
        <f t="shared" si="5"/>
        <v>0</v>
      </c>
      <c r="H58" s="172">
        <f t="shared" si="6"/>
        <v>0</v>
      </c>
      <c r="I58" s="541"/>
      <c r="J58" s="168"/>
      <c r="K58" s="168"/>
      <c r="M58" s="359">
        <f t="shared" si="7"/>
        <v>0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573">
        <f>'[18]Sch C'!D44</f>
        <v>0</v>
      </c>
      <c r="D59" s="573">
        <f>'[18]Sch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541"/>
      <c r="J59" s="168"/>
      <c r="K59" s="168"/>
      <c r="M59" s="359">
        <f t="shared" si="7"/>
        <v>0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573">
        <f>'[18]Sch C'!D45</f>
        <v>85939.82</v>
      </c>
      <c r="D60" s="573">
        <f>'[18]Sch C'!F45</f>
        <v>0</v>
      </c>
      <c r="E60" s="171">
        <f t="shared" si="4"/>
        <v>85939.82</v>
      </c>
      <c r="F60" s="171">
        <v>-85940</v>
      </c>
      <c r="G60" s="171">
        <f t="shared" si="5"/>
        <v>-0.17999999999301508</v>
      </c>
      <c r="H60" s="172">
        <f t="shared" si="6"/>
        <v>-8.4909399120463121E-8</v>
      </c>
      <c r="I60" s="541"/>
      <c r="J60" s="168"/>
      <c r="K60" s="168"/>
      <c r="M60" s="359">
        <f t="shared" si="7"/>
        <v>-2.2142945010827294E-5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573">
        <f>SUM(C25:C60)</f>
        <v>793017.2200000002</v>
      </c>
      <c r="D61" s="573">
        <f>SUM(D25:D60)</f>
        <v>-283828.05</v>
      </c>
      <c r="E61" s="171">
        <f t="shared" ref="E61" si="8">SUM(E25:E60)</f>
        <v>509189.17</v>
      </c>
      <c r="F61" s="171">
        <f>SUM(F25:F60)</f>
        <v>-110363</v>
      </c>
      <c r="G61" s="171">
        <f>SUM(G25:G60)</f>
        <v>398826.17</v>
      </c>
      <c r="H61" s="186">
        <f t="shared" si="6"/>
        <v>0.18813383583072096</v>
      </c>
      <c r="I61" s="550"/>
      <c r="J61" s="168"/>
      <c r="K61" s="168"/>
      <c r="M61" s="364">
        <f>G61/G$228</f>
        <v>49.062144175175298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I62" s="551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551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573">
        <f>'[18]Sch C'!D57</f>
        <v>282000</v>
      </c>
      <c r="D64" s="573">
        <f>'[18]Sch C'!F57</f>
        <v>-282000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I64" s="541"/>
      <c r="J64" s="190"/>
      <c r="K64" s="168"/>
      <c r="M64" s="359">
        <f t="shared" ref="M64:M79" si="12">G64/G$228</f>
        <v>0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573">
        <f>'[18]Sch C'!D58</f>
        <v>115227.36</v>
      </c>
      <c r="D65" s="573">
        <f>'[18]Sch C'!F58</f>
        <v>0</v>
      </c>
      <c r="E65" s="171">
        <f t="shared" si="9"/>
        <v>115227.36</v>
      </c>
      <c r="F65" s="171">
        <v>-474</v>
      </c>
      <c r="G65" s="171">
        <f t="shared" si="10"/>
        <v>114753.36</v>
      </c>
      <c r="H65" s="172">
        <f t="shared" si="11"/>
        <v>5.4131326916846058E-2</v>
      </c>
      <c r="I65" s="541"/>
      <c r="J65" s="190"/>
      <c r="K65" s="168"/>
      <c r="M65" s="359">
        <f t="shared" si="12"/>
        <v>14.11654077992373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573">
        <f>'[18]Sch C'!D59</f>
        <v>0</v>
      </c>
      <c r="D66" s="573">
        <f>'[18]Sch C'!F59</f>
        <v>0</v>
      </c>
      <c r="E66" s="171">
        <f t="shared" si="9"/>
        <v>0</v>
      </c>
      <c r="F66" s="171"/>
      <c r="G66" s="171">
        <f t="shared" si="10"/>
        <v>0</v>
      </c>
      <c r="H66" s="172">
        <f t="shared" si="11"/>
        <v>0</v>
      </c>
      <c r="I66" s="541"/>
      <c r="J66" s="190"/>
      <c r="K66" s="168"/>
      <c r="M66" s="359">
        <f t="shared" si="12"/>
        <v>0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573">
        <f>'[18]Sch C'!D60</f>
        <v>0</v>
      </c>
      <c r="D67" s="573">
        <f>'[18]Sch C'!F60</f>
        <v>0</v>
      </c>
      <c r="E67" s="171">
        <f t="shared" si="9"/>
        <v>0</v>
      </c>
      <c r="F67" s="171"/>
      <c r="G67" s="171">
        <f t="shared" si="10"/>
        <v>0</v>
      </c>
      <c r="H67" s="172">
        <f t="shared" si="11"/>
        <v>0</v>
      </c>
      <c r="I67" s="541"/>
      <c r="J67" s="193"/>
      <c r="K67" s="168"/>
      <c r="M67" s="359">
        <f t="shared" si="12"/>
        <v>0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573">
        <f>'[18]Sch C'!D61</f>
        <v>38353.800000000003</v>
      </c>
      <c r="D68" s="573">
        <f>'[18]Sch C'!F61</f>
        <v>0</v>
      </c>
      <c r="E68" s="171">
        <f t="shared" si="9"/>
        <v>38353.800000000003</v>
      </c>
      <c r="F68" s="171"/>
      <c r="G68" s="171">
        <f t="shared" si="10"/>
        <v>38353.800000000003</v>
      </c>
      <c r="H68" s="172">
        <f t="shared" si="11"/>
        <v>1.8092211733959952E-2</v>
      </c>
      <c r="I68" s="541"/>
      <c r="J68" s="193"/>
      <c r="K68" s="168"/>
      <c r="M68" s="359">
        <f t="shared" si="12"/>
        <v>4.7181449132734654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573">
        <f>'[18]Sch C'!D62</f>
        <v>1549.35</v>
      </c>
      <c r="D69" s="573">
        <f>'[18]Sch C'!F62</f>
        <v>0</v>
      </c>
      <c r="E69" s="171">
        <f t="shared" si="9"/>
        <v>1549.35</v>
      </c>
      <c r="F69" s="171">
        <v>-1033</v>
      </c>
      <c r="G69" s="171">
        <f t="shared" si="10"/>
        <v>516.34999999999991</v>
      </c>
      <c r="H69" s="172">
        <f t="shared" si="11"/>
        <v>2.4357204576418029E-4</v>
      </c>
      <c r="I69" s="541"/>
      <c r="J69" s="195"/>
      <c r="K69" s="168"/>
      <c r="M69" s="359">
        <f t="shared" si="12"/>
        <v>6.351949809324639E-2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573">
        <f>'[18]Sch C'!D63</f>
        <v>0</v>
      </c>
      <c r="D70" s="573">
        <f>'[18]Sch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541"/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573">
        <f>'[18]Sch C'!D64</f>
        <v>0</v>
      </c>
      <c r="D71" s="573">
        <f>'[18]Sch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541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573">
        <f>'[18]Sch C'!D65</f>
        <v>6784.24</v>
      </c>
      <c r="D72" s="573">
        <f>'[18]Sch C'!F65</f>
        <v>0</v>
      </c>
      <c r="E72" s="171">
        <f t="shared" si="9"/>
        <v>6784.24</v>
      </c>
      <c r="F72" s="171"/>
      <c r="G72" s="171">
        <f t="shared" si="10"/>
        <v>6784.24</v>
      </c>
      <c r="H72" s="172">
        <f t="shared" si="11"/>
        <v>3.2002541217298012E-3</v>
      </c>
      <c r="I72" s="541"/>
      <c r="J72" s="195"/>
      <c r="K72" s="168"/>
      <c r="M72" s="359">
        <f t="shared" si="12"/>
        <v>0.83457251814491329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573">
        <f>'[18]Sch C'!D66</f>
        <v>4404.99</v>
      </c>
      <c r="D73" s="573">
        <f>'[18]Sch C'!F66</f>
        <v>0</v>
      </c>
      <c r="E73" s="171">
        <f t="shared" si="9"/>
        <v>4404.99</v>
      </c>
      <c r="F73" s="171"/>
      <c r="G73" s="171">
        <f t="shared" si="10"/>
        <v>4404.99</v>
      </c>
      <c r="H73" s="172">
        <f t="shared" si="11"/>
        <v>2.077916966923127E-3</v>
      </c>
      <c r="I73" s="541"/>
      <c r="J73" s="195"/>
      <c r="K73" s="168"/>
      <c r="M73" s="359">
        <f t="shared" si="12"/>
        <v>0.54188584081682856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573">
        <f>'[18]Sch C'!D67</f>
        <v>8899.81</v>
      </c>
      <c r="D74" s="573">
        <f>'[18]Sch C'!F67</f>
        <v>0</v>
      </c>
      <c r="E74" s="171">
        <f t="shared" si="9"/>
        <v>8899.81</v>
      </c>
      <c r="F74" s="171">
        <f>-603+354</f>
        <v>-249</v>
      </c>
      <c r="G74" s="171">
        <f t="shared" si="10"/>
        <v>8650.81</v>
      </c>
      <c r="H74" s="172">
        <f t="shared" si="11"/>
        <v>4.0807504390766511E-3</v>
      </c>
      <c r="I74" s="541"/>
      <c r="J74" s="195"/>
      <c r="K74" s="168"/>
      <c r="M74" s="359">
        <f t="shared" si="12"/>
        <v>1.0641911674252675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573">
        <f>'[18]Sch C'!D68</f>
        <v>0</v>
      </c>
      <c r="D75" s="573">
        <f>'[18]Sch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541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573">
        <f>'[18]Sch C'!D69</f>
        <v>0</v>
      </c>
      <c r="D76" s="573">
        <f>'[18]Sch C'!F69</f>
        <v>0</v>
      </c>
      <c r="E76" s="171">
        <f t="shared" si="9"/>
        <v>0</v>
      </c>
      <c r="F76" s="171"/>
      <c r="G76" s="171">
        <f t="shared" si="10"/>
        <v>0</v>
      </c>
      <c r="H76" s="172">
        <f t="shared" si="11"/>
        <v>0</v>
      </c>
      <c r="I76" s="541"/>
      <c r="J76" s="195"/>
      <c r="K76" s="168"/>
      <c r="M76" s="359">
        <f t="shared" si="12"/>
        <v>0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573">
        <f>'[18]Sch C'!D70</f>
        <v>0</v>
      </c>
      <c r="D77" s="573">
        <f>'[18]Sch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541"/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573">
        <f>'[18]Sch C'!D71</f>
        <v>0</v>
      </c>
      <c r="D78" s="573">
        <f>'[18]Sch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541"/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573">
        <f>SUM(C64:C78)</f>
        <v>457219.54999999993</v>
      </c>
      <c r="D79" s="573">
        <f>SUM(D64:D78)</f>
        <v>-282000</v>
      </c>
      <c r="E79" s="171">
        <f t="shared" ref="E79" si="13">SUM(E64:E78)</f>
        <v>175219.55</v>
      </c>
      <c r="F79" s="171">
        <f>SUM(F64:F78)</f>
        <v>-1756</v>
      </c>
      <c r="G79" s="171">
        <f>SUM(G64:G78)</f>
        <v>173463.55</v>
      </c>
      <c r="H79" s="172">
        <f t="shared" si="11"/>
        <v>8.1826032224299766E-2</v>
      </c>
      <c r="I79" s="541"/>
      <c r="J79" s="195"/>
      <c r="K79" s="168"/>
      <c r="M79" s="359">
        <f t="shared" si="12"/>
        <v>21.338854717677449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I80" s="541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545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573">
        <f>'[18]Sch C'!D75</f>
        <v>28779.37</v>
      </c>
      <c r="D82" s="573">
        <f>'[18]Sch C'!F75</f>
        <v>0</v>
      </c>
      <c r="E82" s="171">
        <f t="shared" ref="E82:E92" si="14">C82+D82</f>
        <v>28779.37</v>
      </c>
      <c r="F82" s="171"/>
      <c r="G82" s="171">
        <f t="shared" ref="G82:G92" si="15">E82+F82</f>
        <v>28779.37</v>
      </c>
      <c r="H82" s="172">
        <f t="shared" ref="H82:H93" si="16">IF($G$208=0,0,G82/$G$208)</f>
        <v>1.3575772299223935E-2</v>
      </c>
      <c r="I82" s="541"/>
      <c r="J82" s="183">
        <v>1958.63</v>
      </c>
      <c r="K82" s="183">
        <v>2144.36</v>
      </c>
      <c r="M82" s="359">
        <f t="shared" ref="M82:M92" si="17">G82/G$228</f>
        <v>3.540333374338787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573">
        <f>'[18]Sch C'!D76</f>
        <v>0</v>
      </c>
      <c r="D83" s="573">
        <f>'[18]Sch C'!F76</f>
        <v>9741.1661837913161</v>
      </c>
      <c r="E83" s="171">
        <f t="shared" si="14"/>
        <v>9741.1661837913161</v>
      </c>
      <c r="F83" s="171"/>
      <c r="G83" s="171">
        <f t="shared" si="15"/>
        <v>9741.1661837913161</v>
      </c>
      <c r="H83" s="172">
        <f t="shared" si="16"/>
        <v>4.5950920412799546E-3</v>
      </c>
      <c r="I83" s="541"/>
      <c r="J83" s="168"/>
      <c r="K83" s="168"/>
      <c r="M83" s="359">
        <f t="shared" si="17"/>
        <v>1.198322817541065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573">
        <f>'[18]Sch C'!D77</f>
        <v>0</v>
      </c>
      <c r="D84" s="573">
        <f>'[18]Sch C'!F77</f>
        <v>0</v>
      </c>
      <c r="E84" s="171">
        <f t="shared" si="14"/>
        <v>0</v>
      </c>
      <c r="F84" s="171"/>
      <c r="G84" s="171">
        <f t="shared" si="15"/>
        <v>0</v>
      </c>
      <c r="H84" s="172">
        <f t="shared" si="16"/>
        <v>0</v>
      </c>
      <c r="I84" s="541"/>
      <c r="J84" s="168"/>
      <c r="K84" s="168"/>
      <c r="M84" s="359">
        <f t="shared" si="17"/>
        <v>0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573">
        <f>'[18]Sch C'!D78</f>
        <v>579.19000000000005</v>
      </c>
      <c r="D85" s="573">
        <f>'[18]Sch C'!F78</f>
        <v>0</v>
      </c>
      <c r="E85" s="171">
        <f t="shared" si="14"/>
        <v>579.19000000000005</v>
      </c>
      <c r="F85" s="171"/>
      <c r="G85" s="171">
        <f t="shared" si="15"/>
        <v>579.19000000000005</v>
      </c>
      <c r="H85" s="172">
        <f t="shared" si="16"/>
        <v>2.7321486043605235E-4</v>
      </c>
      <c r="I85" s="541"/>
      <c r="J85" s="168"/>
      <c r="K85" s="168"/>
      <c r="M85" s="359">
        <f t="shared" si="17"/>
        <v>7.1249846229548539E-2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573">
        <f>'[18]Sch C'!D79</f>
        <v>16298.75</v>
      </c>
      <c r="D86" s="573">
        <f>'[18]Sch C'!F79</f>
        <v>0</v>
      </c>
      <c r="E86" s="171">
        <f t="shared" si="14"/>
        <v>16298.75</v>
      </c>
      <c r="F86" s="171">
        <v>-3359</v>
      </c>
      <c r="G86" s="171">
        <f>E86+F86</f>
        <v>12939.75</v>
      </c>
      <c r="H86" s="172">
        <f t="shared" si="16"/>
        <v>6.1039244295091558E-3</v>
      </c>
      <c r="I86" s="541"/>
      <c r="J86" s="168"/>
      <c r="K86" s="168"/>
      <c r="M86" s="359">
        <f t="shared" si="17"/>
        <v>1.5918009595276172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573">
        <f>'[18]Sch C'!D80</f>
        <v>13217.88</v>
      </c>
      <c r="D87" s="573">
        <f>'[18]Sch C'!F80</f>
        <v>0</v>
      </c>
      <c r="E87" s="171">
        <f t="shared" si="14"/>
        <v>13217.88</v>
      </c>
      <c r="F87" s="171"/>
      <c r="G87" s="171">
        <f t="shared" si="15"/>
        <v>13217.88</v>
      </c>
      <c r="H87" s="172">
        <f t="shared" si="16"/>
        <v>6.2351236027218824E-3</v>
      </c>
      <c r="I87" s="541"/>
      <c r="J87" s="168"/>
      <c r="K87" s="168"/>
      <c r="M87" s="359">
        <f t="shared" si="17"/>
        <v>1.6260155000615082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573">
        <f>'[18]Sch C'!D81</f>
        <v>16543.21</v>
      </c>
      <c r="D88" s="573">
        <f>'[18]Sch C'!F81</f>
        <v>0</v>
      </c>
      <c r="E88" s="171">
        <f t="shared" si="14"/>
        <v>16543.21</v>
      </c>
      <c r="F88" s="171">
        <v>-1100</v>
      </c>
      <c r="G88" s="171">
        <f t="shared" si="15"/>
        <v>15443.21</v>
      </c>
      <c r="H88" s="172">
        <f t="shared" si="16"/>
        <v>7.2848537869000625E-3</v>
      </c>
      <c r="I88" s="541"/>
      <c r="J88" s="168"/>
      <c r="K88" s="168"/>
      <c r="M88" s="359">
        <f t="shared" si="17"/>
        <v>1.8997674990773772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573">
        <f>'[18]Sch C'!D82</f>
        <v>2859.18</v>
      </c>
      <c r="D89" s="573">
        <f>'[18]Sch C'!F82</f>
        <v>0</v>
      </c>
      <c r="E89" s="171">
        <f t="shared" si="14"/>
        <v>2859.18</v>
      </c>
      <c r="F89" s="171"/>
      <c r="G89" s="171">
        <f t="shared" si="15"/>
        <v>2859.18</v>
      </c>
      <c r="H89" s="172">
        <f t="shared" si="16"/>
        <v>1.3487291988148139E-3</v>
      </c>
      <c r="I89" s="541"/>
      <c r="J89" s="168"/>
      <c r="K89" s="168"/>
      <c r="M89" s="359">
        <f t="shared" si="17"/>
        <v>0.35172591954729976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573">
        <f>'[18]Sch C'!D83</f>
        <v>10498.11</v>
      </c>
      <c r="D90" s="573">
        <f>'[18]Sch C'!F83</f>
        <v>0</v>
      </c>
      <c r="E90" s="171">
        <f t="shared" si="14"/>
        <v>10498.11</v>
      </c>
      <c r="F90" s="171"/>
      <c r="G90" s="171">
        <f t="shared" si="15"/>
        <v>10498.11</v>
      </c>
      <c r="H90" s="172">
        <f t="shared" si="16"/>
        <v>4.9521567335284195E-3</v>
      </c>
      <c r="I90" s="541"/>
      <c r="J90" s="168"/>
      <c r="K90" s="168"/>
      <c r="M90" s="359">
        <f t="shared" si="17"/>
        <v>1.2914392914257597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573">
        <f>'[18]Sch C'!D84</f>
        <v>65495.5</v>
      </c>
      <c r="D91" s="573">
        <f>'[18]Sch C'!F84</f>
        <v>0</v>
      </c>
      <c r="E91" s="171">
        <f t="shared" si="14"/>
        <v>65495.5</v>
      </c>
      <c r="F91" s="171"/>
      <c r="G91" s="171">
        <f t="shared" si="15"/>
        <v>65495.5</v>
      </c>
      <c r="H91" s="172">
        <f t="shared" si="16"/>
        <v>3.0895464168389414E-2</v>
      </c>
      <c r="I91" s="541"/>
      <c r="J91" s="168"/>
      <c r="K91" s="168"/>
      <c r="M91" s="359">
        <f t="shared" si="17"/>
        <v>8.0570180834050937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573">
        <f>'[18]Sch C'!D85</f>
        <v>0</v>
      </c>
      <c r="D92" s="573">
        <f>'[18]Sch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541"/>
      <c r="J92" s="168"/>
      <c r="K92" s="168"/>
      <c r="M92" s="359">
        <f t="shared" si="17"/>
        <v>0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573">
        <f>SUM(C82:C92)</f>
        <v>154271.19</v>
      </c>
      <c r="D93" s="573">
        <f>SUM(D82:D92)</f>
        <v>9741.1661837913161</v>
      </c>
      <c r="E93" s="171">
        <f t="shared" ref="E93" si="18">SUM(E82:E92)</f>
        <v>164012.3561837913</v>
      </c>
      <c r="F93" s="171">
        <f>SUM(F82:F92)</f>
        <v>-4459</v>
      </c>
      <c r="G93" s="171">
        <f>SUM(G82:G92)</f>
        <v>159553.3561837913</v>
      </c>
      <c r="H93" s="172">
        <f t="shared" si="16"/>
        <v>7.526433112080369E-2</v>
      </c>
      <c r="I93" s="541"/>
      <c r="J93" s="168"/>
      <c r="K93" s="168"/>
      <c r="M93" s="364">
        <f>G93/G$228</f>
        <v>19.627673291154053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I94" s="545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545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573">
        <f>'[18]Sch C'!D89</f>
        <v>103132.88</v>
      </c>
      <c r="D96" s="573">
        <f>'[18]Sch C'!F89</f>
        <v>0</v>
      </c>
      <c r="E96" s="171">
        <f t="shared" ref="E96:E101" si="19">C96+D96</f>
        <v>103132.88</v>
      </c>
      <c r="F96" s="171"/>
      <c r="G96" s="171">
        <f t="shared" ref="G96:G101" si="20">E96+F96</f>
        <v>103132.88</v>
      </c>
      <c r="H96" s="172">
        <f t="shared" ref="H96:H102" si="21">IF($G$208=0,0,G96/$G$208)</f>
        <v>4.8649727059459129E-2</v>
      </c>
      <c r="I96" s="541"/>
      <c r="J96" s="183">
        <v>11267.9</v>
      </c>
      <c r="K96" s="183">
        <v>12322.64</v>
      </c>
      <c r="M96" s="364">
        <f t="shared" ref="M96:M101" si="22">G96/G$228</f>
        <v>12.687031615204823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573">
        <f>'[18]Sch C'!D90</f>
        <v>0</v>
      </c>
      <c r="D97" s="573">
        <f>'[18]Sch C'!F90</f>
        <v>34908.148548526522</v>
      </c>
      <c r="E97" s="171">
        <f t="shared" si="19"/>
        <v>34908.148548526522</v>
      </c>
      <c r="F97" s="171"/>
      <c r="G97" s="171">
        <f t="shared" si="20"/>
        <v>34908.148548526522</v>
      </c>
      <c r="H97" s="172">
        <f t="shared" si="21"/>
        <v>1.6466832876545962E-2</v>
      </c>
      <c r="I97" s="541"/>
      <c r="J97" s="168"/>
      <c r="K97" s="168"/>
      <c r="M97" s="364">
        <f t="shared" si="22"/>
        <v>4.2942734098322699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573">
        <f>'[18]Sch C'!D91</f>
        <v>9474.7800000000007</v>
      </c>
      <c r="D98" s="573">
        <f>'[18]Sch C'!F91</f>
        <v>0</v>
      </c>
      <c r="E98" s="171">
        <f t="shared" si="19"/>
        <v>9474.7800000000007</v>
      </c>
      <c r="F98" s="171"/>
      <c r="G98" s="171">
        <f t="shared" si="20"/>
        <v>9474.7800000000007</v>
      </c>
      <c r="H98" s="172">
        <f t="shared" si="21"/>
        <v>4.469432647943335E-3</v>
      </c>
      <c r="I98" s="541"/>
      <c r="J98" s="168"/>
      <c r="K98" s="168"/>
      <c r="M98" s="364">
        <f t="shared" si="22"/>
        <v>1.1655529585434863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573">
        <f>'[18]Sch C'!D92</f>
        <v>66256.97</v>
      </c>
      <c r="D99" s="573">
        <f>'[18]Sch C'!F92</f>
        <v>0</v>
      </c>
      <c r="E99" s="171">
        <f t="shared" si="19"/>
        <v>66256.97</v>
      </c>
      <c r="F99" s="171"/>
      <c r="G99" s="171">
        <f t="shared" si="20"/>
        <v>66256.97</v>
      </c>
      <c r="H99" s="172">
        <f t="shared" si="21"/>
        <v>3.1254663947004796E-2</v>
      </c>
      <c r="I99" s="541"/>
      <c r="J99" s="168"/>
      <c r="K99" s="168"/>
      <c r="M99" s="364">
        <f t="shared" si="22"/>
        <v>8.1506913519498099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573">
        <f>'[18]Sch C'!D93</f>
        <v>10042.83</v>
      </c>
      <c r="D100" s="573">
        <f>'[18]Sch C'!F93</f>
        <v>0</v>
      </c>
      <c r="E100" s="171">
        <f t="shared" si="19"/>
        <v>10042.83</v>
      </c>
      <c r="F100" s="171"/>
      <c r="G100" s="171">
        <f t="shared" si="20"/>
        <v>10042.83</v>
      </c>
      <c r="H100" s="172">
        <f t="shared" si="21"/>
        <v>4.737392560011394E-3</v>
      </c>
      <c r="I100" s="541"/>
      <c r="J100" s="168"/>
      <c r="K100" s="168"/>
      <c r="M100" s="364">
        <f t="shared" si="22"/>
        <v>1.2354324025095338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573">
        <f>'[18]Sch C'!D94</f>
        <v>0</v>
      </c>
      <c r="D101" s="573">
        <f>'[18]Sch C'!F94</f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I101" s="541"/>
      <c r="J101" s="168"/>
      <c r="K101" s="168"/>
      <c r="M101" s="364">
        <f t="shared" si="22"/>
        <v>0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573">
        <f>SUM(C96:C101)</f>
        <v>188907.46</v>
      </c>
      <c r="D102" s="573">
        <f>SUM(D96:D101)</f>
        <v>34908.148548526522</v>
      </c>
      <c r="E102" s="171">
        <f t="shared" ref="E102" si="23">SUM(E96:E101)</f>
        <v>223815.60854852651</v>
      </c>
      <c r="F102" s="171">
        <f>SUM(F96:F101)</f>
        <v>0</v>
      </c>
      <c r="G102" s="171">
        <f>SUM(G96:G101)</f>
        <v>223815.60854852651</v>
      </c>
      <c r="H102" s="172">
        <f t="shared" si="21"/>
        <v>0.1055780490909646</v>
      </c>
      <c r="I102" s="541"/>
      <c r="J102" s="168"/>
      <c r="K102" s="168"/>
      <c r="M102" s="364">
        <f>G102/G$228</f>
        <v>27.532981738039918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I103" s="545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545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573">
        <f>'[18]Sch C'!D98</f>
        <v>19845.14</v>
      </c>
      <c r="D105" s="573">
        <f>'[18]Sch C'!F98</f>
        <v>0</v>
      </c>
      <c r="E105" s="171">
        <f t="shared" ref="E105:E110" si="24">C105+D105</f>
        <v>19845.14</v>
      </c>
      <c r="F105" s="171"/>
      <c r="G105" s="171">
        <f t="shared" ref="G105:G110" si="25">E105+F105</f>
        <v>19845.14</v>
      </c>
      <c r="H105" s="172">
        <f t="shared" ref="H105:H111" si="26">IF($G$208=0,0,G105/$G$208)</f>
        <v>9.3613272940380864E-3</v>
      </c>
      <c r="I105" s="541"/>
      <c r="J105" s="183">
        <v>2012.04</v>
      </c>
      <c r="K105" s="183">
        <v>2312.4899999999998</v>
      </c>
      <c r="M105" s="364">
        <f t="shared" ref="M105:M110" si="27">G105/G$228</f>
        <v>2.441276909829007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573">
        <f>'[18]Sch C'!D99</f>
        <v>0</v>
      </c>
      <c r="D106" s="573">
        <f>'[18]Sch C'!F99</f>
        <v>6717.1312881624726</v>
      </c>
      <c r="E106" s="171">
        <f t="shared" si="24"/>
        <v>6717.1312881624726</v>
      </c>
      <c r="F106" s="171"/>
      <c r="G106" s="171">
        <f t="shared" si="25"/>
        <v>6717.1312881624726</v>
      </c>
      <c r="H106" s="172">
        <f t="shared" si="26"/>
        <v>3.1685976750737243E-3</v>
      </c>
      <c r="I106" s="541"/>
      <c r="J106" s="168"/>
      <c r="K106" s="168"/>
      <c r="M106" s="364">
        <f t="shared" si="27"/>
        <v>0.8263170486114495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573">
        <f>'[18]Sch C'!D100</f>
        <v>3098.84</v>
      </c>
      <c r="D107" s="573">
        <f>'[18]Sch C'!F100</f>
        <v>0</v>
      </c>
      <c r="E107" s="171">
        <f t="shared" si="24"/>
        <v>3098.84</v>
      </c>
      <c r="F107" s="171"/>
      <c r="G107" s="171">
        <f t="shared" si="25"/>
        <v>3098.84</v>
      </c>
      <c r="H107" s="172">
        <f t="shared" si="26"/>
        <v>1.4617813465592575E-3</v>
      </c>
      <c r="I107" s="541"/>
      <c r="J107" s="168"/>
      <c r="K107" s="168"/>
      <c r="M107" s="364">
        <f t="shared" si="27"/>
        <v>0.38120802066674869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573">
        <f>'[18]Sch C'!D101</f>
        <v>0</v>
      </c>
      <c r="D108" s="573">
        <f>'[18]Sch C'!F101</f>
        <v>0</v>
      </c>
      <c r="E108" s="171">
        <f t="shared" si="24"/>
        <v>0</v>
      </c>
      <c r="F108" s="171"/>
      <c r="G108" s="171">
        <f t="shared" si="25"/>
        <v>0</v>
      </c>
      <c r="H108" s="172">
        <f t="shared" si="26"/>
        <v>0</v>
      </c>
      <c r="I108" s="541"/>
      <c r="J108" s="168"/>
      <c r="K108" s="168"/>
      <c r="M108" s="364">
        <f t="shared" si="27"/>
        <v>0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573">
        <f>'[18]Sch C'!D102</f>
        <v>1657.96</v>
      </c>
      <c r="D109" s="573">
        <f>'[18]Sch C'!F102</f>
        <v>0</v>
      </c>
      <c r="E109" s="171">
        <f t="shared" si="24"/>
        <v>1657.96</v>
      </c>
      <c r="F109" s="171"/>
      <c r="G109" s="171">
        <f t="shared" si="25"/>
        <v>1657.96</v>
      </c>
      <c r="H109" s="172">
        <f t="shared" si="26"/>
        <v>7.8209104095125492E-4</v>
      </c>
      <c r="I109" s="541"/>
      <c r="J109" s="168"/>
      <c r="K109" s="168"/>
      <c r="M109" s="364">
        <f t="shared" si="27"/>
        <v>0.20395620617542135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573">
        <f>'[18]Sch C'!D103</f>
        <v>0</v>
      </c>
      <c r="D110" s="573">
        <f>'[18]Sch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541"/>
      <c r="J110" s="168"/>
      <c r="K110" s="168"/>
      <c r="M110" s="364">
        <f t="shared" si="27"/>
        <v>0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573">
        <f>SUM(C105:C110)</f>
        <v>24601.94</v>
      </c>
      <c r="D111" s="573">
        <f>SUM(D105:D110)</f>
        <v>6717.1312881624726</v>
      </c>
      <c r="E111" s="171">
        <f t="shared" ref="E111" si="28">SUM(E105:E110)</f>
        <v>31319.071288162471</v>
      </c>
      <c r="F111" s="171">
        <f>SUM(F105:F110)</f>
        <v>0</v>
      </c>
      <c r="G111" s="171">
        <f>SUM(G105:G110)</f>
        <v>31319.071288162471</v>
      </c>
      <c r="H111" s="172">
        <f t="shared" si="26"/>
        <v>1.4773797356622322E-2</v>
      </c>
      <c r="I111" s="541"/>
      <c r="J111" s="168"/>
      <c r="K111" s="168"/>
      <c r="M111" s="364">
        <f>G111/G$228</f>
        <v>3.8527581852826267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I112" s="545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545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573">
        <f>'[18]Sch C'!D115</f>
        <v>19364.900000000001</v>
      </c>
      <c r="D114" s="573">
        <f>'[18]Sch C'!F115</f>
        <v>0</v>
      </c>
      <c r="E114" s="171">
        <f t="shared" ref="E114:E118" si="29">C114+D114</f>
        <v>19364.900000000001</v>
      </c>
      <c r="F114" s="171"/>
      <c r="G114" s="171">
        <f>E114+F114</f>
        <v>19364.900000000001</v>
      </c>
      <c r="H114" s="172">
        <f t="shared" ref="H114:H119" si="30">IF($G$208=0,0,G114/$G$208)</f>
        <v>9.1347890171759004E-3</v>
      </c>
      <c r="I114" s="541"/>
      <c r="J114" s="183">
        <v>2180.48</v>
      </c>
      <c r="K114" s="183">
        <v>2581.23</v>
      </c>
      <c r="M114" s="364">
        <f t="shared" ref="M114:M119" si="31">G114/G$228</f>
        <v>2.3821995325378276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573">
        <f>'[18]Sch C'!D116</f>
        <v>0</v>
      </c>
      <c r="D115" s="573">
        <f>'[18]Sch C'!F116</f>
        <v>6554.5809040469085</v>
      </c>
      <c r="E115" s="171">
        <f t="shared" si="29"/>
        <v>6554.5809040469085</v>
      </c>
      <c r="F115" s="171"/>
      <c r="G115" s="171">
        <f>E115+F115</f>
        <v>6554.5809040469085</v>
      </c>
      <c r="H115" s="172">
        <f t="shared" si="30"/>
        <v>3.0919195892815652E-3</v>
      </c>
      <c r="I115" s="541"/>
      <c r="J115" s="168"/>
      <c r="K115" s="168"/>
      <c r="M115" s="364">
        <f t="shared" si="31"/>
        <v>0.80632069184978572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573">
        <f>'[18]Sch C'!D117</f>
        <v>5975.27</v>
      </c>
      <c r="D116" s="573">
        <f>'[18]Sch C'!F117</f>
        <v>0</v>
      </c>
      <c r="E116" s="171">
        <f t="shared" si="29"/>
        <v>5975.27</v>
      </c>
      <c r="F116" s="171"/>
      <c r="G116" s="171">
        <f>E116+F116</f>
        <v>5975.27</v>
      </c>
      <c r="H116" s="172">
        <f t="shared" si="30"/>
        <v>2.818647696123432E-3</v>
      </c>
      <c r="I116" s="541"/>
      <c r="J116" s="168"/>
      <c r="K116" s="168"/>
      <c r="M116" s="364">
        <f t="shared" si="31"/>
        <v>0.73505597244433518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573">
        <f>'[18]Sch C'!D118</f>
        <v>0</v>
      </c>
      <c r="D117" s="573">
        <f>'[18]Sch C'!F118</f>
        <v>0</v>
      </c>
      <c r="E117" s="171">
        <f t="shared" si="29"/>
        <v>0</v>
      </c>
      <c r="F117" s="171"/>
      <c r="G117" s="171">
        <f>E117+F117</f>
        <v>0</v>
      </c>
      <c r="H117" s="172">
        <f t="shared" si="30"/>
        <v>0</v>
      </c>
      <c r="I117" s="541"/>
      <c r="J117" s="168"/>
      <c r="K117" s="168"/>
      <c r="M117" s="364">
        <f t="shared" si="31"/>
        <v>0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573">
        <f>'[18]Sch C'!D119</f>
        <v>0</v>
      </c>
      <c r="D118" s="573">
        <f>'[18]Sch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541"/>
      <c r="J118" s="168"/>
      <c r="K118" s="168"/>
      <c r="M118" s="364">
        <f t="shared" si="31"/>
        <v>0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573">
        <f>SUM(C114:C118)</f>
        <v>25340.170000000002</v>
      </c>
      <c r="D119" s="573">
        <f>SUM(D114:D118)</f>
        <v>6554.5809040469085</v>
      </c>
      <c r="E119" s="171">
        <f t="shared" ref="E119" si="32">SUM(E114:E118)</f>
        <v>31894.750904046912</v>
      </c>
      <c r="F119" s="171">
        <f>SUM(F114:F118)</f>
        <v>0</v>
      </c>
      <c r="G119" s="171">
        <f>SUM(G114:G118)</f>
        <v>31894.750904046912</v>
      </c>
      <c r="H119" s="172">
        <f t="shared" si="30"/>
        <v>1.5045356302580899E-2</v>
      </c>
      <c r="I119" s="541"/>
      <c r="J119" s="168"/>
      <c r="K119" s="168"/>
      <c r="M119" s="364">
        <f t="shared" si="31"/>
        <v>3.9235761968319487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I120" s="541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545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545"/>
      <c r="J122" s="204"/>
      <c r="K122" s="204"/>
      <c r="M122" s="359"/>
      <c r="N122" s="359"/>
    </row>
    <row r="123" spans="1:14" s="167" customFormat="1">
      <c r="B123" s="163" t="s">
        <v>232</v>
      </c>
      <c r="C123" s="573">
        <f>'[18]Sch C'!D124</f>
        <v>0</v>
      </c>
      <c r="D123" s="573">
        <f>'[18]Sch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541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0.77002560279620991</v>
      </c>
    </row>
    <row r="124" spans="1:14" s="167" customFormat="1">
      <c r="B124" s="163" t="s">
        <v>194</v>
      </c>
      <c r="C124" s="573">
        <f>'[18]Sch C'!D125</f>
        <v>59464.94</v>
      </c>
      <c r="D124" s="573">
        <f>'[18]Sch C'!F125</f>
        <v>0</v>
      </c>
      <c r="E124" s="171">
        <f t="shared" si="33"/>
        <v>59464.94</v>
      </c>
      <c r="F124" s="171"/>
      <c r="G124" s="171">
        <f>E124+F124</f>
        <v>59464.94</v>
      </c>
      <c r="H124" s="172">
        <f>IF($G$208=0,0,G124/$G$208)</f>
        <v>2.805073513516847E-2</v>
      </c>
      <c r="I124" s="541"/>
      <c r="J124" s="183">
        <v>1759.33</v>
      </c>
      <c r="K124" s="183">
        <v>2050.16</v>
      </c>
      <c r="M124" s="364">
        <f t="shared" si="34"/>
        <v>7.3151605363513355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573">
        <f>'[18]Sch C'!D126</f>
        <v>0</v>
      </c>
      <c r="D125" s="573">
        <f>'[18]Sch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541"/>
      <c r="J125" s="183">
        <v>0</v>
      </c>
      <c r="K125" s="183">
        <v>0</v>
      </c>
      <c r="M125" s="364">
        <f t="shared" si="34"/>
        <v>0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573">
        <f>'[18]Sch C'!D127</f>
        <v>18810.43</v>
      </c>
      <c r="D126" s="573">
        <f>'[18]Sch C'!F127</f>
        <v>0</v>
      </c>
      <c r="E126" s="171">
        <f t="shared" si="33"/>
        <v>18810.43</v>
      </c>
      <c r="F126" s="171"/>
      <c r="G126" s="171">
        <f>E126+F126</f>
        <v>18810.43</v>
      </c>
      <c r="H126" s="172">
        <f>IF($G$208=0,0,G126/$G$208)</f>
        <v>8.8732350475528438E-3</v>
      </c>
      <c r="I126" s="541"/>
      <c r="J126" s="183">
        <v>1694.34</v>
      </c>
      <c r="K126" s="183">
        <v>1849.34</v>
      </c>
      <c r="M126" s="364">
        <f t="shared" si="34"/>
        <v>2.3139906507565509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573">
        <f>'[18]Sch C'!D128</f>
        <v>0</v>
      </c>
      <c r="D127" s="573">
        <f>'[18]Sch C'!F128</f>
        <v>0</v>
      </c>
      <c r="E127" s="171">
        <f t="shared" si="33"/>
        <v>0</v>
      </c>
      <c r="F127" s="171"/>
      <c r="G127" s="171">
        <f>E127+F127</f>
        <v>0</v>
      </c>
      <c r="H127" s="172">
        <f>IF($G$208=0,0,G127/$G$208)</f>
        <v>0</v>
      </c>
      <c r="I127" s="541"/>
      <c r="J127" s="183">
        <v>0</v>
      </c>
      <c r="K127" s="183">
        <v>0</v>
      </c>
      <c r="M127" s="364">
        <f t="shared" si="34"/>
        <v>0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205"/>
      <c r="G128" s="205"/>
      <c r="H128" s="206"/>
      <c r="I128" s="55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573">
        <f>'[18]Sch C'!D130</f>
        <v>0</v>
      </c>
      <c r="D129" s="573">
        <f>'[18]Sch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541"/>
      <c r="J129" s="204"/>
      <c r="K129" s="204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573">
        <f>'[18]Sch C'!D131</f>
        <v>0</v>
      </c>
      <c r="D130" s="573">
        <f>'[18]Sch C'!F131</f>
        <v>20127.537977696509</v>
      </c>
      <c r="E130" s="171">
        <f t="shared" si="35"/>
        <v>20127.537977696509</v>
      </c>
      <c r="F130" s="171"/>
      <c r="G130" s="171">
        <f>E130+F130</f>
        <v>20127.537977696509</v>
      </c>
      <c r="H130" s="172">
        <f>IF($G$208=0,0,G130/$G$208)</f>
        <v>9.494539752926837E-3</v>
      </c>
      <c r="I130" s="541"/>
      <c r="J130" s="204"/>
      <c r="K130" s="204"/>
      <c r="M130" s="364">
        <f t="shared" si="34"/>
        <v>2.4760164814487031</v>
      </c>
      <c r="N130" s="359">
        <f>SUMMARY!J133</f>
        <v>1.0792348507966931</v>
      </c>
    </row>
    <row r="131" spans="1:14" s="167" customFormat="1">
      <c r="B131" s="163" t="s">
        <v>195</v>
      </c>
      <c r="C131" s="573">
        <f>'[18]Sch C'!D132</f>
        <v>0</v>
      </c>
      <c r="D131" s="573">
        <f>'[18]Sch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541"/>
      <c r="J131" s="168"/>
      <c r="K131" s="168"/>
      <c r="M131" s="364">
        <f t="shared" si="34"/>
        <v>0</v>
      </c>
      <c r="N131" s="359">
        <f>SUMMARY!J134</f>
        <v>8.2765628075518377E-2</v>
      </c>
    </row>
    <row r="132" spans="1:14" s="167" customFormat="1">
      <c r="B132" s="163" t="s">
        <v>196</v>
      </c>
      <c r="C132" s="573">
        <f>'[18]Sch C'!D133</f>
        <v>0</v>
      </c>
      <c r="D132" s="573">
        <f>'[18]Sch C'!F133</f>
        <v>6366.9053429096502</v>
      </c>
      <c r="E132" s="171">
        <f t="shared" si="35"/>
        <v>6366.9053429096502</v>
      </c>
      <c r="F132" s="171"/>
      <c r="G132" s="171">
        <f>E132+F132</f>
        <v>6366.9053429096502</v>
      </c>
      <c r="H132" s="172">
        <f>IF($G$208=0,0,G132/$G$208)</f>
        <v>3.0033894830239056E-3</v>
      </c>
      <c r="I132" s="540"/>
      <c r="J132" s="168"/>
      <c r="K132" s="168"/>
      <c r="M132" s="364">
        <f t="shared" si="34"/>
        <v>0.78323352723700945</v>
      </c>
      <c r="N132" s="359">
        <f>SUMMARY!J135</f>
        <v>2.4827298902786038E-2</v>
      </c>
    </row>
    <row r="133" spans="1:14" s="167" customFormat="1">
      <c r="B133" s="163" t="s">
        <v>197</v>
      </c>
      <c r="C133" s="573">
        <f>'[18]Sch C'!D134</f>
        <v>0</v>
      </c>
      <c r="D133" s="573">
        <f>'[18]Sch C'!F134</f>
        <v>0</v>
      </c>
      <c r="E133" s="171">
        <f t="shared" si="35"/>
        <v>0</v>
      </c>
      <c r="F133" s="171"/>
      <c r="G133" s="171">
        <f>E133+F133</f>
        <v>0</v>
      </c>
      <c r="H133" s="172">
        <f>IF($G$208=0,0,G133/$G$208)</f>
        <v>0</v>
      </c>
      <c r="I133" s="540"/>
      <c r="J133" s="168"/>
      <c r="K133" s="168"/>
      <c r="M133" s="364">
        <f t="shared" si="34"/>
        <v>0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541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573">
        <f>'[18]Sch C'!D136</f>
        <v>129449.72</v>
      </c>
      <c r="D135" s="573">
        <f>'[18]Sch C'!F136</f>
        <v>0</v>
      </c>
      <c r="E135" s="171">
        <f t="shared" ref="E135:E138" si="36">C135+D135</f>
        <v>129449.72</v>
      </c>
      <c r="F135" s="171"/>
      <c r="G135" s="171">
        <f>E135+F135</f>
        <v>129449.72</v>
      </c>
      <c r="H135" s="172">
        <f>IF($G$208=0,0,G135/$G$208)</f>
        <v>6.1063877455215132E-2</v>
      </c>
      <c r="I135" s="541"/>
      <c r="J135" s="183">
        <v>4701.78</v>
      </c>
      <c r="K135" s="183">
        <v>5157.84</v>
      </c>
      <c r="M135" s="364">
        <f t="shared" si="34"/>
        <v>15.924433509656785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573">
        <f>'[18]Sch C'!D137</f>
        <v>99532.21</v>
      </c>
      <c r="D136" s="573">
        <f>'[18]Sch C'!F137</f>
        <v>0</v>
      </c>
      <c r="E136" s="171">
        <f t="shared" si="36"/>
        <v>99532.21</v>
      </c>
      <c r="F136" s="171"/>
      <c r="G136" s="171">
        <f>E136+F136</f>
        <v>99532.21</v>
      </c>
      <c r="H136" s="172">
        <f>IF($G$208=0,0,G136/$G$208)</f>
        <v>4.6951223025331675E-2</v>
      </c>
      <c r="I136" s="541"/>
      <c r="J136" s="183">
        <v>4717.51</v>
      </c>
      <c r="K136" s="183">
        <v>5188.18</v>
      </c>
      <c r="M136" s="364">
        <f t="shared" si="34"/>
        <v>12.244090294009103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573">
        <f>'[18]Sch C'!D138</f>
        <v>240118.57</v>
      </c>
      <c r="D137" s="573">
        <f>'[18]Sch C'!F138</f>
        <v>0</v>
      </c>
      <c r="E137" s="171">
        <f t="shared" si="36"/>
        <v>240118.57</v>
      </c>
      <c r="F137" s="171"/>
      <c r="G137" s="171">
        <f>E137+F137</f>
        <v>240118.57</v>
      </c>
      <c r="H137" s="172">
        <f>IF($G$208=0,0,G137/$G$208)</f>
        <v>0.11326846387308907</v>
      </c>
      <c r="I137" s="541"/>
      <c r="J137" s="183">
        <v>23641.06</v>
      </c>
      <c r="K137" s="183">
        <v>26001.61</v>
      </c>
      <c r="M137" s="364">
        <f t="shared" si="34"/>
        <v>29.538512732193382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573">
        <f>'[18]Sch C'!D139</f>
        <v>0</v>
      </c>
      <c r="D138" s="573">
        <f>'[18]Sch C'!F139</f>
        <v>0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541"/>
      <c r="J138" s="183">
        <v>0</v>
      </c>
      <c r="K138" s="183">
        <v>0</v>
      </c>
      <c r="M138" s="364">
        <f t="shared" si="34"/>
        <v>0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541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573">
        <f>'[18]Sch C'!D141</f>
        <v>0</v>
      </c>
      <c r="D140" s="573">
        <f>'[18]Sch C'!F141</f>
        <v>43815.803993112233</v>
      </c>
      <c r="E140" s="171">
        <f t="shared" ref="E140:E143" si="37">C140+D140</f>
        <v>43815.803993112233</v>
      </c>
      <c r="F140" s="171"/>
      <c r="G140" s="171">
        <f>E140+F140</f>
        <v>43815.803993112233</v>
      </c>
      <c r="H140" s="172">
        <f>IF($G$208=0,0,G140/$G$208)</f>
        <v>2.0668742162108431E-2</v>
      </c>
      <c r="I140" s="541"/>
      <c r="J140" s="168"/>
      <c r="K140" s="168"/>
      <c r="M140" s="364">
        <f t="shared" si="34"/>
        <v>5.390060769235113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573">
        <f>'[18]Sch C'!D142</f>
        <v>0</v>
      </c>
      <c r="D141" s="573">
        <f>'[18]Sch C'!F142</f>
        <v>33689.403147116005</v>
      </c>
      <c r="E141" s="171">
        <f t="shared" si="37"/>
        <v>33689.403147116005</v>
      </c>
      <c r="F141" s="171"/>
      <c r="G141" s="171">
        <f>E141+F141</f>
        <v>33689.403147116005</v>
      </c>
      <c r="H141" s="172">
        <f>IF($G$208=0,0,G141/$G$208)</f>
        <v>1.5891927655887015E-2</v>
      </c>
      <c r="I141" s="541"/>
      <c r="J141" s="168"/>
      <c r="K141" s="168"/>
      <c r="M141" s="364">
        <f t="shared" si="34"/>
        <v>4.1443477853507202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573">
        <f>'[18]Sch C'!D143</f>
        <v>0</v>
      </c>
      <c r="D142" s="573">
        <f>'[18]Sch C'!F143</f>
        <v>81274.708035107382</v>
      </c>
      <c r="E142" s="171">
        <f t="shared" si="37"/>
        <v>81274.708035107382</v>
      </c>
      <c r="F142" s="171"/>
      <c r="G142" s="171">
        <f>E142+F142</f>
        <v>81274.708035107382</v>
      </c>
      <c r="H142" s="172">
        <f>IF($G$208=0,0,G142/$G$208)</f>
        <v>3.8338814573443541E-2</v>
      </c>
      <c r="I142" s="541"/>
      <c r="J142" s="168"/>
      <c r="K142" s="168"/>
      <c r="M142" s="364">
        <f t="shared" si="34"/>
        <v>9.9981188381236787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573">
        <f>'[18]Sch C'!D144</f>
        <v>0</v>
      </c>
      <c r="D143" s="573">
        <f>'[18]Sch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541"/>
      <c r="J143" s="168"/>
      <c r="K143" s="168"/>
      <c r="M143" s="364">
        <f t="shared" si="34"/>
        <v>0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541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573">
        <f>'[18]Sch C'!D146</f>
        <v>18000</v>
      </c>
      <c r="D145" s="573">
        <f>'[18]Sch C'!F146</f>
        <v>0</v>
      </c>
      <c r="E145" s="171">
        <f t="shared" ref="E145:E153" si="38">C145+D145</f>
        <v>18000</v>
      </c>
      <c r="F145" s="171"/>
      <c r="G145" s="171">
        <f t="shared" ref="G145:G153" si="39">E145+F145</f>
        <v>18000</v>
      </c>
      <c r="H145" s="172">
        <f t="shared" ref="H145:H153" si="40">IF($G$208=0,0,G145/$G$208)</f>
        <v>8.4909399123758045E-3</v>
      </c>
      <c r="I145" s="541"/>
      <c r="J145" s="183">
        <v>0</v>
      </c>
      <c r="K145" s="183">
        <v>0</v>
      </c>
      <c r="M145" s="364">
        <f t="shared" si="34"/>
        <v>2.2142945011686552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573">
        <f>'[18]Sch C'!D147</f>
        <v>0</v>
      </c>
      <c r="D146" s="573">
        <f>'[18]Sch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541"/>
      <c r="J146" s="183">
        <v>0</v>
      </c>
      <c r="K146" s="183">
        <v>0</v>
      </c>
      <c r="M146" s="364">
        <f t="shared" si="34"/>
        <v>0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573">
        <f>'[18]Sch C'!D148</f>
        <v>0</v>
      </c>
      <c r="D147" s="573">
        <f>'[18]Sch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541"/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573">
        <f>'[18]Sch C'!D149</f>
        <v>0</v>
      </c>
      <c r="D148" s="573">
        <f>'[18]Sch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541"/>
      <c r="J148" s="183">
        <v>0</v>
      </c>
      <c r="K148" s="183">
        <v>0</v>
      </c>
      <c r="M148" s="364">
        <f t="shared" si="34"/>
        <v>0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573">
        <f>'[18]Sch C'!D150</f>
        <v>4154.8599999999997</v>
      </c>
      <c r="D149" s="573">
        <f>'[18]Sch C'!F150</f>
        <v>0</v>
      </c>
      <c r="E149" s="171">
        <f t="shared" si="38"/>
        <v>4154.8599999999997</v>
      </c>
      <c r="F149" s="171"/>
      <c r="G149" s="171">
        <f t="shared" si="39"/>
        <v>4154.8599999999997</v>
      </c>
      <c r="H149" s="172">
        <f t="shared" si="40"/>
        <v>1.9599259224629849E-3</v>
      </c>
      <c r="I149" s="541"/>
      <c r="J149" s="183">
        <v>0</v>
      </c>
      <c r="K149" s="183">
        <v>0</v>
      </c>
      <c r="M149" s="364">
        <f t="shared" si="34"/>
        <v>0.51111575839586665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573">
        <f>'[18]Sch C'!D151</f>
        <v>48951.65</v>
      </c>
      <c r="D150" s="573">
        <f>'[18]Sch C'!F151</f>
        <v>0</v>
      </c>
      <c r="E150" s="171">
        <f t="shared" si="38"/>
        <v>48951.65</v>
      </c>
      <c r="F150" s="171"/>
      <c r="G150" s="171">
        <f t="shared" si="39"/>
        <v>48951.65</v>
      </c>
      <c r="H150" s="172">
        <f t="shared" si="40"/>
        <v>2.3091417708980613E-2</v>
      </c>
      <c r="I150" s="540"/>
      <c r="J150" s="168"/>
      <c r="K150" s="168"/>
      <c r="M150" s="364">
        <f t="shared" si="34"/>
        <v>6.0218538565629229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573">
        <f>'[18]Sch C'!D152</f>
        <v>83.87</v>
      </c>
      <c r="D151" s="573">
        <f>'[18]Sch C'!F152</f>
        <v>0</v>
      </c>
      <c r="E151" s="171">
        <f t="shared" si="38"/>
        <v>83.87</v>
      </c>
      <c r="F151" s="171"/>
      <c r="G151" s="171">
        <f t="shared" si="39"/>
        <v>83.87</v>
      </c>
      <c r="H151" s="172">
        <f t="shared" si="40"/>
        <v>3.9563062802831038E-5</v>
      </c>
      <c r="I151" s="541"/>
      <c r="J151" s="168"/>
      <c r="K151" s="168"/>
      <c r="M151" s="364">
        <f t="shared" si="34"/>
        <v>1.0317382211834175E-2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573">
        <f>'[18]Sch C'!D153</f>
        <v>4852.28</v>
      </c>
      <c r="D152" s="573">
        <f>'[18]Sch C'!F153</f>
        <v>0</v>
      </c>
      <c r="E152" s="171">
        <f t="shared" si="38"/>
        <v>4852.28</v>
      </c>
      <c r="F152" s="171"/>
      <c r="G152" s="171">
        <f t="shared" si="39"/>
        <v>4852.28</v>
      </c>
      <c r="H152" s="172">
        <f t="shared" si="40"/>
        <v>2.2889121065568256E-3</v>
      </c>
      <c r="I152" s="541"/>
      <c r="J152" s="168"/>
      <c r="K152" s="168"/>
      <c r="M152" s="364">
        <f t="shared" si="34"/>
        <v>0.59690982900725797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573">
        <f>'[18]Sch C'!D154</f>
        <v>0</v>
      </c>
      <c r="D153" s="573">
        <f>'[18]Sch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541"/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210"/>
      <c r="G154" s="210"/>
      <c r="H154" s="211"/>
      <c r="I154" s="541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573">
        <f>'[18]Sch C'!D156</f>
        <v>0</v>
      </c>
      <c r="D155" s="573">
        <f>'[18]Sch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541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573">
        <f>'[18]Sch C'!D157</f>
        <v>2459</v>
      </c>
      <c r="D156" s="573">
        <f>'[18]Sch C'!F157</f>
        <v>1161.4000000000001</v>
      </c>
      <c r="E156" s="171">
        <f t="shared" si="41"/>
        <v>3620.4</v>
      </c>
      <c r="F156" s="171"/>
      <c r="G156" s="171">
        <f t="shared" si="42"/>
        <v>3620.4</v>
      </c>
      <c r="H156" s="172">
        <f t="shared" si="43"/>
        <v>1.7078110477091867E-3</v>
      </c>
      <c r="I156" s="541"/>
      <c r="J156" s="168"/>
      <c r="K156" s="168"/>
      <c r="M156" s="364">
        <f t="shared" si="34"/>
        <v>0.44536843400172221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573">
        <f>'[18]Sch C'!D158</f>
        <v>0</v>
      </c>
      <c r="D157" s="573">
        <f>'[18]Sch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541"/>
      <c r="J157" s="168"/>
      <c r="K157" s="168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573">
        <f>'[18]Sch C'!D159</f>
        <v>596.54999999999995</v>
      </c>
      <c r="D158" s="573">
        <f>'[18]Sch C'!F159</f>
        <v>0</v>
      </c>
      <c r="E158" s="171">
        <f t="shared" si="41"/>
        <v>596.54999999999995</v>
      </c>
      <c r="F158" s="171"/>
      <c r="G158" s="171">
        <f t="shared" si="42"/>
        <v>596.54999999999995</v>
      </c>
      <c r="H158" s="172">
        <f t="shared" si="43"/>
        <v>2.8140390026265474E-4</v>
      </c>
      <c r="I158" s="541"/>
      <c r="J158" s="168"/>
      <c r="K158" s="168"/>
      <c r="M158" s="364">
        <f t="shared" si="34"/>
        <v>7.3385410259564521E-2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573">
        <f>'[18]Sch C'!D160</f>
        <v>0</v>
      </c>
      <c r="D159" s="573">
        <f>'[18]Sch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541"/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573">
        <f>'[18]Sch C'!D161</f>
        <v>0</v>
      </c>
      <c r="D160" s="573">
        <f>'[18]Sch C'!F161</f>
        <v>0</v>
      </c>
      <c r="E160" s="171">
        <f t="shared" si="41"/>
        <v>0</v>
      </c>
      <c r="F160" s="171"/>
      <c r="G160" s="171">
        <f t="shared" si="42"/>
        <v>0</v>
      </c>
      <c r="H160" s="172">
        <f t="shared" si="43"/>
        <v>0</v>
      </c>
      <c r="I160" s="541"/>
      <c r="J160" s="168"/>
      <c r="K160" s="168"/>
      <c r="M160" s="364">
        <f t="shared" si="34"/>
        <v>0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573">
        <f>SUM(C123:C160)</f>
        <v>626474.08000000007</v>
      </c>
      <c r="D161" s="573">
        <f>SUM(D123:D160)</f>
        <v>186435.75849594179</v>
      </c>
      <c r="E161" s="171">
        <f t="shared" ref="E161" si="44">SUM(E123:E160)</f>
        <v>812909.83849594183</v>
      </c>
      <c r="F161" s="171">
        <f>SUM(F123:F160)</f>
        <v>0</v>
      </c>
      <c r="G161" s="171">
        <f>SUM(G123:G160)</f>
        <v>812909.83849594183</v>
      </c>
      <c r="H161" s="172">
        <f t="shared" si="43"/>
        <v>0.38346492182489783</v>
      </c>
      <c r="I161" s="541"/>
      <c r="J161" s="168"/>
      <c r="K161" s="168"/>
      <c r="M161" s="364">
        <f>G161/G$228</f>
        <v>100.00121029597021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541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541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573">
        <f>'[18]Sch C'!D175</f>
        <v>0</v>
      </c>
      <c r="D164" s="573">
        <f>'[18]Sch C'!F175</f>
        <v>0</v>
      </c>
      <c r="E164" s="171">
        <f t="shared" ref="E164:E196" si="45">C164+D164</f>
        <v>0</v>
      </c>
      <c r="F164" s="665"/>
      <c r="G164" s="171">
        <f t="shared" ref="G164:G196" si="46">E164+F164</f>
        <v>0</v>
      </c>
      <c r="H164" s="172">
        <f t="shared" ref="H164:H196" si="47">IF($G$208=0,0,G164/$G$208)</f>
        <v>0</v>
      </c>
      <c r="I164" s="553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573">
        <f>'[18]Sch C'!D176</f>
        <v>0</v>
      </c>
      <c r="D165" s="573">
        <f>'[18]Sch C'!F176</f>
        <v>0</v>
      </c>
      <c r="E165" s="171">
        <f t="shared" si="45"/>
        <v>0</v>
      </c>
      <c r="F165" s="665"/>
      <c r="G165" s="171">
        <f t="shared" si="46"/>
        <v>0</v>
      </c>
      <c r="H165" s="172">
        <f t="shared" si="47"/>
        <v>0</v>
      </c>
      <c r="I165" s="554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573">
        <f>'[18]Sch C'!D177</f>
        <v>0</v>
      </c>
      <c r="D166" s="573">
        <f>'[18]Sch C'!F177</f>
        <v>0</v>
      </c>
      <c r="E166" s="171">
        <f t="shared" si="45"/>
        <v>0</v>
      </c>
      <c r="F166" s="665"/>
      <c r="G166" s="171">
        <f t="shared" si="46"/>
        <v>0</v>
      </c>
      <c r="H166" s="172">
        <f t="shared" si="47"/>
        <v>0</v>
      </c>
      <c r="I166" s="553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573">
        <f>'[18]Sch C'!D178</f>
        <v>0</v>
      </c>
      <c r="D167" s="573">
        <f>'[18]Sch C'!F178</f>
        <v>0</v>
      </c>
      <c r="E167" s="171">
        <f t="shared" si="45"/>
        <v>0</v>
      </c>
      <c r="F167" s="665"/>
      <c r="G167" s="171">
        <f t="shared" si="46"/>
        <v>0</v>
      </c>
      <c r="H167" s="172">
        <f t="shared" si="47"/>
        <v>0</v>
      </c>
      <c r="I167" s="554"/>
      <c r="J167" s="222"/>
      <c r="K167" s="222"/>
      <c r="L167" s="218"/>
      <c r="M167" s="364">
        <f t="shared" si="48"/>
        <v>0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573">
        <f>'[18]Sch C'!D179</f>
        <v>0</v>
      </c>
      <c r="D168" s="573">
        <f>'[18]Sch C'!F179</f>
        <v>0</v>
      </c>
      <c r="E168" s="171">
        <f t="shared" si="45"/>
        <v>0</v>
      </c>
      <c r="F168" s="665"/>
      <c r="G168" s="171">
        <f t="shared" si="46"/>
        <v>0</v>
      </c>
      <c r="H168" s="172">
        <f t="shared" si="47"/>
        <v>0</v>
      </c>
      <c r="I168" s="553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573">
        <f>'[18]Sch C'!D180</f>
        <v>0</v>
      </c>
      <c r="D169" s="573">
        <f>'[18]Sch C'!F180</f>
        <v>0</v>
      </c>
      <c r="E169" s="171">
        <f t="shared" si="45"/>
        <v>0</v>
      </c>
      <c r="F169" s="665"/>
      <c r="G169" s="171">
        <f t="shared" si="46"/>
        <v>0</v>
      </c>
      <c r="H169" s="172">
        <f t="shared" si="47"/>
        <v>0</v>
      </c>
      <c r="I169" s="554"/>
      <c r="J169" s="222"/>
      <c r="K169" s="222"/>
      <c r="L169" s="218"/>
      <c r="M169" s="364">
        <f t="shared" si="48"/>
        <v>0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573">
        <f>'[18]Sch C'!D181</f>
        <v>0</v>
      </c>
      <c r="D170" s="573">
        <f>'[18]Sch C'!F181</f>
        <v>0</v>
      </c>
      <c r="E170" s="171">
        <f t="shared" si="45"/>
        <v>0</v>
      </c>
      <c r="F170" s="665"/>
      <c r="G170" s="171">
        <f t="shared" si="46"/>
        <v>0</v>
      </c>
      <c r="H170" s="172">
        <f t="shared" si="47"/>
        <v>0</v>
      </c>
      <c r="I170" s="553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573">
        <f>'[18]Sch C'!D182</f>
        <v>0</v>
      </c>
      <c r="D171" s="573">
        <f>'[18]Sch C'!F182</f>
        <v>0</v>
      </c>
      <c r="E171" s="171">
        <f t="shared" si="45"/>
        <v>0</v>
      </c>
      <c r="F171" s="665"/>
      <c r="G171" s="171">
        <f t="shared" si="46"/>
        <v>0</v>
      </c>
      <c r="H171" s="172">
        <f t="shared" si="47"/>
        <v>0</v>
      </c>
      <c r="I171" s="554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573">
        <f>'[18]Sch C'!D183</f>
        <v>0</v>
      </c>
      <c r="D172" s="573">
        <f>'[18]Sch C'!F183</f>
        <v>0</v>
      </c>
      <c r="E172" s="171">
        <f t="shared" si="45"/>
        <v>0</v>
      </c>
      <c r="F172" s="665"/>
      <c r="G172" s="171">
        <f t="shared" si="46"/>
        <v>0</v>
      </c>
      <c r="H172" s="172">
        <f t="shared" si="47"/>
        <v>0</v>
      </c>
      <c r="I172" s="553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573">
        <f>'[18]Sch C'!D184</f>
        <v>0</v>
      </c>
      <c r="D173" s="573">
        <f>'[18]Sch C'!F184</f>
        <v>0</v>
      </c>
      <c r="E173" s="171">
        <f t="shared" si="45"/>
        <v>0</v>
      </c>
      <c r="F173" s="665"/>
      <c r="G173" s="171">
        <f t="shared" si="46"/>
        <v>0</v>
      </c>
      <c r="H173" s="172">
        <f t="shared" si="47"/>
        <v>0</v>
      </c>
      <c r="I173" s="554"/>
      <c r="J173" s="222"/>
      <c r="K173" s="222"/>
      <c r="L173" s="218"/>
      <c r="M173" s="364">
        <f t="shared" si="48"/>
        <v>0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573">
        <f>'[18]Sch C'!D185</f>
        <v>0</v>
      </c>
      <c r="D174" s="573">
        <f>'[18]Sch C'!F185</f>
        <v>0</v>
      </c>
      <c r="E174" s="171">
        <f t="shared" si="45"/>
        <v>0</v>
      </c>
      <c r="F174" s="665"/>
      <c r="G174" s="171">
        <f t="shared" si="46"/>
        <v>0</v>
      </c>
      <c r="H174" s="172">
        <f t="shared" si="47"/>
        <v>0</v>
      </c>
      <c r="I174" s="553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573">
        <f>'[18]Sch C'!D186</f>
        <v>0</v>
      </c>
      <c r="D175" s="573">
        <f>'[18]Sch C'!F186</f>
        <v>0</v>
      </c>
      <c r="E175" s="171">
        <f t="shared" si="45"/>
        <v>0</v>
      </c>
      <c r="F175" s="665"/>
      <c r="G175" s="171">
        <f t="shared" si="46"/>
        <v>0</v>
      </c>
      <c r="H175" s="172">
        <f t="shared" si="47"/>
        <v>0</v>
      </c>
      <c r="I175" s="541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573">
        <f>'[18]Sch C'!D187</f>
        <v>0</v>
      </c>
      <c r="D176" s="573">
        <f>'[18]Sch C'!F187</f>
        <v>0</v>
      </c>
      <c r="E176" s="171">
        <f t="shared" si="45"/>
        <v>0</v>
      </c>
      <c r="F176" s="665"/>
      <c r="G176" s="171">
        <f t="shared" si="46"/>
        <v>0</v>
      </c>
      <c r="H176" s="172">
        <f t="shared" si="47"/>
        <v>0</v>
      </c>
      <c r="I176" s="541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573">
        <f>'[18]Sch C'!D188</f>
        <v>0</v>
      </c>
      <c r="D177" s="573">
        <f>'[18]Sch C'!F188</f>
        <v>0</v>
      </c>
      <c r="E177" s="171">
        <f t="shared" si="45"/>
        <v>0</v>
      </c>
      <c r="F177" s="665"/>
      <c r="G177" s="171">
        <f t="shared" si="46"/>
        <v>0</v>
      </c>
      <c r="H177" s="172">
        <f t="shared" si="47"/>
        <v>0</v>
      </c>
      <c r="I177" s="541"/>
      <c r="J177" s="223"/>
      <c r="K177" s="218"/>
      <c r="L177" s="220"/>
      <c r="M177" s="364">
        <f t="shared" si="48"/>
        <v>0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573">
        <f>'[18]Sch C'!D189</f>
        <v>0</v>
      </c>
      <c r="D178" s="573">
        <f>'[18]Sch C'!F189</f>
        <v>0</v>
      </c>
      <c r="E178" s="171">
        <f t="shared" si="45"/>
        <v>0</v>
      </c>
      <c r="F178" s="665"/>
      <c r="G178" s="171">
        <f t="shared" si="46"/>
        <v>0</v>
      </c>
      <c r="H178" s="172">
        <f t="shared" si="47"/>
        <v>0</v>
      </c>
      <c r="I178" s="541"/>
      <c r="J178" s="223"/>
      <c r="K178" s="218"/>
      <c r="L178" s="220"/>
      <c r="M178" s="364">
        <f t="shared" si="48"/>
        <v>0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573">
        <f>'[18]Sch C'!D190</f>
        <v>0</v>
      </c>
      <c r="D179" s="573">
        <f>'[18]Sch C'!F190</f>
        <v>0</v>
      </c>
      <c r="E179" s="171">
        <f t="shared" si="45"/>
        <v>0</v>
      </c>
      <c r="F179" s="665"/>
      <c r="G179" s="171">
        <f t="shared" si="46"/>
        <v>0</v>
      </c>
      <c r="H179" s="172">
        <f t="shared" si="47"/>
        <v>0</v>
      </c>
      <c r="I179" s="541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573">
        <f>'[18]Sch C'!D191</f>
        <v>0</v>
      </c>
      <c r="D180" s="573">
        <f>'[18]Sch C'!F191</f>
        <v>0</v>
      </c>
      <c r="E180" s="171">
        <f t="shared" si="45"/>
        <v>0</v>
      </c>
      <c r="F180" s="665"/>
      <c r="G180" s="171">
        <f t="shared" si="46"/>
        <v>0</v>
      </c>
      <c r="H180" s="172">
        <f t="shared" si="47"/>
        <v>0</v>
      </c>
      <c r="I180" s="541"/>
      <c r="J180" s="223"/>
      <c r="K180" s="218"/>
      <c r="L180" s="220"/>
      <c r="M180" s="364">
        <f t="shared" si="48"/>
        <v>0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573">
        <f>'[18]Sch C'!D192</f>
        <v>166</v>
      </c>
      <c r="D181" s="573">
        <f>'[18]Sch C'!F192</f>
        <v>0</v>
      </c>
      <c r="E181" s="171">
        <f t="shared" si="45"/>
        <v>166</v>
      </c>
      <c r="F181" s="665"/>
      <c r="G181" s="171">
        <f t="shared" si="46"/>
        <v>166</v>
      </c>
      <c r="H181" s="172">
        <f t="shared" si="47"/>
        <v>7.8305334747465739E-5</v>
      </c>
      <c r="I181" s="541"/>
      <c r="J181" s="223"/>
      <c r="K181" s="218"/>
      <c r="L181" s="220"/>
      <c r="M181" s="364">
        <f t="shared" si="48"/>
        <v>2.0420715955222043E-2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573">
        <f>'[18]Sch C'!D193</f>
        <v>0</v>
      </c>
      <c r="D182" s="573">
        <f>'[18]Sch C'!F193</f>
        <v>0</v>
      </c>
      <c r="E182" s="171">
        <f t="shared" si="45"/>
        <v>0</v>
      </c>
      <c r="F182" s="665"/>
      <c r="G182" s="171">
        <f t="shared" si="46"/>
        <v>0</v>
      </c>
      <c r="H182" s="172">
        <f t="shared" si="47"/>
        <v>0</v>
      </c>
      <c r="I182" s="541"/>
      <c r="J182" s="223"/>
      <c r="K182" s="218"/>
      <c r="L182" s="220"/>
      <c r="M182" s="364">
        <f t="shared" si="48"/>
        <v>0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573">
        <f>'[18]Sch C'!D194</f>
        <v>113889.46</v>
      </c>
      <c r="D183" s="573">
        <f>'[18]Sch C'!F194</f>
        <v>0</v>
      </c>
      <c r="E183" s="171">
        <f t="shared" si="45"/>
        <v>113889.46</v>
      </c>
      <c r="F183" s="665"/>
      <c r="G183" s="171">
        <f t="shared" si="46"/>
        <v>113889.46</v>
      </c>
      <c r="H183" s="172">
        <f t="shared" si="47"/>
        <v>5.3723808972940428E-2</v>
      </c>
      <c r="I183" s="541"/>
      <c r="J183" s="223"/>
      <c r="K183" s="218"/>
      <c r="M183" s="364">
        <f t="shared" si="48"/>
        <v>14.010266945503753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573">
        <f>'[18]Sch C'!D195</f>
        <v>1118.5</v>
      </c>
      <c r="D184" s="573">
        <f>'[18]Sch C'!F195</f>
        <v>0</v>
      </c>
      <c r="E184" s="171">
        <f t="shared" si="45"/>
        <v>1118.5</v>
      </c>
      <c r="F184" s="665"/>
      <c r="G184" s="171">
        <f t="shared" si="46"/>
        <v>1118.5</v>
      </c>
      <c r="H184" s="172">
        <f t="shared" si="47"/>
        <v>5.27617571777352E-4</v>
      </c>
      <c r="I184" s="541"/>
      <c r="J184" s="223"/>
      <c r="K184" s="218"/>
      <c r="M184" s="364">
        <f t="shared" si="48"/>
        <v>0.13759379997539672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573">
        <f>'[18]Sch C'!D196</f>
        <v>0</v>
      </c>
      <c r="D185" s="573">
        <f>'[18]Sch C'!F196</f>
        <v>0</v>
      </c>
      <c r="E185" s="171">
        <f t="shared" si="45"/>
        <v>0</v>
      </c>
      <c r="F185" s="665"/>
      <c r="G185" s="171">
        <f t="shared" si="46"/>
        <v>0</v>
      </c>
      <c r="H185" s="172">
        <f t="shared" si="47"/>
        <v>0</v>
      </c>
      <c r="I185" s="541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573">
        <f>'[18]Sch C'!D197</f>
        <v>41801.620000000003</v>
      </c>
      <c r="D186" s="573">
        <f>'[18]Sch C'!F197</f>
        <v>0</v>
      </c>
      <c r="E186" s="171">
        <f t="shared" si="45"/>
        <v>41801.620000000003</v>
      </c>
      <c r="F186" s="665"/>
      <c r="G186" s="171">
        <f t="shared" si="46"/>
        <v>41801.620000000003</v>
      </c>
      <c r="H186" s="172">
        <f t="shared" si="47"/>
        <v>1.9718613536664816E-2</v>
      </c>
      <c r="I186" s="541"/>
      <c r="J186" s="223"/>
      <c r="K186" s="218"/>
      <c r="M186" s="364">
        <f t="shared" si="48"/>
        <v>5.1422831836634275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573">
        <f>'[18]Sch C'!D198</f>
        <v>8113.69</v>
      </c>
      <c r="D187" s="573">
        <f>'[18]Sch C'!F198</f>
        <v>0</v>
      </c>
      <c r="E187" s="171">
        <f t="shared" si="45"/>
        <v>8113.69</v>
      </c>
      <c r="F187" s="665"/>
      <c r="G187" s="171">
        <f t="shared" si="46"/>
        <v>8113.69</v>
      </c>
      <c r="H187" s="172">
        <f t="shared" si="47"/>
        <v>3.8273807920913574E-3</v>
      </c>
      <c r="I187" s="541"/>
      <c r="J187" s="223"/>
      <c r="K187" s="218"/>
      <c r="M187" s="364">
        <f t="shared" si="48"/>
        <v>0.99811661951039488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573">
        <f>'[18]Sch C'!D199</f>
        <v>0</v>
      </c>
      <c r="D188" s="573">
        <f>'[18]Sch C'!F199</f>
        <v>0</v>
      </c>
      <c r="E188" s="171">
        <f t="shared" si="45"/>
        <v>0</v>
      </c>
      <c r="F188" s="665"/>
      <c r="G188" s="171">
        <f t="shared" si="46"/>
        <v>0</v>
      </c>
      <c r="H188" s="172">
        <f t="shared" si="47"/>
        <v>0</v>
      </c>
      <c r="I188" s="541"/>
      <c r="J188" s="223"/>
      <c r="K188" s="218"/>
      <c r="M188" s="364">
        <f t="shared" si="48"/>
        <v>0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573">
        <f>'[18]Sch C'!D200</f>
        <v>0</v>
      </c>
      <c r="D189" s="573">
        <f>'[18]Sch C'!F200</f>
        <v>0</v>
      </c>
      <c r="E189" s="171">
        <f t="shared" si="45"/>
        <v>0</v>
      </c>
      <c r="F189" s="665"/>
      <c r="G189" s="171">
        <f t="shared" si="46"/>
        <v>0</v>
      </c>
      <c r="H189" s="172">
        <f t="shared" si="47"/>
        <v>0</v>
      </c>
      <c r="I189" s="541"/>
      <c r="J189" s="223"/>
      <c r="K189" s="218"/>
      <c r="M189" s="364">
        <f t="shared" si="48"/>
        <v>0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573">
        <f>'[18]Sch C'!D201</f>
        <v>0</v>
      </c>
      <c r="D190" s="573">
        <f>'[18]Sch C'!F201</f>
        <v>0</v>
      </c>
      <c r="E190" s="171">
        <f t="shared" si="45"/>
        <v>0</v>
      </c>
      <c r="F190" s="665"/>
      <c r="G190" s="171">
        <f t="shared" si="46"/>
        <v>0</v>
      </c>
      <c r="H190" s="172">
        <f t="shared" si="47"/>
        <v>0</v>
      </c>
      <c r="I190" s="541"/>
      <c r="J190" s="223"/>
      <c r="K190" s="218"/>
      <c r="M190" s="364">
        <f t="shared" si="48"/>
        <v>0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573">
        <f>'[18]Sch C'!D202</f>
        <v>0</v>
      </c>
      <c r="D191" s="573">
        <f>'[18]Sch C'!F202</f>
        <v>0</v>
      </c>
      <c r="E191" s="171">
        <f t="shared" si="45"/>
        <v>0</v>
      </c>
      <c r="F191" s="665"/>
      <c r="G191" s="171">
        <f t="shared" si="46"/>
        <v>0</v>
      </c>
      <c r="H191" s="172">
        <f t="shared" si="47"/>
        <v>0</v>
      </c>
      <c r="I191" s="541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573">
        <f>'[18]Sch C'!D203</f>
        <v>0</v>
      </c>
      <c r="D192" s="573">
        <f>'[18]Sch C'!F203</f>
        <v>0</v>
      </c>
      <c r="E192" s="171">
        <f t="shared" si="45"/>
        <v>0</v>
      </c>
      <c r="F192" s="665"/>
      <c r="G192" s="171">
        <f t="shared" si="46"/>
        <v>0</v>
      </c>
      <c r="H192" s="172">
        <f t="shared" si="47"/>
        <v>0</v>
      </c>
      <c r="I192" s="541"/>
      <c r="J192" s="223"/>
      <c r="K192" s="218"/>
      <c r="M192" s="364">
        <f t="shared" si="48"/>
        <v>0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573">
        <f>'[18]Sch C'!D204</f>
        <v>0</v>
      </c>
      <c r="D193" s="573">
        <f>'[18]Sch C'!F204</f>
        <v>0</v>
      </c>
      <c r="E193" s="171">
        <f t="shared" si="45"/>
        <v>0</v>
      </c>
      <c r="F193" s="665"/>
      <c r="G193" s="171">
        <f t="shared" si="46"/>
        <v>0</v>
      </c>
      <c r="H193" s="172">
        <f t="shared" si="47"/>
        <v>0</v>
      </c>
      <c r="I193" s="541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573">
        <f>'[18]Sch C'!D205</f>
        <v>63011.67</v>
      </c>
      <c r="D194" s="573">
        <f>'[18]Sch C'!F205</f>
        <v>0</v>
      </c>
      <c r="E194" s="171">
        <f t="shared" si="45"/>
        <v>63011.67</v>
      </c>
      <c r="F194" s="665"/>
      <c r="G194" s="171">
        <f t="shared" si="46"/>
        <v>63011.67</v>
      </c>
      <c r="H194" s="172">
        <f t="shared" si="47"/>
        <v>2.9723794652691836E-2</v>
      </c>
      <c r="I194" s="541"/>
      <c r="J194" s="223"/>
      <c r="K194" s="218"/>
      <c r="M194" s="364">
        <f t="shared" si="48"/>
        <v>7.7514663550252179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573">
        <f>'[18]Sch C'!D206</f>
        <v>2641.83</v>
      </c>
      <c r="D195" s="573">
        <f>'[18]Sch C'!F206</f>
        <v>0</v>
      </c>
      <c r="E195" s="171">
        <f t="shared" si="45"/>
        <v>2641.83</v>
      </c>
      <c r="F195" s="665"/>
      <c r="G195" s="171">
        <f t="shared" si="46"/>
        <v>2641.83</v>
      </c>
      <c r="H195" s="172">
        <f t="shared" si="47"/>
        <v>1.246201099372876E-3</v>
      </c>
      <c r="I195" s="541"/>
      <c r="J195" s="223"/>
      <c r="K195" s="218"/>
      <c r="M195" s="364">
        <f t="shared" si="48"/>
        <v>0.32498831344568829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573">
        <f>'[18]Sch C'!D207</f>
        <v>0</v>
      </c>
      <c r="D196" s="573">
        <f>'[18]Sch C'!F207</f>
        <v>0</v>
      </c>
      <c r="E196" s="171">
        <f t="shared" si="45"/>
        <v>0</v>
      </c>
      <c r="F196" s="665"/>
      <c r="G196" s="171">
        <f t="shared" si="46"/>
        <v>0</v>
      </c>
      <c r="H196" s="172">
        <f t="shared" si="47"/>
        <v>0</v>
      </c>
      <c r="I196" s="541"/>
      <c r="J196" s="223"/>
      <c r="K196" s="218"/>
      <c r="M196" s="364">
        <f t="shared" si="48"/>
        <v>0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573">
        <f>SUM(C164:C196)</f>
        <v>230742.77</v>
      </c>
      <c r="D197" s="573">
        <f>SUM(D164:D196)</f>
        <v>0</v>
      </c>
      <c r="E197" s="171">
        <f t="shared" ref="E197" si="49">SUM(E164:E196)</f>
        <v>230742.77</v>
      </c>
      <c r="F197" s="171">
        <f>SUM(F164:F196)</f>
        <v>0</v>
      </c>
      <c r="G197" s="171">
        <f>SUM(G164:G196)</f>
        <v>230742.77</v>
      </c>
      <c r="H197" s="172">
        <f>IF($G$208=0,0,G197/$G$208)</f>
        <v>0.10884572196028612</v>
      </c>
      <c r="I197" s="541"/>
      <c r="J197" s="168"/>
      <c r="K197" s="168"/>
      <c r="M197" s="364">
        <f>G197/G$228</f>
        <v>28.385135933079098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165"/>
      <c r="G198" s="165"/>
      <c r="H198" s="198"/>
      <c r="I198" s="545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545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573">
        <f>'[18]Sch C'!D211</f>
        <v>32670.62</v>
      </c>
      <c r="D200" s="573">
        <f>'[18]Sch C'!F211</f>
        <v>0</v>
      </c>
      <c r="E200" s="171">
        <f t="shared" ref="E200:E205" si="50">C200+D200</f>
        <v>32670.62</v>
      </c>
      <c r="F200" s="171"/>
      <c r="G200" s="171">
        <f t="shared" ref="G200:G205" si="51">E200+F200</f>
        <v>32670.62</v>
      </c>
      <c r="H200" s="172">
        <f t="shared" ref="H200:H206" si="52">IF($G$208=0,0,G200/$G$208)</f>
        <v>1.5411348406670177E-2</v>
      </c>
      <c r="I200" s="541"/>
      <c r="J200" s="183">
        <v>3037.69</v>
      </c>
      <c r="K200" s="183">
        <v>3215.96</v>
      </c>
      <c r="M200" s="364">
        <f t="shared" ref="M200:M205" si="53">G200/G$228</f>
        <v>4.0190207897650385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573">
        <f>'[18]Sch C'!D212</f>
        <v>0</v>
      </c>
      <c r="D201" s="573">
        <f>'[18]Sch C'!F212</f>
        <v>11058.266346605094</v>
      </c>
      <c r="E201" s="171">
        <f t="shared" si="50"/>
        <v>11058.266346605094</v>
      </c>
      <c r="F201" s="171"/>
      <c r="G201" s="171">
        <f t="shared" si="51"/>
        <v>11058.266346605094</v>
      </c>
      <c r="H201" s="172">
        <f t="shared" si="52"/>
        <v>5.2163930602261866E-3</v>
      </c>
      <c r="I201" s="541"/>
      <c r="J201" s="168"/>
      <c r="K201" s="168"/>
      <c r="M201" s="364">
        <f t="shared" si="53"/>
        <v>1.360347686874781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573">
        <f>'[18]Sch C'!D213</f>
        <v>13455.58</v>
      </c>
      <c r="D202" s="573">
        <f>'[18]Sch C'!F213</f>
        <v>0</v>
      </c>
      <c r="E202" s="171">
        <f t="shared" si="50"/>
        <v>13455.58</v>
      </c>
      <c r="F202" s="171"/>
      <c r="G202" s="171">
        <f t="shared" si="51"/>
        <v>13455.58</v>
      </c>
      <c r="H202" s="172">
        <f t="shared" si="52"/>
        <v>6.3472511814536454E-3</v>
      </c>
      <c r="I202" s="541"/>
      <c r="J202" s="168"/>
      <c r="K202" s="168"/>
      <c r="M202" s="364">
        <f t="shared" si="53"/>
        <v>1.6552564891130521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573">
        <f>'[18]Sch C'!D214</f>
        <v>146.21</v>
      </c>
      <c r="D203" s="573">
        <f>'[18]Sch C'!F214</f>
        <v>0</v>
      </c>
      <c r="E203" s="171">
        <f t="shared" si="50"/>
        <v>146.21</v>
      </c>
      <c r="F203" s="171"/>
      <c r="G203" s="171">
        <f t="shared" si="51"/>
        <v>146.21</v>
      </c>
      <c r="H203" s="172">
        <f t="shared" si="52"/>
        <v>6.897001803269258E-5</v>
      </c>
      <c r="I203" s="541"/>
      <c r="J203" s="168"/>
      <c r="K203" s="168"/>
      <c r="M203" s="364">
        <f t="shared" si="53"/>
        <v>1.7986222167548284E-2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573">
        <f>'[18]Sch C'!D215</f>
        <v>0</v>
      </c>
      <c r="D204" s="573">
        <f>'[18]Sch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541"/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573">
        <f>'[18]Sch C'!D216</f>
        <v>50.86</v>
      </c>
      <c r="D205" s="573">
        <f>'[18]Sch C'!F216</f>
        <v>0</v>
      </c>
      <c r="E205" s="171">
        <f t="shared" si="50"/>
        <v>50.86</v>
      </c>
      <c r="F205" s="171"/>
      <c r="G205" s="171">
        <f t="shared" si="51"/>
        <v>50.86</v>
      </c>
      <c r="H205" s="172">
        <f t="shared" si="52"/>
        <v>2.3991622441301854E-5</v>
      </c>
      <c r="I205" s="540"/>
      <c r="J205" s="168"/>
      <c r="K205" s="168"/>
      <c r="M205" s="364">
        <f t="shared" si="53"/>
        <v>6.2566121294132119E-3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573">
        <f>SUM(C200:C205)</f>
        <v>46323.27</v>
      </c>
      <c r="D206" s="573">
        <f>SUM(D200:D205)</f>
        <v>11058.266346605094</v>
      </c>
      <c r="E206" s="171">
        <f t="shared" ref="E206" si="54">SUM(E200:E205)</f>
        <v>57381.536346605099</v>
      </c>
      <c r="F206" s="171">
        <f>SUM(F200:F205)</f>
        <v>0</v>
      </c>
      <c r="G206" s="171">
        <f>SUM(G200:G205)</f>
        <v>57381.536346605099</v>
      </c>
      <c r="H206" s="172">
        <f t="shared" si="52"/>
        <v>2.7067954288824005E-2</v>
      </c>
      <c r="I206" s="541"/>
      <c r="J206" s="168"/>
      <c r="K206" s="168"/>
      <c r="M206" s="364">
        <f>G206/G$228</f>
        <v>7.0588678000498337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165"/>
      <c r="G207" s="165"/>
      <c r="H207" s="198"/>
      <c r="I207" s="545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573">
        <f>SUM(C25:C206)/2</f>
        <v>2546897.65</v>
      </c>
      <c r="D208" s="573">
        <f>SUM(D25:D206)/2</f>
        <v>-310412.99823292595</v>
      </c>
      <c r="E208" s="171">
        <f t="shared" ref="E208:F208" si="55">SUM(E25:E206)/2</f>
        <v>2236484.6517670741</v>
      </c>
      <c r="F208" s="171">
        <f t="shared" si="55"/>
        <v>-116578</v>
      </c>
      <c r="G208" s="171">
        <f>SUM(G25:G206)/2</f>
        <v>2119906.6517670737</v>
      </c>
      <c r="H208" s="172">
        <f>IF($G$208=0,0,G208/$G$208)</f>
        <v>1</v>
      </c>
      <c r="I208" s="541"/>
      <c r="J208" s="183">
        <f>SUM(J25:J200)</f>
        <v>61016.240000000005</v>
      </c>
      <c r="K208" s="183">
        <f>SUM(K25:K200)</f>
        <v>67410.880000000005</v>
      </c>
      <c r="M208" s="364">
        <f>G208/G$228</f>
        <v>260.78320233326036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545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545"/>
      <c r="J210" s="168"/>
      <c r="K210" s="168"/>
    </row>
    <row r="211" spans="1:14" s="167" customFormat="1" ht="15.5">
      <c r="A211" s="163"/>
      <c r="B211" s="228" t="s">
        <v>181</v>
      </c>
      <c r="C211" s="573">
        <f>'[18]Sch C'!D221</f>
        <v>2546897.65</v>
      </c>
      <c r="D211" s="196"/>
      <c r="E211" s="165"/>
      <c r="F211"/>
      <c r="G211"/>
      <c r="I211" s="545"/>
      <c r="J211" s="168"/>
      <c r="K211" s="168"/>
    </row>
    <row r="212" spans="1:14" s="167" customFormat="1" ht="15.5">
      <c r="A212" s="163"/>
      <c r="B212" s="170" t="s">
        <v>147</v>
      </c>
      <c r="C212" s="573">
        <f>C208-C211</f>
        <v>0</v>
      </c>
      <c r="D212" s="229"/>
      <c r="E212" s="165"/>
      <c r="F212"/>
      <c r="G212"/>
      <c r="I212" s="545"/>
      <c r="J212" s="168"/>
      <c r="K212" s="168"/>
    </row>
    <row r="213" spans="1:14" s="167" customFormat="1">
      <c r="A213" s="163"/>
      <c r="B213" s="230"/>
      <c r="C213" s="619"/>
      <c r="D213" s="232"/>
      <c r="E213" s="232"/>
      <c r="F213" s="232"/>
      <c r="G213" s="232"/>
      <c r="H213" s="166"/>
      <c r="I213" s="548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545"/>
      <c r="J214" s="168"/>
      <c r="K214" s="168"/>
    </row>
    <row r="215" spans="1:14" s="167" customFormat="1">
      <c r="A215" s="163"/>
      <c r="B215" s="228" t="s">
        <v>78</v>
      </c>
      <c r="C215" s="573">
        <f>C21-C208</f>
        <v>-403392.58999999939</v>
      </c>
      <c r="D215" s="573">
        <f>D21-D208</f>
        <v>311574.39823292597</v>
      </c>
      <c r="E215" s="171">
        <f t="shared" ref="E215:F215" si="56">E21-E208</f>
        <v>-91818.191767073702</v>
      </c>
      <c r="F215" s="171">
        <f t="shared" si="56"/>
        <v>116578</v>
      </c>
      <c r="G215" s="171">
        <f>G21-G208</f>
        <v>24759.808232926298</v>
      </c>
      <c r="I215" s="545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545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545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548"/>
      <c r="J218" s="168"/>
      <c r="K218" s="168"/>
    </row>
    <row r="219" spans="1:14">
      <c r="A219" s="163"/>
      <c r="B219" s="170" t="s">
        <v>218</v>
      </c>
      <c r="C219" s="653">
        <f>'[18]Sch D'!C9</f>
        <v>4777</v>
      </c>
      <c r="D219" s="653"/>
      <c r="E219" s="235">
        <f t="shared" ref="E219:G227" si="57">C219+D219</f>
        <v>4777</v>
      </c>
      <c r="F219" s="234"/>
      <c r="G219" s="235">
        <f t="shared" si="57"/>
        <v>4777</v>
      </c>
      <c r="H219" s="172">
        <f t="shared" ref="H219:H228" si="58">IF($G$228=0,0,G219/$G$228)</f>
        <v>0.587649157337926</v>
      </c>
      <c r="I219" s="541"/>
      <c r="J219" s="168"/>
      <c r="K219" s="168"/>
    </row>
    <row r="220" spans="1:14">
      <c r="A220" s="163"/>
      <c r="B220" s="170" t="s">
        <v>217</v>
      </c>
      <c r="C220" s="653">
        <f>'[18]Sch D'!D9</f>
        <v>0</v>
      </c>
      <c r="D220" s="653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541"/>
      <c r="J220" s="168"/>
      <c r="K220" s="168"/>
    </row>
    <row r="221" spans="1:14">
      <c r="A221" s="163"/>
      <c r="B221" s="170" t="s">
        <v>72</v>
      </c>
      <c r="C221" s="653">
        <f>'[18]Sch D'!E9</f>
        <v>1298</v>
      </c>
      <c r="D221" s="653"/>
      <c r="E221" s="235">
        <f t="shared" si="59"/>
        <v>1298</v>
      </c>
      <c r="F221" s="234"/>
      <c r="G221" s="235">
        <f t="shared" si="57"/>
        <v>1298</v>
      </c>
      <c r="H221" s="172">
        <f t="shared" si="58"/>
        <v>0.15967523680649526</v>
      </c>
      <c r="I221" s="541"/>
      <c r="J221" s="168"/>
      <c r="K221" s="168"/>
    </row>
    <row r="222" spans="1:14">
      <c r="A222" s="163"/>
      <c r="B222" s="202" t="s">
        <v>334</v>
      </c>
      <c r="C222" s="653">
        <f>'[18]Sch D'!F9</f>
        <v>31</v>
      </c>
      <c r="D222" s="653"/>
      <c r="E222" s="235">
        <f>C222+D222</f>
        <v>31</v>
      </c>
      <c r="F222" s="234"/>
      <c r="G222" s="235">
        <f>E222+F222</f>
        <v>31</v>
      </c>
      <c r="H222" s="172">
        <f t="shared" si="58"/>
        <v>3.8135071964571286E-3</v>
      </c>
      <c r="I222" s="541"/>
      <c r="J222" s="168"/>
      <c r="K222" s="168"/>
    </row>
    <row r="223" spans="1:14">
      <c r="A223" s="163"/>
      <c r="B223" s="170" t="s">
        <v>73</v>
      </c>
      <c r="C223" s="653">
        <f>'[18]Sch D'!G9</f>
        <v>0</v>
      </c>
      <c r="D223" s="653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541"/>
      <c r="J223" s="168"/>
      <c r="K223" s="168"/>
    </row>
    <row r="224" spans="1:14">
      <c r="A224" s="163"/>
      <c r="B224" s="170" t="s">
        <v>74</v>
      </c>
      <c r="C224" s="653">
        <f>'[18]Sch D'!H9</f>
        <v>1363</v>
      </c>
      <c r="D224" s="653"/>
      <c r="E224" s="235">
        <f t="shared" si="59"/>
        <v>1363</v>
      </c>
      <c r="F224" s="234"/>
      <c r="G224" s="235">
        <f t="shared" si="57"/>
        <v>1363</v>
      </c>
      <c r="H224" s="172">
        <f t="shared" si="58"/>
        <v>0.16767130028293764</v>
      </c>
      <c r="I224" s="541"/>
      <c r="J224" s="168"/>
      <c r="K224" s="168"/>
    </row>
    <row r="225" spans="1:11">
      <c r="A225" s="163"/>
      <c r="B225" s="170" t="s">
        <v>236</v>
      </c>
      <c r="C225" s="653">
        <f>'[18]Sch D'!I9</f>
        <v>650</v>
      </c>
      <c r="D225" s="653"/>
      <c r="E225" s="235">
        <f t="shared" si="59"/>
        <v>650</v>
      </c>
      <c r="F225" s="234"/>
      <c r="G225" s="235">
        <f t="shared" si="57"/>
        <v>650</v>
      </c>
      <c r="H225" s="172">
        <f t="shared" si="58"/>
        <v>7.9960634764423666E-2</v>
      </c>
      <c r="I225" s="541"/>
      <c r="J225" s="168"/>
      <c r="K225" s="168"/>
    </row>
    <row r="226" spans="1:11">
      <c r="A226" s="163"/>
      <c r="B226" s="170" t="s">
        <v>235</v>
      </c>
      <c r="C226" s="653">
        <f>'[18]Sch D'!J9</f>
        <v>10</v>
      </c>
      <c r="D226" s="653"/>
      <c r="E226" s="235">
        <f>C226+D226</f>
        <v>10</v>
      </c>
      <c r="F226" s="234"/>
      <c r="G226" s="235">
        <f>E226+F226</f>
        <v>10</v>
      </c>
      <c r="H226" s="172">
        <f t="shared" si="58"/>
        <v>1.2301636117603642E-3</v>
      </c>
      <c r="I226" s="541"/>
      <c r="J226" s="168"/>
      <c r="K226" s="168"/>
    </row>
    <row r="227" spans="1:11">
      <c r="A227" s="163"/>
      <c r="B227" s="170" t="s">
        <v>179</v>
      </c>
      <c r="C227" s="653">
        <f>'[18]Sch D'!K9</f>
        <v>0</v>
      </c>
      <c r="D227" s="653"/>
      <c r="E227" s="235">
        <f t="shared" si="59"/>
        <v>0</v>
      </c>
      <c r="F227" s="234"/>
      <c r="G227" s="235">
        <f t="shared" si="57"/>
        <v>0</v>
      </c>
      <c r="H227" s="172">
        <f t="shared" si="58"/>
        <v>0</v>
      </c>
      <c r="I227" s="541"/>
      <c r="J227" s="168"/>
      <c r="K227" s="168"/>
    </row>
    <row r="228" spans="1:11" ht="13.5" thickBot="1">
      <c r="A228" s="163"/>
      <c r="B228" s="236" t="s">
        <v>75</v>
      </c>
      <c r="C228" s="653">
        <f>SUM(C219:C227)</f>
        <v>8129</v>
      </c>
      <c r="D228" s="653">
        <f>SUM(D219:D227)</f>
        <v>0</v>
      </c>
      <c r="E228" s="237">
        <f>SUM(E219:E227)</f>
        <v>8129</v>
      </c>
      <c r="F228" s="237">
        <f>SUM(F219:F227)</f>
        <v>0</v>
      </c>
      <c r="G228" s="237">
        <f>SUM(G219:G227)</f>
        <v>8129</v>
      </c>
      <c r="H228" s="172">
        <f t="shared" si="58"/>
        <v>1</v>
      </c>
      <c r="I228" s="541"/>
      <c r="J228" s="168"/>
      <c r="K228" s="168"/>
    </row>
    <row r="229" spans="1:11" ht="13.5" thickTop="1">
      <c r="A229" s="163"/>
      <c r="B229" s="167"/>
      <c r="C229" s="620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619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654">
        <f>'[18]Sch D'!N22</f>
        <v>55</v>
      </c>
      <c r="D231" s="574"/>
      <c r="E231" s="235">
        <f>C231+D231</f>
        <v>55</v>
      </c>
      <c r="F231" s="235"/>
      <c r="G231" s="235">
        <f>E231+F231</f>
        <v>55</v>
      </c>
      <c r="H231" s="167"/>
      <c r="J231" s="168"/>
      <c r="K231" s="168"/>
    </row>
    <row r="232" spans="1:11">
      <c r="A232" s="163"/>
      <c r="B232" s="202" t="s">
        <v>290</v>
      </c>
      <c r="C232" s="654">
        <f>'[18]Sch D'!N24</f>
        <v>55</v>
      </c>
      <c r="D232" s="574"/>
      <c r="E232" s="235">
        <f>C232+D232</f>
        <v>55</v>
      </c>
      <c r="F232" s="235"/>
      <c r="G232" s="235">
        <f>E232+F232</f>
        <v>55</v>
      </c>
      <c r="H232" s="167"/>
      <c r="J232" s="168"/>
      <c r="K232" s="168"/>
    </row>
    <row r="233" spans="1:11">
      <c r="A233" s="163"/>
      <c r="B233" s="202" t="s">
        <v>76</v>
      </c>
      <c r="C233" s="654">
        <f>$C$4-$C$3+1</f>
        <v>365</v>
      </c>
      <c r="D233" s="489"/>
      <c r="E233" s="235">
        <f>C233+D233</f>
        <v>365</v>
      </c>
      <c r="F233" s="240"/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621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654">
        <f>'[18]Sch D'!N28</f>
        <v>20075</v>
      </c>
      <c r="D235" s="489"/>
      <c r="E235" s="234">
        <f>E231*E233</f>
        <v>20075</v>
      </c>
      <c r="F235" s="240"/>
      <c r="G235" s="234">
        <f>G231*G233</f>
        <v>20075</v>
      </c>
      <c r="H235" s="167"/>
      <c r="J235" s="168"/>
      <c r="K235" s="168"/>
    </row>
    <row r="236" spans="1:11" ht="26">
      <c r="A236" s="163"/>
      <c r="B236" s="244" t="s">
        <v>336</v>
      </c>
      <c r="C236" s="655">
        <f>'[18]Sch D'!N30</f>
        <v>0.40493150684931506</v>
      </c>
      <c r="D236" s="240"/>
      <c r="E236" s="245">
        <f>E228/E235</f>
        <v>0.40493150684931506</v>
      </c>
      <c r="F236" s="246"/>
      <c r="G236" s="245">
        <f>G228/G235</f>
        <v>0.40493150684931506</v>
      </c>
      <c r="H236" s="167"/>
      <c r="J236" s="168"/>
      <c r="K236" s="168"/>
    </row>
    <row r="237" spans="1:11" ht="26">
      <c r="A237" s="163"/>
      <c r="B237" s="244" t="s">
        <v>337</v>
      </c>
      <c r="C237" s="655">
        <f>'[18]Sch D'!N32</f>
        <v>0.23795765877957659</v>
      </c>
      <c r="D237" s="240"/>
      <c r="E237" s="245">
        <f>(E219+E220)/E235</f>
        <v>0.23795765877957659</v>
      </c>
      <c r="F237" s="246"/>
      <c r="G237" s="245">
        <f>(G219+G220)/G235</f>
        <v>0.23795765877957659</v>
      </c>
      <c r="H237" s="167"/>
      <c r="J237" s="168"/>
      <c r="K237" s="168"/>
    </row>
    <row r="238" spans="1:11" ht="26">
      <c r="A238" s="163"/>
      <c r="B238" s="244" t="s">
        <v>338</v>
      </c>
      <c r="C238" s="655">
        <f>'[18]Sch D'!N34</f>
        <v>0.587649157337926</v>
      </c>
      <c r="D238" s="240"/>
      <c r="E238" s="245">
        <f>(E237/E236)</f>
        <v>0.587649157337926</v>
      </c>
      <c r="F238" s="246"/>
      <c r="G238" s="245">
        <f>(G237/G236)</f>
        <v>0.587649157337926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73">
        <f>'[18]Sch B'!C85</f>
        <v>270.50909090909096</v>
      </c>
    </row>
    <row r="242" spans="2:7">
      <c r="F242" s="142" t="s">
        <v>341</v>
      </c>
      <c r="G242" s="573">
        <f>'[18]Sch B'!E85</f>
        <v>139.79497663551402</v>
      </c>
    </row>
    <row r="243" spans="2:7">
      <c r="B243" s="459"/>
      <c r="F243" s="142" t="s">
        <v>342</v>
      </c>
      <c r="G243" s="573">
        <f>'[18]Sch B'!G85</f>
        <v>180.51993421052632</v>
      </c>
    </row>
    <row r="244" spans="2:7" ht="16.5">
      <c r="B244" s="556"/>
      <c r="F244" s="142" t="s">
        <v>343</v>
      </c>
      <c r="G244" s="573">
        <f>'[18]Sch B'!I85</f>
        <v>127.51465940054496</v>
      </c>
    </row>
    <row r="245" spans="2:7" ht="16.5">
      <c r="B245" s="556"/>
      <c r="F245" s="142"/>
    </row>
    <row r="246" spans="2:7" ht="16.5">
      <c r="B246" s="556"/>
    </row>
    <row r="247" spans="2:7" ht="16.5">
      <c r="B247" s="556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F13" sqref="F13"/>
      <pageMargins left="0" right="0" top="0.5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>
    <tabColor rgb="FFE28CAB"/>
  </sheetPr>
  <dimension ref="A1:Q245"/>
  <sheetViews>
    <sheetView showGridLines="0" zoomScale="90" zoomScaleNormal="90" workbookViewId="0">
      <pane xSplit="2" topLeftCell="C1" activePane="topRight" state="frozen"/>
      <selection activeCell="N1" sqref="N1"/>
      <selection pane="topRight"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478"/>
      <c r="E1" s="478"/>
      <c r="F1" s="478"/>
      <c r="G1" s="478"/>
      <c r="H1" s="478"/>
      <c r="I1" s="479"/>
    </row>
    <row r="2" spans="1:14" ht="23">
      <c r="B2" s="143" t="s">
        <v>189</v>
      </c>
      <c r="C2" s="505" t="s">
        <v>680</v>
      </c>
      <c r="D2" s="247"/>
      <c r="E2" s="144"/>
    </row>
    <row r="3" spans="1:14" ht="23">
      <c r="A3" s="145"/>
      <c r="B3" s="140" t="s">
        <v>79</v>
      </c>
      <c r="C3" s="495">
        <v>41821</v>
      </c>
      <c r="D3"/>
      <c r="E3" s="505"/>
    </row>
    <row r="4" spans="1:14" ht="15.5">
      <c r="A4" s="145"/>
      <c r="B4" s="148" t="s">
        <v>80</v>
      </c>
      <c r="C4" s="495">
        <v>42185</v>
      </c>
      <c r="D4"/>
      <c r="E4" s="149"/>
      <c r="G4" s="150"/>
    </row>
    <row r="5" spans="1:14">
      <c r="A5" s="145"/>
      <c r="B5" s="148"/>
      <c r="C5" s="151"/>
      <c r="D5" s="506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 ht="15.5">
      <c r="A9" s="145"/>
      <c r="C9" s="151"/>
      <c r="D9" s="144"/>
      <c r="F9"/>
      <c r="G9"/>
      <c r="H9"/>
      <c r="I9"/>
      <c r="J9"/>
      <c r="K9"/>
    </row>
    <row r="10" spans="1:14" s="167" customFormat="1" ht="16" thickBot="1">
      <c r="A10" s="163" t="s">
        <v>245</v>
      </c>
      <c r="B10" s="164" t="s">
        <v>246</v>
      </c>
      <c r="C10" s="518"/>
      <c r="D10" s="165"/>
      <c r="E10" s="165"/>
      <c r="F10"/>
      <c r="G10"/>
      <c r="H10"/>
      <c r="I10"/>
      <c r="J10"/>
      <c r="K10"/>
    </row>
    <row r="11" spans="1:14" s="167" customFormat="1">
      <c r="A11" s="169" t="s">
        <v>13</v>
      </c>
      <c r="B11" s="170" t="s">
        <v>213</v>
      </c>
      <c r="C11" s="573">
        <f>'[19]Sch B'!E10</f>
        <v>1867930</v>
      </c>
      <c r="D11" s="573">
        <f>'[19]Sch B'!G10</f>
        <v>0</v>
      </c>
      <c r="E11" s="171">
        <f>C11+D11</f>
        <v>1867930</v>
      </c>
      <c r="F11" s="496"/>
      <c r="G11" s="171">
        <f t="shared" ref="G11:G20" si="0">E11+F11</f>
        <v>1867930</v>
      </c>
      <c r="H11" s="172">
        <f t="shared" ref="H11:H21" si="1">IF($G$21=0,0,G11/$G$21)</f>
        <v>0.85321073678969717</v>
      </c>
      <c r="I11" s="337"/>
      <c r="J11" s="368" t="s">
        <v>344</v>
      </c>
      <c r="K11" s="369">
        <f>G21</f>
        <v>2189295</v>
      </c>
      <c r="M11" s="359">
        <f>IFERROR(G11/G219,0)</f>
        <v>168.34264599855803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573">
        <f>'[19]Sch B'!E15</f>
        <v>0</v>
      </c>
      <c r="D12" s="573">
        <f>'[19]Sch B'!G15</f>
        <v>0</v>
      </c>
      <c r="E12" s="171">
        <f t="shared" ref="E12:E20" si="2">C12+D12</f>
        <v>0</v>
      </c>
      <c r="F12" s="496"/>
      <c r="G12" s="171">
        <f>E12+F12</f>
        <v>0</v>
      </c>
      <c r="H12" s="172">
        <f t="shared" si="1"/>
        <v>0</v>
      </c>
      <c r="I12" s="337"/>
      <c r="J12" s="370" t="s">
        <v>345</v>
      </c>
      <c r="K12" s="371">
        <f>G208</f>
        <v>2119275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573">
        <f>'[19]Sch B'!E21</f>
        <v>0</v>
      </c>
      <c r="D13" s="573">
        <f>'[19]Sch B'!G21</f>
        <v>0</v>
      </c>
      <c r="E13" s="171">
        <f t="shared" si="2"/>
        <v>0</v>
      </c>
      <c r="F13" s="496"/>
      <c r="G13" s="171">
        <f t="shared" si="0"/>
        <v>0</v>
      </c>
      <c r="H13" s="172">
        <f t="shared" si="1"/>
        <v>0</v>
      </c>
      <c r="I13" s="337"/>
      <c r="J13" s="370" t="s">
        <v>346</v>
      </c>
      <c r="K13" s="371">
        <f>G228</f>
        <v>12650</v>
      </c>
      <c r="M13" s="359">
        <f t="shared" si="3"/>
        <v>0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573">
        <f>'[19]Sch B'!E27</f>
        <v>0</v>
      </c>
      <c r="D14" s="573">
        <f>'[19]Sch B'!G27</f>
        <v>0</v>
      </c>
      <c r="E14" s="171">
        <f t="shared" si="2"/>
        <v>0</v>
      </c>
      <c r="F14" s="496"/>
      <c r="G14" s="175">
        <f>E14+F14</f>
        <v>0</v>
      </c>
      <c r="H14" s="176">
        <f t="shared" si="1"/>
        <v>0</v>
      </c>
      <c r="I14" s="338"/>
      <c r="J14" s="370" t="s">
        <v>347</v>
      </c>
      <c r="K14" s="371">
        <f>G231</f>
        <v>36</v>
      </c>
      <c r="M14" s="359">
        <f t="shared" si="3"/>
        <v>0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573">
        <f>'[19]Sch B'!E32</f>
        <v>0</v>
      </c>
      <c r="D15" s="573">
        <f>'[19]Sch B'!G32</f>
        <v>0</v>
      </c>
      <c r="E15" s="171">
        <f t="shared" si="2"/>
        <v>0</v>
      </c>
      <c r="F15" s="496"/>
      <c r="G15" s="171">
        <f t="shared" si="0"/>
        <v>0</v>
      </c>
      <c r="H15" s="172">
        <f t="shared" si="1"/>
        <v>0</v>
      </c>
      <c r="I15" s="337"/>
      <c r="J15" s="370" t="s">
        <v>348</v>
      </c>
      <c r="K15" s="371">
        <f>G235</f>
        <v>13140</v>
      </c>
      <c r="M15" s="359">
        <f t="shared" si="3"/>
        <v>0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573">
        <f>'[19]Sch B'!E37</f>
        <v>70033</v>
      </c>
      <c r="D16" s="573">
        <f>'[19]Sch B'!G37</f>
        <v>0</v>
      </c>
      <c r="E16" s="171">
        <f t="shared" si="2"/>
        <v>70033</v>
      </c>
      <c r="F16" s="496"/>
      <c r="G16" s="171">
        <f t="shared" si="0"/>
        <v>70033</v>
      </c>
      <c r="H16" s="172">
        <f t="shared" si="1"/>
        <v>3.1988836588947585E-2</v>
      </c>
      <c r="I16" s="337"/>
      <c r="J16" s="372"/>
      <c r="K16" s="371"/>
      <c r="M16" s="359">
        <f t="shared" si="3"/>
        <v>179.57179487179488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573">
        <f>'[19]Sch B'!E42</f>
        <v>0</v>
      </c>
      <c r="D17" s="573">
        <f>'[19]Sch B'!G42</f>
        <v>0</v>
      </c>
      <c r="E17" s="171">
        <f t="shared" si="2"/>
        <v>0</v>
      </c>
      <c r="F17" s="496"/>
      <c r="G17" s="171">
        <f>E17+F17</f>
        <v>0</v>
      </c>
      <c r="H17" s="172">
        <f t="shared" si="1"/>
        <v>0</v>
      </c>
      <c r="I17" s="337"/>
      <c r="J17" s="370" t="s">
        <v>156</v>
      </c>
      <c r="K17" s="371">
        <f>J208</f>
        <v>60607</v>
      </c>
      <c r="M17" s="359">
        <f t="shared" si="3"/>
        <v>0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573">
        <f>'[19]Sch B'!E47</f>
        <v>199191</v>
      </c>
      <c r="D18" s="573">
        <f>'[19]Sch B'!G47</f>
        <v>0</v>
      </c>
      <c r="E18" s="171">
        <f t="shared" si="2"/>
        <v>199191</v>
      </c>
      <c r="F18" s="496"/>
      <c r="G18" s="171">
        <f>E18+F18</f>
        <v>199191</v>
      </c>
      <c r="H18" s="172">
        <f t="shared" si="1"/>
        <v>9.0984083917425476E-2</v>
      </c>
      <c r="I18" s="337"/>
      <c r="J18" s="373" t="s">
        <v>252</v>
      </c>
      <c r="K18" s="374">
        <f>K208</f>
        <v>63709</v>
      </c>
      <c r="M18" s="359">
        <f t="shared" si="3"/>
        <v>171.1262886597938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573">
        <f>'[19]Sch B'!E52</f>
        <v>0</v>
      </c>
      <c r="D19" s="573">
        <f>'[19]Sch B'!G52</f>
        <v>0</v>
      </c>
      <c r="E19" s="171">
        <f t="shared" si="2"/>
        <v>0</v>
      </c>
      <c r="F19" s="496"/>
      <c r="G19" s="171">
        <f t="shared" si="0"/>
        <v>0</v>
      </c>
      <c r="H19" s="172">
        <f t="shared" si="1"/>
        <v>0</v>
      </c>
      <c r="I19" s="337"/>
      <c r="J19" s="168"/>
      <c r="K19" s="168"/>
      <c r="M19" s="359">
        <f t="shared" si="3"/>
        <v>0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573">
        <f>'[19]Sch B'!E67</f>
        <v>52141</v>
      </c>
      <c r="D20" s="573">
        <f>'[19]Sch B'!G67</f>
        <v>0</v>
      </c>
      <c r="E20" s="171">
        <f t="shared" si="2"/>
        <v>52141</v>
      </c>
      <c r="F20" s="496"/>
      <c r="G20" s="171">
        <f t="shared" si="0"/>
        <v>52141</v>
      </c>
      <c r="H20" s="172">
        <f t="shared" si="1"/>
        <v>2.3816342703929804E-2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573">
        <f>SUM(C11:C20)</f>
        <v>2189295</v>
      </c>
      <c r="D21" s="573">
        <f>SUM(D11:D20)</f>
        <v>0</v>
      </c>
      <c r="E21" s="171">
        <f>SUM(E11:E20)</f>
        <v>2189295</v>
      </c>
      <c r="F21" s="496">
        <f>SUM(F11:F20)</f>
        <v>0</v>
      </c>
      <c r="G21" s="171">
        <f>SUM(G11:G20)</f>
        <v>2189295</v>
      </c>
      <c r="H21" s="172">
        <f t="shared" si="1"/>
        <v>1</v>
      </c>
      <c r="I21" s="337"/>
      <c r="J21" s="168"/>
      <c r="K21" s="168"/>
      <c r="M21" s="359">
        <f>IFERROR(G21/G228,0)</f>
        <v>173.06679841897233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400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4">
      <c r="A24" s="181" t="s">
        <v>161</v>
      </c>
      <c r="B24" s="148" t="s">
        <v>12</v>
      </c>
      <c r="M24" s="363"/>
      <c r="N24" s="363"/>
    </row>
    <row r="25" spans="1:14" s="167" customFormat="1">
      <c r="A25" s="169" t="s">
        <v>83</v>
      </c>
      <c r="B25" s="170" t="s">
        <v>14</v>
      </c>
      <c r="C25" s="573">
        <f>'[19]Sch C'!D10</f>
        <v>28142</v>
      </c>
      <c r="D25" s="573">
        <f>'[19]Sch C'!F10</f>
        <v>0</v>
      </c>
      <c r="E25" s="171">
        <f t="shared" ref="E25:E60" si="4">C25+D25</f>
        <v>28142</v>
      </c>
      <c r="F25" s="496"/>
      <c r="G25" s="182">
        <f>E25+F25</f>
        <v>28142</v>
      </c>
      <c r="H25" s="172">
        <f>IF($G$208=0,0,G25/$G$208)</f>
        <v>1.3279069493104954E-2</v>
      </c>
      <c r="I25" s="337"/>
      <c r="J25" s="183">
        <v>883</v>
      </c>
      <c r="K25" s="183">
        <v>883</v>
      </c>
      <c r="M25" s="359">
        <f>G25/G$228</f>
        <v>2.2246640316205535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573">
        <f>'[19]Sch C'!D11</f>
        <v>0</v>
      </c>
      <c r="D26" s="573">
        <f>'[19]Sch C'!F11</f>
        <v>0</v>
      </c>
      <c r="E26" s="171">
        <f t="shared" si="4"/>
        <v>0</v>
      </c>
      <c r="F26" s="496"/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573">
        <f>'[19]Sch C'!D12</f>
        <v>15918</v>
      </c>
      <c r="D27" s="573">
        <f>'[19]Sch C'!F12</f>
        <v>0</v>
      </c>
      <c r="E27" s="171">
        <f t="shared" si="4"/>
        <v>15918</v>
      </c>
      <c r="F27" s="496"/>
      <c r="G27" s="171">
        <f t="shared" si="5"/>
        <v>15918</v>
      </c>
      <c r="H27" s="172">
        <f t="shared" si="6"/>
        <v>7.5110592065682838E-3</v>
      </c>
      <c r="I27" s="337"/>
      <c r="J27" s="185">
        <v>384</v>
      </c>
      <c r="K27" s="185">
        <v>384</v>
      </c>
      <c r="M27" s="359">
        <f t="shared" si="7"/>
        <v>1.2583399209486166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573">
        <f>'[19]Sch C'!D13</f>
        <v>163290</v>
      </c>
      <c r="D28" s="573">
        <f>'[19]Sch C'!F13</f>
        <v>-157149</v>
      </c>
      <c r="E28" s="171">
        <f t="shared" si="4"/>
        <v>6141</v>
      </c>
      <c r="F28" s="496"/>
      <c r="G28" s="171">
        <f t="shared" si="5"/>
        <v>6141</v>
      </c>
      <c r="H28" s="172">
        <f t="shared" si="6"/>
        <v>2.8976890681954915E-3</v>
      </c>
      <c r="I28" s="337"/>
      <c r="J28" s="168"/>
      <c r="K28" s="168"/>
      <c r="M28" s="359">
        <f t="shared" si="7"/>
        <v>0.48545454545454547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573">
        <f>'[19]Sch C'!D14</f>
        <v>0</v>
      </c>
      <c r="D29" s="573">
        <f>'[19]Sch C'!F14</f>
        <v>0</v>
      </c>
      <c r="E29" s="171">
        <f t="shared" si="4"/>
        <v>0</v>
      </c>
      <c r="F29" s="496"/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573">
        <f>'[19]Sch C'!D15</f>
        <v>0</v>
      </c>
      <c r="D30" s="573">
        <f>'[19]Sch C'!F15</f>
        <v>0</v>
      </c>
      <c r="E30" s="171">
        <f t="shared" si="4"/>
        <v>0</v>
      </c>
      <c r="F30" s="496"/>
      <c r="G30" s="171">
        <f t="shared" si="5"/>
        <v>0</v>
      </c>
      <c r="H30" s="172">
        <f t="shared" si="6"/>
        <v>0</v>
      </c>
      <c r="I30" s="337"/>
      <c r="J30" s="168"/>
      <c r="K30" s="168"/>
      <c r="M30" s="359">
        <f t="shared" si="7"/>
        <v>0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573">
        <f>'[19]Sch C'!D16</f>
        <v>0</v>
      </c>
      <c r="D31" s="573">
        <f>'[19]Sch C'!F16</f>
        <v>0</v>
      </c>
      <c r="E31" s="171">
        <f t="shared" si="4"/>
        <v>0</v>
      </c>
      <c r="F31" s="496"/>
      <c r="G31" s="171">
        <f t="shared" si="5"/>
        <v>0</v>
      </c>
      <c r="H31" s="172">
        <f t="shared" si="6"/>
        <v>0</v>
      </c>
      <c r="I31" s="337"/>
      <c r="J31" s="168"/>
      <c r="K31" s="168"/>
      <c r="M31" s="359">
        <f t="shared" si="7"/>
        <v>0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573">
        <f>'[19]Sch C'!D17</f>
        <v>3237</v>
      </c>
      <c r="D32" s="573">
        <f>'[19]Sch C'!F17</f>
        <v>0</v>
      </c>
      <c r="E32" s="171">
        <f t="shared" si="4"/>
        <v>3237</v>
      </c>
      <c r="F32" s="496"/>
      <c r="G32" s="171">
        <f t="shared" si="5"/>
        <v>3237</v>
      </c>
      <c r="H32" s="172">
        <f t="shared" si="6"/>
        <v>1.527409137558835E-3</v>
      </c>
      <c r="I32" s="337"/>
      <c r="J32" s="168"/>
      <c r="K32" s="168"/>
      <c r="M32" s="359">
        <f t="shared" si="7"/>
        <v>0.25588932806324111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573">
        <f>'[19]Sch C'!D18</f>
        <v>5159</v>
      </c>
      <c r="D33" s="573">
        <f>'[19]Sch C'!F18</f>
        <v>0</v>
      </c>
      <c r="E33" s="171">
        <f t="shared" si="4"/>
        <v>5159</v>
      </c>
      <c r="F33" s="496"/>
      <c r="G33" s="171">
        <f t="shared" si="5"/>
        <v>5159</v>
      </c>
      <c r="H33" s="172">
        <f t="shared" si="6"/>
        <v>2.4343230585931511E-3</v>
      </c>
      <c r="I33" s="337"/>
      <c r="J33" s="168"/>
      <c r="K33" s="168"/>
      <c r="M33" s="359">
        <f t="shared" si="7"/>
        <v>0.40782608695652173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573">
        <f>'[19]Sch C'!D19</f>
        <v>3969</v>
      </c>
      <c r="D34" s="573">
        <f>'[19]Sch C'!F19</f>
        <v>0</v>
      </c>
      <c r="E34" s="171">
        <f t="shared" si="4"/>
        <v>3969</v>
      </c>
      <c r="F34" s="496"/>
      <c r="G34" s="171">
        <f t="shared" si="5"/>
        <v>3969</v>
      </c>
      <c r="H34" s="172">
        <f t="shared" si="6"/>
        <v>1.8728102770994798E-3</v>
      </c>
      <c r="I34" s="337"/>
      <c r="J34" s="168"/>
      <c r="K34" s="168"/>
      <c r="M34" s="359">
        <f t="shared" si="7"/>
        <v>0.31375494071146243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573">
        <f>'[19]Sch C'!D20</f>
        <v>20796</v>
      </c>
      <c r="D35" s="573">
        <f>'[19]Sch C'!F20</f>
        <v>0</v>
      </c>
      <c r="E35" s="171">
        <f t="shared" si="4"/>
        <v>20796</v>
      </c>
      <c r="F35" s="496"/>
      <c r="G35" s="171">
        <f t="shared" si="5"/>
        <v>20796</v>
      </c>
      <c r="H35" s="172">
        <f t="shared" si="6"/>
        <v>9.8127897512120896E-3</v>
      </c>
      <c r="I35" s="337"/>
      <c r="J35" s="168"/>
      <c r="K35" s="168"/>
      <c r="M35" s="359">
        <f t="shared" si="7"/>
        <v>1.6439525691699606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573">
        <f>'[19]Sch C'!D21</f>
        <v>600</v>
      </c>
      <c r="D36" s="573">
        <f>'[19]Sch C'!F21</f>
        <v>0</v>
      </c>
      <c r="E36" s="171">
        <f t="shared" si="4"/>
        <v>600</v>
      </c>
      <c r="F36" s="496"/>
      <c r="G36" s="171">
        <f t="shared" si="5"/>
        <v>600</v>
      </c>
      <c r="H36" s="172">
        <f t="shared" si="6"/>
        <v>2.8311568814806952E-4</v>
      </c>
      <c r="I36" s="337"/>
      <c r="J36" s="168"/>
      <c r="K36" s="168"/>
      <c r="M36" s="359">
        <f t="shared" si="7"/>
        <v>4.7430830039525688E-2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573">
        <f>'[19]Sch C'!D22</f>
        <v>0</v>
      </c>
      <c r="D37" s="573">
        <f>'[19]Sch C'!F22</f>
        <v>0</v>
      </c>
      <c r="E37" s="171">
        <f t="shared" si="4"/>
        <v>0</v>
      </c>
      <c r="F37" s="496"/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573">
        <f>'[19]Sch C'!D23</f>
        <v>7377</v>
      </c>
      <c r="D38" s="573">
        <f>'[19]Sch C'!F23</f>
        <v>0</v>
      </c>
      <c r="E38" s="171">
        <f t="shared" si="4"/>
        <v>7377</v>
      </c>
      <c r="F38" s="496"/>
      <c r="G38" s="171">
        <f t="shared" si="5"/>
        <v>7377</v>
      </c>
      <c r="H38" s="172">
        <f t="shared" si="6"/>
        <v>3.4809073857805144E-3</v>
      </c>
      <c r="I38" s="337"/>
      <c r="J38" s="168"/>
      <c r="K38" s="168"/>
      <c r="M38" s="359">
        <f t="shared" si="7"/>
        <v>0.58316205533596843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573">
        <f>'[19]Sch C'!D24</f>
        <v>0</v>
      </c>
      <c r="D39" s="573">
        <f>'[19]Sch C'!F24</f>
        <v>0</v>
      </c>
      <c r="E39" s="171">
        <f t="shared" si="4"/>
        <v>0</v>
      </c>
      <c r="F39" s="496"/>
      <c r="G39" s="171">
        <f t="shared" si="5"/>
        <v>0</v>
      </c>
      <c r="H39" s="172">
        <f t="shared" si="6"/>
        <v>0</v>
      </c>
      <c r="I39" s="337"/>
      <c r="J39" s="168"/>
      <c r="K39" s="168"/>
      <c r="M39" s="359">
        <f t="shared" si="7"/>
        <v>0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573">
        <f>'[19]Sch C'!D25</f>
        <v>0</v>
      </c>
      <c r="D40" s="573">
        <f>'[19]Sch C'!F25</f>
        <v>0</v>
      </c>
      <c r="E40" s="171">
        <f t="shared" si="4"/>
        <v>0</v>
      </c>
      <c r="F40" s="496"/>
      <c r="G40" s="171">
        <f t="shared" si="5"/>
        <v>0</v>
      </c>
      <c r="H40" s="172">
        <f t="shared" si="6"/>
        <v>0</v>
      </c>
      <c r="I40" s="337"/>
      <c r="J40" s="168"/>
      <c r="K40" s="168"/>
      <c r="M40" s="359">
        <f t="shared" si="7"/>
        <v>0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573">
        <f>'[19]Sch C'!D26</f>
        <v>195231</v>
      </c>
      <c r="D41" s="573">
        <f>'[19]Sch C'!F26</f>
        <v>0</v>
      </c>
      <c r="E41" s="171">
        <f t="shared" si="4"/>
        <v>195231</v>
      </c>
      <c r="F41" s="496"/>
      <c r="G41" s="171">
        <f t="shared" si="5"/>
        <v>195231</v>
      </c>
      <c r="H41" s="172">
        <f t="shared" si="6"/>
        <v>9.2121598188059595E-2</v>
      </c>
      <c r="I41" s="337"/>
      <c r="J41" s="168"/>
      <c r="K41" s="168"/>
      <c r="M41" s="359">
        <f t="shared" si="7"/>
        <v>15.433280632411067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573">
        <f>'[19]Sch C'!D27</f>
        <v>22949</v>
      </c>
      <c r="D42" s="573">
        <f>'[19]Sch C'!F27</f>
        <v>0</v>
      </c>
      <c r="E42" s="171">
        <f t="shared" si="4"/>
        <v>22949</v>
      </c>
      <c r="F42" s="496">
        <v>-22949</v>
      </c>
      <c r="G42" s="171">
        <f t="shared" si="5"/>
        <v>0</v>
      </c>
      <c r="H42" s="172">
        <f t="shared" si="6"/>
        <v>0</v>
      </c>
      <c r="I42" s="337"/>
      <c r="J42" s="168"/>
      <c r="K42" s="168"/>
      <c r="M42" s="359">
        <f t="shared" si="7"/>
        <v>0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573">
        <f>'[19]Sch C'!D28</f>
        <v>0</v>
      </c>
      <c r="D43" s="573">
        <f>'[19]Sch C'!F28</f>
        <v>0</v>
      </c>
      <c r="E43" s="171">
        <f t="shared" si="4"/>
        <v>0</v>
      </c>
      <c r="F43" s="496"/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573">
        <f>'[19]Sch C'!D29</f>
        <v>4618</v>
      </c>
      <c r="D44" s="573">
        <f>'[19]Sch C'!F29</f>
        <v>-4618</v>
      </c>
      <c r="E44" s="171">
        <f t="shared" si="4"/>
        <v>0</v>
      </c>
      <c r="F44" s="496"/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573">
        <f>'[19]Sch C'!D30</f>
        <v>0</v>
      </c>
      <c r="D45" s="573">
        <f>'[19]Sch C'!F30</f>
        <v>0</v>
      </c>
      <c r="E45" s="171">
        <f t="shared" si="4"/>
        <v>0</v>
      </c>
      <c r="F45" s="496"/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573">
        <f>'[19]Sch C'!D31</f>
        <v>14282</v>
      </c>
      <c r="D46" s="573">
        <f>'[19]Sch C'!F31</f>
        <v>0</v>
      </c>
      <c r="E46" s="171">
        <f t="shared" si="4"/>
        <v>14282</v>
      </c>
      <c r="F46" s="496"/>
      <c r="G46" s="171">
        <f t="shared" si="5"/>
        <v>14282</v>
      </c>
      <c r="H46" s="172">
        <f t="shared" si="6"/>
        <v>6.7390970968845476E-3</v>
      </c>
      <c r="I46" s="337"/>
      <c r="J46" s="168"/>
      <c r="K46" s="168"/>
      <c r="M46" s="359">
        <f t="shared" si="7"/>
        <v>1.1290118577075099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573">
        <f>'[19]Sch C'!D32</f>
        <v>22294</v>
      </c>
      <c r="D47" s="573">
        <f>'[19]Sch C'!F32</f>
        <v>0</v>
      </c>
      <c r="E47" s="171">
        <f t="shared" si="4"/>
        <v>22294</v>
      </c>
      <c r="F47" s="496"/>
      <c r="G47" s="171">
        <f t="shared" si="5"/>
        <v>22294</v>
      </c>
      <c r="H47" s="172">
        <f t="shared" si="6"/>
        <v>1.0519635252621768E-2</v>
      </c>
      <c r="I47" s="337"/>
      <c r="J47" s="168"/>
      <c r="K47" s="168"/>
      <c r="M47" s="359">
        <f t="shared" si="7"/>
        <v>1.7623715415019763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573">
        <f>'[19]Sch C'!D33</f>
        <v>0</v>
      </c>
      <c r="D48" s="573">
        <f>'[19]Sch C'!F33</f>
        <v>0</v>
      </c>
      <c r="E48" s="171">
        <f t="shared" si="4"/>
        <v>0</v>
      </c>
      <c r="F48" s="496"/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573">
        <f>'[19]Sch C'!D34</f>
        <v>0</v>
      </c>
      <c r="D49" s="573">
        <f>'[19]Sch C'!F34</f>
        <v>0</v>
      </c>
      <c r="E49" s="171">
        <f t="shared" si="4"/>
        <v>0</v>
      </c>
      <c r="F49" s="496"/>
      <c r="G49" s="171">
        <f t="shared" si="5"/>
        <v>0</v>
      </c>
      <c r="H49" s="172">
        <f t="shared" si="6"/>
        <v>0</v>
      </c>
      <c r="I49" s="337"/>
      <c r="J49" s="168"/>
      <c r="K49" s="168"/>
      <c r="M49" s="359">
        <f t="shared" si="7"/>
        <v>0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573">
        <f>'[19]Sch C'!D35</f>
        <v>0</v>
      </c>
      <c r="D50" s="573">
        <f>'[19]Sch C'!F35</f>
        <v>0</v>
      </c>
      <c r="E50" s="171">
        <f t="shared" si="4"/>
        <v>0</v>
      </c>
      <c r="F50" s="496"/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573">
        <f>'[19]Sch C'!D36</f>
        <v>0</v>
      </c>
      <c r="D51" s="573">
        <f>'[19]Sch C'!F36</f>
        <v>0</v>
      </c>
      <c r="E51" s="171">
        <f t="shared" si="4"/>
        <v>0</v>
      </c>
      <c r="F51" s="496"/>
      <c r="G51" s="171">
        <f t="shared" si="5"/>
        <v>0</v>
      </c>
      <c r="H51" s="172">
        <f t="shared" si="6"/>
        <v>0</v>
      </c>
      <c r="I51" s="337"/>
      <c r="J51" s="183">
        <v>0</v>
      </c>
      <c r="K51" s="183">
        <v>0</v>
      </c>
      <c r="M51" s="359">
        <f t="shared" si="7"/>
        <v>0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573">
        <f>'[19]Sch C'!D37</f>
        <v>0</v>
      </c>
      <c r="D52" s="573">
        <f>'[19]Sch C'!F37</f>
        <v>0</v>
      </c>
      <c r="E52" s="171">
        <f t="shared" si="4"/>
        <v>0</v>
      </c>
      <c r="F52" s="496"/>
      <c r="G52" s="171">
        <f t="shared" si="5"/>
        <v>0</v>
      </c>
      <c r="H52" s="172">
        <f t="shared" si="6"/>
        <v>0</v>
      </c>
      <c r="I52" s="337"/>
      <c r="J52" s="168"/>
      <c r="K52" s="168"/>
      <c r="M52" s="359">
        <f t="shared" si="7"/>
        <v>0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573">
        <f>'[19]Sch C'!D38</f>
        <v>0</v>
      </c>
      <c r="D53" s="573">
        <f>'[19]Sch C'!F38</f>
        <v>0</v>
      </c>
      <c r="E53" s="171">
        <f t="shared" si="4"/>
        <v>0</v>
      </c>
      <c r="F53" s="496"/>
      <c r="G53" s="171">
        <f t="shared" si="5"/>
        <v>0</v>
      </c>
      <c r="H53" s="172">
        <f t="shared" si="6"/>
        <v>0</v>
      </c>
      <c r="I53" s="337"/>
      <c r="J53" s="168"/>
      <c r="K53" s="168"/>
      <c r="M53" s="359">
        <f t="shared" si="7"/>
        <v>0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573">
        <f>'[19]Sch C'!D39</f>
        <v>1491</v>
      </c>
      <c r="D54" s="573">
        <f>'[19]Sch C'!F39</f>
        <v>0</v>
      </c>
      <c r="E54" s="171">
        <f t="shared" si="4"/>
        <v>1491</v>
      </c>
      <c r="F54" s="496"/>
      <c r="G54" s="171">
        <f t="shared" si="5"/>
        <v>1491</v>
      </c>
      <c r="H54" s="172">
        <f t="shared" si="6"/>
        <v>7.0354248504795268E-4</v>
      </c>
      <c r="I54" s="337"/>
      <c r="J54" s="168"/>
      <c r="K54" s="168"/>
      <c r="M54" s="359">
        <f t="shared" si="7"/>
        <v>0.11786561264822135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573">
        <f>'[19]Sch C'!D40</f>
        <v>500</v>
      </c>
      <c r="D55" s="573">
        <f>'[19]Sch C'!F40</f>
        <v>0</v>
      </c>
      <c r="E55" s="171">
        <f t="shared" si="4"/>
        <v>500</v>
      </c>
      <c r="F55" s="496"/>
      <c r="G55" s="171">
        <f t="shared" si="5"/>
        <v>500</v>
      </c>
      <c r="H55" s="172">
        <f t="shared" si="6"/>
        <v>2.3592974012339124E-4</v>
      </c>
      <c r="I55" s="337"/>
      <c r="J55" s="168"/>
      <c r="K55" s="168"/>
      <c r="M55" s="359">
        <f t="shared" si="7"/>
        <v>3.9525691699604744E-2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573">
        <f>'[19]Sch C'!D41</f>
        <v>618</v>
      </c>
      <c r="D56" s="573">
        <f>'[19]Sch C'!F41</f>
        <v>0</v>
      </c>
      <c r="E56" s="171">
        <f t="shared" si="4"/>
        <v>618</v>
      </c>
      <c r="F56" s="496"/>
      <c r="G56" s="171">
        <f t="shared" si="5"/>
        <v>618</v>
      </c>
      <c r="H56" s="172">
        <f t="shared" si="6"/>
        <v>2.916091587925116E-4</v>
      </c>
      <c r="I56" s="337"/>
      <c r="J56" s="168"/>
      <c r="K56" s="168"/>
      <c r="M56" s="359">
        <f t="shared" si="7"/>
        <v>4.8853754940711459E-2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573">
        <f>'[19]Sch C'!D42</f>
        <v>0</v>
      </c>
      <c r="D57" s="573">
        <f>'[19]Sch C'!F42</f>
        <v>0</v>
      </c>
      <c r="E57" s="171">
        <f t="shared" si="4"/>
        <v>0</v>
      </c>
      <c r="F57" s="496"/>
      <c r="G57" s="171">
        <f t="shared" si="5"/>
        <v>0</v>
      </c>
      <c r="H57" s="172">
        <f t="shared" si="6"/>
        <v>0</v>
      </c>
      <c r="I57" s="337"/>
      <c r="J57" s="168"/>
      <c r="K57" s="168"/>
      <c r="M57" s="359">
        <f t="shared" si="7"/>
        <v>0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573">
        <f>'[19]Sch C'!D43</f>
        <v>0</v>
      </c>
      <c r="D58" s="573">
        <f>'[19]Sch C'!F43</f>
        <v>0</v>
      </c>
      <c r="E58" s="171">
        <f t="shared" si="4"/>
        <v>0</v>
      </c>
      <c r="F58" s="496"/>
      <c r="G58" s="171">
        <f t="shared" si="5"/>
        <v>0</v>
      </c>
      <c r="H58" s="172">
        <f t="shared" si="6"/>
        <v>0</v>
      </c>
      <c r="I58" s="337"/>
      <c r="J58" s="168"/>
      <c r="K58" s="168"/>
      <c r="M58" s="359">
        <f t="shared" si="7"/>
        <v>0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573">
        <f>'[19]Sch C'!D44</f>
        <v>0</v>
      </c>
      <c r="D59" s="573">
        <f>'[19]Sch C'!F44</f>
        <v>0</v>
      </c>
      <c r="E59" s="171">
        <f t="shared" si="4"/>
        <v>0</v>
      </c>
      <c r="F59" s="496"/>
      <c r="G59" s="171">
        <f t="shared" si="5"/>
        <v>0</v>
      </c>
      <c r="H59" s="172">
        <f t="shared" si="6"/>
        <v>0</v>
      </c>
      <c r="I59" s="337"/>
      <c r="J59" s="168"/>
      <c r="K59" s="168"/>
      <c r="M59" s="359">
        <f t="shared" si="7"/>
        <v>0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573">
        <f>'[19]Sch C'!D45</f>
        <v>0</v>
      </c>
      <c r="D60" s="573">
        <f>'[19]Sch C'!F45</f>
        <v>-949</v>
      </c>
      <c r="E60" s="171">
        <f t="shared" si="4"/>
        <v>-949</v>
      </c>
      <c r="F60" s="496"/>
      <c r="G60" s="171">
        <f t="shared" si="5"/>
        <v>-949</v>
      </c>
      <c r="H60" s="172">
        <f t="shared" si="6"/>
        <v>-4.4779464675419659E-4</v>
      </c>
      <c r="I60" s="337"/>
      <c r="J60" s="168"/>
      <c r="K60" s="168"/>
      <c r="M60" s="359">
        <f t="shared" si="7"/>
        <v>-7.5019762845849797E-2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573">
        <f>SUM(C25:C60)</f>
        <v>510471</v>
      </c>
      <c r="D61" s="573">
        <f>SUM(D25:D60)</f>
        <v>-162716</v>
      </c>
      <c r="E61" s="171">
        <f t="shared" ref="E61" si="8">SUM(E25:E60)</f>
        <v>347755</v>
      </c>
      <c r="F61" s="171">
        <f>SUM(F25:F60)</f>
        <v>-22949</v>
      </c>
      <c r="G61" s="171">
        <f>SUM(G25:G60)</f>
        <v>324806</v>
      </c>
      <c r="H61" s="186">
        <f t="shared" si="6"/>
        <v>0.15326279034103643</v>
      </c>
      <c r="I61" s="339"/>
      <c r="J61" s="168"/>
      <c r="K61" s="168"/>
      <c r="M61" s="364">
        <f>G61/G$228</f>
        <v>25.676363636363636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I62" s="340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573">
        <f>'[19]Sch C'!D57</f>
        <v>100368</v>
      </c>
      <c r="D64" s="573">
        <f>'[19]Sch C'!F57</f>
        <v>-100368</v>
      </c>
      <c r="E64" s="171">
        <f t="shared" ref="E64:E78" si="9">C64+D64</f>
        <v>0</v>
      </c>
      <c r="F64" s="496"/>
      <c r="G64" s="171">
        <f t="shared" ref="G64:G78" si="10">E64+F64</f>
        <v>0</v>
      </c>
      <c r="H64" s="172">
        <f t="shared" ref="H64:H79" si="11">IF($G$208=0,0,G64/$G$208)</f>
        <v>0</v>
      </c>
      <c r="I64" s="337"/>
      <c r="J64" s="190"/>
      <c r="K64" s="168"/>
      <c r="M64" s="359">
        <f t="shared" ref="M64:M79" si="12">G64/G$228</f>
        <v>0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573">
        <f>'[19]Sch C'!D58</f>
        <v>0</v>
      </c>
      <c r="D65" s="573">
        <f>'[19]Sch C'!F58</f>
        <v>10897</v>
      </c>
      <c r="E65" s="171">
        <f t="shared" si="9"/>
        <v>10897</v>
      </c>
      <c r="F65" s="496"/>
      <c r="G65" s="171">
        <f t="shared" si="10"/>
        <v>10897</v>
      </c>
      <c r="H65" s="172">
        <f t="shared" si="11"/>
        <v>5.1418527562491888E-3</v>
      </c>
      <c r="I65" s="337"/>
      <c r="J65" s="190"/>
      <c r="K65" s="168"/>
      <c r="M65" s="359">
        <f t="shared" si="12"/>
        <v>0.86142292490118577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573">
        <f>'[19]Sch C'!D59</f>
        <v>0</v>
      </c>
      <c r="D66" s="573">
        <f>'[19]Sch C'!F59</f>
        <v>70917</v>
      </c>
      <c r="E66" s="171">
        <f t="shared" si="9"/>
        <v>70917</v>
      </c>
      <c r="F66" s="496"/>
      <c r="G66" s="171">
        <f t="shared" si="10"/>
        <v>70917</v>
      </c>
      <c r="H66" s="172">
        <f t="shared" si="11"/>
        <v>3.3462858760661074E-2</v>
      </c>
      <c r="I66" s="337"/>
      <c r="J66" s="190"/>
      <c r="K66" s="168"/>
      <c r="M66" s="359">
        <f t="shared" si="12"/>
        <v>5.6060869565217395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573">
        <f>'[19]Sch C'!D60</f>
        <v>693</v>
      </c>
      <c r="D67" s="573">
        <f>'[19]Sch C'!F60</f>
        <v>9801</v>
      </c>
      <c r="E67" s="171">
        <f t="shared" si="9"/>
        <v>10494</v>
      </c>
      <c r="F67" s="496"/>
      <c r="G67" s="171">
        <f t="shared" si="10"/>
        <v>10494</v>
      </c>
      <c r="H67" s="172">
        <f t="shared" si="11"/>
        <v>4.9516933857097359E-3</v>
      </c>
      <c r="I67" s="337"/>
      <c r="J67" s="193"/>
      <c r="K67" s="168"/>
      <c r="M67" s="359">
        <f t="shared" si="12"/>
        <v>0.8295652173913044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573">
        <f>'[19]Sch C'!D61</f>
        <v>4338</v>
      </c>
      <c r="D68" s="573">
        <f>'[19]Sch C'!F61</f>
        <v>0</v>
      </c>
      <c r="E68" s="171">
        <f t="shared" si="9"/>
        <v>4338</v>
      </c>
      <c r="F68" s="496">
        <v>-4338</v>
      </c>
      <c r="G68" s="171">
        <f t="shared" si="10"/>
        <v>0</v>
      </c>
      <c r="H68" s="172">
        <f t="shared" si="11"/>
        <v>0</v>
      </c>
      <c r="I68" s="337"/>
      <c r="J68" s="193"/>
      <c r="K68" s="168"/>
      <c r="M68" s="359">
        <f t="shared" si="12"/>
        <v>0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573">
        <f>'[19]Sch C'!D62</f>
        <v>0</v>
      </c>
      <c r="D69" s="573">
        <f>'[19]Sch C'!F62</f>
        <v>0</v>
      </c>
      <c r="E69" s="171">
        <f t="shared" si="9"/>
        <v>0</v>
      </c>
      <c r="F69" s="512"/>
      <c r="G69" s="171">
        <f t="shared" si="10"/>
        <v>0</v>
      </c>
      <c r="H69" s="172">
        <f t="shared" si="11"/>
        <v>0</v>
      </c>
      <c r="I69" s="337"/>
      <c r="J69" s="195"/>
      <c r="K69" s="168"/>
      <c r="M69" s="359">
        <f t="shared" si="12"/>
        <v>0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573">
        <f>'[19]Sch C'!D63</f>
        <v>0</v>
      </c>
      <c r="D70" s="573">
        <f>'[19]Sch C'!F63</f>
        <v>0</v>
      </c>
      <c r="E70" s="171">
        <f t="shared" si="9"/>
        <v>0</v>
      </c>
      <c r="F70" s="496"/>
      <c r="G70" s="171">
        <f t="shared" si="10"/>
        <v>0</v>
      </c>
      <c r="H70" s="172">
        <f t="shared" si="11"/>
        <v>0</v>
      </c>
      <c r="I70" s="337"/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573">
        <f>'[19]Sch C'!D64</f>
        <v>0</v>
      </c>
      <c r="D71" s="573">
        <f>'[19]Sch C'!F64</f>
        <v>0</v>
      </c>
      <c r="E71" s="171">
        <f t="shared" si="9"/>
        <v>0</v>
      </c>
      <c r="F71" s="496"/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573">
        <f>'[19]Sch C'!D65</f>
        <v>0</v>
      </c>
      <c r="D72" s="573">
        <f>'[19]Sch C'!F65</f>
        <v>0</v>
      </c>
      <c r="E72" s="171">
        <f t="shared" si="9"/>
        <v>0</v>
      </c>
      <c r="F72" s="496">
        <v>4338</v>
      </c>
      <c r="G72" s="171">
        <f t="shared" si="10"/>
        <v>4338</v>
      </c>
      <c r="H72" s="172">
        <f t="shared" si="11"/>
        <v>2.0469264253105426E-3</v>
      </c>
      <c r="I72" s="337"/>
      <c r="J72" s="195"/>
      <c r="K72" s="168"/>
      <c r="M72" s="359">
        <f t="shared" si="12"/>
        <v>0.34292490118577074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573">
        <f>'[19]Sch C'!D66</f>
        <v>2794</v>
      </c>
      <c r="D73" s="573">
        <f>'[19]Sch C'!F66</f>
        <v>0</v>
      </c>
      <c r="E73" s="171">
        <f t="shared" si="9"/>
        <v>2794</v>
      </c>
      <c r="F73" s="496"/>
      <c r="G73" s="171">
        <f t="shared" si="10"/>
        <v>2794</v>
      </c>
      <c r="H73" s="172">
        <f t="shared" si="11"/>
        <v>1.3183753878095103E-3</v>
      </c>
      <c r="I73" s="337"/>
      <c r="J73" s="195"/>
      <c r="K73" s="168"/>
      <c r="M73" s="359">
        <f t="shared" si="12"/>
        <v>0.22086956521739132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573">
        <f>'[19]Sch C'!D67</f>
        <v>35147</v>
      </c>
      <c r="D74" s="573">
        <f>'[19]Sch C'!F67</f>
        <v>0</v>
      </c>
      <c r="E74" s="171">
        <f t="shared" si="9"/>
        <v>35147</v>
      </c>
      <c r="F74" s="512"/>
      <c r="G74" s="171">
        <f t="shared" si="10"/>
        <v>35147</v>
      </c>
      <c r="H74" s="172">
        <f t="shared" si="11"/>
        <v>1.6584445152233666E-2</v>
      </c>
      <c r="I74" s="337"/>
      <c r="J74" s="195"/>
      <c r="K74" s="168"/>
      <c r="M74" s="359">
        <f t="shared" si="12"/>
        <v>2.7784189723320156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573">
        <f>'[19]Sch C'!D68</f>
        <v>0</v>
      </c>
      <c r="D75" s="573">
        <f>'[19]Sch C'!F68</f>
        <v>0</v>
      </c>
      <c r="E75" s="171">
        <f t="shared" si="9"/>
        <v>0</v>
      </c>
      <c r="F75" s="496"/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573">
        <f>'[19]Sch C'!D69</f>
        <v>0</v>
      </c>
      <c r="D76" s="573">
        <f>'[19]Sch C'!F69</f>
        <v>0</v>
      </c>
      <c r="E76" s="171">
        <f t="shared" si="9"/>
        <v>0</v>
      </c>
      <c r="F76" s="496"/>
      <c r="G76" s="171">
        <f t="shared" si="10"/>
        <v>0</v>
      </c>
      <c r="H76" s="172">
        <f t="shared" si="11"/>
        <v>0</v>
      </c>
      <c r="I76" s="337"/>
      <c r="J76" s="195"/>
      <c r="K76" s="168"/>
      <c r="M76" s="359">
        <f t="shared" si="12"/>
        <v>0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573">
        <f>'[19]Sch C'!D70</f>
        <v>0</v>
      </c>
      <c r="D77" s="573">
        <f>'[19]Sch C'!F70</f>
        <v>0</v>
      </c>
      <c r="E77" s="171">
        <f t="shared" si="9"/>
        <v>0</v>
      </c>
      <c r="F77" s="496"/>
      <c r="G77" s="171">
        <f t="shared" si="10"/>
        <v>0</v>
      </c>
      <c r="H77" s="172">
        <f t="shared" si="11"/>
        <v>0</v>
      </c>
      <c r="I77" s="337"/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573">
        <f>'[19]Sch C'!D71</f>
        <v>0</v>
      </c>
      <c r="D78" s="573">
        <f>'[19]Sch C'!F71</f>
        <v>0</v>
      </c>
      <c r="E78" s="171">
        <f t="shared" si="9"/>
        <v>0</v>
      </c>
      <c r="F78" s="496"/>
      <c r="G78" s="171">
        <f t="shared" si="10"/>
        <v>0</v>
      </c>
      <c r="H78" s="172">
        <f t="shared" si="11"/>
        <v>0</v>
      </c>
      <c r="I78" s="337"/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573">
        <f>SUM(C64:C78)</f>
        <v>143340</v>
      </c>
      <c r="D79" s="573">
        <f>SUM(D64:D78)</f>
        <v>-8753</v>
      </c>
      <c r="E79" s="171">
        <f t="shared" ref="E79" si="13">SUM(E64:E78)</f>
        <v>134587</v>
      </c>
      <c r="F79" s="171">
        <f>SUM(F64:F78)</f>
        <v>0</v>
      </c>
      <c r="G79" s="171">
        <f>SUM(G64:G78)</f>
        <v>134587</v>
      </c>
      <c r="H79" s="172">
        <f t="shared" si="11"/>
        <v>6.3506151867973717E-2</v>
      </c>
      <c r="I79" s="337"/>
      <c r="J79" s="195"/>
      <c r="K79" s="168"/>
      <c r="M79" s="359">
        <f t="shared" si="12"/>
        <v>10.639288537549406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573">
        <f>'[19]Sch C'!D75</f>
        <v>63294</v>
      </c>
      <c r="D82" s="573">
        <f>'[19]Sch C'!F75</f>
        <v>0</v>
      </c>
      <c r="E82" s="171">
        <f t="shared" ref="E82:E92" si="14">C82+D82</f>
        <v>63294</v>
      </c>
      <c r="F82" s="496"/>
      <c r="G82" s="171">
        <f t="shared" ref="G82:G92" si="15">E82+F82</f>
        <v>63294</v>
      </c>
      <c r="H82" s="172">
        <f t="shared" ref="H82:H93" si="16">IF($G$208=0,0,G82/$G$208)</f>
        <v>2.9865873942739853E-2</v>
      </c>
      <c r="I82" s="337"/>
      <c r="J82" s="183">
        <v>3189</v>
      </c>
      <c r="K82" s="183">
        <v>3418</v>
      </c>
      <c r="M82" s="359">
        <f t="shared" ref="M82:M92" si="17">G82/G$228</f>
        <v>5.0034782608695654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573">
        <f>'[19]Sch C'!D76</f>
        <v>0</v>
      </c>
      <c r="D83" s="573">
        <f>'[19]Sch C'!F76</f>
        <v>8821</v>
      </c>
      <c r="E83" s="171">
        <f t="shared" si="14"/>
        <v>8821</v>
      </c>
      <c r="F83" s="496"/>
      <c r="G83" s="171">
        <f t="shared" si="15"/>
        <v>8821</v>
      </c>
      <c r="H83" s="172">
        <f t="shared" si="16"/>
        <v>4.1622724752568684E-3</v>
      </c>
      <c r="I83" s="337"/>
      <c r="J83" s="168"/>
      <c r="K83" s="168"/>
      <c r="M83" s="359">
        <f t="shared" si="17"/>
        <v>0.69731225296442689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573">
        <f>'[19]Sch C'!D77</f>
        <v>22926</v>
      </c>
      <c r="D84" s="573">
        <f>'[19]Sch C'!F77</f>
        <v>0</v>
      </c>
      <c r="E84" s="171">
        <f t="shared" si="14"/>
        <v>22926</v>
      </c>
      <c r="F84" s="496"/>
      <c r="G84" s="171">
        <f t="shared" si="15"/>
        <v>22926</v>
      </c>
      <c r="H84" s="172">
        <f t="shared" si="16"/>
        <v>1.0817850444137736E-2</v>
      </c>
      <c r="I84" s="337"/>
      <c r="J84" s="168"/>
      <c r="K84" s="168"/>
      <c r="M84" s="359">
        <f t="shared" si="17"/>
        <v>1.8123320158102767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573">
        <f>'[19]Sch C'!D78</f>
        <v>0</v>
      </c>
      <c r="D85" s="573">
        <f>'[19]Sch C'!F78</f>
        <v>0</v>
      </c>
      <c r="E85" s="171">
        <f t="shared" si="14"/>
        <v>0</v>
      </c>
      <c r="F85" s="496"/>
      <c r="G85" s="171">
        <f t="shared" si="15"/>
        <v>0</v>
      </c>
      <c r="H85" s="172">
        <f t="shared" si="16"/>
        <v>0</v>
      </c>
      <c r="I85" s="337"/>
      <c r="J85" s="168"/>
      <c r="K85" s="168"/>
      <c r="M85" s="359">
        <f t="shared" si="17"/>
        <v>0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573">
        <f>'[19]Sch C'!D79</f>
        <v>0</v>
      </c>
      <c r="D86" s="573">
        <f>'[19]Sch C'!F79</f>
        <v>0</v>
      </c>
      <c r="E86" s="171">
        <f t="shared" si="14"/>
        <v>0</v>
      </c>
      <c r="F86" s="496"/>
      <c r="G86" s="171">
        <f>E86+F86</f>
        <v>0</v>
      </c>
      <c r="H86" s="172">
        <f t="shared" si="16"/>
        <v>0</v>
      </c>
      <c r="I86" s="337"/>
      <c r="J86" s="168"/>
      <c r="K86" s="168"/>
      <c r="M86" s="359">
        <f t="shared" si="17"/>
        <v>0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573">
        <f>'[19]Sch C'!D80</f>
        <v>22242</v>
      </c>
      <c r="D87" s="573">
        <f>'[19]Sch C'!F80</f>
        <v>0</v>
      </c>
      <c r="E87" s="171">
        <f t="shared" si="14"/>
        <v>22242</v>
      </c>
      <c r="F87" s="496"/>
      <c r="G87" s="171">
        <f t="shared" si="15"/>
        <v>22242</v>
      </c>
      <c r="H87" s="172">
        <f t="shared" si="16"/>
        <v>1.0495098559648936E-2</v>
      </c>
      <c r="I87" s="337"/>
      <c r="J87" s="168"/>
      <c r="K87" s="168"/>
      <c r="M87" s="359">
        <f t="shared" si="17"/>
        <v>1.7582608695652173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573">
        <f>'[19]Sch C'!D81</f>
        <v>0</v>
      </c>
      <c r="D88" s="573">
        <f>'[19]Sch C'!F81</f>
        <v>0</v>
      </c>
      <c r="E88" s="171">
        <f t="shared" si="14"/>
        <v>0</v>
      </c>
      <c r="F88" s="496"/>
      <c r="G88" s="171">
        <f t="shared" si="15"/>
        <v>0</v>
      </c>
      <c r="H88" s="172">
        <f t="shared" si="16"/>
        <v>0</v>
      </c>
      <c r="I88" s="337"/>
      <c r="J88" s="168"/>
      <c r="K88" s="168"/>
      <c r="M88" s="359">
        <f t="shared" si="17"/>
        <v>0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573">
        <f>'[19]Sch C'!D82</f>
        <v>0</v>
      </c>
      <c r="D89" s="573">
        <f>'[19]Sch C'!F82</f>
        <v>0</v>
      </c>
      <c r="E89" s="171">
        <f t="shared" si="14"/>
        <v>0</v>
      </c>
      <c r="F89" s="496"/>
      <c r="G89" s="171">
        <f t="shared" si="15"/>
        <v>0</v>
      </c>
      <c r="H89" s="172">
        <f t="shared" si="16"/>
        <v>0</v>
      </c>
      <c r="I89" s="337"/>
      <c r="J89" s="168"/>
      <c r="K89" s="168"/>
      <c r="M89" s="359">
        <f t="shared" si="17"/>
        <v>0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573">
        <f>'[19]Sch C'!D83</f>
        <v>8927</v>
      </c>
      <c r="D90" s="573">
        <f>'[19]Sch C'!F83</f>
        <v>0</v>
      </c>
      <c r="E90" s="171">
        <f t="shared" si="14"/>
        <v>8927</v>
      </c>
      <c r="F90" s="496"/>
      <c r="G90" s="171">
        <f t="shared" si="15"/>
        <v>8927</v>
      </c>
      <c r="H90" s="172">
        <f t="shared" si="16"/>
        <v>4.2122895801630271E-3</v>
      </c>
      <c r="I90" s="337"/>
      <c r="J90" s="168"/>
      <c r="K90" s="168"/>
      <c r="M90" s="359">
        <f t="shared" si="17"/>
        <v>0.70569169960474309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573">
        <f>'[19]Sch C'!D84</f>
        <v>33225</v>
      </c>
      <c r="D91" s="573">
        <f>'[19]Sch C'!F84</f>
        <v>0</v>
      </c>
      <c r="E91" s="171">
        <f t="shared" si="14"/>
        <v>33225</v>
      </c>
      <c r="F91" s="496">
        <v>1717</v>
      </c>
      <c r="G91" s="171">
        <f t="shared" si="15"/>
        <v>34942</v>
      </c>
      <c r="H91" s="172">
        <f t="shared" si="16"/>
        <v>1.6487713958783075E-2</v>
      </c>
      <c r="I91" s="337"/>
      <c r="J91" s="168"/>
      <c r="K91" s="168"/>
      <c r="M91" s="359">
        <f t="shared" si="17"/>
        <v>2.762213438735178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573">
        <f>'[19]Sch C'!D85</f>
        <v>0</v>
      </c>
      <c r="D92" s="573">
        <f>'[19]Sch C'!F85</f>
        <v>0</v>
      </c>
      <c r="E92" s="171">
        <f t="shared" si="14"/>
        <v>0</v>
      </c>
      <c r="F92" s="496"/>
      <c r="G92" s="171">
        <f t="shared" si="15"/>
        <v>0</v>
      </c>
      <c r="H92" s="172">
        <f t="shared" si="16"/>
        <v>0</v>
      </c>
      <c r="I92" s="337"/>
      <c r="J92" s="168"/>
      <c r="K92" s="168"/>
      <c r="M92" s="359">
        <f t="shared" si="17"/>
        <v>0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573">
        <f>SUM(C82:C92)</f>
        <v>150614</v>
      </c>
      <c r="D93" s="573">
        <f>SUM(D82:D92)</f>
        <v>8821</v>
      </c>
      <c r="E93" s="171">
        <f t="shared" ref="E93" si="18">SUM(E82:E92)</f>
        <v>159435</v>
      </c>
      <c r="F93" s="171">
        <f>SUM(F82:F92)</f>
        <v>1717</v>
      </c>
      <c r="G93" s="171">
        <f>SUM(G82:G92)</f>
        <v>161152</v>
      </c>
      <c r="H93" s="172">
        <f t="shared" si="16"/>
        <v>7.6041098960729497E-2</v>
      </c>
      <c r="I93" s="337"/>
      <c r="J93" s="168"/>
      <c r="K93" s="168"/>
      <c r="M93" s="364">
        <f>G93/G$228</f>
        <v>12.739288537549408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573">
        <f>'[19]Sch C'!D89</f>
        <v>136286</v>
      </c>
      <c r="D96" s="573">
        <f>'[19]Sch C'!F89</f>
        <v>0</v>
      </c>
      <c r="E96" s="171">
        <f t="shared" ref="E96:E101" si="19">C96+D96</f>
        <v>136286</v>
      </c>
      <c r="F96" s="496"/>
      <c r="G96" s="171">
        <f t="shared" ref="G96:G101" si="20">E96+F96</f>
        <v>136286</v>
      </c>
      <c r="H96" s="172">
        <f t="shared" ref="H96:H102" si="21">IF($G$208=0,0,G96/$G$208)</f>
        <v>6.4307841124913001E-2</v>
      </c>
      <c r="I96" s="337"/>
      <c r="J96" s="183">
        <v>8620</v>
      </c>
      <c r="K96" s="183">
        <v>8955</v>
      </c>
      <c r="M96" s="364">
        <f t="shared" ref="M96:M101" si="22">G96/G$228</f>
        <v>10.773596837944664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573">
        <f>'[19]Sch C'!D90</f>
        <v>0</v>
      </c>
      <c r="D97" s="573">
        <f>'[19]Sch C'!F90</f>
        <v>18993</v>
      </c>
      <c r="E97" s="171">
        <f t="shared" si="19"/>
        <v>18993</v>
      </c>
      <c r="F97" s="496"/>
      <c r="G97" s="171">
        <f t="shared" si="20"/>
        <v>18993</v>
      </c>
      <c r="H97" s="172">
        <f t="shared" si="21"/>
        <v>8.9620271083271398E-3</v>
      </c>
      <c r="I97" s="337"/>
      <c r="J97" s="168"/>
      <c r="K97" s="168"/>
      <c r="M97" s="364">
        <f t="shared" si="22"/>
        <v>1.5014229249011857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573">
        <f>'[19]Sch C'!D91</f>
        <v>4629</v>
      </c>
      <c r="D98" s="573">
        <f>'[19]Sch C'!F91</f>
        <v>0</v>
      </c>
      <c r="E98" s="171">
        <f t="shared" si="19"/>
        <v>4629</v>
      </c>
      <c r="F98" s="496"/>
      <c r="G98" s="171">
        <f t="shared" si="20"/>
        <v>4629</v>
      </c>
      <c r="H98" s="172">
        <f t="shared" si="21"/>
        <v>2.1842375340623563E-3</v>
      </c>
      <c r="I98" s="337"/>
      <c r="J98" s="168"/>
      <c r="K98" s="168"/>
      <c r="M98" s="364">
        <f t="shared" si="22"/>
        <v>0.36592885375494072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573">
        <f>'[19]Sch C'!D92</f>
        <v>128920</v>
      </c>
      <c r="D99" s="573">
        <f>'[19]Sch C'!F92</f>
        <v>0</v>
      </c>
      <c r="E99" s="171">
        <f t="shared" si="19"/>
        <v>128920</v>
      </c>
      <c r="F99" s="496">
        <v>-1717</v>
      </c>
      <c r="G99" s="171">
        <f t="shared" si="20"/>
        <v>127203</v>
      </c>
      <c r="H99" s="172">
        <f t="shared" si="21"/>
        <v>6.0021941465831473E-2</v>
      </c>
      <c r="I99" s="337"/>
      <c r="J99" s="168"/>
      <c r="K99" s="168"/>
      <c r="M99" s="364">
        <f t="shared" si="22"/>
        <v>10.055573122529644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573">
        <f>'[19]Sch C'!D93</f>
        <v>12761</v>
      </c>
      <c r="D100" s="573">
        <f>'[19]Sch C'!F93</f>
        <v>0</v>
      </c>
      <c r="E100" s="171">
        <f t="shared" si="19"/>
        <v>12761</v>
      </c>
      <c r="F100" s="496"/>
      <c r="G100" s="171">
        <f t="shared" si="20"/>
        <v>12761</v>
      </c>
      <c r="H100" s="172">
        <f t="shared" si="21"/>
        <v>6.0213988274291919E-3</v>
      </c>
      <c r="I100" s="337"/>
      <c r="J100" s="168"/>
      <c r="K100" s="168"/>
      <c r="M100" s="364">
        <f t="shared" si="22"/>
        <v>1.0087747035573122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573">
        <f>'[19]Sch C'!D94</f>
        <v>0</v>
      </c>
      <c r="D101" s="573">
        <f>'[19]Sch C'!F94</f>
        <v>0</v>
      </c>
      <c r="E101" s="171">
        <f t="shared" si="19"/>
        <v>0</v>
      </c>
      <c r="F101" s="496"/>
      <c r="G101" s="171">
        <f t="shared" si="20"/>
        <v>0</v>
      </c>
      <c r="H101" s="172">
        <f t="shared" si="21"/>
        <v>0</v>
      </c>
      <c r="I101" s="337"/>
      <c r="J101" s="168"/>
      <c r="K101" s="168"/>
      <c r="M101" s="364">
        <f t="shared" si="22"/>
        <v>0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573">
        <f>SUM(C96:C101)</f>
        <v>282596</v>
      </c>
      <c r="D102" s="573">
        <f>SUM(D96:D101)</f>
        <v>18993</v>
      </c>
      <c r="E102" s="171">
        <f t="shared" ref="E102" si="23">SUM(E96:E101)</f>
        <v>301589</v>
      </c>
      <c r="F102" s="171">
        <f>SUM(F96:F101)</f>
        <v>-1717</v>
      </c>
      <c r="G102" s="171">
        <f>SUM(G96:G101)</f>
        <v>299872</v>
      </c>
      <c r="H102" s="172">
        <f t="shared" si="21"/>
        <v>0.14149744606056316</v>
      </c>
      <c r="I102" s="337"/>
      <c r="J102" s="168"/>
      <c r="K102" s="168"/>
      <c r="M102" s="364">
        <f>G102/G$228</f>
        <v>23.705296442687747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573">
        <f>'[19]Sch C'!D98</f>
        <v>21175</v>
      </c>
      <c r="D105" s="573">
        <f>'[19]Sch C'!F98</f>
        <v>0</v>
      </c>
      <c r="E105" s="171">
        <f t="shared" ref="E105:E110" si="24">C105+D105</f>
        <v>21175</v>
      </c>
      <c r="F105" s="496"/>
      <c r="G105" s="171">
        <f t="shared" ref="G105:G110" si="25">E105+F105</f>
        <v>21175</v>
      </c>
      <c r="H105" s="172">
        <f t="shared" ref="H105:H111" si="26">IF($G$208=0,0,G105/$G$208)</f>
        <v>9.9916244942256198E-3</v>
      </c>
      <c r="I105" s="337"/>
      <c r="J105" s="183">
        <v>2188</v>
      </c>
      <c r="K105" s="183">
        <v>2292</v>
      </c>
      <c r="M105" s="364">
        <f t="shared" ref="M105:M110" si="27">G105/G$228</f>
        <v>1.673913043478261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573">
        <f>'[19]Sch C'!D99</f>
        <v>0</v>
      </c>
      <c r="D106" s="573">
        <f>'[19]Sch C'!F99</f>
        <v>2951</v>
      </c>
      <c r="E106" s="171">
        <f t="shared" si="24"/>
        <v>2951</v>
      </c>
      <c r="F106" s="496"/>
      <c r="G106" s="171">
        <f t="shared" si="25"/>
        <v>2951</v>
      </c>
      <c r="H106" s="172">
        <f t="shared" si="26"/>
        <v>1.3924573262082552E-3</v>
      </c>
      <c r="I106" s="337"/>
      <c r="J106" s="168"/>
      <c r="K106" s="168"/>
      <c r="M106" s="364">
        <f t="shared" si="27"/>
        <v>0.2332806324110672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573">
        <f>'[19]Sch C'!D100</f>
        <v>1301</v>
      </c>
      <c r="D107" s="573">
        <f>'[19]Sch C'!F100</f>
        <v>0</v>
      </c>
      <c r="E107" s="171">
        <f t="shared" si="24"/>
        <v>1301</v>
      </c>
      <c r="F107" s="496"/>
      <c r="G107" s="171">
        <f t="shared" si="25"/>
        <v>1301</v>
      </c>
      <c r="H107" s="172">
        <f t="shared" si="26"/>
        <v>6.1388918380106405E-4</v>
      </c>
      <c r="I107" s="337"/>
      <c r="J107" s="168"/>
      <c r="K107" s="168"/>
      <c r="M107" s="364">
        <f t="shared" si="27"/>
        <v>0.10284584980237155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573">
        <f>'[19]Sch C'!D101</f>
        <v>0</v>
      </c>
      <c r="D108" s="573">
        <f>'[19]Sch C'!F101</f>
        <v>0</v>
      </c>
      <c r="E108" s="171">
        <f t="shared" si="24"/>
        <v>0</v>
      </c>
      <c r="F108" s="496"/>
      <c r="G108" s="171">
        <f t="shared" si="25"/>
        <v>0</v>
      </c>
      <c r="H108" s="172">
        <f t="shared" si="26"/>
        <v>0</v>
      </c>
      <c r="I108" s="337"/>
      <c r="J108" s="168"/>
      <c r="K108" s="168"/>
      <c r="M108" s="364">
        <f t="shared" si="27"/>
        <v>0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573">
        <f>'[19]Sch C'!D102</f>
        <v>0</v>
      </c>
      <c r="D109" s="573">
        <f>'[19]Sch C'!F102</f>
        <v>0</v>
      </c>
      <c r="E109" s="171">
        <f t="shared" si="24"/>
        <v>0</v>
      </c>
      <c r="F109" s="496"/>
      <c r="G109" s="171">
        <f t="shared" si="25"/>
        <v>0</v>
      </c>
      <c r="H109" s="172">
        <f t="shared" si="26"/>
        <v>0</v>
      </c>
      <c r="I109" s="337"/>
      <c r="J109" s="168"/>
      <c r="K109" s="168"/>
      <c r="M109" s="364">
        <f t="shared" si="27"/>
        <v>0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573">
        <f>'[19]Sch C'!D103</f>
        <v>0</v>
      </c>
      <c r="D110" s="573">
        <f>'[19]Sch C'!F103</f>
        <v>0</v>
      </c>
      <c r="E110" s="171">
        <f t="shared" si="24"/>
        <v>0</v>
      </c>
      <c r="F110" s="496"/>
      <c r="G110" s="171">
        <f t="shared" si="25"/>
        <v>0</v>
      </c>
      <c r="H110" s="172">
        <f t="shared" si="26"/>
        <v>0</v>
      </c>
      <c r="I110" s="337"/>
      <c r="J110" s="168"/>
      <c r="K110" s="168"/>
      <c r="M110" s="364">
        <f t="shared" si="27"/>
        <v>0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573">
        <f>SUM(C105:C110)</f>
        <v>22476</v>
      </c>
      <c r="D111" s="573">
        <f>SUM(D105:D110)</f>
        <v>2951</v>
      </c>
      <c r="E111" s="171">
        <f t="shared" ref="E111" si="28">SUM(E105:E110)</f>
        <v>25427</v>
      </c>
      <c r="F111" s="171">
        <f>SUM(F105:F110)</f>
        <v>0</v>
      </c>
      <c r="G111" s="171">
        <f>SUM(G105:G110)</f>
        <v>25427</v>
      </c>
      <c r="H111" s="172">
        <f t="shared" si="26"/>
        <v>1.1997971004234938E-2</v>
      </c>
      <c r="I111" s="337"/>
      <c r="J111" s="168"/>
      <c r="K111" s="168"/>
      <c r="M111" s="364">
        <f>G111/G$228</f>
        <v>2.0100395256916994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573">
        <f>'[19]Sch C'!D115</f>
        <v>44390</v>
      </c>
      <c r="D114" s="573">
        <f>'[19]Sch C'!F115</f>
        <v>0</v>
      </c>
      <c r="E114" s="171">
        <f t="shared" ref="E114:E118" si="29">C114+D114</f>
        <v>44390</v>
      </c>
      <c r="F114" s="496"/>
      <c r="G114" s="171">
        <f>E114+F114</f>
        <v>44390</v>
      </c>
      <c r="H114" s="172">
        <f t="shared" ref="H114:H119" si="30">IF($G$208=0,0,G114/$G$208)</f>
        <v>2.0945842328154676E-2</v>
      </c>
      <c r="I114" s="337"/>
      <c r="J114" s="183">
        <v>4264</v>
      </c>
      <c r="K114" s="183">
        <v>4543</v>
      </c>
      <c r="M114" s="364">
        <f t="shared" ref="M114:M119" si="31">G114/G$228</f>
        <v>3.5090909090909093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573">
        <f>'[19]Sch C'!D116</f>
        <v>0</v>
      </c>
      <c r="D115" s="573">
        <f>'[19]Sch C'!F116</f>
        <v>6186</v>
      </c>
      <c r="E115" s="171">
        <f t="shared" si="29"/>
        <v>6186</v>
      </c>
      <c r="F115" s="496"/>
      <c r="G115" s="171">
        <f>E115+F115</f>
        <v>6186</v>
      </c>
      <c r="H115" s="172">
        <f t="shared" si="30"/>
        <v>2.9189227448065966E-3</v>
      </c>
      <c r="I115" s="337"/>
      <c r="J115" s="168"/>
      <c r="K115" s="168"/>
      <c r="M115" s="364">
        <f t="shared" si="31"/>
        <v>0.48901185770750988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573">
        <f>'[19]Sch C'!D117</f>
        <v>19184</v>
      </c>
      <c r="D116" s="573">
        <f>'[19]Sch C'!F117</f>
        <v>0</v>
      </c>
      <c r="E116" s="171">
        <f t="shared" si="29"/>
        <v>19184</v>
      </c>
      <c r="F116" s="496"/>
      <c r="G116" s="171">
        <f>E116+F116</f>
        <v>19184</v>
      </c>
      <c r="H116" s="172">
        <f t="shared" si="30"/>
        <v>9.0521522690542762E-3</v>
      </c>
      <c r="I116" s="337"/>
      <c r="J116" s="168"/>
      <c r="K116" s="168"/>
      <c r="M116" s="364">
        <f t="shared" si="31"/>
        <v>1.5165217391304349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573">
        <f>'[19]Sch C'!D118</f>
        <v>0</v>
      </c>
      <c r="D117" s="573">
        <f>'[19]Sch C'!F118</f>
        <v>0</v>
      </c>
      <c r="E117" s="171">
        <f t="shared" si="29"/>
        <v>0</v>
      </c>
      <c r="F117" s="496"/>
      <c r="G117" s="171">
        <f>E117+F117</f>
        <v>0</v>
      </c>
      <c r="H117" s="172">
        <f t="shared" si="30"/>
        <v>0</v>
      </c>
      <c r="I117" s="337"/>
      <c r="J117" s="168"/>
      <c r="K117" s="168"/>
      <c r="M117" s="364">
        <f t="shared" si="31"/>
        <v>0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573">
        <f>'[19]Sch C'!D119</f>
        <v>0</v>
      </c>
      <c r="D118" s="573">
        <f>'[19]Sch C'!F119</f>
        <v>0</v>
      </c>
      <c r="E118" s="171">
        <f t="shared" si="29"/>
        <v>0</v>
      </c>
      <c r="F118" s="496"/>
      <c r="G118" s="171">
        <f>E118+F118</f>
        <v>0</v>
      </c>
      <c r="H118" s="172">
        <f t="shared" si="30"/>
        <v>0</v>
      </c>
      <c r="I118" s="337"/>
      <c r="J118" s="168"/>
      <c r="K118" s="168"/>
      <c r="M118" s="364">
        <f t="shared" si="31"/>
        <v>0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573">
        <f>SUM(C114:C118)</f>
        <v>63574</v>
      </c>
      <c r="D119" s="573">
        <f>SUM(D114:D118)</f>
        <v>6186</v>
      </c>
      <c r="E119" s="171">
        <f t="shared" ref="E119" si="32">SUM(E114:E118)</f>
        <v>69760</v>
      </c>
      <c r="F119" s="171">
        <f>SUM(F114:F118)</f>
        <v>0</v>
      </c>
      <c r="G119" s="171">
        <f>SUM(G114:G118)</f>
        <v>69760</v>
      </c>
      <c r="H119" s="172">
        <f t="shared" si="30"/>
        <v>3.2916917342015545E-2</v>
      </c>
      <c r="I119" s="337"/>
      <c r="J119" s="168"/>
      <c r="K119" s="168"/>
      <c r="M119" s="364">
        <f t="shared" si="31"/>
        <v>5.5146245059288539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1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573">
        <f>'[19]Sch C'!D124</f>
        <v>0</v>
      </c>
      <c r="D123" s="573">
        <f>'[19]Sch C'!F124</f>
        <v>0</v>
      </c>
      <c r="E123" s="171">
        <f t="shared" ref="E123:E127" si="33">C123+D123</f>
        <v>0</v>
      </c>
      <c r="F123" s="496"/>
      <c r="G123" s="171">
        <f>E123+F123</f>
        <v>0</v>
      </c>
      <c r="H123" s="172">
        <f>IF($G$208=0,0,G123/$G$208)</f>
        <v>0</v>
      </c>
      <c r="I123" s="337"/>
      <c r="J123" s="183">
        <v>0</v>
      </c>
      <c r="K123" s="183">
        <v>0</v>
      </c>
      <c r="L123" s="167" t="s">
        <v>437</v>
      </c>
      <c r="M123" s="364">
        <f t="shared" ref="M123:M160" si="34">G123/G$228</f>
        <v>0</v>
      </c>
      <c r="N123" s="359">
        <f>SUMMARY!J126</f>
        <v>0.77002560279620991</v>
      </c>
    </row>
    <row r="124" spans="1:14" s="167" customFormat="1">
      <c r="B124" s="163" t="s">
        <v>194</v>
      </c>
      <c r="C124" s="573">
        <f>'[19]Sch C'!D125</f>
        <v>111135</v>
      </c>
      <c r="D124" s="573">
        <f>'[19]Sch C'!F125</f>
        <v>0</v>
      </c>
      <c r="E124" s="171">
        <f t="shared" si="33"/>
        <v>111135</v>
      </c>
      <c r="F124" s="496"/>
      <c r="G124" s="171">
        <f>E124+F124</f>
        <v>111135</v>
      </c>
      <c r="H124" s="172">
        <f>IF($G$208=0,0,G124/$G$208)</f>
        <v>5.2440103337226172E-2</v>
      </c>
      <c r="I124" s="337"/>
      <c r="J124" s="183">
        <v>1960</v>
      </c>
      <c r="K124" s="183">
        <v>2080</v>
      </c>
      <c r="M124" s="364">
        <f t="shared" si="34"/>
        <v>8.7853754940711468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573">
        <f>'[19]Sch C'!D126</f>
        <v>0</v>
      </c>
      <c r="D125" s="573">
        <f>'[19]Sch C'!F126</f>
        <v>0</v>
      </c>
      <c r="E125" s="171">
        <f t="shared" si="33"/>
        <v>0</v>
      </c>
      <c r="F125" s="496"/>
      <c r="G125" s="171">
        <f>E125+F125</f>
        <v>0</v>
      </c>
      <c r="H125" s="172">
        <f>IF($G$208=0,0,G125/$G$208)</f>
        <v>0</v>
      </c>
      <c r="I125" s="337"/>
      <c r="J125" s="183">
        <v>0</v>
      </c>
      <c r="K125" s="183">
        <v>0</v>
      </c>
      <c r="M125" s="364">
        <f t="shared" si="34"/>
        <v>0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573">
        <f>'[19]Sch C'!D127</f>
        <v>0</v>
      </c>
      <c r="D126" s="573">
        <f>'[19]Sch C'!F127</f>
        <v>0</v>
      </c>
      <c r="E126" s="171">
        <f t="shared" si="33"/>
        <v>0</v>
      </c>
      <c r="F126" s="496"/>
      <c r="G126" s="171">
        <f>E126+F126</f>
        <v>0</v>
      </c>
      <c r="H126" s="172">
        <f>IF($G$208=0,0,G126/$G$208)</f>
        <v>0</v>
      </c>
      <c r="I126" s="337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573">
        <f>'[19]Sch C'!D128</f>
        <v>68042</v>
      </c>
      <c r="D127" s="573">
        <f>'[19]Sch C'!F128</f>
        <v>0</v>
      </c>
      <c r="E127" s="171">
        <f t="shared" si="33"/>
        <v>68042</v>
      </c>
      <c r="F127" s="496"/>
      <c r="G127" s="171">
        <f>E127+F127</f>
        <v>68042</v>
      </c>
      <c r="H127" s="172">
        <f>IF($G$208=0,0,G127/$G$208)</f>
        <v>3.2106262754951577E-2</v>
      </c>
      <c r="I127" s="337"/>
      <c r="J127" s="183">
        <v>1977</v>
      </c>
      <c r="K127" s="183">
        <v>1993</v>
      </c>
      <c r="M127" s="364">
        <f t="shared" si="34"/>
        <v>5.378814229249012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205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573">
        <f>'[19]Sch C'!D130</f>
        <v>0</v>
      </c>
      <c r="D129" s="573">
        <f>'[19]Sch C'!F130</f>
        <v>0</v>
      </c>
      <c r="E129" s="171">
        <f t="shared" ref="E129:E133" si="35">C129+D129</f>
        <v>0</v>
      </c>
      <c r="F129" s="496"/>
      <c r="G129" s="171">
        <f>E129+F129</f>
        <v>0</v>
      </c>
      <c r="H129" s="172">
        <f>IF($G$208=0,0,G129/$G$208)</f>
        <v>0</v>
      </c>
      <c r="I129" s="337"/>
      <c r="J129" s="204"/>
      <c r="K129" s="204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573">
        <f>'[19]Sch C'!D131</f>
        <v>0</v>
      </c>
      <c r="D130" s="573">
        <f>'[19]Sch C'!F131</f>
        <v>15488</v>
      </c>
      <c r="E130" s="171">
        <f t="shared" si="35"/>
        <v>15488</v>
      </c>
      <c r="F130" s="496"/>
      <c r="G130" s="171">
        <f>E130+F130</f>
        <v>15488</v>
      </c>
      <c r="H130" s="172">
        <f>IF($G$208=0,0,G130/$G$208)</f>
        <v>7.3081596300621672E-3</v>
      </c>
      <c r="I130" s="337"/>
      <c r="J130" s="204"/>
      <c r="K130" s="204"/>
      <c r="M130" s="364">
        <f t="shared" si="34"/>
        <v>1.2243478260869565</v>
      </c>
      <c r="N130" s="359">
        <f>SUMMARY!J133</f>
        <v>1.0792348507966931</v>
      </c>
    </row>
    <row r="131" spans="1:14" s="167" customFormat="1">
      <c r="B131" s="163" t="s">
        <v>195</v>
      </c>
      <c r="C131" s="573">
        <f>'[19]Sch C'!D132</f>
        <v>0</v>
      </c>
      <c r="D131" s="573">
        <f>'[19]Sch C'!F132</f>
        <v>0</v>
      </c>
      <c r="E131" s="171">
        <f t="shared" si="35"/>
        <v>0</v>
      </c>
      <c r="F131" s="496"/>
      <c r="G131" s="171">
        <f>E131+F131</f>
        <v>0</v>
      </c>
      <c r="H131" s="172">
        <f>IF($G$208=0,0,G131/$G$208)</f>
        <v>0</v>
      </c>
      <c r="I131" s="337"/>
      <c r="J131" s="168"/>
      <c r="K131" s="168"/>
      <c r="M131" s="364">
        <f t="shared" si="34"/>
        <v>0</v>
      </c>
      <c r="N131" s="359">
        <f>SUMMARY!J134</f>
        <v>8.2765628075518377E-2</v>
      </c>
    </row>
    <row r="132" spans="1:14" s="167" customFormat="1">
      <c r="B132" s="163" t="s">
        <v>196</v>
      </c>
      <c r="C132" s="573">
        <f>'[19]Sch C'!D133</f>
        <v>0</v>
      </c>
      <c r="D132" s="573">
        <f>'[19]Sch C'!F133</f>
        <v>0</v>
      </c>
      <c r="E132" s="171">
        <f t="shared" si="35"/>
        <v>0</v>
      </c>
      <c r="F132" s="496"/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573">
        <f>'[19]Sch C'!D134</f>
        <v>0</v>
      </c>
      <c r="D133" s="573">
        <f>'[19]Sch C'!F134</f>
        <v>9483</v>
      </c>
      <c r="E133" s="171">
        <f t="shared" si="35"/>
        <v>9483</v>
      </c>
      <c r="F133" s="496"/>
      <c r="G133" s="171">
        <f>E133+F133</f>
        <v>9483</v>
      </c>
      <c r="H133" s="172">
        <f>IF($G$208=0,0,G133/$G$208)</f>
        <v>4.4746434511802385E-3</v>
      </c>
      <c r="I133" s="337"/>
      <c r="J133" s="168"/>
      <c r="K133" s="168"/>
      <c r="M133" s="364">
        <f t="shared" si="34"/>
        <v>0.74964426877470358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573">
        <f>'[19]Sch C'!D136</f>
        <v>109096</v>
      </c>
      <c r="D135" s="573">
        <f>'[19]Sch C'!F136</f>
        <v>0</v>
      </c>
      <c r="E135" s="171">
        <f t="shared" ref="E135:E138" si="36">C135+D135</f>
        <v>109096</v>
      </c>
      <c r="F135" s="496"/>
      <c r="G135" s="171">
        <f>E135+F135</f>
        <v>109096</v>
      </c>
      <c r="H135" s="172">
        <f>IF($G$208=0,0,G135/$G$208)</f>
        <v>5.1477981857002982E-2</v>
      </c>
      <c r="I135" s="337"/>
      <c r="J135" s="183">
        <v>3119</v>
      </c>
      <c r="K135" s="183">
        <v>3388</v>
      </c>
      <c r="M135" s="364">
        <f t="shared" si="34"/>
        <v>8.6241897233201588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573">
        <f>'[19]Sch C'!D137</f>
        <v>181942</v>
      </c>
      <c r="D136" s="573">
        <f>'[19]Sch C'!F137</f>
        <v>0</v>
      </c>
      <c r="E136" s="171">
        <f t="shared" si="36"/>
        <v>181942</v>
      </c>
      <c r="F136" s="496"/>
      <c r="G136" s="171">
        <f>E136+F136</f>
        <v>181942</v>
      </c>
      <c r="H136" s="172">
        <f>IF($G$208=0,0,G136/$G$208)</f>
        <v>8.5851057555060103E-2</v>
      </c>
      <c r="I136" s="337"/>
      <c r="J136" s="183">
        <v>6530</v>
      </c>
      <c r="K136" s="183">
        <v>6887</v>
      </c>
      <c r="M136" s="364">
        <f t="shared" si="34"/>
        <v>14.382766798418972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573">
        <f>'[19]Sch C'!D138</f>
        <v>331883</v>
      </c>
      <c r="D137" s="573">
        <f>'[19]Sch C'!F138</f>
        <v>0</v>
      </c>
      <c r="E137" s="171">
        <f t="shared" si="36"/>
        <v>331883</v>
      </c>
      <c r="F137" s="496"/>
      <c r="G137" s="171">
        <f>E137+F137</f>
        <v>331883</v>
      </c>
      <c r="H137" s="172">
        <f>IF($G$208=0,0,G137/$G$208)</f>
        <v>0.15660213988274291</v>
      </c>
      <c r="I137" s="337"/>
      <c r="J137" s="183">
        <v>24334</v>
      </c>
      <c r="K137" s="183">
        <v>25569</v>
      </c>
      <c r="M137" s="364">
        <f t="shared" si="34"/>
        <v>26.235810276679842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573">
        <f>'[19]Sch C'!D139</f>
        <v>0</v>
      </c>
      <c r="D138" s="573">
        <f>'[19]Sch C'!F139</f>
        <v>0</v>
      </c>
      <c r="E138" s="171">
        <f t="shared" si="36"/>
        <v>0</v>
      </c>
      <c r="F138" s="496"/>
      <c r="G138" s="171">
        <f>E138+F138</f>
        <v>0</v>
      </c>
      <c r="H138" s="172">
        <f>IF($G$208=0,0,G138/$G$208)</f>
        <v>0</v>
      </c>
      <c r="I138" s="337"/>
      <c r="J138" s="183">
        <v>0</v>
      </c>
      <c r="K138" s="183">
        <v>0</v>
      </c>
      <c r="M138" s="364">
        <f t="shared" si="34"/>
        <v>0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7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573">
        <f>'[19]Sch C'!D141</f>
        <v>0</v>
      </c>
      <c r="D140" s="573">
        <f>'[19]Sch C'!F141</f>
        <v>15204</v>
      </c>
      <c r="E140" s="171">
        <f t="shared" ref="E140:E143" si="37">C140+D140</f>
        <v>15204</v>
      </c>
      <c r="F140" s="496"/>
      <c r="G140" s="171">
        <f>E140+F140</f>
        <v>15204</v>
      </c>
      <c r="H140" s="172">
        <f>IF($G$208=0,0,G140/$G$208)</f>
        <v>7.1741515376720815E-3</v>
      </c>
      <c r="I140" s="337"/>
      <c r="J140" s="168"/>
      <c r="K140" s="168"/>
      <c r="M140" s="364">
        <f t="shared" si="34"/>
        <v>1.2018972332015809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573">
        <f>'[19]Sch C'!D142</f>
        <v>0</v>
      </c>
      <c r="D141" s="573">
        <f>'[19]Sch C'!F142</f>
        <v>25356</v>
      </c>
      <c r="E141" s="171">
        <f t="shared" si="37"/>
        <v>25356</v>
      </c>
      <c r="F141" s="496"/>
      <c r="G141" s="171">
        <f>E141+F141</f>
        <v>25356</v>
      </c>
      <c r="H141" s="172">
        <f>IF($G$208=0,0,G141/$G$208)</f>
        <v>1.1964468981137417E-2</v>
      </c>
      <c r="I141" s="337"/>
      <c r="J141" s="168"/>
      <c r="K141" s="168"/>
      <c r="M141" s="364">
        <f t="shared" si="34"/>
        <v>2.0044268774703555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573">
        <f>'[19]Sch C'!D143</f>
        <v>0</v>
      </c>
      <c r="D142" s="573">
        <f>'[19]Sch C'!F143</f>
        <v>46253</v>
      </c>
      <c r="E142" s="171">
        <f t="shared" si="37"/>
        <v>46253</v>
      </c>
      <c r="F142" s="496"/>
      <c r="G142" s="171">
        <f>E142+F142</f>
        <v>46253</v>
      </c>
      <c r="H142" s="172">
        <f>IF($G$208=0,0,G142/$G$208)</f>
        <v>2.1824916539854432E-2</v>
      </c>
      <c r="I142" s="337"/>
      <c r="J142" s="168"/>
      <c r="K142" s="168"/>
      <c r="M142" s="364">
        <f t="shared" si="34"/>
        <v>3.6563636363636363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573">
        <f>'[19]Sch C'!D144</f>
        <v>0</v>
      </c>
      <c r="D143" s="573">
        <f>'[19]Sch C'!F144</f>
        <v>0</v>
      </c>
      <c r="E143" s="171">
        <f t="shared" si="37"/>
        <v>0</v>
      </c>
      <c r="F143" s="496"/>
      <c r="G143" s="171">
        <f>E143+F143</f>
        <v>0</v>
      </c>
      <c r="H143" s="172">
        <f>IF($G$208=0,0,G143/$G$208)</f>
        <v>0</v>
      </c>
      <c r="I143" s="337"/>
      <c r="J143" s="168"/>
      <c r="K143" s="168"/>
      <c r="M143" s="364">
        <f t="shared" si="34"/>
        <v>0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7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573">
        <f>'[19]Sch C'!D146</f>
        <v>7482</v>
      </c>
      <c r="D145" s="573">
        <f>'[19]Sch C'!F146</f>
        <v>0</v>
      </c>
      <c r="E145" s="171">
        <f t="shared" ref="E145:E153" si="38">C145+D145</f>
        <v>7482</v>
      </c>
      <c r="F145" s="496"/>
      <c r="G145" s="171">
        <f t="shared" ref="G145:G153" si="39">E145+F145</f>
        <v>7482</v>
      </c>
      <c r="H145" s="172">
        <f t="shared" ref="H145:H153" si="40">IF($G$208=0,0,G145/$G$208)</f>
        <v>3.5304526312064269E-3</v>
      </c>
      <c r="I145" s="337"/>
      <c r="J145" s="183">
        <v>208</v>
      </c>
      <c r="K145" s="183">
        <v>208</v>
      </c>
      <c r="M145" s="364">
        <f t="shared" si="34"/>
        <v>0.59146245059288538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573">
        <f>'[19]Sch C'!D147</f>
        <v>0</v>
      </c>
      <c r="D146" s="573">
        <f>'[19]Sch C'!F147</f>
        <v>0</v>
      </c>
      <c r="E146" s="171">
        <f t="shared" si="38"/>
        <v>0</v>
      </c>
      <c r="F146" s="496"/>
      <c r="G146" s="171">
        <f t="shared" si="39"/>
        <v>0</v>
      </c>
      <c r="H146" s="172">
        <f t="shared" si="40"/>
        <v>0</v>
      </c>
      <c r="I146" s="337"/>
      <c r="J146" s="183">
        <v>0</v>
      </c>
      <c r="K146" s="183">
        <v>0</v>
      </c>
      <c r="M146" s="364">
        <f t="shared" si="34"/>
        <v>0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573">
        <f>'[19]Sch C'!D148</f>
        <v>0</v>
      </c>
      <c r="D147" s="573">
        <f>'[19]Sch C'!F148</f>
        <v>0</v>
      </c>
      <c r="E147" s="171">
        <f t="shared" si="38"/>
        <v>0</v>
      </c>
      <c r="F147" s="496"/>
      <c r="G147" s="171">
        <f t="shared" si="39"/>
        <v>0</v>
      </c>
      <c r="H147" s="172">
        <f t="shared" si="40"/>
        <v>0</v>
      </c>
      <c r="I147" s="337"/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573">
        <f>'[19]Sch C'!D149</f>
        <v>0</v>
      </c>
      <c r="D148" s="573">
        <f>'[19]Sch C'!F149</f>
        <v>0</v>
      </c>
      <c r="E148" s="171">
        <f t="shared" si="38"/>
        <v>0</v>
      </c>
      <c r="F148" s="496"/>
      <c r="G148" s="171">
        <f t="shared" si="39"/>
        <v>0</v>
      </c>
      <c r="H148" s="172">
        <f t="shared" si="40"/>
        <v>0</v>
      </c>
      <c r="I148" s="337"/>
      <c r="J148" s="183">
        <v>0</v>
      </c>
      <c r="K148" s="183">
        <v>0</v>
      </c>
      <c r="M148" s="364">
        <f t="shared" si="34"/>
        <v>0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573">
        <f>'[19]Sch C'!D150</f>
        <v>2699</v>
      </c>
      <c r="D149" s="573">
        <f>'[19]Sch C'!F150</f>
        <v>0</v>
      </c>
      <c r="E149" s="171">
        <f t="shared" si="38"/>
        <v>2699</v>
      </c>
      <c r="F149" s="496"/>
      <c r="G149" s="171">
        <f t="shared" si="39"/>
        <v>2699</v>
      </c>
      <c r="H149" s="172">
        <f t="shared" si="40"/>
        <v>1.2735487371860661E-3</v>
      </c>
      <c r="I149" s="337"/>
      <c r="J149" s="183">
        <v>0</v>
      </c>
      <c r="K149" s="183">
        <v>0</v>
      </c>
      <c r="M149" s="364">
        <f t="shared" si="34"/>
        <v>0.2133596837944664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573">
        <f>'[19]Sch C'!D151</f>
        <v>35594</v>
      </c>
      <c r="D150" s="573">
        <f>'[19]Sch C'!F151</f>
        <v>0</v>
      </c>
      <c r="E150" s="171">
        <f t="shared" si="38"/>
        <v>35594</v>
      </c>
      <c r="F150" s="496"/>
      <c r="G150" s="171">
        <f t="shared" si="39"/>
        <v>35594</v>
      </c>
      <c r="H150" s="172">
        <f t="shared" si="40"/>
        <v>1.6795366339903976E-2</v>
      </c>
      <c r="I150" s="337"/>
      <c r="J150" s="168"/>
      <c r="K150" s="168"/>
      <c r="M150" s="364">
        <f t="shared" si="34"/>
        <v>2.8137549407114624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573">
        <f>'[19]Sch C'!D152</f>
        <v>5341</v>
      </c>
      <c r="D151" s="573">
        <f>'[19]Sch C'!F152</f>
        <v>0</v>
      </c>
      <c r="E151" s="171">
        <f t="shared" si="38"/>
        <v>5341</v>
      </c>
      <c r="F151" s="496"/>
      <c r="G151" s="171">
        <f t="shared" si="39"/>
        <v>5341</v>
      </c>
      <c r="H151" s="172">
        <f t="shared" si="40"/>
        <v>2.5202014839980653E-3</v>
      </c>
      <c r="I151" s="337"/>
      <c r="J151" s="168"/>
      <c r="K151" s="168"/>
      <c r="M151" s="364">
        <f t="shared" si="34"/>
        <v>0.42221343873517786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573">
        <f>'[19]Sch C'!D153</f>
        <v>0</v>
      </c>
      <c r="D152" s="573">
        <f>'[19]Sch C'!F153</f>
        <v>0</v>
      </c>
      <c r="E152" s="171">
        <f t="shared" si="38"/>
        <v>0</v>
      </c>
      <c r="F152" s="496"/>
      <c r="G152" s="171">
        <f t="shared" si="39"/>
        <v>0</v>
      </c>
      <c r="H152" s="172">
        <f t="shared" si="40"/>
        <v>0</v>
      </c>
      <c r="I152" s="337"/>
      <c r="J152" s="168"/>
      <c r="K152" s="168"/>
      <c r="M152" s="364">
        <f t="shared" si="34"/>
        <v>0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573">
        <f>'[19]Sch C'!D154</f>
        <v>0</v>
      </c>
      <c r="D153" s="573">
        <f>'[19]Sch C'!F154</f>
        <v>0</v>
      </c>
      <c r="E153" s="171">
        <f t="shared" si="38"/>
        <v>0</v>
      </c>
      <c r="F153" s="496"/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210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573">
        <f>'[19]Sch C'!D156</f>
        <v>0</v>
      </c>
      <c r="D155" s="573">
        <f>'[19]Sch C'!F156</f>
        <v>0</v>
      </c>
      <c r="E155" s="171">
        <f t="shared" ref="E155:E160" si="41">C155+D155</f>
        <v>0</v>
      </c>
      <c r="F155" s="496"/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573">
        <f>'[19]Sch C'!D157</f>
        <v>0</v>
      </c>
      <c r="D156" s="573">
        <f>'[19]Sch C'!F157</f>
        <v>0</v>
      </c>
      <c r="E156" s="171">
        <f t="shared" si="41"/>
        <v>0</v>
      </c>
      <c r="F156" s="496"/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573">
        <f>'[19]Sch C'!D158</f>
        <v>0</v>
      </c>
      <c r="D157" s="573">
        <f>'[19]Sch C'!F158</f>
        <v>0</v>
      </c>
      <c r="E157" s="171">
        <f t="shared" si="41"/>
        <v>0</v>
      </c>
      <c r="F157" s="496"/>
      <c r="G157" s="171">
        <f t="shared" si="42"/>
        <v>0</v>
      </c>
      <c r="H157" s="172">
        <f t="shared" si="43"/>
        <v>0</v>
      </c>
      <c r="I157" s="337"/>
      <c r="J157" s="168"/>
      <c r="K157" s="168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573">
        <f>'[19]Sch C'!D159</f>
        <v>0</v>
      </c>
      <c r="D158" s="573">
        <f>'[19]Sch C'!F159</f>
        <v>0</v>
      </c>
      <c r="E158" s="171">
        <f t="shared" si="41"/>
        <v>0</v>
      </c>
      <c r="F158" s="496"/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573">
        <f>'[19]Sch C'!D160</f>
        <v>0</v>
      </c>
      <c r="D159" s="573">
        <f>'[19]Sch C'!F160</f>
        <v>0</v>
      </c>
      <c r="E159" s="171">
        <f t="shared" si="41"/>
        <v>0</v>
      </c>
      <c r="F159" s="496"/>
      <c r="G159" s="171">
        <f t="shared" si="42"/>
        <v>0</v>
      </c>
      <c r="H159" s="172">
        <f>IF($G$208=0,0,G159/$G$208)</f>
        <v>0</v>
      </c>
      <c r="I159" s="337"/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573">
        <f>'[19]Sch C'!D161</f>
        <v>0</v>
      </c>
      <c r="D160" s="573">
        <f>'[19]Sch C'!F161</f>
        <v>0</v>
      </c>
      <c r="E160" s="171">
        <f t="shared" si="41"/>
        <v>0</v>
      </c>
      <c r="F160" s="496"/>
      <c r="G160" s="171">
        <f t="shared" si="42"/>
        <v>0</v>
      </c>
      <c r="H160" s="172">
        <f t="shared" si="43"/>
        <v>0</v>
      </c>
      <c r="I160" s="337"/>
      <c r="J160" s="168"/>
      <c r="K160" s="168"/>
      <c r="M160" s="364">
        <f t="shared" si="34"/>
        <v>0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573">
        <f>SUM(C123:C160)</f>
        <v>853214</v>
      </c>
      <c r="D161" s="573">
        <f>SUM(D123:D160)</f>
        <v>111784</v>
      </c>
      <c r="E161" s="171">
        <f t="shared" ref="E161" si="44">SUM(E123:E160)</f>
        <v>964998</v>
      </c>
      <c r="F161" s="171">
        <f>SUM(F123:F160)</f>
        <v>0</v>
      </c>
      <c r="G161" s="171">
        <f>SUM(G123:G160)</f>
        <v>964998</v>
      </c>
      <c r="H161" s="172">
        <f t="shared" si="43"/>
        <v>0.45534345471918464</v>
      </c>
      <c r="I161" s="337"/>
      <c r="J161" s="168"/>
      <c r="K161" s="168"/>
      <c r="M161" s="364">
        <f>G161/G$228</f>
        <v>76.284426877470352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337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7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573">
        <f>'[19]Sch C'!D175</f>
        <v>0</v>
      </c>
      <c r="D164" s="573">
        <f>'[19]Sch C'!F175</f>
        <v>0</v>
      </c>
      <c r="E164" s="171">
        <f t="shared" ref="E164:E196" si="45">C164+D164</f>
        <v>0</v>
      </c>
      <c r="F164" s="496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573">
        <f>'[19]Sch C'!D176</f>
        <v>0</v>
      </c>
      <c r="D165" s="573">
        <f>'[19]Sch C'!F176</f>
        <v>0</v>
      </c>
      <c r="E165" s="171">
        <f t="shared" si="45"/>
        <v>0</v>
      </c>
      <c r="F165" s="496"/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573">
        <f>'[19]Sch C'!D177</f>
        <v>0</v>
      </c>
      <c r="D166" s="573">
        <f>'[19]Sch C'!F177</f>
        <v>0</v>
      </c>
      <c r="E166" s="171">
        <f t="shared" si="45"/>
        <v>0</v>
      </c>
      <c r="F166" s="496"/>
      <c r="G166" s="171">
        <f t="shared" si="46"/>
        <v>0</v>
      </c>
      <c r="H166" s="172">
        <f t="shared" si="47"/>
        <v>0</v>
      </c>
      <c r="I166" s="343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573">
        <f>'[19]Sch C'!D178</f>
        <v>0</v>
      </c>
      <c r="D167" s="573">
        <f>'[19]Sch C'!F178</f>
        <v>0</v>
      </c>
      <c r="E167" s="171">
        <f t="shared" si="45"/>
        <v>0</v>
      </c>
      <c r="F167" s="496"/>
      <c r="G167" s="171">
        <f t="shared" si="46"/>
        <v>0</v>
      </c>
      <c r="H167" s="172">
        <f t="shared" si="47"/>
        <v>0</v>
      </c>
      <c r="I167" s="344"/>
      <c r="J167" s="222"/>
      <c r="K167" s="222"/>
      <c r="L167" s="218"/>
      <c r="M167" s="364">
        <f t="shared" si="48"/>
        <v>0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573">
        <f>'[19]Sch C'!D179</f>
        <v>0</v>
      </c>
      <c r="D168" s="573">
        <f>'[19]Sch C'!F179</f>
        <v>0</v>
      </c>
      <c r="E168" s="171">
        <f t="shared" si="45"/>
        <v>0</v>
      </c>
      <c r="F168" s="496"/>
      <c r="G168" s="171">
        <f t="shared" si="46"/>
        <v>0</v>
      </c>
      <c r="H168" s="172">
        <f t="shared" si="47"/>
        <v>0</v>
      </c>
      <c r="I168" s="343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573">
        <f>'[19]Sch C'!D180</f>
        <v>0</v>
      </c>
      <c r="D169" s="573">
        <f>'[19]Sch C'!F180</f>
        <v>0</v>
      </c>
      <c r="E169" s="171">
        <f t="shared" si="45"/>
        <v>0</v>
      </c>
      <c r="F169" s="496"/>
      <c r="G169" s="171">
        <f t="shared" si="46"/>
        <v>0</v>
      </c>
      <c r="H169" s="172">
        <f t="shared" si="47"/>
        <v>0</v>
      </c>
      <c r="I169" s="344"/>
      <c r="J169" s="222"/>
      <c r="K169" s="222"/>
      <c r="L169" s="218"/>
      <c r="M169" s="364">
        <f t="shared" si="48"/>
        <v>0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573">
        <f>'[19]Sch C'!D181</f>
        <v>0</v>
      </c>
      <c r="D170" s="573">
        <f>'[19]Sch C'!F181</f>
        <v>0</v>
      </c>
      <c r="E170" s="171">
        <f t="shared" si="45"/>
        <v>0</v>
      </c>
      <c r="F170" s="496"/>
      <c r="G170" s="171">
        <f t="shared" si="46"/>
        <v>0</v>
      </c>
      <c r="H170" s="172">
        <f t="shared" si="47"/>
        <v>0</v>
      </c>
      <c r="I170" s="343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573">
        <f>'[19]Sch C'!D182</f>
        <v>0</v>
      </c>
      <c r="D171" s="573">
        <f>'[19]Sch C'!F182</f>
        <v>0</v>
      </c>
      <c r="E171" s="171">
        <f t="shared" si="45"/>
        <v>0</v>
      </c>
      <c r="F171" s="496"/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573">
        <f>'[19]Sch C'!D183</f>
        <v>0</v>
      </c>
      <c r="D172" s="573">
        <f>'[19]Sch C'!F183</f>
        <v>0</v>
      </c>
      <c r="E172" s="171">
        <f t="shared" si="45"/>
        <v>0</v>
      </c>
      <c r="F172" s="496"/>
      <c r="G172" s="171">
        <f t="shared" si="46"/>
        <v>0</v>
      </c>
      <c r="H172" s="172">
        <f t="shared" si="47"/>
        <v>0</v>
      </c>
      <c r="I172" s="343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573">
        <f>'[19]Sch C'!D184</f>
        <v>0</v>
      </c>
      <c r="D173" s="573">
        <f>'[19]Sch C'!F184</f>
        <v>0</v>
      </c>
      <c r="E173" s="171">
        <f t="shared" si="45"/>
        <v>0</v>
      </c>
      <c r="F173" s="496"/>
      <c r="G173" s="171">
        <f t="shared" si="46"/>
        <v>0</v>
      </c>
      <c r="H173" s="172">
        <f t="shared" si="47"/>
        <v>0</v>
      </c>
      <c r="I173" s="344"/>
      <c r="J173" s="222"/>
      <c r="K173" s="222"/>
      <c r="L173" s="218"/>
      <c r="M173" s="364">
        <f t="shared" si="48"/>
        <v>0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573">
        <f>'[19]Sch C'!D185</f>
        <v>0</v>
      </c>
      <c r="D174" s="573">
        <f>'[19]Sch C'!F185</f>
        <v>0</v>
      </c>
      <c r="E174" s="171">
        <f t="shared" si="45"/>
        <v>0</v>
      </c>
      <c r="F174" s="496"/>
      <c r="G174" s="171">
        <f t="shared" si="46"/>
        <v>0</v>
      </c>
      <c r="H174" s="172">
        <f t="shared" si="47"/>
        <v>0</v>
      </c>
      <c r="I174" s="343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573">
        <f>'[19]Sch C'!D186</f>
        <v>0</v>
      </c>
      <c r="D175" s="573">
        <f>'[19]Sch C'!F186</f>
        <v>0</v>
      </c>
      <c r="E175" s="171">
        <f t="shared" si="45"/>
        <v>0</v>
      </c>
      <c r="F175" s="496"/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573">
        <f>'[19]Sch C'!D187</f>
        <v>0</v>
      </c>
      <c r="D176" s="573">
        <f>'[19]Sch C'!F187</f>
        <v>0</v>
      </c>
      <c r="E176" s="171">
        <f t="shared" si="45"/>
        <v>0</v>
      </c>
      <c r="F176" s="496"/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573">
        <f>'[19]Sch C'!D188</f>
        <v>0</v>
      </c>
      <c r="D177" s="573">
        <f>'[19]Sch C'!F188</f>
        <v>0</v>
      </c>
      <c r="E177" s="171">
        <f t="shared" si="45"/>
        <v>0</v>
      </c>
      <c r="F177" s="496"/>
      <c r="G177" s="171">
        <f t="shared" si="46"/>
        <v>0</v>
      </c>
      <c r="H177" s="172">
        <f t="shared" si="47"/>
        <v>0</v>
      </c>
      <c r="I177" s="337"/>
      <c r="J177" s="223"/>
      <c r="K177" s="218"/>
      <c r="L177" s="220"/>
      <c r="M177" s="364">
        <f t="shared" si="48"/>
        <v>0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573">
        <f>'[19]Sch C'!D189</f>
        <v>0</v>
      </c>
      <c r="D178" s="573">
        <f>'[19]Sch C'!F189</f>
        <v>0</v>
      </c>
      <c r="E178" s="171">
        <f t="shared" si="45"/>
        <v>0</v>
      </c>
      <c r="F178" s="496"/>
      <c r="G178" s="171">
        <f t="shared" si="46"/>
        <v>0</v>
      </c>
      <c r="H178" s="172">
        <f t="shared" si="47"/>
        <v>0</v>
      </c>
      <c r="I178" s="337"/>
      <c r="J178" s="223"/>
      <c r="K178" s="218"/>
      <c r="L178" s="220"/>
      <c r="M178" s="364">
        <f t="shared" si="48"/>
        <v>0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573">
        <f>'[19]Sch C'!D190</f>
        <v>0</v>
      </c>
      <c r="D179" s="573">
        <f>'[19]Sch C'!F190</f>
        <v>0</v>
      </c>
      <c r="E179" s="171">
        <f t="shared" si="45"/>
        <v>0</v>
      </c>
      <c r="F179" s="496"/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573">
        <f>'[19]Sch C'!D191</f>
        <v>0</v>
      </c>
      <c r="D180" s="573">
        <f>'[19]Sch C'!F191</f>
        <v>0</v>
      </c>
      <c r="E180" s="171">
        <f t="shared" si="45"/>
        <v>0</v>
      </c>
      <c r="F180" s="496"/>
      <c r="G180" s="171">
        <f t="shared" si="46"/>
        <v>0</v>
      </c>
      <c r="H180" s="172">
        <f t="shared" si="47"/>
        <v>0</v>
      </c>
      <c r="I180" s="337"/>
      <c r="J180" s="223"/>
      <c r="K180" s="218"/>
      <c r="L180" s="220"/>
      <c r="M180" s="364">
        <f t="shared" si="48"/>
        <v>0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573">
        <f>'[19]Sch C'!D192</f>
        <v>0</v>
      </c>
      <c r="D181" s="573">
        <f>'[19]Sch C'!F192</f>
        <v>0</v>
      </c>
      <c r="E181" s="171">
        <f t="shared" si="45"/>
        <v>0</v>
      </c>
      <c r="F181" s="496"/>
      <c r="G181" s="171">
        <f t="shared" si="46"/>
        <v>0</v>
      </c>
      <c r="H181" s="172">
        <f t="shared" si="47"/>
        <v>0</v>
      </c>
      <c r="I181" s="337"/>
      <c r="J181" s="223"/>
      <c r="K181" s="218"/>
      <c r="L181" s="220"/>
      <c r="M181" s="364">
        <f t="shared" si="48"/>
        <v>0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573">
        <f>'[19]Sch C'!D193</f>
        <v>0</v>
      </c>
      <c r="D182" s="573">
        <f>'[19]Sch C'!F193</f>
        <v>0</v>
      </c>
      <c r="E182" s="171">
        <f t="shared" si="45"/>
        <v>0</v>
      </c>
      <c r="F182" s="496"/>
      <c r="G182" s="171">
        <f t="shared" si="46"/>
        <v>0</v>
      </c>
      <c r="H182" s="172">
        <f t="shared" si="47"/>
        <v>0</v>
      </c>
      <c r="I182" s="337"/>
      <c r="J182" s="223"/>
      <c r="K182" s="218"/>
      <c r="L182" s="220"/>
      <c r="M182" s="364">
        <f t="shared" si="48"/>
        <v>0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573">
        <f>'[19]Sch C'!D194</f>
        <v>0</v>
      </c>
      <c r="D183" s="573">
        <f>'[19]Sch C'!F194</f>
        <v>0</v>
      </c>
      <c r="E183" s="171">
        <f t="shared" si="45"/>
        <v>0</v>
      </c>
      <c r="F183" s="496"/>
      <c r="G183" s="171">
        <f t="shared" si="46"/>
        <v>0</v>
      </c>
      <c r="H183" s="172">
        <f t="shared" si="47"/>
        <v>0</v>
      </c>
      <c r="I183" s="337"/>
      <c r="J183" s="223"/>
      <c r="K183" s="218"/>
      <c r="M183" s="364">
        <f t="shared" si="48"/>
        <v>0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573">
        <f>'[19]Sch C'!D195</f>
        <v>0</v>
      </c>
      <c r="D184" s="573">
        <f>'[19]Sch C'!F195</f>
        <v>0</v>
      </c>
      <c r="E184" s="171">
        <f t="shared" si="45"/>
        <v>0</v>
      </c>
      <c r="F184" s="496"/>
      <c r="G184" s="171">
        <f t="shared" si="46"/>
        <v>0</v>
      </c>
      <c r="H184" s="172">
        <f t="shared" si="47"/>
        <v>0</v>
      </c>
      <c r="I184" s="337"/>
      <c r="J184" s="223"/>
      <c r="K184" s="218"/>
      <c r="M184" s="364">
        <f t="shared" si="48"/>
        <v>0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573">
        <f>'[19]Sch C'!D196</f>
        <v>0</v>
      </c>
      <c r="D185" s="573">
        <f>'[19]Sch C'!F196</f>
        <v>0</v>
      </c>
      <c r="E185" s="171">
        <f t="shared" si="45"/>
        <v>0</v>
      </c>
      <c r="F185" s="496"/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573">
        <f>'[19]Sch C'!D197</f>
        <v>0</v>
      </c>
      <c r="D186" s="573">
        <f>'[19]Sch C'!F197</f>
        <v>0</v>
      </c>
      <c r="E186" s="171">
        <f t="shared" si="45"/>
        <v>0</v>
      </c>
      <c r="F186" s="496"/>
      <c r="G186" s="171">
        <f t="shared" si="46"/>
        <v>0</v>
      </c>
      <c r="H186" s="172">
        <f t="shared" si="47"/>
        <v>0</v>
      </c>
      <c r="I186" s="337"/>
      <c r="J186" s="223"/>
      <c r="K186" s="218"/>
      <c r="M186" s="364">
        <f t="shared" si="48"/>
        <v>0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573">
        <f>'[19]Sch C'!D198</f>
        <v>0</v>
      </c>
      <c r="D187" s="573">
        <f>'[19]Sch C'!F198</f>
        <v>0</v>
      </c>
      <c r="E187" s="171">
        <f t="shared" si="45"/>
        <v>0</v>
      </c>
      <c r="F187" s="496"/>
      <c r="G187" s="171">
        <f t="shared" si="46"/>
        <v>0</v>
      </c>
      <c r="H187" s="172">
        <f t="shared" si="47"/>
        <v>0</v>
      </c>
      <c r="I187" s="337"/>
      <c r="J187" s="223"/>
      <c r="K187" s="218"/>
      <c r="M187" s="364">
        <f t="shared" si="48"/>
        <v>0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573">
        <f>'[19]Sch C'!D199</f>
        <v>0</v>
      </c>
      <c r="D188" s="573">
        <f>'[19]Sch C'!F199</f>
        <v>0</v>
      </c>
      <c r="E188" s="171">
        <f t="shared" si="45"/>
        <v>0</v>
      </c>
      <c r="F188" s="496"/>
      <c r="G188" s="171">
        <f t="shared" si="46"/>
        <v>0</v>
      </c>
      <c r="H188" s="172">
        <f t="shared" si="47"/>
        <v>0</v>
      </c>
      <c r="I188" s="337"/>
      <c r="J188" s="223"/>
      <c r="K188" s="218"/>
      <c r="M188" s="364">
        <f t="shared" si="48"/>
        <v>0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573">
        <f>'[19]Sch C'!D200</f>
        <v>0</v>
      </c>
      <c r="D189" s="573">
        <f>'[19]Sch C'!F200</f>
        <v>0</v>
      </c>
      <c r="E189" s="171">
        <f t="shared" si="45"/>
        <v>0</v>
      </c>
      <c r="F189" s="496"/>
      <c r="G189" s="171">
        <f t="shared" si="46"/>
        <v>0</v>
      </c>
      <c r="H189" s="172">
        <f t="shared" si="47"/>
        <v>0</v>
      </c>
      <c r="I189" s="337"/>
      <c r="J189" s="223"/>
      <c r="K189" s="218"/>
      <c r="M189" s="364">
        <f t="shared" si="48"/>
        <v>0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573">
        <f>'[19]Sch C'!D201</f>
        <v>0</v>
      </c>
      <c r="D190" s="573">
        <f>'[19]Sch C'!F201</f>
        <v>0</v>
      </c>
      <c r="E190" s="171">
        <f t="shared" si="45"/>
        <v>0</v>
      </c>
      <c r="F190" s="496"/>
      <c r="G190" s="171">
        <f t="shared" si="46"/>
        <v>0</v>
      </c>
      <c r="H190" s="172">
        <f t="shared" si="47"/>
        <v>0</v>
      </c>
      <c r="I190" s="337"/>
      <c r="J190" s="223"/>
      <c r="K190" s="218"/>
      <c r="M190" s="364">
        <f t="shared" si="48"/>
        <v>0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573">
        <f>'[19]Sch C'!D202</f>
        <v>0</v>
      </c>
      <c r="D191" s="573">
        <f>'[19]Sch C'!F202</f>
        <v>0</v>
      </c>
      <c r="E191" s="171">
        <f t="shared" si="45"/>
        <v>0</v>
      </c>
      <c r="F191" s="496"/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573">
        <f>'[19]Sch C'!D203</f>
        <v>0</v>
      </c>
      <c r="D192" s="573">
        <f>'[19]Sch C'!F203</f>
        <v>0</v>
      </c>
      <c r="E192" s="171">
        <f t="shared" si="45"/>
        <v>0</v>
      </c>
      <c r="F192" s="496"/>
      <c r="G192" s="171">
        <f t="shared" si="46"/>
        <v>0</v>
      </c>
      <c r="H192" s="172">
        <f t="shared" si="47"/>
        <v>0</v>
      </c>
      <c r="I192" s="337"/>
      <c r="J192" s="223"/>
      <c r="K192" s="218"/>
      <c r="M192" s="364">
        <f t="shared" si="48"/>
        <v>0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573">
        <f>'[19]Sch C'!D204</f>
        <v>0</v>
      </c>
      <c r="D193" s="573">
        <f>'[19]Sch C'!F204</f>
        <v>0</v>
      </c>
      <c r="E193" s="171">
        <f t="shared" si="45"/>
        <v>0</v>
      </c>
      <c r="F193" s="496"/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573">
        <f>'[19]Sch C'!D205</f>
        <v>10246</v>
      </c>
      <c r="D194" s="573">
        <f>'[19]Sch C'!F205</f>
        <v>0</v>
      </c>
      <c r="E194" s="171">
        <f t="shared" si="45"/>
        <v>10246</v>
      </c>
      <c r="F194" s="496"/>
      <c r="G194" s="171">
        <f t="shared" si="46"/>
        <v>10246</v>
      </c>
      <c r="H194" s="172">
        <f t="shared" si="47"/>
        <v>4.8346722346085339E-3</v>
      </c>
      <c r="I194" s="337"/>
      <c r="J194" s="223"/>
      <c r="K194" s="218"/>
      <c r="M194" s="364">
        <f t="shared" si="48"/>
        <v>0.80996047430830043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573">
        <f>'[19]Sch C'!D206</f>
        <v>0</v>
      </c>
      <c r="D195" s="573">
        <f>'[19]Sch C'!F206</f>
        <v>0</v>
      </c>
      <c r="E195" s="171">
        <f t="shared" si="45"/>
        <v>0</v>
      </c>
      <c r="F195" s="496"/>
      <c r="G195" s="171">
        <f t="shared" si="46"/>
        <v>0</v>
      </c>
      <c r="H195" s="172">
        <f t="shared" si="47"/>
        <v>0</v>
      </c>
      <c r="I195" s="337"/>
      <c r="J195" s="223"/>
      <c r="K195" s="218"/>
      <c r="M195" s="364">
        <f t="shared" si="48"/>
        <v>0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573">
        <f>'[19]Sch C'!D207</f>
        <v>0</v>
      </c>
      <c r="D196" s="573">
        <f>'[19]Sch C'!F207</f>
        <v>0</v>
      </c>
      <c r="E196" s="171">
        <f t="shared" si="45"/>
        <v>0</v>
      </c>
      <c r="F196" s="496"/>
      <c r="G196" s="171">
        <f t="shared" si="46"/>
        <v>0</v>
      </c>
      <c r="H196" s="172">
        <f t="shared" si="47"/>
        <v>0</v>
      </c>
      <c r="I196" s="337"/>
      <c r="J196" s="223"/>
      <c r="K196" s="218"/>
      <c r="M196" s="364">
        <f t="shared" si="48"/>
        <v>0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573">
        <f>SUM(C164:C196)</f>
        <v>10246</v>
      </c>
      <c r="D197" s="573">
        <f>SUM(D164:D196)</f>
        <v>0</v>
      </c>
      <c r="E197" s="171">
        <f t="shared" ref="E197" si="49">SUM(E164:E196)</f>
        <v>10246</v>
      </c>
      <c r="F197" s="171">
        <f>SUM(F164:F196)</f>
        <v>0</v>
      </c>
      <c r="G197" s="171">
        <f>SUM(G164:G196)</f>
        <v>10246</v>
      </c>
      <c r="H197" s="172">
        <f>IF($G$208=0,0,G197/$G$208)</f>
        <v>4.8346722346085339E-3</v>
      </c>
      <c r="I197" s="337"/>
      <c r="J197" s="168"/>
      <c r="K197" s="168"/>
      <c r="M197" s="364">
        <f>G197/G$228</f>
        <v>0.80996047430830043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165"/>
      <c r="G198" s="165"/>
      <c r="H198" s="198"/>
      <c r="I198" s="341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1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573">
        <f>'[19]Sch C'!D211</f>
        <v>60373</v>
      </c>
      <c r="D200" s="573">
        <f>'[19]Sch C'!F211</f>
        <v>0</v>
      </c>
      <c r="E200" s="171">
        <f t="shared" ref="E200:E205" si="50">C200+D200</f>
        <v>60373</v>
      </c>
      <c r="F200" s="496"/>
      <c r="G200" s="171">
        <f t="shared" ref="G200:G205" si="51">E200+F200</f>
        <v>60373</v>
      </c>
      <c r="H200" s="172">
        <f t="shared" ref="H200:H206" si="52">IF($G$208=0,0,G200/$G$208)</f>
        <v>2.8487572400939E-2</v>
      </c>
      <c r="I200" s="337"/>
      <c r="J200" s="183">
        <v>2951</v>
      </c>
      <c r="K200" s="183">
        <v>3109</v>
      </c>
      <c r="M200" s="364">
        <f t="shared" ref="M200:M205" si="53">G200/G$228</f>
        <v>4.772569169960474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573">
        <f>'[19]Sch C'!D212</f>
        <v>0</v>
      </c>
      <c r="D201" s="573">
        <f>'[19]Sch C'!F212</f>
        <v>8414</v>
      </c>
      <c r="E201" s="171">
        <f t="shared" si="50"/>
        <v>8414</v>
      </c>
      <c r="F201" s="496"/>
      <c r="G201" s="171">
        <f t="shared" si="51"/>
        <v>8414</v>
      </c>
      <c r="H201" s="172">
        <f t="shared" si="52"/>
        <v>3.9702256667964279E-3</v>
      </c>
      <c r="I201" s="337"/>
      <c r="J201" s="168"/>
      <c r="K201" s="168"/>
      <c r="M201" s="364">
        <f t="shared" si="53"/>
        <v>0.66513833992094862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573">
        <f>'[19]Sch C'!D213</f>
        <v>73817</v>
      </c>
      <c r="D202" s="573">
        <f>'[19]Sch C'!F213</f>
        <v>0</v>
      </c>
      <c r="E202" s="171">
        <f t="shared" si="50"/>
        <v>73817</v>
      </c>
      <c r="F202" s="496">
        <v>-65878</v>
      </c>
      <c r="G202" s="171">
        <f t="shared" si="51"/>
        <v>7939</v>
      </c>
      <c r="H202" s="172">
        <f t="shared" si="52"/>
        <v>3.7460924136792063E-3</v>
      </c>
      <c r="I202" s="337"/>
      <c r="J202" s="168"/>
      <c r="K202" s="168"/>
      <c r="M202" s="364">
        <f t="shared" si="53"/>
        <v>0.62758893280632411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573">
        <f>'[19]Sch C'!D214</f>
        <v>0</v>
      </c>
      <c r="D203" s="573">
        <f>'[19]Sch C'!F214</f>
        <v>0</v>
      </c>
      <c r="E203" s="171">
        <f t="shared" si="50"/>
        <v>0</v>
      </c>
      <c r="F203" s="496"/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>
        <f t="shared" si="53"/>
        <v>0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573">
        <f>'[19]Sch C'!D215</f>
        <v>0</v>
      </c>
      <c r="D204" s="573">
        <f>'[19]Sch C'!F215</f>
        <v>0</v>
      </c>
      <c r="E204" s="171">
        <f t="shared" si="50"/>
        <v>0</v>
      </c>
      <c r="F204" s="496"/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573">
        <f>'[19]Sch C'!D216</f>
        <v>52881</v>
      </c>
      <c r="D205" s="573">
        <f>'[19]Sch C'!F216</f>
        <v>0</v>
      </c>
      <c r="E205" s="171">
        <f t="shared" si="50"/>
        <v>52881</v>
      </c>
      <c r="F205" s="496">
        <v>-1180</v>
      </c>
      <c r="G205" s="171">
        <f t="shared" si="51"/>
        <v>51701</v>
      </c>
      <c r="H205" s="172">
        <f t="shared" si="52"/>
        <v>2.4395606988238904E-2</v>
      </c>
      <c r="I205" s="337"/>
      <c r="J205" s="168"/>
      <c r="K205" s="168"/>
      <c r="M205" s="364">
        <f t="shared" si="53"/>
        <v>4.0870355731225301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573">
        <f>SUM(C200:C205)</f>
        <v>187071</v>
      </c>
      <c r="D206" s="573">
        <f>SUM(D200:D205)</f>
        <v>8414</v>
      </c>
      <c r="E206" s="171">
        <f t="shared" ref="E206" si="54">SUM(E200:E205)</f>
        <v>195485</v>
      </c>
      <c r="F206" s="171">
        <f>SUM(F200:F205)</f>
        <v>-67058</v>
      </c>
      <c r="G206" s="171">
        <f>SUM(G200:G205)</f>
        <v>128427</v>
      </c>
      <c r="H206" s="172">
        <f t="shared" si="52"/>
        <v>6.059949746965354E-2</v>
      </c>
      <c r="I206" s="337"/>
      <c r="J206" s="168"/>
      <c r="K206" s="168"/>
      <c r="M206" s="364">
        <f>G206/G$228</f>
        <v>10.152332015810277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573">
        <f>SUM(C25:C206)/2</f>
        <v>2223602</v>
      </c>
      <c r="D208" s="573">
        <f>SUM(D25:D206)/2</f>
        <v>-14320</v>
      </c>
      <c r="E208" s="171">
        <f t="shared" ref="E208:F208" si="55">SUM(E25:E206)/2</f>
        <v>2209282</v>
      </c>
      <c r="F208" s="171">
        <f t="shared" si="55"/>
        <v>-90007</v>
      </c>
      <c r="G208" s="171">
        <f>SUM(G25:G206)/2</f>
        <v>2119275</v>
      </c>
      <c r="H208" s="172">
        <f>IF($G$208=0,0,G208/$G$208)</f>
        <v>1</v>
      </c>
      <c r="I208" s="337"/>
      <c r="J208" s="183">
        <f>SUM(J25:J200)</f>
        <v>60607</v>
      </c>
      <c r="K208" s="183">
        <f>SUM(K25:K200)</f>
        <v>63709</v>
      </c>
      <c r="M208" s="364">
        <f>G208/G$228</f>
        <v>167.53162055335969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519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573">
        <f>'[19]Sch C'!D221</f>
        <v>2223602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573">
        <f>C208-C211</f>
        <v>0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619"/>
      <c r="D213" s="232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573">
        <f>C21-C208</f>
        <v>-34307</v>
      </c>
      <c r="D215" s="573">
        <f>D21-D208</f>
        <v>14320</v>
      </c>
      <c r="E215" s="171">
        <f t="shared" ref="E215:F215" si="56">E21-E208</f>
        <v>-19987</v>
      </c>
      <c r="F215" s="171">
        <f t="shared" si="56"/>
        <v>90007</v>
      </c>
      <c r="G215" s="171">
        <f>G21-G208</f>
        <v>70020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653">
        <f>'[19]Sch D'!C9</f>
        <v>11096</v>
      </c>
      <c r="D219" s="653"/>
      <c r="E219" s="235">
        <f t="shared" ref="E219:G227" si="57">C219+D219</f>
        <v>11096</v>
      </c>
      <c r="F219" s="496"/>
      <c r="G219" s="235">
        <f t="shared" si="57"/>
        <v>11096</v>
      </c>
      <c r="H219" s="172">
        <f t="shared" ref="H219:H228" si="58">IF($G$228=0,0,G219/$G$228)</f>
        <v>0.87715415019762843</v>
      </c>
      <c r="I219" s="337"/>
      <c r="J219" s="168"/>
      <c r="K219" s="168"/>
    </row>
    <row r="220" spans="1:14">
      <c r="A220" s="163"/>
      <c r="B220" s="170" t="s">
        <v>217</v>
      </c>
      <c r="C220" s="653">
        <f>'[19]Sch D'!D9</f>
        <v>0</v>
      </c>
      <c r="D220" s="653"/>
      <c r="E220" s="235">
        <f t="shared" ref="E220:E227" si="59">C220+D220</f>
        <v>0</v>
      </c>
      <c r="F220" s="496"/>
      <c r="G220" s="235">
        <f t="shared" si="57"/>
        <v>0</v>
      </c>
      <c r="H220" s="172">
        <f t="shared" si="58"/>
        <v>0</v>
      </c>
      <c r="I220" s="337"/>
      <c r="J220" s="168"/>
      <c r="K220" s="168"/>
    </row>
    <row r="221" spans="1:14">
      <c r="A221" s="163"/>
      <c r="B221" s="170" t="s">
        <v>72</v>
      </c>
      <c r="C221" s="653">
        <f>'[19]Sch D'!E9</f>
        <v>0</v>
      </c>
      <c r="D221" s="653"/>
      <c r="E221" s="235">
        <f t="shared" si="59"/>
        <v>0</v>
      </c>
      <c r="F221" s="496"/>
      <c r="G221" s="235">
        <f t="shared" si="57"/>
        <v>0</v>
      </c>
      <c r="H221" s="172">
        <f t="shared" si="58"/>
        <v>0</v>
      </c>
      <c r="I221" s="337"/>
      <c r="J221" s="168"/>
      <c r="K221" s="168"/>
    </row>
    <row r="222" spans="1:14">
      <c r="A222" s="163"/>
      <c r="B222" s="202" t="s">
        <v>334</v>
      </c>
      <c r="C222" s="653">
        <f>'[19]Sch D'!F9</f>
        <v>0</v>
      </c>
      <c r="D222" s="653"/>
      <c r="E222" s="235">
        <f>C222+D222</f>
        <v>0</v>
      </c>
      <c r="F222" s="496"/>
      <c r="G222" s="235">
        <f>E222+F222</f>
        <v>0</v>
      </c>
      <c r="H222" s="172">
        <f t="shared" si="58"/>
        <v>0</v>
      </c>
      <c r="I222" s="337"/>
      <c r="J222" s="168"/>
      <c r="K222" s="168"/>
    </row>
    <row r="223" spans="1:14">
      <c r="A223" s="163"/>
      <c r="B223" s="170" t="s">
        <v>73</v>
      </c>
      <c r="C223" s="653">
        <f>'[19]Sch D'!G9</f>
        <v>0</v>
      </c>
      <c r="D223" s="653"/>
      <c r="E223" s="235">
        <f t="shared" si="59"/>
        <v>0</v>
      </c>
      <c r="F223" s="496"/>
      <c r="G223" s="235">
        <f t="shared" si="57"/>
        <v>0</v>
      </c>
      <c r="H223" s="172">
        <f t="shared" si="58"/>
        <v>0</v>
      </c>
      <c r="I223" s="337"/>
      <c r="J223" s="168"/>
      <c r="K223" s="168"/>
    </row>
    <row r="224" spans="1:14">
      <c r="A224" s="163"/>
      <c r="B224" s="170" t="s">
        <v>74</v>
      </c>
      <c r="C224" s="653">
        <f>'[19]Sch D'!H9</f>
        <v>390</v>
      </c>
      <c r="D224" s="653"/>
      <c r="E224" s="235">
        <f t="shared" si="59"/>
        <v>390</v>
      </c>
      <c r="F224" s="496"/>
      <c r="G224" s="235">
        <f t="shared" si="57"/>
        <v>390</v>
      </c>
      <c r="H224" s="172">
        <f t="shared" si="58"/>
        <v>3.0830039525691699E-2</v>
      </c>
      <c r="I224" s="337"/>
      <c r="J224" s="168"/>
      <c r="K224" s="168"/>
    </row>
    <row r="225" spans="1:11">
      <c r="A225" s="163"/>
      <c r="B225" s="170" t="s">
        <v>236</v>
      </c>
      <c r="C225" s="653">
        <f>'[19]Sch D'!I9</f>
        <v>0</v>
      </c>
      <c r="D225" s="653"/>
      <c r="E225" s="235">
        <f t="shared" si="59"/>
        <v>0</v>
      </c>
      <c r="F225" s="496"/>
      <c r="G225" s="235">
        <f t="shared" si="57"/>
        <v>0</v>
      </c>
      <c r="H225" s="172">
        <f t="shared" si="58"/>
        <v>0</v>
      </c>
      <c r="I225" s="337"/>
      <c r="J225" s="168"/>
      <c r="K225" s="168"/>
    </row>
    <row r="226" spans="1:11">
      <c r="A226" s="163"/>
      <c r="B226" s="170" t="s">
        <v>235</v>
      </c>
      <c r="C226" s="653">
        <f>'[19]Sch D'!J9</f>
        <v>1164</v>
      </c>
      <c r="D226" s="653"/>
      <c r="E226" s="235">
        <f>C226+D226</f>
        <v>1164</v>
      </c>
      <c r="F226" s="496"/>
      <c r="G226" s="235">
        <f>E226+F226</f>
        <v>1164</v>
      </c>
      <c r="H226" s="172">
        <f t="shared" si="58"/>
        <v>9.2015810276679835E-2</v>
      </c>
      <c r="I226" s="337"/>
      <c r="J226" s="168"/>
      <c r="K226" s="168"/>
    </row>
    <row r="227" spans="1:11">
      <c r="A227" s="163"/>
      <c r="B227" s="170" t="s">
        <v>179</v>
      </c>
      <c r="C227" s="653">
        <f>'[19]Sch D'!K9</f>
        <v>0</v>
      </c>
      <c r="D227" s="653"/>
      <c r="E227" s="235">
        <f t="shared" si="59"/>
        <v>0</v>
      </c>
      <c r="F227" s="496"/>
      <c r="G227" s="235">
        <f t="shared" si="57"/>
        <v>0</v>
      </c>
      <c r="H227" s="172">
        <f t="shared" si="58"/>
        <v>0</v>
      </c>
      <c r="I227" s="337"/>
      <c r="J227" s="168"/>
      <c r="K227" s="168"/>
    </row>
    <row r="228" spans="1:11" ht="13.5" thickBot="1">
      <c r="A228" s="163"/>
      <c r="B228" s="236" t="s">
        <v>75</v>
      </c>
      <c r="C228" s="653">
        <f>SUM(C219:C227)</f>
        <v>12650</v>
      </c>
      <c r="D228" s="653">
        <f>SUM(D219:D227)</f>
        <v>0</v>
      </c>
      <c r="E228" s="237">
        <f>SUM(E219:E227)</f>
        <v>12650</v>
      </c>
      <c r="F228" s="496">
        <f>SUM(F219:F227)</f>
        <v>0</v>
      </c>
      <c r="G228" s="237">
        <f>SUM(G219:G227)</f>
        <v>12650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620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619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654">
        <f>'[19]Sch D'!N22</f>
        <v>36</v>
      </c>
      <c r="D231" s="574"/>
      <c r="E231" s="235">
        <f>C231+D231</f>
        <v>36</v>
      </c>
      <c r="F231" s="507"/>
      <c r="G231" s="235">
        <f>SUM(E231:F231)</f>
        <v>36</v>
      </c>
      <c r="H231" s="167"/>
      <c r="J231" s="168"/>
      <c r="K231" s="168"/>
    </row>
    <row r="232" spans="1:11">
      <c r="A232" s="163"/>
      <c r="B232" s="202" t="s">
        <v>290</v>
      </c>
      <c r="C232" s="654">
        <f>'[19]Sch D'!N24</f>
        <v>36</v>
      </c>
      <c r="D232" s="574"/>
      <c r="E232" s="235">
        <f>C232+D232</f>
        <v>36</v>
      </c>
      <c r="F232" s="507"/>
      <c r="G232" s="235">
        <f>SUM(E232:F232)</f>
        <v>36</v>
      </c>
      <c r="H232" s="167"/>
      <c r="J232" s="168"/>
      <c r="K232" s="168"/>
    </row>
    <row r="233" spans="1:11">
      <c r="A233" s="163"/>
      <c r="B233" s="202" t="s">
        <v>76</v>
      </c>
      <c r="C233" s="654">
        <f>$C$4-$C$3+1</f>
        <v>365</v>
      </c>
      <c r="D233" s="489"/>
      <c r="E233" s="235">
        <f>C233+D233</f>
        <v>365</v>
      </c>
      <c r="F233" s="508"/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621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654">
        <f>'[19]Sch D'!N28</f>
        <v>13140</v>
      </c>
      <c r="D235" s="489"/>
      <c r="E235" s="234">
        <f>E231*E233</f>
        <v>13140</v>
      </c>
      <c r="F235" s="240"/>
      <c r="G235" s="234">
        <f>G231*G233</f>
        <v>13140</v>
      </c>
      <c r="H235" s="167"/>
      <c r="J235" s="168"/>
      <c r="K235" s="168"/>
    </row>
    <row r="236" spans="1:11" ht="26">
      <c r="A236" s="163"/>
      <c r="B236" s="244" t="s">
        <v>336</v>
      </c>
      <c r="C236" s="655">
        <f>'[19]Sch D'!N30</f>
        <v>0.96270928462709282</v>
      </c>
      <c r="D236" s="240"/>
      <c r="E236" s="245">
        <f>E228/E235</f>
        <v>0.96270928462709282</v>
      </c>
      <c r="F236" s="246"/>
      <c r="G236" s="245">
        <f>G228/G235</f>
        <v>0.96270928462709282</v>
      </c>
      <c r="H236" s="167"/>
      <c r="J236" s="168"/>
      <c r="K236" s="168"/>
    </row>
    <row r="237" spans="1:11" ht="26">
      <c r="A237" s="163"/>
      <c r="B237" s="244" t="s">
        <v>337</v>
      </c>
      <c r="C237" s="655">
        <f>'[19]Sch D'!N32</f>
        <v>0.84444444444444444</v>
      </c>
      <c r="D237" s="240"/>
      <c r="E237" s="245">
        <f>(E219+E220)/E235</f>
        <v>0.84444444444444444</v>
      </c>
      <c r="F237" s="246"/>
      <c r="G237" s="245">
        <f>(G219+G220)/G235</f>
        <v>0.84444444444444444</v>
      </c>
      <c r="H237" s="167"/>
      <c r="J237" s="168"/>
      <c r="K237" s="168"/>
    </row>
    <row r="238" spans="1:11" ht="26">
      <c r="A238" s="163"/>
      <c r="B238" s="244" t="s">
        <v>338</v>
      </c>
      <c r="C238" s="655">
        <f>'[19]Sch D'!N34</f>
        <v>0.87715415019762843</v>
      </c>
      <c r="D238" s="240"/>
      <c r="E238" s="245">
        <f>(E237/E236)</f>
        <v>0.87715415019762843</v>
      </c>
      <c r="F238" s="246"/>
      <c r="G238" s="245">
        <f>(G237/G236)</f>
        <v>0.87715415019762843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73">
        <f>'[19]Sch B'!C85</f>
        <v>173.58490566037736</v>
      </c>
    </row>
    <row r="242" spans="2:7">
      <c r="F242" s="142" t="s">
        <v>341</v>
      </c>
      <c r="G242" s="573">
        <f>'[19]Sch B'!E85</f>
        <v>177.90217391304347</v>
      </c>
    </row>
    <row r="243" spans="2:7">
      <c r="F243" s="142" t="s">
        <v>342</v>
      </c>
      <c r="G243" s="573">
        <f>'[19]Sch B'!G85</f>
        <v>181.72222222222223</v>
      </c>
    </row>
    <row r="244" spans="2:7">
      <c r="F244" s="142" t="s">
        <v>343</v>
      </c>
      <c r="G244" s="573">
        <f>'[19]Sch B'!I85</f>
        <v>185.40196078431373</v>
      </c>
    </row>
    <row r="245" spans="2:7">
      <c r="F245" s="142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" right="0" top="0.75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4">
    <tabColor rgb="FFE28CAB"/>
  </sheetPr>
  <dimension ref="A1:Q248"/>
  <sheetViews>
    <sheetView showGridLines="0" zoomScale="90" zoomScaleNormal="90" workbookViewId="0">
      <selection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478"/>
      <c r="E1" s="438"/>
      <c r="F1" s="439"/>
      <c r="G1" s="439"/>
      <c r="H1" s="478"/>
      <c r="I1" s="479"/>
    </row>
    <row r="2" spans="1:14" ht="23">
      <c r="B2" s="143" t="s">
        <v>189</v>
      </c>
      <c r="C2" s="247" t="s">
        <v>538</v>
      </c>
      <c r="D2" s="247"/>
      <c r="E2" s="439"/>
      <c r="F2" s="439"/>
      <c r="G2" s="439"/>
    </row>
    <row r="3" spans="1:14" ht="15.5">
      <c r="A3" s="145"/>
      <c r="B3" s="140" t="s">
        <v>79</v>
      </c>
      <c r="C3" s="495">
        <v>41821</v>
      </c>
      <c r="D3"/>
      <c r="E3" s="439"/>
      <c r="F3" s="439" t="s">
        <v>539</v>
      </c>
      <c r="G3" s="439"/>
    </row>
    <row r="4" spans="1:14" ht="15.5">
      <c r="A4" s="145"/>
      <c r="B4" s="148" t="s">
        <v>80</v>
      </c>
      <c r="C4" s="495">
        <v>42185</v>
      </c>
      <c r="D4"/>
      <c r="E4" s="439"/>
      <c r="F4" s="633" t="s">
        <v>594</v>
      </c>
      <c r="G4" s="439"/>
    </row>
    <row r="5" spans="1:14" ht="15">
      <c r="A5" s="145"/>
      <c r="B5" s="148"/>
      <c r="C5" s="151"/>
      <c r="D5" s="144"/>
      <c r="F5" s="439" t="s">
        <v>540</v>
      </c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490" t="s">
        <v>541</v>
      </c>
      <c r="G9" s="667" t="s">
        <v>681</v>
      </c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588" t="s">
        <v>542</v>
      </c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490">
        <f>'[20]Sch B'!E10</f>
        <v>1682540.6800000002</v>
      </c>
      <c r="D11" s="490">
        <f>'[20]Sch B'!G10</f>
        <v>0</v>
      </c>
      <c r="E11" s="171">
        <f>C11+D11</f>
        <v>1682540.6800000002</v>
      </c>
      <c r="F11" s="666">
        <f>1140326.49+621512</f>
        <v>1761838.49</v>
      </c>
      <c r="G11" s="171">
        <f t="shared" ref="G11:G20" si="0">E11+F11</f>
        <v>3444379.17</v>
      </c>
      <c r="H11" s="172">
        <f t="shared" ref="H11:H21" si="1">IF($G$21=0,0,G11/$G$21)</f>
        <v>0.64518965653275262</v>
      </c>
      <c r="I11" s="337"/>
      <c r="J11" s="368" t="s">
        <v>344</v>
      </c>
      <c r="K11" s="369">
        <f>G21</f>
        <v>5338552.99</v>
      </c>
      <c r="M11" s="359">
        <f>IFERROR(G11/G219,0)</f>
        <v>205.58548227289006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490">
        <f>'[20]Sch B'!E15</f>
        <v>206050.69</v>
      </c>
      <c r="D12" s="490">
        <f>'[20]Sch B'!G15</f>
        <v>0</v>
      </c>
      <c r="E12" s="171">
        <f t="shared" ref="E12:E20" si="2">C12+D12</f>
        <v>206050.69</v>
      </c>
      <c r="F12" s="171">
        <v>182982.05</v>
      </c>
      <c r="G12" s="171">
        <f>E12+F12</f>
        <v>389032.74</v>
      </c>
      <c r="H12" s="172">
        <f t="shared" si="1"/>
        <v>7.2872319658290025E-2</v>
      </c>
      <c r="I12" s="337"/>
      <c r="J12" s="370" t="s">
        <v>345</v>
      </c>
      <c r="K12" s="371">
        <f>G208</f>
        <v>4600210.2309999997</v>
      </c>
      <c r="M12" s="359">
        <f t="shared" ref="M12:M19" si="3">IFERROR(G12/G220,0)</f>
        <v>143.44865044247788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490">
        <f>'[20]Sch B'!E21</f>
        <v>675902.85</v>
      </c>
      <c r="D13" s="490">
        <f>'[20]Sch B'!G21</f>
        <v>0</v>
      </c>
      <c r="E13" s="171">
        <f t="shared" si="2"/>
        <v>675902.85</v>
      </c>
      <c r="F13" s="171">
        <v>446155.58</v>
      </c>
      <c r="G13" s="171">
        <f t="shared" si="0"/>
        <v>1122058.43</v>
      </c>
      <c r="H13" s="172">
        <f t="shared" si="1"/>
        <v>0.21018025523054701</v>
      </c>
      <c r="I13" s="337"/>
      <c r="J13" s="370" t="s">
        <v>346</v>
      </c>
      <c r="K13" s="371">
        <f>G228</f>
        <v>24215</v>
      </c>
      <c r="M13" s="359">
        <f t="shared" si="3"/>
        <v>453.72358673675694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490">
        <f>'[20]Sch B'!E27</f>
        <v>10875.08</v>
      </c>
      <c r="D14" s="490">
        <f>'[20]Sch B'!G27</f>
        <v>0</v>
      </c>
      <c r="E14" s="171">
        <f t="shared" si="2"/>
        <v>10875.08</v>
      </c>
      <c r="F14" s="175">
        <v>3899.9999999999995</v>
      </c>
      <c r="G14" s="175">
        <f>E14+F14</f>
        <v>14775.08</v>
      </c>
      <c r="H14" s="176">
        <f t="shared" si="1"/>
        <v>2.7676188711952825E-3</v>
      </c>
      <c r="I14" s="338"/>
      <c r="J14" s="370" t="s">
        <v>347</v>
      </c>
      <c r="K14" s="371">
        <f>G231</f>
        <v>104</v>
      </c>
      <c r="M14" s="359">
        <f t="shared" si="3"/>
        <v>127.37137931034482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490">
        <f>'[20]Sch B'!E32</f>
        <v>0</v>
      </c>
      <c r="D15" s="490">
        <f>'[20]Sch B'!G32</f>
        <v>0</v>
      </c>
      <c r="E15" s="171">
        <f t="shared" si="2"/>
        <v>0</v>
      </c>
      <c r="F15" s="171">
        <v>0</v>
      </c>
      <c r="G15" s="171">
        <f t="shared" si="0"/>
        <v>0</v>
      </c>
      <c r="H15" s="172">
        <f t="shared" si="1"/>
        <v>0</v>
      </c>
      <c r="I15" s="337"/>
      <c r="J15" s="370" t="s">
        <v>348</v>
      </c>
      <c r="K15" s="371">
        <f>G235</f>
        <v>37960</v>
      </c>
      <c r="M15" s="359">
        <f t="shared" si="3"/>
        <v>0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490">
        <f>'[20]Sch B'!E37</f>
        <v>195635.97</v>
      </c>
      <c r="D16" s="490">
        <f>'[20]Sch B'!G37</f>
        <v>0</v>
      </c>
      <c r="E16" s="171">
        <f t="shared" si="2"/>
        <v>195635.97</v>
      </c>
      <c r="F16" s="171">
        <v>101645.02</v>
      </c>
      <c r="G16" s="171">
        <f t="shared" si="0"/>
        <v>297280.99</v>
      </c>
      <c r="H16" s="172">
        <f t="shared" si="1"/>
        <v>5.5685686843767748E-2</v>
      </c>
      <c r="I16" s="337"/>
      <c r="J16" s="372"/>
      <c r="K16" s="371"/>
      <c r="M16" s="359">
        <f t="shared" si="3"/>
        <v>151.21108341810782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490">
        <f>'[20]Sch B'!E42</f>
        <v>20230.989999999998</v>
      </c>
      <c r="D17" s="490">
        <f>'[20]Sch B'!G42</f>
        <v>0</v>
      </c>
      <c r="E17" s="171">
        <f t="shared" si="2"/>
        <v>20230.989999999998</v>
      </c>
      <c r="F17" s="171">
        <v>12694.16</v>
      </c>
      <c r="G17" s="171">
        <f>E17+F17</f>
        <v>32925.149999999994</v>
      </c>
      <c r="H17" s="172">
        <f t="shared" si="1"/>
        <v>6.1674296502580925E-3</v>
      </c>
      <c r="I17" s="337"/>
      <c r="J17" s="370" t="s">
        <v>156</v>
      </c>
      <c r="K17" s="371">
        <f>J208</f>
        <v>108970.13</v>
      </c>
      <c r="M17" s="359">
        <f t="shared" si="3"/>
        <v>169.71726804123708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490">
        <f>'[20]Sch B'!E47</f>
        <v>0</v>
      </c>
      <c r="D18" s="490">
        <f>'[20]Sch B'!G47</f>
        <v>0</v>
      </c>
      <c r="E18" s="171">
        <f t="shared" si="2"/>
        <v>0</v>
      </c>
      <c r="F18" s="171">
        <v>0</v>
      </c>
      <c r="G18" s="171">
        <f>E18+F18</f>
        <v>0</v>
      </c>
      <c r="H18" s="172">
        <f t="shared" si="1"/>
        <v>0</v>
      </c>
      <c r="I18" s="337"/>
      <c r="J18" s="373" t="s">
        <v>252</v>
      </c>
      <c r="K18" s="374">
        <f>K208</f>
        <v>113283.30000000002</v>
      </c>
      <c r="M18" s="359">
        <f t="shared" si="3"/>
        <v>0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490">
        <f>'[20]Sch B'!E52</f>
        <v>0</v>
      </c>
      <c r="D19" s="490">
        <f>'[20]Sch B'!G52</f>
        <v>0</v>
      </c>
      <c r="E19" s="171">
        <f t="shared" si="2"/>
        <v>0</v>
      </c>
      <c r="F19" s="171">
        <v>0</v>
      </c>
      <c r="G19" s="171">
        <f t="shared" si="0"/>
        <v>0</v>
      </c>
      <c r="H19" s="172">
        <f t="shared" si="1"/>
        <v>0</v>
      </c>
      <c r="I19" s="337"/>
      <c r="J19" s="168"/>
      <c r="K19" s="168"/>
      <c r="M19" s="359">
        <f t="shared" si="3"/>
        <v>0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490">
        <f>'[20]Sch B'!E67</f>
        <v>23844.55</v>
      </c>
      <c r="D20" s="490">
        <f>'[20]Sch B'!G67</f>
        <v>-19.21</v>
      </c>
      <c r="E20" s="171">
        <f t="shared" si="2"/>
        <v>23825.34</v>
      </c>
      <c r="F20" s="588">
        <f>635788.09-621512</f>
        <v>14276.089999999967</v>
      </c>
      <c r="G20" s="171">
        <f t="shared" si="0"/>
        <v>38101.429999999964</v>
      </c>
      <c r="H20" s="172">
        <f t="shared" si="1"/>
        <v>7.1370332131890975E-3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490">
        <f>SUM(C11:C20)</f>
        <v>2815080.8100000005</v>
      </c>
      <c r="D21" s="490">
        <f>SUM(D11:D20)</f>
        <v>-19.21</v>
      </c>
      <c r="E21" s="171">
        <f>SUM(E11:E20)</f>
        <v>2815061.6000000006</v>
      </c>
      <c r="F21" s="171">
        <f>SUM(F11:F20)</f>
        <v>2523491.39</v>
      </c>
      <c r="G21" s="171">
        <f>SUM(G11:G20)</f>
        <v>5338552.99</v>
      </c>
      <c r="H21" s="172">
        <f t="shared" si="1"/>
        <v>1</v>
      </c>
      <c r="I21" s="337"/>
      <c r="J21" s="168"/>
      <c r="K21" s="168"/>
      <c r="M21" s="359">
        <f>IFERROR(G21/G228,0)</f>
        <v>220.46471154243238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589" t="s">
        <v>682</v>
      </c>
      <c r="G22" s="144"/>
      <c r="J22" s="635" t="s">
        <v>595</v>
      </c>
      <c r="M22" s="363"/>
      <c r="N22" s="363"/>
    </row>
    <row r="23" spans="1:14" ht="26.5">
      <c r="A23" s="180" t="s">
        <v>231</v>
      </c>
      <c r="B23" s="179" t="s">
        <v>222</v>
      </c>
      <c r="C23" s="151"/>
      <c r="D23" s="144"/>
      <c r="F23" s="590" t="s">
        <v>683</v>
      </c>
      <c r="G23" s="144"/>
      <c r="J23" s="680" t="s">
        <v>599</v>
      </c>
      <c r="K23" s="679"/>
      <c r="L23" s="679"/>
      <c r="M23" s="363"/>
      <c r="N23" s="363"/>
    </row>
    <row r="24" spans="1:14">
      <c r="A24" s="181" t="s">
        <v>161</v>
      </c>
      <c r="B24" s="148" t="s">
        <v>12</v>
      </c>
      <c r="F24" s="589"/>
      <c r="J24" s="635" t="s">
        <v>596</v>
      </c>
      <c r="M24" s="363"/>
      <c r="N24" s="363"/>
    </row>
    <row r="25" spans="1:14" s="167" customFormat="1">
      <c r="A25" s="169" t="s">
        <v>83</v>
      </c>
      <c r="B25" s="170" t="s">
        <v>14</v>
      </c>
      <c r="C25" s="490">
        <f>'[20]Sch C'!D10</f>
        <v>104321.12599999999</v>
      </c>
      <c r="D25" s="490">
        <f>'[20]Sch C'!F10</f>
        <v>0</v>
      </c>
      <c r="E25" s="171">
        <f t="shared" ref="E25:E60" si="4">C25+D25</f>
        <v>104321.12599999999</v>
      </c>
      <c r="F25" s="573">
        <v>23643</v>
      </c>
      <c r="G25" s="182">
        <f>E25+F25</f>
        <v>127964.12599999999</v>
      </c>
      <c r="H25" s="172">
        <f>IF($G$208=0,0,G25/$G$208)</f>
        <v>2.781701695667569E-2</v>
      </c>
      <c r="I25" s="337"/>
      <c r="J25" s="183">
        <v>1213.3799999999999</v>
      </c>
      <c r="K25" s="183">
        <v>1213.3799999999999</v>
      </c>
      <c r="M25" s="359">
        <f>G25/G$228</f>
        <v>5.2844982861862482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490">
        <f>'[20]Sch C'!D11</f>
        <v>0</v>
      </c>
      <c r="D26" s="490">
        <f>'[20]Sch C'!F11</f>
        <v>0</v>
      </c>
      <c r="E26" s="171">
        <f t="shared" si="4"/>
        <v>0</v>
      </c>
      <c r="F26" s="171">
        <v>0</v>
      </c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490">
        <f>'[20]Sch C'!D12</f>
        <v>56728.14</v>
      </c>
      <c r="D27" s="490">
        <f>'[20]Sch C'!F12</f>
        <v>0</v>
      </c>
      <c r="E27" s="171">
        <f t="shared" si="4"/>
        <v>56728.14</v>
      </c>
      <c r="F27" s="573">
        <v>36161</v>
      </c>
      <c r="G27" s="171">
        <f t="shared" si="5"/>
        <v>92889.14</v>
      </c>
      <c r="H27" s="172">
        <f t="shared" si="6"/>
        <v>2.0192368464822887E-2</v>
      </c>
      <c r="I27" s="337"/>
      <c r="J27" s="185">
        <v>3453.8899999999994</v>
      </c>
      <c r="K27" s="185">
        <v>3798.8899999999994</v>
      </c>
      <c r="M27" s="359">
        <f t="shared" si="7"/>
        <v>3.8360165186867645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490">
        <f>'[20]Sch C'!D13</f>
        <v>35221.350000000006</v>
      </c>
      <c r="D28" s="490">
        <f>'[20]Sch C'!F13</f>
        <v>0</v>
      </c>
      <c r="E28" s="171">
        <f t="shared" si="4"/>
        <v>35221.350000000006</v>
      </c>
      <c r="F28" s="573">
        <v>33756</v>
      </c>
      <c r="G28" s="171">
        <f t="shared" si="5"/>
        <v>68977.350000000006</v>
      </c>
      <c r="H28" s="172">
        <f t="shared" si="6"/>
        <v>1.4994390807440472E-2</v>
      </c>
      <c r="I28" s="337"/>
      <c r="J28" s="168"/>
      <c r="K28" s="168"/>
      <c r="M28" s="359">
        <f t="shared" si="7"/>
        <v>2.8485380962213505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490">
        <f>'[20]Sch C'!D14</f>
        <v>0</v>
      </c>
      <c r="D29" s="490">
        <f>'[20]Sch C'!F14</f>
        <v>0</v>
      </c>
      <c r="E29" s="171">
        <f t="shared" si="4"/>
        <v>0</v>
      </c>
      <c r="F29" s="171">
        <v>0</v>
      </c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490">
        <f>'[20]Sch C'!D15</f>
        <v>112752.23999999999</v>
      </c>
      <c r="D30" s="490">
        <f>'[20]Sch C'!F15</f>
        <v>-112752.24</v>
      </c>
      <c r="E30" s="171">
        <f t="shared" si="4"/>
        <v>0</v>
      </c>
      <c r="F30" s="590">
        <f>259649.23-259649.23</f>
        <v>0</v>
      </c>
      <c r="G30" s="171">
        <f t="shared" si="5"/>
        <v>0</v>
      </c>
      <c r="H30" s="172">
        <f t="shared" si="6"/>
        <v>0</v>
      </c>
      <c r="I30" s="337"/>
      <c r="J30" s="168"/>
      <c r="K30" s="168"/>
      <c r="M30" s="359">
        <f t="shared" si="7"/>
        <v>0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490">
        <f>'[20]Sch C'!D16</f>
        <v>0</v>
      </c>
      <c r="D31" s="490">
        <f>'[20]Sch C'!F16</f>
        <v>289574</v>
      </c>
      <c r="E31" s="171">
        <f t="shared" si="4"/>
        <v>289574</v>
      </c>
      <c r="F31" s="573">
        <v>120656</v>
      </c>
      <c r="G31" s="171">
        <f t="shared" si="5"/>
        <v>410230</v>
      </c>
      <c r="H31" s="172">
        <f t="shared" si="6"/>
        <v>8.9176359209744996E-2</v>
      </c>
      <c r="I31" s="337"/>
      <c r="J31" s="168"/>
      <c r="K31" s="168"/>
      <c r="M31" s="359">
        <f t="shared" si="7"/>
        <v>16.941152178401818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490">
        <f>'[20]Sch C'!D17</f>
        <v>239.3</v>
      </c>
      <c r="D32" s="490">
        <f>'[20]Sch C'!F17</f>
        <v>0</v>
      </c>
      <c r="E32" s="171">
        <f t="shared" si="4"/>
        <v>239.3</v>
      </c>
      <c r="F32" s="171">
        <v>299.27999999999997</v>
      </c>
      <c r="G32" s="171">
        <f t="shared" si="5"/>
        <v>538.57999999999993</v>
      </c>
      <c r="H32" s="172">
        <f t="shared" si="6"/>
        <v>1.170772579849949E-4</v>
      </c>
      <c r="I32" s="337"/>
      <c r="J32" s="168"/>
      <c r="K32" s="168"/>
      <c r="M32" s="359">
        <f t="shared" si="7"/>
        <v>2.2241585793929378E-2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490">
        <f>'[20]Sch C'!D18</f>
        <v>7087.630000000001</v>
      </c>
      <c r="D33" s="490">
        <f>'[20]Sch C'!F18</f>
        <v>0</v>
      </c>
      <c r="E33" s="171">
        <f t="shared" si="4"/>
        <v>7087.630000000001</v>
      </c>
      <c r="F33" s="171">
        <v>5114.68</v>
      </c>
      <c r="G33" s="171">
        <f t="shared" si="5"/>
        <v>12202.310000000001</v>
      </c>
      <c r="H33" s="172">
        <f t="shared" si="6"/>
        <v>2.6525548588564067E-3</v>
      </c>
      <c r="I33" s="337"/>
      <c r="J33" s="168"/>
      <c r="K33" s="168"/>
      <c r="M33" s="359">
        <f t="shared" si="7"/>
        <v>0.50391534173033248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490">
        <f>'[20]Sch C'!D19</f>
        <v>5931.81</v>
      </c>
      <c r="D34" s="490">
        <f>'[20]Sch C'!F19</f>
        <v>0</v>
      </c>
      <c r="E34" s="171">
        <f t="shared" si="4"/>
        <v>5931.81</v>
      </c>
      <c r="F34" s="171">
        <v>7568.35</v>
      </c>
      <c r="G34" s="171">
        <f t="shared" si="5"/>
        <v>13500.16</v>
      </c>
      <c r="H34" s="172">
        <f t="shared" si="6"/>
        <v>2.9346832692612218E-3</v>
      </c>
      <c r="I34" s="337"/>
      <c r="J34" s="168"/>
      <c r="K34" s="168"/>
      <c r="M34" s="359">
        <f t="shared" si="7"/>
        <v>0.55751228577328105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490">
        <f>'[20]Sch C'!D20</f>
        <v>9191.2800000000007</v>
      </c>
      <c r="D35" s="490">
        <f>'[20]Sch C'!F20</f>
        <v>0</v>
      </c>
      <c r="E35" s="171">
        <f t="shared" si="4"/>
        <v>9191.2800000000007</v>
      </c>
      <c r="F35" s="171">
        <v>5285.0000000000009</v>
      </c>
      <c r="G35" s="171">
        <f t="shared" si="5"/>
        <v>14476.280000000002</v>
      </c>
      <c r="H35" s="172">
        <f t="shared" si="6"/>
        <v>3.1468735716569914E-3</v>
      </c>
      <c r="I35" s="337"/>
      <c r="J35" s="168"/>
      <c r="K35" s="168"/>
      <c r="M35" s="359">
        <f t="shared" si="7"/>
        <v>0.59782283708445194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490">
        <f>'[20]Sch C'!D21</f>
        <v>7472.0499999999993</v>
      </c>
      <c r="D36" s="490">
        <f>'[20]Sch C'!F21</f>
        <v>27264</v>
      </c>
      <c r="E36" s="171">
        <f t="shared" si="4"/>
        <v>34736.050000000003</v>
      </c>
      <c r="F36" s="590">
        <f>40672.18-39041</f>
        <v>1631.1800000000003</v>
      </c>
      <c r="G36" s="171">
        <f t="shared" si="5"/>
        <v>36367.230000000003</v>
      </c>
      <c r="H36" s="172">
        <f t="shared" si="6"/>
        <v>7.9055582623002094E-3</v>
      </c>
      <c r="I36" s="337"/>
      <c r="J36" s="168"/>
      <c r="K36" s="168"/>
      <c r="M36" s="359">
        <f t="shared" si="7"/>
        <v>1.5018472021474294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490">
        <f>'[20]Sch C'!D22</f>
        <v>0</v>
      </c>
      <c r="D37" s="490">
        <f>'[20]Sch C'!F22</f>
        <v>0</v>
      </c>
      <c r="E37" s="171">
        <f t="shared" si="4"/>
        <v>0</v>
      </c>
      <c r="F37" s="171">
        <v>0</v>
      </c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490">
        <f>'[20]Sch C'!D23</f>
        <v>17157.73</v>
      </c>
      <c r="D38" s="490">
        <f>'[20]Sch C'!F23</f>
        <v>0</v>
      </c>
      <c r="E38" s="171">
        <f t="shared" si="4"/>
        <v>17157.73</v>
      </c>
      <c r="F38" s="590">
        <f>7011.61+1810</f>
        <v>8821.61</v>
      </c>
      <c r="G38" s="171">
        <f t="shared" si="5"/>
        <v>25979.34</v>
      </c>
      <c r="H38" s="172">
        <f t="shared" si="6"/>
        <v>5.6474245078909314E-3</v>
      </c>
      <c r="I38" s="337"/>
      <c r="J38" s="168"/>
      <c r="K38" s="168"/>
      <c r="M38" s="359">
        <f t="shared" si="7"/>
        <v>1.0728614495147635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490">
        <f>'[20]Sch C'!D24</f>
        <v>25117.21</v>
      </c>
      <c r="D39" s="490">
        <f>'[20]Sch C'!F24</f>
        <v>0</v>
      </c>
      <c r="E39" s="171">
        <f t="shared" si="4"/>
        <v>25117.21</v>
      </c>
      <c r="F39" s="171">
        <v>18734.23</v>
      </c>
      <c r="G39" s="171">
        <f t="shared" si="5"/>
        <v>43851.44</v>
      </c>
      <c r="H39" s="172">
        <f t="shared" si="6"/>
        <v>9.5324860817214262E-3</v>
      </c>
      <c r="I39" s="337"/>
      <c r="J39" s="168"/>
      <c r="K39" s="168"/>
      <c r="M39" s="359">
        <f t="shared" si="7"/>
        <v>1.8109205038199465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490">
        <f>'[20]Sch C'!D25</f>
        <v>0</v>
      </c>
      <c r="D40" s="490">
        <f>'[20]Sch C'!F25</f>
        <v>0</v>
      </c>
      <c r="E40" s="171">
        <f t="shared" si="4"/>
        <v>0</v>
      </c>
      <c r="F40" s="171">
        <v>0</v>
      </c>
      <c r="G40" s="171">
        <f t="shared" si="5"/>
        <v>0</v>
      </c>
      <c r="H40" s="172">
        <f t="shared" si="6"/>
        <v>0</v>
      </c>
      <c r="I40" s="337"/>
      <c r="J40" s="168"/>
      <c r="K40" s="168"/>
      <c r="M40" s="359">
        <f t="shared" si="7"/>
        <v>0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490">
        <f>'[20]Sch C'!D26</f>
        <v>196284.62</v>
      </c>
      <c r="D41" s="490">
        <f>'[20]Sch C'!F26</f>
        <v>142.38</v>
      </c>
      <c r="E41" s="171">
        <f t="shared" si="4"/>
        <v>196427</v>
      </c>
      <c r="F41" s="171">
        <v>134734.59999999998</v>
      </c>
      <c r="G41" s="171">
        <f t="shared" si="5"/>
        <v>331161.59999999998</v>
      </c>
      <c r="H41" s="172">
        <f t="shared" si="6"/>
        <v>7.1988362133617451E-2</v>
      </c>
      <c r="I41" s="337"/>
      <c r="J41" s="168"/>
      <c r="K41" s="168"/>
      <c r="M41" s="359">
        <f t="shared" si="7"/>
        <v>13.675886846995663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490">
        <f>'[20]Sch C'!D27</f>
        <v>3238.82</v>
      </c>
      <c r="D42" s="490">
        <f>'[20]Sch C'!F27</f>
        <v>5590.79</v>
      </c>
      <c r="E42" s="171">
        <f t="shared" si="4"/>
        <v>8829.61</v>
      </c>
      <c r="F42" s="171">
        <v>3393.1950000000002</v>
      </c>
      <c r="G42" s="171">
        <f t="shared" si="5"/>
        <v>12222.805</v>
      </c>
      <c r="H42" s="172">
        <f t="shared" si="6"/>
        <v>2.6570100900242966E-3</v>
      </c>
      <c r="I42" s="337"/>
      <c r="J42" s="168"/>
      <c r="K42" s="168"/>
      <c r="M42" s="359">
        <f t="shared" si="7"/>
        <v>0.5047617179434235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490">
        <f>'[20]Sch C'!D28</f>
        <v>0</v>
      </c>
      <c r="D43" s="490">
        <f>'[20]Sch C'!F28</f>
        <v>0</v>
      </c>
      <c r="E43" s="171">
        <f t="shared" si="4"/>
        <v>0</v>
      </c>
      <c r="F43" s="171">
        <v>0</v>
      </c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490">
        <f>'[20]Sch C'!D29</f>
        <v>38788.29</v>
      </c>
      <c r="D44" s="490">
        <f>'[20]Sch C'!F29</f>
        <v>-38788.29</v>
      </c>
      <c r="E44" s="171">
        <f t="shared" si="4"/>
        <v>0</v>
      </c>
      <c r="F44" s="171">
        <v>0</v>
      </c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490">
        <f>'[20]Sch C'!D30</f>
        <v>0</v>
      </c>
      <c r="D45" s="490">
        <f>'[20]Sch C'!F30</f>
        <v>0</v>
      </c>
      <c r="E45" s="171">
        <f t="shared" si="4"/>
        <v>0</v>
      </c>
      <c r="F45" s="171">
        <v>0</v>
      </c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490">
        <f>'[20]Sch C'!D31</f>
        <v>0</v>
      </c>
      <c r="D46" s="490">
        <f>'[20]Sch C'!F31</f>
        <v>0</v>
      </c>
      <c r="E46" s="171">
        <f t="shared" si="4"/>
        <v>0</v>
      </c>
      <c r="F46" s="171">
        <v>0</v>
      </c>
      <c r="G46" s="171">
        <f t="shared" si="5"/>
        <v>0</v>
      </c>
      <c r="H46" s="172">
        <f t="shared" si="6"/>
        <v>0</v>
      </c>
      <c r="I46" s="337"/>
      <c r="J46" s="168"/>
      <c r="K46" s="168"/>
      <c r="M46" s="359">
        <f t="shared" si="7"/>
        <v>0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490">
        <f>'[20]Sch C'!D32</f>
        <v>25205.770000000004</v>
      </c>
      <c r="D47" s="490">
        <f>'[20]Sch C'!F32</f>
        <v>0</v>
      </c>
      <c r="E47" s="171">
        <f t="shared" si="4"/>
        <v>25205.770000000004</v>
      </c>
      <c r="F47" s="171">
        <v>28175.49</v>
      </c>
      <c r="G47" s="171">
        <f t="shared" si="5"/>
        <v>53381.260000000009</v>
      </c>
      <c r="H47" s="172">
        <f t="shared" si="6"/>
        <v>1.1604091404404342E-2</v>
      </c>
      <c r="I47" s="337"/>
      <c r="J47" s="168"/>
      <c r="K47" s="168"/>
      <c r="M47" s="359">
        <f t="shared" si="7"/>
        <v>2.2044707825727858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490">
        <f>'[20]Sch C'!D33</f>
        <v>0</v>
      </c>
      <c r="D48" s="490">
        <f>'[20]Sch C'!F33</f>
        <v>0</v>
      </c>
      <c r="E48" s="171">
        <f t="shared" si="4"/>
        <v>0</v>
      </c>
      <c r="F48" s="171">
        <v>0</v>
      </c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490">
        <f>'[20]Sch C'!D34</f>
        <v>0</v>
      </c>
      <c r="D49" s="490">
        <f>'[20]Sch C'!F34</f>
        <v>0</v>
      </c>
      <c r="E49" s="171">
        <f t="shared" si="4"/>
        <v>0</v>
      </c>
      <c r="F49" s="171">
        <v>0</v>
      </c>
      <c r="G49" s="171">
        <f t="shared" si="5"/>
        <v>0</v>
      </c>
      <c r="H49" s="172">
        <f t="shared" si="6"/>
        <v>0</v>
      </c>
      <c r="I49" s="337"/>
      <c r="J49" s="168"/>
      <c r="K49" s="168"/>
      <c r="M49" s="359">
        <f t="shared" si="7"/>
        <v>0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490">
        <f>'[20]Sch C'!D35</f>
        <v>0</v>
      </c>
      <c r="D50" s="490">
        <f>'[20]Sch C'!F35</f>
        <v>0</v>
      </c>
      <c r="E50" s="171">
        <f t="shared" si="4"/>
        <v>0</v>
      </c>
      <c r="F50" s="171">
        <v>0</v>
      </c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490">
        <f>'[20]Sch C'!D36</f>
        <v>0</v>
      </c>
      <c r="D51" s="490">
        <f>'[20]Sch C'!F36</f>
        <v>0</v>
      </c>
      <c r="E51" s="171">
        <f t="shared" si="4"/>
        <v>0</v>
      </c>
      <c r="F51" s="171">
        <v>0</v>
      </c>
      <c r="G51" s="171">
        <f t="shared" si="5"/>
        <v>0</v>
      </c>
      <c r="H51" s="172">
        <f t="shared" si="6"/>
        <v>0</v>
      </c>
      <c r="I51" s="337"/>
      <c r="J51" s="183">
        <v>0</v>
      </c>
      <c r="K51" s="183">
        <v>0</v>
      </c>
      <c r="M51" s="359">
        <f t="shared" si="7"/>
        <v>0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490">
        <f>'[20]Sch C'!D37</f>
        <v>0</v>
      </c>
      <c r="D52" s="490">
        <f>'[20]Sch C'!F37</f>
        <v>0</v>
      </c>
      <c r="E52" s="171">
        <f t="shared" si="4"/>
        <v>0</v>
      </c>
      <c r="F52" s="171">
        <v>0</v>
      </c>
      <c r="G52" s="171">
        <f t="shared" si="5"/>
        <v>0</v>
      </c>
      <c r="H52" s="172">
        <f t="shared" si="6"/>
        <v>0</v>
      </c>
      <c r="I52" s="337"/>
      <c r="J52" s="168"/>
      <c r="K52" s="168"/>
      <c r="M52" s="359">
        <f t="shared" si="7"/>
        <v>0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490">
        <f>'[20]Sch C'!D38</f>
        <v>0</v>
      </c>
      <c r="D53" s="490">
        <f>'[20]Sch C'!F38</f>
        <v>0</v>
      </c>
      <c r="E53" s="171">
        <f t="shared" si="4"/>
        <v>0</v>
      </c>
      <c r="F53" s="171">
        <v>0</v>
      </c>
      <c r="G53" s="171">
        <f t="shared" si="5"/>
        <v>0</v>
      </c>
      <c r="H53" s="172">
        <f t="shared" si="6"/>
        <v>0</v>
      </c>
      <c r="I53" s="337"/>
      <c r="J53" s="168"/>
      <c r="K53" s="168"/>
      <c r="M53" s="359">
        <f t="shared" si="7"/>
        <v>0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490">
        <f>'[20]Sch C'!D39</f>
        <v>6990.1</v>
      </c>
      <c r="D54" s="490">
        <f>'[20]Sch C'!F39</f>
        <v>174</v>
      </c>
      <c r="E54" s="171">
        <f t="shared" si="4"/>
        <v>7164.1</v>
      </c>
      <c r="F54" s="171">
        <v>6652.18</v>
      </c>
      <c r="G54" s="171">
        <f t="shared" si="5"/>
        <v>13816.28</v>
      </c>
      <c r="H54" s="172">
        <f t="shared" si="6"/>
        <v>3.0034018677873773E-3</v>
      </c>
      <c r="I54" s="337"/>
      <c r="J54" s="168"/>
      <c r="K54" s="168"/>
      <c r="M54" s="359">
        <f t="shared" si="7"/>
        <v>0.57056700392318815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490">
        <f>'[20]Sch C'!D40</f>
        <v>128.16999999999999</v>
      </c>
      <c r="D55" s="490">
        <f>'[20]Sch C'!F40</f>
        <v>-128.16999999999999</v>
      </c>
      <c r="E55" s="171">
        <f t="shared" si="4"/>
        <v>0</v>
      </c>
      <c r="F55" s="171">
        <v>0</v>
      </c>
      <c r="G55" s="171">
        <f t="shared" si="5"/>
        <v>0</v>
      </c>
      <c r="H55" s="172">
        <f t="shared" si="6"/>
        <v>0</v>
      </c>
      <c r="I55" s="337"/>
      <c r="J55" s="168"/>
      <c r="K55" s="168"/>
      <c r="M55" s="359">
        <f t="shared" si="7"/>
        <v>0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490">
        <f>'[20]Sch C'!D41</f>
        <v>4477.45</v>
      </c>
      <c r="D56" s="490">
        <f>'[20]Sch C'!F41</f>
        <v>21133</v>
      </c>
      <c r="E56" s="171">
        <f t="shared" si="4"/>
        <v>25610.45</v>
      </c>
      <c r="F56" s="496">
        <f>163676.26-159921</f>
        <v>3755.2600000000093</v>
      </c>
      <c r="G56" s="171">
        <f t="shared" si="5"/>
        <v>29365.71000000001</v>
      </c>
      <c r="H56" s="172">
        <f t="shared" si="6"/>
        <v>6.3835582561226675E-3</v>
      </c>
      <c r="I56" s="337"/>
      <c r="J56" s="168"/>
      <c r="K56" s="168"/>
      <c r="M56" s="359">
        <f t="shared" si="7"/>
        <v>1.2127074127606858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490">
        <f>'[20]Sch C'!D42</f>
        <v>2465.8199999999997</v>
      </c>
      <c r="D57" s="490">
        <f>'[20]Sch C'!F42</f>
        <v>0</v>
      </c>
      <c r="E57" s="171">
        <f t="shared" si="4"/>
        <v>2465.8199999999997</v>
      </c>
      <c r="F57" s="171">
        <v>0</v>
      </c>
      <c r="G57" s="171">
        <f t="shared" si="5"/>
        <v>2465.8199999999997</v>
      </c>
      <c r="H57" s="172">
        <f t="shared" si="6"/>
        <v>5.3602332853904737E-4</v>
      </c>
      <c r="I57" s="337"/>
      <c r="J57" s="168"/>
      <c r="K57" s="168"/>
      <c r="M57" s="359">
        <f t="shared" si="7"/>
        <v>0.10183027049349576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490">
        <f>'[20]Sch C'!D43</f>
        <v>0</v>
      </c>
      <c r="D58" s="490">
        <f>'[20]Sch C'!F43</f>
        <v>0</v>
      </c>
      <c r="E58" s="171">
        <f t="shared" si="4"/>
        <v>0</v>
      </c>
      <c r="F58" s="171">
        <v>0</v>
      </c>
      <c r="G58" s="171">
        <f t="shared" si="5"/>
        <v>0</v>
      </c>
      <c r="H58" s="172">
        <f t="shared" si="6"/>
        <v>0</v>
      </c>
      <c r="I58" s="337"/>
      <c r="J58" s="168"/>
      <c r="K58" s="168"/>
      <c r="M58" s="359">
        <f t="shared" si="7"/>
        <v>0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490">
        <f>'[20]Sch C'!D44</f>
        <v>0</v>
      </c>
      <c r="D59" s="490">
        <f>'[20]Sch C'!F44</f>
        <v>0</v>
      </c>
      <c r="E59" s="171">
        <f t="shared" si="4"/>
        <v>0</v>
      </c>
      <c r="F59" s="171">
        <v>0</v>
      </c>
      <c r="G59" s="171">
        <f t="shared" si="5"/>
        <v>0</v>
      </c>
      <c r="H59" s="172">
        <f t="shared" si="6"/>
        <v>0</v>
      </c>
      <c r="I59" s="337"/>
      <c r="J59" s="168"/>
      <c r="K59" s="168"/>
      <c r="M59" s="359">
        <f t="shared" si="7"/>
        <v>0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490">
        <f>'[20]Sch C'!D45</f>
        <v>662.79</v>
      </c>
      <c r="D60" s="490">
        <f>'[20]Sch C'!F45</f>
        <v>-19</v>
      </c>
      <c r="E60" s="171">
        <f t="shared" si="4"/>
        <v>643.79</v>
      </c>
      <c r="F60" s="171">
        <v>536.94000000000005</v>
      </c>
      <c r="G60" s="171">
        <f t="shared" si="5"/>
        <v>1180.73</v>
      </c>
      <c r="H60" s="172">
        <f t="shared" si="6"/>
        <v>2.5666870440904421E-4</v>
      </c>
      <c r="I60" s="337"/>
      <c r="J60" s="168"/>
      <c r="K60" s="168"/>
      <c r="M60" s="359">
        <f t="shared" si="7"/>
        <v>4.876027255833161E-2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490">
        <f>SUM(C25:C60)</f>
        <v>659461.696</v>
      </c>
      <c r="D61" s="490">
        <f>SUM(D25:D60)</f>
        <v>192190.47</v>
      </c>
      <c r="E61" s="171">
        <f t="shared" ref="E61:F61" si="8">SUM(E25:E60)</f>
        <v>851652.16599999997</v>
      </c>
      <c r="F61" s="171">
        <f t="shared" si="8"/>
        <v>438917.99499999994</v>
      </c>
      <c r="G61" s="171">
        <f>SUM(G25:G60)</f>
        <v>1290570.1609999998</v>
      </c>
      <c r="H61" s="186">
        <f t="shared" si="6"/>
        <v>0.28054590903326043</v>
      </c>
      <c r="I61" s="339"/>
      <c r="J61" s="168"/>
      <c r="K61" s="168"/>
      <c r="M61" s="364">
        <f>G61/G$228</f>
        <v>53.296310592607881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I62" s="340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490">
        <f>'[20]Sch C'!D57</f>
        <v>153578.88</v>
      </c>
      <c r="D64" s="490">
        <f>'[20]Sch C'!F57</f>
        <v>-153578.88</v>
      </c>
      <c r="E64" s="171">
        <f t="shared" ref="E64:E78" si="9">C64+D64</f>
        <v>0</v>
      </c>
      <c r="F64" s="496">
        <f>379600-379600</f>
        <v>0</v>
      </c>
      <c r="G64" s="171">
        <f t="shared" ref="G64:G78" si="10">E64+F64</f>
        <v>0</v>
      </c>
      <c r="H64" s="172">
        <f t="shared" ref="H64:H79" si="11">IF($G$208=0,0,G64/$G$208)</f>
        <v>0</v>
      </c>
      <c r="I64" s="337"/>
      <c r="J64" s="190"/>
      <c r="K64" s="168"/>
      <c r="M64" s="359">
        <f t="shared" ref="M64:M79" si="12">G64/G$228</f>
        <v>0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490">
        <f>'[20]Sch C'!D58</f>
        <v>5714.62</v>
      </c>
      <c r="D65" s="490">
        <f>'[20]Sch C'!F58</f>
        <v>32413.43</v>
      </c>
      <c r="E65" s="171">
        <f t="shared" si="9"/>
        <v>38128.050000000003</v>
      </c>
      <c r="F65" s="573">
        <v>21905</v>
      </c>
      <c r="G65" s="171">
        <f t="shared" si="10"/>
        <v>60033.05</v>
      </c>
      <c r="H65" s="172">
        <f t="shared" si="11"/>
        <v>1.3050066624226855E-2</v>
      </c>
      <c r="I65" s="337"/>
      <c r="J65" s="190"/>
      <c r="K65" s="168"/>
      <c r="M65" s="359">
        <f t="shared" si="12"/>
        <v>2.4791678711542433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490">
        <f>'[20]Sch C'!D59</f>
        <v>0</v>
      </c>
      <c r="D66" s="490">
        <f>'[20]Sch C'!F59</f>
        <v>97723.38</v>
      </c>
      <c r="E66" s="171">
        <f t="shared" si="9"/>
        <v>97723.38</v>
      </c>
      <c r="F66" s="573">
        <v>112694</v>
      </c>
      <c r="G66" s="171">
        <f t="shared" si="10"/>
        <v>210417.38</v>
      </c>
      <c r="H66" s="172">
        <f t="shared" si="11"/>
        <v>4.5740818230878812E-2</v>
      </c>
      <c r="I66" s="337"/>
      <c r="J66" s="190"/>
      <c r="K66" s="168"/>
      <c r="M66" s="359">
        <f t="shared" si="12"/>
        <v>8.689546975015487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490">
        <f>'[20]Sch C'!D60</f>
        <v>17588.02</v>
      </c>
      <c r="D67" s="490">
        <f>'[20]Sch C'!F60</f>
        <v>0</v>
      </c>
      <c r="E67" s="171">
        <f t="shared" si="9"/>
        <v>17588.02</v>
      </c>
      <c r="F67" s="496">
        <f>14937.5-1813</f>
        <v>13124.5</v>
      </c>
      <c r="G67" s="171">
        <f t="shared" si="10"/>
        <v>30712.52</v>
      </c>
      <c r="H67" s="172">
        <f t="shared" si="11"/>
        <v>6.6763296583781722E-3</v>
      </c>
      <c r="I67" s="337"/>
      <c r="J67" s="193"/>
      <c r="K67" s="168"/>
      <c r="M67" s="359">
        <f t="shared" si="12"/>
        <v>1.268326244063597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490">
        <f>'[20]Sch C'!D61</f>
        <v>6865.7199999999993</v>
      </c>
      <c r="D68" s="490">
        <f>'[20]Sch C'!F61</f>
        <v>3</v>
      </c>
      <c r="E68" s="171">
        <f t="shared" si="9"/>
        <v>6868.7199999999993</v>
      </c>
      <c r="F68" s="171">
        <v>4285.6400000000003</v>
      </c>
      <c r="G68" s="171">
        <f t="shared" si="10"/>
        <v>11154.36</v>
      </c>
      <c r="H68" s="172">
        <f t="shared" si="11"/>
        <v>2.4247500526894945E-3</v>
      </c>
      <c r="I68" s="337"/>
      <c r="J68" s="193"/>
      <c r="K68" s="168"/>
      <c r="M68" s="359">
        <f t="shared" si="12"/>
        <v>0.46063844724344416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490">
        <f>'[20]Sch C'!D62</f>
        <v>101.22000000000003</v>
      </c>
      <c r="D69" s="490">
        <f>'[20]Sch C'!F62</f>
        <v>46.43</v>
      </c>
      <c r="E69" s="171">
        <f t="shared" si="9"/>
        <v>147.65000000000003</v>
      </c>
      <c r="F69" s="171">
        <v>0</v>
      </c>
      <c r="G69" s="171">
        <f t="shared" si="10"/>
        <v>147.65000000000003</v>
      </c>
      <c r="H69" s="172">
        <f t="shared" si="11"/>
        <v>3.2096359206588626E-5</v>
      </c>
      <c r="I69" s="337"/>
      <c r="J69" s="195"/>
      <c r="K69" s="168"/>
      <c r="M69" s="359">
        <f t="shared" si="12"/>
        <v>6.0974602519099745E-3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490">
        <f>'[20]Sch C'!D63</f>
        <v>0</v>
      </c>
      <c r="D70" s="490">
        <f>'[20]Sch C'!F63</f>
        <v>0</v>
      </c>
      <c r="E70" s="171">
        <f t="shared" si="9"/>
        <v>0</v>
      </c>
      <c r="F70" s="171">
        <v>0</v>
      </c>
      <c r="G70" s="171">
        <f t="shared" si="10"/>
        <v>0</v>
      </c>
      <c r="H70" s="172">
        <f t="shared" si="11"/>
        <v>0</v>
      </c>
      <c r="I70" s="337"/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490">
        <f>'[20]Sch C'!D64</f>
        <v>0</v>
      </c>
      <c r="D71" s="490">
        <f>'[20]Sch C'!F64</f>
        <v>0</v>
      </c>
      <c r="E71" s="171">
        <f t="shared" si="9"/>
        <v>0</v>
      </c>
      <c r="F71" s="171">
        <v>0</v>
      </c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490">
        <f>'[20]Sch C'!D65</f>
        <v>0</v>
      </c>
      <c r="D72" s="490">
        <f>'[20]Sch C'!F65</f>
        <v>0</v>
      </c>
      <c r="E72" s="171">
        <f t="shared" si="9"/>
        <v>0</v>
      </c>
      <c r="F72" s="171">
        <v>0</v>
      </c>
      <c r="G72" s="171">
        <f t="shared" si="10"/>
        <v>0</v>
      </c>
      <c r="H72" s="172">
        <f t="shared" si="11"/>
        <v>0</v>
      </c>
      <c r="I72" s="337"/>
      <c r="J72" s="195"/>
      <c r="K72" s="168"/>
      <c r="M72" s="359">
        <f t="shared" si="12"/>
        <v>0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490">
        <f>'[20]Sch C'!D66</f>
        <v>0</v>
      </c>
      <c r="D73" s="490">
        <f>'[20]Sch C'!F66</f>
        <v>0</v>
      </c>
      <c r="E73" s="171">
        <f t="shared" si="9"/>
        <v>0</v>
      </c>
      <c r="F73" s="171">
        <v>0</v>
      </c>
      <c r="G73" s="171">
        <f t="shared" si="10"/>
        <v>0</v>
      </c>
      <c r="H73" s="172">
        <f t="shared" si="11"/>
        <v>0</v>
      </c>
      <c r="I73" s="337"/>
      <c r="J73" s="195"/>
      <c r="K73" s="168"/>
      <c r="M73" s="359">
        <f t="shared" si="12"/>
        <v>0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490">
        <f>'[20]Sch C'!D67</f>
        <v>13759.45</v>
      </c>
      <c r="D74" s="490">
        <f>'[20]Sch C'!F67</f>
        <v>45727.58</v>
      </c>
      <c r="E74" s="171">
        <f t="shared" si="9"/>
        <v>59487.03</v>
      </c>
      <c r="F74" s="573">
        <v>35360</v>
      </c>
      <c r="G74" s="171">
        <f t="shared" si="10"/>
        <v>94847.03</v>
      </c>
      <c r="H74" s="172">
        <f t="shared" si="11"/>
        <v>2.0617977274352096E-2</v>
      </c>
      <c r="I74" s="337"/>
      <c r="J74" s="195"/>
      <c r="K74" s="168"/>
      <c r="M74" s="359">
        <f t="shared" si="12"/>
        <v>3.9168709477596533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490">
        <f>'[20]Sch C'!D68</f>
        <v>0</v>
      </c>
      <c r="D75" s="490">
        <f>'[20]Sch C'!F68</f>
        <v>0</v>
      </c>
      <c r="E75" s="171">
        <f t="shared" si="9"/>
        <v>0</v>
      </c>
      <c r="F75" s="171">
        <v>0</v>
      </c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490">
        <f>'[20]Sch C'!D69</f>
        <v>0</v>
      </c>
      <c r="D76" s="490">
        <f>'[20]Sch C'!F69</f>
        <v>0</v>
      </c>
      <c r="E76" s="171">
        <f t="shared" si="9"/>
        <v>0</v>
      </c>
      <c r="F76" s="573">
        <v>1813</v>
      </c>
      <c r="G76" s="171">
        <f t="shared" si="10"/>
        <v>1813</v>
      </c>
      <c r="H76" s="172">
        <f t="shared" si="11"/>
        <v>3.9411242290243932E-4</v>
      </c>
      <c r="I76" s="337"/>
      <c r="J76" s="195"/>
      <c r="K76" s="168"/>
      <c r="M76" s="359">
        <f t="shared" si="12"/>
        <v>7.4870947759653111E-2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490">
        <f>'[20]Sch C'!D70</f>
        <v>0</v>
      </c>
      <c r="D77" s="490">
        <f>'[20]Sch C'!F70</f>
        <v>0</v>
      </c>
      <c r="E77" s="171">
        <f t="shared" si="9"/>
        <v>0</v>
      </c>
      <c r="F77" s="171">
        <v>0</v>
      </c>
      <c r="G77" s="171">
        <f t="shared" si="10"/>
        <v>0</v>
      </c>
      <c r="H77" s="172">
        <f t="shared" si="11"/>
        <v>0</v>
      </c>
      <c r="I77" s="337"/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490">
        <f>'[20]Sch C'!D71</f>
        <v>0</v>
      </c>
      <c r="D78" s="490">
        <f>'[20]Sch C'!F71</f>
        <v>0</v>
      </c>
      <c r="E78" s="171">
        <f t="shared" si="9"/>
        <v>0</v>
      </c>
      <c r="F78" s="171">
        <v>0</v>
      </c>
      <c r="G78" s="171">
        <f t="shared" si="10"/>
        <v>0</v>
      </c>
      <c r="H78" s="172">
        <f t="shared" si="11"/>
        <v>0</v>
      </c>
      <c r="I78" s="337"/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490">
        <f>SUM(C64:C78)</f>
        <v>197607.91</v>
      </c>
      <c r="D79" s="490">
        <f>SUM(D64:D78)</f>
        <v>22334.939999999995</v>
      </c>
      <c r="E79" s="171">
        <f t="shared" ref="E79:F79" si="13">SUM(E64:E78)</f>
        <v>219942.84999999998</v>
      </c>
      <c r="F79" s="171">
        <f t="shared" si="13"/>
        <v>189182.14</v>
      </c>
      <c r="G79" s="171">
        <f>SUM(G64:G78)</f>
        <v>409124.99</v>
      </c>
      <c r="H79" s="172">
        <f t="shared" si="11"/>
        <v>8.8936150622634449E-2</v>
      </c>
      <c r="I79" s="337"/>
      <c r="J79" s="195"/>
      <c r="K79" s="168"/>
      <c r="M79" s="359">
        <f t="shared" si="12"/>
        <v>16.895518893247985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490">
        <f>'[20]Sch C'!D75</f>
        <v>35580.920000000006</v>
      </c>
      <c r="D82" s="490">
        <f>'[20]Sch C'!F75</f>
        <v>0</v>
      </c>
      <c r="E82" s="171">
        <f t="shared" ref="E82:E92" si="14">C82+D82</f>
        <v>35580.920000000006</v>
      </c>
      <c r="F82" s="573">
        <v>25823</v>
      </c>
      <c r="G82" s="171">
        <f t="shared" ref="G82:G92" si="15">E82+F82</f>
        <v>61403.920000000006</v>
      </c>
      <c r="H82" s="172">
        <f t="shared" ref="H82:H93" si="16">IF($G$208=0,0,G82/$G$208)</f>
        <v>1.3348068222232518E-2</v>
      </c>
      <c r="I82" s="337"/>
      <c r="J82" s="183">
        <v>2322.7599999999998</v>
      </c>
      <c r="K82" s="183">
        <v>2413.7599999999998</v>
      </c>
      <c r="M82" s="359">
        <f t="shared" ref="M82:M92" si="17">G82/G$228</f>
        <v>2.5357803014660338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490">
        <f>'[20]Sch C'!D76</f>
        <v>5679.56</v>
      </c>
      <c r="D83" s="490">
        <f>'[20]Sch C'!F76</f>
        <v>0</v>
      </c>
      <c r="E83" s="171">
        <f t="shared" si="14"/>
        <v>5679.56</v>
      </c>
      <c r="F83" s="573">
        <v>4224</v>
      </c>
      <c r="G83" s="171">
        <f t="shared" si="15"/>
        <v>9903.5600000000013</v>
      </c>
      <c r="H83" s="172">
        <f t="shared" si="16"/>
        <v>2.1528494357196263E-3</v>
      </c>
      <c r="I83" s="337"/>
      <c r="J83" s="168"/>
      <c r="K83" s="168"/>
      <c r="M83" s="359">
        <f t="shared" si="17"/>
        <v>0.40898451373115841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490">
        <f>'[20]Sch C'!D77</f>
        <v>12390.349999999999</v>
      </c>
      <c r="D84" s="490">
        <f>'[20]Sch C'!F77</f>
        <v>0</v>
      </c>
      <c r="E84" s="171">
        <f t="shared" si="14"/>
        <v>12390.349999999999</v>
      </c>
      <c r="F84" s="171">
        <v>4196.91</v>
      </c>
      <c r="G84" s="171">
        <f t="shared" si="15"/>
        <v>16587.259999999998</v>
      </c>
      <c r="H84" s="172">
        <f t="shared" si="16"/>
        <v>3.6057612950428654E-3</v>
      </c>
      <c r="I84" s="337"/>
      <c r="J84" s="168"/>
      <c r="K84" s="168"/>
      <c r="M84" s="359">
        <f t="shared" si="17"/>
        <v>0.68499938054924625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490">
        <f>'[20]Sch C'!D78</f>
        <v>2711.4</v>
      </c>
      <c r="D85" s="490">
        <f>'[20]Sch C'!F78</f>
        <v>1659</v>
      </c>
      <c r="E85" s="171">
        <f t="shared" si="14"/>
        <v>4370.3999999999996</v>
      </c>
      <c r="F85" s="171">
        <v>2041.76</v>
      </c>
      <c r="G85" s="171">
        <f t="shared" si="15"/>
        <v>6412.16</v>
      </c>
      <c r="H85" s="172">
        <f t="shared" si="16"/>
        <v>1.3938841222493686E-3</v>
      </c>
      <c r="I85" s="337"/>
      <c r="J85" s="168"/>
      <c r="K85" s="168"/>
      <c r="M85" s="359">
        <f t="shared" si="17"/>
        <v>0.26480115630807349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490">
        <f>'[20]Sch C'!D79</f>
        <v>7800.16</v>
      </c>
      <c r="D86" s="490">
        <f>'[20]Sch C'!F79</f>
        <v>0</v>
      </c>
      <c r="E86" s="171">
        <f t="shared" si="14"/>
        <v>7800.16</v>
      </c>
      <c r="F86" s="171">
        <v>9486.59</v>
      </c>
      <c r="G86" s="171">
        <f>E86+F86</f>
        <v>17286.75</v>
      </c>
      <c r="H86" s="172">
        <f t="shared" si="16"/>
        <v>3.7578173891940118E-3</v>
      </c>
      <c r="I86" s="337"/>
      <c r="J86" s="168"/>
      <c r="K86" s="168"/>
      <c r="M86" s="359">
        <f t="shared" si="17"/>
        <v>0.71388602106132559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490">
        <f>'[20]Sch C'!D80</f>
        <v>5482.29</v>
      </c>
      <c r="D87" s="490">
        <f>'[20]Sch C'!F80</f>
        <v>0</v>
      </c>
      <c r="E87" s="171">
        <f t="shared" si="14"/>
        <v>5482.29</v>
      </c>
      <c r="F87" s="496">
        <f>35576.25-29758</f>
        <v>5818.25</v>
      </c>
      <c r="G87" s="171">
        <f t="shared" si="15"/>
        <v>11300.54</v>
      </c>
      <c r="H87" s="172">
        <f t="shared" si="16"/>
        <v>2.4565268612829188E-3</v>
      </c>
      <c r="I87" s="337"/>
      <c r="J87" s="168"/>
      <c r="K87" s="168"/>
      <c r="M87" s="359">
        <f t="shared" si="17"/>
        <v>0.46667520132149498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490">
        <f>'[20]Sch C'!D81</f>
        <v>2637.02</v>
      </c>
      <c r="D88" s="490">
        <f>'[20]Sch C'!F81</f>
        <v>0</v>
      </c>
      <c r="E88" s="171">
        <f t="shared" si="14"/>
        <v>2637.02</v>
      </c>
      <c r="F88" s="171">
        <v>2102.41</v>
      </c>
      <c r="G88" s="171">
        <f t="shared" si="15"/>
        <v>4739.43</v>
      </c>
      <c r="H88" s="172">
        <f t="shared" si="16"/>
        <v>1.0302637840466124E-3</v>
      </c>
      <c r="I88" s="337"/>
      <c r="J88" s="168"/>
      <c r="K88" s="168"/>
      <c r="M88" s="359">
        <f t="shared" si="17"/>
        <v>0.19572289902952716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490">
        <f>'[20]Sch C'!D82</f>
        <v>0</v>
      </c>
      <c r="D89" s="490">
        <f>'[20]Sch C'!F82</f>
        <v>0</v>
      </c>
      <c r="E89" s="171">
        <f t="shared" si="14"/>
        <v>0</v>
      </c>
      <c r="F89" s="171">
        <v>0</v>
      </c>
      <c r="G89" s="171">
        <f t="shared" si="15"/>
        <v>0</v>
      </c>
      <c r="H89" s="172">
        <f t="shared" si="16"/>
        <v>0</v>
      </c>
      <c r="I89" s="337"/>
      <c r="J89" s="168"/>
      <c r="K89" s="168"/>
      <c r="M89" s="359">
        <f t="shared" si="17"/>
        <v>0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490">
        <f>'[20]Sch C'!D83</f>
        <v>0</v>
      </c>
      <c r="D90" s="490">
        <f>'[20]Sch C'!F83</f>
        <v>0</v>
      </c>
      <c r="E90" s="171">
        <f t="shared" si="14"/>
        <v>0</v>
      </c>
      <c r="F90" s="171">
        <v>0</v>
      </c>
      <c r="G90" s="171">
        <f t="shared" si="15"/>
        <v>0</v>
      </c>
      <c r="H90" s="172">
        <f t="shared" si="16"/>
        <v>0</v>
      </c>
      <c r="I90" s="337"/>
      <c r="J90" s="168"/>
      <c r="K90" s="168"/>
      <c r="M90" s="359">
        <f t="shared" si="17"/>
        <v>0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490">
        <f>'[20]Sch C'!D84</f>
        <v>70565.650000000009</v>
      </c>
      <c r="D91" s="490">
        <f>'[20]Sch C'!F84</f>
        <v>78</v>
      </c>
      <c r="E91" s="171">
        <f t="shared" si="14"/>
        <v>70643.650000000009</v>
      </c>
      <c r="F91" s="171">
        <v>52274.119999999995</v>
      </c>
      <c r="G91" s="171">
        <f t="shared" si="15"/>
        <v>122917.77</v>
      </c>
      <c r="H91" s="172">
        <f t="shared" si="16"/>
        <v>2.6720033178414104E-2</v>
      </c>
      <c r="I91" s="337"/>
      <c r="J91" s="168"/>
      <c r="K91" s="168"/>
      <c r="M91" s="359">
        <f t="shared" si="17"/>
        <v>5.0761003510220943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490">
        <f>'[20]Sch C'!D85</f>
        <v>1.86</v>
      </c>
      <c r="D92" s="490">
        <f>'[20]Sch C'!F85</f>
        <v>0</v>
      </c>
      <c r="E92" s="171">
        <f t="shared" si="14"/>
        <v>1.86</v>
      </c>
      <c r="F92" s="171">
        <v>0</v>
      </c>
      <c r="G92" s="171">
        <f t="shared" si="15"/>
        <v>1.86</v>
      </c>
      <c r="H92" s="172">
        <f t="shared" si="16"/>
        <v>4.0432934726891187E-7</v>
      </c>
      <c r="I92" s="337"/>
      <c r="J92" s="168"/>
      <c r="K92" s="168"/>
      <c r="M92" s="359">
        <f t="shared" si="17"/>
        <v>7.6811893454470367E-5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490">
        <f>SUM(C82:C92)</f>
        <v>142849.21</v>
      </c>
      <c r="D93" s="490">
        <f>SUM(D82:D92)</f>
        <v>1737</v>
      </c>
      <c r="E93" s="171">
        <f t="shared" ref="E93:F93" si="18">SUM(E82:E92)</f>
        <v>144586.21</v>
      </c>
      <c r="F93" s="171">
        <f t="shared" si="18"/>
        <v>105967.04000000001</v>
      </c>
      <c r="G93" s="171">
        <f>SUM(G82:G92)</f>
        <v>250553.25</v>
      </c>
      <c r="H93" s="172">
        <f t="shared" si="16"/>
        <v>5.446560861752929E-2</v>
      </c>
      <c r="I93" s="337"/>
      <c r="J93" s="168"/>
      <c r="K93" s="168"/>
      <c r="M93" s="364">
        <f>G93/G$228</f>
        <v>10.347026636382408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490">
        <f>'[20]Sch C'!D89</f>
        <v>89080.650000000009</v>
      </c>
      <c r="D96" s="490">
        <f>'[20]Sch C'!F89</f>
        <v>0</v>
      </c>
      <c r="E96" s="171">
        <f t="shared" ref="E96:E101" si="19">C96+D96</f>
        <v>89080.650000000009</v>
      </c>
      <c r="F96" s="573">
        <v>61084</v>
      </c>
      <c r="G96" s="171">
        <f t="shared" ref="G96:G101" si="20">E96+F96</f>
        <v>150164.65000000002</v>
      </c>
      <c r="H96" s="172">
        <f t="shared" ref="H96:H102" si="21">IF($G$208=0,0,G96/$G$208)</f>
        <v>3.2642997267400331E-2</v>
      </c>
      <c r="I96" s="337"/>
      <c r="J96" s="183">
        <v>10267.349999999999</v>
      </c>
      <c r="K96" s="183">
        <v>10731.849999999999</v>
      </c>
      <c r="M96" s="364">
        <f t="shared" ref="M96:M101" si="22">G96/G$228</f>
        <v>6.2013070410902342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490">
        <f>'[20]Sch C'!D90</f>
        <v>20374.37</v>
      </c>
      <c r="D97" s="490">
        <f>'[20]Sch C'!F90</f>
        <v>0</v>
      </c>
      <c r="E97" s="171">
        <f t="shared" si="19"/>
        <v>20374.37</v>
      </c>
      <c r="F97" s="573">
        <v>13958</v>
      </c>
      <c r="G97" s="171">
        <f t="shared" si="20"/>
        <v>34332.369999999995</v>
      </c>
      <c r="H97" s="172">
        <f t="shared" si="21"/>
        <v>7.4632176087606281E-3</v>
      </c>
      <c r="I97" s="337"/>
      <c r="J97" s="168"/>
      <c r="K97" s="168"/>
      <c r="M97" s="364">
        <f t="shared" si="22"/>
        <v>1.4178141647739002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490">
        <f>'[20]Sch C'!D91</f>
        <v>11931</v>
      </c>
      <c r="D98" s="490">
        <f>'[20]Sch C'!F91</f>
        <v>0</v>
      </c>
      <c r="E98" s="171">
        <f t="shared" si="19"/>
        <v>11931</v>
      </c>
      <c r="F98" s="496">
        <f>83143.42-74629</f>
        <v>8514.4199999999983</v>
      </c>
      <c r="G98" s="171">
        <f t="shared" si="20"/>
        <v>20445.419999999998</v>
      </c>
      <c r="H98" s="172">
        <f t="shared" si="21"/>
        <v>4.4444533995907287E-3</v>
      </c>
      <c r="I98" s="337"/>
      <c r="J98" s="168"/>
      <c r="K98" s="168"/>
      <c r="M98" s="364">
        <f t="shared" si="22"/>
        <v>0.84432872186661156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490">
        <f>'[20]Sch C'!D92</f>
        <v>102080.19</v>
      </c>
      <c r="D99" s="490">
        <f>'[20]Sch C'!F92</f>
        <v>0</v>
      </c>
      <c r="E99" s="171">
        <f t="shared" si="19"/>
        <v>102080.19</v>
      </c>
      <c r="F99" s="171">
        <v>71317.58</v>
      </c>
      <c r="G99" s="171">
        <f t="shared" si="20"/>
        <v>173397.77000000002</v>
      </c>
      <c r="H99" s="172">
        <f t="shared" si="21"/>
        <v>3.7693444710744574E-2</v>
      </c>
      <c r="I99" s="337"/>
      <c r="J99" s="168"/>
      <c r="K99" s="168"/>
      <c r="M99" s="364">
        <f t="shared" si="22"/>
        <v>7.1607586206896556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490">
        <f>'[20]Sch C'!D93</f>
        <v>4233.0600000000004</v>
      </c>
      <c r="D100" s="490">
        <f>'[20]Sch C'!F93</f>
        <v>0</v>
      </c>
      <c r="E100" s="171">
        <f t="shared" si="19"/>
        <v>4233.0600000000004</v>
      </c>
      <c r="F100" s="171">
        <v>3589.11</v>
      </c>
      <c r="G100" s="171">
        <f t="shared" si="20"/>
        <v>7822.17</v>
      </c>
      <c r="H100" s="172">
        <f t="shared" si="21"/>
        <v>1.7003940270572389E-3</v>
      </c>
      <c r="I100" s="337"/>
      <c r="J100" s="168"/>
      <c r="K100" s="168"/>
      <c r="M100" s="364">
        <f t="shared" si="22"/>
        <v>0.32302994011976049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490">
        <f>'[20]Sch C'!D94</f>
        <v>6035.1900000000005</v>
      </c>
      <c r="D101" s="490">
        <f>'[20]Sch C'!F94</f>
        <v>0</v>
      </c>
      <c r="E101" s="171">
        <f t="shared" si="19"/>
        <v>6035.1900000000005</v>
      </c>
      <c r="F101" s="496">
        <f>6225.69-635</f>
        <v>5590.69</v>
      </c>
      <c r="G101" s="171">
        <f t="shared" si="20"/>
        <v>11625.880000000001</v>
      </c>
      <c r="H101" s="172">
        <f t="shared" si="21"/>
        <v>2.5272497160358587E-3</v>
      </c>
      <c r="I101" s="337"/>
      <c r="J101" s="168"/>
      <c r="K101" s="168"/>
      <c r="M101" s="364">
        <f t="shared" si="22"/>
        <v>0.48011067520132156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490">
        <f>SUM(C96:C101)</f>
        <v>233734.46000000002</v>
      </c>
      <c r="D102" s="490">
        <f>SUM(D96:D101)</f>
        <v>0</v>
      </c>
      <c r="E102" s="171">
        <f t="shared" ref="E102:F102" si="23">SUM(E96:E101)</f>
        <v>233734.46000000002</v>
      </c>
      <c r="F102" s="171">
        <f t="shared" si="23"/>
        <v>164053.79999999999</v>
      </c>
      <c r="G102" s="171">
        <f>SUM(G96:G101)</f>
        <v>397788.26</v>
      </c>
      <c r="H102" s="172">
        <f t="shared" si="21"/>
        <v>8.6471756729589358E-2</v>
      </c>
      <c r="I102" s="337"/>
      <c r="J102" s="168"/>
      <c r="K102" s="168"/>
      <c r="M102" s="364">
        <f>G102/G$228</f>
        <v>16.427349163741482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490">
        <f>'[20]Sch C'!D98</f>
        <v>15355.800000000001</v>
      </c>
      <c r="D105" s="490">
        <f>'[20]Sch C'!F98</f>
        <v>0</v>
      </c>
      <c r="E105" s="171">
        <f t="shared" ref="E105:E110" si="24">C105+D105</f>
        <v>15355.800000000001</v>
      </c>
      <c r="F105" s="573">
        <v>11384</v>
      </c>
      <c r="G105" s="171">
        <f t="shared" ref="G105:G110" si="25">E105+F105</f>
        <v>26739.800000000003</v>
      </c>
      <c r="H105" s="172">
        <f t="shared" ref="H105:H111" si="26">IF($G$208=0,0,G105/$G$208)</f>
        <v>5.8127343441404565E-3</v>
      </c>
      <c r="I105" s="337"/>
      <c r="J105" s="183">
        <v>1813.3700000000001</v>
      </c>
      <c r="K105" s="183">
        <v>2019.9</v>
      </c>
      <c r="M105" s="364">
        <f t="shared" ref="M105:M110" si="27">G105/G$228</f>
        <v>1.104265950856907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490">
        <f>'[20]Sch C'!D99</f>
        <v>3191.7699999999995</v>
      </c>
      <c r="D106" s="490">
        <f>'[20]Sch C'!F99</f>
        <v>0</v>
      </c>
      <c r="E106" s="171">
        <f t="shared" si="24"/>
        <v>3191.7699999999995</v>
      </c>
      <c r="F106" s="573">
        <v>2773</v>
      </c>
      <c r="G106" s="171">
        <f t="shared" si="25"/>
        <v>5964.7699999999995</v>
      </c>
      <c r="H106" s="172">
        <f t="shared" si="26"/>
        <v>1.2966298713490254E-3</v>
      </c>
      <c r="I106" s="337"/>
      <c r="J106" s="168"/>
      <c r="K106" s="168"/>
      <c r="M106" s="364">
        <f t="shared" si="27"/>
        <v>0.24632541812925871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490">
        <f>'[20]Sch C'!D100</f>
        <v>5655.62</v>
      </c>
      <c r="D107" s="490">
        <f>'[20]Sch C'!F100</f>
        <v>0</v>
      </c>
      <c r="E107" s="171">
        <f t="shared" si="24"/>
        <v>5655.62</v>
      </c>
      <c r="F107" s="171">
        <v>4552.99</v>
      </c>
      <c r="G107" s="171">
        <f t="shared" si="25"/>
        <v>10208.61</v>
      </c>
      <c r="H107" s="172">
        <f t="shared" si="26"/>
        <v>2.2191616224854229E-3</v>
      </c>
      <c r="I107" s="337"/>
      <c r="J107" s="168"/>
      <c r="K107" s="168"/>
      <c r="M107" s="364">
        <f t="shared" si="27"/>
        <v>0.42158207722486063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490">
        <f>'[20]Sch C'!D101</f>
        <v>0</v>
      </c>
      <c r="D108" s="490">
        <f>'[20]Sch C'!F101</f>
        <v>0</v>
      </c>
      <c r="E108" s="171">
        <f t="shared" si="24"/>
        <v>0</v>
      </c>
      <c r="F108" s="496">
        <f>13960.91-13960.91</f>
        <v>0</v>
      </c>
      <c r="G108" s="171">
        <f t="shared" si="25"/>
        <v>0</v>
      </c>
      <c r="H108" s="172">
        <f t="shared" si="26"/>
        <v>0</v>
      </c>
      <c r="I108" s="337"/>
      <c r="J108" s="168"/>
      <c r="K108" s="168"/>
      <c r="M108" s="364">
        <f t="shared" si="27"/>
        <v>0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490">
        <f>'[20]Sch C'!D102</f>
        <v>2171.88</v>
      </c>
      <c r="D109" s="490">
        <f>'[20]Sch C'!F102</f>
        <v>0</v>
      </c>
      <c r="E109" s="171">
        <f t="shared" si="24"/>
        <v>2171.88</v>
      </c>
      <c r="F109" s="171">
        <v>1803.77</v>
      </c>
      <c r="G109" s="171">
        <f t="shared" si="25"/>
        <v>3975.65</v>
      </c>
      <c r="H109" s="172">
        <f t="shared" si="26"/>
        <v>8.6423224165034908E-4</v>
      </c>
      <c r="I109" s="337"/>
      <c r="J109" s="168"/>
      <c r="K109" s="168"/>
      <c r="M109" s="364">
        <f t="shared" si="27"/>
        <v>0.16418129258723932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490">
        <f>'[20]Sch C'!D103</f>
        <v>0.86</v>
      </c>
      <c r="D110" s="490">
        <f>'[20]Sch C'!F103</f>
        <v>0</v>
      </c>
      <c r="E110" s="171">
        <f t="shared" si="24"/>
        <v>0.86</v>
      </c>
      <c r="F110" s="171">
        <v>0</v>
      </c>
      <c r="G110" s="171">
        <f t="shared" si="25"/>
        <v>0.86</v>
      </c>
      <c r="H110" s="172">
        <f t="shared" si="26"/>
        <v>1.8694797776949686E-7</v>
      </c>
      <c r="I110" s="337"/>
      <c r="J110" s="168"/>
      <c r="K110" s="168"/>
      <c r="M110" s="364">
        <f t="shared" si="27"/>
        <v>3.5515176543464792E-5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490">
        <f>SUM(C105:C110)</f>
        <v>26375.93</v>
      </c>
      <c r="D111" s="490">
        <f>SUM(D105:D110)</f>
        <v>0</v>
      </c>
      <c r="E111" s="171">
        <f t="shared" ref="E111:F111" si="28">SUM(E105:E110)</f>
        <v>26375.93</v>
      </c>
      <c r="F111" s="171">
        <f t="shared" si="28"/>
        <v>20513.759999999998</v>
      </c>
      <c r="G111" s="171">
        <f>SUM(G105:G110)</f>
        <v>46889.69000000001</v>
      </c>
      <c r="H111" s="172">
        <f t="shared" si="26"/>
        <v>1.0192945027603024E-2</v>
      </c>
      <c r="I111" s="337"/>
      <c r="J111" s="168"/>
      <c r="K111" s="168"/>
      <c r="M111" s="364">
        <f>G111/G$228</f>
        <v>1.9363902539748095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490">
        <f>'[20]Sch C'!D115</f>
        <v>51944.51</v>
      </c>
      <c r="D114" s="490">
        <f>'[20]Sch C'!F115</f>
        <v>0</v>
      </c>
      <c r="E114" s="171">
        <f t="shared" ref="E114:E118" si="29">C114+D114</f>
        <v>51944.51</v>
      </c>
      <c r="F114" s="573">
        <v>38058</v>
      </c>
      <c r="G114" s="171">
        <f>E114+F114</f>
        <v>90002.510000000009</v>
      </c>
      <c r="H114" s="172">
        <f t="shared" ref="H114:H119" si="30">IF($G$208=0,0,G114/$G$208)</f>
        <v>1.9564868882184793E-2</v>
      </c>
      <c r="I114" s="337"/>
      <c r="J114" s="183">
        <v>5739.2000000000007</v>
      </c>
      <c r="K114" s="183">
        <v>6150.2000000000007</v>
      </c>
      <c r="M114" s="364">
        <f t="shared" ref="M114:M119" si="31">G114/G$228</f>
        <v>3.7168081767499488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490">
        <f>'[20]Sch C'!D116</f>
        <v>9503.4300000000021</v>
      </c>
      <c r="D115" s="490">
        <f>'[20]Sch C'!F116</f>
        <v>0</v>
      </c>
      <c r="E115" s="171">
        <f t="shared" si="29"/>
        <v>9503.4300000000021</v>
      </c>
      <c r="F115" s="573">
        <v>7953</v>
      </c>
      <c r="G115" s="171">
        <f>E115+F115</f>
        <v>17456.43</v>
      </c>
      <c r="H115" s="172">
        <f t="shared" si="30"/>
        <v>3.7947026599706724E-3</v>
      </c>
      <c r="I115" s="337"/>
      <c r="J115" s="168"/>
      <c r="K115" s="168"/>
      <c r="M115" s="364">
        <f t="shared" si="31"/>
        <v>0.72089324798678511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490">
        <f>'[20]Sch C'!D117</f>
        <v>11683.05</v>
      </c>
      <c r="D116" s="490">
        <f>'[20]Sch C'!F117</f>
        <v>0</v>
      </c>
      <c r="E116" s="171">
        <f t="shared" si="29"/>
        <v>11683.05</v>
      </c>
      <c r="F116" s="171">
        <v>8914.34</v>
      </c>
      <c r="G116" s="171">
        <f>E116+F116</f>
        <v>20597.39</v>
      </c>
      <c r="H116" s="172">
        <f t="shared" si="30"/>
        <v>4.4774888463135548E-3</v>
      </c>
      <c r="I116" s="337"/>
      <c r="J116" s="168"/>
      <c r="K116" s="168"/>
      <c r="M116" s="364">
        <f t="shared" si="31"/>
        <v>0.85060458393557714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490">
        <f>'[20]Sch C'!D118</f>
        <v>405.78000000000003</v>
      </c>
      <c r="D117" s="490">
        <f>'[20]Sch C'!F118</f>
        <v>0</v>
      </c>
      <c r="E117" s="171">
        <f t="shared" si="29"/>
        <v>405.78000000000003</v>
      </c>
      <c r="F117" s="496">
        <f>46275-46043</f>
        <v>232</v>
      </c>
      <c r="G117" s="171">
        <f>E117+F117</f>
        <v>637.78</v>
      </c>
      <c r="H117" s="172">
        <f t="shared" si="30"/>
        <v>1.3864148983933687E-4</v>
      </c>
      <c r="I117" s="337"/>
      <c r="J117" s="168"/>
      <c r="K117" s="168"/>
      <c r="M117" s="364">
        <f t="shared" si="31"/>
        <v>2.6338220111501134E-2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490">
        <f>'[20]Sch C'!D119</f>
        <v>199.72</v>
      </c>
      <c r="D118" s="490">
        <f>'[20]Sch C'!F119</f>
        <v>0</v>
      </c>
      <c r="E118" s="171">
        <f t="shared" si="29"/>
        <v>199.72</v>
      </c>
      <c r="F118" s="171">
        <v>101.25</v>
      </c>
      <c r="G118" s="171">
        <f>E118+F118</f>
        <v>300.97000000000003</v>
      </c>
      <c r="H118" s="172">
        <f t="shared" si="30"/>
        <v>6.5425270778238933E-5</v>
      </c>
      <c r="I118" s="337"/>
      <c r="J118" s="168"/>
      <c r="K118" s="168"/>
      <c r="M118" s="364">
        <f t="shared" si="31"/>
        <v>1.2429072888705348E-2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490">
        <f>SUM(C114:C118)</f>
        <v>73736.490000000005</v>
      </c>
      <c r="D119" s="490">
        <f>SUM(D114:D118)</f>
        <v>0</v>
      </c>
      <c r="E119" s="171">
        <f t="shared" ref="E119:F119" si="32">SUM(E114:E118)</f>
        <v>73736.490000000005</v>
      </c>
      <c r="F119" s="171">
        <f t="shared" si="32"/>
        <v>55258.59</v>
      </c>
      <c r="G119" s="171">
        <f>SUM(G114:G118)</f>
        <v>128995.08</v>
      </c>
      <c r="H119" s="172">
        <f t="shared" si="30"/>
        <v>2.8041127149086593E-2</v>
      </c>
      <c r="I119" s="337"/>
      <c r="J119" s="168"/>
      <c r="K119" s="168"/>
      <c r="M119" s="364">
        <f t="shared" si="31"/>
        <v>5.3270733016725167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1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490">
        <f>'[20]Sch C'!D124</f>
        <v>60917.520000000004</v>
      </c>
      <c r="D123" s="490">
        <f>'[20]Sch C'!F124</f>
        <v>0</v>
      </c>
      <c r="E123" s="171">
        <f t="shared" ref="E123:E127" si="33">C123+D123</f>
        <v>60917.520000000004</v>
      </c>
      <c r="F123" s="573">
        <v>31647</v>
      </c>
      <c r="G123" s="171">
        <f>E123+F123</f>
        <v>92564.52</v>
      </c>
      <c r="H123" s="172">
        <f>IF($G$208=0,0,G123/$G$208)</f>
        <v>2.0121802124655988E-2</v>
      </c>
      <c r="I123" s="337"/>
      <c r="J123" s="183">
        <v>1500.8400000000001</v>
      </c>
      <c r="K123" s="183">
        <v>1516.8400000000001</v>
      </c>
      <c r="M123" s="364">
        <f t="shared" ref="M123:M160" si="34">G123/G$228</f>
        <v>3.822610778443114</v>
      </c>
      <c r="N123" s="359">
        <f>SUMMARY!J126</f>
        <v>0.77002560279620991</v>
      </c>
    </row>
    <row r="124" spans="1:14" s="167" customFormat="1">
      <c r="B124" s="163" t="s">
        <v>194</v>
      </c>
      <c r="C124" s="490">
        <f>'[20]Sch C'!D125</f>
        <v>20314.59</v>
      </c>
      <c r="D124" s="490">
        <f>'[20]Sch C'!F125</f>
        <v>0</v>
      </c>
      <c r="E124" s="171">
        <f t="shared" si="33"/>
        <v>20314.59</v>
      </c>
      <c r="F124" s="171">
        <v>0</v>
      </c>
      <c r="G124" s="171">
        <f>E124+F124</f>
        <v>20314.59</v>
      </c>
      <c r="H124" s="172">
        <f>IF($G$208=0,0,G124/$G$208)</f>
        <v>4.4160133950191206E-3</v>
      </c>
      <c r="I124" s="337"/>
      <c r="J124" s="183">
        <v>1080.93</v>
      </c>
      <c r="K124" s="183">
        <v>1181.93</v>
      </c>
      <c r="M124" s="364">
        <f t="shared" si="34"/>
        <v>0.83892587239314476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490">
        <f>'[20]Sch C'!D126</f>
        <v>0</v>
      </c>
      <c r="D125" s="490">
        <f>'[20]Sch C'!F126</f>
        <v>0</v>
      </c>
      <c r="E125" s="171">
        <f t="shared" si="33"/>
        <v>0</v>
      </c>
      <c r="F125" s="171">
        <v>0</v>
      </c>
      <c r="G125" s="171">
        <f>E125+F125</f>
        <v>0</v>
      </c>
      <c r="H125" s="172">
        <f>IF($G$208=0,0,G125/$G$208)</f>
        <v>0</v>
      </c>
      <c r="I125" s="337"/>
      <c r="J125" s="183">
        <v>0</v>
      </c>
      <c r="K125" s="183">
        <v>0</v>
      </c>
      <c r="M125" s="364">
        <f t="shared" si="34"/>
        <v>0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490">
        <f>'[20]Sch C'!D127</f>
        <v>0</v>
      </c>
      <c r="D126" s="490">
        <f>'[20]Sch C'!F127</f>
        <v>0</v>
      </c>
      <c r="E126" s="171">
        <f t="shared" si="33"/>
        <v>0</v>
      </c>
      <c r="F126" s="171">
        <v>0</v>
      </c>
      <c r="G126" s="171">
        <f>E126+F126</f>
        <v>0</v>
      </c>
      <c r="H126" s="172">
        <f>IF($G$208=0,0,G126/$G$208)</f>
        <v>0</v>
      </c>
      <c r="I126" s="337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490">
        <f>'[20]Sch C'!D128</f>
        <v>31517.68</v>
      </c>
      <c r="D127" s="490">
        <f>'[20]Sch C'!F128</f>
        <v>0</v>
      </c>
      <c r="E127" s="171">
        <f t="shared" si="33"/>
        <v>31517.68</v>
      </c>
      <c r="F127" s="573">
        <v>42768</v>
      </c>
      <c r="G127" s="171">
        <f>E127+F127</f>
        <v>74285.679999999993</v>
      </c>
      <c r="H127" s="172">
        <f>IF($G$208=0,0,G127/$G$208)</f>
        <v>1.61483228525953E-2</v>
      </c>
      <c r="I127" s="337"/>
      <c r="J127" s="183">
        <v>2345.98</v>
      </c>
      <c r="K127" s="183">
        <v>2473.9799999999996</v>
      </c>
      <c r="M127" s="364">
        <f t="shared" si="34"/>
        <v>3.0677546975015484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205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490">
        <f>'[20]Sch C'!D130</f>
        <v>14137.45</v>
      </c>
      <c r="D129" s="490">
        <f>'[20]Sch C'!F130</f>
        <v>0</v>
      </c>
      <c r="E129" s="171">
        <f t="shared" ref="E129:E133" si="35">C129+D129</f>
        <v>14137.45</v>
      </c>
      <c r="F129" s="573">
        <v>7024</v>
      </c>
      <c r="G129" s="171">
        <f>E129+F129</f>
        <v>21161.45</v>
      </c>
      <c r="H129" s="172">
        <f>IF($G$208=0,0,G129/$G$208)</f>
        <v>4.6001049815933949E-3</v>
      </c>
      <c r="I129" s="337"/>
      <c r="J129" s="204"/>
      <c r="K129" s="204"/>
      <c r="M129" s="364">
        <f t="shared" si="34"/>
        <v>0.8738984100763989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490">
        <f>'[20]Sch C'!D131</f>
        <v>4714.5200000000004</v>
      </c>
      <c r="D130" s="490">
        <f>'[20]Sch C'!F131</f>
        <v>0</v>
      </c>
      <c r="E130" s="171">
        <f t="shared" si="35"/>
        <v>4714.5200000000004</v>
      </c>
      <c r="F130" s="171">
        <v>0</v>
      </c>
      <c r="G130" s="171">
        <f>E130+F130</f>
        <v>4714.5200000000004</v>
      </c>
      <c r="H130" s="172">
        <f>IF($G$208=0,0,G130/$G$208)</f>
        <v>1.024848814132382E-3</v>
      </c>
      <c r="I130" s="337"/>
      <c r="J130" s="204"/>
      <c r="K130" s="204"/>
      <c r="M130" s="364">
        <f t="shared" si="34"/>
        <v>0.19469419781127403</v>
      </c>
      <c r="N130" s="359">
        <f>SUMMARY!J133</f>
        <v>1.0792348507966931</v>
      </c>
    </row>
    <row r="131" spans="1:14" s="167" customFormat="1">
      <c r="B131" s="163" t="s">
        <v>195</v>
      </c>
      <c r="C131" s="490">
        <f>'[20]Sch C'!D132</f>
        <v>0</v>
      </c>
      <c r="D131" s="490">
        <f>'[20]Sch C'!F132</f>
        <v>0</v>
      </c>
      <c r="E131" s="171">
        <f t="shared" si="35"/>
        <v>0</v>
      </c>
      <c r="F131" s="171">
        <v>0</v>
      </c>
      <c r="G131" s="171">
        <f>E131+F131</f>
        <v>0</v>
      </c>
      <c r="H131" s="172">
        <f>IF($G$208=0,0,G131/$G$208)</f>
        <v>0</v>
      </c>
      <c r="I131" s="337"/>
      <c r="J131" s="168"/>
      <c r="K131" s="168"/>
      <c r="M131" s="364">
        <f t="shared" si="34"/>
        <v>0</v>
      </c>
      <c r="N131" s="359">
        <f>SUMMARY!J134</f>
        <v>8.2765628075518377E-2</v>
      </c>
    </row>
    <row r="132" spans="1:14" s="167" customFormat="1">
      <c r="B132" s="163" t="s">
        <v>196</v>
      </c>
      <c r="C132" s="490">
        <f>'[20]Sch C'!D133</f>
        <v>0</v>
      </c>
      <c r="D132" s="490">
        <f>'[20]Sch C'!F133</f>
        <v>0</v>
      </c>
      <c r="E132" s="171">
        <f t="shared" si="35"/>
        <v>0</v>
      </c>
      <c r="F132" s="171">
        <v>0</v>
      </c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490">
        <f>'[20]Sch C'!D134</f>
        <v>6211.15</v>
      </c>
      <c r="D133" s="490">
        <f>'[20]Sch C'!F134</f>
        <v>0</v>
      </c>
      <c r="E133" s="171">
        <f t="shared" si="35"/>
        <v>6211.15</v>
      </c>
      <c r="F133" s="573">
        <v>9492</v>
      </c>
      <c r="G133" s="171">
        <f>E133+F133</f>
        <v>15703.15</v>
      </c>
      <c r="H133" s="172">
        <f>IF($G$208=0,0,G133/$G$208)</f>
        <v>3.4135722524547382E-3</v>
      </c>
      <c r="I133" s="337"/>
      <c r="J133" s="168"/>
      <c r="K133" s="168"/>
      <c r="M133" s="364">
        <f t="shared" si="34"/>
        <v>0.64848854016105717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490">
        <f>'[20]Sch C'!D136</f>
        <v>152844.80000000002</v>
      </c>
      <c r="D135" s="490">
        <f>'[20]Sch C'!F136</f>
        <v>0</v>
      </c>
      <c r="E135" s="171">
        <f t="shared" ref="E135:E138" si="36">C135+D135</f>
        <v>152844.80000000002</v>
      </c>
      <c r="F135" s="573">
        <v>128858</v>
      </c>
      <c r="G135" s="171">
        <f>E135+F135</f>
        <v>281702.80000000005</v>
      </c>
      <c r="H135" s="172">
        <f>IF($G$208=0,0,G135/$G$208)</f>
        <v>6.1236940455819802E-2</v>
      </c>
      <c r="I135" s="337"/>
      <c r="J135" s="183">
        <v>6189.5599999999995</v>
      </c>
      <c r="K135" s="183">
        <v>6375.5599999999995</v>
      </c>
      <c r="M135" s="364">
        <f t="shared" si="34"/>
        <v>11.633400784637622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490">
        <f>'[20]Sch C'!D137</f>
        <v>105054.94</v>
      </c>
      <c r="D136" s="490">
        <f>'[20]Sch C'!F137</f>
        <v>0</v>
      </c>
      <c r="E136" s="171">
        <f t="shared" si="36"/>
        <v>105054.94</v>
      </c>
      <c r="F136" s="573">
        <v>58199</v>
      </c>
      <c r="G136" s="171">
        <f>E136+F136</f>
        <v>163253.94</v>
      </c>
      <c r="H136" s="172">
        <f>IF($G$208=0,0,G136/$G$208)</f>
        <v>3.5488365053375319E-2</v>
      </c>
      <c r="I136" s="337"/>
      <c r="J136" s="183">
        <v>6006.95</v>
      </c>
      <c r="K136" s="183">
        <v>6185.87</v>
      </c>
      <c r="M136" s="364">
        <f t="shared" si="34"/>
        <v>6.74185174478629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490">
        <f>'[20]Sch C'!D138</f>
        <v>297850.42000000004</v>
      </c>
      <c r="D137" s="490">
        <f>'[20]Sch C'!F138</f>
        <v>0</v>
      </c>
      <c r="E137" s="171">
        <f t="shared" si="36"/>
        <v>297850.42000000004</v>
      </c>
      <c r="F137" s="573">
        <v>224221</v>
      </c>
      <c r="G137" s="171">
        <f>E137+F137</f>
        <v>522071.42000000004</v>
      </c>
      <c r="H137" s="172">
        <f>IF($G$208=0,0,G137/$G$208)</f>
        <v>0.11348860025610427</v>
      </c>
      <c r="I137" s="337"/>
      <c r="J137" s="183">
        <v>28732.880000000001</v>
      </c>
      <c r="K137" s="183">
        <v>29674.86</v>
      </c>
      <c r="M137" s="364">
        <f t="shared" si="34"/>
        <v>21.559835639066694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490">
        <f>'[20]Sch C'!D139</f>
        <v>11126.55</v>
      </c>
      <c r="D138" s="490">
        <f>'[20]Sch C'!F139</f>
        <v>0</v>
      </c>
      <c r="E138" s="171">
        <f t="shared" si="36"/>
        <v>11126.55</v>
      </c>
      <c r="F138" s="171">
        <v>0</v>
      </c>
      <c r="G138" s="171">
        <f>E138+F138</f>
        <v>11126.55</v>
      </c>
      <c r="H138" s="172">
        <f>IF($G$208=0,0,G138/$G$208)</f>
        <v>2.4187046768037153E-3</v>
      </c>
      <c r="I138" s="337"/>
      <c r="J138" s="183">
        <v>1178.6399999999999</v>
      </c>
      <c r="K138" s="183">
        <v>1255.33</v>
      </c>
      <c r="M138" s="364">
        <f t="shared" si="34"/>
        <v>0.45948998554614906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7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490">
        <f>'[20]Sch C'!D141</f>
        <v>35471.49</v>
      </c>
      <c r="D140" s="490">
        <f>'[20]Sch C'!F141</f>
        <v>0</v>
      </c>
      <c r="E140" s="171">
        <f t="shared" ref="E140:E143" si="37">C140+D140</f>
        <v>35471.49</v>
      </c>
      <c r="F140" s="573">
        <v>28599</v>
      </c>
      <c r="G140" s="171">
        <f>E140+F140</f>
        <v>64070.49</v>
      </c>
      <c r="H140" s="172">
        <f>IF($G$208=0,0,G140/$G$208)</f>
        <v>1.3927730860698571E-2</v>
      </c>
      <c r="I140" s="337"/>
      <c r="J140" s="168"/>
      <c r="K140" s="168"/>
      <c r="M140" s="364">
        <f t="shared" si="34"/>
        <v>2.6459008878794137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490">
        <f>'[20]Sch C'!D142</f>
        <v>24380.65</v>
      </c>
      <c r="D141" s="490">
        <f>'[20]Sch C'!F142</f>
        <v>0</v>
      </c>
      <c r="E141" s="171">
        <f t="shared" si="37"/>
        <v>24380.65</v>
      </c>
      <c r="F141" s="573">
        <v>12917</v>
      </c>
      <c r="G141" s="171">
        <f>E141+F141</f>
        <v>37297.65</v>
      </c>
      <c r="H141" s="172">
        <f>IF($G$208=0,0,G141/$G$208)</f>
        <v>8.1078142361098553E-3</v>
      </c>
      <c r="I141" s="337"/>
      <c r="J141" s="168"/>
      <c r="K141" s="168"/>
      <c r="M141" s="364">
        <f t="shared" si="34"/>
        <v>1.5402704934957672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490">
        <f>'[20]Sch C'!D143</f>
        <v>69123.69</v>
      </c>
      <c r="D142" s="490">
        <f>'[20]Sch C'!F143</f>
        <v>0</v>
      </c>
      <c r="E142" s="171">
        <f t="shared" si="37"/>
        <v>69123.69</v>
      </c>
      <c r="F142" s="573">
        <v>49765</v>
      </c>
      <c r="G142" s="171">
        <f>E142+F142</f>
        <v>118888.69</v>
      </c>
      <c r="H142" s="172">
        <f>IF($G$208=0,0,G142/$G$208)</f>
        <v>2.58441862501914E-2</v>
      </c>
      <c r="I142" s="337"/>
      <c r="J142" s="168"/>
      <c r="K142" s="168"/>
      <c r="M142" s="364">
        <f t="shared" si="34"/>
        <v>4.9097125748502997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490">
        <f>'[20]Sch C'!D144</f>
        <v>2582.1999999999998</v>
      </c>
      <c r="D143" s="490">
        <f>'[20]Sch C'!F144</f>
        <v>0</v>
      </c>
      <c r="E143" s="171">
        <f t="shared" si="37"/>
        <v>2582.1999999999998</v>
      </c>
      <c r="F143" s="171">
        <v>0</v>
      </c>
      <c r="G143" s="171">
        <f>E143+F143</f>
        <v>2582.1999999999998</v>
      </c>
      <c r="H143" s="172">
        <f>IF($G$208=0,0,G143/$G$208)</f>
        <v>5.6132217232138931E-4</v>
      </c>
      <c r="I143" s="337"/>
      <c r="J143" s="168"/>
      <c r="K143" s="168"/>
      <c r="M143" s="364">
        <f t="shared" si="34"/>
        <v>0.10663638240759858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7"/>
      <c r="J144" s="636" t="s">
        <v>597</v>
      </c>
      <c r="K144" s="204"/>
      <c r="M144" s="364"/>
      <c r="N144" s="359"/>
    </row>
    <row r="145" spans="1:14" s="167" customFormat="1">
      <c r="A145" s="169"/>
      <c r="B145" s="163" t="s">
        <v>232</v>
      </c>
      <c r="C145" s="490">
        <f>'[20]Sch C'!D146</f>
        <v>7800</v>
      </c>
      <c r="D145" s="490">
        <f>'[20]Sch C'!F146</f>
        <v>0</v>
      </c>
      <c r="E145" s="171">
        <f t="shared" ref="E145:E153" si="38">C145+D145</f>
        <v>7800</v>
      </c>
      <c r="F145" s="496">
        <f>52203.02-45870</f>
        <v>6333.0199999999968</v>
      </c>
      <c r="G145" s="171">
        <f t="shared" ref="G145:G153" si="39">E145+F145</f>
        <v>14133.019999999997</v>
      </c>
      <c r="H145" s="172">
        <f t="shared" ref="H145:H153" si="40">IF($G$208=0,0,G145/$G$208)</f>
        <v>3.0722552427626211E-3</v>
      </c>
      <c r="I145" s="337"/>
      <c r="J145" s="183">
        <v>1118.1899999999998</v>
      </c>
      <c r="K145" s="183">
        <v>1118.1899999999998</v>
      </c>
      <c r="M145" s="364">
        <f t="shared" si="34"/>
        <v>0.58364732603757985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490">
        <f>'[20]Sch C'!D147</f>
        <v>0</v>
      </c>
      <c r="D146" s="490">
        <f>'[20]Sch C'!F147</f>
        <v>0</v>
      </c>
      <c r="E146" s="171">
        <f t="shared" si="38"/>
        <v>0</v>
      </c>
      <c r="F146" s="496">
        <f>178417.87-178417.87</f>
        <v>0</v>
      </c>
      <c r="G146" s="171">
        <f t="shared" si="39"/>
        <v>0</v>
      </c>
      <c r="H146" s="172">
        <f t="shared" si="40"/>
        <v>0</v>
      </c>
      <c r="I146" s="337"/>
      <c r="J146" s="183">
        <v>5980.63</v>
      </c>
      <c r="K146" s="183">
        <v>6227.55</v>
      </c>
      <c r="M146" s="364">
        <f t="shared" si="34"/>
        <v>0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490">
        <f>'[20]Sch C'!D148</f>
        <v>0</v>
      </c>
      <c r="D147" s="490">
        <f>'[20]Sch C'!F148</f>
        <v>0</v>
      </c>
      <c r="E147" s="171">
        <f t="shared" si="38"/>
        <v>0</v>
      </c>
      <c r="F147" s="496">
        <f>71815.35-71815.35</f>
        <v>0</v>
      </c>
      <c r="G147" s="171">
        <f t="shared" si="39"/>
        <v>0</v>
      </c>
      <c r="H147" s="172">
        <f t="shared" si="40"/>
        <v>0</v>
      </c>
      <c r="I147" s="337"/>
      <c r="J147" s="183">
        <v>3325.85</v>
      </c>
      <c r="K147" s="183">
        <v>3357.85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490">
        <f>'[20]Sch C'!D149</f>
        <v>0</v>
      </c>
      <c r="D148" s="490">
        <f>'[20]Sch C'!F149</f>
        <v>0</v>
      </c>
      <c r="E148" s="171">
        <f t="shared" si="38"/>
        <v>0</v>
      </c>
      <c r="F148" s="496">
        <f>278766.7-278766.7</f>
        <v>0</v>
      </c>
      <c r="G148" s="171">
        <f t="shared" si="39"/>
        <v>0</v>
      </c>
      <c r="H148" s="172">
        <f t="shared" si="40"/>
        <v>0</v>
      </c>
      <c r="I148" s="337"/>
      <c r="J148" s="183">
        <v>21943.87</v>
      </c>
      <c r="K148" s="183">
        <v>22546.67</v>
      </c>
      <c r="M148" s="364">
        <f t="shared" si="34"/>
        <v>0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490">
        <f>'[20]Sch C'!D150</f>
        <v>3791.75</v>
      </c>
      <c r="D149" s="490">
        <f>'[20]Sch C'!F150</f>
        <v>0</v>
      </c>
      <c r="E149" s="171">
        <f t="shared" si="38"/>
        <v>3791.75</v>
      </c>
      <c r="F149" s="496">
        <f>29895.61-27272</f>
        <v>2623.6100000000006</v>
      </c>
      <c r="G149" s="171">
        <f t="shared" si="39"/>
        <v>6415.3600000000006</v>
      </c>
      <c r="H149" s="172">
        <f t="shared" si="40"/>
        <v>1.394579742631767E-3</v>
      </c>
      <c r="I149" s="337"/>
      <c r="J149" s="183">
        <v>1655.2</v>
      </c>
      <c r="K149" s="183">
        <v>1735.03</v>
      </c>
      <c r="M149" s="364">
        <f t="shared" si="34"/>
        <v>0.26493330580218877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490">
        <f>'[20]Sch C'!D151</f>
        <v>49190.57</v>
      </c>
      <c r="D150" s="490">
        <f>'[20]Sch C'!F151</f>
        <v>0</v>
      </c>
      <c r="E150" s="171">
        <f t="shared" si="38"/>
        <v>49190.57</v>
      </c>
      <c r="F150" s="171">
        <v>24107.72</v>
      </c>
      <c r="G150" s="171">
        <f t="shared" si="39"/>
        <v>73298.290000000008</v>
      </c>
      <c r="H150" s="172">
        <f t="shared" si="40"/>
        <v>1.5933682662165275E-2</v>
      </c>
      <c r="I150" s="337"/>
      <c r="J150" s="637" t="s">
        <v>598</v>
      </c>
      <c r="K150" s="168"/>
      <c r="M150" s="364">
        <f t="shared" si="34"/>
        <v>3.0269787321907913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490">
        <f>'[20]Sch C'!D152</f>
        <v>5480.5699999999988</v>
      </c>
      <c r="D151" s="490">
        <f>'[20]Sch C'!F152</f>
        <v>0</v>
      </c>
      <c r="E151" s="171">
        <f t="shared" si="38"/>
        <v>5480.5699999999988</v>
      </c>
      <c r="F151" s="171">
        <v>3464.59</v>
      </c>
      <c r="G151" s="171">
        <f t="shared" si="39"/>
        <v>8945.16</v>
      </c>
      <c r="H151" s="172">
        <f t="shared" si="40"/>
        <v>1.9445111311913866E-3</v>
      </c>
      <c r="I151" s="337"/>
      <c r="J151" s="168"/>
      <c r="K151" s="168"/>
      <c r="M151" s="364">
        <f t="shared" si="34"/>
        <v>0.36940574024365064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490">
        <f>'[20]Sch C'!D153</f>
        <v>0</v>
      </c>
      <c r="D152" s="490">
        <f>'[20]Sch C'!F153</f>
        <v>0</v>
      </c>
      <c r="E152" s="171">
        <f t="shared" si="38"/>
        <v>0</v>
      </c>
      <c r="F152" s="171">
        <v>0</v>
      </c>
      <c r="G152" s="171">
        <f t="shared" si="39"/>
        <v>0</v>
      </c>
      <c r="H152" s="172">
        <f t="shared" si="40"/>
        <v>0</v>
      </c>
      <c r="I152" s="337"/>
      <c r="J152" s="168"/>
      <c r="K152" s="168"/>
      <c r="M152" s="364">
        <f t="shared" si="34"/>
        <v>0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490">
        <f>'[20]Sch C'!D154</f>
        <v>0</v>
      </c>
      <c r="D153" s="490">
        <f>'[20]Sch C'!F154</f>
        <v>0</v>
      </c>
      <c r="E153" s="171">
        <f t="shared" si="38"/>
        <v>0</v>
      </c>
      <c r="F153" s="171">
        <v>0</v>
      </c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210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490">
        <f>'[20]Sch C'!D156</f>
        <v>0</v>
      </c>
      <c r="D155" s="490">
        <f>'[20]Sch C'!F156</f>
        <v>0</v>
      </c>
      <c r="E155" s="171">
        <f t="shared" ref="E155:E160" si="41">C155+D155</f>
        <v>0</v>
      </c>
      <c r="F155" s="171">
        <v>0</v>
      </c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490">
        <f>'[20]Sch C'!D157</f>
        <v>0</v>
      </c>
      <c r="D156" s="490">
        <f>'[20]Sch C'!F157</f>
        <v>0</v>
      </c>
      <c r="E156" s="171">
        <f t="shared" si="41"/>
        <v>0</v>
      </c>
      <c r="F156" s="171">
        <v>0</v>
      </c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490">
        <f>'[20]Sch C'!D158</f>
        <v>0</v>
      </c>
      <c r="D157" s="490">
        <f>'[20]Sch C'!F158</f>
        <v>0</v>
      </c>
      <c r="E157" s="171">
        <f t="shared" si="41"/>
        <v>0</v>
      </c>
      <c r="F157" s="171">
        <v>0</v>
      </c>
      <c r="G157" s="171">
        <f t="shared" si="42"/>
        <v>0</v>
      </c>
      <c r="H157" s="172">
        <f t="shared" si="43"/>
        <v>0</v>
      </c>
      <c r="I157" s="337"/>
      <c r="J157" s="168"/>
      <c r="K157" s="168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490">
        <f>'[20]Sch C'!D159</f>
        <v>0</v>
      </c>
      <c r="D158" s="490">
        <f>'[20]Sch C'!F159</f>
        <v>0</v>
      </c>
      <c r="E158" s="171">
        <f t="shared" si="41"/>
        <v>0</v>
      </c>
      <c r="F158" s="171">
        <v>0</v>
      </c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490">
        <f>'[20]Sch C'!D160</f>
        <v>287.98</v>
      </c>
      <c r="D159" s="490">
        <f>'[20]Sch C'!F160</f>
        <v>0</v>
      </c>
      <c r="E159" s="171">
        <f t="shared" si="41"/>
        <v>287.98</v>
      </c>
      <c r="F159" s="171">
        <v>0</v>
      </c>
      <c r="G159" s="171">
        <f t="shared" si="42"/>
        <v>287.98</v>
      </c>
      <c r="H159" s="172">
        <f>IF($G$208=0,0,G159/$G$208)</f>
        <v>6.2601486788441525E-5</v>
      </c>
      <c r="I159" s="337"/>
      <c r="J159" s="168"/>
      <c r="K159" s="168"/>
      <c r="M159" s="364">
        <f t="shared" si="34"/>
        <v>1.1892628536031387E-2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490">
        <f>'[20]Sch C'!D161</f>
        <v>1534.6799999999998</v>
      </c>
      <c r="D160" s="490">
        <f>'[20]Sch C'!F161</f>
        <v>0</v>
      </c>
      <c r="E160" s="171">
        <f t="shared" si="41"/>
        <v>1534.6799999999998</v>
      </c>
      <c r="F160" s="171">
        <f>2849.96-1175</f>
        <v>1674.96</v>
      </c>
      <c r="G160" s="171">
        <f t="shared" si="42"/>
        <v>3209.64</v>
      </c>
      <c r="H160" s="172">
        <f t="shared" si="43"/>
        <v>6.9771593880010223E-4</v>
      </c>
      <c r="I160" s="337"/>
      <c r="J160" s="168"/>
      <c r="K160" s="168"/>
      <c r="M160" s="364">
        <f t="shared" si="34"/>
        <v>0.13254759446623993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490">
        <f>SUM(C123:C160)</f>
        <v>904333.20000000007</v>
      </c>
      <c r="D161" s="490">
        <f>SUM(D123:D160)</f>
        <v>0</v>
      </c>
      <c r="E161" s="171">
        <f t="shared" ref="E161:F161" si="44">SUM(E123:E160)</f>
        <v>904333.20000000007</v>
      </c>
      <c r="F161" s="171">
        <f t="shared" si="44"/>
        <v>631693.89999999991</v>
      </c>
      <c r="G161" s="171">
        <f>SUM(G123:G160)</f>
        <v>1536027.0999999999</v>
      </c>
      <c r="H161" s="172">
        <f t="shared" si="43"/>
        <v>0.33390367458621478</v>
      </c>
      <c r="I161" s="337"/>
      <c r="J161" s="168"/>
      <c r="K161" s="168"/>
      <c r="M161" s="364">
        <f>G161/G$228</f>
        <v>63.432876316332845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337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7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490">
        <f>'[20]Sch C'!D175</f>
        <v>0</v>
      </c>
      <c r="D164" s="490">
        <f>'[20]Sch C'!F175</f>
        <v>0</v>
      </c>
      <c r="E164" s="171">
        <f t="shared" ref="E164:E196" si="45">C164+D164</f>
        <v>0</v>
      </c>
      <c r="F164" s="216">
        <v>0</v>
      </c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490">
        <f>'[20]Sch C'!D176</f>
        <v>0</v>
      </c>
      <c r="D165" s="490">
        <f>'[20]Sch C'!F176</f>
        <v>0</v>
      </c>
      <c r="E165" s="171">
        <f t="shared" si="45"/>
        <v>0</v>
      </c>
      <c r="F165" s="216">
        <v>0</v>
      </c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490">
        <f>'[20]Sch C'!D177</f>
        <v>0</v>
      </c>
      <c r="D166" s="490">
        <f>'[20]Sch C'!F177</f>
        <v>0</v>
      </c>
      <c r="E166" s="171">
        <f t="shared" si="45"/>
        <v>0</v>
      </c>
      <c r="F166" s="216">
        <v>0</v>
      </c>
      <c r="G166" s="171">
        <f t="shared" si="46"/>
        <v>0</v>
      </c>
      <c r="H166" s="172">
        <f t="shared" si="47"/>
        <v>0</v>
      </c>
      <c r="I166" s="343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490">
        <f>'[20]Sch C'!D178</f>
        <v>0</v>
      </c>
      <c r="D167" s="490">
        <f>'[20]Sch C'!F178</f>
        <v>0</v>
      </c>
      <c r="E167" s="171">
        <f t="shared" si="45"/>
        <v>0</v>
      </c>
      <c r="F167" s="216">
        <v>0</v>
      </c>
      <c r="G167" s="171">
        <f t="shared" si="46"/>
        <v>0</v>
      </c>
      <c r="H167" s="172">
        <f t="shared" si="47"/>
        <v>0</v>
      </c>
      <c r="I167" s="344"/>
      <c r="J167" s="222"/>
      <c r="K167" s="222"/>
      <c r="L167" s="218"/>
      <c r="M167" s="364">
        <f t="shared" si="48"/>
        <v>0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490">
        <f>'[20]Sch C'!D179</f>
        <v>0</v>
      </c>
      <c r="D168" s="490">
        <f>'[20]Sch C'!F179</f>
        <v>0</v>
      </c>
      <c r="E168" s="171">
        <f t="shared" si="45"/>
        <v>0</v>
      </c>
      <c r="F168" s="216">
        <v>0</v>
      </c>
      <c r="G168" s="171">
        <f t="shared" si="46"/>
        <v>0</v>
      </c>
      <c r="H168" s="172">
        <f t="shared" si="47"/>
        <v>0</v>
      </c>
      <c r="I168" s="343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490">
        <f>'[20]Sch C'!D180</f>
        <v>0</v>
      </c>
      <c r="D169" s="490">
        <f>'[20]Sch C'!F180</f>
        <v>0</v>
      </c>
      <c r="E169" s="171">
        <f t="shared" si="45"/>
        <v>0</v>
      </c>
      <c r="F169" s="216">
        <v>0</v>
      </c>
      <c r="G169" s="171">
        <f t="shared" si="46"/>
        <v>0</v>
      </c>
      <c r="H169" s="172">
        <f t="shared" si="47"/>
        <v>0</v>
      </c>
      <c r="I169" s="344"/>
      <c r="J169" s="222"/>
      <c r="K169" s="222"/>
      <c r="L169" s="218"/>
      <c r="M169" s="364">
        <f t="shared" si="48"/>
        <v>0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490">
        <f>'[20]Sch C'!D181</f>
        <v>0</v>
      </c>
      <c r="D170" s="490">
        <f>'[20]Sch C'!F181</f>
        <v>0</v>
      </c>
      <c r="E170" s="171">
        <f t="shared" si="45"/>
        <v>0</v>
      </c>
      <c r="F170" s="216">
        <v>0</v>
      </c>
      <c r="G170" s="171">
        <f t="shared" si="46"/>
        <v>0</v>
      </c>
      <c r="H170" s="172">
        <f t="shared" si="47"/>
        <v>0</v>
      </c>
      <c r="I170" s="343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490">
        <f>'[20]Sch C'!D182</f>
        <v>0</v>
      </c>
      <c r="D171" s="490">
        <f>'[20]Sch C'!F182</f>
        <v>0</v>
      </c>
      <c r="E171" s="171">
        <f t="shared" si="45"/>
        <v>0</v>
      </c>
      <c r="F171" s="216">
        <v>0</v>
      </c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490">
        <f>'[20]Sch C'!D183</f>
        <v>351.33</v>
      </c>
      <c r="D172" s="490">
        <f>'[20]Sch C'!F183</f>
        <v>0</v>
      </c>
      <c r="E172" s="171">
        <f t="shared" si="45"/>
        <v>351.33</v>
      </c>
      <c r="F172" s="573">
        <v>1963</v>
      </c>
      <c r="G172" s="171">
        <f t="shared" si="46"/>
        <v>2314.33</v>
      </c>
      <c r="H172" s="172">
        <f t="shared" si="47"/>
        <v>5.0309222487358103E-4</v>
      </c>
      <c r="I172" s="343"/>
      <c r="J172" s="217">
        <v>10.809999999999999</v>
      </c>
      <c r="K172" s="217">
        <v>10.809999999999999</v>
      </c>
      <c r="L172" s="218"/>
      <c r="M172" s="364">
        <f t="shared" si="48"/>
        <v>9.5574230848647523E-2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490">
        <f>'[20]Sch C'!D184</f>
        <v>72.7</v>
      </c>
      <c r="D173" s="490">
        <f>'[20]Sch C'!F184</f>
        <v>0</v>
      </c>
      <c r="E173" s="171">
        <f t="shared" si="45"/>
        <v>72.7</v>
      </c>
      <c r="F173" s="573">
        <v>293</v>
      </c>
      <c r="G173" s="171">
        <f t="shared" si="46"/>
        <v>365.7</v>
      </c>
      <c r="H173" s="172">
        <f t="shared" si="47"/>
        <v>7.9496366825936054E-5</v>
      </c>
      <c r="I173" s="344"/>
      <c r="J173" s="222"/>
      <c r="K173" s="222"/>
      <c r="L173" s="218"/>
      <c r="M173" s="364">
        <f t="shared" si="48"/>
        <v>1.5102209374354738E-2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490">
        <f>'[20]Sch C'!D185</f>
        <v>0</v>
      </c>
      <c r="D174" s="490">
        <f>'[20]Sch C'!F185</f>
        <v>0</v>
      </c>
      <c r="E174" s="171">
        <f t="shared" si="45"/>
        <v>0</v>
      </c>
      <c r="F174" s="216">
        <v>0</v>
      </c>
      <c r="G174" s="171">
        <f t="shared" si="46"/>
        <v>0</v>
      </c>
      <c r="H174" s="172">
        <f t="shared" si="47"/>
        <v>0</v>
      </c>
      <c r="I174" s="343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490">
        <f>'[20]Sch C'!D186</f>
        <v>0</v>
      </c>
      <c r="D175" s="490">
        <f>'[20]Sch C'!F186</f>
        <v>0</v>
      </c>
      <c r="E175" s="171">
        <f t="shared" si="45"/>
        <v>0</v>
      </c>
      <c r="F175" s="216">
        <v>0</v>
      </c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490">
        <f>'[20]Sch C'!D187</f>
        <v>0</v>
      </c>
      <c r="D176" s="490">
        <f>'[20]Sch C'!F187</f>
        <v>0</v>
      </c>
      <c r="E176" s="171">
        <f t="shared" si="45"/>
        <v>0</v>
      </c>
      <c r="F176" s="216">
        <v>0</v>
      </c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490">
        <f>'[20]Sch C'!D188</f>
        <v>0</v>
      </c>
      <c r="D177" s="490">
        <f>'[20]Sch C'!F188</f>
        <v>0</v>
      </c>
      <c r="E177" s="171">
        <f t="shared" si="45"/>
        <v>0</v>
      </c>
      <c r="F177" s="216">
        <v>0</v>
      </c>
      <c r="G177" s="171">
        <f t="shared" si="46"/>
        <v>0</v>
      </c>
      <c r="H177" s="172">
        <f t="shared" si="47"/>
        <v>0</v>
      </c>
      <c r="I177" s="337"/>
      <c r="J177" s="223"/>
      <c r="K177" s="218"/>
      <c r="L177" s="220"/>
      <c r="M177" s="364">
        <f t="shared" si="48"/>
        <v>0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490">
        <f>'[20]Sch C'!D189</f>
        <v>0</v>
      </c>
      <c r="D178" s="490">
        <f>'[20]Sch C'!F189</f>
        <v>0</v>
      </c>
      <c r="E178" s="171">
        <f t="shared" si="45"/>
        <v>0</v>
      </c>
      <c r="F178" s="216">
        <v>0</v>
      </c>
      <c r="G178" s="171">
        <f t="shared" si="46"/>
        <v>0</v>
      </c>
      <c r="H178" s="172">
        <f t="shared" si="47"/>
        <v>0</v>
      </c>
      <c r="I178" s="337"/>
      <c r="J178" s="223"/>
      <c r="K178" s="218"/>
      <c r="L178" s="220"/>
      <c r="M178" s="364">
        <f t="shared" si="48"/>
        <v>0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490">
        <f>'[20]Sch C'!D190</f>
        <v>0</v>
      </c>
      <c r="D179" s="490">
        <f>'[20]Sch C'!F190</f>
        <v>0</v>
      </c>
      <c r="E179" s="171">
        <f t="shared" si="45"/>
        <v>0</v>
      </c>
      <c r="F179" s="216">
        <v>0</v>
      </c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490">
        <f>'[20]Sch C'!D191</f>
        <v>0</v>
      </c>
      <c r="D180" s="490">
        <f>'[20]Sch C'!F191</f>
        <v>0</v>
      </c>
      <c r="E180" s="171">
        <f t="shared" si="45"/>
        <v>0</v>
      </c>
      <c r="F180" s="216">
        <v>634.79999999999995</v>
      </c>
      <c r="G180" s="171">
        <f t="shared" si="46"/>
        <v>634.79999999999995</v>
      </c>
      <c r="H180" s="172">
        <f t="shared" si="47"/>
        <v>1.379936933582286E-4</v>
      </c>
      <c r="I180" s="337"/>
      <c r="J180" s="223"/>
      <c r="K180" s="218"/>
      <c r="L180" s="220"/>
      <c r="M180" s="364">
        <f t="shared" si="48"/>
        <v>2.6215155895106337E-2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490">
        <f>'[20]Sch C'!D192</f>
        <v>11640.06</v>
      </c>
      <c r="D181" s="490">
        <f>'[20]Sch C'!F192</f>
        <v>0</v>
      </c>
      <c r="E181" s="171">
        <f t="shared" si="45"/>
        <v>11640.06</v>
      </c>
      <c r="F181" s="216">
        <v>1599.52</v>
      </c>
      <c r="G181" s="171">
        <f t="shared" si="46"/>
        <v>13239.58</v>
      </c>
      <c r="H181" s="172">
        <f t="shared" si="47"/>
        <v>2.8780380319970642E-3</v>
      </c>
      <c r="I181" s="337"/>
      <c r="J181" s="223"/>
      <c r="K181" s="218"/>
      <c r="L181" s="220"/>
      <c r="M181" s="364">
        <f t="shared" si="48"/>
        <v>0.54675118728061123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490">
        <f>'[20]Sch C'!D193</f>
        <v>0</v>
      </c>
      <c r="D182" s="490">
        <f>'[20]Sch C'!F193</f>
        <v>0</v>
      </c>
      <c r="E182" s="171">
        <f t="shared" si="45"/>
        <v>0</v>
      </c>
      <c r="F182" s="216">
        <v>0</v>
      </c>
      <c r="G182" s="171">
        <f t="shared" si="46"/>
        <v>0</v>
      </c>
      <c r="H182" s="172">
        <f t="shared" si="47"/>
        <v>0</v>
      </c>
      <c r="I182" s="337"/>
      <c r="J182" s="223"/>
      <c r="K182" s="218"/>
      <c r="L182" s="220"/>
      <c r="M182" s="364">
        <f t="shared" si="48"/>
        <v>0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490">
        <f>'[20]Sch C'!D194</f>
        <v>115249.64</v>
      </c>
      <c r="D183" s="490">
        <f>'[20]Sch C'!F194</f>
        <v>0</v>
      </c>
      <c r="E183" s="171">
        <f t="shared" si="45"/>
        <v>115249.64</v>
      </c>
      <c r="F183" s="216">
        <v>82466.679999999993</v>
      </c>
      <c r="G183" s="171">
        <f t="shared" si="46"/>
        <v>197716.32</v>
      </c>
      <c r="H183" s="172">
        <f t="shared" si="47"/>
        <v>4.2979844413984572E-2</v>
      </c>
      <c r="I183" s="337"/>
      <c r="J183" s="223"/>
      <c r="K183" s="218"/>
      <c r="M183" s="364">
        <f t="shared" si="48"/>
        <v>8.1650348957257908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490">
        <f>'[20]Sch C'!D195</f>
        <v>0</v>
      </c>
      <c r="D184" s="490">
        <f>'[20]Sch C'!F195</f>
        <v>0</v>
      </c>
      <c r="E184" s="171">
        <f t="shared" si="45"/>
        <v>0</v>
      </c>
      <c r="F184" s="216">
        <v>828.61</v>
      </c>
      <c r="G184" s="171">
        <f t="shared" si="46"/>
        <v>828.61</v>
      </c>
      <c r="H184" s="172">
        <f t="shared" si="47"/>
        <v>1.8012437658091024E-4</v>
      </c>
      <c r="I184" s="337"/>
      <c r="J184" s="223"/>
      <c r="K184" s="218"/>
      <c r="M184" s="364">
        <f t="shared" si="48"/>
        <v>3.421887259962833E-2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490">
        <f>'[20]Sch C'!D196</f>
        <v>0</v>
      </c>
      <c r="D185" s="490">
        <f>'[20]Sch C'!F196</f>
        <v>0</v>
      </c>
      <c r="E185" s="171">
        <f t="shared" si="45"/>
        <v>0</v>
      </c>
      <c r="F185" s="216">
        <v>0</v>
      </c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490">
        <f>'[20]Sch C'!D197</f>
        <v>103705.88</v>
      </c>
      <c r="D186" s="490">
        <f>'[20]Sch C'!F197</f>
        <v>0</v>
      </c>
      <c r="E186" s="171">
        <f t="shared" si="45"/>
        <v>103705.88</v>
      </c>
      <c r="F186" s="216">
        <f>59476.16-2256</f>
        <v>57220.160000000003</v>
      </c>
      <c r="G186" s="171">
        <f t="shared" si="46"/>
        <v>160926.04</v>
      </c>
      <c r="H186" s="172">
        <f t="shared" si="47"/>
        <v>3.4982322963317637E-2</v>
      </c>
      <c r="I186" s="337"/>
      <c r="J186" s="223"/>
      <c r="K186" s="218"/>
      <c r="M186" s="364">
        <f t="shared" si="48"/>
        <v>6.6457171174891601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490">
        <f>'[20]Sch C'!D198</f>
        <v>0</v>
      </c>
      <c r="D187" s="490">
        <f>'[20]Sch C'!F198</f>
        <v>0</v>
      </c>
      <c r="E187" s="171">
        <f t="shared" si="45"/>
        <v>0</v>
      </c>
      <c r="F187" s="216">
        <v>0</v>
      </c>
      <c r="G187" s="171">
        <f t="shared" si="46"/>
        <v>0</v>
      </c>
      <c r="H187" s="172">
        <f t="shared" si="47"/>
        <v>0</v>
      </c>
      <c r="I187" s="337"/>
      <c r="J187" s="223"/>
      <c r="K187" s="218"/>
      <c r="M187" s="364">
        <f t="shared" si="48"/>
        <v>0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490">
        <f>'[20]Sch C'!D199</f>
        <v>0</v>
      </c>
      <c r="D188" s="490">
        <f>'[20]Sch C'!F199</f>
        <v>0</v>
      </c>
      <c r="E188" s="171">
        <f t="shared" si="45"/>
        <v>0</v>
      </c>
      <c r="F188" s="216">
        <v>0</v>
      </c>
      <c r="G188" s="171">
        <f t="shared" si="46"/>
        <v>0</v>
      </c>
      <c r="H188" s="172">
        <f t="shared" si="47"/>
        <v>0</v>
      </c>
      <c r="I188" s="337"/>
      <c r="J188" s="223"/>
      <c r="K188" s="218"/>
      <c r="M188" s="364">
        <f t="shared" si="48"/>
        <v>0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490">
        <f>'[20]Sch C'!D200</f>
        <v>0</v>
      </c>
      <c r="D189" s="490">
        <f>'[20]Sch C'!F200</f>
        <v>0</v>
      </c>
      <c r="E189" s="171">
        <f t="shared" si="45"/>
        <v>0</v>
      </c>
      <c r="F189" s="216">
        <v>0</v>
      </c>
      <c r="G189" s="171">
        <f t="shared" si="46"/>
        <v>0</v>
      </c>
      <c r="H189" s="172">
        <f t="shared" si="47"/>
        <v>0</v>
      </c>
      <c r="I189" s="337"/>
      <c r="J189" s="223"/>
      <c r="K189" s="218"/>
      <c r="M189" s="364">
        <f t="shared" si="48"/>
        <v>0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490">
        <f>'[20]Sch C'!D201</f>
        <v>0</v>
      </c>
      <c r="D190" s="490">
        <f>'[20]Sch C'!F201</f>
        <v>0</v>
      </c>
      <c r="E190" s="171">
        <f t="shared" si="45"/>
        <v>0</v>
      </c>
      <c r="F190" s="216">
        <v>0</v>
      </c>
      <c r="G190" s="171">
        <f t="shared" si="46"/>
        <v>0</v>
      </c>
      <c r="H190" s="172">
        <f t="shared" si="47"/>
        <v>0</v>
      </c>
      <c r="I190" s="337"/>
      <c r="J190" s="223"/>
      <c r="K190" s="218"/>
      <c r="M190" s="364">
        <f t="shared" si="48"/>
        <v>0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490">
        <f>'[20]Sch C'!D202</f>
        <v>0</v>
      </c>
      <c r="D191" s="490">
        <f>'[20]Sch C'!F202</f>
        <v>0</v>
      </c>
      <c r="E191" s="171">
        <f t="shared" si="45"/>
        <v>0</v>
      </c>
      <c r="F191" s="216">
        <v>0</v>
      </c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490">
        <f>'[20]Sch C'!D203</f>
        <v>0</v>
      </c>
      <c r="D192" s="490">
        <f>'[20]Sch C'!F203</f>
        <v>0</v>
      </c>
      <c r="E192" s="171">
        <f t="shared" si="45"/>
        <v>0</v>
      </c>
      <c r="F192" s="216">
        <v>0</v>
      </c>
      <c r="G192" s="171">
        <f t="shared" si="46"/>
        <v>0</v>
      </c>
      <c r="H192" s="172">
        <f t="shared" si="47"/>
        <v>0</v>
      </c>
      <c r="I192" s="337"/>
      <c r="J192" s="223"/>
      <c r="K192" s="218"/>
      <c r="M192" s="364">
        <f t="shared" si="48"/>
        <v>0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490">
        <f>'[20]Sch C'!D204</f>
        <v>0</v>
      </c>
      <c r="D193" s="490">
        <f>'[20]Sch C'!F204</f>
        <v>0</v>
      </c>
      <c r="E193" s="171">
        <f t="shared" si="45"/>
        <v>0</v>
      </c>
      <c r="F193" s="216">
        <v>0</v>
      </c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490">
        <f>'[20]Sch C'!D205</f>
        <v>29007.980000000003</v>
      </c>
      <c r="D194" s="490">
        <f>'[20]Sch C'!F205</f>
        <v>0</v>
      </c>
      <c r="E194" s="171">
        <f t="shared" si="45"/>
        <v>29007.980000000003</v>
      </c>
      <c r="F194" s="216">
        <v>20957.95</v>
      </c>
      <c r="G194" s="171">
        <f t="shared" si="46"/>
        <v>49965.930000000008</v>
      </c>
      <c r="H194" s="172">
        <f t="shared" si="47"/>
        <v>1.0861662291711904E-2</v>
      </c>
      <c r="I194" s="337"/>
      <c r="J194" s="223"/>
      <c r="K194" s="218"/>
      <c r="M194" s="364">
        <f t="shared" si="48"/>
        <v>2.063428866405121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490">
        <f>'[20]Sch C'!D206</f>
        <v>0</v>
      </c>
      <c r="D195" s="490">
        <f>'[20]Sch C'!F206</f>
        <v>0</v>
      </c>
      <c r="E195" s="171">
        <f t="shared" si="45"/>
        <v>0</v>
      </c>
      <c r="F195" s="216">
        <v>0</v>
      </c>
      <c r="G195" s="171">
        <f t="shared" si="46"/>
        <v>0</v>
      </c>
      <c r="H195" s="172">
        <f t="shared" si="47"/>
        <v>0</v>
      </c>
      <c r="I195" s="337"/>
      <c r="J195" s="223"/>
      <c r="K195" s="218"/>
      <c r="M195" s="364">
        <f t="shared" si="48"/>
        <v>0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490">
        <f>'[20]Sch C'!D207</f>
        <v>6992.75</v>
      </c>
      <c r="D196" s="490">
        <f>'[20]Sch C'!F207</f>
        <v>0</v>
      </c>
      <c r="E196" s="171">
        <f t="shared" si="45"/>
        <v>6992.75</v>
      </c>
      <c r="F196" s="216">
        <v>3649.19</v>
      </c>
      <c r="G196" s="171">
        <f t="shared" si="46"/>
        <v>10641.94</v>
      </c>
      <c r="H196" s="172">
        <f t="shared" si="47"/>
        <v>2.3133594913306043E-3</v>
      </c>
      <c r="I196" s="337"/>
      <c r="J196" s="223"/>
      <c r="K196" s="218"/>
      <c r="M196" s="364">
        <f t="shared" si="48"/>
        <v>0.43947718356390669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490">
        <f>SUM(C164:C196)</f>
        <v>267020.33999999997</v>
      </c>
      <c r="D197" s="490">
        <f>SUM(D164:D196)</f>
        <v>0</v>
      </c>
      <c r="E197" s="171">
        <f t="shared" ref="E197:F197" si="49">SUM(E164:E196)</f>
        <v>267020.33999999997</v>
      </c>
      <c r="F197" s="171">
        <f t="shared" si="49"/>
        <v>169612.91000000003</v>
      </c>
      <c r="G197" s="171">
        <f>SUM(G164:G196)</f>
        <v>436633.25</v>
      </c>
      <c r="H197" s="172">
        <f>IF($G$208=0,0,G197/$G$208)</f>
        <v>9.4915933853980436E-2</v>
      </c>
      <c r="I197" s="337"/>
      <c r="J197" s="168"/>
      <c r="K197" s="168"/>
      <c r="M197" s="364">
        <f>G197/G$228</f>
        <v>18.031519719182324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165"/>
      <c r="G198" s="165"/>
      <c r="H198" s="198"/>
      <c r="I198" s="341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1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490">
        <f>'[20]Sch C'!D211</f>
        <v>38011.96</v>
      </c>
      <c r="D200" s="490">
        <f>'[20]Sch C'!F211</f>
        <v>0</v>
      </c>
      <c r="E200" s="171">
        <f t="shared" ref="E200:E205" si="50">C200+D200</f>
        <v>38011.96</v>
      </c>
      <c r="F200" s="573">
        <v>28665</v>
      </c>
      <c r="G200" s="171">
        <f t="shared" ref="G200:G205" si="51">E200+F200</f>
        <v>66676.959999999992</v>
      </c>
      <c r="H200" s="172">
        <f t="shared" ref="H200:H206" si="52">IF($G$208=0,0,G200/$G$208)</f>
        <v>1.449432887885771E-2</v>
      </c>
      <c r="I200" s="337"/>
      <c r="J200" s="183">
        <v>3089.8499999999995</v>
      </c>
      <c r="K200" s="183">
        <v>3294.8499999999995</v>
      </c>
      <c r="M200" s="364">
        <f t="shared" ref="M200:M205" si="53">G200/G$228</f>
        <v>2.7535395416064419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490">
        <f>'[20]Sch C'!D212</f>
        <v>9405.31</v>
      </c>
      <c r="D201" s="490">
        <f>'[20]Sch C'!F212</f>
        <v>0</v>
      </c>
      <c r="E201" s="171">
        <f t="shared" si="50"/>
        <v>9405.31</v>
      </c>
      <c r="F201" s="573">
        <v>7103</v>
      </c>
      <c r="G201" s="171">
        <f t="shared" si="51"/>
        <v>16508.309999999998</v>
      </c>
      <c r="H201" s="172">
        <f t="shared" si="52"/>
        <v>3.5885990359208865E-3</v>
      </c>
      <c r="I201" s="337"/>
      <c r="J201" s="168"/>
      <c r="K201" s="168"/>
      <c r="M201" s="364">
        <f t="shared" si="53"/>
        <v>0.6817390047491223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490">
        <f>'[20]Sch C'!D213</f>
        <v>6308.2100000000009</v>
      </c>
      <c r="D202" s="490">
        <f>'[20]Sch C'!F213</f>
        <v>0</v>
      </c>
      <c r="E202" s="171">
        <f t="shared" si="50"/>
        <v>6308.2100000000009</v>
      </c>
      <c r="F202" s="171">
        <f>39860.8-35517</f>
        <v>4343.8000000000029</v>
      </c>
      <c r="G202" s="171">
        <f t="shared" si="51"/>
        <v>10652.010000000004</v>
      </c>
      <c r="H202" s="172">
        <f t="shared" si="52"/>
        <v>2.3155485217214639E-3</v>
      </c>
      <c r="I202" s="337"/>
      <c r="J202" s="168"/>
      <c r="K202" s="168"/>
      <c r="M202" s="364">
        <f t="shared" si="53"/>
        <v>0.43989304150320063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490">
        <f>'[20]Sch C'!D214</f>
        <v>0</v>
      </c>
      <c r="D203" s="490">
        <f>'[20]Sch C'!F214</f>
        <v>0</v>
      </c>
      <c r="E203" s="171">
        <f t="shared" si="50"/>
        <v>0</v>
      </c>
      <c r="F203" s="171">
        <v>0</v>
      </c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>
        <f t="shared" si="53"/>
        <v>0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490">
        <f>'[20]Sch C'!D215</f>
        <v>0</v>
      </c>
      <c r="D204" s="490">
        <f>'[20]Sch C'!F215</f>
        <v>0</v>
      </c>
      <c r="E204" s="171">
        <f t="shared" si="50"/>
        <v>0</v>
      </c>
      <c r="F204" s="171">
        <v>0</v>
      </c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490">
        <f>'[20]Sch C'!D216</f>
        <v>5172.57</v>
      </c>
      <c r="D205" s="490">
        <f>'[20]Sch C'!F216</f>
        <v>0</v>
      </c>
      <c r="E205" s="171">
        <f t="shared" si="50"/>
        <v>5172.57</v>
      </c>
      <c r="F205" s="171">
        <v>4618.6000000000004</v>
      </c>
      <c r="G205" s="171">
        <f t="shared" si="51"/>
        <v>9791.17</v>
      </c>
      <c r="H205" s="172">
        <f t="shared" si="52"/>
        <v>2.1284179436015867E-3</v>
      </c>
      <c r="I205" s="337"/>
      <c r="J205" s="168"/>
      <c r="K205" s="168"/>
      <c r="M205" s="364">
        <f t="shared" si="53"/>
        <v>0.40434317571753048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490">
        <f>SUM(C200:C205)</f>
        <v>58898.049999999996</v>
      </c>
      <c r="D206" s="490">
        <f>SUM(D200:D205)</f>
        <v>0</v>
      </c>
      <c r="E206" s="171">
        <f t="shared" ref="E206:F206" si="54">SUM(E200:E205)</f>
        <v>58898.049999999996</v>
      </c>
      <c r="F206" s="171">
        <f t="shared" si="54"/>
        <v>44730.400000000001</v>
      </c>
      <c r="G206" s="171">
        <f>SUM(G200:G205)</f>
        <v>103628.45</v>
      </c>
      <c r="H206" s="172">
        <f t="shared" si="52"/>
        <v>2.2526894380101647E-2</v>
      </c>
      <c r="I206" s="337"/>
      <c r="J206" s="168"/>
      <c r="K206" s="168"/>
      <c r="M206" s="364">
        <f>G206/G$228</f>
        <v>4.2795147635762953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490">
        <f>SUM(C25:C206)/2</f>
        <v>2564017.2859999994</v>
      </c>
      <c r="D208" s="490">
        <f>SUM(D25:D206)/2</f>
        <v>216262.41</v>
      </c>
      <c r="E208" s="171">
        <f t="shared" ref="E208:F208" si="55">SUM(E25:E206)/2</f>
        <v>2780279.6959999995</v>
      </c>
      <c r="F208" s="171">
        <f t="shared" si="55"/>
        <v>1819930.5350000001</v>
      </c>
      <c r="G208" s="171">
        <f>SUM(G25:G206)/2</f>
        <v>4600210.2309999997</v>
      </c>
      <c r="H208" s="172">
        <f>IF($G$208=0,0,G208/$G$208)</f>
        <v>1</v>
      </c>
      <c r="I208" s="337"/>
      <c r="J208" s="183">
        <f>SUM(J25:J200)</f>
        <v>108970.13</v>
      </c>
      <c r="K208" s="183">
        <f>SUM(K25:K200)</f>
        <v>113283.30000000002</v>
      </c>
      <c r="M208" s="364">
        <f>G208/G$228</f>
        <v>189.97357964071855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490">
        <f>'[20]Sch C'!D221</f>
        <v>2564017.2740000007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490">
        <f>C208-C211</f>
        <v>1.1999998707324266E-2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619"/>
      <c r="D213" s="232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490">
        <f>C21-C208</f>
        <v>251063.52400000114</v>
      </c>
      <c r="D215" s="490">
        <f>D21-D208</f>
        <v>-216281.62</v>
      </c>
      <c r="E215" s="171">
        <f t="shared" ref="E215:F215" si="56">E21-E208</f>
        <v>34781.904000001028</v>
      </c>
      <c r="F215" s="171">
        <f t="shared" si="56"/>
        <v>703560.85499999998</v>
      </c>
      <c r="G215" s="171">
        <f>G21-G208</f>
        <v>738342.75900000054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518" t="s">
        <v>600</v>
      </c>
      <c r="G218" s="165"/>
      <c r="H218" s="166"/>
      <c r="I218" s="336"/>
      <c r="J218" s="168"/>
      <c r="K218" s="168"/>
    </row>
    <row r="219" spans="1:14">
      <c r="A219" s="163"/>
      <c r="B219" s="170" t="s">
        <v>415</v>
      </c>
      <c r="C219" s="491">
        <f>'[20]Sch D'!C9</f>
        <v>9940</v>
      </c>
      <c r="D219" s="491"/>
      <c r="E219" s="235">
        <f t="shared" ref="E219:G227" si="57">C219+D219</f>
        <v>9940</v>
      </c>
      <c r="F219" s="462">
        <v>6814</v>
      </c>
      <c r="G219" s="235">
        <f t="shared" si="57"/>
        <v>16754</v>
      </c>
      <c r="H219" s="172">
        <f t="shared" ref="H219:H228" si="58">IF($G$228=0,0,G219/$G$228)</f>
        <v>0.69188519512698743</v>
      </c>
      <c r="I219" s="337"/>
      <c r="J219" s="168"/>
      <c r="K219" s="168"/>
    </row>
    <row r="220" spans="1:14">
      <c r="A220" s="163"/>
      <c r="B220" s="170" t="s">
        <v>217</v>
      </c>
      <c r="C220" s="491">
        <f>'[20]Sch D'!D9</f>
        <v>1480</v>
      </c>
      <c r="D220" s="491"/>
      <c r="E220" s="235">
        <f t="shared" ref="E220:E227" si="59">C220+D220</f>
        <v>1480</v>
      </c>
      <c r="F220" s="462">
        <v>1232</v>
      </c>
      <c r="G220" s="235">
        <f t="shared" si="57"/>
        <v>2712</v>
      </c>
      <c r="H220" s="172">
        <f t="shared" si="58"/>
        <v>0.11199669626264712</v>
      </c>
      <c r="I220" s="337"/>
      <c r="J220" s="168"/>
      <c r="K220" s="168"/>
    </row>
    <row r="221" spans="1:14">
      <c r="A221" s="163"/>
      <c r="B221" s="170" t="s">
        <v>72</v>
      </c>
      <c r="C221" s="491">
        <f>'[20]Sch D'!E9</f>
        <v>1502</v>
      </c>
      <c r="D221" s="491"/>
      <c r="E221" s="235">
        <f t="shared" si="59"/>
        <v>1502</v>
      </c>
      <c r="F221" s="462">
        <v>971</v>
      </c>
      <c r="G221" s="235">
        <f t="shared" si="57"/>
        <v>2473</v>
      </c>
      <c r="H221" s="172">
        <f t="shared" si="58"/>
        <v>0.10212678092091679</v>
      </c>
      <c r="I221" s="337"/>
      <c r="J221" s="168"/>
      <c r="K221" s="168"/>
    </row>
    <row r="222" spans="1:14">
      <c r="A222" s="163"/>
      <c r="B222" s="202" t="s">
        <v>416</v>
      </c>
      <c r="C222" s="491">
        <f>'[20]Sch D'!F9</f>
        <v>76</v>
      </c>
      <c r="D222" s="491"/>
      <c r="E222" s="235">
        <f>C222+D222</f>
        <v>76</v>
      </c>
      <c r="F222" s="462">
        <v>40</v>
      </c>
      <c r="G222" s="235">
        <f>E222+F222</f>
        <v>116</v>
      </c>
      <c r="H222" s="172">
        <f t="shared" si="58"/>
        <v>4.7904191616766467E-3</v>
      </c>
      <c r="I222" s="337"/>
      <c r="J222" s="168"/>
      <c r="K222" s="168"/>
    </row>
    <row r="223" spans="1:14">
      <c r="A223" s="163"/>
      <c r="B223" s="170" t="s">
        <v>73</v>
      </c>
      <c r="C223" s="491">
        <f>'[20]Sch D'!G9</f>
        <v>0</v>
      </c>
      <c r="D223" s="491"/>
      <c r="E223" s="235">
        <f t="shared" si="59"/>
        <v>0</v>
      </c>
      <c r="F223" s="234">
        <v>0</v>
      </c>
      <c r="G223" s="235">
        <f t="shared" si="57"/>
        <v>0</v>
      </c>
      <c r="H223" s="172">
        <f t="shared" si="58"/>
        <v>0</v>
      </c>
      <c r="I223" s="337"/>
      <c r="J223" s="168"/>
      <c r="K223" s="168"/>
    </row>
    <row r="224" spans="1:14">
      <c r="A224" s="163"/>
      <c r="B224" s="170" t="s">
        <v>74</v>
      </c>
      <c r="C224" s="491">
        <f>'[20]Sch D'!H9</f>
        <v>1293</v>
      </c>
      <c r="D224" s="491"/>
      <c r="E224" s="235">
        <f t="shared" si="59"/>
        <v>1293</v>
      </c>
      <c r="F224" s="234">
        <v>673</v>
      </c>
      <c r="G224" s="235">
        <f t="shared" si="57"/>
        <v>1966</v>
      </c>
      <c r="H224" s="172">
        <f t="shared" si="58"/>
        <v>8.1189345447036959E-2</v>
      </c>
      <c r="I224" s="337"/>
      <c r="J224" s="168"/>
      <c r="K224" s="168"/>
    </row>
    <row r="225" spans="1:11">
      <c r="A225" s="163"/>
      <c r="B225" s="170" t="s">
        <v>236</v>
      </c>
      <c r="C225" s="491">
        <f>'[20]Sch D'!I9</f>
        <v>118</v>
      </c>
      <c r="D225" s="491"/>
      <c r="E225" s="235">
        <f t="shared" si="59"/>
        <v>118</v>
      </c>
      <c r="F225" s="234">
        <v>76</v>
      </c>
      <c r="G225" s="235">
        <f t="shared" si="57"/>
        <v>194</v>
      </c>
      <c r="H225" s="172">
        <f t="shared" si="58"/>
        <v>8.0115630807350811E-3</v>
      </c>
      <c r="I225" s="337"/>
      <c r="J225" s="168"/>
      <c r="K225" s="168"/>
    </row>
    <row r="226" spans="1:11">
      <c r="A226" s="163"/>
      <c r="B226" s="170" t="s">
        <v>235</v>
      </c>
      <c r="C226" s="491">
        <f>'[20]Sch D'!J9</f>
        <v>0</v>
      </c>
      <c r="D226" s="491"/>
      <c r="E226" s="235">
        <f>C226+D226</f>
        <v>0</v>
      </c>
      <c r="F226" s="234">
        <v>0</v>
      </c>
      <c r="G226" s="235">
        <f>E226+F226</f>
        <v>0</v>
      </c>
      <c r="H226" s="172">
        <f t="shared" si="58"/>
        <v>0</v>
      </c>
      <c r="I226" s="337"/>
      <c r="J226" s="168"/>
      <c r="K226" s="168"/>
    </row>
    <row r="227" spans="1:11">
      <c r="A227" s="163"/>
      <c r="B227" s="170" t="s">
        <v>179</v>
      </c>
      <c r="C227" s="491">
        <f>'[20]Sch D'!K9</f>
        <v>0</v>
      </c>
      <c r="D227" s="491"/>
      <c r="E227" s="235">
        <f t="shared" si="59"/>
        <v>0</v>
      </c>
      <c r="F227" s="234">
        <v>0</v>
      </c>
      <c r="G227" s="235">
        <f t="shared" si="57"/>
        <v>0</v>
      </c>
      <c r="H227" s="172">
        <f t="shared" si="58"/>
        <v>0</v>
      </c>
      <c r="I227" s="337"/>
      <c r="J227" s="168"/>
      <c r="K227" s="168"/>
    </row>
    <row r="228" spans="1:11" ht="13.5" thickBot="1">
      <c r="A228" s="163"/>
      <c r="B228" s="236" t="s">
        <v>75</v>
      </c>
      <c r="C228" s="491">
        <f>SUM(C219:C227)</f>
        <v>14409</v>
      </c>
      <c r="D228" s="491">
        <f>SUM(D219:D227)</f>
        <v>0</v>
      </c>
      <c r="E228" s="237">
        <f>SUM(E219:E227)</f>
        <v>14409</v>
      </c>
      <c r="F228" s="237">
        <f>SUM(F219:F227)</f>
        <v>9806</v>
      </c>
      <c r="G228" s="237">
        <f>SUM(G219:G227)</f>
        <v>24215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620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619"/>
      <c r="D230" s="232"/>
      <c r="E230" s="232"/>
      <c r="F230" s="638" t="s">
        <v>600</v>
      </c>
      <c r="G230" s="232"/>
      <c r="H230" s="167"/>
      <c r="J230" s="168"/>
      <c r="K230" s="168"/>
    </row>
    <row r="231" spans="1:11">
      <c r="A231" s="163"/>
      <c r="B231" s="202" t="s">
        <v>219</v>
      </c>
      <c r="C231" s="492">
        <f>'[20]Sch D'!N22</f>
        <v>104</v>
      </c>
      <c r="D231" s="526"/>
      <c r="E231" s="235">
        <f>C231+D231</f>
        <v>104</v>
      </c>
      <c r="F231" s="235">
        <v>104</v>
      </c>
      <c r="G231" s="235">
        <f>F231</f>
        <v>104</v>
      </c>
      <c r="H231" s="167"/>
      <c r="J231" s="168"/>
      <c r="K231" s="168"/>
    </row>
    <row r="232" spans="1:11">
      <c r="A232" s="163"/>
      <c r="B232" s="202" t="s">
        <v>290</v>
      </c>
      <c r="C232" s="492">
        <f>'[20]Sch D'!N24</f>
        <v>104</v>
      </c>
      <c r="D232" s="526"/>
      <c r="E232" s="235">
        <f>C232+D232</f>
        <v>104</v>
      </c>
      <c r="F232" s="235">
        <v>104</v>
      </c>
      <c r="G232" s="235">
        <f>F232</f>
        <v>104</v>
      </c>
      <c r="H232" s="167"/>
      <c r="J232" s="168"/>
      <c r="K232" s="168"/>
    </row>
    <row r="233" spans="1:11">
      <c r="A233" s="163"/>
      <c r="B233" s="202" t="s">
        <v>76</v>
      </c>
      <c r="C233" s="492">
        <v>215</v>
      </c>
      <c r="D233" s="489"/>
      <c r="E233" s="235">
        <f>C233+D233</f>
        <v>215</v>
      </c>
      <c r="F233" s="240">
        <v>150</v>
      </c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621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492">
        <f>'[20]Sch D'!N28</f>
        <v>22360</v>
      </c>
      <c r="D235" s="489"/>
      <c r="E235" s="234">
        <f>E231*E233</f>
        <v>22360</v>
      </c>
      <c r="F235" s="240">
        <v>15600</v>
      </c>
      <c r="G235" s="234">
        <f>G231*G233</f>
        <v>37960</v>
      </c>
      <c r="H235" s="167"/>
      <c r="J235" s="168"/>
      <c r="K235" s="168"/>
    </row>
    <row r="236" spans="1:11" ht="26">
      <c r="A236" s="163"/>
      <c r="B236" s="244" t="s">
        <v>336</v>
      </c>
      <c r="C236" s="493">
        <f>'[20]Sch D'!N30</f>
        <v>0.64440966010733458</v>
      </c>
      <c r="D236" s="240"/>
      <c r="E236" s="245">
        <f>E228/E235</f>
        <v>0.64440966010733458</v>
      </c>
      <c r="F236" s="246">
        <v>0.62858974358974362</v>
      </c>
      <c r="G236" s="245">
        <f>G228/G235</f>
        <v>0.63790832455216018</v>
      </c>
      <c r="H236" s="167"/>
      <c r="J236" s="168"/>
      <c r="K236" s="168"/>
    </row>
    <row r="237" spans="1:11" ht="26">
      <c r="A237" s="163"/>
      <c r="B237" s="244" t="s">
        <v>337</v>
      </c>
      <c r="C237" s="493">
        <f>'[20]Sch D'!N32</f>
        <v>0.51073345259391767</v>
      </c>
      <c r="D237" s="240"/>
      <c r="E237" s="245">
        <f>(E219+E220)/E235</f>
        <v>0.51073345259391767</v>
      </c>
      <c r="F237" s="246">
        <v>0.51576923076923076</v>
      </c>
      <c r="G237" s="245">
        <f>(G219+G220)/G235</f>
        <v>0.51280295047418334</v>
      </c>
      <c r="H237" s="167"/>
      <c r="J237" s="168"/>
      <c r="K237" s="168"/>
    </row>
    <row r="238" spans="1:11" ht="26">
      <c r="A238" s="163"/>
      <c r="B238" s="244" t="s">
        <v>338</v>
      </c>
      <c r="C238" s="493">
        <f>'[20]Sch D'!N34</f>
        <v>0.79256020542716343</v>
      </c>
      <c r="D238" s="240"/>
      <c r="E238" s="245">
        <f>(E237/E236)</f>
        <v>0.79256020542716343</v>
      </c>
      <c r="F238" s="246">
        <v>0.82051805017336321</v>
      </c>
      <c r="G238" s="245">
        <f>(G237/G236)</f>
        <v>0.80388189138963451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490">
        <f>'[20]Sch B'!C85</f>
        <v>150.8587380497132</v>
      </c>
    </row>
    <row r="242" spans="2:7">
      <c r="F242" s="142" t="s">
        <v>341</v>
      </c>
      <c r="G242" s="490">
        <f>'[20]Sch B'!E85</f>
        <v>151.66946078431374</v>
      </c>
    </row>
    <row r="243" spans="2:7">
      <c r="F243" s="142" t="s">
        <v>342</v>
      </c>
      <c r="G243" s="490">
        <f>'[20]Sch B'!G85</f>
        <v>151.36164556962024</v>
      </c>
    </row>
    <row r="244" spans="2:7">
      <c r="F244" s="142" t="s">
        <v>343</v>
      </c>
      <c r="G244" s="490">
        <v>150.66468319559229</v>
      </c>
    </row>
    <row r="245" spans="2:7">
      <c r="F245" s="142"/>
    </row>
    <row r="246" spans="2:7" ht="15">
      <c r="B246" s="463"/>
    </row>
    <row r="247" spans="2:7" ht="15">
      <c r="B247" s="463"/>
    </row>
    <row r="248" spans="2:7" ht="15">
      <c r="B248" s="463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A12" sqref="A12"/>
      <pageMargins left="0" right="0" top="0" bottom="1" header="0.5" footer="0.5"/>
      <printOptions horizontalCentered="1"/>
      <pageSetup scale="70" orientation="portrait" r:id="rId2"/>
      <headerFooter alignWithMargins="0">
        <oddFooter>&amp;RLVT
&amp;D
&amp;T
&amp;F</oddFooter>
      </headerFooter>
    </customSheetView>
  </customSheetViews>
  <mergeCells count="1">
    <mergeCell ref="J23:L23"/>
  </mergeCells>
  <phoneticPr fontId="0" type="noConversion"/>
  <printOptions horizontalCentered="1"/>
  <pageMargins left="0" right="0" top="0.75" bottom="1" header="0.5" footer="0.5"/>
  <pageSetup scale="70" orientation="portrait" r:id="rId3"/>
  <headerFooter alignWithMargins="0">
    <oddFooter>&amp;R&amp;D
&amp;T
&amp;F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5">
    <tabColor rgb="FFE28CAB"/>
  </sheetPr>
  <dimension ref="A1:Q245"/>
  <sheetViews>
    <sheetView zoomScale="90" zoomScaleNormal="90" workbookViewId="0">
      <selection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478"/>
      <c r="E1" s="478"/>
      <c r="F1" s="478"/>
      <c r="G1" s="478"/>
      <c r="H1" s="478"/>
      <c r="I1" s="479"/>
    </row>
    <row r="2" spans="1:14" ht="23">
      <c r="B2" s="143" t="s">
        <v>189</v>
      </c>
      <c r="C2" s="247" t="s">
        <v>378</v>
      </c>
      <c r="D2" s="247"/>
      <c r="E2" s="144"/>
    </row>
    <row r="3" spans="1:14">
      <c r="A3" s="145"/>
      <c r="B3" s="140" t="s">
        <v>79</v>
      </c>
      <c r="C3" s="495">
        <v>41821</v>
      </c>
      <c r="D3" s="144"/>
      <c r="E3" s="147"/>
    </row>
    <row r="4" spans="1:14">
      <c r="A4" s="145"/>
      <c r="B4" s="148" t="s">
        <v>80</v>
      </c>
      <c r="C4" s="495">
        <v>42185</v>
      </c>
      <c r="D4" s="144"/>
      <c r="E4" s="149"/>
      <c r="G4" s="150"/>
    </row>
    <row r="5" spans="1:14">
      <c r="A5" s="145"/>
      <c r="B5" s="148"/>
      <c r="C5" s="151"/>
      <c r="D5" s="144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144"/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573">
        <f>'[21]Sch B'!E10</f>
        <v>770900</v>
      </c>
      <c r="D11" s="573">
        <f>'[21]Sch B'!G10</f>
        <v>0</v>
      </c>
      <c r="E11" s="171">
        <f>C11+D11</f>
        <v>770900</v>
      </c>
      <c r="F11" s="171"/>
      <c r="G11" s="171">
        <f t="shared" ref="G11:G20" si="0">E11+F11</f>
        <v>770900</v>
      </c>
      <c r="H11" s="172">
        <f t="shared" ref="H11:H21" si="1">IF($G$21=0,0,G11/$G$21)</f>
        <v>0.65584997160932756</v>
      </c>
      <c r="I11" s="337"/>
      <c r="J11" s="368" t="s">
        <v>344</v>
      </c>
      <c r="K11" s="369">
        <f>G21</f>
        <v>1175421.26</v>
      </c>
      <c r="M11" s="359">
        <f>IFERROR(G11/G219,0)</f>
        <v>138.95097332372026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573">
        <f>'[21]Sch B'!E15</f>
        <v>0</v>
      </c>
      <c r="D12" s="573">
        <f>'[21]Sch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7"/>
      <c r="J12" s="370" t="s">
        <v>345</v>
      </c>
      <c r="K12" s="371">
        <f>G208</f>
        <v>1248930.7700000003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573">
        <f>'[21]Sch B'!E21</f>
        <v>0</v>
      </c>
      <c r="D13" s="573">
        <f>'[21]Sch B'!G21</f>
        <v>0</v>
      </c>
      <c r="E13" s="171">
        <f t="shared" si="2"/>
        <v>0</v>
      </c>
      <c r="F13" s="171"/>
      <c r="G13" s="171">
        <f t="shared" si="0"/>
        <v>0</v>
      </c>
      <c r="H13" s="172">
        <f t="shared" si="1"/>
        <v>0</v>
      </c>
      <c r="I13" s="337"/>
      <c r="J13" s="370" t="s">
        <v>346</v>
      </c>
      <c r="K13" s="371">
        <f>G228</f>
        <v>8309</v>
      </c>
      <c r="M13" s="359">
        <f t="shared" si="3"/>
        <v>0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573">
        <f>'[21]Sch B'!E27</f>
        <v>0</v>
      </c>
      <c r="D14" s="573">
        <f>'[21]Sch B'!G27</f>
        <v>0</v>
      </c>
      <c r="E14" s="171">
        <f t="shared" si="2"/>
        <v>0</v>
      </c>
      <c r="F14" s="175"/>
      <c r="G14" s="175">
        <f>E14+F14</f>
        <v>0</v>
      </c>
      <c r="H14" s="176">
        <f t="shared" si="1"/>
        <v>0</v>
      </c>
      <c r="I14" s="338"/>
      <c r="J14" s="370" t="s">
        <v>347</v>
      </c>
      <c r="K14" s="371">
        <f>G231</f>
        <v>26</v>
      </c>
      <c r="M14" s="359">
        <f t="shared" si="3"/>
        <v>0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573">
        <f>'[21]Sch B'!E32</f>
        <v>0</v>
      </c>
      <c r="D15" s="573">
        <f>'[21]Sch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7"/>
      <c r="J15" s="370" t="s">
        <v>348</v>
      </c>
      <c r="K15" s="371">
        <f>G235</f>
        <v>9490</v>
      </c>
      <c r="M15" s="359">
        <f t="shared" si="3"/>
        <v>0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573">
        <f>'[21]Sch B'!E37</f>
        <v>227635</v>
      </c>
      <c r="D16" s="573">
        <f>'[21]Sch B'!G37</f>
        <v>0</v>
      </c>
      <c r="E16" s="171">
        <f t="shared" si="2"/>
        <v>227635</v>
      </c>
      <c r="F16" s="171"/>
      <c r="G16" s="171">
        <f t="shared" si="0"/>
        <v>227635</v>
      </c>
      <c r="H16" s="172">
        <f t="shared" si="1"/>
        <v>0.19366248318496468</v>
      </c>
      <c r="I16" s="337"/>
      <c r="J16" s="372"/>
      <c r="K16" s="371"/>
      <c r="M16" s="359">
        <f t="shared" si="3"/>
        <v>135.98267622461171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573">
        <f>'[21]Sch B'!E42</f>
        <v>161864</v>
      </c>
      <c r="D17" s="573">
        <f>'[21]Sch B'!G42</f>
        <v>0</v>
      </c>
      <c r="E17" s="171">
        <f t="shared" si="2"/>
        <v>161864</v>
      </c>
      <c r="F17" s="171"/>
      <c r="G17" s="171">
        <f>E17+F17</f>
        <v>161864</v>
      </c>
      <c r="H17" s="172">
        <f t="shared" si="1"/>
        <v>0.13770722506754726</v>
      </c>
      <c r="I17" s="337"/>
      <c r="J17" s="370" t="s">
        <v>156</v>
      </c>
      <c r="K17" s="371">
        <f>J208</f>
        <v>44296.25</v>
      </c>
      <c r="M17" s="359">
        <f t="shared" si="3"/>
        <v>148.90892364305427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573">
        <f>'[21]Sch B'!E47</f>
        <v>0</v>
      </c>
      <c r="D18" s="573">
        <f>'[21]Sch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337"/>
      <c r="J18" s="373" t="s">
        <v>252</v>
      </c>
      <c r="K18" s="374">
        <f>K208</f>
        <v>44296</v>
      </c>
      <c r="M18" s="359">
        <f t="shared" si="3"/>
        <v>0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573">
        <f>'[21]Sch B'!E52</f>
        <v>0</v>
      </c>
      <c r="D19" s="573">
        <f>'[21]Sch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337"/>
      <c r="J19" s="168"/>
      <c r="K19" s="168"/>
      <c r="M19" s="359">
        <f t="shared" si="3"/>
        <v>0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573">
        <f>'[21]Sch B'!E67</f>
        <v>15022.26</v>
      </c>
      <c r="D20" s="573">
        <f>'[21]Sch B'!G67</f>
        <v>0</v>
      </c>
      <c r="E20" s="171">
        <f t="shared" si="2"/>
        <v>15022.26</v>
      </c>
      <c r="F20" s="171"/>
      <c r="G20" s="171">
        <f t="shared" si="0"/>
        <v>15022.26</v>
      </c>
      <c r="H20" s="172">
        <f t="shared" si="1"/>
        <v>1.2780320138160509E-2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573">
        <f>SUM(C11:C20)</f>
        <v>1175421.26</v>
      </c>
      <c r="D21" s="573">
        <f>SUM(D11:D20)</f>
        <v>0</v>
      </c>
      <c r="E21" s="171">
        <f>SUM(E11:E20)</f>
        <v>1175421.26</v>
      </c>
      <c r="F21" s="171">
        <f>SUM(F11:F20)</f>
        <v>0</v>
      </c>
      <c r="G21" s="171">
        <f>SUM(G11:G20)</f>
        <v>1175421.26</v>
      </c>
      <c r="H21" s="172">
        <f t="shared" si="1"/>
        <v>1</v>
      </c>
      <c r="I21" s="337"/>
      <c r="J21" s="168"/>
      <c r="K21" s="168"/>
      <c r="M21" s="359">
        <f>IFERROR(G21/G228,0)</f>
        <v>141.46362498495608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4">
      <c r="A24" s="181" t="s">
        <v>161</v>
      </c>
      <c r="B24" s="148" t="s">
        <v>12</v>
      </c>
      <c r="M24" s="363"/>
      <c r="N24" s="363"/>
    </row>
    <row r="25" spans="1:14" s="167" customFormat="1">
      <c r="A25" s="169" t="s">
        <v>83</v>
      </c>
      <c r="B25" s="170" t="s">
        <v>14</v>
      </c>
      <c r="C25" s="573">
        <f>'[21]Sch C'!D10</f>
        <v>36165</v>
      </c>
      <c r="D25" s="573">
        <f>'[21]Sch C'!F10</f>
        <v>0</v>
      </c>
      <c r="E25" s="171">
        <f t="shared" ref="E25:E60" si="4">C25+D25</f>
        <v>36165</v>
      </c>
      <c r="F25" s="171"/>
      <c r="G25" s="182">
        <f>E25+F25</f>
        <v>36165</v>
      </c>
      <c r="H25" s="172">
        <f>IF($G$208=0,0,G25/$G$208)</f>
        <v>2.8956769157028609E-2</v>
      </c>
      <c r="I25" s="337"/>
      <c r="J25" s="183">
        <v>0</v>
      </c>
      <c r="K25" s="183">
        <v>0</v>
      </c>
      <c r="M25" s="359">
        <f>G25/G$228</f>
        <v>4.352509327235528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573">
        <f>'[21]Sch C'!D11</f>
        <v>0</v>
      </c>
      <c r="D26" s="573">
        <f>'[21]Sch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573">
        <f>'[21]Sch C'!D12</f>
        <v>72232</v>
      </c>
      <c r="D27" s="573">
        <f>'[21]Sch C'!F12</f>
        <v>0</v>
      </c>
      <c r="E27" s="171">
        <f t="shared" si="4"/>
        <v>72232</v>
      </c>
      <c r="F27" s="171"/>
      <c r="G27" s="171">
        <f t="shared" si="5"/>
        <v>72232</v>
      </c>
      <c r="H27" s="172">
        <f t="shared" si="6"/>
        <v>5.7835071194538658E-2</v>
      </c>
      <c r="I27" s="337"/>
      <c r="J27" s="185">
        <v>2216</v>
      </c>
      <c r="K27" s="185">
        <v>2216</v>
      </c>
      <c r="M27" s="359">
        <f t="shared" si="7"/>
        <v>8.6932242147069445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573">
        <f>'[21]Sch C'!D13</f>
        <v>37752</v>
      </c>
      <c r="D28" s="573">
        <f>'[21]Sch C'!F13</f>
        <v>0</v>
      </c>
      <c r="E28" s="171">
        <f t="shared" si="4"/>
        <v>37752</v>
      </c>
      <c r="F28" s="171">
        <v>-25030</v>
      </c>
      <c r="G28" s="171">
        <f t="shared" si="5"/>
        <v>12722</v>
      </c>
      <c r="H28" s="172">
        <f t="shared" si="6"/>
        <v>1.0186313209338254E-2</v>
      </c>
      <c r="I28" s="337"/>
      <c r="J28" s="168"/>
      <c r="K28" s="168"/>
      <c r="M28" s="359">
        <f t="shared" si="7"/>
        <v>1.5311108436634975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573">
        <f>'[21]Sch C'!D14</f>
        <v>0</v>
      </c>
      <c r="D29" s="573">
        <f>'[21]Sch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573">
        <f>'[21]Sch C'!D15</f>
        <v>0</v>
      </c>
      <c r="D30" s="573">
        <f>'[21]Sch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7"/>
      <c r="J30" s="168"/>
      <c r="K30" s="168"/>
      <c r="M30" s="359">
        <f t="shared" si="7"/>
        <v>0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573">
        <f>'[21]Sch C'!D16</f>
        <v>0</v>
      </c>
      <c r="D31" s="573">
        <f>'[21]Sch C'!F16</f>
        <v>0</v>
      </c>
      <c r="E31" s="171">
        <f t="shared" si="4"/>
        <v>0</v>
      </c>
      <c r="F31" s="171"/>
      <c r="G31" s="171">
        <f t="shared" si="5"/>
        <v>0</v>
      </c>
      <c r="H31" s="172">
        <f t="shared" si="6"/>
        <v>0</v>
      </c>
      <c r="I31" s="337"/>
      <c r="J31" s="168"/>
      <c r="K31" s="168"/>
      <c r="M31" s="359">
        <f t="shared" si="7"/>
        <v>0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573">
        <f>'[21]Sch C'!D17</f>
        <v>952</v>
      </c>
      <c r="D32" s="573">
        <f>'[21]Sch C'!F17</f>
        <v>0</v>
      </c>
      <c r="E32" s="171">
        <f t="shared" si="4"/>
        <v>952</v>
      </c>
      <c r="F32" s="171"/>
      <c r="G32" s="171">
        <f t="shared" si="5"/>
        <v>952</v>
      </c>
      <c r="H32" s="172">
        <f t="shared" si="6"/>
        <v>7.6225201818031895E-4</v>
      </c>
      <c r="I32" s="337"/>
      <c r="J32" s="168"/>
      <c r="K32" s="168"/>
      <c r="M32" s="359">
        <f t="shared" si="7"/>
        <v>0.11457455770850884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573">
        <f>'[21]Sch C'!D18</f>
        <v>3943</v>
      </c>
      <c r="D33" s="573">
        <f>'[21]Sch C'!F18</f>
        <v>0</v>
      </c>
      <c r="E33" s="171">
        <f t="shared" si="4"/>
        <v>3943</v>
      </c>
      <c r="F33" s="171"/>
      <c r="G33" s="171">
        <f t="shared" si="5"/>
        <v>3943</v>
      </c>
      <c r="H33" s="172">
        <f t="shared" si="6"/>
        <v>3.1571005332825608E-3</v>
      </c>
      <c r="I33" s="337"/>
      <c r="J33" s="168"/>
      <c r="K33" s="168"/>
      <c r="M33" s="359">
        <f t="shared" si="7"/>
        <v>0.47454567336622938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573">
        <f>'[21]Sch C'!D19</f>
        <v>13678</v>
      </c>
      <c r="D34" s="573">
        <f>'[21]Sch C'!F19</f>
        <v>0</v>
      </c>
      <c r="E34" s="171">
        <f t="shared" si="4"/>
        <v>13678</v>
      </c>
      <c r="F34" s="171">
        <v>-9499</v>
      </c>
      <c r="G34" s="171">
        <f t="shared" si="5"/>
        <v>4179</v>
      </c>
      <c r="H34" s="172">
        <f t="shared" si="6"/>
        <v>3.3460621680415472E-3</v>
      </c>
      <c r="I34" s="337"/>
      <c r="J34" s="168"/>
      <c r="K34" s="168"/>
      <c r="M34" s="359">
        <f t="shared" si="7"/>
        <v>0.50294860994102775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573">
        <f>'[21]Sch C'!D20</f>
        <v>2324</v>
      </c>
      <c r="D35" s="573">
        <f>'[21]Sch C'!F20</f>
        <v>0</v>
      </c>
      <c r="E35" s="171">
        <f t="shared" si="4"/>
        <v>2324</v>
      </c>
      <c r="F35" s="171"/>
      <c r="G35" s="171">
        <f t="shared" si="5"/>
        <v>2324</v>
      </c>
      <c r="H35" s="172">
        <f t="shared" si="6"/>
        <v>1.8607916914401906E-3</v>
      </c>
      <c r="I35" s="337"/>
      <c r="J35" s="168"/>
      <c r="K35" s="168"/>
      <c r="M35" s="359">
        <f t="shared" si="7"/>
        <v>0.27969671440606569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573">
        <f>'[21]Sch C'!D21</f>
        <v>6474</v>
      </c>
      <c r="D36" s="573">
        <f>'[21]Sch C'!F21</f>
        <v>0</v>
      </c>
      <c r="E36" s="171">
        <f t="shared" si="4"/>
        <v>6474</v>
      </c>
      <c r="F36" s="171"/>
      <c r="G36" s="171">
        <f t="shared" si="5"/>
        <v>6474</v>
      </c>
      <c r="H36" s="172">
        <f t="shared" si="6"/>
        <v>5.1836339975833874E-3</v>
      </c>
      <c r="I36" s="337"/>
      <c r="J36" s="168"/>
      <c r="K36" s="168"/>
      <c r="M36" s="359">
        <f t="shared" si="7"/>
        <v>0.77915513298832595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573">
        <f>'[21]Sch C'!D22</f>
        <v>0</v>
      </c>
      <c r="D37" s="573">
        <f>'[21]Sch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573">
        <f>'[21]Sch C'!D23</f>
        <v>225</v>
      </c>
      <c r="D38" s="573">
        <f>'[21]Sch C'!F23</f>
        <v>0</v>
      </c>
      <c r="E38" s="171">
        <f t="shared" si="4"/>
        <v>225</v>
      </c>
      <c r="F38" s="171"/>
      <c r="G38" s="171">
        <f t="shared" si="5"/>
        <v>225</v>
      </c>
      <c r="H38" s="172">
        <f t="shared" si="6"/>
        <v>1.8015410093547455E-4</v>
      </c>
      <c r="I38" s="337"/>
      <c r="J38" s="168"/>
      <c r="K38" s="168"/>
      <c r="M38" s="359">
        <f t="shared" si="7"/>
        <v>2.7079070886990009E-2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573">
        <f>'[21]Sch C'!D24</f>
        <v>8006</v>
      </c>
      <c r="D39" s="573">
        <f>'[21]Sch C'!F24</f>
        <v>0</v>
      </c>
      <c r="E39" s="171">
        <f t="shared" si="4"/>
        <v>8006</v>
      </c>
      <c r="F39" s="171"/>
      <c r="G39" s="171">
        <f t="shared" si="5"/>
        <v>8006</v>
      </c>
      <c r="H39" s="172">
        <f t="shared" si="6"/>
        <v>6.4102832537307076E-3</v>
      </c>
      <c r="I39" s="337"/>
      <c r="J39" s="168"/>
      <c r="K39" s="168"/>
      <c r="M39" s="359">
        <f t="shared" si="7"/>
        <v>0.96353351787218677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573">
        <f>'[21]Sch C'!D25</f>
        <v>0</v>
      </c>
      <c r="D40" s="573">
        <f>'[21]Sch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337"/>
      <c r="J40" s="168"/>
      <c r="K40" s="168"/>
      <c r="M40" s="359">
        <f t="shared" si="7"/>
        <v>0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573">
        <f>'[21]Sch C'!D26</f>
        <v>106876</v>
      </c>
      <c r="D41" s="573">
        <f>'[21]Sch C'!F26</f>
        <v>0</v>
      </c>
      <c r="E41" s="171">
        <f t="shared" si="4"/>
        <v>106876</v>
      </c>
      <c r="F41" s="171">
        <v>9499</v>
      </c>
      <c r="G41" s="171">
        <f t="shared" si="5"/>
        <v>116375</v>
      </c>
      <c r="H41" s="172">
        <f t="shared" si="6"/>
        <v>9.3179704428292667E-2</v>
      </c>
      <c r="I41" s="337"/>
      <c r="J41" s="168"/>
      <c r="K41" s="168"/>
      <c r="M41" s="359">
        <f t="shared" si="7"/>
        <v>14.005897219882055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573">
        <f>'[21]Sch C'!D27</f>
        <v>0</v>
      </c>
      <c r="D42" s="573">
        <f>'[21]Sch C'!F27</f>
        <v>0</v>
      </c>
      <c r="E42" s="171">
        <f t="shared" si="4"/>
        <v>0</v>
      </c>
      <c r="F42" s="171"/>
      <c r="G42" s="171">
        <f t="shared" si="5"/>
        <v>0</v>
      </c>
      <c r="H42" s="172">
        <f t="shared" si="6"/>
        <v>0</v>
      </c>
      <c r="I42" s="337"/>
      <c r="J42" s="168"/>
      <c r="K42" s="168"/>
      <c r="M42" s="359">
        <f t="shared" si="7"/>
        <v>0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573">
        <f>'[21]Sch C'!D28</f>
        <v>0</v>
      </c>
      <c r="D43" s="573">
        <f>'[21]Sch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573">
        <f>'[21]Sch C'!D29</f>
        <v>0</v>
      </c>
      <c r="D44" s="573">
        <f>'[21]Sch C'!F29</f>
        <v>0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573">
        <f>'[21]Sch C'!D30</f>
        <v>0</v>
      </c>
      <c r="D45" s="573">
        <f>'[21]Sch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573">
        <f>'[21]Sch C'!D31</f>
        <v>11736</v>
      </c>
      <c r="D46" s="573">
        <f>'[21]Sch C'!F31</f>
        <v>0</v>
      </c>
      <c r="E46" s="171">
        <f t="shared" si="4"/>
        <v>11736</v>
      </c>
      <c r="F46" s="171"/>
      <c r="G46" s="171">
        <f t="shared" si="5"/>
        <v>11736</v>
      </c>
      <c r="H46" s="172">
        <f t="shared" si="6"/>
        <v>9.3968379047943522E-3</v>
      </c>
      <c r="I46" s="337"/>
      <c r="J46" s="168"/>
      <c r="K46" s="168"/>
      <c r="M46" s="359">
        <f t="shared" si="7"/>
        <v>1.412444337465399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573">
        <f>'[21]Sch C'!D32</f>
        <v>0</v>
      </c>
      <c r="D47" s="573">
        <f>'[21]Sch C'!F32</f>
        <v>0</v>
      </c>
      <c r="E47" s="171">
        <f t="shared" si="4"/>
        <v>0</v>
      </c>
      <c r="F47" s="171"/>
      <c r="G47" s="171">
        <f t="shared" si="5"/>
        <v>0</v>
      </c>
      <c r="H47" s="172">
        <f t="shared" si="6"/>
        <v>0</v>
      </c>
      <c r="I47" s="337"/>
      <c r="J47" s="168"/>
      <c r="K47" s="168"/>
      <c r="M47" s="359">
        <f t="shared" si="7"/>
        <v>0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573">
        <f>'[21]Sch C'!D33</f>
        <v>0</v>
      </c>
      <c r="D48" s="573">
        <f>'[21]Sch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573">
        <f>'[21]Sch C'!D34</f>
        <v>0</v>
      </c>
      <c r="D49" s="573">
        <f>'[21]Sch C'!F34</f>
        <v>0</v>
      </c>
      <c r="E49" s="171">
        <f t="shared" si="4"/>
        <v>0</v>
      </c>
      <c r="F49" s="171"/>
      <c r="G49" s="171">
        <f t="shared" si="5"/>
        <v>0</v>
      </c>
      <c r="H49" s="172">
        <f t="shared" si="6"/>
        <v>0</v>
      </c>
      <c r="I49" s="337"/>
      <c r="J49" s="168"/>
      <c r="K49" s="168"/>
      <c r="M49" s="359">
        <f t="shared" si="7"/>
        <v>0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573">
        <f>'[21]Sch C'!D35</f>
        <v>0</v>
      </c>
      <c r="D50" s="573">
        <f>'[21]Sch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573">
        <f>'[21]Sch C'!D36</f>
        <v>0</v>
      </c>
      <c r="D51" s="573">
        <f>'[21]Sch C'!F36</f>
        <v>0</v>
      </c>
      <c r="E51" s="171">
        <f t="shared" si="4"/>
        <v>0</v>
      </c>
      <c r="F51" s="171"/>
      <c r="G51" s="171">
        <f t="shared" si="5"/>
        <v>0</v>
      </c>
      <c r="H51" s="172">
        <f t="shared" si="6"/>
        <v>0</v>
      </c>
      <c r="I51" s="337"/>
      <c r="J51" s="183">
        <v>0</v>
      </c>
      <c r="K51" s="183">
        <v>0</v>
      </c>
      <c r="M51" s="359">
        <f t="shared" si="7"/>
        <v>0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573">
        <f>'[21]Sch C'!D37</f>
        <v>0</v>
      </c>
      <c r="D52" s="573">
        <f>'[21]Sch C'!F37</f>
        <v>0</v>
      </c>
      <c r="E52" s="171">
        <f t="shared" si="4"/>
        <v>0</v>
      </c>
      <c r="F52" s="171"/>
      <c r="G52" s="171">
        <f t="shared" si="5"/>
        <v>0</v>
      </c>
      <c r="H52" s="172">
        <f t="shared" si="6"/>
        <v>0</v>
      </c>
      <c r="I52" s="337"/>
      <c r="J52" s="168"/>
      <c r="K52" s="168"/>
      <c r="M52" s="359">
        <f t="shared" si="7"/>
        <v>0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573">
        <f>'[21]Sch C'!D38</f>
        <v>0</v>
      </c>
      <c r="D53" s="573">
        <f>'[21]Sch C'!F38</f>
        <v>0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7"/>
      <c r="J53" s="168"/>
      <c r="K53" s="168"/>
      <c r="M53" s="359">
        <f t="shared" si="7"/>
        <v>0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573">
        <f>'[21]Sch C'!D39</f>
        <v>2813</v>
      </c>
      <c r="D54" s="573">
        <f>'[21]Sch C'!F39</f>
        <v>0</v>
      </c>
      <c r="E54" s="171">
        <f t="shared" si="4"/>
        <v>2813</v>
      </c>
      <c r="F54" s="171"/>
      <c r="G54" s="171">
        <f t="shared" si="5"/>
        <v>2813</v>
      </c>
      <c r="H54" s="172">
        <f t="shared" si="6"/>
        <v>2.2523266041399553E-3</v>
      </c>
      <c r="I54" s="337"/>
      <c r="J54" s="168"/>
      <c r="K54" s="168"/>
      <c r="M54" s="359">
        <f t="shared" si="7"/>
        <v>0.33854856180045734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573">
        <f>'[21]Sch C'!D40</f>
        <v>0</v>
      </c>
      <c r="D55" s="573">
        <f>'[21]Sch C'!F40</f>
        <v>0</v>
      </c>
      <c r="E55" s="171">
        <f t="shared" si="4"/>
        <v>0</v>
      </c>
      <c r="F55" s="171"/>
      <c r="G55" s="171">
        <f t="shared" si="5"/>
        <v>0</v>
      </c>
      <c r="H55" s="172">
        <f t="shared" si="6"/>
        <v>0</v>
      </c>
      <c r="I55" s="337"/>
      <c r="J55" s="168"/>
      <c r="K55" s="168"/>
      <c r="M55" s="359">
        <f t="shared" si="7"/>
        <v>0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573">
        <f>'[21]Sch C'!D41</f>
        <v>0</v>
      </c>
      <c r="D56" s="573">
        <f>'[21]Sch C'!F41</f>
        <v>0</v>
      </c>
      <c r="E56" s="171">
        <f t="shared" si="4"/>
        <v>0</v>
      </c>
      <c r="F56" s="171">
        <v>660</v>
      </c>
      <c r="G56" s="171">
        <f t="shared" si="5"/>
        <v>660</v>
      </c>
      <c r="H56" s="172">
        <f t="shared" si="6"/>
        <v>5.2845202941072538E-4</v>
      </c>
      <c r="I56" s="337"/>
      <c r="J56" s="168"/>
      <c r="K56" s="168"/>
      <c r="M56" s="359">
        <f t="shared" si="7"/>
        <v>7.943194126850403E-2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573">
        <f>'[21]Sch C'!D42</f>
        <v>0</v>
      </c>
      <c r="D57" s="573">
        <f>'[21]Sch C'!F42</f>
        <v>0</v>
      </c>
      <c r="E57" s="171">
        <f t="shared" si="4"/>
        <v>0</v>
      </c>
      <c r="F57" s="171"/>
      <c r="G57" s="171">
        <f t="shared" si="5"/>
        <v>0</v>
      </c>
      <c r="H57" s="172">
        <f t="shared" si="6"/>
        <v>0</v>
      </c>
      <c r="I57" s="337"/>
      <c r="J57" s="168"/>
      <c r="K57" s="168"/>
      <c r="M57" s="359">
        <f t="shared" si="7"/>
        <v>0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573">
        <f>'[21]Sch C'!D43</f>
        <v>16456.490000000002</v>
      </c>
      <c r="D58" s="573">
        <f>'[21]Sch C'!F43</f>
        <v>0</v>
      </c>
      <c r="E58" s="171">
        <f t="shared" si="4"/>
        <v>16456.490000000002</v>
      </c>
      <c r="F58" s="171"/>
      <c r="G58" s="171">
        <f t="shared" si="5"/>
        <v>16456.490000000002</v>
      </c>
      <c r="H58" s="172">
        <f t="shared" si="6"/>
        <v>1.3176462935571679E-2</v>
      </c>
      <c r="I58" s="337"/>
      <c r="J58" s="168"/>
      <c r="K58" s="168"/>
      <c r="M58" s="359">
        <f t="shared" si="7"/>
        <v>1.9805620411601879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573">
        <f>'[21]Sch C'!D44</f>
        <v>0</v>
      </c>
      <c r="D59" s="573">
        <f>'[21]Sch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7"/>
      <c r="J59" s="168"/>
      <c r="K59" s="168"/>
      <c r="M59" s="359">
        <f t="shared" si="7"/>
        <v>0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573">
        <f>'[21]Sch C'!D45</f>
        <v>750.49</v>
      </c>
      <c r="D60" s="573">
        <f>'[21]Sch C'!F45</f>
        <v>0</v>
      </c>
      <c r="E60" s="171">
        <f t="shared" si="4"/>
        <v>750.49</v>
      </c>
      <c r="F60" s="171"/>
      <c r="G60" s="171">
        <f t="shared" si="5"/>
        <v>750.49</v>
      </c>
      <c r="H60" s="172">
        <f t="shared" si="6"/>
        <v>6.0090600538250803E-4</v>
      </c>
      <c r="I60" s="337"/>
      <c r="J60" s="168"/>
      <c r="K60" s="168"/>
      <c r="M60" s="359">
        <f t="shared" si="7"/>
        <v>9.03225418221206E-2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573">
        <f>SUM(C25:C60)</f>
        <v>320382.98</v>
      </c>
      <c r="D61" s="573">
        <f>SUM(D25:D60)</f>
        <v>0</v>
      </c>
      <c r="E61" s="171">
        <f t="shared" ref="E61" si="8">SUM(E25:E60)</f>
        <v>320382.98</v>
      </c>
      <c r="F61" s="171">
        <f>SUM(F25:F60)</f>
        <v>-24370</v>
      </c>
      <c r="G61" s="171">
        <f>SUM(G25:G60)</f>
        <v>296012.98</v>
      </c>
      <c r="H61" s="186">
        <f t="shared" si="6"/>
        <v>0.23701312123169158</v>
      </c>
      <c r="I61" s="339"/>
      <c r="J61" s="168"/>
      <c r="K61" s="168"/>
      <c r="M61" s="364">
        <f>G61/G$228</f>
        <v>35.625584306174026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I62" s="340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573">
        <f>'[21]Sch C'!D57</f>
        <v>64000</v>
      </c>
      <c r="D64" s="573">
        <f>'[21]Sch C'!F57</f>
        <v>64000</v>
      </c>
      <c r="E64" s="171">
        <f t="shared" ref="E64:E78" si="9">C64+D64</f>
        <v>128000</v>
      </c>
      <c r="F64" s="171">
        <v>-128000</v>
      </c>
      <c r="G64" s="171">
        <f t="shared" ref="G64:G78" si="10">E64+F64</f>
        <v>0</v>
      </c>
      <c r="H64" s="172">
        <f t="shared" ref="H64:H79" si="11">IF($G$208=0,0,G64/$G$208)</f>
        <v>0</v>
      </c>
      <c r="I64" s="337"/>
      <c r="J64" s="190"/>
      <c r="K64" s="168"/>
      <c r="M64" s="359">
        <f t="shared" ref="M64:M79" si="12">G64/G$228</f>
        <v>0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573">
        <f>'[21]Sch C'!D58</f>
        <v>0</v>
      </c>
      <c r="D65" s="573">
        <f>'[21]Sch C'!F58</f>
        <v>0</v>
      </c>
      <c r="E65" s="171">
        <f t="shared" si="9"/>
        <v>0</v>
      </c>
      <c r="F65" s="171"/>
      <c r="G65" s="171">
        <f t="shared" si="10"/>
        <v>0</v>
      </c>
      <c r="H65" s="172">
        <f t="shared" si="11"/>
        <v>0</v>
      </c>
      <c r="I65" s="337"/>
      <c r="J65" s="190"/>
      <c r="K65" s="168"/>
      <c r="M65" s="359">
        <f t="shared" si="12"/>
        <v>0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573">
        <f>'[21]Sch C'!D59</f>
        <v>0</v>
      </c>
      <c r="D66" s="573">
        <f>'[21]Sch C'!F59</f>
        <v>0</v>
      </c>
      <c r="E66" s="171">
        <f t="shared" si="9"/>
        <v>0</v>
      </c>
      <c r="F66" s="171"/>
      <c r="G66" s="171">
        <f t="shared" si="10"/>
        <v>0</v>
      </c>
      <c r="H66" s="172">
        <f t="shared" si="11"/>
        <v>0</v>
      </c>
      <c r="I66" s="337"/>
      <c r="J66" s="190"/>
      <c r="K66" s="168"/>
      <c r="M66" s="359">
        <f t="shared" si="12"/>
        <v>0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573">
        <f>'[21]Sch C'!D60</f>
        <v>6237</v>
      </c>
      <c r="D67" s="573">
        <f>'[21]Sch C'!F60</f>
        <v>0</v>
      </c>
      <c r="E67" s="171">
        <f t="shared" si="9"/>
        <v>6237</v>
      </c>
      <c r="F67" s="171"/>
      <c r="G67" s="171">
        <f t="shared" si="10"/>
        <v>6237</v>
      </c>
      <c r="H67" s="172">
        <f t="shared" si="11"/>
        <v>4.9938716779313547E-3</v>
      </c>
      <c r="I67" s="337"/>
      <c r="J67" s="193"/>
      <c r="K67" s="168"/>
      <c r="M67" s="359">
        <f t="shared" si="12"/>
        <v>0.75063184498736313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573">
        <f>'[21]Sch C'!D61</f>
        <v>3016</v>
      </c>
      <c r="D68" s="573">
        <f>'[21]Sch C'!F61</f>
        <v>0</v>
      </c>
      <c r="E68" s="171">
        <f t="shared" si="9"/>
        <v>3016</v>
      </c>
      <c r="F68" s="171"/>
      <c r="G68" s="171">
        <f t="shared" si="10"/>
        <v>3016</v>
      </c>
      <c r="H68" s="172">
        <f t="shared" si="11"/>
        <v>2.4148656374284056E-3</v>
      </c>
      <c r="I68" s="337"/>
      <c r="J68" s="193"/>
      <c r="K68" s="168"/>
      <c r="M68" s="359">
        <f t="shared" si="12"/>
        <v>0.36297990131183056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573">
        <f>'[21]Sch C'!D62</f>
        <v>0</v>
      </c>
      <c r="D69" s="573">
        <f>'[21]Sch C'!F62</f>
        <v>0</v>
      </c>
      <c r="E69" s="171">
        <f t="shared" si="9"/>
        <v>0</v>
      </c>
      <c r="F69" s="171"/>
      <c r="G69" s="171">
        <f t="shared" si="10"/>
        <v>0</v>
      </c>
      <c r="H69" s="172">
        <f t="shared" si="11"/>
        <v>0</v>
      </c>
      <c r="I69" s="337"/>
      <c r="J69" s="195"/>
      <c r="K69" s="168"/>
      <c r="M69" s="359">
        <f t="shared" si="12"/>
        <v>0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573">
        <f>'[21]Sch C'!D63</f>
        <v>0</v>
      </c>
      <c r="D70" s="573">
        <f>'[21]Sch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7"/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573">
        <f>'[21]Sch C'!D64</f>
        <v>0</v>
      </c>
      <c r="D71" s="573">
        <f>'[21]Sch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573">
        <f>'[21]Sch C'!D65</f>
        <v>799</v>
      </c>
      <c r="D72" s="573">
        <f>'[21]Sch C'!F65</f>
        <v>0</v>
      </c>
      <c r="E72" s="171">
        <f t="shared" si="9"/>
        <v>799</v>
      </c>
      <c r="F72" s="171"/>
      <c r="G72" s="171">
        <f t="shared" si="10"/>
        <v>799</v>
      </c>
      <c r="H72" s="172">
        <f t="shared" si="11"/>
        <v>6.3974722954419634E-4</v>
      </c>
      <c r="I72" s="337"/>
      <c r="J72" s="195"/>
      <c r="K72" s="168"/>
      <c r="M72" s="359">
        <f t="shared" si="12"/>
        <v>9.6160789505355643E-2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573">
        <f>'[21]Sch C'!D66</f>
        <v>0</v>
      </c>
      <c r="D73" s="573">
        <f>'[21]Sch C'!F66</f>
        <v>0</v>
      </c>
      <c r="E73" s="171">
        <f t="shared" si="9"/>
        <v>0</v>
      </c>
      <c r="F73" s="171"/>
      <c r="G73" s="171">
        <f t="shared" si="10"/>
        <v>0</v>
      </c>
      <c r="H73" s="172">
        <f t="shared" si="11"/>
        <v>0</v>
      </c>
      <c r="I73" s="337"/>
      <c r="J73" s="195"/>
      <c r="K73" s="168"/>
      <c r="M73" s="359">
        <f t="shared" si="12"/>
        <v>0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573">
        <f>'[21]Sch C'!D67</f>
        <v>8615</v>
      </c>
      <c r="D74" s="573">
        <f>'[21]Sch C'!F67</f>
        <v>0</v>
      </c>
      <c r="E74" s="171">
        <f t="shared" si="9"/>
        <v>8615</v>
      </c>
      <c r="F74" s="171">
        <v>240</v>
      </c>
      <c r="G74" s="171">
        <f t="shared" si="10"/>
        <v>8855</v>
      </c>
      <c r="H74" s="172">
        <f t="shared" si="11"/>
        <v>7.0900647279272316E-3</v>
      </c>
      <c r="I74" s="337"/>
      <c r="J74" s="195"/>
      <c r="K74" s="168"/>
      <c r="M74" s="359">
        <f t="shared" si="12"/>
        <v>1.0657118786857624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573">
        <f>'[21]Sch C'!D68</f>
        <v>0</v>
      </c>
      <c r="D75" s="573">
        <f>'[21]Sch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573">
        <f>'[21]Sch C'!D69</f>
        <v>171.49</v>
      </c>
      <c r="D76" s="573">
        <f>'[21]Sch C'!F69</f>
        <v>0</v>
      </c>
      <c r="E76" s="171">
        <f t="shared" si="9"/>
        <v>171.49</v>
      </c>
      <c r="F76" s="171"/>
      <c r="G76" s="171">
        <f t="shared" si="10"/>
        <v>171.49</v>
      </c>
      <c r="H76" s="172">
        <f t="shared" si="11"/>
        <v>1.3730945230855347E-4</v>
      </c>
      <c r="I76" s="337"/>
      <c r="J76" s="195"/>
      <c r="K76" s="168"/>
      <c r="M76" s="359">
        <f t="shared" si="12"/>
        <v>2.0639066072932966E-2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573">
        <f>'[21]Sch C'!D70</f>
        <v>0</v>
      </c>
      <c r="D77" s="573">
        <f>'[21]Sch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7"/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573">
        <f>'[21]Sch C'!D71</f>
        <v>200.49</v>
      </c>
      <c r="D78" s="573">
        <f>'[21]Sch C'!F71</f>
        <v>0</v>
      </c>
      <c r="E78" s="171">
        <f t="shared" si="9"/>
        <v>200.49</v>
      </c>
      <c r="F78" s="171"/>
      <c r="G78" s="171">
        <f t="shared" si="10"/>
        <v>200.49</v>
      </c>
      <c r="H78" s="172">
        <f t="shared" si="11"/>
        <v>1.6052931420690355E-4</v>
      </c>
      <c r="I78" s="337"/>
      <c r="J78" s="195"/>
      <c r="K78" s="168"/>
      <c r="M78" s="359">
        <f t="shared" si="12"/>
        <v>2.4129257431700565E-2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573">
        <f>SUM(C64:C78)</f>
        <v>83038.98000000001</v>
      </c>
      <c r="D79" s="573">
        <f>SUM(D64:D78)</f>
        <v>64000</v>
      </c>
      <c r="E79" s="171">
        <f t="shared" ref="E79" si="13">SUM(E64:E78)</f>
        <v>147038.97999999998</v>
      </c>
      <c r="F79" s="171">
        <f>SUM(F64:F78)</f>
        <v>-127760</v>
      </c>
      <c r="G79" s="171">
        <f>SUM(G64:G78)</f>
        <v>19278.980000000003</v>
      </c>
      <c r="H79" s="172">
        <f t="shared" si="11"/>
        <v>1.5436388039346648E-2</v>
      </c>
      <c r="I79" s="337"/>
      <c r="J79" s="195"/>
      <c r="K79" s="168"/>
      <c r="M79" s="359">
        <f t="shared" si="12"/>
        <v>2.3202527379949456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573">
        <f>'[21]Sch C'!D75</f>
        <v>0</v>
      </c>
      <c r="D82" s="573">
        <f>'[21]Sch C'!F75</f>
        <v>0</v>
      </c>
      <c r="E82" s="171">
        <f t="shared" ref="E82:E92" si="14">C82+D82</f>
        <v>0</v>
      </c>
      <c r="F82" s="171"/>
      <c r="G82" s="171">
        <f t="shared" ref="G82:G92" si="15">E82+F82</f>
        <v>0</v>
      </c>
      <c r="H82" s="172">
        <f t="shared" ref="H82:H93" si="16">IF($G$208=0,0,G82/$G$208)</f>
        <v>0</v>
      </c>
      <c r="I82" s="337"/>
      <c r="J82" s="183">
        <v>0</v>
      </c>
      <c r="K82" s="183">
        <v>0</v>
      </c>
      <c r="M82" s="359">
        <f t="shared" ref="M82:M92" si="17">G82/G$228</f>
        <v>0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573">
        <f>'[21]Sch C'!D76</f>
        <v>0</v>
      </c>
      <c r="D83" s="573">
        <f>'[21]Sch C'!F76</f>
        <v>0</v>
      </c>
      <c r="E83" s="171">
        <f t="shared" si="14"/>
        <v>0</v>
      </c>
      <c r="F83" s="171"/>
      <c r="G83" s="171">
        <f t="shared" si="15"/>
        <v>0</v>
      </c>
      <c r="H83" s="172">
        <f t="shared" si="16"/>
        <v>0</v>
      </c>
      <c r="I83" s="337"/>
      <c r="J83" s="168"/>
      <c r="K83" s="168"/>
      <c r="M83" s="359">
        <f t="shared" si="17"/>
        <v>0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573">
        <f>'[21]Sch C'!D77</f>
        <v>22424</v>
      </c>
      <c r="D84" s="573">
        <f>'[21]Sch C'!F77</f>
        <v>0</v>
      </c>
      <c r="E84" s="171">
        <f t="shared" si="14"/>
        <v>22424</v>
      </c>
      <c r="F84" s="171">
        <f>-1660-1200</f>
        <v>-2860</v>
      </c>
      <c r="G84" s="171">
        <f t="shared" si="15"/>
        <v>19564</v>
      </c>
      <c r="H84" s="172">
        <f t="shared" si="16"/>
        <v>1.5664599247562774E-2</v>
      </c>
      <c r="I84" s="337"/>
      <c r="J84" s="168"/>
      <c r="K84" s="168"/>
      <c r="M84" s="359">
        <f t="shared" si="17"/>
        <v>2.3545553014803224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573">
        <f>'[21]Sch C'!D78</f>
        <v>0</v>
      </c>
      <c r="D85" s="573">
        <f>'[21]Sch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I85" s="337"/>
      <c r="J85" s="168"/>
      <c r="K85" s="168"/>
      <c r="M85" s="359">
        <f t="shared" si="17"/>
        <v>0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573">
        <f>'[21]Sch C'!D79</f>
        <v>0</v>
      </c>
      <c r="D86" s="573">
        <f>'[21]Sch C'!F79</f>
        <v>0</v>
      </c>
      <c r="E86" s="171">
        <f t="shared" si="14"/>
        <v>0</v>
      </c>
      <c r="F86" s="171"/>
      <c r="G86" s="171">
        <f>E86+F86</f>
        <v>0</v>
      </c>
      <c r="H86" s="172">
        <f t="shared" si="16"/>
        <v>0</v>
      </c>
      <c r="I86" s="337"/>
      <c r="J86" s="168"/>
      <c r="K86" s="168"/>
      <c r="M86" s="359">
        <f t="shared" si="17"/>
        <v>0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573">
        <f>'[21]Sch C'!D80</f>
        <v>41883</v>
      </c>
      <c r="D87" s="573">
        <f>'[21]Sch C'!F80</f>
        <v>0</v>
      </c>
      <c r="E87" s="171">
        <f t="shared" si="14"/>
        <v>41883</v>
      </c>
      <c r="F87" s="171">
        <f>1000-2400</f>
        <v>-1400</v>
      </c>
      <c r="G87" s="171">
        <f t="shared" si="15"/>
        <v>40483</v>
      </c>
      <c r="H87" s="172">
        <f t="shared" si="16"/>
        <v>3.2414126525203625E-2</v>
      </c>
      <c r="I87" s="337"/>
      <c r="J87" s="168"/>
      <c r="K87" s="168"/>
      <c r="M87" s="359">
        <f t="shared" si="17"/>
        <v>4.8721867854134073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573">
        <f>'[21]Sch C'!D81</f>
        <v>4337</v>
      </c>
      <c r="D88" s="573">
        <f>'[21]Sch C'!F81</f>
        <v>0</v>
      </c>
      <c r="E88" s="171">
        <f t="shared" si="14"/>
        <v>4337</v>
      </c>
      <c r="F88" s="171"/>
      <c r="G88" s="171">
        <f t="shared" si="15"/>
        <v>4337</v>
      </c>
      <c r="H88" s="172">
        <f t="shared" si="16"/>
        <v>3.4725703811429027E-3</v>
      </c>
      <c r="I88" s="337"/>
      <c r="J88" s="168"/>
      <c r="K88" s="168"/>
      <c r="M88" s="359">
        <f t="shared" si="17"/>
        <v>0.52196413527500296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573">
        <f>'[21]Sch C'!D82</f>
        <v>3944</v>
      </c>
      <c r="D89" s="573">
        <f>'[21]Sch C'!F82</f>
        <v>0</v>
      </c>
      <c r="E89" s="171">
        <f t="shared" si="14"/>
        <v>3944</v>
      </c>
      <c r="F89" s="171"/>
      <c r="G89" s="171">
        <f t="shared" si="15"/>
        <v>3944</v>
      </c>
      <c r="H89" s="172">
        <f t="shared" si="16"/>
        <v>3.1579012181756072E-3</v>
      </c>
      <c r="I89" s="337"/>
      <c r="J89" s="168"/>
      <c r="K89" s="168"/>
      <c r="M89" s="359">
        <f t="shared" si="17"/>
        <v>0.47466602479239378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573">
        <f>'[21]Sch C'!D83</f>
        <v>5434</v>
      </c>
      <c r="D90" s="573">
        <f>'[21]Sch C'!F83</f>
        <v>0</v>
      </c>
      <c r="E90" s="171">
        <f t="shared" si="14"/>
        <v>5434</v>
      </c>
      <c r="F90" s="171">
        <v>-561</v>
      </c>
      <c r="G90" s="171">
        <f t="shared" si="15"/>
        <v>4873</v>
      </c>
      <c r="H90" s="172">
        <f t="shared" si="16"/>
        <v>3.9017374838158556E-3</v>
      </c>
      <c r="I90" s="337"/>
      <c r="J90" s="168"/>
      <c r="K90" s="168"/>
      <c r="M90" s="359">
        <f t="shared" si="17"/>
        <v>0.58647249969912141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573">
        <f>'[21]Sch C'!D84</f>
        <v>29287</v>
      </c>
      <c r="D91" s="573">
        <f>'[21]Sch C'!F84</f>
        <v>0</v>
      </c>
      <c r="E91" s="171">
        <f t="shared" si="14"/>
        <v>29287</v>
      </c>
      <c r="F91" s="171"/>
      <c r="G91" s="171">
        <f t="shared" si="15"/>
        <v>29287</v>
      </c>
      <c r="H91" s="172">
        <f t="shared" si="16"/>
        <v>2.3449658462654413E-2</v>
      </c>
      <c r="I91" s="337"/>
      <c r="J91" s="168"/>
      <c r="K91" s="168"/>
      <c r="M91" s="359">
        <f t="shared" si="17"/>
        <v>3.5247322180767844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573">
        <f>'[21]Sch C'!D85</f>
        <v>0</v>
      </c>
      <c r="D92" s="573">
        <f>'[21]Sch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7"/>
      <c r="J92" s="168"/>
      <c r="K92" s="168"/>
      <c r="M92" s="359">
        <f t="shared" si="17"/>
        <v>0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573">
        <f>SUM(C82:C92)</f>
        <v>107309</v>
      </c>
      <c r="D93" s="573">
        <f>SUM(D82:D92)</f>
        <v>0</v>
      </c>
      <c r="E93" s="171">
        <f t="shared" ref="E93" si="18">SUM(E82:E92)</f>
        <v>107309</v>
      </c>
      <c r="F93" s="171">
        <f>SUM(F82:F92)</f>
        <v>-4821</v>
      </c>
      <c r="G93" s="171">
        <f>SUM(G82:G92)</f>
        <v>102488</v>
      </c>
      <c r="H93" s="172">
        <f t="shared" si="16"/>
        <v>8.2060593318555183E-2</v>
      </c>
      <c r="I93" s="337"/>
      <c r="J93" s="168"/>
      <c r="K93" s="168"/>
      <c r="M93" s="364">
        <f>G93/G$228</f>
        <v>12.334576964737032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573">
        <f>'[21]Sch C'!D89</f>
        <v>76264.5</v>
      </c>
      <c r="D96" s="573">
        <f>'[21]Sch C'!F89</f>
        <v>0</v>
      </c>
      <c r="E96" s="171">
        <f t="shared" ref="E96:E101" si="19">C96+D96</f>
        <v>76264.5</v>
      </c>
      <c r="F96" s="171"/>
      <c r="G96" s="171">
        <f t="shared" ref="G96:G101" si="20">E96+F96</f>
        <v>76264.5</v>
      </c>
      <c r="H96" s="172">
        <f t="shared" ref="H96:H102" si="21">IF($G$208=0,0,G96/$G$208)</f>
        <v>6.1063833025748887E-2</v>
      </c>
      <c r="I96" s="337"/>
      <c r="J96" s="183">
        <v>6354.75</v>
      </c>
      <c r="K96" s="183">
        <v>6354.75</v>
      </c>
      <c r="M96" s="364">
        <f t="shared" ref="M96:M101" si="22">G96/G$228</f>
        <v>9.1785413407148866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573">
        <f>'[21]Sch C'!D90</f>
        <v>5834</v>
      </c>
      <c r="D97" s="573">
        <f>'[21]Sch C'!F90</f>
        <v>0</v>
      </c>
      <c r="E97" s="171">
        <f t="shared" si="19"/>
        <v>5834</v>
      </c>
      <c r="F97" s="171">
        <v>3117</v>
      </c>
      <c r="G97" s="171">
        <f t="shared" si="20"/>
        <v>8951</v>
      </c>
      <c r="H97" s="172">
        <f t="shared" si="21"/>
        <v>7.166930477659701E-3</v>
      </c>
      <c r="I97" s="337"/>
      <c r="J97" s="168"/>
      <c r="K97" s="168"/>
      <c r="M97" s="364">
        <f t="shared" si="22"/>
        <v>1.0772656155975449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573">
        <f>'[21]Sch C'!D91</f>
        <v>4815</v>
      </c>
      <c r="D98" s="573">
        <f>'[21]Sch C'!F91</f>
        <v>0</v>
      </c>
      <c r="E98" s="171">
        <f t="shared" si="19"/>
        <v>4815</v>
      </c>
      <c r="F98" s="171"/>
      <c r="G98" s="171">
        <f t="shared" si="20"/>
        <v>4815</v>
      </c>
      <c r="H98" s="172">
        <f t="shared" si="21"/>
        <v>3.8552977600191554E-3</v>
      </c>
      <c r="I98" s="337"/>
      <c r="J98" s="168"/>
      <c r="K98" s="168"/>
      <c r="M98" s="364">
        <f t="shared" si="22"/>
        <v>0.5794921169815862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573">
        <f>'[21]Sch C'!D92</f>
        <v>87979</v>
      </c>
      <c r="D99" s="573">
        <f>'[21]Sch C'!F92</f>
        <v>0</v>
      </c>
      <c r="E99" s="171">
        <f t="shared" si="19"/>
        <v>87979</v>
      </c>
      <c r="F99" s="171">
        <v>-3357</v>
      </c>
      <c r="G99" s="171">
        <f t="shared" si="20"/>
        <v>84622</v>
      </c>
      <c r="H99" s="172">
        <f t="shared" si="21"/>
        <v>6.7755557019385459E-2</v>
      </c>
      <c r="I99" s="337"/>
      <c r="J99" s="168"/>
      <c r="K99" s="168"/>
      <c r="M99" s="364">
        <f t="shared" si="22"/>
        <v>10.18437838488386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573">
        <f>'[21]Sch C'!D93</f>
        <v>720</v>
      </c>
      <c r="D100" s="573">
        <f>'[21]Sch C'!F93</f>
        <v>0</v>
      </c>
      <c r="E100" s="171">
        <f t="shared" si="19"/>
        <v>720</v>
      </c>
      <c r="F100" s="171"/>
      <c r="G100" s="171">
        <f t="shared" si="20"/>
        <v>720</v>
      </c>
      <c r="H100" s="172">
        <f t="shared" si="21"/>
        <v>5.7649312299351855E-4</v>
      </c>
      <c r="I100" s="337"/>
      <c r="J100" s="168"/>
      <c r="K100" s="168"/>
      <c r="M100" s="364">
        <f t="shared" si="22"/>
        <v>8.6653026838368036E-2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573">
        <f>'[21]Sch C'!D94</f>
        <v>0</v>
      </c>
      <c r="D101" s="573">
        <f>'[21]Sch C'!F94</f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I101" s="337"/>
      <c r="J101" s="168"/>
      <c r="K101" s="168"/>
      <c r="M101" s="364">
        <f t="shared" si="22"/>
        <v>0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573">
        <f>SUM(C96:C101)</f>
        <v>175612.5</v>
      </c>
      <c r="D102" s="573">
        <f>SUM(D96:D101)</f>
        <v>0</v>
      </c>
      <c r="E102" s="171">
        <f t="shared" ref="E102" si="23">SUM(E96:E101)</f>
        <v>175612.5</v>
      </c>
      <c r="F102" s="171">
        <f>SUM(F96:F101)</f>
        <v>-240</v>
      </c>
      <c r="G102" s="171">
        <f>SUM(G96:G101)</f>
        <v>175372.5</v>
      </c>
      <c r="H102" s="172">
        <f t="shared" si="21"/>
        <v>0.14041811140580671</v>
      </c>
      <c r="I102" s="337"/>
      <c r="J102" s="168"/>
      <c r="K102" s="168"/>
      <c r="M102" s="364">
        <f>G102/G$228</f>
        <v>21.106330485016247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573">
        <f>'[21]Sch C'!D98</f>
        <v>0</v>
      </c>
      <c r="D105" s="573">
        <f>'[21]Sch C'!F98</f>
        <v>0</v>
      </c>
      <c r="E105" s="171">
        <f t="shared" ref="E105:E110" si="24">C105+D105</f>
        <v>0</v>
      </c>
      <c r="F105" s="171"/>
      <c r="G105" s="171">
        <f t="shared" ref="G105:G110" si="25">E105+F105</f>
        <v>0</v>
      </c>
      <c r="H105" s="172">
        <f t="shared" ref="H105:H111" si="26">IF($G$208=0,0,G105/$G$208)</f>
        <v>0</v>
      </c>
      <c r="I105" s="337"/>
      <c r="J105" s="183">
        <v>0</v>
      </c>
      <c r="K105" s="183">
        <v>0</v>
      </c>
      <c r="M105" s="364">
        <f t="shared" ref="M105:M110" si="27">G105/G$228</f>
        <v>0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573">
        <f>'[21]Sch C'!D99</f>
        <v>0</v>
      </c>
      <c r="D106" s="573">
        <f>'[21]Sch C'!F99</f>
        <v>0</v>
      </c>
      <c r="E106" s="171">
        <f t="shared" si="24"/>
        <v>0</v>
      </c>
      <c r="F106" s="171"/>
      <c r="G106" s="171">
        <f t="shared" si="25"/>
        <v>0</v>
      </c>
      <c r="H106" s="172">
        <f t="shared" si="26"/>
        <v>0</v>
      </c>
      <c r="I106" s="337"/>
      <c r="J106" s="168"/>
      <c r="K106" s="168"/>
      <c r="M106" s="364">
        <f t="shared" si="27"/>
        <v>0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573">
        <f>'[21]Sch C'!D100</f>
        <v>1571.49</v>
      </c>
      <c r="D107" s="573">
        <f>'[21]Sch C'!F100</f>
        <v>0</v>
      </c>
      <c r="E107" s="171">
        <f t="shared" si="24"/>
        <v>1571.49</v>
      </c>
      <c r="F107" s="171"/>
      <c r="G107" s="171">
        <f t="shared" si="25"/>
        <v>1571.49</v>
      </c>
      <c r="H107" s="172">
        <f t="shared" si="26"/>
        <v>1.2582683025737285E-3</v>
      </c>
      <c r="I107" s="337"/>
      <c r="J107" s="168"/>
      <c r="K107" s="168"/>
      <c r="M107" s="364">
        <f t="shared" si="27"/>
        <v>0.18913106270309304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573">
        <f>'[21]Sch C'!D101</f>
        <v>3226.49</v>
      </c>
      <c r="D108" s="573">
        <f>'[21]Sch C'!F101</f>
        <v>0</v>
      </c>
      <c r="E108" s="171">
        <f t="shared" si="24"/>
        <v>3226.49</v>
      </c>
      <c r="F108" s="171"/>
      <c r="G108" s="171">
        <f t="shared" si="25"/>
        <v>3226.49</v>
      </c>
      <c r="H108" s="172">
        <f t="shared" si="26"/>
        <v>2.5834018005657746E-3</v>
      </c>
      <c r="I108" s="337"/>
      <c r="J108" s="168"/>
      <c r="K108" s="168"/>
      <c r="M108" s="364">
        <f t="shared" si="27"/>
        <v>0.38831267300517508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573">
        <f>'[21]Sch C'!D102</f>
        <v>0</v>
      </c>
      <c r="D109" s="573">
        <f>'[21]Sch C'!F102</f>
        <v>0</v>
      </c>
      <c r="E109" s="171">
        <f t="shared" si="24"/>
        <v>0</v>
      </c>
      <c r="F109" s="171"/>
      <c r="G109" s="171">
        <f t="shared" si="25"/>
        <v>0</v>
      </c>
      <c r="H109" s="172">
        <f t="shared" si="26"/>
        <v>0</v>
      </c>
      <c r="I109" s="337"/>
      <c r="J109" s="168"/>
      <c r="K109" s="168"/>
      <c r="M109" s="364">
        <f t="shared" si="27"/>
        <v>0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573">
        <f>'[21]Sch C'!D103</f>
        <v>0</v>
      </c>
      <c r="D110" s="573">
        <f>'[21]Sch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7"/>
      <c r="J110" s="168"/>
      <c r="K110" s="168"/>
      <c r="M110" s="364">
        <f t="shared" si="27"/>
        <v>0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573">
        <f>SUM(C105:C110)</f>
        <v>4797.9799999999996</v>
      </c>
      <c r="D111" s="573">
        <f>SUM(D105:D110)</f>
        <v>0</v>
      </c>
      <c r="E111" s="171">
        <f t="shared" ref="E111" si="28">SUM(E105:E110)</f>
        <v>4797.9799999999996</v>
      </c>
      <c r="F111" s="171">
        <f>SUM(F105:F110)</f>
        <v>0</v>
      </c>
      <c r="G111" s="171">
        <f>SUM(G105:G110)</f>
        <v>4797.9799999999996</v>
      </c>
      <c r="H111" s="172">
        <f t="shared" si="26"/>
        <v>3.8416701031395027E-3</v>
      </c>
      <c r="I111" s="337"/>
      <c r="J111" s="168"/>
      <c r="K111" s="168"/>
      <c r="M111" s="364">
        <f>G111/G$228</f>
        <v>0.57744373570826812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573">
        <f>'[21]Sch C'!D115</f>
        <v>37628.5</v>
      </c>
      <c r="D114" s="573">
        <f>'[21]Sch C'!F115</f>
        <v>0</v>
      </c>
      <c r="E114" s="171">
        <f t="shared" ref="E114:E118" si="29">C114+D114</f>
        <v>37628.5</v>
      </c>
      <c r="F114" s="171"/>
      <c r="G114" s="171">
        <f>E114+F114</f>
        <v>37628.5</v>
      </c>
      <c r="H114" s="172">
        <f t="shared" ref="H114:H119" si="30">IF($G$208=0,0,G114/$G$208)</f>
        <v>3.012857149800224E-2</v>
      </c>
      <c r="I114" s="337"/>
      <c r="J114" s="183">
        <v>3754.5</v>
      </c>
      <c r="K114" s="183">
        <v>3754.5</v>
      </c>
      <c r="M114" s="364">
        <f t="shared" ref="M114:M119" si="31">G114/G$228</f>
        <v>4.528643639427127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573">
        <f>'[21]Sch C'!D116</f>
        <v>2879</v>
      </c>
      <c r="D115" s="573">
        <f>'[21]Sch C'!F116</f>
        <v>0</v>
      </c>
      <c r="E115" s="171">
        <f t="shared" si="29"/>
        <v>2879</v>
      </c>
      <c r="F115" s="171">
        <v>1537</v>
      </c>
      <c r="G115" s="171">
        <f>E115+F115</f>
        <v>4416</v>
      </c>
      <c r="H115" s="172">
        <f t="shared" si="30"/>
        <v>3.5358244876935807E-3</v>
      </c>
      <c r="I115" s="337"/>
      <c r="J115" s="168"/>
      <c r="K115" s="168"/>
      <c r="M115" s="364">
        <f t="shared" si="31"/>
        <v>0.53147189794199057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573">
        <f>'[21]Sch C'!D117</f>
        <v>917</v>
      </c>
      <c r="D116" s="573">
        <f>'[21]Sch C'!F117</f>
        <v>0</v>
      </c>
      <c r="E116" s="171">
        <f t="shared" si="29"/>
        <v>917</v>
      </c>
      <c r="F116" s="171"/>
      <c r="G116" s="171">
        <f>E116+F116</f>
        <v>917</v>
      </c>
      <c r="H116" s="172">
        <f t="shared" si="30"/>
        <v>7.3422804692368962E-4</v>
      </c>
      <c r="I116" s="337"/>
      <c r="J116" s="168"/>
      <c r="K116" s="168"/>
      <c r="M116" s="364">
        <f t="shared" si="31"/>
        <v>0.11036225779275484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573">
        <f>'[21]Sch C'!D118</f>
        <v>913.5</v>
      </c>
      <c r="D117" s="573">
        <f>'[21]Sch C'!F118</f>
        <v>0</v>
      </c>
      <c r="E117" s="171">
        <f t="shared" si="29"/>
        <v>913.5</v>
      </c>
      <c r="F117" s="171"/>
      <c r="G117" s="171">
        <f>E117+F117</f>
        <v>913.5</v>
      </c>
      <c r="H117" s="172">
        <f t="shared" si="30"/>
        <v>7.3142564979802665E-4</v>
      </c>
      <c r="I117" s="337"/>
      <c r="J117" s="168"/>
      <c r="K117" s="168"/>
      <c r="M117" s="364">
        <f t="shared" si="31"/>
        <v>0.10994102780117944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573">
        <f>'[21]Sch C'!D119</f>
        <v>0</v>
      </c>
      <c r="D118" s="573">
        <f>'[21]Sch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337"/>
      <c r="J118" s="168"/>
      <c r="K118" s="168"/>
      <c r="M118" s="364">
        <f t="shared" si="31"/>
        <v>0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573">
        <f>SUM(C114:C118)</f>
        <v>42338</v>
      </c>
      <c r="D119" s="573">
        <f>SUM(D114:D118)</f>
        <v>0</v>
      </c>
      <c r="E119" s="171">
        <f t="shared" ref="E119" si="32">SUM(E114:E118)</f>
        <v>42338</v>
      </c>
      <c r="F119" s="171">
        <f>SUM(F114:F118)</f>
        <v>1537</v>
      </c>
      <c r="G119" s="171">
        <f>SUM(G114:G118)</f>
        <v>43875</v>
      </c>
      <c r="H119" s="172">
        <f t="shared" si="30"/>
        <v>3.5130049682417536E-2</v>
      </c>
      <c r="I119" s="337"/>
      <c r="J119" s="168"/>
      <c r="K119" s="168"/>
      <c r="M119" s="364">
        <f t="shared" si="31"/>
        <v>5.2804188229630524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1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573">
        <f>'[21]Sch C'!D124</f>
        <v>0</v>
      </c>
      <c r="D123" s="573">
        <f>'[21]Sch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7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0.77002560279620991</v>
      </c>
    </row>
    <row r="124" spans="1:14" s="167" customFormat="1">
      <c r="B124" s="163" t="s">
        <v>194</v>
      </c>
      <c r="C124" s="573">
        <f>'[21]Sch C'!D125</f>
        <v>0</v>
      </c>
      <c r="D124" s="573">
        <f>'[21]Sch C'!F125</f>
        <v>0</v>
      </c>
      <c r="E124" s="171">
        <f t="shared" si="33"/>
        <v>0</v>
      </c>
      <c r="F124" s="171"/>
      <c r="G124" s="171">
        <f>E124+F124</f>
        <v>0</v>
      </c>
      <c r="H124" s="172">
        <f>IF($G$208=0,0,G124/$G$208)</f>
        <v>0</v>
      </c>
      <c r="I124" s="337"/>
      <c r="J124" s="183">
        <v>0</v>
      </c>
      <c r="K124" s="183">
        <v>0</v>
      </c>
      <c r="M124" s="364">
        <f t="shared" si="34"/>
        <v>0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573">
        <f>'[21]Sch C'!D126</f>
        <v>0</v>
      </c>
      <c r="D125" s="573">
        <f>'[21]Sch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7"/>
      <c r="J125" s="183">
        <v>0</v>
      </c>
      <c r="K125" s="183">
        <v>0</v>
      </c>
      <c r="M125" s="364">
        <f t="shared" si="34"/>
        <v>0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573">
        <f>'[21]Sch C'!D127</f>
        <v>0</v>
      </c>
      <c r="D126" s="573">
        <f>'[21]Sch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7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573">
        <f>'[21]Sch C'!D128</f>
        <v>0</v>
      </c>
      <c r="D127" s="573">
        <f>'[21]Sch C'!F128</f>
        <v>0</v>
      </c>
      <c r="E127" s="171">
        <f t="shared" si="33"/>
        <v>0</v>
      </c>
      <c r="F127" s="171"/>
      <c r="G127" s="171">
        <f>E127+F127</f>
        <v>0</v>
      </c>
      <c r="H127" s="172">
        <f>IF($G$208=0,0,G127/$G$208)</f>
        <v>0</v>
      </c>
      <c r="I127" s="337"/>
      <c r="J127" s="183">
        <v>0</v>
      </c>
      <c r="K127" s="183">
        <v>0</v>
      </c>
      <c r="M127" s="364">
        <f t="shared" si="34"/>
        <v>0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205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573">
        <f>'[21]Sch C'!D130</f>
        <v>0</v>
      </c>
      <c r="D129" s="573">
        <f>'[21]Sch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7"/>
      <c r="J129" s="204"/>
      <c r="K129" s="204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573">
        <f>'[21]Sch C'!D131</f>
        <v>0</v>
      </c>
      <c r="D130" s="573">
        <f>'[21]Sch C'!F131</f>
        <v>0</v>
      </c>
      <c r="E130" s="171">
        <f t="shared" si="35"/>
        <v>0</v>
      </c>
      <c r="F130" s="171"/>
      <c r="G130" s="171">
        <f>E130+F130</f>
        <v>0</v>
      </c>
      <c r="H130" s="172">
        <f>IF($G$208=0,0,G130/$G$208)</f>
        <v>0</v>
      </c>
      <c r="I130" s="337"/>
      <c r="J130" s="204"/>
      <c r="K130" s="204"/>
      <c r="M130" s="364">
        <f t="shared" si="34"/>
        <v>0</v>
      </c>
      <c r="N130" s="359">
        <f>SUMMARY!J133</f>
        <v>1.0792348507966931</v>
      </c>
    </row>
    <row r="131" spans="1:14" s="167" customFormat="1">
      <c r="B131" s="163" t="s">
        <v>195</v>
      </c>
      <c r="C131" s="573">
        <f>'[21]Sch C'!D132</f>
        <v>0</v>
      </c>
      <c r="D131" s="573">
        <f>'[21]Sch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7"/>
      <c r="J131" s="168"/>
      <c r="K131" s="168"/>
      <c r="M131" s="364">
        <f t="shared" si="34"/>
        <v>0</v>
      </c>
      <c r="N131" s="359">
        <f>SUMMARY!J134</f>
        <v>8.2765628075518377E-2</v>
      </c>
    </row>
    <row r="132" spans="1:14" s="167" customFormat="1">
      <c r="B132" s="163" t="s">
        <v>196</v>
      </c>
      <c r="C132" s="573">
        <f>'[21]Sch C'!D133</f>
        <v>0</v>
      </c>
      <c r="D132" s="573">
        <f>'[21]Sch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573">
        <f>'[21]Sch C'!D134</f>
        <v>0</v>
      </c>
      <c r="D133" s="573">
        <f>'[21]Sch C'!F134</f>
        <v>0</v>
      </c>
      <c r="E133" s="171">
        <f t="shared" si="35"/>
        <v>0</v>
      </c>
      <c r="F133" s="171"/>
      <c r="G133" s="171">
        <f>E133+F133</f>
        <v>0</v>
      </c>
      <c r="H133" s="172">
        <f>IF($G$208=0,0,G133/$G$208)</f>
        <v>0</v>
      </c>
      <c r="I133" s="337"/>
      <c r="J133" s="168"/>
      <c r="K133" s="168"/>
      <c r="M133" s="364">
        <f t="shared" si="34"/>
        <v>0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573">
        <f>'[21]Sch C'!D136</f>
        <v>136271</v>
      </c>
      <c r="D135" s="573">
        <f>'[21]Sch C'!F136</f>
        <v>0</v>
      </c>
      <c r="E135" s="171">
        <f t="shared" ref="E135:E138" si="36">C135+D135</f>
        <v>136271</v>
      </c>
      <c r="F135" s="171"/>
      <c r="G135" s="171">
        <f>E135+F135</f>
        <v>136271</v>
      </c>
      <c r="H135" s="172">
        <f>IF($G$208=0,0,G135/$G$208)</f>
        <v>0.10911013106034691</v>
      </c>
      <c r="I135" s="337"/>
      <c r="J135" s="183">
        <v>5070</v>
      </c>
      <c r="K135" s="183">
        <v>5070</v>
      </c>
      <c r="M135" s="364">
        <f t="shared" si="34"/>
        <v>16.400409194848958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573">
        <f>'[21]Sch C'!D137</f>
        <v>130208</v>
      </c>
      <c r="D136" s="573">
        <f>'[21]Sch C'!F137</f>
        <v>0</v>
      </c>
      <c r="E136" s="171">
        <f t="shared" si="36"/>
        <v>130208</v>
      </c>
      <c r="F136" s="171"/>
      <c r="G136" s="171">
        <f>E136+F136</f>
        <v>130208</v>
      </c>
      <c r="H136" s="172">
        <f>IF($G$208=0,0,G136/$G$208)</f>
        <v>0.10425557855380564</v>
      </c>
      <c r="I136" s="337"/>
      <c r="J136" s="183">
        <v>6162</v>
      </c>
      <c r="K136" s="183">
        <v>6161.75</v>
      </c>
      <c r="M136" s="364">
        <f t="shared" si="34"/>
        <v>15.670718498014201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573">
        <f>'[21]Sch C'!D138</f>
        <v>192501</v>
      </c>
      <c r="D137" s="573">
        <f>'[21]Sch C'!F138</f>
        <v>0</v>
      </c>
      <c r="E137" s="171">
        <f t="shared" si="36"/>
        <v>192501</v>
      </c>
      <c r="F137" s="171"/>
      <c r="G137" s="171">
        <f>E137+F137</f>
        <v>192501</v>
      </c>
      <c r="H137" s="172">
        <f>IF($G$208=0,0,G137/$G$208)</f>
        <v>0.15413264259635462</v>
      </c>
      <c r="I137" s="337"/>
      <c r="J137" s="183">
        <v>17434</v>
      </c>
      <c r="K137" s="183">
        <v>17434</v>
      </c>
      <c r="M137" s="364">
        <f t="shared" si="34"/>
        <v>23.167769888073174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573">
        <f>'[21]Sch C'!D139</f>
        <v>0</v>
      </c>
      <c r="D138" s="573">
        <f>'[21]Sch C'!F139</f>
        <v>0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7"/>
      <c r="J138" s="183">
        <v>0</v>
      </c>
      <c r="K138" s="183">
        <v>0</v>
      </c>
      <c r="M138" s="364">
        <f t="shared" si="34"/>
        <v>0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7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573">
        <f>'[21]Sch C'!D141</f>
        <v>10425</v>
      </c>
      <c r="D140" s="573">
        <f>'[21]Sch C'!F141</f>
        <v>0</v>
      </c>
      <c r="E140" s="171">
        <f t="shared" ref="E140:E143" si="37">C140+D140</f>
        <v>10425</v>
      </c>
      <c r="F140" s="171">
        <v>5569</v>
      </c>
      <c r="G140" s="171">
        <f>E140+F140</f>
        <v>15994</v>
      </c>
      <c r="H140" s="172">
        <f>IF($G$208=0,0,G140/$G$208)</f>
        <v>1.2806154179386579E-2</v>
      </c>
      <c r="I140" s="337"/>
      <c r="J140" s="168"/>
      <c r="K140" s="168"/>
      <c r="M140" s="364">
        <f t="shared" si="34"/>
        <v>1.9249007100734143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573">
        <f>'[21]Sch C'!D142</f>
        <v>9961</v>
      </c>
      <c r="D141" s="573">
        <f>'[21]Sch C'!F142</f>
        <v>0</v>
      </c>
      <c r="E141" s="171">
        <f t="shared" si="37"/>
        <v>9961</v>
      </c>
      <c r="F141" s="171">
        <v>5321</v>
      </c>
      <c r="G141" s="171">
        <f>E141+F141</f>
        <v>15282</v>
      </c>
      <c r="H141" s="172">
        <f>IF($G$208=0,0,G141/$G$208)</f>
        <v>1.2236066535537432E-2</v>
      </c>
      <c r="I141" s="337"/>
      <c r="J141" s="168"/>
      <c r="K141" s="168"/>
      <c r="M141" s="364">
        <f t="shared" si="34"/>
        <v>1.8392104946443615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573">
        <f>'[21]Sch C'!D143</f>
        <v>14726</v>
      </c>
      <c r="D142" s="573">
        <f>'[21]Sch C'!F143</f>
        <v>0</v>
      </c>
      <c r="E142" s="171">
        <f t="shared" si="37"/>
        <v>14726</v>
      </c>
      <c r="F142" s="171">
        <v>7867</v>
      </c>
      <c r="G142" s="171">
        <f>E142+F142</f>
        <v>22593</v>
      </c>
      <c r="H142" s="172">
        <f>IF($G$208=0,0,G142/$G$208)</f>
        <v>1.8089873788600785E-2</v>
      </c>
      <c r="I142" s="337"/>
      <c r="J142" s="168"/>
      <c r="K142" s="168"/>
      <c r="M142" s="364">
        <f t="shared" si="34"/>
        <v>2.7190997713322904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573">
        <f>'[21]Sch C'!D144</f>
        <v>0</v>
      </c>
      <c r="D143" s="573">
        <f>'[21]Sch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7"/>
      <c r="J143" s="168"/>
      <c r="K143" s="168"/>
      <c r="M143" s="364">
        <f t="shared" si="34"/>
        <v>0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7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573">
        <f>'[21]Sch C'!D146</f>
        <v>7800</v>
      </c>
      <c r="D145" s="573">
        <f>'[21]Sch C'!F146</f>
        <v>0</v>
      </c>
      <c r="E145" s="171">
        <f t="shared" ref="E145:E153" si="38">C145+D145</f>
        <v>7800</v>
      </c>
      <c r="F145" s="171"/>
      <c r="G145" s="171">
        <f t="shared" ref="G145:G153" si="39">E145+F145</f>
        <v>7800</v>
      </c>
      <c r="H145" s="172">
        <f t="shared" ref="H145:H153" si="40">IF($G$208=0,0,G145/$G$208)</f>
        <v>6.2453421657631177E-3</v>
      </c>
      <c r="I145" s="337"/>
      <c r="J145" s="183">
        <v>0</v>
      </c>
      <c r="K145" s="183">
        <v>0</v>
      </c>
      <c r="M145" s="364">
        <f t="shared" si="34"/>
        <v>0.93874112408232036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573">
        <f>'[21]Sch C'!D147</f>
        <v>0</v>
      </c>
      <c r="D146" s="573">
        <f>'[21]Sch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337"/>
      <c r="J146" s="183">
        <v>0</v>
      </c>
      <c r="K146" s="183">
        <v>0</v>
      </c>
      <c r="M146" s="364">
        <f t="shared" si="34"/>
        <v>0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573">
        <f>'[21]Sch C'!D148</f>
        <v>0</v>
      </c>
      <c r="D147" s="573">
        <f>'[21]Sch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7"/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573">
        <f>'[21]Sch C'!D149</f>
        <v>0</v>
      </c>
      <c r="D148" s="573">
        <f>'[21]Sch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7"/>
      <c r="J148" s="183">
        <v>0</v>
      </c>
      <c r="K148" s="183">
        <v>0</v>
      </c>
      <c r="M148" s="364">
        <f t="shared" si="34"/>
        <v>0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573">
        <f>'[21]Sch C'!D150</f>
        <v>0</v>
      </c>
      <c r="D149" s="573">
        <f>'[21]Sch C'!F150</f>
        <v>0</v>
      </c>
      <c r="E149" s="171">
        <f t="shared" si="38"/>
        <v>0</v>
      </c>
      <c r="F149" s="171"/>
      <c r="G149" s="171">
        <f t="shared" si="39"/>
        <v>0</v>
      </c>
      <c r="H149" s="172">
        <f t="shared" si="40"/>
        <v>0</v>
      </c>
      <c r="I149" s="337"/>
      <c r="J149" s="183">
        <v>0</v>
      </c>
      <c r="K149" s="183">
        <v>0</v>
      </c>
      <c r="M149" s="364">
        <f t="shared" si="34"/>
        <v>0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573">
        <f>'[21]Sch C'!D151</f>
        <v>24084.35</v>
      </c>
      <c r="D150" s="573">
        <f>'[21]Sch C'!F151</f>
        <v>0</v>
      </c>
      <c r="E150" s="171">
        <f t="shared" si="38"/>
        <v>24084.35</v>
      </c>
      <c r="F150" s="171"/>
      <c r="G150" s="171">
        <f t="shared" si="39"/>
        <v>24084.35</v>
      </c>
      <c r="H150" s="172">
        <f t="shared" si="40"/>
        <v>1.9283975203845762E-2</v>
      </c>
      <c r="I150" s="337"/>
      <c r="J150" s="168"/>
      <c r="K150" s="168"/>
      <c r="M150" s="364">
        <f t="shared" si="34"/>
        <v>2.898585870742568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573">
        <f>'[21]Sch C'!D152</f>
        <v>0</v>
      </c>
      <c r="D151" s="573">
        <f>'[21]Sch C'!F152</f>
        <v>0</v>
      </c>
      <c r="E151" s="171">
        <f t="shared" si="38"/>
        <v>0</v>
      </c>
      <c r="F151" s="171"/>
      <c r="G151" s="171">
        <f t="shared" si="39"/>
        <v>0</v>
      </c>
      <c r="H151" s="172">
        <f t="shared" si="40"/>
        <v>0</v>
      </c>
      <c r="I151" s="337"/>
      <c r="J151" s="168"/>
      <c r="K151" s="168"/>
      <c r="M151" s="364">
        <f t="shared" si="34"/>
        <v>0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573">
        <f>'[21]Sch C'!D153</f>
        <v>0</v>
      </c>
      <c r="D152" s="573">
        <f>'[21]Sch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7"/>
      <c r="J152" s="168"/>
      <c r="K152" s="168"/>
      <c r="M152" s="364">
        <f t="shared" si="34"/>
        <v>0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573">
        <f>'[21]Sch C'!D154</f>
        <v>0</v>
      </c>
      <c r="D153" s="573">
        <f>'[21]Sch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210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573">
        <f>'[21]Sch C'!D156</f>
        <v>0</v>
      </c>
      <c r="D155" s="573">
        <f>'[21]Sch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573">
        <f>'[21]Sch C'!D157</f>
        <v>0</v>
      </c>
      <c r="D156" s="573">
        <f>'[21]Sch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573">
        <f>'[21]Sch C'!D158</f>
        <v>0</v>
      </c>
      <c r="D157" s="573">
        <f>'[21]Sch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7"/>
      <c r="J157" s="168"/>
      <c r="K157" s="168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573">
        <f>'[21]Sch C'!D159</f>
        <v>0</v>
      </c>
      <c r="D158" s="573">
        <f>'[21]Sch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573">
        <f>'[21]Sch C'!D160</f>
        <v>0</v>
      </c>
      <c r="D159" s="573">
        <f>'[21]Sch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7"/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573">
        <f>'[21]Sch C'!D161</f>
        <v>0</v>
      </c>
      <c r="D160" s="573">
        <f>'[21]Sch C'!F161</f>
        <v>0</v>
      </c>
      <c r="E160" s="171">
        <f t="shared" si="41"/>
        <v>0</v>
      </c>
      <c r="F160" s="171"/>
      <c r="G160" s="171">
        <f t="shared" si="42"/>
        <v>0</v>
      </c>
      <c r="H160" s="172">
        <f t="shared" si="43"/>
        <v>0</v>
      </c>
      <c r="I160" s="337"/>
      <c r="J160" s="168"/>
      <c r="K160" s="168"/>
      <c r="M160" s="364">
        <f t="shared" si="34"/>
        <v>0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573">
        <f>SUM(C123:C160)</f>
        <v>525976.35</v>
      </c>
      <c r="D161" s="573">
        <f>SUM(D123:D160)</f>
        <v>0</v>
      </c>
      <c r="E161" s="171">
        <f t="shared" ref="E161" si="44">SUM(E123:E160)</f>
        <v>525976.35</v>
      </c>
      <c r="F161" s="171">
        <f>SUM(F123:F160)</f>
        <v>18757</v>
      </c>
      <c r="G161" s="171">
        <f>SUM(G123:G160)</f>
        <v>544733.35</v>
      </c>
      <c r="H161" s="172">
        <f t="shared" si="43"/>
        <v>0.43615976408364082</v>
      </c>
      <c r="I161" s="337"/>
      <c r="J161" s="168"/>
      <c r="K161" s="168"/>
      <c r="M161" s="364">
        <f>G161/G$228</f>
        <v>65.559435551811291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337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7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573">
        <f>'[21]Sch C'!D175</f>
        <v>0</v>
      </c>
      <c r="D164" s="573">
        <f>'[21]Sch C'!F175</f>
        <v>0</v>
      </c>
      <c r="E164" s="171">
        <f t="shared" ref="E164:E196" si="45">C164+D164</f>
        <v>0</v>
      </c>
      <c r="F164" s="665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573">
        <f>'[21]Sch C'!D176</f>
        <v>0</v>
      </c>
      <c r="D165" s="573">
        <f>'[21]Sch C'!F176</f>
        <v>0</v>
      </c>
      <c r="E165" s="171">
        <f t="shared" si="45"/>
        <v>0</v>
      </c>
      <c r="F165" s="665"/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573">
        <f>'[21]Sch C'!D177</f>
        <v>0</v>
      </c>
      <c r="D166" s="573">
        <f>'[21]Sch C'!F177</f>
        <v>0</v>
      </c>
      <c r="E166" s="171">
        <f t="shared" si="45"/>
        <v>0</v>
      </c>
      <c r="F166" s="665"/>
      <c r="G166" s="171">
        <f t="shared" si="46"/>
        <v>0</v>
      </c>
      <c r="H166" s="172">
        <f t="shared" si="47"/>
        <v>0</v>
      </c>
      <c r="I166" s="343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573">
        <f>'[21]Sch C'!D178</f>
        <v>0</v>
      </c>
      <c r="D167" s="573">
        <f>'[21]Sch C'!F178</f>
        <v>0</v>
      </c>
      <c r="E167" s="171">
        <f t="shared" si="45"/>
        <v>0</v>
      </c>
      <c r="F167" s="665"/>
      <c r="G167" s="171">
        <f t="shared" si="46"/>
        <v>0</v>
      </c>
      <c r="H167" s="172">
        <f t="shared" si="47"/>
        <v>0</v>
      </c>
      <c r="I167" s="344"/>
      <c r="J167" s="222"/>
      <c r="K167" s="222"/>
      <c r="L167" s="218"/>
      <c r="M167" s="364">
        <f t="shared" si="48"/>
        <v>0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573">
        <f>'[21]Sch C'!D179</f>
        <v>0</v>
      </c>
      <c r="D168" s="573">
        <f>'[21]Sch C'!F179</f>
        <v>0</v>
      </c>
      <c r="E168" s="171">
        <f t="shared" si="45"/>
        <v>0</v>
      </c>
      <c r="F168" s="665"/>
      <c r="G168" s="171">
        <f t="shared" si="46"/>
        <v>0</v>
      </c>
      <c r="H168" s="172">
        <f t="shared" si="47"/>
        <v>0</v>
      </c>
      <c r="I168" s="343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573">
        <f>'[21]Sch C'!D180</f>
        <v>0</v>
      </c>
      <c r="D169" s="573">
        <f>'[21]Sch C'!F180</f>
        <v>0</v>
      </c>
      <c r="E169" s="171">
        <f t="shared" si="45"/>
        <v>0</v>
      </c>
      <c r="F169" s="665"/>
      <c r="G169" s="171">
        <f t="shared" si="46"/>
        <v>0</v>
      </c>
      <c r="H169" s="172">
        <f t="shared" si="47"/>
        <v>0</v>
      </c>
      <c r="I169" s="344"/>
      <c r="J169" s="222"/>
      <c r="K169" s="222"/>
      <c r="L169" s="218"/>
      <c r="M169" s="364">
        <f t="shared" si="48"/>
        <v>0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573">
        <f>'[21]Sch C'!D181</f>
        <v>0</v>
      </c>
      <c r="D170" s="573">
        <f>'[21]Sch C'!F181</f>
        <v>0</v>
      </c>
      <c r="E170" s="171">
        <f t="shared" si="45"/>
        <v>0</v>
      </c>
      <c r="F170" s="665"/>
      <c r="G170" s="171">
        <f t="shared" si="46"/>
        <v>0</v>
      </c>
      <c r="H170" s="172">
        <f t="shared" si="47"/>
        <v>0</v>
      </c>
      <c r="I170" s="343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573">
        <f>'[21]Sch C'!D182</f>
        <v>0</v>
      </c>
      <c r="D171" s="573">
        <f>'[21]Sch C'!F182</f>
        <v>0</v>
      </c>
      <c r="E171" s="171">
        <f t="shared" si="45"/>
        <v>0</v>
      </c>
      <c r="F171" s="665"/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573">
        <f>'[21]Sch C'!D183</f>
        <v>0</v>
      </c>
      <c r="D172" s="573">
        <f>'[21]Sch C'!F183</f>
        <v>0</v>
      </c>
      <c r="E172" s="171">
        <f t="shared" si="45"/>
        <v>0</v>
      </c>
      <c r="F172" s="665"/>
      <c r="G172" s="171">
        <f t="shared" si="46"/>
        <v>0</v>
      </c>
      <c r="H172" s="172">
        <f t="shared" si="47"/>
        <v>0</v>
      </c>
      <c r="I172" s="343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573">
        <f>'[21]Sch C'!D184</f>
        <v>0</v>
      </c>
      <c r="D173" s="573">
        <f>'[21]Sch C'!F184</f>
        <v>0</v>
      </c>
      <c r="E173" s="171">
        <f t="shared" si="45"/>
        <v>0</v>
      </c>
      <c r="F173" s="665"/>
      <c r="G173" s="171">
        <f t="shared" si="46"/>
        <v>0</v>
      </c>
      <c r="H173" s="172">
        <f t="shared" si="47"/>
        <v>0</v>
      </c>
      <c r="I173" s="344"/>
      <c r="J173" s="222"/>
      <c r="K173" s="222"/>
      <c r="L173" s="218"/>
      <c r="M173" s="364">
        <f t="shared" si="48"/>
        <v>0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573">
        <f>'[21]Sch C'!D185</f>
        <v>0</v>
      </c>
      <c r="D174" s="573">
        <f>'[21]Sch C'!F185</f>
        <v>0</v>
      </c>
      <c r="E174" s="171">
        <f t="shared" si="45"/>
        <v>0</v>
      </c>
      <c r="F174" s="665"/>
      <c r="G174" s="171">
        <f t="shared" si="46"/>
        <v>0</v>
      </c>
      <c r="H174" s="172">
        <f t="shared" si="47"/>
        <v>0</v>
      </c>
      <c r="I174" s="343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573">
        <f>'[21]Sch C'!D186</f>
        <v>0</v>
      </c>
      <c r="D175" s="573">
        <f>'[21]Sch C'!F186</f>
        <v>0</v>
      </c>
      <c r="E175" s="171">
        <f t="shared" si="45"/>
        <v>0</v>
      </c>
      <c r="F175" s="665"/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573">
        <f>'[21]Sch C'!D187</f>
        <v>0</v>
      </c>
      <c r="D176" s="573">
        <f>'[21]Sch C'!F187</f>
        <v>0</v>
      </c>
      <c r="E176" s="171">
        <f t="shared" si="45"/>
        <v>0</v>
      </c>
      <c r="F176" s="665"/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573">
        <f>'[21]Sch C'!D188</f>
        <v>0</v>
      </c>
      <c r="D177" s="573">
        <f>'[21]Sch C'!F188</f>
        <v>0</v>
      </c>
      <c r="E177" s="171">
        <f t="shared" si="45"/>
        <v>0</v>
      </c>
      <c r="F177" s="665"/>
      <c r="G177" s="171">
        <f t="shared" si="46"/>
        <v>0</v>
      </c>
      <c r="H177" s="172">
        <f t="shared" si="47"/>
        <v>0</v>
      </c>
      <c r="I177" s="337"/>
      <c r="J177" s="223"/>
      <c r="K177" s="218"/>
      <c r="L177" s="220"/>
      <c r="M177" s="364">
        <f t="shared" si="48"/>
        <v>0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573">
        <f>'[21]Sch C'!D189</f>
        <v>0</v>
      </c>
      <c r="D178" s="573">
        <f>'[21]Sch C'!F189</f>
        <v>0</v>
      </c>
      <c r="E178" s="171">
        <f t="shared" si="45"/>
        <v>0</v>
      </c>
      <c r="F178" s="665"/>
      <c r="G178" s="171">
        <f t="shared" si="46"/>
        <v>0</v>
      </c>
      <c r="H178" s="172">
        <f t="shared" si="47"/>
        <v>0</v>
      </c>
      <c r="I178" s="337"/>
      <c r="J178" s="223"/>
      <c r="K178" s="218"/>
      <c r="L178" s="220"/>
      <c r="M178" s="364">
        <f t="shared" si="48"/>
        <v>0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573">
        <f>'[21]Sch C'!D190</f>
        <v>0</v>
      </c>
      <c r="D179" s="573">
        <f>'[21]Sch C'!F190</f>
        <v>0</v>
      </c>
      <c r="E179" s="171">
        <f t="shared" si="45"/>
        <v>0</v>
      </c>
      <c r="F179" s="665"/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573">
        <f>'[21]Sch C'!D191</f>
        <v>0</v>
      </c>
      <c r="D180" s="573">
        <f>'[21]Sch C'!F191</f>
        <v>0</v>
      </c>
      <c r="E180" s="171">
        <f t="shared" si="45"/>
        <v>0</v>
      </c>
      <c r="F180" s="665"/>
      <c r="G180" s="171">
        <f t="shared" si="46"/>
        <v>0</v>
      </c>
      <c r="H180" s="172">
        <f t="shared" si="47"/>
        <v>0</v>
      </c>
      <c r="I180" s="337"/>
      <c r="J180" s="223"/>
      <c r="K180" s="218"/>
      <c r="L180" s="220"/>
      <c r="M180" s="364">
        <f t="shared" si="48"/>
        <v>0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573">
        <f>'[21]Sch C'!D192</f>
        <v>0</v>
      </c>
      <c r="D181" s="573">
        <f>'[21]Sch C'!F192</f>
        <v>0</v>
      </c>
      <c r="E181" s="171">
        <f t="shared" si="45"/>
        <v>0</v>
      </c>
      <c r="F181" s="665"/>
      <c r="G181" s="171">
        <f t="shared" si="46"/>
        <v>0</v>
      </c>
      <c r="H181" s="172">
        <f t="shared" si="47"/>
        <v>0</v>
      </c>
      <c r="I181" s="337"/>
      <c r="J181" s="223"/>
      <c r="K181" s="218"/>
      <c r="L181" s="220"/>
      <c r="M181" s="364">
        <f t="shared" si="48"/>
        <v>0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573">
        <f>'[21]Sch C'!D193</f>
        <v>0</v>
      </c>
      <c r="D182" s="573">
        <f>'[21]Sch C'!F193</f>
        <v>0</v>
      </c>
      <c r="E182" s="171">
        <f t="shared" si="45"/>
        <v>0</v>
      </c>
      <c r="F182" s="665"/>
      <c r="G182" s="171">
        <f t="shared" si="46"/>
        <v>0</v>
      </c>
      <c r="H182" s="172">
        <f t="shared" si="47"/>
        <v>0</v>
      </c>
      <c r="I182" s="337"/>
      <c r="J182" s="223"/>
      <c r="K182" s="218"/>
      <c r="L182" s="220"/>
      <c r="M182" s="364">
        <f t="shared" si="48"/>
        <v>0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573">
        <f>'[21]Sch C'!D194</f>
        <v>0</v>
      </c>
      <c r="D183" s="573">
        <f>'[21]Sch C'!F194</f>
        <v>0</v>
      </c>
      <c r="E183" s="171">
        <f t="shared" si="45"/>
        <v>0</v>
      </c>
      <c r="F183" s="665"/>
      <c r="G183" s="171">
        <f t="shared" si="46"/>
        <v>0</v>
      </c>
      <c r="H183" s="172">
        <f t="shared" si="47"/>
        <v>0</v>
      </c>
      <c r="I183" s="337"/>
      <c r="J183" s="223"/>
      <c r="K183" s="218"/>
      <c r="M183" s="364">
        <f t="shared" si="48"/>
        <v>0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573">
        <f>'[21]Sch C'!D195</f>
        <v>0</v>
      </c>
      <c r="D184" s="573">
        <f>'[21]Sch C'!F195</f>
        <v>0</v>
      </c>
      <c r="E184" s="171">
        <f t="shared" si="45"/>
        <v>0</v>
      </c>
      <c r="F184" s="665"/>
      <c r="G184" s="171">
        <f t="shared" si="46"/>
        <v>0</v>
      </c>
      <c r="H184" s="172">
        <f t="shared" si="47"/>
        <v>0</v>
      </c>
      <c r="I184" s="337"/>
      <c r="J184" s="223"/>
      <c r="K184" s="218"/>
      <c r="M184" s="364">
        <f t="shared" si="48"/>
        <v>0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573">
        <f>'[21]Sch C'!D196</f>
        <v>0</v>
      </c>
      <c r="D185" s="573">
        <f>'[21]Sch C'!F196</f>
        <v>0</v>
      </c>
      <c r="E185" s="171">
        <f t="shared" si="45"/>
        <v>0</v>
      </c>
      <c r="F185" s="665"/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573">
        <f>'[21]Sch C'!D197</f>
        <v>0</v>
      </c>
      <c r="D186" s="573">
        <f>'[21]Sch C'!F197</f>
        <v>0</v>
      </c>
      <c r="E186" s="171">
        <f t="shared" si="45"/>
        <v>0</v>
      </c>
      <c r="F186" s="665"/>
      <c r="G186" s="171">
        <f t="shared" si="46"/>
        <v>0</v>
      </c>
      <c r="H186" s="172">
        <f t="shared" si="47"/>
        <v>0</v>
      </c>
      <c r="I186" s="337"/>
      <c r="J186" s="223"/>
      <c r="K186" s="218"/>
      <c r="M186" s="364">
        <f t="shared" si="48"/>
        <v>0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573">
        <f>'[21]Sch C'!D198</f>
        <v>1639</v>
      </c>
      <c r="D187" s="573">
        <f>'[21]Sch C'!F198</f>
        <v>0</v>
      </c>
      <c r="E187" s="171">
        <f t="shared" si="45"/>
        <v>1639</v>
      </c>
      <c r="F187" s="665"/>
      <c r="G187" s="171">
        <f t="shared" si="46"/>
        <v>1639</v>
      </c>
      <c r="H187" s="172">
        <f t="shared" si="47"/>
        <v>1.3123225397033012E-3</v>
      </c>
      <c r="I187" s="337"/>
      <c r="J187" s="223"/>
      <c r="K187" s="218"/>
      <c r="M187" s="364">
        <f t="shared" si="48"/>
        <v>0.19725598748345169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573">
        <f>'[21]Sch C'!D199</f>
        <v>3700</v>
      </c>
      <c r="D188" s="573">
        <f>'[21]Sch C'!F199</f>
        <v>0</v>
      </c>
      <c r="E188" s="171">
        <f t="shared" si="45"/>
        <v>3700</v>
      </c>
      <c r="F188" s="665"/>
      <c r="G188" s="171">
        <f t="shared" si="46"/>
        <v>3700</v>
      </c>
      <c r="H188" s="172">
        <f t="shared" si="47"/>
        <v>2.9625341042722481E-3</v>
      </c>
      <c r="I188" s="337"/>
      <c r="J188" s="223"/>
      <c r="K188" s="218"/>
      <c r="M188" s="364">
        <f t="shared" si="48"/>
        <v>0.44530027680828016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573">
        <f>'[21]Sch C'!D200</f>
        <v>207.49</v>
      </c>
      <c r="D189" s="573">
        <f>'[21]Sch C'!F200</f>
        <v>0</v>
      </c>
      <c r="E189" s="171">
        <f t="shared" si="45"/>
        <v>207.49</v>
      </c>
      <c r="F189" s="665"/>
      <c r="G189" s="171">
        <f t="shared" si="46"/>
        <v>207.49</v>
      </c>
      <c r="H189" s="172">
        <f t="shared" si="47"/>
        <v>1.661341084582294E-4</v>
      </c>
      <c r="I189" s="337"/>
      <c r="J189" s="223"/>
      <c r="K189" s="218"/>
      <c r="M189" s="364">
        <f t="shared" si="48"/>
        <v>2.4971717414851366E-2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573">
        <f>'[21]Sch C'!D201</f>
        <v>0</v>
      </c>
      <c r="D190" s="573">
        <f>'[21]Sch C'!F201</f>
        <v>0</v>
      </c>
      <c r="E190" s="171">
        <f t="shared" si="45"/>
        <v>0</v>
      </c>
      <c r="F190" s="665"/>
      <c r="G190" s="171">
        <f t="shared" si="46"/>
        <v>0</v>
      </c>
      <c r="H190" s="172">
        <f t="shared" si="47"/>
        <v>0</v>
      </c>
      <c r="I190" s="337"/>
      <c r="J190" s="223"/>
      <c r="K190" s="218"/>
      <c r="M190" s="364">
        <f t="shared" si="48"/>
        <v>0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573">
        <f>'[21]Sch C'!D202</f>
        <v>0</v>
      </c>
      <c r="D191" s="573">
        <f>'[21]Sch C'!F202</f>
        <v>0</v>
      </c>
      <c r="E191" s="171">
        <f t="shared" si="45"/>
        <v>0</v>
      </c>
      <c r="F191" s="665"/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573">
        <f>'[21]Sch C'!D203</f>
        <v>0</v>
      </c>
      <c r="D192" s="573">
        <f>'[21]Sch C'!F203</f>
        <v>0</v>
      </c>
      <c r="E192" s="171">
        <f t="shared" si="45"/>
        <v>0</v>
      </c>
      <c r="F192" s="665"/>
      <c r="G192" s="171">
        <f t="shared" si="46"/>
        <v>0</v>
      </c>
      <c r="H192" s="172">
        <f t="shared" si="47"/>
        <v>0</v>
      </c>
      <c r="I192" s="337"/>
      <c r="J192" s="223"/>
      <c r="K192" s="218"/>
      <c r="M192" s="364">
        <f t="shared" si="48"/>
        <v>0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573">
        <f>'[21]Sch C'!D204</f>
        <v>0</v>
      </c>
      <c r="D193" s="573">
        <f>'[21]Sch C'!F204</f>
        <v>0</v>
      </c>
      <c r="E193" s="171">
        <f t="shared" si="45"/>
        <v>0</v>
      </c>
      <c r="F193" s="665"/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573">
        <f>'[21]Sch C'!D205</f>
        <v>0</v>
      </c>
      <c r="D194" s="573">
        <f>'[21]Sch C'!F205</f>
        <v>0</v>
      </c>
      <c r="E194" s="171">
        <f t="shared" si="45"/>
        <v>0</v>
      </c>
      <c r="F194" s="665"/>
      <c r="G194" s="171">
        <f t="shared" si="46"/>
        <v>0</v>
      </c>
      <c r="H194" s="172">
        <f t="shared" si="47"/>
        <v>0</v>
      </c>
      <c r="I194" s="337"/>
      <c r="J194" s="223"/>
      <c r="K194" s="218"/>
      <c r="M194" s="364">
        <f t="shared" si="48"/>
        <v>0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573">
        <f>'[21]Sch C'!D206</f>
        <v>0</v>
      </c>
      <c r="D195" s="573">
        <f>'[21]Sch C'!F206</f>
        <v>0</v>
      </c>
      <c r="E195" s="171">
        <f t="shared" si="45"/>
        <v>0</v>
      </c>
      <c r="F195" s="665"/>
      <c r="G195" s="171">
        <f t="shared" si="46"/>
        <v>0</v>
      </c>
      <c r="H195" s="172">
        <f t="shared" si="47"/>
        <v>0</v>
      </c>
      <c r="I195" s="337"/>
      <c r="J195" s="223"/>
      <c r="K195" s="218"/>
      <c r="M195" s="364">
        <f t="shared" si="48"/>
        <v>0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573">
        <f>'[21]Sch C'!D207</f>
        <v>1377.49</v>
      </c>
      <c r="D196" s="573">
        <f>'[21]Sch C'!F207</f>
        <v>0</v>
      </c>
      <c r="E196" s="171">
        <f t="shared" si="45"/>
        <v>1377.49</v>
      </c>
      <c r="F196" s="665"/>
      <c r="G196" s="171">
        <f t="shared" si="46"/>
        <v>1377.49</v>
      </c>
      <c r="H196" s="172">
        <f t="shared" si="47"/>
        <v>1.1029354333226972E-3</v>
      </c>
      <c r="I196" s="337"/>
      <c r="J196" s="223"/>
      <c r="K196" s="218"/>
      <c r="M196" s="364">
        <f t="shared" si="48"/>
        <v>0.16578288602719943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573">
        <f>SUM(C164:C196)</f>
        <v>6923.98</v>
      </c>
      <c r="D197" s="573">
        <f>SUM(D164:D196)</f>
        <v>0</v>
      </c>
      <c r="E197" s="171">
        <f t="shared" ref="E197" si="49">SUM(E164:E196)</f>
        <v>6923.98</v>
      </c>
      <c r="F197" s="171">
        <f>SUM(F164:F196)</f>
        <v>0</v>
      </c>
      <c r="G197" s="171">
        <f>SUM(G164:G196)</f>
        <v>6923.98</v>
      </c>
      <c r="H197" s="172">
        <f>IF($G$208=0,0,G197/$G$208)</f>
        <v>5.5439261857564755E-3</v>
      </c>
      <c r="I197" s="337"/>
      <c r="J197" s="168"/>
      <c r="K197" s="168"/>
      <c r="M197" s="364">
        <f>G197/G$228</f>
        <v>0.8333108677337826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165"/>
      <c r="G198" s="165"/>
      <c r="H198" s="198"/>
      <c r="I198" s="341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1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573">
        <f>'[21]Sch C'!D211</f>
        <v>39610</v>
      </c>
      <c r="D200" s="573">
        <f>'[21]Sch C'!F211</f>
        <v>0</v>
      </c>
      <c r="E200" s="171">
        <f t="shared" ref="E200:E205" si="50">C200+D200</f>
        <v>39610</v>
      </c>
      <c r="F200" s="171"/>
      <c r="G200" s="171">
        <f t="shared" ref="G200:G205" si="51">E200+F200</f>
        <v>39610</v>
      </c>
      <c r="H200" s="172">
        <f t="shared" ref="H200:H206" si="52">IF($G$208=0,0,G200/$G$208)</f>
        <v>3.1715128613573985E-2</v>
      </c>
      <c r="I200" s="337"/>
      <c r="J200" s="183">
        <v>3305</v>
      </c>
      <c r="K200" s="183">
        <v>3305</v>
      </c>
      <c r="M200" s="364">
        <f t="shared" ref="M200:M205" si="53">G200/G$228</f>
        <v>4.7671199903718859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573">
        <f>'[21]Sch C'!D212</f>
        <v>3030</v>
      </c>
      <c r="D201" s="573">
        <f>'[21]Sch C'!F212</f>
        <v>0</v>
      </c>
      <c r="E201" s="171">
        <f t="shared" si="50"/>
        <v>3030</v>
      </c>
      <c r="F201" s="171">
        <v>1619</v>
      </c>
      <c r="G201" s="171">
        <f t="shared" si="51"/>
        <v>4649</v>
      </c>
      <c r="H201" s="172">
        <f t="shared" si="52"/>
        <v>3.7223840677734275E-3</v>
      </c>
      <c r="I201" s="337"/>
      <c r="J201" s="168"/>
      <c r="K201" s="168"/>
      <c r="M201" s="364">
        <f t="shared" si="53"/>
        <v>0.55951378023829579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573">
        <f>'[21]Sch C'!D213</f>
        <v>7742</v>
      </c>
      <c r="D202" s="573">
        <f>'[21]Sch C'!F213</f>
        <v>0</v>
      </c>
      <c r="E202" s="171">
        <f t="shared" si="50"/>
        <v>7742</v>
      </c>
      <c r="F202" s="171"/>
      <c r="G202" s="171">
        <f t="shared" si="51"/>
        <v>7742</v>
      </c>
      <c r="H202" s="172">
        <f t="shared" si="52"/>
        <v>6.1989024419664175E-3</v>
      </c>
      <c r="I202" s="337"/>
      <c r="J202" s="168"/>
      <c r="K202" s="168"/>
      <c r="M202" s="364">
        <f t="shared" si="53"/>
        <v>0.93176074136478515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573">
        <f>'[21]Sch C'!D214</f>
        <v>3447</v>
      </c>
      <c r="D203" s="573">
        <f>'[21]Sch C'!F214</f>
        <v>0</v>
      </c>
      <c r="E203" s="171">
        <f t="shared" si="50"/>
        <v>3447</v>
      </c>
      <c r="F203" s="171"/>
      <c r="G203" s="171">
        <f t="shared" si="51"/>
        <v>3447</v>
      </c>
      <c r="H203" s="172">
        <f t="shared" si="52"/>
        <v>2.7599608263314704E-3</v>
      </c>
      <c r="I203" s="337"/>
      <c r="J203" s="168"/>
      <c r="K203" s="168"/>
      <c r="M203" s="364">
        <f t="shared" si="53"/>
        <v>0.41485136598868699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573">
        <f>'[21]Sch C'!D215</f>
        <v>0</v>
      </c>
      <c r="D204" s="573">
        <f>'[21]Sch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573">
        <f>'[21]Sch C'!D216</f>
        <v>0</v>
      </c>
      <c r="D205" s="573">
        <f>'[21]Sch C'!F216</f>
        <v>0</v>
      </c>
      <c r="E205" s="171">
        <f t="shared" si="50"/>
        <v>0</v>
      </c>
      <c r="F205" s="171"/>
      <c r="G205" s="171">
        <f t="shared" si="51"/>
        <v>0</v>
      </c>
      <c r="H205" s="172">
        <f t="shared" si="52"/>
        <v>0</v>
      </c>
      <c r="I205" s="337"/>
      <c r="J205" s="168"/>
      <c r="K205" s="168"/>
      <c r="M205" s="364">
        <f t="shared" si="53"/>
        <v>0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573">
        <f>SUM(C200:C205)</f>
        <v>53829</v>
      </c>
      <c r="D206" s="573">
        <f>SUM(D200:D205)</f>
        <v>0</v>
      </c>
      <c r="E206" s="171">
        <f t="shared" ref="E206" si="54">SUM(E200:E205)</f>
        <v>53829</v>
      </c>
      <c r="F206" s="171">
        <f>SUM(F200:F205)</f>
        <v>1619</v>
      </c>
      <c r="G206" s="171">
        <f>SUM(G200:G205)</f>
        <v>55448</v>
      </c>
      <c r="H206" s="172">
        <f t="shared" si="52"/>
        <v>4.4396375949645302E-2</v>
      </c>
      <c r="I206" s="337"/>
      <c r="J206" s="168"/>
      <c r="K206" s="168"/>
      <c r="M206" s="364">
        <f>G206/G$228</f>
        <v>6.6732458779636534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573">
        <f>SUM(C25:C206)/2</f>
        <v>1320208.7700000003</v>
      </c>
      <c r="D208" s="573">
        <f>SUM(D25:D206)/2</f>
        <v>64000</v>
      </c>
      <c r="E208" s="171">
        <f t="shared" ref="E208:F208" si="55">SUM(E25:E206)/2</f>
        <v>1384208.7700000003</v>
      </c>
      <c r="F208" s="171">
        <f t="shared" si="55"/>
        <v>-135278</v>
      </c>
      <c r="G208" s="171">
        <f>SUM(G25:G206)/2</f>
        <v>1248930.7700000003</v>
      </c>
      <c r="H208" s="172">
        <f>IF($G$208=0,0,G208/$G$208)</f>
        <v>1</v>
      </c>
      <c r="I208" s="337"/>
      <c r="J208" s="183">
        <f>SUM(J25:J200)</f>
        <v>44296.25</v>
      </c>
      <c r="K208" s="183">
        <f>SUM(K25:K200)</f>
        <v>44296</v>
      </c>
      <c r="M208" s="364">
        <f>G208/G$228</f>
        <v>150.31059935010234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573">
        <f>'[21]Sch C'!D221</f>
        <v>1320209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573">
        <f>C208-C211</f>
        <v>-0.2299999997485429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619"/>
      <c r="D213" s="232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573">
        <f>C21-C208</f>
        <v>-144787.51000000024</v>
      </c>
      <c r="D215" s="573">
        <f>D21-D208</f>
        <v>-64000</v>
      </c>
      <c r="E215" s="171">
        <f t="shared" ref="E215:F215" si="56">E21-E208</f>
        <v>-208787.51000000024</v>
      </c>
      <c r="F215" s="171">
        <f t="shared" si="56"/>
        <v>135278</v>
      </c>
      <c r="G215" s="171">
        <f>G21-G208</f>
        <v>-73509.510000000242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653">
        <f>'[21]Sch D'!C9</f>
        <v>5548</v>
      </c>
      <c r="D219" s="653"/>
      <c r="E219" s="235">
        <f t="shared" ref="E219:G227" si="57">C219+D219</f>
        <v>5548</v>
      </c>
      <c r="F219" s="234"/>
      <c r="G219" s="235">
        <f t="shared" si="57"/>
        <v>5548</v>
      </c>
      <c r="H219" s="172">
        <f t="shared" ref="H219:H228" si="58">IF($G$228=0,0,G219/$G$228)</f>
        <v>0.66770971236009147</v>
      </c>
      <c r="I219" s="337"/>
      <c r="J219" s="168"/>
      <c r="K219" s="168"/>
    </row>
    <row r="220" spans="1:14">
      <c r="A220" s="163"/>
      <c r="B220" s="170" t="s">
        <v>217</v>
      </c>
      <c r="C220" s="653">
        <f>'[21]Sch D'!D9</f>
        <v>0</v>
      </c>
      <c r="D220" s="653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7"/>
      <c r="J220" s="168"/>
      <c r="K220" s="168"/>
    </row>
    <row r="221" spans="1:14">
      <c r="A221" s="163"/>
      <c r="B221" s="170" t="s">
        <v>72</v>
      </c>
      <c r="C221" s="653">
        <f>'[21]Sch D'!E9</f>
        <v>0</v>
      </c>
      <c r="D221" s="653"/>
      <c r="E221" s="235">
        <f t="shared" si="59"/>
        <v>0</v>
      </c>
      <c r="F221" s="234"/>
      <c r="G221" s="235">
        <f t="shared" si="57"/>
        <v>0</v>
      </c>
      <c r="H221" s="172">
        <f t="shared" si="58"/>
        <v>0</v>
      </c>
      <c r="I221" s="337"/>
      <c r="J221" s="168"/>
      <c r="K221" s="168"/>
    </row>
    <row r="222" spans="1:14">
      <c r="A222" s="163"/>
      <c r="B222" s="202" t="s">
        <v>334</v>
      </c>
      <c r="C222" s="653">
        <f>'[21]Sch D'!F9</f>
        <v>0</v>
      </c>
      <c r="D222" s="653"/>
      <c r="E222" s="235">
        <f>C222+D222</f>
        <v>0</v>
      </c>
      <c r="F222" s="234"/>
      <c r="G222" s="235">
        <f>E222+F222</f>
        <v>0</v>
      </c>
      <c r="H222" s="172">
        <f t="shared" si="58"/>
        <v>0</v>
      </c>
      <c r="I222" s="337"/>
      <c r="J222" s="168"/>
      <c r="K222" s="168"/>
    </row>
    <row r="223" spans="1:14">
      <c r="A223" s="163"/>
      <c r="B223" s="170" t="s">
        <v>73</v>
      </c>
      <c r="C223" s="653">
        <f>'[21]Sch D'!G9</f>
        <v>0</v>
      </c>
      <c r="D223" s="653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7"/>
      <c r="J223" s="168"/>
      <c r="K223" s="168"/>
    </row>
    <row r="224" spans="1:14">
      <c r="A224" s="163"/>
      <c r="B224" s="170" t="s">
        <v>74</v>
      </c>
      <c r="C224" s="653">
        <f>'[21]Sch D'!H9</f>
        <v>1674</v>
      </c>
      <c r="D224" s="653"/>
      <c r="E224" s="235">
        <f t="shared" si="59"/>
        <v>1674</v>
      </c>
      <c r="F224" s="234"/>
      <c r="G224" s="235">
        <f t="shared" si="57"/>
        <v>1674</v>
      </c>
      <c r="H224" s="172">
        <f t="shared" si="58"/>
        <v>0.20146828739920569</v>
      </c>
      <c r="I224" s="337"/>
      <c r="J224" s="168"/>
      <c r="K224" s="168"/>
    </row>
    <row r="225" spans="1:11">
      <c r="A225" s="163"/>
      <c r="B225" s="170" t="s">
        <v>236</v>
      </c>
      <c r="C225" s="653">
        <f>'[21]Sch D'!I9</f>
        <v>1087</v>
      </c>
      <c r="D225" s="653"/>
      <c r="E225" s="235">
        <f t="shared" si="59"/>
        <v>1087</v>
      </c>
      <c r="F225" s="234"/>
      <c r="G225" s="235">
        <f t="shared" si="57"/>
        <v>1087</v>
      </c>
      <c r="H225" s="172">
        <f t="shared" si="58"/>
        <v>0.13082200024070284</v>
      </c>
      <c r="I225" s="337"/>
      <c r="J225" s="168"/>
      <c r="K225" s="168"/>
    </row>
    <row r="226" spans="1:11">
      <c r="A226" s="163"/>
      <c r="B226" s="170" t="s">
        <v>235</v>
      </c>
      <c r="C226" s="653">
        <f>'[21]Sch D'!J9</f>
        <v>0</v>
      </c>
      <c r="D226" s="653"/>
      <c r="E226" s="235">
        <f>C226+D226</f>
        <v>0</v>
      </c>
      <c r="F226" s="234"/>
      <c r="G226" s="235">
        <f>E226+F226</f>
        <v>0</v>
      </c>
      <c r="H226" s="172">
        <f t="shared" si="58"/>
        <v>0</v>
      </c>
      <c r="I226" s="337"/>
      <c r="J226" s="168"/>
      <c r="K226" s="168"/>
    </row>
    <row r="227" spans="1:11">
      <c r="A227" s="163"/>
      <c r="B227" s="170" t="s">
        <v>179</v>
      </c>
      <c r="C227" s="653">
        <f>'[21]Sch D'!K9</f>
        <v>0</v>
      </c>
      <c r="D227" s="653"/>
      <c r="E227" s="235">
        <f t="shared" si="59"/>
        <v>0</v>
      </c>
      <c r="F227" s="234"/>
      <c r="G227" s="235">
        <f t="shared" si="57"/>
        <v>0</v>
      </c>
      <c r="H227" s="172">
        <f t="shared" si="58"/>
        <v>0</v>
      </c>
      <c r="I227" s="337"/>
      <c r="J227" s="168"/>
      <c r="K227" s="168"/>
    </row>
    <row r="228" spans="1:11" ht="13.5" thickBot="1">
      <c r="A228" s="163"/>
      <c r="B228" s="236" t="s">
        <v>75</v>
      </c>
      <c r="C228" s="653">
        <f>SUM(C219:C227)</f>
        <v>8309</v>
      </c>
      <c r="D228" s="653">
        <f>SUM(D219:D227)</f>
        <v>0</v>
      </c>
      <c r="E228" s="237">
        <f>SUM(E219:E227)</f>
        <v>8309</v>
      </c>
      <c r="F228" s="237">
        <f>SUM(F219:F227)</f>
        <v>0</v>
      </c>
      <c r="G228" s="237">
        <f>SUM(G219:G227)</f>
        <v>8309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620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619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654">
        <f>'[21]Sch D'!N22</f>
        <v>26</v>
      </c>
      <c r="D231" s="574"/>
      <c r="E231" s="235">
        <f>C231+D231</f>
        <v>26</v>
      </c>
      <c r="F231" s="235"/>
      <c r="G231" s="235">
        <f>E231+F231</f>
        <v>26</v>
      </c>
      <c r="H231" s="167"/>
      <c r="J231" s="168"/>
      <c r="K231" s="168"/>
    </row>
    <row r="232" spans="1:11">
      <c r="A232" s="358" t="s">
        <v>369</v>
      </c>
      <c r="B232" s="202" t="s">
        <v>290</v>
      </c>
      <c r="C232" s="654">
        <f>'[21]Sch D'!N24</f>
        <v>26</v>
      </c>
      <c r="D232" s="574"/>
      <c r="E232" s="235">
        <f>C232+D232</f>
        <v>26</v>
      </c>
      <c r="F232" s="235"/>
      <c r="G232" s="235">
        <f>E232+F232</f>
        <v>26</v>
      </c>
      <c r="H232" s="167" t="s">
        <v>370</v>
      </c>
      <c r="J232" s="168"/>
      <c r="K232" s="168"/>
    </row>
    <row r="233" spans="1:11">
      <c r="A233" s="163"/>
      <c r="B233" s="202" t="s">
        <v>76</v>
      </c>
      <c r="C233" s="654">
        <f>$C$4-$C$3+1</f>
        <v>365</v>
      </c>
      <c r="D233" s="489"/>
      <c r="E233" s="235">
        <f>C233+D233</f>
        <v>365</v>
      </c>
      <c r="F233" s="240"/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621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654">
        <f>'[21]Sch D'!N28</f>
        <v>9490</v>
      </c>
      <c r="D235" s="489"/>
      <c r="E235" s="234">
        <f>E231*E233</f>
        <v>9490</v>
      </c>
      <c r="F235" s="240"/>
      <c r="G235" s="234">
        <f>G231*G233</f>
        <v>9490</v>
      </c>
      <c r="H235" s="167"/>
      <c r="J235" s="168"/>
      <c r="K235" s="168"/>
    </row>
    <row r="236" spans="1:11" ht="26">
      <c r="A236" s="163"/>
      <c r="B236" s="244" t="s">
        <v>336</v>
      </c>
      <c r="C236" s="655">
        <f>'[21]Sch D'!N30</f>
        <v>0.87555321390937835</v>
      </c>
      <c r="D236" s="240"/>
      <c r="E236" s="245">
        <f>E228/E235</f>
        <v>0.87555321390937835</v>
      </c>
      <c r="F236" s="246"/>
      <c r="G236" s="245">
        <f>G228/G235</f>
        <v>0.87555321390937835</v>
      </c>
      <c r="H236" s="167"/>
      <c r="J236" s="168"/>
      <c r="K236" s="168"/>
    </row>
    <row r="237" spans="1:11" ht="26">
      <c r="A237" s="163"/>
      <c r="B237" s="244" t="s">
        <v>337</v>
      </c>
      <c r="C237" s="655">
        <f>'[21]Sch D'!N32</f>
        <v>0.58461538461538465</v>
      </c>
      <c r="D237" s="240"/>
      <c r="E237" s="245">
        <f>(E219+E220)/E235</f>
        <v>0.58461538461538465</v>
      </c>
      <c r="F237" s="246"/>
      <c r="G237" s="245">
        <f>(G219+G220)/G235</f>
        <v>0.58461538461538465</v>
      </c>
      <c r="H237" s="167"/>
      <c r="J237" s="168"/>
      <c r="K237" s="168"/>
    </row>
    <row r="238" spans="1:11" ht="26">
      <c r="A238" s="163"/>
      <c r="B238" s="244" t="s">
        <v>338</v>
      </c>
      <c r="C238" s="655">
        <f>'[21]Sch D'!N34</f>
        <v>0.66770971236009147</v>
      </c>
      <c r="D238" s="240"/>
      <c r="E238" s="245">
        <f>(E237/E236)</f>
        <v>0.66770971236009147</v>
      </c>
      <c r="F238" s="246"/>
      <c r="G238" s="245">
        <f>(G237/G236)</f>
        <v>0.66770971236009147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73">
        <f>'[21]Sch B'!C85</f>
        <v>135.98481012658229</v>
      </c>
    </row>
    <row r="242" spans="2:7">
      <c r="F242" s="142" t="s">
        <v>341</v>
      </c>
      <c r="G242" s="573">
        <f>'[21]Sch B'!E85</f>
        <v>135.98233995584988</v>
      </c>
    </row>
    <row r="243" spans="2:7">
      <c r="F243" s="142" t="s">
        <v>342</v>
      </c>
      <c r="G243" s="573">
        <f>'[21]Sch B'!G85</f>
        <v>135.98202247191011</v>
      </c>
    </row>
    <row r="244" spans="2:7">
      <c r="F244" s="142" t="s">
        <v>343</v>
      </c>
      <c r="G244" s="573">
        <f>'[21]Sch B'!I85</f>
        <v>135.98162729658793</v>
      </c>
    </row>
    <row r="245" spans="2:7">
      <c r="F245" s="142"/>
    </row>
  </sheetData>
  <phoneticPr fontId="16" type="noConversion"/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6">
    <tabColor rgb="FFE28CAB"/>
  </sheetPr>
  <dimension ref="A1:Q245"/>
  <sheetViews>
    <sheetView showGridLines="0" zoomScale="90" zoomScaleNormal="90" workbookViewId="0">
      <selection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478"/>
      <c r="E1" s="478"/>
      <c r="F1" s="478"/>
      <c r="G1" s="478"/>
      <c r="H1" s="478"/>
      <c r="I1" s="479"/>
    </row>
    <row r="2" spans="1:14" ht="23">
      <c r="B2" s="143" t="s">
        <v>189</v>
      </c>
      <c r="C2" s="247" t="s">
        <v>379</v>
      </c>
      <c r="D2" s="247"/>
      <c r="E2" s="144"/>
    </row>
    <row r="3" spans="1:14">
      <c r="A3" s="145"/>
      <c r="B3" s="140" t="s">
        <v>79</v>
      </c>
      <c r="C3" s="495">
        <v>41821</v>
      </c>
      <c r="D3" s="144"/>
      <c r="E3" s="147"/>
    </row>
    <row r="4" spans="1:14">
      <c r="A4" s="145"/>
      <c r="B4" s="148" t="s">
        <v>80</v>
      </c>
      <c r="C4" s="495">
        <v>42185</v>
      </c>
      <c r="D4" s="144"/>
      <c r="E4" s="149"/>
      <c r="G4" s="150"/>
    </row>
    <row r="5" spans="1:14">
      <c r="A5" s="145"/>
      <c r="B5" s="148"/>
      <c r="C5" s="151"/>
      <c r="D5" s="144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144"/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490">
        <f>'[22]Sch B'!E10</f>
        <v>2521683</v>
      </c>
      <c r="D11" s="490">
        <f>'[22]Sch B'!G10</f>
        <v>0</v>
      </c>
      <c r="E11" s="171">
        <f>C11+D11</f>
        <v>2521683</v>
      </c>
      <c r="F11" s="171"/>
      <c r="G11" s="171">
        <f t="shared" ref="G11:G20" si="0">E11+F11</f>
        <v>2521683</v>
      </c>
      <c r="H11" s="172">
        <f t="shared" ref="H11:H21" si="1">IF($G$21=0,0,G11/$G$21)</f>
        <v>0.46177388510712869</v>
      </c>
      <c r="I11" s="337"/>
      <c r="J11" s="368" t="s">
        <v>344</v>
      </c>
      <c r="K11" s="369">
        <f>G21</f>
        <v>5460861</v>
      </c>
      <c r="M11" s="359">
        <f>IFERROR(G11/G219,0)</f>
        <v>186.74983337036215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490">
        <f>'[22]Sch B'!E15</f>
        <v>0</v>
      </c>
      <c r="D12" s="490">
        <f>'[22]Sch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7"/>
      <c r="J12" s="370" t="s">
        <v>345</v>
      </c>
      <c r="K12" s="371">
        <f>G208</f>
        <v>5169890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490">
        <f>'[22]Sch B'!E21</f>
        <v>1137737</v>
      </c>
      <c r="D13" s="490">
        <f>'[22]Sch B'!G21</f>
        <v>0</v>
      </c>
      <c r="E13" s="171">
        <f t="shared" si="2"/>
        <v>1137737</v>
      </c>
      <c r="F13" s="171"/>
      <c r="G13" s="171">
        <f t="shared" si="0"/>
        <v>1137737</v>
      </c>
      <c r="H13" s="172">
        <f t="shared" si="1"/>
        <v>0.20834388569861054</v>
      </c>
      <c r="I13" s="337"/>
      <c r="J13" s="370" t="s">
        <v>346</v>
      </c>
      <c r="K13" s="371">
        <f>G228</f>
        <v>23550</v>
      </c>
      <c r="M13" s="359">
        <f t="shared" si="3"/>
        <v>570.00851703406818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490">
        <f>'[22]Sch B'!E27</f>
        <v>379650</v>
      </c>
      <c r="D14" s="490">
        <f>'[22]Sch B'!G27</f>
        <v>0</v>
      </c>
      <c r="E14" s="171">
        <f t="shared" si="2"/>
        <v>379650</v>
      </c>
      <c r="F14" s="175"/>
      <c r="G14" s="175">
        <f>E14+F14</f>
        <v>379650</v>
      </c>
      <c r="H14" s="176">
        <f t="shared" si="1"/>
        <v>6.9522003947729116E-2</v>
      </c>
      <c r="I14" s="338"/>
      <c r="J14" s="370" t="s">
        <v>347</v>
      </c>
      <c r="K14" s="371">
        <f>G231</f>
        <v>106</v>
      </c>
      <c r="M14" s="359">
        <f t="shared" si="3"/>
        <v>383.87259858442872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490">
        <f>'[22]Sch B'!E32</f>
        <v>479205</v>
      </c>
      <c r="D15" s="490">
        <f>'[22]Sch B'!G32</f>
        <v>0</v>
      </c>
      <c r="E15" s="171">
        <f t="shared" si="2"/>
        <v>479205</v>
      </c>
      <c r="F15" s="171"/>
      <c r="G15" s="171">
        <f t="shared" si="0"/>
        <v>479205</v>
      </c>
      <c r="H15" s="172">
        <f t="shared" si="1"/>
        <v>8.7752645599292856E-2</v>
      </c>
      <c r="I15" s="337"/>
      <c r="J15" s="370" t="s">
        <v>348</v>
      </c>
      <c r="K15" s="371">
        <f>G235</f>
        <v>38690</v>
      </c>
      <c r="M15" s="359">
        <f t="shared" si="3"/>
        <v>214.69758064516128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490">
        <f>'[22]Sch B'!E37</f>
        <v>213932</v>
      </c>
      <c r="D16" s="490">
        <f>'[22]Sch B'!G37</f>
        <v>0</v>
      </c>
      <c r="E16" s="171">
        <f t="shared" si="2"/>
        <v>213932</v>
      </c>
      <c r="F16" s="171"/>
      <c r="G16" s="171">
        <f t="shared" si="0"/>
        <v>213932</v>
      </c>
      <c r="H16" s="172">
        <f t="shared" si="1"/>
        <v>3.9175507305532958E-2</v>
      </c>
      <c r="I16" s="337"/>
      <c r="J16" s="372"/>
      <c r="K16" s="371"/>
      <c r="M16" s="359">
        <f t="shared" si="3"/>
        <v>162.68593155893535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490">
        <f>'[22]Sch B'!E42</f>
        <v>625438</v>
      </c>
      <c r="D17" s="490">
        <f>'[22]Sch B'!G42</f>
        <v>0</v>
      </c>
      <c r="E17" s="171">
        <f t="shared" si="2"/>
        <v>625438</v>
      </c>
      <c r="F17" s="171"/>
      <c r="G17" s="171">
        <f>E17+F17</f>
        <v>625438</v>
      </c>
      <c r="H17" s="172">
        <f t="shared" si="1"/>
        <v>0.11453102358767235</v>
      </c>
      <c r="I17" s="337"/>
      <c r="J17" s="370" t="s">
        <v>156</v>
      </c>
      <c r="K17" s="371">
        <f>J208</f>
        <v>131928.5</v>
      </c>
      <c r="M17" s="359">
        <f t="shared" si="3"/>
        <v>183.5744056354564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490">
        <f>'[22]Sch B'!E47</f>
        <v>0</v>
      </c>
      <c r="D18" s="490">
        <f>'[22]Sch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337"/>
      <c r="J18" s="373" t="s">
        <v>252</v>
      </c>
      <c r="K18" s="374">
        <f>K208</f>
        <v>174499</v>
      </c>
      <c r="M18" s="359">
        <f t="shared" si="3"/>
        <v>0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490">
        <f>'[22]Sch B'!E52</f>
        <v>241136</v>
      </c>
      <c r="D19" s="490">
        <f>'[22]Sch B'!G52</f>
        <v>-197798</v>
      </c>
      <c r="E19" s="171">
        <f t="shared" si="2"/>
        <v>43338</v>
      </c>
      <c r="F19" s="171"/>
      <c r="G19" s="171">
        <f t="shared" si="0"/>
        <v>43338</v>
      </c>
      <c r="H19" s="172">
        <f t="shared" si="1"/>
        <v>7.9361111736775576E-3</v>
      </c>
      <c r="I19" s="337"/>
      <c r="J19" s="168"/>
      <c r="K19" s="168"/>
      <c r="M19" s="359">
        <f t="shared" si="3"/>
        <v>401.27777777777777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490">
        <f>'[22]Sch B'!E67</f>
        <v>69855</v>
      </c>
      <c r="D20" s="490">
        <f>'[22]Sch B'!G67</f>
        <v>-9977</v>
      </c>
      <c r="E20" s="171">
        <f t="shared" si="2"/>
        <v>59878</v>
      </c>
      <c r="F20" s="171"/>
      <c r="G20" s="171">
        <f t="shared" si="0"/>
        <v>59878</v>
      </c>
      <c r="H20" s="172">
        <f t="shared" si="1"/>
        <v>1.0964937580355919E-2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490">
        <f>SUM(C11:C20)</f>
        <v>5668636</v>
      </c>
      <c r="D21" s="490">
        <f>SUM(D11:D20)</f>
        <v>-207775</v>
      </c>
      <c r="E21" s="171">
        <f>SUM(E11:E20)</f>
        <v>5460861</v>
      </c>
      <c r="F21" s="171">
        <f>SUM(F11:F20)</f>
        <v>0</v>
      </c>
      <c r="G21" s="171">
        <f>SUM(G11:G20)</f>
        <v>5460861</v>
      </c>
      <c r="H21" s="172">
        <f t="shared" si="1"/>
        <v>1</v>
      </c>
      <c r="I21" s="337"/>
      <c r="J21" s="168"/>
      <c r="K21" s="168"/>
      <c r="M21" s="359">
        <f>IFERROR(G21/G228,0)</f>
        <v>231.88369426751592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4">
      <c r="A24" s="181" t="s">
        <v>161</v>
      </c>
      <c r="B24" s="148" t="s">
        <v>12</v>
      </c>
      <c r="M24" s="363"/>
      <c r="N24" s="363"/>
    </row>
    <row r="25" spans="1:14" s="167" customFormat="1">
      <c r="A25" s="169" t="s">
        <v>83</v>
      </c>
      <c r="B25" s="170" t="s">
        <v>14</v>
      </c>
      <c r="C25" s="490">
        <f>'[22]Sch C'!D10</f>
        <v>0</v>
      </c>
      <c r="D25" s="490">
        <f>'[22]Sch C'!F10</f>
        <v>158996</v>
      </c>
      <c r="E25" s="171">
        <f t="shared" ref="E25:E60" si="4">C25+D25</f>
        <v>158996</v>
      </c>
      <c r="F25" s="171"/>
      <c r="G25" s="182">
        <f>E25+F25</f>
        <v>158996</v>
      </c>
      <c r="H25" s="172">
        <f>IF($G$208=0,0,G25/$G$208)</f>
        <v>3.075423268193327E-2</v>
      </c>
      <c r="I25" s="337"/>
      <c r="J25" s="183">
        <v>1938</v>
      </c>
      <c r="K25" s="183">
        <v>2160</v>
      </c>
      <c r="M25" s="359">
        <f>G25/G$228</f>
        <v>6.7514225053078558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490">
        <f>'[22]Sch C'!D11</f>
        <v>0</v>
      </c>
      <c r="D26" s="490">
        <f>'[22]Sch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490">
        <f>'[22]Sch C'!D12</f>
        <v>241967</v>
      </c>
      <c r="D27" s="490">
        <f>'[22]Sch C'!F12</f>
        <v>-158996</v>
      </c>
      <c r="E27" s="171">
        <f t="shared" si="4"/>
        <v>82971</v>
      </c>
      <c r="F27" s="171"/>
      <c r="G27" s="171">
        <f t="shared" si="5"/>
        <v>82971</v>
      </c>
      <c r="H27" s="172">
        <f t="shared" si="6"/>
        <v>1.6048890788778872E-2</v>
      </c>
      <c r="I27" s="337"/>
      <c r="J27" s="185">
        <v>5766</v>
      </c>
      <c r="K27" s="185">
        <v>6624</v>
      </c>
      <c r="M27" s="359">
        <f t="shared" si="7"/>
        <v>3.5231847133757963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490">
        <f>'[22]Sch C'!D13</f>
        <v>32005</v>
      </c>
      <c r="D28" s="490">
        <f>'[22]Sch C'!F13</f>
        <v>-159</v>
      </c>
      <c r="E28" s="171">
        <f t="shared" si="4"/>
        <v>31846</v>
      </c>
      <c r="F28" s="171"/>
      <c r="G28" s="171">
        <f t="shared" si="5"/>
        <v>31846</v>
      </c>
      <c r="H28" s="172">
        <f t="shared" si="6"/>
        <v>6.1598989533626445E-3</v>
      </c>
      <c r="I28" s="337"/>
      <c r="J28" s="168"/>
      <c r="K28" s="168"/>
      <c r="M28" s="359">
        <f t="shared" si="7"/>
        <v>1.352271762208068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490">
        <f>'[22]Sch C'!D14</f>
        <v>0</v>
      </c>
      <c r="D29" s="490">
        <f>'[22]Sch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490">
        <f>'[22]Sch C'!D15</f>
        <v>0</v>
      </c>
      <c r="D30" s="490">
        <f>'[22]Sch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7"/>
      <c r="J30" s="168"/>
      <c r="K30" s="168"/>
      <c r="M30" s="359">
        <f t="shared" si="7"/>
        <v>0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490">
        <f>'[22]Sch C'!D16</f>
        <v>282357</v>
      </c>
      <c r="D31" s="490">
        <f>'[22]Sch C'!F16</f>
        <v>37657</v>
      </c>
      <c r="E31" s="171">
        <f t="shared" si="4"/>
        <v>320014</v>
      </c>
      <c r="F31" s="171"/>
      <c r="G31" s="171">
        <f t="shared" si="5"/>
        <v>320014</v>
      </c>
      <c r="H31" s="172">
        <f t="shared" si="6"/>
        <v>6.1899576199880464E-2</v>
      </c>
      <c r="I31" s="337"/>
      <c r="J31" s="168"/>
      <c r="K31" s="168"/>
      <c r="M31" s="359">
        <f t="shared" si="7"/>
        <v>13.588704883227177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490">
        <f>'[22]Sch C'!D17</f>
        <v>1197</v>
      </c>
      <c r="D32" s="490">
        <f>'[22]Sch C'!F17</f>
        <v>-1197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7"/>
      <c r="J32" s="168"/>
      <c r="K32" s="168"/>
      <c r="M32" s="359">
        <f t="shared" si="7"/>
        <v>0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490">
        <f>'[22]Sch C'!D18</f>
        <v>16206</v>
      </c>
      <c r="D33" s="490">
        <f>'[22]Sch C'!F18</f>
        <v>0</v>
      </c>
      <c r="E33" s="171">
        <f t="shared" si="4"/>
        <v>16206</v>
      </c>
      <c r="F33" s="171"/>
      <c r="G33" s="171">
        <f t="shared" si="5"/>
        <v>16206</v>
      </c>
      <c r="H33" s="172">
        <f t="shared" si="6"/>
        <v>3.1346895195062175E-3</v>
      </c>
      <c r="I33" s="337"/>
      <c r="J33" s="168"/>
      <c r="K33" s="168"/>
      <c r="M33" s="359">
        <f t="shared" si="7"/>
        <v>0.6881528662420382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490">
        <f>'[22]Sch C'!D19</f>
        <v>12818</v>
      </c>
      <c r="D34" s="490">
        <f>'[22]Sch C'!F19</f>
        <v>0</v>
      </c>
      <c r="E34" s="171">
        <f t="shared" si="4"/>
        <v>12818</v>
      </c>
      <c r="F34" s="171"/>
      <c r="G34" s="171">
        <f t="shared" si="5"/>
        <v>12818</v>
      </c>
      <c r="H34" s="172">
        <f t="shared" si="6"/>
        <v>2.4793564273127666E-3</v>
      </c>
      <c r="I34" s="337"/>
      <c r="J34" s="168"/>
      <c r="K34" s="168"/>
      <c r="M34" s="359">
        <f t="shared" si="7"/>
        <v>0.54428874734607213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490">
        <f>'[22]Sch C'!D20</f>
        <v>11454</v>
      </c>
      <c r="D35" s="490">
        <f>'[22]Sch C'!F20</f>
        <v>0</v>
      </c>
      <c r="E35" s="171">
        <f t="shared" si="4"/>
        <v>11454</v>
      </c>
      <c r="F35" s="171"/>
      <c r="G35" s="171">
        <f t="shared" si="5"/>
        <v>11454</v>
      </c>
      <c r="H35" s="172">
        <f t="shared" si="6"/>
        <v>2.2155210265595595E-3</v>
      </c>
      <c r="I35" s="337"/>
      <c r="J35" s="168"/>
      <c r="K35" s="168"/>
      <c r="M35" s="359">
        <f t="shared" si="7"/>
        <v>0.48636942675159234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490">
        <f>'[22]Sch C'!D21</f>
        <v>18719</v>
      </c>
      <c r="D36" s="490">
        <f>'[22]Sch C'!F21</f>
        <v>0</v>
      </c>
      <c r="E36" s="171">
        <f t="shared" si="4"/>
        <v>18719</v>
      </c>
      <c r="F36" s="171"/>
      <c r="G36" s="171">
        <f t="shared" si="5"/>
        <v>18719</v>
      </c>
      <c r="H36" s="172">
        <f t="shared" si="6"/>
        <v>3.6207733626827652E-3</v>
      </c>
      <c r="I36" s="337"/>
      <c r="J36" s="168"/>
      <c r="K36" s="168"/>
      <c r="M36" s="359">
        <f t="shared" si="7"/>
        <v>0.79486199575371552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490">
        <f>'[22]Sch C'!D22</f>
        <v>0</v>
      </c>
      <c r="D37" s="490">
        <f>'[22]Sch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490">
        <f>'[22]Sch C'!D23</f>
        <v>4789</v>
      </c>
      <c r="D38" s="490">
        <f>'[22]Sch C'!F23</f>
        <v>0</v>
      </c>
      <c r="E38" s="171">
        <f t="shared" si="4"/>
        <v>4789</v>
      </c>
      <c r="F38" s="171"/>
      <c r="G38" s="171">
        <f t="shared" si="5"/>
        <v>4789</v>
      </c>
      <c r="H38" s="172">
        <f t="shared" si="6"/>
        <v>9.2632531833365889E-4</v>
      </c>
      <c r="I38" s="337"/>
      <c r="J38" s="168"/>
      <c r="K38" s="168"/>
      <c r="M38" s="359">
        <f t="shared" si="7"/>
        <v>0.20335456475583863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490">
        <f>'[22]Sch C'!D24</f>
        <v>0</v>
      </c>
      <c r="D39" s="490">
        <f>'[22]Sch C'!F24</f>
        <v>0</v>
      </c>
      <c r="E39" s="171">
        <f t="shared" si="4"/>
        <v>0</v>
      </c>
      <c r="F39" s="171"/>
      <c r="G39" s="171">
        <f t="shared" si="5"/>
        <v>0</v>
      </c>
      <c r="H39" s="172">
        <f t="shared" si="6"/>
        <v>0</v>
      </c>
      <c r="I39" s="337"/>
      <c r="J39" s="168"/>
      <c r="K39" s="168"/>
      <c r="M39" s="359">
        <f t="shared" si="7"/>
        <v>0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490">
        <f>'[22]Sch C'!D25</f>
        <v>2395</v>
      </c>
      <c r="D40" s="490">
        <f>'[22]Sch C'!F25</f>
        <v>0</v>
      </c>
      <c r="E40" s="171">
        <f t="shared" si="4"/>
        <v>2395</v>
      </c>
      <c r="F40" s="171"/>
      <c r="G40" s="171">
        <f t="shared" si="5"/>
        <v>2395</v>
      </c>
      <c r="H40" s="172">
        <f t="shared" si="6"/>
        <v>4.6325937302341055E-4</v>
      </c>
      <c r="I40" s="337"/>
      <c r="J40" s="168"/>
      <c r="K40" s="168"/>
      <c r="M40" s="359">
        <f t="shared" si="7"/>
        <v>0.10169851380042463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490">
        <f>'[22]Sch C'!D26</f>
        <v>308019</v>
      </c>
      <c r="D41" s="490">
        <f>'[22]Sch C'!F26</f>
        <v>0</v>
      </c>
      <c r="E41" s="171">
        <f t="shared" si="4"/>
        <v>308019</v>
      </c>
      <c r="F41" s="171"/>
      <c r="G41" s="171">
        <f t="shared" si="5"/>
        <v>308019</v>
      </c>
      <c r="H41" s="172">
        <f t="shared" si="6"/>
        <v>5.9579410780500164E-2</v>
      </c>
      <c r="I41" s="337"/>
      <c r="J41" s="168"/>
      <c r="K41" s="168"/>
      <c r="M41" s="359">
        <f t="shared" si="7"/>
        <v>13.079363057324841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490">
        <f>'[22]Sch C'!D27</f>
        <v>53107</v>
      </c>
      <c r="D42" s="490">
        <f>'[22]Sch C'!F27</f>
        <v>-160</v>
      </c>
      <c r="E42" s="171">
        <f t="shared" si="4"/>
        <v>52947</v>
      </c>
      <c r="F42" s="171"/>
      <c r="G42" s="171">
        <f t="shared" si="5"/>
        <v>52947</v>
      </c>
      <c r="H42" s="172">
        <f t="shared" si="6"/>
        <v>1.0241417128797711E-2</v>
      </c>
      <c r="I42" s="337"/>
      <c r="J42" s="168"/>
      <c r="K42" s="168"/>
      <c r="M42" s="359">
        <f t="shared" si="7"/>
        <v>2.2482802547770699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490">
        <f>'[22]Sch C'!D28</f>
        <v>0</v>
      </c>
      <c r="D43" s="490">
        <f>'[22]Sch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490">
        <f>'[22]Sch C'!D29</f>
        <v>87334</v>
      </c>
      <c r="D44" s="490">
        <f>'[22]Sch C'!F29</f>
        <v>-87334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490">
        <f>'[22]Sch C'!D30</f>
        <v>0</v>
      </c>
      <c r="D45" s="490">
        <f>'[22]Sch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490">
        <f>'[22]Sch C'!D31</f>
        <v>0</v>
      </c>
      <c r="D46" s="490">
        <f>'[22]Sch C'!F31</f>
        <v>0</v>
      </c>
      <c r="E46" s="171">
        <f t="shared" si="4"/>
        <v>0</v>
      </c>
      <c r="F46" s="171"/>
      <c r="G46" s="171">
        <f t="shared" si="5"/>
        <v>0</v>
      </c>
      <c r="H46" s="172">
        <f t="shared" si="6"/>
        <v>0</v>
      </c>
      <c r="I46" s="337"/>
      <c r="J46" s="168"/>
      <c r="K46" s="168"/>
      <c r="M46" s="359">
        <f t="shared" si="7"/>
        <v>0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490">
        <f>'[22]Sch C'!D32</f>
        <v>78180</v>
      </c>
      <c r="D47" s="490">
        <f>'[22]Sch C'!F32</f>
        <v>0</v>
      </c>
      <c r="E47" s="171">
        <f t="shared" si="4"/>
        <v>78180</v>
      </c>
      <c r="F47" s="171"/>
      <c r="G47" s="171">
        <f t="shared" si="5"/>
        <v>78180</v>
      </c>
      <c r="H47" s="172">
        <f t="shared" si="6"/>
        <v>1.5122178615018888E-2</v>
      </c>
      <c r="I47" s="337"/>
      <c r="J47" s="168"/>
      <c r="K47" s="168"/>
      <c r="M47" s="359">
        <f t="shared" si="7"/>
        <v>3.3197452229299365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490">
        <f>'[22]Sch C'!D33</f>
        <v>0</v>
      </c>
      <c r="D48" s="490">
        <f>'[22]Sch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490">
        <f>'[22]Sch C'!D34</f>
        <v>435</v>
      </c>
      <c r="D49" s="490">
        <f>'[22]Sch C'!F34</f>
        <v>0</v>
      </c>
      <c r="E49" s="171">
        <f t="shared" si="4"/>
        <v>435</v>
      </c>
      <c r="F49" s="171"/>
      <c r="G49" s="171">
        <f t="shared" si="5"/>
        <v>435</v>
      </c>
      <c r="H49" s="172">
        <f t="shared" si="6"/>
        <v>8.4141055225546392E-5</v>
      </c>
      <c r="I49" s="337"/>
      <c r="J49" s="168"/>
      <c r="K49" s="168"/>
      <c r="M49" s="359">
        <f t="shared" si="7"/>
        <v>1.8471337579617834E-2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490">
        <f>'[22]Sch C'!D35</f>
        <v>0</v>
      </c>
      <c r="D50" s="490">
        <f>'[22]Sch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490">
        <f>'[22]Sch C'!D36</f>
        <v>6226</v>
      </c>
      <c r="D51" s="490">
        <f>'[22]Sch C'!F36</f>
        <v>0</v>
      </c>
      <c r="E51" s="171">
        <f t="shared" si="4"/>
        <v>6226</v>
      </c>
      <c r="F51" s="171"/>
      <c r="G51" s="171">
        <f t="shared" si="5"/>
        <v>6226</v>
      </c>
      <c r="H51" s="172">
        <f t="shared" si="6"/>
        <v>1.2042809421477052E-3</v>
      </c>
      <c r="I51" s="337"/>
      <c r="J51" s="183">
        <v>34</v>
      </c>
      <c r="K51" s="183">
        <v>95</v>
      </c>
      <c r="M51" s="359">
        <f t="shared" si="7"/>
        <v>0.26437367303609344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490">
        <f>'[22]Sch C'!D37</f>
        <v>13973</v>
      </c>
      <c r="D52" s="490">
        <f>'[22]Sch C'!F37</f>
        <v>0</v>
      </c>
      <c r="E52" s="171">
        <f t="shared" si="4"/>
        <v>13973</v>
      </c>
      <c r="F52" s="171"/>
      <c r="G52" s="171">
        <f t="shared" si="5"/>
        <v>13973</v>
      </c>
      <c r="H52" s="172">
        <f t="shared" si="6"/>
        <v>2.7027654360150797E-3</v>
      </c>
      <c r="I52" s="337"/>
      <c r="J52" s="168"/>
      <c r="K52" s="168"/>
      <c r="M52" s="359">
        <f t="shared" si="7"/>
        <v>0.59333333333333338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490">
        <f>'[22]Sch C'!D38</f>
        <v>323</v>
      </c>
      <c r="D53" s="490">
        <f>'[22]Sch C'!F38</f>
        <v>-323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7"/>
      <c r="J53" s="168"/>
      <c r="K53" s="168"/>
      <c r="M53" s="359">
        <f t="shared" si="7"/>
        <v>0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490">
        <f>'[22]Sch C'!D39</f>
        <v>3027</v>
      </c>
      <c r="D54" s="490">
        <f>'[22]Sch C'!F39</f>
        <v>0</v>
      </c>
      <c r="E54" s="171">
        <f t="shared" si="4"/>
        <v>3027</v>
      </c>
      <c r="F54" s="171"/>
      <c r="G54" s="171">
        <f t="shared" si="5"/>
        <v>3027</v>
      </c>
      <c r="H54" s="172">
        <f t="shared" si="6"/>
        <v>5.8550568774190558E-4</v>
      </c>
      <c r="I54" s="337"/>
      <c r="J54" s="168"/>
      <c r="K54" s="168"/>
      <c r="M54" s="359">
        <f t="shared" si="7"/>
        <v>0.12853503184713375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490">
        <f>'[22]Sch C'!D40</f>
        <v>4545</v>
      </c>
      <c r="D55" s="490">
        <f>'[22]Sch C'!F40</f>
        <v>-4545</v>
      </c>
      <c r="E55" s="171">
        <f t="shared" si="4"/>
        <v>0</v>
      </c>
      <c r="F55" s="171"/>
      <c r="G55" s="171">
        <f t="shared" si="5"/>
        <v>0</v>
      </c>
      <c r="H55" s="172">
        <f t="shared" si="6"/>
        <v>0</v>
      </c>
      <c r="I55" s="337"/>
      <c r="J55" s="168"/>
      <c r="K55" s="168"/>
      <c r="M55" s="359">
        <f t="shared" si="7"/>
        <v>0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490">
        <f>'[22]Sch C'!D41</f>
        <v>75588</v>
      </c>
      <c r="D56" s="490">
        <f>'[22]Sch C'!F41</f>
        <v>0</v>
      </c>
      <c r="E56" s="171">
        <f t="shared" si="4"/>
        <v>75588</v>
      </c>
      <c r="F56" s="171"/>
      <c r="G56" s="171">
        <f t="shared" si="5"/>
        <v>75588</v>
      </c>
      <c r="H56" s="172">
        <f t="shared" si="6"/>
        <v>1.4620813982502529E-2</v>
      </c>
      <c r="I56" s="337"/>
      <c r="J56" s="168"/>
      <c r="K56" s="168"/>
      <c r="M56" s="359">
        <f t="shared" si="7"/>
        <v>3.2096815286624203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490">
        <f>'[22]Sch C'!D42</f>
        <v>152</v>
      </c>
      <c r="D57" s="490">
        <f>'[22]Sch C'!F42</f>
        <v>0</v>
      </c>
      <c r="E57" s="171">
        <f t="shared" si="4"/>
        <v>152</v>
      </c>
      <c r="F57" s="171"/>
      <c r="G57" s="171">
        <f t="shared" si="5"/>
        <v>152</v>
      </c>
      <c r="H57" s="172">
        <f t="shared" si="6"/>
        <v>2.9401012400650692E-5</v>
      </c>
      <c r="I57" s="337"/>
      <c r="J57" s="168"/>
      <c r="K57" s="168"/>
      <c r="M57" s="359">
        <f t="shared" si="7"/>
        <v>6.4543524416135877E-3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490">
        <f>'[22]Sch C'!D43</f>
        <v>13867</v>
      </c>
      <c r="D58" s="490">
        <f>'[22]Sch C'!F43</f>
        <v>-3867</v>
      </c>
      <c r="E58" s="171">
        <f t="shared" si="4"/>
        <v>10000</v>
      </c>
      <c r="F58" s="171"/>
      <c r="G58" s="171">
        <f t="shared" si="5"/>
        <v>10000</v>
      </c>
      <c r="H58" s="172">
        <f t="shared" si="6"/>
        <v>1.9342771316217559E-3</v>
      </c>
      <c r="I58" s="337"/>
      <c r="J58" s="168"/>
      <c r="K58" s="168"/>
      <c r="M58" s="359">
        <f t="shared" si="7"/>
        <v>0.42462845010615713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490">
        <f>'[22]Sch C'!D44</f>
        <v>0</v>
      </c>
      <c r="D59" s="490">
        <f>'[22]Sch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7"/>
      <c r="J59" s="168"/>
      <c r="K59" s="168"/>
      <c r="M59" s="359">
        <f t="shared" si="7"/>
        <v>0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490">
        <f>'[22]Sch C'!D45</f>
        <v>1119</v>
      </c>
      <c r="D60" s="490">
        <f>'[22]Sch C'!F45</f>
        <v>-348</v>
      </c>
      <c r="E60" s="171">
        <f t="shared" si="4"/>
        <v>771</v>
      </c>
      <c r="F60" s="171"/>
      <c r="G60" s="171">
        <f t="shared" si="5"/>
        <v>771</v>
      </c>
      <c r="H60" s="172">
        <f t="shared" si="6"/>
        <v>1.4913276684803739E-4</v>
      </c>
      <c r="I60" s="337"/>
      <c r="J60" s="168"/>
      <c r="K60" s="168"/>
      <c r="M60" s="359">
        <f t="shared" si="7"/>
        <v>3.2738853503184714E-2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490">
        <f>SUM(C25:C60)</f>
        <v>1269802</v>
      </c>
      <c r="D61" s="490">
        <f>SUM(D25:D60)</f>
        <v>-60276</v>
      </c>
      <c r="E61" s="171">
        <f t="shared" ref="E61:F61" si="8">SUM(E25:E60)</f>
        <v>1209526</v>
      </c>
      <c r="F61" s="171">
        <f t="shared" si="8"/>
        <v>0</v>
      </c>
      <c r="G61" s="171">
        <f>SUM(G25:G60)</f>
        <v>1209526</v>
      </c>
      <c r="H61" s="186">
        <f t="shared" si="6"/>
        <v>0.2339558481901936</v>
      </c>
      <c r="I61" s="339"/>
      <c r="J61" s="168"/>
      <c r="K61" s="168"/>
      <c r="M61" s="364">
        <f>G61/G$228</f>
        <v>51.359915074309981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I62" s="340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490">
        <f>'[22]Sch C'!D57</f>
        <v>0</v>
      </c>
      <c r="D64" s="490">
        <f>'[22]Sch C'!F57</f>
        <v>0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I64" s="337"/>
      <c r="J64" s="190"/>
      <c r="K64" s="168"/>
      <c r="M64" s="359">
        <f t="shared" ref="M64:M79" si="12">G64/G$228</f>
        <v>0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490">
        <f>'[22]Sch C'!D58</f>
        <v>122235</v>
      </c>
      <c r="D65" s="490">
        <f>'[22]Sch C'!F58</f>
        <v>-4550</v>
      </c>
      <c r="E65" s="171">
        <f t="shared" si="9"/>
        <v>117685</v>
      </c>
      <c r="F65" s="171"/>
      <c r="G65" s="171">
        <f t="shared" si="10"/>
        <v>117685</v>
      </c>
      <c r="H65" s="172">
        <f t="shared" si="11"/>
        <v>2.2763540423490634E-2</v>
      </c>
      <c r="I65" s="337"/>
      <c r="J65" s="190"/>
      <c r="K65" s="168"/>
      <c r="M65" s="359">
        <f t="shared" si="12"/>
        <v>4.9972399150743101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490">
        <f>'[22]Sch C'!D59</f>
        <v>69803</v>
      </c>
      <c r="D66" s="490">
        <f>'[22]Sch C'!F59</f>
        <v>0</v>
      </c>
      <c r="E66" s="171">
        <f t="shared" si="9"/>
        <v>69803</v>
      </c>
      <c r="F66" s="171"/>
      <c r="G66" s="171">
        <f t="shared" si="10"/>
        <v>69803</v>
      </c>
      <c r="H66" s="172">
        <f t="shared" si="11"/>
        <v>1.3501834661859342E-2</v>
      </c>
      <c r="I66" s="337"/>
      <c r="J66" s="190"/>
      <c r="K66" s="168"/>
      <c r="M66" s="359">
        <f t="shared" si="12"/>
        <v>2.9640339702760086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490">
        <f>'[22]Sch C'!D60</f>
        <v>30126</v>
      </c>
      <c r="D67" s="490">
        <f>'[22]Sch C'!F60</f>
        <v>0</v>
      </c>
      <c r="E67" s="171">
        <f t="shared" si="9"/>
        <v>30126</v>
      </c>
      <c r="F67" s="171"/>
      <c r="G67" s="171">
        <f t="shared" si="10"/>
        <v>30126</v>
      </c>
      <c r="H67" s="172">
        <f t="shared" si="11"/>
        <v>5.8272032867237016E-3</v>
      </c>
      <c r="I67" s="337"/>
      <c r="J67" s="193"/>
      <c r="K67" s="168"/>
      <c r="M67" s="359">
        <f t="shared" si="12"/>
        <v>1.279235668789809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490">
        <f>'[22]Sch C'!D61</f>
        <v>20480</v>
      </c>
      <c r="D68" s="490">
        <f>'[22]Sch C'!F61</f>
        <v>0</v>
      </c>
      <c r="E68" s="171">
        <f t="shared" si="9"/>
        <v>20480</v>
      </c>
      <c r="F68" s="171"/>
      <c r="G68" s="171">
        <f t="shared" si="10"/>
        <v>20480</v>
      </c>
      <c r="H68" s="172">
        <f t="shared" si="11"/>
        <v>3.9613995655613564E-3</v>
      </c>
      <c r="I68" s="337"/>
      <c r="J68" s="193"/>
      <c r="K68" s="168"/>
      <c r="M68" s="359">
        <f t="shared" si="12"/>
        <v>0.8696390658174098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490">
        <f>'[22]Sch C'!D62</f>
        <v>6339</v>
      </c>
      <c r="D69" s="490">
        <f>'[22]Sch C'!F62</f>
        <v>0</v>
      </c>
      <c r="E69" s="171">
        <f t="shared" si="9"/>
        <v>6339</v>
      </c>
      <c r="F69" s="171"/>
      <c r="G69" s="171">
        <f t="shared" si="10"/>
        <v>6339</v>
      </c>
      <c r="H69" s="172">
        <f t="shared" si="11"/>
        <v>1.2261382737350311E-3</v>
      </c>
      <c r="I69" s="337"/>
      <c r="J69" s="195"/>
      <c r="K69" s="168"/>
      <c r="M69" s="359">
        <f t="shared" si="12"/>
        <v>0.26917197452229297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490">
        <f>'[22]Sch C'!D63</f>
        <v>0</v>
      </c>
      <c r="D70" s="490">
        <f>'[22]Sch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7"/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490">
        <f>'[22]Sch C'!D64</f>
        <v>0</v>
      </c>
      <c r="D71" s="490">
        <f>'[22]Sch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490">
        <f>'[22]Sch C'!D65</f>
        <v>3685</v>
      </c>
      <c r="D72" s="490">
        <f>'[22]Sch C'!F65</f>
        <v>0</v>
      </c>
      <c r="E72" s="171">
        <f t="shared" si="9"/>
        <v>3685</v>
      </c>
      <c r="F72" s="171"/>
      <c r="G72" s="171">
        <f t="shared" si="10"/>
        <v>3685</v>
      </c>
      <c r="H72" s="172">
        <f t="shared" si="11"/>
        <v>7.127811230026171E-4</v>
      </c>
      <c r="I72" s="337"/>
      <c r="J72" s="195"/>
      <c r="K72" s="168"/>
      <c r="M72" s="359">
        <f t="shared" si="12"/>
        <v>0.15647558386411889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490">
        <f>'[22]Sch C'!D66</f>
        <v>19163</v>
      </c>
      <c r="D73" s="490">
        <f>'[22]Sch C'!F66</f>
        <v>-387</v>
      </c>
      <c r="E73" s="171">
        <f t="shared" si="9"/>
        <v>18776</v>
      </c>
      <c r="F73" s="171"/>
      <c r="G73" s="171">
        <f t="shared" si="10"/>
        <v>18776</v>
      </c>
      <c r="H73" s="172">
        <f t="shared" si="11"/>
        <v>3.6317987423330092E-3</v>
      </c>
      <c r="I73" s="337"/>
      <c r="J73" s="195"/>
      <c r="K73" s="168"/>
      <c r="M73" s="359">
        <f t="shared" si="12"/>
        <v>0.79728237791932055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490">
        <f>'[22]Sch C'!D67</f>
        <v>40267</v>
      </c>
      <c r="D74" s="490">
        <f>'[22]Sch C'!F67</f>
        <v>0</v>
      </c>
      <c r="E74" s="171">
        <f t="shared" si="9"/>
        <v>40267</v>
      </c>
      <c r="F74" s="171"/>
      <c r="G74" s="171">
        <f t="shared" si="10"/>
        <v>40267</v>
      </c>
      <c r="H74" s="172">
        <f t="shared" si="11"/>
        <v>7.788753725901325E-3</v>
      </c>
      <c r="I74" s="337"/>
      <c r="J74" s="195"/>
      <c r="K74" s="168"/>
      <c r="M74" s="359">
        <f t="shared" si="12"/>
        <v>1.7098513800424628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490">
        <f>'[22]Sch C'!D68</f>
        <v>0</v>
      </c>
      <c r="D75" s="490">
        <f>'[22]Sch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490">
        <f>'[22]Sch C'!D69</f>
        <v>3804</v>
      </c>
      <c r="D76" s="490">
        <f>'[22]Sch C'!F69</f>
        <v>0</v>
      </c>
      <c r="E76" s="171">
        <f t="shared" si="9"/>
        <v>3804</v>
      </c>
      <c r="F76" s="171"/>
      <c r="G76" s="171">
        <f t="shared" si="10"/>
        <v>3804</v>
      </c>
      <c r="H76" s="172">
        <f t="shared" si="11"/>
        <v>7.3579902086891595E-4</v>
      </c>
      <c r="I76" s="337"/>
      <c r="J76" s="195"/>
      <c r="K76" s="168"/>
      <c r="M76" s="359">
        <f t="shared" si="12"/>
        <v>0.16152866242038216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490">
        <f>'[22]Sch C'!D70</f>
        <v>0</v>
      </c>
      <c r="D77" s="490">
        <f>'[22]Sch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7"/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490">
        <f>'[22]Sch C'!D71</f>
        <v>0</v>
      </c>
      <c r="D78" s="490">
        <f>'[22]Sch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7"/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490">
        <f>SUM(C64:C78)</f>
        <v>315902</v>
      </c>
      <c r="D79" s="490">
        <f>SUM(D64:D78)</f>
        <v>-4937</v>
      </c>
      <c r="E79" s="171">
        <f t="shared" ref="E79:F79" si="13">SUM(E64:E78)</f>
        <v>310965</v>
      </c>
      <c r="F79" s="171">
        <f t="shared" si="13"/>
        <v>0</v>
      </c>
      <c r="G79" s="171">
        <f>SUM(G64:G78)</f>
        <v>310965</v>
      </c>
      <c r="H79" s="172">
        <f t="shared" si="11"/>
        <v>6.0149248823475936E-2</v>
      </c>
      <c r="I79" s="337"/>
      <c r="J79" s="195"/>
      <c r="K79" s="168"/>
      <c r="M79" s="359">
        <f t="shared" si="12"/>
        <v>13.204458598726115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490">
        <f>'[22]Sch C'!D75</f>
        <v>74671</v>
      </c>
      <c r="D82" s="490">
        <f>'[22]Sch C'!F75</f>
        <v>0</v>
      </c>
      <c r="E82" s="171">
        <f t="shared" ref="E82:E92" si="14">C82+D82</f>
        <v>74671</v>
      </c>
      <c r="F82" s="171"/>
      <c r="G82" s="171">
        <f t="shared" ref="G82:G92" si="15">E82+F82</f>
        <v>74671</v>
      </c>
      <c r="H82" s="172">
        <f t="shared" ref="H82:H93" si="16">IF($G$208=0,0,G82/$G$208)</f>
        <v>1.4443440769532814E-2</v>
      </c>
      <c r="I82" s="337"/>
      <c r="J82" s="183">
        <v>3842</v>
      </c>
      <c r="K82" s="183">
        <v>4244</v>
      </c>
      <c r="M82" s="359">
        <f t="shared" ref="M82:M92" si="17">G82/G$228</f>
        <v>3.170743099787686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490">
        <f>'[22]Sch C'!D76</f>
        <v>15903</v>
      </c>
      <c r="D83" s="490">
        <f>'[22]Sch C'!F76</f>
        <v>0</v>
      </c>
      <c r="E83" s="171">
        <f t="shared" si="14"/>
        <v>15903</v>
      </c>
      <c r="F83" s="171"/>
      <c r="G83" s="171">
        <f t="shared" si="15"/>
        <v>15903</v>
      </c>
      <c r="H83" s="172">
        <f t="shared" si="16"/>
        <v>3.0760809224180787E-3</v>
      </c>
      <c r="I83" s="337"/>
      <c r="J83" s="168"/>
      <c r="K83" s="168"/>
      <c r="M83" s="359">
        <f t="shared" si="17"/>
        <v>0.67528662420382168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490">
        <f>'[22]Sch C'!D77</f>
        <v>6977</v>
      </c>
      <c r="D84" s="490">
        <f>'[22]Sch C'!F77</f>
        <v>0</v>
      </c>
      <c r="E84" s="171">
        <f t="shared" si="14"/>
        <v>6977</v>
      </c>
      <c r="F84" s="171"/>
      <c r="G84" s="171">
        <f t="shared" si="15"/>
        <v>6977</v>
      </c>
      <c r="H84" s="172">
        <f t="shared" si="16"/>
        <v>1.3495451547324991E-3</v>
      </c>
      <c r="I84" s="337"/>
      <c r="J84" s="168"/>
      <c r="K84" s="168"/>
      <c r="M84" s="359">
        <f t="shared" si="17"/>
        <v>0.2962632696390658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490">
        <f>'[22]Sch C'!D78</f>
        <v>0</v>
      </c>
      <c r="D85" s="490">
        <f>'[22]Sch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I85" s="337"/>
      <c r="J85" s="168"/>
      <c r="K85" s="168"/>
      <c r="M85" s="359">
        <f t="shared" si="17"/>
        <v>0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490">
        <f>'[22]Sch C'!D79</f>
        <v>2247</v>
      </c>
      <c r="D86" s="490">
        <f>'[22]Sch C'!F79</f>
        <v>0</v>
      </c>
      <c r="E86" s="171">
        <f t="shared" si="14"/>
        <v>2247</v>
      </c>
      <c r="F86" s="171"/>
      <c r="G86" s="171">
        <f>E86+F86</f>
        <v>2247</v>
      </c>
      <c r="H86" s="172">
        <f t="shared" si="16"/>
        <v>4.3463207147540855E-4</v>
      </c>
      <c r="I86" s="337"/>
      <c r="J86" s="168"/>
      <c r="K86" s="168"/>
      <c r="M86" s="359">
        <f t="shared" si="17"/>
        <v>9.5414012738853499E-2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490">
        <f>'[22]Sch C'!D80</f>
        <v>20957</v>
      </c>
      <c r="D87" s="490">
        <f>'[22]Sch C'!F80</f>
        <v>0</v>
      </c>
      <c r="E87" s="171">
        <f t="shared" si="14"/>
        <v>20957</v>
      </c>
      <c r="F87" s="171"/>
      <c r="G87" s="171">
        <f t="shared" si="15"/>
        <v>20957</v>
      </c>
      <c r="H87" s="172">
        <f t="shared" si="16"/>
        <v>4.0536645847397143E-3</v>
      </c>
      <c r="I87" s="337"/>
      <c r="J87" s="168"/>
      <c r="K87" s="168"/>
      <c r="M87" s="359">
        <f t="shared" si="17"/>
        <v>0.88989384288747342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490">
        <f>'[22]Sch C'!D81</f>
        <v>40259</v>
      </c>
      <c r="D88" s="490">
        <f>'[22]Sch C'!F81</f>
        <v>0</v>
      </c>
      <c r="E88" s="171">
        <f t="shared" si="14"/>
        <v>40259</v>
      </c>
      <c r="F88" s="171"/>
      <c r="G88" s="171">
        <f t="shared" si="15"/>
        <v>40259</v>
      </c>
      <c r="H88" s="172">
        <f t="shared" si="16"/>
        <v>7.7872063041960274E-3</v>
      </c>
      <c r="I88" s="337"/>
      <c r="J88" s="168"/>
      <c r="K88" s="168"/>
      <c r="M88" s="359">
        <f t="shared" si="17"/>
        <v>1.709511677282378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490">
        <f>'[22]Sch C'!D82</f>
        <v>9440</v>
      </c>
      <c r="D89" s="490">
        <f>'[22]Sch C'!F82</f>
        <v>0</v>
      </c>
      <c r="E89" s="171">
        <f t="shared" si="14"/>
        <v>9440</v>
      </c>
      <c r="F89" s="171"/>
      <c r="G89" s="171">
        <f t="shared" si="15"/>
        <v>9440</v>
      </c>
      <c r="H89" s="172">
        <f t="shared" si="16"/>
        <v>1.8259576122509377E-3</v>
      </c>
      <c r="I89" s="337"/>
      <c r="J89" s="168"/>
      <c r="K89" s="168"/>
      <c r="M89" s="359">
        <f t="shared" si="17"/>
        <v>0.40084925690021234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490">
        <f>'[22]Sch C'!D83</f>
        <v>3978</v>
      </c>
      <c r="D90" s="490">
        <f>'[22]Sch C'!F83</f>
        <v>0</v>
      </c>
      <c r="E90" s="171">
        <f t="shared" si="14"/>
        <v>3978</v>
      </c>
      <c r="F90" s="171"/>
      <c r="G90" s="171">
        <f t="shared" si="15"/>
        <v>3978</v>
      </c>
      <c r="H90" s="172">
        <f t="shared" si="16"/>
        <v>7.6945544295913449E-4</v>
      </c>
      <c r="I90" s="337"/>
      <c r="J90" s="168"/>
      <c r="K90" s="168"/>
      <c r="M90" s="359">
        <f t="shared" si="17"/>
        <v>0.1689171974522293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490">
        <f>'[22]Sch C'!D84</f>
        <v>134204</v>
      </c>
      <c r="D91" s="490">
        <f>'[22]Sch C'!F84</f>
        <v>0</v>
      </c>
      <c r="E91" s="171">
        <f t="shared" si="14"/>
        <v>134204</v>
      </c>
      <c r="F91" s="171"/>
      <c r="G91" s="171">
        <f t="shared" si="15"/>
        <v>134204</v>
      </c>
      <c r="H91" s="172">
        <f t="shared" si="16"/>
        <v>2.5958772817216615E-2</v>
      </c>
      <c r="I91" s="337"/>
      <c r="J91" s="168"/>
      <c r="K91" s="168"/>
      <c r="M91" s="359">
        <f t="shared" si="17"/>
        <v>5.6986836518046706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490">
        <f>'[22]Sch C'!D85</f>
        <v>0</v>
      </c>
      <c r="D92" s="490">
        <f>'[22]Sch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7"/>
      <c r="J92" s="168"/>
      <c r="K92" s="168"/>
      <c r="M92" s="359">
        <f t="shared" si="17"/>
        <v>0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490">
        <f>SUM(C82:C92)</f>
        <v>308636</v>
      </c>
      <c r="D93" s="490">
        <f>SUM(D82:D92)</f>
        <v>0</v>
      </c>
      <c r="E93" s="171">
        <f t="shared" ref="E93:F93" si="18">SUM(E82:E92)</f>
        <v>308636</v>
      </c>
      <c r="F93" s="171">
        <f t="shared" si="18"/>
        <v>0</v>
      </c>
      <c r="G93" s="171">
        <f>SUM(G82:G92)</f>
        <v>308636</v>
      </c>
      <c r="H93" s="172">
        <f t="shared" si="16"/>
        <v>5.969875567952123E-2</v>
      </c>
      <c r="I93" s="337"/>
      <c r="J93" s="168"/>
      <c r="K93" s="168"/>
      <c r="M93" s="364">
        <f>G93/G$228</f>
        <v>13.10556263269639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490">
        <f>'[22]Sch C'!D89</f>
        <v>227783</v>
      </c>
      <c r="D96" s="490">
        <f>'[22]Sch C'!F89</f>
        <v>0</v>
      </c>
      <c r="E96" s="171">
        <f t="shared" ref="E96:E101" si="19">C96+D96</f>
        <v>227783</v>
      </c>
      <c r="F96" s="171"/>
      <c r="G96" s="171">
        <f t="shared" ref="G96:G101" si="20">E96+F96</f>
        <v>227783</v>
      </c>
      <c r="H96" s="172">
        <f t="shared" ref="H96:H102" si="21">IF($G$208=0,0,G96/$G$208)</f>
        <v>4.4059544787219844E-2</v>
      </c>
      <c r="I96" s="337"/>
      <c r="J96" s="183">
        <v>19143</v>
      </c>
      <c r="K96" s="183">
        <v>21726</v>
      </c>
      <c r="M96" s="364">
        <f t="shared" ref="M96:M101" si="22">G96/G$228</f>
        <v>9.6723142250530785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490">
        <f>'[22]Sch C'!D90</f>
        <v>43494</v>
      </c>
      <c r="D97" s="490">
        <f>'[22]Sch C'!F90</f>
        <v>0</v>
      </c>
      <c r="E97" s="171">
        <f t="shared" si="19"/>
        <v>43494</v>
      </c>
      <c r="F97" s="171"/>
      <c r="G97" s="171">
        <f t="shared" si="20"/>
        <v>43494</v>
      </c>
      <c r="H97" s="172">
        <f t="shared" si="21"/>
        <v>8.4129449562756649E-3</v>
      </c>
      <c r="I97" s="337"/>
      <c r="J97" s="168"/>
      <c r="K97" s="168"/>
      <c r="M97" s="364">
        <f t="shared" si="22"/>
        <v>1.8468789808917196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490">
        <f>'[22]Sch C'!D91</f>
        <v>4936</v>
      </c>
      <c r="D98" s="490">
        <f>'[22]Sch C'!F91</f>
        <v>0</v>
      </c>
      <c r="E98" s="171">
        <f t="shared" si="19"/>
        <v>4936</v>
      </c>
      <c r="F98" s="171"/>
      <c r="G98" s="171">
        <f t="shared" si="20"/>
        <v>4936</v>
      </c>
      <c r="H98" s="172">
        <f t="shared" si="21"/>
        <v>9.5475919216849879E-4</v>
      </c>
      <c r="I98" s="337"/>
      <c r="J98" s="168"/>
      <c r="K98" s="168"/>
      <c r="M98" s="364">
        <f t="shared" si="22"/>
        <v>0.20959660297239915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490">
        <f>'[22]Sch C'!D92</f>
        <v>152299</v>
      </c>
      <c r="D99" s="490">
        <f>'[22]Sch C'!F92</f>
        <v>-4919</v>
      </c>
      <c r="E99" s="171">
        <f t="shared" si="19"/>
        <v>147380</v>
      </c>
      <c r="F99" s="171"/>
      <c r="G99" s="171">
        <f t="shared" si="20"/>
        <v>147380</v>
      </c>
      <c r="H99" s="172">
        <f t="shared" si="21"/>
        <v>2.8507376365841438E-2</v>
      </c>
      <c r="I99" s="337"/>
      <c r="J99" s="168"/>
      <c r="K99" s="168"/>
      <c r="M99" s="364">
        <f t="shared" si="22"/>
        <v>6.2581740976645435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490">
        <f>'[22]Sch C'!D93</f>
        <v>20699</v>
      </c>
      <c r="D100" s="490">
        <f>'[22]Sch C'!F93</f>
        <v>0</v>
      </c>
      <c r="E100" s="171">
        <f t="shared" si="19"/>
        <v>20699</v>
      </c>
      <c r="F100" s="171"/>
      <c r="G100" s="171">
        <f t="shared" si="20"/>
        <v>20699</v>
      </c>
      <c r="H100" s="172">
        <f t="shared" si="21"/>
        <v>4.0037602347438731E-3</v>
      </c>
      <c r="I100" s="337"/>
      <c r="J100" s="168"/>
      <c r="K100" s="168"/>
      <c r="M100" s="364">
        <f t="shared" si="22"/>
        <v>0.87893842887473461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490">
        <f>'[22]Sch C'!D94</f>
        <v>0</v>
      </c>
      <c r="D101" s="490">
        <f>'[22]Sch C'!F94</f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I101" s="337"/>
      <c r="J101" s="168"/>
      <c r="K101" s="168"/>
      <c r="M101" s="364">
        <f t="shared" si="22"/>
        <v>0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490">
        <f>SUM(C96:C101)</f>
        <v>449211</v>
      </c>
      <c r="D102" s="490">
        <f>SUM(D96:D101)</f>
        <v>-4919</v>
      </c>
      <c r="E102" s="171">
        <f t="shared" ref="E102:F102" si="23">SUM(E96:E101)</f>
        <v>444292</v>
      </c>
      <c r="F102" s="171">
        <f t="shared" si="23"/>
        <v>0</v>
      </c>
      <c r="G102" s="171">
        <f>SUM(G96:G101)</f>
        <v>444292</v>
      </c>
      <c r="H102" s="172">
        <f t="shared" si="21"/>
        <v>8.5938385536249315E-2</v>
      </c>
      <c r="I102" s="337"/>
      <c r="J102" s="168"/>
      <c r="K102" s="168"/>
      <c r="M102" s="364">
        <f>G102/G$228</f>
        <v>18.865902335456475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490">
        <f>'[22]Sch C'!D98</f>
        <v>0</v>
      </c>
      <c r="D105" s="490">
        <f>'[22]Sch C'!F98</f>
        <v>0</v>
      </c>
      <c r="E105" s="171">
        <f t="shared" ref="E105:E110" si="24">C105+D105</f>
        <v>0</v>
      </c>
      <c r="F105" s="171"/>
      <c r="G105" s="171">
        <f t="shared" ref="G105:G110" si="25">E105+F105</f>
        <v>0</v>
      </c>
      <c r="H105" s="172">
        <f t="shared" ref="H105:H111" si="26">IF($G$208=0,0,G105/$G$208)</f>
        <v>0</v>
      </c>
      <c r="I105" s="337"/>
      <c r="J105" s="183">
        <v>0</v>
      </c>
      <c r="K105" s="183">
        <v>0</v>
      </c>
      <c r="M105" s="364">
        <f t="shared" ref="M105:M110" si="27">G105/G$228</f>
        <v>0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490">
        <f>'[22]Sch C'!D99</f>
        <v>0</v>
      </c>
      <c r="D106" s="490">
        <f>'[22]Sch C'!F99</f>
        <v>0</v>
      </c>
      <c r="E106" s="171">
        <f t="shared" si="24"/>
        <v>0</v>
      </c>
      <c r="F106" s="171"/>
      <c r="G106" s="171">
        <f t="shared" si="25"/>
        <v>0</v>
      </c>
      <c r="H106" s="172">
        <f t="shared" si="26"/>
        <v>0</v>
      </c>
      <c r="I106" s="337"/>
      <c r="J106" s="168"/>
      <c r="K106" s="168"/>
      <c r="M106" s="364">
        <f t="shared" si="27"/>
        <v>0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490">
        <f>'[22]Sch C'!D100</f>
        <v>31</v>
      </c>
      <c r="D107" s="490">
        <f>'[22]Sch C'!F100</f>
        <v>0</v>
      </c>
      <c r="E107" s="171">
        <f t="shared" si="24"/>
        <v>31</v>
      </c>
      <c r="F107" s="171"/>
      <c r="G107" s="171">
        <f t="shared" si="25"/>
        <v>31</v>
      </c>
      <c r="H107" s="172">
        <f t="shared" si="26"/>
        <v>5.9962591080274438E-6</v>
      </c>
      <c r="I107" s="337"/>
      <c r="J107" s="168"/>
      <c r="K107" s="168"/>
      <c r="M107" s="364">
        <f t="shared" si="27"/>
        <v>1.3163481953290871E-3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490">
        <f>'[22]Sch C'!D101</f>
        <v>63988</v>
      </c>
      <c r="D108" s="490">
        <f>'[22]Sch C'!F101</f>
        <v>0</v>
      </c>
      <c r="E108" s="171">
        <f t="shared" si="24"/>
        <v>63988</v>
      </c>
      <c r="F108" s="171"/>
      <c r="G108" s="171">
        <f t="shared" si="25"/>
        <v>63988</v>
      </c>
      <c r="H108" s="172">
        <f t="shared" si="26"/>
        <v>1.2377052509821292E-2</v>
      </c>
      <c r="I108" s="337"/>
      <c r="J108" s="168"/>
      <c r="K108" s="168"/>
      <c r="M108" s="364">
        <f t="shared" si="27"/>
        <v>2.7171125265392782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490">
        <f>'[22]Sch C'!D102</f>
        <v>8534</v>
      </c>
      <c r="D109" s="490">
        <f>'[22]Sch C'!F102</f>
        <v>0</v>
      </c>
      <c r="E109" s="171">
        <f t="shared" si="24"/>
        <v>8534</v>
      </c>
      <c r="F109" s="171"/>
      <c r="G109" s="171">
        <f t="shared" si="25"/>
        <v>8534</v>
      </c>
      <c r="H109" s="172">
        <f t="shared" si="26"/>
        <v>1.6507121041260066E-3</v>
      </c>
      <c r="I109" s="337"/>
      <c r="J109" s="168"/>
      <c r="K109" s="168"/>
      <c r="M109" s="364">
        <f t="shared" si="27"/>
        <v>0.36237791932059449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490">
        <f>'[22]Sch C'!D103</f>
        <v>0</v>
      </c>
      <c r="D110" s="490">
        <f>'[22]Sch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7"/>
      <c r="J110" s="168"/>
      <c r="K110" s="168"/>
      <c r="M110" s="364">
        <f t="shared" si="27"/>
        <v>0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490">
        <f>SUM(C105:C110)</f>
        <v>72553</v>
      </c>
      <c r="D111" s="490">
        <f>SUM(D105:D110)</f>
        <v>0</v>
      </c>
      <c r="E111" s="171">
        <f t="shared" ref="E111:F111" si="28">SUM(E105:E110)</f>
        <v>72553</v>
      </c>
      <c r="F111" s="171">
        <f t="shared" si="28"/>
        <v>0</v>
      </c>
      <c r="G111" s="171">
        <f>SUM(G105:G110)</f>
        <v>72553</v>
      </c>
      <c r="H111" s="172">
        <f t="shared" si="26"/>
        <v>1.4033760873055327E-2</v>
      </c>
      <c r="I111" s="337"/>
      <c r="J111" s="168"/>
      <c r="K111" s="168"/>
      <c r="M111" s="364">
        <f>G111/G$228</f>
        <v>3.0808067940552015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490">
        <f>'[22]Sch C'!D115</f>
        <v>0</v>
      </c>
      <c r="D114" s="490">
        <f>'[22]Sch C'!F115</f>
        <v>0</v>
      </c>
      <c r="E114" s="171">
        <f t="shared" ref="E114:E118" si="29">C114+D114</f>
        <v>0</v>
      </c>
      <c r="F114" s="171"/>
      <c r="G114" s="171">
        <f>E114+F114</f>
        <v>0</v>
      </c>
      <c r="H114" s="172">
        <f t="shared" ref="H114:H119" si="30">IF($G$208=0,0,G114/$G$208)</f>
        <v>0</v>
      </c>
      <c r="I114" s="337"/>
      <c r="J114" s="183">
        <v>0</v>
      </c>
      <c r="K114" s="183">
        <v>0</v>
      </c>
      <c r="M114" s="364">
        <f t="shared" ref="M114:M119" si="31">G114/G$228</f>
        <v>0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490">
        <f>'[22]Sch C'!D116</f>
        <v>0</v>
      </c>
      <c r="D115" s="490">
        <f>'[22]Sch C'!F116</f>
        <v>0</v>
      </c>
      <c r="E115" s="171">
        <f t="shared" si="29"/>
        <v>0</v>
      </c>
      <c r="F115" s="171"/>
      <c r="G115" s="171">
        <f>E115+F115</f>
        <v>0</v>
      </c>
      <c r="H115" s="172">
        <f t="shared" si="30"/>
        <v>0</v>
      </c>
      <c r="I115" s="337"/>
      <c r="J115" s="168"/>
      <c r="K115" s="168"/>
      <c r="M115" s="364">
        <f t="shared" si="31"/>
        <v>0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490">
        <f>'[22]Sch C'!D117</f>
        <v>10703</v>
      </c>
      <c r="D116" s="490">
        <f>'[22]Sch C'!F117</f>
        <v>0</v>
      </c>
      <c r="E116" s="171">
        <f t="shared" si="29"/>
        <v>10703</v>
      </c>
      <c r="F116" s="171"/>
      <c r="G116" s="171">
        <f>E116+F116</f>
        <v>10703</v>
      </c>
      <c r="H116" s="172">
        <f t="shared" si="30"/>
        <v>2.0702568139747655E-3</v>
      </c>
      <c r="I116" s="337"/>
      <c r="J116" s="168"/>
      <c r="K116" s="168"/>
      <c r="M116" s="364">
        <f t="shared" si="31"/>
        <v>0.45447983014861998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490">
        <f>'[22]Sch C'!D118</f>
        <v>120222</v>
      </c>
      <c r="D117" s="490">
        <f>'[22]Sch C'!F118</f>
        <v>0</v>
      </c>
      <c r="E117" s="171">
        <f t="shared" si="29"/>
        <v>120222</v>
      </c>
      <c r="F117" s="171"/>
      <c r="G117" s="171">
        <f>E117+F117</f>
        <v>120222</v>
      </c>
      <c r="H117" s="172">
        <f t="shared" si="30"/>
        <v>2.3254266531783075E-2</v>
      </c>
      <c r="I117" s="337"/>
      <c r="J117" s="168"/>
      <c r="K117" s="168"/>
      <c r="M117" s="364">
        <f t="shared" si="31"/>
        <v>5.1049681528662418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490">
        <f>'[22]Sch C'!D119</f>
        <v>0</v>
      </c>
      <c r="D118" s="490">
        <f>'[22]Sch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337"/>
      <c r="J118" s="168"/>
      <c r="K118" s="168"/>
      <c r="M118" s="364">
        <f t="shared" si="31"/>
        <v>0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490">
        <f>SUM(C114:C118)</f>
        <v>130925</v>
      </c>
      <c r="D119" s="490">
        <f>SUM(D114:D118)</f>
        <v>0</v>
      </c>
      <c r="E119" s="171">
        <f t="shared" ref="E119:F119" si="32">SUM(E114:E118)</f>
        <v>130925</v>
      </c>
      <c r="F119" s="171">
        <f t="shared" si="32"/>
        <v>0</v>
      </c>
      <c r="G119" s="171">
        <f>SUM(G114:G118)</f>
        <v>130925</v>
      </c>
      <c r="H119" s="172">
        <f t="shared" si="30"/>
        <v>2.5324523345757841E-2</v>
      </c>
      <c r="I119" s="337"/>
      <c r="J119" s="168"/>
      <c r="K119" s="168"/>
      <c r="M119" s="364">
        <f t="shared" si="31"/>
        <v>5.559447983014862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1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490">
        <f>'[22]Sch C'!D124</f>
        <v>0</v>
      </c>
      <c r="D123" s="490">
        <f>'[22]Sch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7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0.77002560279620991</v>
      </c>
    </row>
    <row r="124" spans="1:14" s="167" customFormat="1">
      <c r="B124" s="163" t="s">
        <v>194</v>
      </c>
      <c r="C124" s="490">
        <f>'[22]Sch C'!D125</f>
        <v>154836</v>
      </c>
      <c r="D124" s="490">
        <f>'[22]Sch C'!F125</f>
        <v>0</v>
      </c>
      <c r="E124" s="171">
        <f t="shared" si="33"/>
        <v>154836</v>
      </c>
      <c r="F124" s="171"/>
      <c r="G124" s="171">
        <f>E124+F124</f>
        <v>154836</v>
      </c>
      <c r="H124" s="172">
        <f>IF($G$208=0,0,G124/$G$208)</f>
        <v>2.9949573395178619E-2</v>
      </c>
      <c r="I124" s="337"/>
      <c r="J124" s="183">
        <v>3981</v>
      </c>
      <c r="K124" s="183">
        <v>4559</v>
      </c>
      <c r="M124" s="364">
        <f t="shared" si="34"/>
        <v>6.5747770700636945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490">
        <f>'[22]Sch C'!D126</f>
        <v>0</v>
      </c>
      <c r="D125" s="490">
        <f>'[22]Sch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7"/>
      <c r="J125" s="183">
        <v>0</v>
      </c>
      <c r="K125" s="183">
        <v>0</v>
      </c>
      <c r="M125" s="364">
        <f t="shared" si="34"/>
        <v>0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490">
        <f>'[22]Sch C'!D127</f>
        <v>0</v>
      </c>
      <c r="D126" s="490">
        <f>'[22]Sch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7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490">
        <f>'[22]Sch C'!D128</f>
        <v>51381</v>
      </c>
      <c r="D127" s="490">
        <f>'[22]Sch C'!F128</f>
        <v>0</v>
      </c>
      <c r="E127" s="171">
        <f t="shared" si="33"/>
        <v>51381</v>
      </c>
      <c r="F127" s="171"/>
      <c r="G127" s="171">
        <f>E127+F127</f>
        <v>51381</v>
      </c>
      <c r="H127" s="172">
        <f>IF($G$208=0,0,G127/$G$208)</f>
        <v>9.9385093299857452E-3</v>
      </c>
      <c r="I127" s="337"/>
      <c r="J127" s="183">
        <v>3879</v>
      </c>
      <c r="K127" s="183">
        <v>4350</v>
      </c>
      <c r="M127" s="364">
        <f t="shared" si="34"/>
        <v>2.1817834394904461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205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490">
        <f>'[22]Sch C'!D130</f>
        <v>0</v>
      </c>
      <c r="D129" s="490">
        <f>'[22]Sch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7"/>
      <c r="J129" s="204"/>
      <c r="K129" s="204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490">
        <f>'[22]Sch C'!D131</f>
        <v>20337</v>
      </c>
      <c r="D130" s="490">
        <f>'[22]Sch C'!F131</f>
        <v>0</v>
      </c>
      <c r="E130" s="171">
        <f t="shared" si="35"/>
        <v>20337</v>
      </c>
      <c r="F130" s="171"/>
      <c r="G130" s="171">
        <f>E130+F130</f>
        <v>20337</v>
      </c>
      <c r="H130" s="172">
        <f>IF($G$208=0,0,G130/$G$208)</f>
        <v>3.9337394025791648E-3</v>
      </c>
      <c r="I130" s="337"/>
      <c r="J130" s="204"/>
      <c r="K130" s="204"/>
      <c r="M130" s="364">
        <f t="shared" si="34"/>
        <v>0.86356687898089168</v>
      </c>
      <c r="N130" s="359">
        <f>SUMMARY!J133</f>
        <v>1.0792348507966931</v>
      </c>
    </row>
    <row r="131" spans="1:14" s="167" customFormat="1">
      <c r="B131" s="163" t="s">
        <v>195</v>
      </c>
      <c r="C131" s="490">
        <f>'[22]Sch C'!D132</f>
        <v>0</v>
      </c>
      <c r="D131" s="490">
        <f>'[22]Sch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7"/>
      <c r="J131" s="168"/>
      <c r="K131" s="168"/>
      <c r="M131" s="364">
        <f t="shared" si="34"/>
        <v>0</v>
      </c>
      <c r="N131" s="359">
        <f>SUMMARY!J134</f>
        <v>8.2765628075518377E-2</v>
      </c>
    </row>
    <row r="132" spans="1:14" s="167" customFormat="1">
      <c r="B132" s="163" t="s">
        <v>196</v>
      </c>
      <c r="C132" s="490">
        <f>'[22]Sch C'!D133</f>
        <v>0</v>
      </c>
      <c r="D132" s="490">
        <f>'[22]Sch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490">
        <f>'[22]Sch C'!D134</f>
        <v>19484</v>
      </c>
      <c r="D133" s="490">
        <f>'[22]Sch C'!F134</f>
        <v>0</v>
      </c>
      <c r="E133" s="171">
        <f t="shared" si="35"/>
        <v>19484</v>
      </c>
      <c r="F133" s="171"/>
      <c r="G133" s="171">
        <f>E133+F133</f>
        <v>19484</v>
      </c>
      <c r="H133" s="172">
        <f>IF($G$208=0,0,G133/$G$208)</f>
        <v>3.7687455632518293E-3</v>
      </c>
      <c r="I133" s="337"/>
      <c r="J133" s="168"/>
      <c r="K133" s="168"/>
      <c r="M133" s="364">
        <f t="shared" si="34"/>
        <v>0.82734607218683653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490">
        <f>'[22]Sch C'!D136</f>
        <v>314053</v>
      </c>
      <c r="D135" s="490">
        <f>'[22]Sch C'!F136</f>
        <v>0</v>
      </c>
      <c r="E135" s="171">
        <f t="shared" ref="E135:E138" si="36">C135+D135</f>
        <v>314053</v>
      </c>
      <c r="F135" s="171"/>
      <c r="G135" s="171">
        <f>E135+F135</f>
        <v>314053</v>
      </c>
      <c r="H135" s="172">
        <f>IF($G$208=0,0,G135/$G$208)</f>
        <v>6.0746553601720731E-2</v>
      </c>
      <c r="I135" s="337"/>
      <c r="J135" s="183">
        <v>12809</v>
      </c>
      <c r="K135" s="183">
        <v>18329</v>
      </c>
      <c r="M135" s="364">
        <f t="shared" si="34"/>
        <v>13.335583864118895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490">
        <f>'[22]Sch C'!D137</f>
        <v>377816</v>
      </c>
      <c r="D136" s="490">
        <f>'[22]Sch C'!F137</f>
        <v>0</v>
      </c>
      <c r="E136" s="171">
        <f t="shared" si="36"/>
        <v>377816</v>
      </c>
      <c r="F136" s="171"/>
      <c r="G136" s="171">
        <f>E136+F136</f>
        <v>377816</v>
      </c>
      <c r="H136" s="172">
        <f>IF($G$208=0,0,G136/$G$208)</f>
        <v>7.3080084876080531E-2</v>
      </c>
      <c r="I136" s="337"/>
      <c r="J136" s="183">
        <v>14721</v>
      </c>
      <c r="K136" s="183">
        <v>19402</v>
      </c>
      <c r="M136" s="364">
        <f t="shared" si="34"/>
        <v>16.043142250530785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490">
        <f>'[22]Sch C'!D138</f>
        <v>706243</v>
      </c>
      <c r="D137" s="490">
        <f>'[22]Sch C'!F138</f>
        <v>24461</v>
      </c>
      <c r="E137" s="171">
        <f t="shared" si="36"/>
        <v>730704</v>
      </c>
      <c r="F137" s="171"/>
      <c r="G137" s="171">
        <f>E137+F137</f>
        <v>730704</v>
      </c>
      <c r="H137" s="172">
        <f>IF($G$208=0,0,G137/$G$208)</f>
        <v>0.14133840371845435</v>
      </c>
      <c r="I137" s="337"/>
      <c r="J137" s="183">
        <v>58820</v>
      </c>
      <c r="K137" s="183">
        <v>85437</v>
      </c>
      <c r="M137" s="364">
        <f t="shared" si="34"/>
        <v>31.027770700636943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490">
        <f>'[22]Sch C'!D139</f>
        <v>24461</v>
      </c>
      <c r="D138" s="490">
        <f>'[22]Sch C'!F139</f>
        <v>-24461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7"/>
      <c r="J138" s="183">
        <v>0</v>
      </c>
      <c r="K138" s="183">
        <v>0</v>
      </c>
      <c r="M138" s="364">
        <f t="shared" si="34"/>
        <v>0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7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490">
        <f>'[22]Sch C'!D141</f>
        <v>281423</v>
      </c>
      <c r="D140" s="490">
        <f>'[22]Sch C'!F141</f>
        <v>-219295</v>
      </c>
      <c r="E140" s="171">
        <f t="shared" ref="E140:E143" si="37">C140+D140</f>
        <v>62128</v>
      </c>
      <c r="F140" s="171"/>
      <c r="G140" s="171">
        <f>E140+F140</f>
        <v>62128</v>
      </c>
      <c r="H140" s="172">
        <f>IF($G$208=0,0,G140/$G$208)</f>
        <v>1.2017276963339646E-2</v>
      </c>
      <c r="I140" s="337"/>
      <c r="J140" s="168"/>
      <c r="K140" s="168"/>
      <c r="M140" s="364">
        <f t="shared" si="34"/>
        <v>2.6381316348195329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490">
        <f>'[22]Sch C'!D142</f>
        <v>0</v>
      </c>
      <c r="D141" s="490">
        <f>'[22]Sch C'!F142</f>
        <v>74742</v>
      </c>
      <c r="E141" s="171">
        <f t="shared" si="37"/>
        <v>74742</v>
      </c>
      <c r="F141" s="171"/>
      <c r="G141" s="171">
        <f>E141+F141</f>
        <v>74742</v>
      </c>
      <c r="H141" s="172">
        <f>IF($G$208=0,0,G141/$G$208)</f>
        <v>1.4457174137167329E-2</v>
      </c>
      <c r="I141" s="337"/>
      <c r="J141" s="168"/>
      <c r="K141" s="168"/>
      <c r="M141" s="364">
        <f t="shared" si="34"/>
        <v>3.1737579617834393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490">
        <f>'[22]Sch C'!D143</f>
        <v>0</v>
      </c>
      <c r="D142" s="490">
        <f>'[22]Sch C'!F143</f>
        <v>144553</v>
      </c>
      <c r="E142" s="171">
        <f t="shared" si="37"/>
        <v>144553</v>
      </c>
      <c r="F142" s="171"/>
      <c r="G142" s="171">
        <f>E142+F142</f>
        <v>144553</v>
      </c>
      <c r="H142" s="172">
        <f>IF($G$208=0,0,G142/$G$208)</f>
        <v>2.7960556220731968E-2</v>
      </c>
      <c r="I142" s="337"/>
      <c r="J142" s="168"/>
      <c r="K142" s="168"/>
      <c r="M142" s="364">
        <f t="shared" si="34"/>
        <v>6.1381316348195325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490">
        <f>'[22]Sch C'!D144</f>
        <v>0</v>
      </c>
      <c r="D143" s="490">
        <f>'[22]Sch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7"/>
      <c r="J143" s="168"/>
      <c r="K143" s="168"/>
      <c r="M143" s="364">
        <f t="shared" si="34"/>
        <v>0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7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490">
        <f>'[22]Sch C'!D146</f>
        <v>26240</v>
      </c>
      <c r="D145" s="490">
        <f>'[22]Sch C'!F146</f>
        <v>0</v>
      </c>
      <c r="E145" s="171">
        <f t="shared" ref="E145:E153" si="38">C145+D145</f>
        <v>26240</v>
      </c>
      <c r="F145" s="171"/>
      <c r="G145" s="171">
        <f t="shared" ref="G145:G153" si="39">E145+F145</f>
        <v>26240</v>
      </c>
      <c r="H145" s="172">
        <f t="shared" ref="H145:H153" si="40">IF($G$208=0,0,G145/$G$208)</f>
        <v>5.0755431933754876E-3</v>
      </c>
      <c r="I145" s="337"/>
      <c r="J145" s="183">
        <v>165</v>
      </c>
      <c r="K145" s="183">
        <v>165</v>
      </c>
      <c r="M145" s="364">
        <f t="shared" si="34"/>
        <v>1.1142250530785562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490">
        <f>'[22]Sch C'!D147</f>
        <v>12031</v>
      </c>
      <c r="D146" s="490">
        <f>'[22]Sch C'!F147</f>
        <v>-455</v>
      </c>
      <c r="E146" s="171">
        <f t="shared" si="38"/>
        <v>11576</v>
      </c>
      <c r="F146" s="171"/>
      <c r="G146" s="171">
        <f t="shared" si="39"/>
        <v>11576</v>
      </c>
      <c r="H146" s="172">
        <f t="shared" si="40"/>
        <v>2.2391192075653446E-3</v>
      </c>
      <c r="I146" s="337"/>
      <c r="J146" s="183">
        <v>231.5</v>
      </c>
      <c r="K146" s="183">
        <v>232</v>
      </c>
      <c r="M146" s="364">
        <f t="shared" si="34"/>
        <v>0.4915498938428875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490">
        <f>'[22]Sch C'!D148</f>
        <v>0</v>
      </c>
      <c r="D147" s="490">
        <f>'[22]Sch C'!F148</f>
        <v>455</v>
      </c>
      <c r="E147" s="171">
        <f t="shared" si="38"/>
        <v>455</v>
      </c>
      <c r="F147" s="171"/>
      <c r="G147" s="171">
        <f t="shared" si="39"/>
        <v>455</v>
      </c>
      <c r="H147" s="172">
        <f t="shared" si="40"/>
        <v>8.80096094887899E-5</v>
      </c>
      <c r="I147" s="337"/>
      <c r="J147" s="183">
        <v>13</v>
      </c>
      <c r="K147" s="183">
        <v>13</v>
      </c>
      <c r="M147" s="364">
        <f t="shared" si="34"/>
        <v>1.9320594479830148E-2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490">
        <f>'[22]Sch C'!D149</f>
        <v>0</v>
      </c>
      <c r="D148" s="490">
        <f>'[22]Sch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7"/>
      <c r="J148" s="183">
        <v>0</v>
      </c>
      <c r="K148" s="183">
        <v>0</v>
      </c>
      <c r="M148" s="364">
        <f t="shared" si="34"/>
        <v>0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490">
        <f>'[22]Sch C'!D150</f>
        <v>1424</v>
      </c>
      <c r="D149" s="490">
        <f>'[22]Sch C'!F150</f>
        <v>0</v>
      </c>
      <c r="E149" s="171">
        <f t="shared" si="38"/>
        <v>1424</v>
      </c>
      <c r="F149" s="171"/>
      <c r="G149" s="171">
        <f t="shared" si="39"/>
        <v>1424</v>
      </c>
      <c r="H149" s="172">
        <f t="shared" si="40"/>
        <v>2.7544106354293808E-4</v>
      </c>
      <c r="I149" s="337"/>
      <c r="J149" s="183">
        <v>0</v>
      </c>
      <c r="K149" s="183">
        <v>0</v>
      </c>
      <c r="M149" s="364">
        <f t="shared" si="34"/>
        <v>6.0467091295116772E-2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490">
        <f>'[22]Sch C'!D151</f>
        <v>118107</v>
      </c>
      <c r="D150" s="490">
        <f>'[22]Sch C'!F151</f>
        <v>0</v>
      </c>
      <c r="E150" s="171">
        <f t="shared" si="38"/>
        <v>118107</v>
      </c>
      <c r="F150" s="171"/>
      <c r="G150" s="171">
        <f t="shared" si="39"/>
        <v>118107</v>
      </c>
      <c r="H150" s="172">
        <f t="shared" si="40"/>
        <v>2.2845166918445074E-2</v>
      </c>
      <c r="I150" s="337"/>
      <c r="J150" s="168"/>
      <c r="K150" s="168"/>
      <c r="M150" s="364">
        <f t="shared" si="34"/>
        <v>5.01515923566879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490">
        <f>'[22]Sch C'!D152</f>
        <v>6032</v>
      </c>
      <c r="D151" s="490">
        <f>'[22]Sch C'!F152</f>
        <v>-1881</v>
      </c>
      <c r="E151" s="171">
        <f t="shared" si="38"/>
        <v>4151</v>
      </c>
      <c r="F151" s="171"/>
      <c r="G151" s="171">
        <f t="shared" si="39"/>
        <v>4151</v>
      </c>
      <c r="H151" s="172">
        <f t="shared" si="40"/>
        <v>8.0291843733619093E-4</v>
      </c>
      <c r="I151" s="337"/>
      <c r="J151" s="168"/>
      <c r="K151" s="168"/>
      <c r="M151" s="364">
        <f t="shared" si="34"/>
        <v>0.17626326963906583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490">
        <f>'[22]Sch C'!D153</f>
        <v>0</v>
      </c>
      <c r="D152" s="490">
        <f>'[22]Sch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7"/>
      <c r="J152" s="168"/>
      <c r="K152" s="168"/>
      <c r="M152" s="364">
        <f t="shared" si="34"/>
        <v>0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490">
        <f>'[22]Sch C'!D154</f>
        <v>0</v>
      </c>
      <c r="D153" s="490">
        <f>'[22]Sch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210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490">
        <f>'[22]Sch C'!D156</f>
        <v>0</v>
      </c>
      <c r="D155" s="490">
        <f>'[22]Sch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490">
        <f>'[22]Sch C'!D157</f>
        <v>0</v>
      </c>
      <c r="D156" s="490">
        <f>'[22]Sch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490">
        <f>'[22]Sch C'!D158</f>
        <v>380</v>
      </c>
      <c r="D157" s="490">
        <f>'[22]Sch C'!F158</f>
        <v>0</v>
      </c>
      <c r="E157" s="171">
        <f t="shared" si="41"/>
        <v>380</v>
      </c>
      <c r="F157" s="171"/>
      <c r="G157" s="171">
        <f t="shared" si="42"/>
        <v>380</v>
      </c>
      <c r="H157" s="172">
        <f t="shared" si="43"/>
        <v>7.3502531001626731E-5</v>
      </c>
      <c r="I157" s="337"/>
      <c r="J157" s="168"/>
      <c r="K157" s="168"/>
      <c r="M157" s="364">
        <f t="shared" si="34"/>
        <v>1.613588110403397E-2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490">
        <f>'[22]Sch C'!D159</f>
        <v>0</v>
      </c>
      <c r="D158" s="490">
        <f>'[22]Sch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490">
        <f>'[22]Sch C'!D160</f>
        <v>0</v>
      </c>
      <c r="D159" s="490">
        <f>'[22]Sch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7"/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490">
        <f>'[22]Sch C'!D161</f>
        <v>14807</v>
      </c>
      <c r="D160" s="490">
        <f>'[22]Sch C'!F161</f>
        <v>-198348</v>
      </c>
      <c r="E160" s="171">
        <f t="shared" si="41"/>
        <v>-183541</v>
      </c>
      <c r="F160" s="171"/>
      <c r="G160" s="171">
        <f t="shared" si="42"/>
        <v>-183541</v>
      </c>
      <c r="H160" s="172">
        <f t="shared" si="43"/>
        <v>-3.5501915901498871E-2</v>
      </c>
      <c r="I160" s="337"/>
      <c r="J160" s="168"/>
      <c r="K160" s="168"/>
      <c r="M160" s="364">
        <f t="shared" si="34"/>
        <v>-7.7936730360934181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490">
        <f>SUM(C123:C160)</f>
        <v>2129055</v>
      </c>
      <c r="D161" s="490">
        <f>SUM(D123:D160)</f>
        <v>-200229</v>
      </c>
      <c r="E161" s="171">
        <f t="shared" ref="E161:F161" si="44">SUM(E123:E160)</f>
        <v>1928826</v>
      </c>
      <c r="F161" s="171">
        <f t="shared" si="44"/>
        <v>0</v>
      </c>
      <c r="G161" s="171">
        <f>SUM(G123:G160)</f>
        <v>1928826</v>
      </c>
      <c r="H161" s="172">
        <f t="shared" si="43"/>
        <v>0.37308840226774653</v>
      </c>
      <c r="I161" s="337"/>
      <c r="J161" s="168"/>
      <c r="K161" s="168"/>
      <c r="M161" s="364">
        <f>G161/G$228</f>
        <v>81.903439490445862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337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7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490">
        <f>'[22]Sch C'!D175</f>
        <v>0</v>
      </c>
      <c r="D164" s="490">
        <f>'[22]Sch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490">
        <f>'[22]Sch C'!D176</f>
        <v>0</v>
      </c>
      <c r="D165" s="490">
        <f>'[22]Sch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490">
        <f>'[22]Sch C'!D177</f>
        <v>0</v>
      </c>
      <c r="D166" s="490">
        <f>'[22]Sch C'!F177</f>
        <v>0</v>
      </c>
      <c r="E166" s="171">
        <f t="shared" si="45"/>
        <v>0</v>
      </c>
      <c r="F166" s="216"/>
      <c r="G166" s="171">
        <f t="shared" si="46"/>
        <v>0</v>
      </c>
      <c r="H166" s="172">
        <f t="shared" si="47"/>
        <v>0</v>
      </c>
      <c r="I166" s="343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490">
        <f>'[22]Sch C'!D178</f>
        <v>0</v>
      </c>
      <c r="D167" s="490">
        <f>'[22]Sch C'!F178</f>
        <v>0</v>
      </c>
      <c r="E167" s="171">
        <f t="shared" si="45"/>
        <v>0</v>
      </c>
      <c r="F167" s="216"/>
      <c r="G167" s="171">
        <f t="shared" si="46"/>
        <v>0</v>
      </c>
      <c r="H167" s="172">
        <f t="shared" si="47"/>
        <v>0</v>
      </c>
      <c r="I167" s="344"/>
      <c r="J167" s="222"/>
      <c r="K167" s="222"/>
      <c r="L167" s="218"/>
      <c r="M167" s="364">
        <f t="shared" si="48"/>
        <v>0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490">
        <f>'[22]Sch C'!D179</f>
        <v>0</v>
      </c>
      <c r="D168" s="490">
        <f>'[22]Sch C'!F179</f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343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490">
        <f>'[22]Sch C'!D180</f>
        <v>0</v>
      </c>
      <c r="D169" s="490">
        <f>'[22]Sch C'!F180</f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344"/>
      <c r="J169" s="222"/>
      <c r="K169" s="222"/>
      <c r="L169" s="218"/>
      <c r="M169" s="364">
        <f t="shared" si="48"/>
        <v>0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490">
        <f>'[22]Sch C'!D181</f>
        <v>0</v>
      </c>
      <c r="D170" s="490">
        <f>'[22]Sch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3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490">
        <f>'[22]Sch C'!D182</f>
        <v>0</v>
      </c>
      <c r="D171" s="490">
        <f>'[22]Sch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490">
        <f>'[22]Sch C'!D183</f>
        <v>0</v>
      </c>
      <c r="D172" s="490">
        <f>'[22]Sch C'!F183</f>
        <v>0</v>
      </c>
      <c r="E172" s="171">
        <f t="shared" si="45"/>
        <v>0</v>
      </c>
      <c r="F172" s="216"/>
      <c r="G172" s="171">
        <f t="shared" si="46"/>
        <v>0</v>
      </c>
      <c r="H172" s="172">
        <f t="shared" si="47"/>
        <v>0</v>
      </c>
      <c r="I172" s="343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490">
        <f>'[22]Sch C'!D184</f>
        <v>0</v>
      </c>
      <c r="D173" s="490">
        <f>'[22]Sch C'!F184</f>
        <v>0</v>
      </c>
      <c r="E173" s="171">
        <f t="shared" si="45"/>
        <v>0</v>
      </c>
      <c r="F173" s="216"/>
      <c r="G173" s="171">
        <f t="shared" si="46"/>
        <v>0</v>
      </c>
      <c r="H173" s="172">
        <f t="shared" si="47"/>
        <v>0</v>
      </c>
      <c r="I173" s="344"/>
      <c r="J173" s="222"/>
      <c r="K173" s="222"/>
      <c r="L173" s="218"/>
      <c r="M173" s="364">
        <f t="shared" si="48"/>
        <v>0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490">
        <f>'[22]Sch C'!D185</f>
        <v>0</v>
      </c>
      <c r="D174" s="490">
        <f>'[22]Sch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3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490">
        <f>'[22]Sch C'!D186</f>
        <v>0</v>
      </c>
      <c r="D175" s="490">
        <f>'[22]Sch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490">
        <f>'[22]Sch C'!D187</f>
        <v>0</v>
      </c>
      <c r="D176" s="490">
        <f>'[22]Sch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490">
        <f>'[22]Sch C'!D188</f>
        <v>2575</v>
      </c>
      <c r="D177" s="490">
        <f>'[22]Sch C'!F188</f>
        <v>0</v>
      </c>
      <c r="E177" s="171">
        <f t="shared" si="45"/>
        <v>2575</v>
      </c>
      <c r="F177" s="216"/>
      <c r="G177" s="171">
        <f t="shared" si="46"/>
        <v>2575</v>
      </c>
      <c r="H177" s="172">
        <f t="shared" si="47"/>
        <v>4.9807636139260212E-4</v>
      </c>
      <c r="I177" s="337"/>
      <c r="J177" s="223"/>
      <c r="K177" s="218"/>
      <c r="L177" s="220"/>
      <c r="M177" s="364">
        <f t="shared" si="48"/>
        <v>0.10934182590233546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490">
        <f>'[22]Sch C'!D189</f>
        <v>0</v>
      </c>
      <c r="D178" s="490">
        <f>'[22]Sch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337"/>
      <c r="J178" s="223"/>
      <c r="K178" s="218"/>
      <c r="L178" s="220"/>
      <c r="M178" s="364">
        <f t="shared" si="48"/>
        <v>0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490">
        <f>'[22]Sch C'!D190</f>
        <v>0</v>
      </c>
      <c r="D179" s="490">
        <f>'[22]Sch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490">
        <f>'[22]Sch C'!D191</f>
        <v>0</v>
      </c>
      <c r="D180" s="490">
        <f>'[22]Sch C'!F191</f>
        <v>0</v>
      </c>
      <c r="E180" s="171">
        <f t="shared" si="45"/>
        <v>0</v>
      </c>
      <c r="F180" s="216"/>
      <c r="G180" s="171">
        <f t="shared" si="46"/>
        <v>0</v>
      </c>
      <c r="H180" s="172">
        <f t="shared" si="47"/>
        <v>0</v>
      </c>
      <c r="I180" s="337"/>
      <c r="J180" s="223"/>
      <c r="K180" s="218"/>
      <c r="L180" s="220"/>
      <c r="M180" s="364">
        <f t="shared" si="48"/>
        <v>0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490">
        <f>'[22]Sch C'!D192</f>
        <v>38</v>
      </c>
      <c r="D181" s="490">
        <f>'[22]Sch C'!F192</f>
        <v>0</v>
      </c>
      <c r="E181" s="171">
        <f t="shared" si="45"/>
        <v>38</v>
      </c>
      <c r="F181" s="216"/>
      <c r="G181" s="171">
        <f t="shared" si="46"/>
        <v>38</v>
      </c>
      <c r="H181" s="172">
        <f t="shared" si="47"/>
        <v>7.350253100162673E-6</v>
      </c>
      <c r="I181" s="337"/>
      <c r="J181" s="223"/>
      <c r="K181" s="218"/>
      <c r="L181" s="220"/>
      <c r="M181" s="364">
        <f t="shared" si="48"/>
        <v>1.6135881104033969E-3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490">
        <f>'[22]Sch C'!D193</f>
        <v>3862</v>
      </c>
      <c r="D182" s="490">
        <f>'[22]Sch C'!F193</f>
        <v>0</v>
      </c>
      <c r="E182" s="171">
        <f t="shared" si="45"/>
        <v>3862</v>
      </c>
      <c r="F182" s="216"/>
      <c r="G182" s="171">
        <f t="shared" si="46"/>
        <v>3862</v>
      </c>
      <c r="H182" s="172">
        <f t="shared" si="47"/>
        <v>7.4701782823232213E-4</v>
      </c>
      <c r="I182" s="337"/>
      <c r="J182" s="223"/>
      <c r="K182" s="218"/>
      <c r="L182" s="220"/>
      <c r="M182" s="364">
        <f t="shared" si="48"/>
        <v>0.16399150743099788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490">
        <f>'[22]Sch C'!D194</f>
        <v>200578</v>
      </c>
      <c r="D183" s="490">
        <f>'[22]Sch C'!F194</f>
        <v>7401</v>
      </c>
      <c r="E183" s="171">
        <f t="shared" si="45"/>
        <v>207979</v>
      </c>
      <c r="F183" s="216"/>
      <c r="G183" s="171">
        <f t="shared" si="46"/>
        <v>207979</v>
      </c>
      <c r="H183" s="172">
        <f t="shared" si="47"/>
        <v>4.0228902355756116E-2</v>
      </c>
      <c r="I183" s="337"/>
      <c r="J183" s="223"/>
      <c r="K183" s="218"/>
      <c r="M183" s="364">
        <f t="shared" si="48"/>
        <v>8.831380042462845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490">
        <f>'[22]Sch C'!D195</f>
        <v>53873</v>
      </c>
      <c r="D184" s="490">
        <f>'[22]Sch C'!F195</f>
        <v>1988</v>
      </c>
      <c r="E184" s="171">
        <f t="shared" si="45"/>
        <v>55861</v>
      </c>
      <c r="F184" s="216"/>
      <c r="G184" s="171">
        <f t="shared" si="46"/>
        <v>55861</v>
      </c>
      <c r="H184" s="172">
        <f t="shared" si="47"/>
        <v>1.0805065484952291E-2</v>
      </c>
      <c r="I184" s="337"/>
      <c r="J184" s="223"/>
      <c r="K184" s="218"/>
      <c r="M184" s="364">
        <f t="shared" si="48"/>
        <v>2.3720169851380044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490">
        <f>'[22]Sch C'!D196</f>
        <v>0</v>
      </c>
      <c r="D185" s="490">
        <f>'[22]Sch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490">
        <f>'[22]Sch C'!D197</f>
        <v>173016</v>
      </c>
      <c r="D186" s="490">
        <f>'[22]Sch C'!F197</f>
        <v>6384</v>
      </c>
      <c r="E186" s="171">
        <f t="shared" si="45"/>
        <v>179400</v>
      </c>
      <c r="F186" s="216"/>
      <c r="G186" s="171">
        <f t="shared" si="46"/>
        <v>179400</v>
      </c>
      <c r="H186" s="172">
        <f t="shared" si="47"/>
        <v>3.4700931741294301E-2</v>
      </c>
      <c r="I186" s="337"/>
      <c r="J186" s="223"/>
      <c r="K186" s="218"/>
      <c r="M186" s="364">
        <f t="shared" si="48"/>
        <v>7.6178343949044587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490">
        <f>'[22]Sch C'!D198</f>
        <v>20991</v>
      </c>
      <c r="D187" s="490">
        <f>'[22]Sch C'!F198</f>
        <v>-568</v>
      </c>
      <c r="E187" s="171">
        <f t="shared" si="45"/>
        <v>20423</v>
      </c>
      <c r="F187" s="216"/>
      <c r="G187" s="171">
        <f t="shared" si="46"/>
        <v>20423</v>
      </c>
      <c r="H187" s="172">
        <f t="shared" si="47"/>
        <v>3.9503741859111124E-3</v>
      </c>
      <c r="I187" s="337"/>
      <c r="J187" s="223"/>
      <c r="K187" s="218"/>
      <c r="M187" s="364">
        <f t="shared" si="48"/>
        <v>0.86721868365180466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490">
        <f>'[22]Sch C'!D199</f>
        <v>0</v>
      </c>
      <c r="D188" s="490">
        <f>'[22]Sch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7"/>
      <c r="J188" s="223"/>
      <c r="K188" s="218"/>
      <c r="M188" s="364">
        <f t="shared" si="48"/>
        <v>0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490">
        <f>'[22]Sch C'!D200</f>
        <v>0</v>
      </c>
      <c r="D189" s="490">
        <f>'[22]Sch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7"/>
      <c r="J189" s="223"/>
      <c r="K189" s="218"/>
      <c r="M189" s="364">
        <f t="shared" si="48"/>
        <v>0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490">
        <f>'[22]Sch C'!D201</f>
        <v>0</v>
      </c>
      <c r="D190" s="490">
        <f>'[22]Sch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7"/>
      <c r="J190" s="223"/>
      <c r="K190" s="218"/>
      <c r="M190" s="364">
        <f t="shared" si="48"/>
        <v>0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490">
        <f>'[22]Sch C'!D202</f>
        <v>0</v>
      </c>
      <c r="D191" s="490">
        <f>'[22]Sch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490">
        <f>'[22]Sch C'!D203</f>
        <v>0</v>
      </c>
      <c r="D192" s="490">
        <f>'[22]Sch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7"/>
      <c r="J192" s="223"/>
      <c r="K192" s="218"/>
      <c r="M192" s="364">
        <f t="shared" si="48"/>
        <v>0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490">
        <f>'[22]Sch C'!D204</f>
        <v>0</v>
      </c>
      <c r="D193" s="490">
        <f>'[22]Sch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490">
        <f>'[22]Sch C'!D205</f>
        <v>187992</v>
      </c>
      <c r="D194" s="490">
        <f>'[22]Sch C'!F205</f>
        <v>-12524</v>
      </c>
      <c r="E194" s="171">
        <f t="shared" si="45"/>
        <v>175468</v>
      </c>
      <c r="F194" s="216"/>
      <c r="G194" s="171">
        <f t="shared" si="46"/>
        <v>175468</v>
      </c>
      <c r="H194" s="172">
        <f t="shared" si="47"/>
        <v>3.3940373973140626E-2</v>
      </c>
      <c r="I194" s="337"/>
      <c r="J194" s="223"/>
      <c r="K194" s="218"/>
      <c r="M194" s="364">
        <f t="shared" si="48"/>
        <v>7.4508704883227175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490">
        <f>'[22]Sch C'!D206</f>
        <v>0</v>
      </c>
      <c r="D195" s="490">
        <f>'[22]Sch C'!F206</f>
        <v>0</v>
      </c>
      <c r="E195" s="171">
        <f t="shared" si="45"/>
        <v>0</v>
      </c>
      <c r="F195" s="216"/>
      <c r="G195" s="171">
        <f t="shared" si="46"/>
        <v>0</v>
      </c>
      <c r="H195" s="172">
        <f t="shared" si="47"/>
        <v>0</v>
      </c>
      <c r="I195" s="337"/>
      <c r="J195" s="223"/>
      <c r="K195" s="218"/>
      <c r="M195" s="364">
        <f t="shared" si="48"/>
        <v>0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490">
        <f>'[22]Sch C'!D207</f>
        <v>8175</v>
      </c>
      <c r="D196" s="490">
        <f>'[22]Sch C'!F207</f>
        <v>-557</v>
      </c>
      <c r="E196" s="171">
        <f t="shared" si="45"/>
        <v>7618</v>
      </c>
      <c r="F196" s="216"/>
      <c r="G196" s="171">
        <f t="shared" si="46"/>
        <v>7618</v>
      </c>
      <c r="H196" s="172">
        <f t="shared" si="47"/>
        <v>1.4735323188694537E-3</v>
      </c>
      <c r="I196" s="337"/>
      <c r="J196" s="223"/>
      <c r="K196" s="218"/>
      <c r="M196" s="364">
        <f t="shared" si="48"/>
        <v>0.32348195329087048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490">
        <f>SUM(C164:C196)</f>
        <v>651100</v>
      </c>
      <c r="D197" s="490">
        <f>SUM(D164:D196)</f>
        <v>2124</v>
      </c>
      <c r="E197" s="171">
        <f t="shared" ref="E197:F197" si="49">SUM(E164:E196)</f>
        <v>653224</v>
      </c>
      <c r="F197" s="171">
        <f t="shared" si="49"/>
        <v>0</v>
      </c>
      <c r="G197" s="171">
        <f>SUM(G164:G196)</f>
        <v>653224</v>
      </c>
      <c r="H197" s="172">
        <f>IF($G$208=0,0,G197/$G$208)</f>
        <v>0.126351624502649</v>
      </c>
      <c r="I197" s="337"/>
      <c r="J197" s="168"/>
      <c r="K197" s="168"/>
      <c r="M197" s="364">
        <f>G197/G$228</f>
        <v>27.737749469214439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165"/>
      <c r="G198" s="165"/>
      <c r="H198" s="198"/>
      <c r="I198" s="341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1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490">
        <f>'[22]Sch C'!D211</f>
        <v>92288</v>
      </c>
      <c r="D200" s="490">
        <f>'[22]Sch C'!F211</f>
        <v>0</v>
      </c>
      <c r="E200" s="171">
        <f t="shared" ref="E200:E205" si="50">C200+D200</f>
        <v>92288</v>
      </c>
      <c r="F200" s="171"/>
      <c r="G200" s="171">
        <f t="shared" ref="G200:G205" si="51">E200+F200</f>
        <v>92288</v>
      </c>
      <c r="H200" s="172">
        <f t="shared" ref="H200:H206" si="52">IF($G$208=0,0,G200/$G$208)</f>
        <v>1.785105679231086E-2</v>
      </c>
      <c r="I200" s="337"/>
      <c r="J200" s="183">
        <v>6586</v>
      </c>
      <c r="K200" s="183">
        <v>7163</v>
      </c>
      <c r="M200" s="364">
        <f t="shared" ref="M200:M205" si="53">G200/G$228</f>
        <v>3.918811040339703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490">
        <f>'[22]Sch C'!D212</f>
        <v>13525</v>
      </c>
      <c r="D201" s="490">
        <f>'[22]Sch C'!F212</f>
        <v>0</v>
      </c>
      <c r="E201" s="171">
        <f t="shared" si="50"/>
        <v>13525</v>
      </c>
      <c r="F201" s="171"/>
      <c r="G201" s="171">
        <f t="shared" si="51"/>
        <v>13525</v>
      </c>
      <c r="H201" s="172">
        <f t="shared" si="52"/>
        <v>2.616109820518425E-3</v>
      </c>
      <c r="I201" s="337"/>
      <c r="J201" s="168"/>
      <c r="K201" s="168"/>
      <c r="M201" s="364">
        <f t="shared" si="53"/>
        <v>0.57430997876857748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490">
        <f>'[22]Sch C'!D213</f>
        <v>2567</v>
      </c>
      <c r="D202" s="490">
        <f>'[22]Sch C'!F213</f>
        <v>0</v>
      </c>
      <c r="E202" s="171">
        <f t="shared" si="50"/>
        <v>2567</v>
      </c>
      <c r="F202" s="171"/>
      <c r="G202" s="171">
        <f t="shared" si="51"/>
        <v>2567</v>
      </c>
      <c r="H202" s="172">
        <f t="shared" si="52"/>
        <v>4.9652893968730473E-4</v>
      </c>
      <c r="I202" s="337"/>
      <c r="J202" s="168"/>
      <c r="K202" s="168"/>
      <c r="M202" s="364">
        <f t="shared" si="53"/>
        <v>0.10900212314225054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490">
        <f>'[22]Sch C'!D214</f>
        <v>0</v>
      </c>
      <c r="D203" s="490">
        <f>'[22]Sch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>
        <f t="shared" si="53"/>
        <v>0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490">
        <f>'[22]Sch C'!D215</f>
        <v>0</v>
      </c>
      <c r="D204" s="490">
        <f>'[22]Sch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490">
        <f>'[22]Sch C'!D216</f>
        <v>2563</v>
      </c>
      <c r="D205" s="490">
        <f>'[22]Sch C'!F216</f>
        <v>0</v>
      </c>
      <c r="E205" s="171">
        <f t="shared" si="50"/>
        <v>2563</v>
      </c>
      <c r="F205" s="171"/>
      <c r="G205" s="171">
        <f t="shared" si="51"/>
        <v>2563</v>
      </c>
      <c r="H205" s="172">
        <f t="shared" si="52"/>
        <v>4.9575522883465604E-4</v>
      </c>
      <c r="I205" s="337"/>
      <c r="J205" s="168"/>
      <c r="K205" s="168"/>
      <c r="M205" s="364">
        <f t="shared" si="53"/>
        <v>0.10883227176220807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490">
        <f>SUM(C200:C205)</f>
        <v>110943</v>
      </c>
      <c r="D206" s="490">
        <f>SUM(D200:D205)</f>
        <v>0</v>
      </c>
      <c r="E206" s="171">
        <f t="shared" ref="E206:F206" si="54">SUM(E200:E205)</f>
        <v>110943</v>
      </c>
      <c r="F206" s="171">
        <f t="shared" si="54"/>
        <v>0</v>
      </c>
      <c r="G206" s="171">
        <f>SUM(G200:G205)</f>
        <v>110943</v>
      </c>
      <c r="H206" s="172">
        <f t="shared" si="52"/>
        <v>2.1459450781351249E-2</v>
      </c>
      <c r="I206" s="337"/>
      <c r="J206" s="168"/>
      <c r="K206" s="168"/>
      <c r="M206" s="364">
        <f>G206/G$228</f>
        <v>4.710955414012739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490">
        <f>SUM(C25:C206)/2</f>
        <v>5438127</v>
      </c>
      <c r="D208" s="490">
        <f>SUM(D25:D206)/2</f>
        <v>-268237</v>
      </c>
      <c r="E208" s="171">
        <f t="shared" ref="E208:F208" si="55">SUM(E25:E206)/2</f>
        <v>5169890</v>
      </c>
      <c r="F208" s="171">
        <f t="shared" si="55"/>
        <v>0</v>
      </c>
      <c r="G208" s="171">
        <f>SUM(G25:G206)/2</f>
        <v>5169890</v>
      </c>
      <c r="H208" s="172">
        <f>IF($G$208=0,0,G208/$G$208)</f>
        <v>1</v>
      </c>
      <c r="I208" s="337"/>
      <c r="J208" s="183">
        <f>SUM(J25:J200)</f>
        <v>131928.5</v>
      </c>
      <c r="K208" s="183">
        <f>SUM(K25:K200)</f>
        <v>174499</v>
      </c>
      <c r="M208" s="364">
        <f>G208/G$228</f>
        <v>219.52823779193207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490">
        <f>'[22]Sch C'!D221</f>
        <v>5438127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490">
        <f>C208-C211</f>
        <v>0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619"/>
      <c r="D213" s="232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490">
        <f>C21-C208</f>
        <v>230509</v>
      </c>
      <c r="D215" s="490">
        <f>D21-D208</f>
        <v>60462</v>
      </c>
      <c r="E215" s="171">
        <f t="shared" ref="E215:F215" si="56">E21-E208</f>
        <v>290971</v>
      </c>
      <c r="F215" s="171">
        <f t="shared" si="56"/>
        <v>0</v>
      </c>
      <c r="G215" s="171">
        <f>G21-G208</f>
        <v>290971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491">
        <f>'[22]Sch D'!C9</f>
        <v>13503</v>
      </c>
      <c r="D219" s="491"/>
      <c r="E219" s="235">
        <f t="shared" ref="E219:G227" si="57">C219+D219</f>
        <v>13503</v>
      </c>
      <c r="F219" s="234"/>
      <c r="G219" s="235">
        <f t="shared" si="57"/>
        <v>13503</v>
      </c>
      <c r="H219" s="172">
        <f t="shared" ref="H219:H228" si="58">IF($G$228=0,0,G219/$G$228)</f>
        <v>0.573375796178344</v>
      </c>
      <c r="I219" s="337"/>
      <c r="J219" s="168"/>
      <c r="K219" s="168"/>
    </row>
    <row r="220" spans="1:14">
      <c r="A220" s="163"/>
      <c r="B220" s="170" t="s">
        <v>217</v>
      </c>
      <c r="C220" s="491">
        <f>'[22]Sch D'!D9</f>
        <v>0</v>
      </c>
      <c r="D220" s="491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7"/>
      <c r="J220" s="168"/>
      <c r="K220" s="168"/>
    </row>
    <row r="221" spans="1:14">
      <c r="A221" s="163"/>
      <c r="B221" s="170" t="s">
        <v>72</v>
      </c>
      <c r="C221" s="491">
        <f>'[22]Sch D'!E9</f>
        <v>1996</v>
      </c>
      <c r="D221" s="491"/>
      <c r="E221" s="235">
        <f t="shared" si="59"/>
        <v>1996</v>
      </c>
      <c r="F221" s="234"/>
      <c r="G221" s="235">
        <f t="shared" si="57"/>
        <v>1996</v>
      </c>
      <c r="H221" s="172">
        <f t="shared" si="58"/>
        <v>8.4755838641188963E-2</v>
      </c>
      <c r="I221" s="337"/>
      <c r="J221" s="168"/>
      <c r="K221" s="168"/>
    </row>
    <row r="222" spans="1:14">
      <c r="A222" s="163"/>
      <c r="B222" s="202" t="s">
        <v>334</v>
      </c>
      <c r="C222" s="491">
        <f>'[22]Sch D'!F9</f>
        <v>989</v>
      </c>
      <c r="D222" s="491"/>
      <c r="E222" s="235">
        <f>C222+D222</f>
        <v>989</v>
      </c>
      <c r="F222" s="234"/>
      <c r="G222" s="235">
        <f>E222+F222</f>
        <v>989</v>
      </c>
      <c r="H222" s="172">
        <f t="shared" si="58"/>
        <v>4.1995753715498942E-2</v>
      </c>
      <c r="I222" s="337"/>
      <c r="J222" s="168"/>
      <c r="K222" s="168"/>
    </row>
    <row r="223" spans="1:14">
      <c r="A223" s="163"/>
      <c r="B223" s="170" t="s">
        <v>73</v>
      </c>
      <c r="C223" s="491">
        <f>'[22]Sch D'!G9</f>
        <v>2232</v>
      </c>
      <c r="D223" s="491"/>
      <c r="E223" s="235">
        <f t="shared" si="59"/>
        <v>2232</v>
      </c>
      <c r="F223" s="234"/>
      <c r="G223" s="235">
        <f t="shared" si="57"/>
        <v>2232</v>
      </c>
      <c r="H223" s="172">
        <f t="shared" si="58"/>
        <v>9.4777070063694263E-2</v>
      </c>
      <c r="I223" s="337"/>
      <c r="J223" s="168"/>
      <c r="K223" s="168"/>
    </row>
    <row r="224" spans="1:14">
      <c r="A224" s="163"/>
      <c r="B224" s="170" t="s">
        <v>74</v>
      </c>
      <c r="C224" s="491">
        <f>'[22]Sch D'!H9</f>
        <v>1315</v>
      </c>
      <c r="D224" s="491"/>
      <c r="E224" s="235">
        <f t="shared" si="59"/>
        <v>1315</v>
      </c>
      <c r="F224" s="234"/>
      <c r="G224" s="235">
        <f t="shared" si="57"/>
        <v>1315</v>
      </c>
      <c r="H224" s="172">
        <f t="shared" si="58"/>
        <v>5.5838641188959662E-2</v>
      </c>
      <c r="I224" s="337"/>
      <c r="J224" s="168"/>
      <c r="K224" s="168"/>
    </row>
    <row r="225" spans="1:11">
      <c r="A225" s="163"/>
      <c r="B225" s="170" t="s">
        <v>236</v>
      </c>
      <c r="C225" s="491">
        <f>'[22]Sch D'!I9</f>
        <v>3407</v>
      </c>
      <c r="D225" s="491"/>
      <c r="E225" s="235">
        <f t="shared" si="59"/>
        <v>3407</v>
      </c>
      <c r="F225" s="234"/>
      <c r="G225" s="235">
        <f t="shared" si="57"/>
        <v>3407</v>
      </c>
      <c r="H225" s="172">
        <f t="shared" si="58"/>
        <v>0.14467091295116774</v>
      </c>
      <c r="I225" s="337"/>
      <c r="J225" s="168"/>
      <c r="K225" s="168"/>
    </row>
    <row r="226" spans="1:11">
      <c r="A226" s="163"/>
      <c r="B226" s="170" t="s">
        <v>235</v>
      </c>
      <c r="C226" s="491">
        <f>'[22]Sch D'!J9</f>
        <v>0</v>
      </c>
      <c r="D226" s="491"/>
      <c r="E226" s="235">
        <f>C226+D226</f>
        <v>0</v>
      </c>
      <c r="F226" s="234"/>
      <c r="G226" s="235">
        <f>E226+F226</f>
        <v>0</v>
      </c>
      <c r="H226" s="172">
        <f t="shared" si="58"/>
        <v>0</v>
      </c>
      <c r="I226" s="337"/>
      <c r="J226" s="168"/>
      <c r="K226" s="168"/>
    </row>
    <row r="227" spans="1:11">
      <c r="A227" s="163"/>
      <c r="B227" s="170" t="s">
        <v>179</v>
      </c>
      <c r="C227" s="491">
        <f>'[22]Sch D'!K9</f>
        <v>108</v>
      </c>
      <c r="D227" s="491"/>
      <c r="E227" s="235">
        <f t="shared" si="59"/>
        <v>108</v>
      </c>
      <c r="F227" s="234"/>
      <c r="G227" s="235">
        <f t="shared" si="57"/>
        <v>108</v>
      </c>
      <c r="H227" s="172">
        <f t="shared" si="58"/>
        <v>4.5859872611464965E-3</v>
      </c>
      <c r="I227" s="337"/>
      <c r="J227" s="168"/>
      <c r="K227" s="168"/>
    </row>
    <row r="228" spans="1:11" ht="13.5" thickBot="1">
      <c r="A228" s="163"/>
      <c r="B228" s="236" t="s">
        <v>75</v>
      </c>
      <c r="C228" s="491">
        <f>SUM(C219:C227)</f>
        <v>23550</v>
      </c>
      <c r="D228" s="491">
        <f>SUM(D219:D227)</f>
        <v>0</v>
      </c>
      <c r="E228" s="237">
        <f>SUM(E219:E227)</f>
        <v>23550</v>
      </c>
      <c r="F228" s="237">
        <f>SUM(F219:F227)</f>
        <v>0</v>
      </c>
      <c r="G228" s="237">
        <f>SUM(G219:G227)</f>
        <v>23550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620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619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492">
        <f>'[22]Sch D'!N22</f>
        <v>106</v>
      </c>
      <c r="D231" s="526"/>
      <c r="E231" s="235">
        <f>C231+D231</f>
        <v>106</v>
      </c>
      <c r="F231" s="235"/>
      <c r="G231" s="235">
        <f>E231+F231</f>
        <v>106</v>
      </c>
      <c r="H231" s="167"/>
      <c r="J231" s="168"/>
      <c r="K231" s="168"/>
    </row>
    <row r="232" spans="1:11">
      <c r="A232" s="163"/>
      <c r="B232" s="202" t="s">
        <v>290</v>
      </c>
      <c r="C232" s="492">
        <f>'[22]Sch D'!N24</f>
        <v>106</v>
      </c>
      <c r="D232" s="526"/>
      <c r="E232" s="235">
        <f>C232+D232</f>
        <v>106</v>
      </c>
      <c r="F232" s="235"/>
      <c r="G232" s="235">
        <f>E232+F232</f>
        <v>106</v>
      </c>
      <c r="H232" s="167"/>
      <c r="J232" s="168"/>
      <c r="K232" s="168"/>
    </row>
    <row r="233" spans="1:11">
      <c r="A233" s="163"/>
      <c r="B233" s="202" t="s">
        <v>76</v>
      </c>
      <c r="C233" s="492">
        <f>$C$4-$C$3+1</f>
        <v>365</v>
      </c>
      <c r="D233" s="489"/>
      <c r="E233" s="235">
        <f>C233+D233</f>
        <v>365</v>
      </c>
      <c r="F233" s="240"/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621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492">
        <f>'[22]Sch D'!N28</f>
        <v>38690</v>
      </c>
      <c r="D235" s="489"/>
      <c r="E235" s="234">
        <f>E231*E233</f>
        <v>38690</v>
      </c>
      <c r="F235" s="240"/>
      <c r="G235" s="234">
        <f>G231*G233</f>
        <v>38690</v>
      </c>
      <c r="H235" s="167"/>
      <c r="J235" s="168"/>
      <c r="K235" s="168"/>
    </row>
    <row r="236" spans="1:11" ht="26">
      <c r="A236" s="163"/>
      <c r="B236" s="244" t="s">
        <v>336</v>
      </c>
      <c r="C236" s="493">
        <f>'[22]Sch D'!N30</f>
        <v>0.60868441457741018</v>
      </c>
      <c r="D236" s="240"/>
      <c r="E236" s="245">
        <f>E228/E235</f>
        <v>0.60868441457741018</v>
      </c>
      <c r="F236" s="246"/>
      <c r="G236" s="245">
        <f>G228/G235</f>
        <v>0.60868441457741018</v>
      </c>
      <c r="H236" s="167"/>
      <c r="J236" s="168"/>
      <c r="K236" s="168"/>
    </row>
    <row r="237" spans="1:11" ht="26">
      <c r="A237" s="163"/>
      <c r="B237" s="244" t="s">
        <v>337</v>
      </c>
      <c r="C237" s="493">
        <f>'[22]Sch D'!N32</f>
        <v>0.34900491082967178</v>
      </c>
      <c r="D237" s="240"/>
      <c r="E237" s="245">
        <f>(E219+E220)/E235</f>
        <v>0.34900491082967178</v>
      </c>
      <c r="F237" s="246"/>
      <c r="G237" s="245">
        <f>(G219+G220)/G235</f>
        <v>0.34900491082967178</v>
      </c>
      <c r="H237" s="167"/>
      <c r="J237" s="168"/>
      <c r="K237" s="168"/>
    </row>
    <row r="238" spans="1:11" ht="26">
      <c r="A238" s="163"/>
      <c r="B238" s="244" t="s">
        <v>338</v>
      </c>
      <c r="C238" s="493">
        <f>'[22]Sch D'!N34</f>
        <v>0.573375796178344</v>
      </c>
      <c r="D238" s="240"/>
      <c r="E238" s="245">
        <f>(E237/E236)</f>
        <v>0.573375796178344</v>
      </c>
      <c r="F238" s="246"/>
      <c r="G238" s="245">
        <f>(G237/G236)</f>
        <v>0.573375796178344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490">
        <f>'[22]Sch B'!C85</f>
        <v>162.68536585365854</v>
      </c>
    </row>
    <row r="242" spans="2:7">
      <c r="F242" s="142" t="s">
        <v>341</v>
      </c>
      <c r="G242" s="490">
        <f>'[22]Sch B'!E85</f>
        <v>162.68656716417911</v>
      </c>
    </row>
    <row r="243" spans="2:7">
      <c r="F243" s="142" t="s">
        <v>342</v>
      </c>
      <c r="G243" s="490">
        <f>'[22]Sch B'!G85</f>
        <v>162.68584070796462</v>
      </c>
    </row>
    <row r="244" spans="2:7">
      <c r="F244" s="142" t="s">
        <v>343</v>
      </c>
      <c r="G244" s="490">
        <f>'[22]Sch B'!I85</f>
        <v>162.68623853211008</v>
      </c>
    </row>
    <row r="245" spans="2:7">
      <c r="F245" s="142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" right="0" top="0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7">
    <tabColor rgb="FFE28CAB"/>
  </sheetPr>
  <dimension ref="A1:Q245"/>
  <sheetViews>
    <sheetView showGridLines="0" zoomScale="90" zoomScaleNormal="90" workbookViewId="0">
      <pane xSplit="2" topLeftCell="C1" activePane="topRight" state="frozen"/>
      <selection activeCell="N1" sqref="N1"/>
      <selection pane="topRight"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478"/>
      <c r="E1" s="478"/>
      <c r="F1" s="478"/>
      <c r="G1" s="478"/>
      <c r="H1" s="478"/>
      <c r="I1" s="479"/>
    </row>
    <row r="2" spans="1:14" ht="23">
      <c r="B2" s="143" t="s">
        <v>189</v>
      </c>
      <c r="C2" s="247" t="s">
        <v>380</v>
      </c>
      <c r="D2" s="247"/>
      <c r="E2" s="144"/>
    </row>
    <row r="3" spans="1:14">
      <c r="A3" s="145"/>
      <c r="B3" s="140" t="s">
        <v>79</v>
      </c>
      <c r="C3" s="495">
        <v>41821</v>
      </c>
      <c r="D3" s="144"/>
      <c r="E3" s="147"/>
    </row>
    <row r="4" spans="1:14">
      <c r="A4" s="145"/>
      <c r="B4" s="148" t="s">
        <v>80</v>
      </c>
      <c r="C4" s="495">
        <v>42185</v>
      </c>
      <c r="D4" s="144"/>
      <c r="E4" s="149"/>
      <c r="G4" s="150"/>
    </row>
    <row r="5" spans="1:14">
      <c r="A5" s="145"/>
      <c r="B5" s="148"/>
      <c r="C5" s="151"/>
      <c r="D5" s="144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144"/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490">
        <f>'[23]Sch B'!E10</f>
        <v>2174042</v>
      </c>
      <c r="D11" s="490">
        <f>'[23]Sch B'!G10</f>
        <v>0</v>
      </c>
      <c r="E11" s="171">
        <f>C11+D11</f>
        <v>2174042</v>
      </c>
      <c r="F11" s="171"/>
      <c r="G11" s="171">
        <f t="shared" ref="G11:G20" si="0">E11+F11</f>
        <v>2174042</v>
      </c>
      <c r="H11" s="172">
        <f t="shared" ref="H11:H21" si="1">IF($G$21=0,0,G11/$G$21)</f>
        <v>0.55964002507262434</v>
      </c>
      <c r="I11" s="337"/>
      <c r="J11" s="368" t="s">
        <v>344</v>
      </c>
      <c r="K11" s="369">
        <f>G21</f>
        <v>3884715</v>
      </c>
      <c r="M11" s="359">
        <f>IFERROR(G11/G219,0)</f>
        <v>201.48674698795182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490">
        <f>'[23]Sch B'!E15</f>
        <v>124108</v>
      </c>
      <c r="D12" s="490">
        <f>'[23]Sch B'!G15</f>
        <v>0</v>
      </c>
      <c r="E12" s="171">
        <f t="shared" ref="E12:E20" si="2">C12+D12</f>
        <v>124108</v>
      </c>
      <c r="F12" s="171"/>
      <c r="G12" s="171">
        <f>E12+F12</f>
        <v>124108</v>
      </c>
      <c r="H12" s="172">
        <f t="shared" si="1"/>
        <v>3.1947774804586694E-2</v>
      </c>
      <c r="I12" s="337"/>
      <c r="J12" s="370" t="s">
        <v>345</v>
      </c>
      <c r="K12" s="371">
        <f>G208</f>
        <v>3410803</v>
      </c>
      <c r="M12" s="359">
        <f t="shared" ref="M12:M19" si="3">IFERROR(G12/G220,0)</f>
        <v>188.61398176291794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490">
        <f>'[23]Sch B'!E21</f>
        <v>971974</v>
      </c>
      <c r="D13" s="490">
        <f>'[23]Sch B'!G21</f>
        <v>0</v>
      </c>
      <c r="E13" s="171">
        <f t="shared" si="2"/>
        <v>971974</v>
      </c>
      <c r="F13" s="171"/>
      <c r="G13" s="171">
        <f t="shared" si="0"/>
        <v>971974</v>
      </c>
      <c r="H13" s="172">
        <f t="shared" si="1"/>
        <v>0.25020471257222215</v>
      </c>
      <c r="I13" s="337"/>
      <c r="J13" s="370" t="s">
        <v>346</v>
      </c>
      <c r="K13" s="371">
        <f>G228</f>
        <v>15951</v>
      </c>
      <c r="M13" s="359">
        <f t="shared" si="3"/>
        <v>543.6096196868009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490">
        <f>'[23]Sch B'!E27</f>
        <v>138837</v>
      </c>
      <c r="D14" s="490">
        <f>'[23]Sch B'!G27</f>
        <v>0</v>
      </c>
      <c r="E14" s="171">
        <f t="shared" si="2"/>
        <v>138837</v>
      </c>
      <c r="F14" s="175"/>
      <c r="G14" s="175">
        <f>E14+F14</f>
        <v>138837</v>
      </c>
      <c r="H14" s="176">
        <f t="shared" si="1"/>
        <v>3.5739301338708243E-2</v>
      </c>
      <c r="I14" s="338"/>
      <c r="J14" s="370" t="s">
        <v>347</v>
      </c>
      <c r="K14" s="371">
        <f>G231</f>
        <v>80</v>
      </c>
      <c r="M14" s="359">
        <f t="shared" si="3"/>
        <v>331.35322195704055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490">
        <f>'[23]Sch B'!E32</f>
        <v>164263</v>
      </c>
      <c r="D15" s="490">
        <f>'[23]Sch B'!G32</f>
        <v>0</v>
      </c>
      <c r="E15" s="171">
        <f t="shared" si="2"/>
        <v>164263</v>
      </c>
      <c r="F15" s="171"/>
      <c r="G15" s="171">
        <f t="shared" si="0"/>
        <v>164263</v>
      </c>
      <c r="H15" s="172">
        <f t="shared" si="1"/>
        <v>4.2284440428705841E-2</v>
      </c>
      <c r="I15" s="337"/>
      <c r="J15" s="370" t="s">
        <v>348</v>
      </c>
      <c r="K15" s="371">
        <f>G235</f>
        <v>29200</v>
      </c>
      <c r="M15" s="359">
        <f t="shared" si="3"/>
        <v>211.6791237113402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490">
        <f>'[23]Sch B'!E37</f>
        <v>110884</v>
      </c>
      <c r="D16" s="490">
        <f>'[23]Sch B'!G37</f>
        <v>16903</v>
      </c>
      <c r="E16" s="171">
        <f t="shared" si="2"/>
        <v>127787</v>
      </c>
      <c r="F16" s="171"/>
      <c r="G16" s="171">
        <f t="shared" si="0"/>
        <v>127787</v>
      </c>
      <c r="H16" s="172">
        <f t="shared" si="1"/>
        <v>3.2894819825907431E-2</v>
      </c>
      <c r="I16" s="337"/>
      <c r="J16" s="372"/>
      <c r="K16" s="371"/>
      <c r="M16" s="359">
        <f t="shared" si="3"/>
        <v>176.99030470914127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490">
        <f>'[23]Sch B'!E42</f>
        <v>153454</v>
      </c>
      <c r="D17" s="490">
        <f>'[23]Sch B'!G42</f>
        <v>0</v>
      </c>
      <c r="E17" s="171">
        <f t="shared" si="2"/>
        <v>153454</v>
      </c>
      <c r="F17" s="171"/>
      <c r="G17" s="171">
        <f>E17+F17</f>
        <v>153454</v>
      </c>
      <c r="H17" s="172">
        <f t="shared" si="1"/>
        <v>3.950199692898964E-2</v>
      </c>
      <c r="I17" s="337"/>
      <c r="J17" s="370" t="s">
        <v>156</v>
      </c>
      <c r="K17" s="371">
        <f>J208</f>
        <v>86643</v>
      </c>
      <c r="M17" s="359">
        <f t="shared" si="3"/>
        <v>192.2982456140351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490">
        <f>'[23]Sch B'!E47</f>
        <v>0</v>
      </c>
      <c r="D18" s="490">
        <f>'[23]Sch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337"/>
      <c r="J18" s="373" t="s">
        <v>252</v>
      </c>
      <c r="K18" s="374">
        <f>K208</f>
        <v>101407</v>
      </c>
      <c r="M18" s="359">
        <f t="shared" si="3"/>
        <v>0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490">
        <f>'[23]Sch B'!E52</f>
        <v>-16903</v>
      </c>
      <c r="D19" s="490">
        <f>'[23]Sch B'!G52</f>
        <v>16903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337"/>
      <c r="J19" s="168"/>
      <c r="K19" s="168"/>
      <c r="M19" s="359">
        <f t="shared" si="3"/>
        <v>0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490">
        <f>'[23]Sch B'!E67</f>
        <v>29666</v>
      </c>
      <c r="D20" s="490">
        <f>'[23]Sch B'!G67</f>
        <v>584</v>
      </c>
      <c r="E20" s="171">
        <f t="shared" si="2"/>
        <v>30250</v>
      </c>
      <c r="F20" s="171"/>
      <c r="G20" s="171">
        <f t="shared" si="0"/>
        <v>30250</v>
      </c>
      <c r="H20" s="172">
        <f t="shared" si="1"/>
        <v>7.786929028255612E-3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490">
        <f>SUM(C11:C20)</f>
        <v>3850325</v>
      </c>
      <c r="D21" s="490">
        <f>SUM(D11:D20)</f>
        <v>34390</v>
      </c>
      <c r="E21" s="171">
        <f>SUM(E11:E20)</f>
        <v>3884715</v>
      </c>
      <c r="F21" s="171">
        <f>SUM(F11:F20)</f>
        <v>0</v>
      </c>
      <c r="G21" s="171">
        <f>SUM(G11:G20)</f>
        <v>3884715</v>
      </c>
      <c r="H21" s="172">
        <f t="shared" si="1"/>
        <v>1</v>
      </c>
      <c r="I21" s="337"/>
      <c r="J21" s="168"/>
      <c r="K21" s="168"/>
      <c r="M21" s="359">
        <f>IFERROR(G21/G228,0)</f>
        <v>243.54053037427121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4">
      <c r="A24" s="181" t="s">
        <v>161</v>
      </c>
      <c r="B24" s="148" t="s">
        <v>12</v>
      </c>
      <c r="M24" s="363"/>
      <c r="N24" s="363"/>
    </row>
    <row r="25" spans="1:14" s="167" customFormat="1">
      <c r="A25" s="169" t="s">
        <v>83</v>
      </c>
      <c r="B25" s="170" t="s">
        <v>14</v>
      </c>
      <c r="C25" s="490">
        <f>'[23]Sch C'!D10</f>
        <v>0</v>
      </c>
      <c r="D25" s="490">
        <f>'[23]Sch C'!F10</f>
        <v>150088</v>
      </c>
      <c r="E25" s="171">
        <f t="shared" ref="E25:E60" si="4">C25+D25</f>
        <v>150088</v>
      </c>
      <c r="F25" s="171"/>
      <c r="G25" s="182">
        <f>E25+F25</f>
        <v>150088</v>
      </c>
      <c r="H25" s="172">
        <f>IF($G$208=0,0,G25/$G$208)</f>
        <v>4.4003714081405465E-2</v>
      </c>
      <c r="I25" s="337"/>
      <c r="J25" s="183">
        <v>2016</v>
      </c>
      <c r="K25" s="183">
        <v>2160</v>
      </c>
      <c r="M25" s="359">
        <f>G25/G$228</f>
        <v>9.4093160303429251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490">
        <f>'[23]Sch C'!D11</f>
        <v>0</v>
      </c>
      <c r="D26" s="490">
        <f>'[23]Sch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490">
        <f>'[23]Sch C'!D12</f>
        <v>187983</v>
      </c>
      <c r="D27" s="490">
        <f>'[23]Sch C'!F12</f>
        <v>-150088</v>
      </c>
      <c r="E27" s="171">
        <f t="shared" si="4"/>
        <v>37895</v>
      </c>
      <c r="F27" s="171"/>
      <c r="G27" s="171">
        <f t="shared" si="5"/>
        <v>37895</v>
      </c>
      <c r="H27" s="172">
        <f t="shared" si="6"/>
        <v>1.111028693243204E-2</v>
      </c>
      <c r="I27" s="337"/>
      <c r="J27" s="185">
        <v>4875</v>
      </c>
      <c r="K27" s="185">
        <v>5263</v>
      </c>
      <c r="M27" s="359">
        <f t="shared" si="7"/>
        <v>2.3757131214343929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490">
        <f>'[23]Sch C'!D13</f>
        <v>15696</v>
      </c>
      <c r="D28" s="490">
        <f>'[23]Sch C'!F13</f>
        <v>0</v>
      </c>
      <c r="E28" s="171">
        <f t="shared" si="4"/>
        <v>15696</v>
      </c>
      <c r="F28" s="171"/>
      <c r="G28" s="171">
        <f t="shared" si="5"/>
        <v>15696</v>
      </c>
      <c r="H28" s="172">
        <f t="shared" si="6"/>
        <v>4.6018488901293916E-3</v>
      </c>
      <c r="I28" s="337"/>
      <c r="J28" s="168"/>
      <c r="K28" s="168"/>
      <c r="M28" s="359">
        <f t="shared" si="7"/>
        <v>0.98401354147075415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490">
        <f>'[23]Sch C'!D14</f>
        <v>0</v>
      </c>
      <c r="D29" s="490">
        <f>'[23]Sch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490">
        <f>'[23]Sch C'!D15</f>
        <v>0</v>
      </c>
      <c r="D30" s="490">
        <f>'[23]Sch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7"/>
      <c r="J30" s="168"/>
      <c r="K30" s="168"/>
      <c r="M30" s="359">
        <f t="shared" si="7"/>
        <v>0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490">
        <f>'[23]Sch C'!D16</f>
        <v>191929</v>
      </c>
      <c r="D31" s="490">
        <f>'[23]Sch C'!F16</f>
        <v>-19827</v>
      </c>
      <c r="E31" s="171">
        <f t="shared" si="4"/>
        <v>172102</v>
      </c>
      <c r="F31" s="171"/>
      <c r="G31" s="171">
        <f t="shared" si="5"/>
        <v>172102</v>
      </c>
      <c r="H31" s="172">
        <f t="shared" si="6"/>
        <v>5.045791269680483E-2</v>
      </c>
      <c r="I31" s="337"/>
      <c r="J31" s="168"/>
      <c r="K31" s="168"/>
      <c r="M31" s="359">
        <f t="shared" si="7"/>
        <v>10.789417591373581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490">
        <f>'[23]Sch C'!D17</f>
        <v>106</v>
      </c>
      <c r="D32" s="490">
        <f>'[23]Sch C'!F17</f>
        <v>-106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7"/>
      <c r="J32" s="168"/>
      <c r="K32" s="168"/>
      <c r="M32" s="359">
        <f t="shared" si="7"/>
        <v>0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490">
        <f>'[23]Sch C'!D18</f>
        <v>20096</v>
      </c>
      <c r="D33" s="490">
        <f>'[23]Sch C'!F18</f>
        <v>0</v>
      </c>
      <c r="E33" s="171">
        <f t="shared" si="4"/>
        <v>20096</v>
      </c>
      <c r="F33" s="171"/>
      <c r="G33" s="171">
        <f t="shared" si="5"/>
        <v>20096</v>
      </c>
      <c r="H33" s="172">
        <f t="shared" si="6"/>
        <v>5.8918676921534312E-3</v>
      </c>
      <c r="I33" s="337"/>
      <c r="J33" s="168"/>
      <c r="K33" s="168"/>
      <c r="M33" s="359">
        <f t="shared" si="7"/>
        <v>1.259858316093035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490">
        <f>'[23]Sch C'!D19</f>
        <v>7213</v>
      </c>
      <c r="D34" s="490">
        <f>'[23]Sch C'!F19</f>
        <v>0</v>
      </c>
      <c r="E34" s="171">
        <f t="shared" si="4"/>
        <v>7213</v>
      </c>
      <c r="F34" s="171"/>
      <c r="G34" s="171">
        <f t="shared" si="5"/>
        <v>7213</v>
      </c>
      <c r="H34" s="172">
        <f t="shared" si="6"/>
        <v>2.1147512770453175E-3</v>
      </c>
      <c r="I34" s="337"/>
      <c r="J34" s="168"/>
      <c r="K34" s="168"/>
      <c r="M34" s="359">
        <f t="shared" si="7"/>
        <v>0.45219735439784342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490">
        <f>'[23]Sch C'!D20</f>
        <v>8079</v>
      </c>
      <c r="D35" s="490">
        <f>'[23]Sch C'!F20</f>
        <v>0</v>
      </c>
      <c r="E35" s="171">
        <f t="shared" si="4"/>
        <v>8079</v>
      </c>
      <c r="F35" s="171"/>
      <c r="G35" s="171">
        <f t="shared" si="5"/>
        <v>8079</v>
      </c>
      <c r="H35" s="172">
        <f t="shared" si="6"/>
        <v>2.3686504321709578E-3</v>
      </c>
      <c r="I35" s="337"/>
      <c r="J35" s="168"/>
      <c r="K35" s="168"/>
      <c r="M35" s="359">
        <f t="shared" si="7"/>
        <v>0.50648862140304685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490">
        <f>'[23]Sch C'!D21</f>
        <v>6688</v>
      </c>
      <c r="D36" s="490">
        <f>'[23]Sch C'!F21</f>
        <v>0</v>
      </c>
      <c r="E36" s="171">
        <f t="shared" si="4"/>
        <v>6688</v>
      </c>
      <c r="F36" s="171"/>
      <c r="G36" s="171">
        <f t="shared" si="5"/>
        <v>6688</v>
      </c>
      <c r="H36" s="172">
        <f t="shared" si="6"/>
        <v>1.9608285790765402E-3</v>
      </c>
      <c r="I36" s="337"/>
      <c r="J36" s="168"/>
      <c r="K36" s="168"/>
      <c r="M36" s="359">
        <f t="shared" si="7"/>
        <v>0.41928405742586672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490">
        <f>'[23]Sch C'!D22</f>
        <v>0</v>
      </c>
      <c r="D37" s="490">
        <f>'[23]Sch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490">
        <f>'[23]Sch C'!D23</f>
        <v>5503</v>
      </c>
      <c r="D38" s="490">
        <f>'[23]Sch C'!F23</f>
        <v>0</v>
      </c>
      <c r="E38" s="171">
        <f t="shared" si="4"/>
        <v>5503</v>
      </c>
      <c r="F38" s="171"/>
      <c r="G38" s="171">
        <f t="shared" si="5"/>
        <v>5503</v>
      </c>
      <c r="H38" s="172">
        <f t="shared" si="6"/>
        <v>1.6134030608041566E-3</v>
      </c>
      <c r="I38" s="337"/>
      <c r="J38" s="168"/>
      <c r="K38" s="168"/>
      <c r="M38" s="359">
        <f t="shared" si="7"/>
        <v>0.34499404426054792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490">
        <f>'[23]Sch C'!D24</f>
        <v>11317</v>
      </c>
      <c r="D39" s="490">
        <f>'[23]Sch C'!F24</f>
        <v>0</v>
      </c>
      <c r="E39" s="171">
        <f t="shared" si="4"/>
        <v>11317</v>
      </c>
      <c r="F39" s="171"/>
      <c r="G39" s="171">
        <f t="shared" si="5"/>
        <v>11317</v>
      </c>
      <c r="H39" s="172">
        <f t="shared" si="6"/>
        <v>3.3179869960241032E-3</v>
      </c>
      <c r="I39" s="337"/>
      <c r="J39" s="168"/>
      <c r="K39" s="168"/>
      <c r="M39" s="359">
        <f t="shared" si="7"/>
        <v>0.70948529872735255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490">
        <f>'[23]Sch C'!D25</f>
        <v>2574</v>
      </c>
      <c r="D40" s="490">
        <f>'[23]Sch C'!F25</f>
        <v>0</v>
      </c>
      <c r="E40" s="171">
        <f t="shared" si="4"/>
        <v>2574</v>
      </c>
      <c r="F40" s="171"/>
      <c r="G40" s="171">
        <f t="shared" si="5"/>
        <v>2574</v>
      </c>
      <c r="H40" s="172">
        <f t="shared" si="6"/>
        <v>7.5466099918406306E-4</v>
      </c>
      <c r="I40" s="337"/>
      <c r="J40" s="168"/>
      <c r="K40" s="168"/>
      <c r="M40" s="359">
        <f t="shared" si="7"/>
        <v>0.16136919315403422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490">
        <f>'[23]Sch C'!D26</f>
        <v>218841</v>
      </c>
      <c r="D41" s="490">
        <f>'[23]Sch C'!F26</f>
        <v>0</v>
      </c>
      <c r="E41" s="171">
        <f t="shared" si="4"/>
        <v>218841</v>
      </c>
      <c r="F41" s="171"/>
      <c r="G41" s="171">
        <f t="shared" si="5"/>
        <v>218841</v>
      </c>
      <c r="H41" s="172">
        <f t="shared" si="6"/>
        <v>6.4161137421305192E-2</v>
      </c>
      <c r="I41" s="337"/>
      <c r="J41" s="168"/>
      <c r="K41" s="168"/>
      <c r="M41" s="359">
        <f t="shared" si="7"/>
        <v>13.719578709798759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490">
        <f>'[23]Sch C'!D27</f>
        <v>5823</v>
      </c>
      <c r="D42" s="490">
        <f>'[23]Sch C'!F27</f>
        <v>1351</v>
      </c>
      <c r="E42" s="171">
        <f t="shared" si="4"/>
        <v>7174</v>
      </c>
      <c r="F42" s="171"/>
      <c r="G42" s="171">
        <f t="shared" si="5"/>
        <v>7174</v>
      </c>
      <c r="H42" s="172">
        <f t="shared" si="6"/>
        <v>2.1033170194819225E-3</v>
      </c>
      <c r="I42" s="337"/>
      <c r="J42" s="168"/>
      <c r="K42" s="168"/>
      <c r="M42" s="359">
        <f t="shared" si="7"/>
        <v>0.44975236662278228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490">
        <f>'[23]Sch C'!D28</f>
        <v>0</v>
      </c>
      <c r="D43" s="490">
        <f>'[23]Sch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490">
        <f>'[23]Sch C'!D29</f>
        <v>42206</v>
      </c>
      <c r="D44" s="490">
        <f>'[23]Sch C'!F29</f>
        <v>-42206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490">
        <f>'[23]Sch C'!D30</f>
        <v>0</v>
      </c>
      <c r="D45" s="490">
        <f>'[23]Sch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490">
        <f>'[23]Sch C'!D31</f>
        <v>0</v>
      </c>
      <c r="D46" s="490">
        <f>'[23]Sch C'!F31</f>
        <v>0</v>
      </c>
      <c r="E46" s="171">
        <f t="shared" si="4"/>
        <v>0</v>
      </c>
      <c r="F46" s="171"/>
      <c r="G46" s="171">
        <f t="shared" si="5"/>
        <v>0</v>
      </c>
      <c r="H46" s="172">
        <f t="shared" si="6"/>
        <v>0</v>
      </c>
      <c r="I46" s="337"/>
      <c r="J46" s="168"/>
      <c r="K46" s="168"/>
      <c r="M46" s="359">
        <f t="shared" si="7"/>
        <v>0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490">
        <f>'[23]Sch C'!D32</f>
        <v>53200</v>
      </c>
      <c r="D47" s="490">
        <f>'[23]Sch C'!F32</f>
        <v>0</v>
      </c>
      <c r="E47" s="171">
        <f t="shared" si="4"/>
        <v>53200</v>
      </c>
      <c r="F47" s="171"/>
      <c r="G47" s="171">
        <f t="shared" si="5"/>
        <v>53200</v>
      </c>
      <c r="H47" s="172">
        <f t="shared" si="6"/>
        <v>1.5597500060836114E-2</v>
      </c>
      <c r="I47" s="337"/>
      <c r="J47" s="168"/>
      <c r="K47" s="168"/>
      <c r="M47" s="359">
        <f t="shared" si="7"/>
        <v>3.3352140931603036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490">
        <f>'[23]Sch C'!D33</f>
        <v>0</v>
      </c>
      <c r="D48" s="490">
        <f>'[23]Sch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490">
        <f>'[23]Sch C'!D34</f>
        <v>223</v>
      </c>
      <c r="D49" s="490">
        <f>'[23]Sch C'!F34</f>
        <v>0</v>
      </c>
      <c r="E49" s="171">
        <f t="shared" si="4"/>
        <v>223</v>
      </c>
      <c r="F49" s="171"/>
      <c r="G49" s="171">
        <f t="shared" si="5"/>
        <v>223</v>
      </c>
      <c r="H49" s="172">
        <f t="shared" si="6"/>
        <v>6.538049837530927E-5</v>
      </c>
      <c r="I49" s="337"/>
      <c r="J49" s="168"/>
      <c r="K49" s="168"/>
      <c r="M49" s="359">
        <f t="shared" si="7"/>
        <v>1.3980314713811046E-2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490">
        <f>'[23]Sch C'!D35</f>
        <v>0</v>
      </c>
      <c r="D50" s="490">
        <f>'[23]Sch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490">
        <f>'[23]Sch C'!D36</f>
        <v>25679</v>
      </c>
      <c r="D51" s="490">
        <f>'[23]Sch C'!F36</f>
        <v>0</v>
      </c>
      <c r="E51" s="171">
        <f t="shared" si="4"/>
        <v>25679</v>
      </c>
      <c r="F51" s="171"/>
      <c r="G51" s="171">
        <f t="shared" si="5"/>
        <v>25679</v>
      </c>
      <c r="H51" s="172">
        <f t="shared" si="6"/>
        <v>7.5287256402671162E-3</v>
      </c>
      <c r="I51" s="337"/>
      <c r="J51" s="183">
        <v>1834</v>
      </c>
      <c r="K51" s="183">
        <v>2211</v>
      </c>
      <c r="M51" s="359">
        <f t="shared" si="7"/>
        <v>1.6098677198921698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490">
        <f>'[23]Sch C'!D37</f>
        <v>657</v>
      </c>
      <c r="D52" s="490">
        <f>'[23]Sch C'!F37</f>
        <v>0</v>
      </c>
      <c r="E52" s="171">
        <f t="shared" si="4"/>
        <v>657</v>
      </c>
      <c r="F52" s="171"/>
      <c r="G52" s="171">
        <f t="shared" si="5"/>
        <v>657</v>
      </c>
      <c r="H52" s="172">
        <f t="shared" si="6"/>
        <v>1.9262326202949863E-4</v>
      </c>
      <c r="I52" s="337"/>
      <c r="J52" s="168"/>
      <c r="K52" s="168"/>
      <c r="M52" s="359">
        <f t="shared" si="7"/>
        <v>4.1188640210645097E-2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490">
        <f>'[23]Sch C'!D38</f>
        <v>2209</v>
      </c>
      <c r="D53" s="490">
        <f>'[23]Sch C'!F38</f>
        <v>-2209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7"/>
      <c r="J53" s="168"/>
      <c r="K53" s="168"/>
      <c r="M53" s="359">
        <f t="shared" si="7"/>
        <v>0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490">
        <f>'[23]Sch C'!D39</f>
        <v>2886</v>
      </c>
      <c r="D54" s="490">
        <f>'[23]Sch C'!F39</f>
        <v>0</v>
      </c>
      <c r="E54" s="171">
        <f t="shared" si="4"/>
        <v>2886</v>
      </c>
      <c r="F54" s="171"/>
      <c r="G54" s="171">
        <f t="shared" si="5"/>
        <v>2886</v>
      </c>
      <c r="H54" s="172">
        <f t="shared" si="6"/>
        <v>8.4613505969122226E-4</v>
      </c>
      <c r="I54" s="337"/>
      <c r="J54" s="168"/>
      <c r="K54" s="168"/>
      <c r="M54" s="359">
        <f t="shared" si="7"/>
        <v>0.18092909535452323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490">
        <f>'[23]Sch C'!D40</f>
        <v>6460</v>
      </c>
      <c r="D55" s="490">
        <f>'[23]Sch C'!F40</f>
        <v>-6460</v>
      </c>
      <c r="E55" s="171">
        <f t="shared" si="4"/>
        <v>0</v>
      </c>
      <c r="F55" s="171"/>
      <c r="G55" s="171">
        <f t="shared" si="5"/>
        <v>0</v>
      </c>
      <c r="H55" s="172">
        <f t="shared" si="6"/>
        <v>0</v>
      </c>
      <c r="I55" s="337"/>
      <c r="J55" s="168"/>
      <c r="K55" s="168"/>
      <c r="M55" s="359">
        <f t="shared" si="7"/>
        <v>0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490">
        <f>'[23]Sch C'!D41</f>
        <v>51271</v>
      </c>
      <c r="D56" s="490">
        <f>'[23]Sch C'!F41</f>
        <v>0</v>
      </c>
      <c r="E56" s="171">
        <f t="shared" si="4"/>
        <v>51271</v>
      </c>
      <c r="F56" s="171"/>
      <c r="G56" s="171">
        <f t="shared" si="5"/>
        <v>51271</v>
      </c>
      <c r="H56" s="172">
        <f t="shared" si="6"/>
        <v>1.5031944090585119E-2</v>
      </c>
      <c r="I56" s="337"/>
      <c r="J56" s="168"/>
      <c r="K56" s="168"/>
      <c r="M56" s="359">
        <f t="shared" si="7"/>
        <v>3.2142812362861264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490">
        <f>'[23]Sch C'!D42</f>
        <v>120</v>
      </c>
      <c r="D57" s="490">
        <f>'[23]Sch C'!F42</f>
        <v>0</v>
      </c>
      <c r="E57" s="171">
        <f t="shared" si="4"/>
        <v>120</v>
      </c>
      <c r="F57" s="171"/>
      <c r="G57" s="171">
        <f t="shared" si="5"/>
        <v>120</v>
      </c>
      <c r="H57" s="172">
        <f t="shared" si="6"/>
        <v>3.5182330964291986E-5</v>
      </c>
      <c r="I57" s="337"/>
      <c r="J57" s="168"/>
      <c r="K57" s="168"/>
      <c r="M57" s="359">
        <f t="shared" si="7"/>
        <v>7.523039307880384E-3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490">
        <f>'[23]Sch C'!D43</f>
        <v>7503</v>
      </c>
      <c r="D58" s="490">
        <f>'[23]Sch C'!F43</f>
        <v>-7503</v>
      </c>
      <c r="E58" s="171">
        <f t="shared" si="4"/>
        <v>0</v>
      </c>
      <c r="F58" s="171"/>
      <c r="G58" s="171">
        <f t="shared" si="5"/>
        <v>0</v>
      </c>
      <c r="H58" s="172">
        <f t="shared" si="6"/>
        <v>0</v>
      </c>
      <c r="I58" s="337"/>
      <c r="J58" s="168"/>
      <c r="K58" s="168"/>
      <c r="M58" s="359">
        <f t="shared" si="7"/>
        <v>0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490">
        <f>'[23]Sch C'!D44</f>
        <v>0</v>
      </c>
      <c r="D59" s="490">
        <f>'[23]Sch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7"/>
      <c r="J59" s="168"/>
      <c r="K59" s="168"/>
      <c r="M59" s="359">
        <f t="shared" si="7"/>
        <v>0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490">
        <f>'[23]Sch C'!D45</f>
        <v>5471</v>
      </c>
      <c r="D60" s="490">
        <f>'[23]Sch C'!F45</f>
        <v>-249</v>
      </c>
      <c r="E60" s="171">
        <f t="shared" si="4"/>
        <v>5222</v>
      </c>
      <c r="F60" s="171"/>
      <c r="G60" s="171">
        <f t="shared" si="5"/>
        <v>5222</v>
      </c>
      <c r="H60" s="172">
        <f t="shared" si="6"/>
        <v>1.5310177691294396E-3</v>
      </c>
      <c r="I60" s="337"/>
      <c r="J60" s="168"/>
      <c r="K60" s="168"/>
      <c r="M60" s="359">
        <f t="shared" si="7"/>
        <v>0.32737759388126136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490">
        <f>SUM(C25:C60)</f>
        <v>879733</v>
      </c>
      <c r="D61" s="490">
        <f>SUM(D25:D60)</f>
        <v>-77209</v>
      </c>
      <c r="E61" s="171">
        <f t="shared" ref="E61:F61" si="8">SUM(E25:E60)</f>
        <v>802524</v>
      </c>
      <c r="F61" s="171">
        <f t="shared" si="8"/>
        <v>0</v>
      </c>
      <c r="G61" s="171">
        <f>SUM(G25:G60)</f>
        <v>802524</v>
      </c>
      <c r="H61" s="186">
        <f t="shared" si="6"/>
        <v>0.23528887478989552</v>
      </c>
      <c r="I61" s="339"/>
      <c r="J61" s="168"/>
      <c r="K61" s="168"/>
      <c r="M61" s="364">
        <f>G61/G$228</f>
        <v>50.311829979311639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I62" s="340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490">
        <f>'[23]Sch C'!D57</f>
        <v>0</v>
      </c>
      <c r="D64" s="490">
        <f>'[23]Sch C'!F57</f>
        <v>0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I64" s="337"/>
      <c r="J64" s="190"/>
      <c r="K64" s="168"/>
      <c r="M64" s="359">
        <f t="shared" ref="M64:M79" si="12">G64/G$228</f>
        <v>0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490">
        <f>'[23]Sch C'!D58</f>
        <v>83603</v>
      </c>
      <c r="D65" s="490">
        <f>'[23]Sch C'!F58</f>
        <v>0</v>
      </c>
      <c r="E65" s="171">
        <f t="shared" si="9"/>
        <v>83603</v>
      </c>
      <c r="F65" s="171"/>
      <c r="G65" s="171">
        <f t="shared" si="10"/>
        <v>83603</v>
      </c>
      <c r="H65" s="172">
        <f t="shared" si="11"/>
        <v>2.4511236796730857E-2</v>
      </c>
      <c r="I65" s="337"/>
      <c r="J65" s="190"/>
      <c r="K65" s="168"/>
      <c r="M65" s="359">
        <f t="shared" si="12"/>
        <v>5.2412387938060307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490">
        <f>'[23]Sch C'!D59</f>
        <v>69039</v>
      </c>
      <c r="D66" s="490">
        <f>'[23]Sch C'!F59</f>
        <v>0</v>
      </c>
      <c r="E66" s="171">
        <f t="shared" si="9"/>
        <v>69039</v>
      </c>
      <c r="F66" s="171"/>
      <c r="G66" s="171">
        <f t="shared" si="10"/>
        <v>69039</v>
      </c>
      <c r="H66" s="172">
        <f t="shared" si="11"/>
        <v>2.0241274562031286E-2</v>
      </c>
      <c r="I66" s="337"/>
      <c r="J66" s="190"/>
      <c r="K66" s="168"/>
      <c r="M66" s="359">
        <f t="shared" si="12"/>
        <v>4.3281925898062816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490">
        <f>'[23]Sch C'!D60</f>
        <v>10573</v>
      </c>
      <c r="D67" s="490">
        <f>'[23]Sch C'!F60</f>
        <v>0</v>
      </c>
      <c r="E67" s="171">
        <f t="shared" si="9"/>
        <v>10573</v>
      </c>
      <c r="F67" s="171"/>
      <c r="G67" s="171">
        <f t="shared" si="10"/>
        <v>10573</v>
      </c>
      <c r="H67" s="172">
        <f t="shared" si="11"/>
        <v>3.0998565440454929E-3</v>
      </c>
      <c r="I67" s="337"/>
      <c r="J67" s="193"/>
      <c r="K67" s="168"/>
      <c r="M67" s="359">
        <f t="shared" si="12"/>
        <v>0.66284245501849415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490">
        <f>'[23]Sch C'!D61</f>
        <v>4285</v>
      </c>
      <c r="D68" s="490">
        <f>'[23]Sch C'!F61</f>
        <v>0</v>
      </c>
      <c r="E68" s="171">
        <f t="shared" si="9"/>
        <v>4285</v>
      </c>
      <c r="F68" s="171"/>
      <c r="G68" s="171">
        <f t="shared" si="10"/>
        <v>4285</v>
      </c>
      <c r="H68" s="172">
        <f t="shared" si="11"/>
        <v>1.2563024015165929E-3</v>
      </c>
      <c r="I68" s="337"/>
      <c r="J68" s="193"/>
      <c r="K68" s="168"/>
      <c r="M68" s="359">
        <f t="shared" si="12"/>
        <v>0.26863519528556201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490">
        <f>'[23]Sch C'!D62</f>
        <v>6311</v>
      </c>
      <c r="D69" s="490">
        <f>'[23]Sch C'!F62</f>
        <v>0</v>
      </c>
      <c r="E69" s="171">
        <f t="shared" si="9"/>
        <v>6311</v>
      </c>
      <c r="F69" s="171"/>
      <c r="G69" s="171">
        <f t="shared" si="10"/>
        <v>6311</v>
      </c>
      <c r="H69" s="172">
        <f t="shared" si="11"/>
        <v>1.8502974226303893E-3</v>
      </c>
      <c r="I69" s="337"/>
      <c r="J69" s="195"/>
      <c r="K69" s="168"/>
      <c r="M69" s="359">
        <f t="shared" si="12"/>
        <v>0.39564917560027585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490">
        <f>'[23]Sch C'!D63</f>
        <v>0</v>
      </c>
      <c r="D70" s="490">
        <f>'[23]Sch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7"/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490">
        <f>'[23]Sch C'!D64</f>
        <v>0</v>
      </c>
      <c r="D71" s="490">
        <f>'[23]Sch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490">
        <f>'[23]Sch C'!D65</f>
        <v>1562</v>
      </c>
      <c r="D72" s="490">
        <f>'[23]Sch C'!F65</f>
        <v>0</v>
      </c>
      <c r="E72" s="171">
        <f t="shared" si="9"/>
        <v>1562</v>
      </c>
      <c r="F72" s="171"/>
      <c r="G72" s="171">
        <f t="shared" si="10"/>
        <v>1562</v>
      </c>
      <c r="H72" s="172">
        <f t="shared" si="11"/>
        <v>4.5795667471853401E-4</v>
      </c>
      <c r="I72" s="337"/>
      <c r="J72" s="195"/>
      <c r="K72" s="168"/>
      <c r="M72" s="359">
        <f t="shared" si="12"/>
        <v>9.7924894990909658E-2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490">
        <f>'[23]Sch C'!D66</f>
        <v>57995</v>
      </c>
      <c r="D73" s="490">
        <f>'[23]Sch C'!F66</f>
        <v>-835</v>
      </c>
      <c r="E73" s="171">
        <f t="shared" si="9"/>
        <v>57160</v>
      </c>
      <c r="F73" s="171"/>
      <c r="G73" s="171">
        <f t="shared" si="10"/>
        <v>57160</v>
      </c>
      <c r="H73" s="172">
        <f t="shared" si="11"/>
        <v>1.6758516982657748E-2</v>
      </c>
      <c r="I73" s="337"/>
      <c r="J73" s="195"/>
      <c r="K73" s="168"/>
      <c r="M73" s="359">
        <f t="shared" si="12"/>
        <v>3.5834743903203563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490">
        <f>'[23]Sch C'!D67</f>
        <v>24568</v>
      </c>
      <c r="D74" s="490">
        <f>'[23]Sch C'!F67</f>
        <v>0</v>
      </c>
      <c r="E74" s="171">
        <f t="shared" si="9"/>
        <v>24568</v>
      </c>
      <c r="F74" s="171"/>
      <c r="G74" s="171">
        <f t="shared" si="10"/>
        <v>24568</v>
      </c>
      <c r="H74" s="172">
        <f t="shared" si="11"/>
        <v>7.2029958927560464E-3</v>
      </c>
      <c r="I74" s="337"/>
      <c r="J74" s="195"/>
      <c r="K74" s="168"/>
      <c r="M74" s="359">
        <f t="shared" si="12"/>
        <v>1.5402169143000439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490">
        <f>'[23]Sch C'!D68</f>
        <v>0</v>
      </c>
      <c r="D75" s="490">
        <f>'[23]Sch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490">
        <f>'[23]Sch C'!D69</f>
        <v>3683</v>
      </c>
      <c r="D76" s="490">
        <f>'[23]Sch C'!F69</f>
        <v>0</v>
      </c>
      <c r="E76" s="171">
        <f t="shared" si="9"/>
        <v>3683</v>
      </c>
      <c r="F76" s="171"/>
      <c r="G76" s="171">
        <f t="shared" si="10"/>
        <v>3683</v>
      </c>
      <c r="H76" s="172">
        <f t="shared" si="11"/>
        <v>1.0798043745123948E-3</v>
      </c>
      <c r="I76" s="337"/>
      <c r="J76" s="195"/>
      <c r="K76" s="168"/>
      <c r="M76" s="359">
        <f t="shared" si="12"/>
        <v>0.23089461475769543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490">
        <f>'[23]Sch C'!D70</f>
        <v>0</v>
      </c>
      <c r="D77" s="490">
        <f>'[23]Sch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7"/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490">
        <f>'[23]Sch C'!D71</f>
        <v>0</v>
      </c>
      <c r="D78" s="490">
        <f>'[23]Sch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7"/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490">
        <f>SUM(C64:C78)</f>
        <v>261619</v>
      </c>
      <c r="D79" s="490">
        <f>SUM(D64:D78)</f>
        <v>-835</v>
      </c>
      <c r="E79" s="171">
        <f t="shared" ref="E79:F79" si="13">SUM(E64:E78)</f>
        <v>260784</v>
      </c>
      <c r="F79" s="171">
        <f t="shared" si="13"/>
        <v>0</v>
      </c>
      <c r="G79" s="171">
        <f>SUM(G64:G78)</f>
        <v>260784</v>
      </c>
      <c r="H79" s="172">
        <f t="shared" si="11"/>
        <v>7.645824165159934E-2</v>
      </c>
      <c r="I79" s="337"/>
      <c r="J79" s="195"/>
      <c r="K79" s="168"/>
      <c r="M79" s="359">
        <f t="shared" si="12"/>
        <v>16.349069023885651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490">
        <f>'[23]Sch C'!D75</f>
        <v>38937</v>
      </c>
      <c r="D82" s="490">
        <f>'[23]Sch C'!F75</f>
        <v>0</v>
      </c>
      <c r="E82" s="171">
        <f t="shared" ref="E82:E92" si="14">C82+D82</f>
        <v>38937</v>
      </c>
      <c r="F82" s="171"/>
      <c r="G82" s="171">
        <f t="shared" ref="G82:G92" si="15">E82+F82</f>
        <v>38937</v>
      </c>
      <c r="H82" s="172">
        <f t="shared" ref="H82:H93" si="16">IF($G$208=0,0,G82/$G$208)</f>
        <v>1.1415786839638642E-2</v>
      </c>
      <c r="I82" s="337"/>
      <c r="J82" s="183">
        <v>1798</v>
      </c>
      <c r="K82" s="183">
        <v>2132</v>
      </c>
      <c r="M82" s="359">
        <f t="shared" ref="M82:M92" si="17">G82/G$228</f>
        <v>2.4410381794244875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490">
        <f>'[23]Sch C'!D76</f>
        <v>6438</v>
      </c>
      <c r="D83" s="490">
        <f>'[23]Sch C'!F76</f>
        <v>0</v>
      </c>
      <c r="E83" s="171">
        <f t="shared" si="14"/>
        <v>6438</v>
      </c>
      <c r="F83" s="171"/>
      <c r="G83" s="171">
        <f t="shared" si="15"/>
        <v>6438</v>
      </c>
      <c r="H83" s="172">
        <f t="shared" si="16"/>
        <v>1.887532056234265E-3</v>
      </c>
      <c r="I83" s="337"/>
      <c r="J83" s="168"/>
      <c r="K83" s="168"/>
      <c r="M83" s="359">
        <f t="shared" si="17"/>
        <v>0.40361105886778259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490">
        <f>'[23]Sch C'!D77</f>
        <v>8512</v>
      </c>
      <c r="D84" s="490">
        <f>'[23]Sch C'!F77</f>
        <v>0</v>
      </c>
      <c r="E84" s="171">
        <f t="shared" si="14"/>
        <v>8512</v>
      </c>
      <c r="F84" s="171"/>
      <c r="G84" s="171">
        <f t="shared" si="15"/>
        <v>8512</v>
      </c>
      <c r="H84" s="172">
        <f t="shared" si="16"/>
        <v>2.4956000097337782E-3</v>
      </c>
      <c r="I84" s="337"/>
      <c r="J84" s="168"/>
      <c r="K84" s="168"/>
      <c r="M84" s="359">
        <f t="shared" si="17"/>
        <v>0.53363425490564853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490">
        <f>'[23]Sch C'!D78</f>
        <v>0</v>
      </c>
      <c r="D85" s="490">
        <f>'[23]Sch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I85" s="337"/>
      <c r="J85" s="168"/>
      <c r="K85" s="168"/>
      <c r="M85" s="359">
        <f t="shared" si="17"/>
        <v>0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490">
        <f>'[23]Sch C'!D79</f>
        <v>5329</v>
      </c>
      <c r="D86" s="490">
        <f>'[23]Sch C'!F79</f>
        <v>0</v>
      </c>
      <c r="E86" s="171">
        <f t="shared" si="14"/>
        <v>5329</v>
      </c>
      <c r="F86" s="171"/>
      <c r="G86" s="171">
        <f>E86+F86</f>
        <v>5329</v>
      </c>
      <c r="H86" s="172">
        <f t="shared" si="16"/>
        <v>1.5623886809059333E-3</v>
      </c>
      <c r="I86" s="337"/>
      <c r="J86" s="168"/>
      <c r="K86" s="168"/>
      <c r="M86" s="359">
        <f t="shared" si="17"/>
        <v>0.33408563726412138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490">
        <f>'[23]Sch C'!D80</f>
        <v>9960</v>
      </c>
      <c r="D87" s="490">
        <f>'[23]Sch C'!F80</f>
        <v>0</v>
      </c>
      <c r="E87" s="171">
        <f t="shared" si="14"/>
        <v>9960</v>
      </c>
      <c r="F87" s="171"/>
      <c r="G87" s="171">
        <f t="shared" si="15"/>
        <v>9960</v>
      </c>
      <c r="H87" s="172">
        <f t="shared" si="16"/>
        <v>2.9201334700362349E-3</v>
      </c>
      <c r="I87" s="337"/>
      <c r="J87" s="168"/>
      <c r="K87" s="168"/>
      <c r="M87" s="359">
        <f t="shared" si="17"/>
        <v>0.6244122625540719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490">
        <f>'[23]Sch C'!D81</f>
        <v>18471</v>
      </c>
      <c r="D88" s="490">
        <f>'[23]Sch C'!F81</f>
        <v>0</v>
      </c>
      <c r="E88" s="171">
        <f t="shared" si="14"/>
        <v>18471</v>
      </c>
      <c r="F88" s="171"/>
      <c r="G88" s="171">
        <f t="shared" si="15"/>
        <v>18471</v>
      </c>
      <c r="H88" s="172">
        <f t="shared" si="16"/>
        <v>5.4154402936786444E-3</v>
      </c>
      <c r="I88" s="337"/>
      <c r="J88" s="168"/>
      <c r="K88" s="168"/>
      <c r="M88" s="359">
        <f t="shared" si="17"/>
        <v>1.1579838254654879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490">
        <f>'[23]Sch C'!D82</f>
        <v>8915</v>
      </c>
      <c r="D89" s="490">
        <f>'[23]Sch C'!F82</f>
        <v>0</v>
      </c>
      <c r="E89" s="171">
        <f t="shared" si="14"/>
        <v>8915</v>
      </c>
      <c r="F89" s="171"/>
      <c r="G89" s="171">
        <f t="shared" si="15"/>
        <v>8915</v>
      </c>
      <c r="H89" s="172">
        <f t="shared" si="16"/>
        <v>2.6137540045555255E-3</v>
      </c>
      <c r="I89" s="337"/>
      <c r="J89" s="168"/>
      <c r="K89" s="168"/>
      <c r="M89" s="359">
        <f t="shared" si="17"/>
        <v>0.55889912858128021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490">
        <f>'[23]Sch C'!D83</f>
        <v>8564</v>
      </c>
      <c r="D90" s="490">
        <f>'[23]Sch C'!F83</f>
        <v>0</v>
      </c>
      <c r="E90" s="171">
        <f t="shared" si="14"/>
        <v>8564</v>
      </c>
      <c r="F90" s="171"/>
      <c r="G90" s="171">
        <f t="shared" si="15"/>
        <v>8564</v>
      </c>
      <c r="H90" s="172">
        <f t="shared" si="16"/>
        <v>2.5108456864849716E-3</v>
      </c>
      <c r="I90" s="337"/>
      <c r="J90" s="168"/>
      <c r="K90" s="168"/>
      <c r="M90" s="359">
        <f t="shared" si="17"/>
        <v>0.53689423860573005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490">
        <f>'[23]Sch C'!D84</f>
        <v>45650</v>
      </c>
      <c r="D91" s="490">
        <f>'[23]Sch C'!F84</f>
        <v>0</v>
      </c>
      <c r="E91" s="171">
        <f t="shared" si="14"/>
        <v>45650</v>
      </c>
      <c r="F91" s="171"/>
      <c r="G91" s="171">
        <f t="shared" si="15"/>
        <v>45650</v>
      </c>
      <c r="H91" s="172">
        <f t="shared" si="16"/>
        <v>1.3383945070999409E-2</v>
      </c>
      <c r="I91" s="337"/>
      <c r="J91" s="168"/>
      <c r="K91" s="168"/>
      <c r="M91" s="359">
        <f t="shared" si="17"/>
        <v>2.8618895367061628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490">
        <f>'[23]Sch C'!D85</f>
        <v>0</v>
      </c>
      <c r="D92" s="490">
        <f>'[23]Sch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7"/>
      <c r="J92" s="168"/>
      <c r="K92" s="168"/>
      <c r="M92" s="359">
        <f t="shared" si="17"/>
        <v>0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490">
        <f>SUM(C82:C92)</f>
        <v>150776</v>
      </c>
      <c r="D93" s="490">
        <f>SUM(D82:D92)</f>
        <v>0</v>
      </c>
      <c r="E93" s="171">
        <f t="shared" ref="E93:F93" si="18">SUM(E82:E92)</f>
        <v>150776</v>
      </c>
      <c r="F93" s="171">
        <f t="shared" si="18"/>
        <v>0</v>
      </c>
      <c r="G93" s="171">
        <f>SUM(G82:G92)</f>
        <v>150776</v>
      </c>
      <c r="H93" s="172">
        <f t="shared" si="16"/>
        <v>4.4205426112267403E-2</v>
      </c>
      <c r="I93" s="337"/>
      <c r="J93" s="168"/>
      <c r="K93" s="168"/>
      <c r="M93" s="364">
        <f>G93/G$228</f>
        <v>9.4524481223747721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490">
        <f>'[23]Sch C'!D89</f>
        <v>110322</v>
      </c>
      <c r="D96" s="490">
        <f>'[23]Sch C'!F89</f>
        <v>0</v>
      </c>
      <c r="E96" s="171">
        <f t="shared" ref="E96:E101" si="19">C96+D96</f>
        <v>110322</v>
      </c>
      <c r="F96" s="171"/>
      <c r="G96" s="171">
        <f t="shared" ref="G96:G101" si="20">E96+F96</f>
        <v>110322</v>
      </c>
      <c r="H96" s="172">
        <f t="shared" ref="H96:H102" si="21">IF($G$208=0,0,G96/$G$208)</f>
        <v>3.234487597202184E-2</v>
      </c>
      <c r="I96" s="337"/>
      <c r="J96" s="183">
        <v>9323</v>
      </c>
      <c r="K96" s="183">
        <v>10476</v>
      </c>
      <c r="M96" s="364">
        <f t="shared" ref="M96:M101" si="22">G96/G$228</f>
        <v>6.9163061876998304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490">
        <f>'[23]Sch C'!D90</f>
        <v>18953</v>
      </c>
      <c r="D97" s="490">
        <f>'[23]Sch C'!F90</f>
        <v>0</v>
      </c>
      <c r="E97" s="171">
        <f t="shared" si="19"/>
        <v>18953</v>
      </c>
      <c r="F97" s="171"/>
      <c r="G97" s="171">
        <f t="shared" si="20"/>
        <v>18953</v>
      </c>
      <c r="H97" s="172">
        <f t="shared" si="21"/>
        <v>5.5567559897185502E-3</v>
      </c>
      <c r="I97" s="337"/>
      <c r="J97" s="168"/>
      <c r="K97" s="168"/>
      <c r="M97" s="364">
        <f t="shared" si="22"/>
        <v>1.1882013666854743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490">
        <f>'[23]Sch C'!D91</f>
        <v>4282</v>
      </c>
      <c r="D98" s="490">
        <f>'[23]Sch C'!F91</f>
        <v>0</v>
      </c>
      <c r="E98" s="171">
        <f t="shared" si="19"/>
        <v>4282</v>
      </c>
      <c r="F98" s="171"/>
      <c r="G98" s="171">
        <f t="shared" si="20"/>
        <v>4282</v>
      </c>
      <c r="H98" s="172">
        <f t="shared" si="21"/>
        <v>1.2554228432424858E-3</v>
      </c>
      <c r="I98" s="337"/>
      <c r="J98" s="168"/>
      <c r="K98" s="168"/>
      <c r="M98" s="364">
        <f t="shared" si="22"/>
        <v>0.26844711930286502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490">
        <f>'[23]Sch C'!D92</f>
        <v>86238</v>
      </c>
      <c r="D99" s="490">
        <f>'[23]Sch C'!F92</f>
        <v>-418</v>
      </c>
      <c r="E99" s="171">
        <f t="shared" si="19"/>
        <v>85820</v>
      </c>
      <c r="F99" s="171"/>
      <c r="G99" s="171">
        <f t="shared" si="20"/>
        <v>85820</v>
      </c>
      <c r="H99" s="172">
        <f t="shared" si="21"/>
        <v>2.5161230361296152E-2</v>
      </c>
      <c r="I99" s="337"/>
      <c r="J99" s="168"/>
      <c r="K99" s="168"/>
      <c r="M99" s="364">
        <f t="shared" si="22"/>
        <v>5.3802269450191211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490">
        <f>'[23]Sch C'!D93</f>
        <v>6725</v>
      </c>
      <c r="D100" s="490">
        <f>'[23]Sch C'!F93</f>
        <v>0</v>
      </c>
      <c r="E100" s="171">
        <f t="shared" si="19"/>
        <v>6725</v>
      </c>
      <c r="F100" s="171"/>
      <c r="G100" s="171">
        <f t="shared" si="20"/>
        <v>6725</v>
      </c>
      <c r="H100" s="172">
        <f t="shared" si="21"/>
        <v>1.9716764644571966E-3</v>
      </c>
      <c r="I100" s="337"/>
      <c r="J100" s="168"/>
      <c r="K100" s="168"/>
      <c r="M100" s="364">
        <f t="shared" si="22"/>
        <v>0.42160366121246318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490">
        <f>'[23]Sch C'!D94</f>
        <v>0</v>
      </c>
      <c r="D101" s="490">
        <f>'[23]Sch C'!F94</f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I101" s="337"/>
      <c r="J101" s="168"/>
      <c r="K101" s="168"/>
      <c r="M101" s="364">
        <f t="shared" si="22"/>
        <v>0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490">
        <f>SUM(C96:C101)</f>
        <v>226520</v>
      </c>
      <c r="D102" s="490">
        <f>SUM(D96:D101)</f>
        <v>-418</v>
      </c>
      <c r="E102" s="171">
        <f t="shared" ref="E102:F102" si="23">SUM(E96:E101)</f>
        <v>226102</v>
      </c>
      <c r="F102" s="171">
        <f t="shared" si="23"/>
        <v>0</v>
      </c>
      <c r="G102" s="171">
        <f>SUM(G96:G101)</f>
        <v>226102</v>
      </c>
      <c r="H102" s="172">
        <f t="shared" si="21"/>
        <v>6.6289961630736222E-2</v>
      </c>
      <c r="I102" s="337"/>
      <c r="J102" s="168"/>
      <c r="K102" s="168"/>
      <c r="M102" s="364">
        <f>G102/G$228</f>
        <v>14.174785279919755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490">
        <f>'[23]Sch C'!D98</f>
        <v>0</v>
      </c>
      <c r="D105" s="490">
        <f>'[23]Sch C'!F98</f>
        <v>0</v>
      </c>
      <c r="E105" s="171">
        <f t="shared" ref="E105:E110" si="24">C105+D105</f>
        <v>0</v>
      </c>
      <c r="F105" s="171"/>
      <c r="G105" s="171">
        <f t="shared" ref="G105:G110" si="25">E105+F105</f>
        <v>0</v>
      </c>
      <c r="H105" s="172">
        <f t="shared" ref="H105:H111" si="26">IF($G$208=0,0,G105/$G$208)</f>
        <v>0</v>
      </c>
      <c r="I105" s="337"/>
      <c r="J105" s="183">
        <v>0</v>
      </c>
      <c r="K105" s="183">
        <v>0</v>
      </c>
      <c r="M105" s="364">
        <f t="shared" ref="M105:M110" si="27">G105/G$228</f>
        <v>0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490">
        <f>'[23]Sch C'!D99</f>
        <v>0</v>
      </c>
      <c r="D106" s="490">
        <f>'[23]Sch C'!F99</f>
        <v>0</v>
      </c>
      <c r="E106" s="171">
        <f t="shared" si="24"/>
        <v>0</v>
      </c>
      <c r="F106" s="171"/>
      <c r="G106" s="171">
        <f t="shared" si="25"/>
        <v>0</v>
      </c>
      <c r="H106" s="172">
        <f t="shared" si="26"/>
        <v>0</v>
      </c>
      <c r="I106" s="337"/>
      <c r="J106" s="168"/>
      <c r="K106" s="168"/>
      <c r="M106" s="364">
        <f t="shared" si="27"/>
        <v>0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490">
        <f>'[23]Sch C'!D100</f>
        <v>0</v>
      </c>
      <c r="D107" s="490">
        <f>'[23]Sch C'!F100</f>
        <v>0</v>
      </c>
      <c r="E107" s="171">
        <f t="shared" si="24"/>
        <v>0</v>
      </c>
      <c r="F107" s="171"/>
      <c r="G107" s="171">
        <f t="shared" si="25"/>
        <v>0</v>
      </c>
      <c r="H107" s="172">
        <f t="shared" si="26"/>
        <v>0</v>
      </c>
      <c r="I107" s="337"/>
      <c r="J107" s="168"/>
      <c r="K107" s="168"/>
      <c r="M107" s="364">
        <f t="shared" si="27"/>
        <v>0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490">
        <f>'[23]Sch C'!D101</f>
        <v>44851</v>
      </c>
      <c r="D108" s="490">
        <f>'[23]Sch C'!F101</f>
        <v>0</v>
      </c>
      <c r="E108" s="171">
        <f t="shared" si="24"/>
        <v>44851</v>
      </c>
      <c r="F108" s="171"/>
      <c r="G108" s="171">
        <f t="shared" si="25"/>
        <v>44851</v>
      </c>
      <c r="H108" s="172">
        <f t="shared" si="26"/>
        <v>1.3149689383995499E-2</v>
      </c>
      <c r="I108" s="337"/>
      <c r="J108" s="168"/>
      <c r="K108" s="168"/>
      <c r="M108" s="364">
        <f t="shared" si="27"/>
        <v>2.8117986333145257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490">
        <f>'[23]Sch C'!D102</f>
        <v>3308</v>
      </c>
      <c r="D109" s="490">
        <f>'[23]Sch C'!F102</f>
        <v>0</v>
      </c>
      <c r="E109" s="171">
        <f t="shared" si="24"/>
        <v>3308</v>
      </c>
      <c r="F109" s="171"/>
      <c r="G109" s="171">
        <f t="shared" si="25"/>
        <v>3308</v>
      </c>
      <c r="H109" s="172">
        <f t="shared" si="26"/>
        <v>9.6985959024898239E-4</v>
      </c>
      <c r="I109" s="337"/>
      <c r="J109" s="168"/>
      <c r="K109" s="168"/>
      <c r="M109" s="364">
        <f t="shared" si="27"/>
        <v>0.20738511692056924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490">
        <f>'[23]Sch C'!D103</f>
        <v>0</v>
      </c>
      <c r="D110" s="490">
        <f>'[23]Sch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7"/>
      <c r="J110" s="168"/>
      <c r="K110" s="168"/>
      <c r="M110" s="364">
        <f t="shared" si="27"/>
        <v>0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490">
        <f>SUM(C105:C110)</f>
        <v>48159</v>
      </c>
      <c r="D111" s="490">
        <f>SUM(D105:D110)</f>
        <v>0</v>
      </c>
      <c r="E111" s="171">
        <f t="shared" ref="E111:F111" si="28">SUM(E105:E110)</f>
        <v>48159</v>
      </c>
      <c r="F111" s="171">
        <f t="shared" si="28"/>
        <v>0</v>
      </c>
      <c r="G111" s="171">
        <f>SUM(G105:G110)</f>
        <v>48159</v>
      </c>
      <c r="H111" s="172">
        <f t="shared" si="26"/>
        <v>1.4119548974244481E-2</v>
      </c>
      <c r="I111" s="337"/>
      <c r="J111" s="168"/>
      <c r="K111" s="168"/>
      <c r="M111" s="364">
        <f>G111/G$228</f>
        <v>3.0191837502350949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490">
        <f>'[23]Sch C'!D115</f>
        <v>0</v>
      </c>
      <c r="D114" s="490">
        <f>'[23]Sch C'!F115</f>
        <v>0</v>
      </c>
      <c r="E114" s="171">
        <f t="shared" ref="E114:E118" si="29">C114+D114</f>
        <v>0</v>
      </c>
      <c r="F114" s="171"/>
      <c r="G114" s="171">
        <f>E114+F114</f>
        <v>0</v>
      </c>
      <c r="H114" s="172">
        <f t="shared" ref="H114:H119" si="30">IF($G$208=0,0,G114/$G$208)</f>
        <v>0</v>
      </c>
      <c r="I114" s="337"/>
      <c r="J114" s="183">
        <v>0</v>
      </c>
      <c r="K114" s="183">
        <v>0</v>
      </c>
      <c r="M114" s="364">
        <f t="shared" ref="M114:M119" si="31">G114/G$228</f>
        <v>0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490">
        <f>'[23]Sch C'!D116</f>
        <v>0</v>
      </c>
      <c r="D115" s="490">
        <f>'[23]Sch C'!F116</f>
        <v>0</v>
      </c>
      <c r="E115" s="171">
        <f t="shared" si="29"/>
        <v>0</v>
      </c>
      <c r="F115" s="171"/>
      <c r="G115" s="171">
        <f>E115+F115</f>
        <v>0</v>
      </c>
      <c r="H115" s="172">
        <f t="shared" si="30"/>
        <v>0</v>
      </c>
      <c r="I115" s="337"/>
      <c r="J115" s="168"/>
      <c r="K115" s="168"/>
      <c r="M115" s="364">
        <f t="shared" si="31"/>
        <v>0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490">
        <f>'[23]Sch C'!D117</f>
        <v>8378</v>
      </c>
      <c r="D116" s="490">
        <f>'[23]Sch C'!F117</f>
        <v>0</v>
      </c>
      <c r="E116" s="171">
        <f t="shared" si="29"/>
        <v>8378</v>
      </c>
      <c r="F116" s="171"/>
      <c r="G116" s="171">
        <f>E116+F116</f>
        <v>8378</v>
      </c>
      <c r="H116" s="172">
        <f t="shared" si="30"/>
        <v>2.4563130734903188E-3</v>
      </c>
      <c r="I116" s="337"/>
      <c r="J116" s="168"/>
      <c r="K116" s="168"/>
      <c r="M116" s="364">
        <f t="shared" si="31"/>
        <v>0.5252335276785155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490">
        <f>'[23]Sch C'!D118</f>
        <v>86300</v>
      </c>
      <c r="D117" s="490">
        <f>'[23]Sch C'!F118</f>
        <v>0</v>
      </c>
      <c r="E117" s="171">
        <f t="shared" si="29"/>
        <v>86300</v>
      </c>
      <c r="F117" s="171"/>
      <c r="G117" s="171">
        <f>E117+F117</f>
        <v>86300</v>
      </c>
      <c r="H117" s="172">
        <f t="shared" si="30"/>
        <v>2.5301959685153322E-2</v>
      </c>
      <c r="I117" s="337"/>
      <c r="J117" s="168"/>
      <c r="K117" s="168"/>
      <c r="M117" s="364">
        <f t="shared" si="31"/>
        <v>5.4103191022506429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490">
        <f>'[23]Sch C'!D119</f>
        <v>0</v>
      </c>
      <c r="D118" s="490">
        <f>'[23]Sch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337"/>
      <c r="J118" s="168"/>
      <c r="K118" s="168"/>
      <c r="M118" s="364">
        <f t="shared" si="31"/>
        <v>0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490">
        <f>SUM(C114:C118)</f>
        <v>94678</v>
      </c>
      <c r="D119" s="490">
        <f>SUM(D114:D118)</f>
        <v>0</v>
      </c>
      <c r="E119" s="171">
        <f t="shared" ref="E119:F119" si="32">SUM(E114:E118)</f>
        <v>94678</v>
      </c>
      <c r="F119" s="171">
        <f t="shared" si="32"/>
        <v>0</v>
      </c>
      <c r="G119" s="171">
        <f>SUM(G114:G118)</f>
        <v>94678</v>
      </c>
      <c r="H119" s="172">
        <f t="shared" si="30"/>
        <v>2.7758272758643638E-2</v>
      </c>
      <c r="I119" s="337"/>
      <c r="J119" s="168"/>
      <c r="K119" s="168"/>
      <c r="M119" s="364">
        <f t="shared" si="31"/>
        <v>5.9355526299291581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1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490">
        <f>'[23]Sch C'!D124</f>
        <v>0</v>
      </c>
      <c r="D123" s="490">
        <f>'[23]Sch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7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0.77002560279620991</v>
      </c>
    </row>
    <row r="124" spans="1:14" s="167" customFormat="1">
      <c r="B124" s="163" t="s">
        <v>194</v>
      </c>
      <c r="C124" s="490">
        <f>'[23]Sch C'!D125</f>
        <v>124513</v>
      </c>
      <c r="D124" s="490">
        <f>'[23]Sch C'!F125</f>
        <v>0</v>
      </c>
      <c r="E124" s="171">
        <f t="shared" si="33"/>
        <v>124513</v>
      </c>
      <c r="F124" s="171"/>
      <c r="G124" s="171">
        <f>E124+F124</f>
        <v>124513</v>
      </c>
      <c r="H124" s="172">
        <f>IF($G$208=0,0,G124/$G$208)</f>
        <v>3.6505479794640736E-2</v>
      </c>
      <c r="I124" s="337"/>
      <c r="J124" s="183">
        <v>4214</v>
      </c>
      <c r="K124" s="183">
        <v>4618</v>
      </c>
      <c r="M124" s="364">
        <f t="shared" si="34"/>
        <v>7.8059682778509183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490">
        <f>'[23]Sch C'!D126</f>
        <v>0</v>
      </c>
      <c r="D125" s="490">
        <f>'[23]Sch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7"/>
      <c r="J125" s="183">
        <v>0</v>
      </c>
      <c r="K125" s="183">
        <v>0</v>
      </c>
      <c r="M125" s="364">
        <f t="shared" si="34"/>
        <v>0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490">
        <f>'[23]Sch C'!D127</f>
        <v>0</v>
      </c>
      <c r="D126" s="490">
        <f>'[23]Sch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7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490">
        <f>'[23]Sch C'!D128</f>
        <v>31062</v>
      </c>
      <c r="D127" s="490">
        <f>'[23]Sch C'!F128</f>
        <v>0</v>
      </c>
      <c r="E127" s="171">
        <f t="shared" si="33"/>
        <v>31062</v>
      </c>
      <c r="F127" s="171"/>
      <c r="G127" s="171">
        <f>E127+F127</f>
        <v>31062</v>
      </c>
      <c r="H127" s="172">
        <f>IF($G$208=0,0,G127/$G$208)</f>
        <v>9.106946370106981E-3</v>
      </c>
      <c r="I127" s="337"/>
      <c r="J127" s="183">
        <v>2370</v>
      </c>
      <c r="K127" s="183">
        <v>2601</v>
      </c>
      <c r="M127" s="364">
        <f t="shared" si="34"/>
        <v>1.9473387248448373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205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490">
        <f>'[23]Sch C'!D130</f>
        <v>0</v>
      </c>
      <c r="D129" s="490">
        <f>'[23]Sch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7"/>
      <c r="J129" s="204"/>
      <c r="K129" s="204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490">
        <f>'[23]Sch C'!D131</f>
        <v>12615</v>
      </c>
      <c r="D130" s="490">
        <f>'[23]Sch C'!F131</f>
        <v>0</v>
      </c>
      <c r="E130" s="171">
        <f t="shared" si="35"/>
        <v>12615</v>
      </c>
      <c r="F130" s="171"/>
      <c r="G130" s="171">
        <f>E130+F130</f>
        <v>12615</v>
      </c>
      <c r="H130" s="172">
        <f>IF($G$208=0,0,G130/$G$208)</f>
        <v>3.6985425426211949E-3</v>
      </c>
      <c r="I130" s="337"/>
      <c r="J130" s="204"/>
      <c r="K130" s="204"/>
      <c r="M130" s="364">
        <f t="shared" si="34"/>
        <v>0.79085950724092535</v>
      </c>
      <c r="N130" s="359">
        <f>SUMMARY!J133</f>
        <v>1.0792348507966931</v>
      </c>
    </row>
    <row r="131" spans="1:14" s="167" customFormat="1">
      <c r="B131" s="163" t="s">
        <v>195</v>
      </c>
      <c r="C131" s="490">
        <f>'[23]Sch C'!D132</f>
        <v>0</v>
      </c>
      <c r="D131" s="490">
        <f>'[23]Sch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7"/>
      <c r="J131" s="168"/>
      <c r="K131" s="168"/>
      <c r="M131" s="364">
        <f t="shared" si="34"/>
        <v>0</v>
      </c>
      <c r="N131" s="359">
        <f>SUMMARY!J134</f>
        <v>8.2765628075518377E-2</v>
      </c>
    </row>
    <row r="132" spans="1:14" s="167" customFormat="1">
      <c r="B132" s="163" t="s">
        <v>196</v>
      </c>
      <c r="C132" s="490">
        <f>'[23]Sch C'!D133</f>
        <v>0</v>
      </c>
      <c r="D132" s="490">
        <f>'[23]Sch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490">
        <f>'[23]Sch C'!D134</f>
        <v>6953</v>
      </c>
      <c r="D133" s="490">
        <f>'[23]Sch C'!F134</f>
        <v>0</v>
      </c>
      <c r="E133" s="171">
        <f t="shared" si="35"/>
        <v>6953</v>
      </c>
      <c r="F133" s="171"/>
      <c r="G133" s="171">
        <f>E133+F133</f>
        <v>6953</v>
      </c>
      <c r="H133" s="172">
        <f>IF($G$208=0,0,G133/$G$208)</f>
        <v>2.0385228932893514E-3</v>
      </c>
      <c r="I133" s="337"/>
      <c r="J133" s="168"/>
      <c r="K133" s="168"/>
      <c r="M133" s="364">
        <f t="shared" si="34"/>
        <v>0.4358974358974359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490">
        <f>'[23]Sch C'!D136</f>
        <v>331935</v>
      </c>
      <c r="D135" s="490">
        <f>'[23]Sch C'!F136</f>
        <v>0</v>
      </c>
      <c r="E135" s="171">
        <f t="shared" ref="E135:E138" si="36">C135+D135</f>
        <v>331935</v>
      </c>
      <c r="F135" s="171"/>
      <c r="G135" s="171">
        <f>E135+F135</f>
        <v>331935</v>
      </c>
      <c r="H135" s="172">
        <f>IF($G$208=0,0,G135/$G$208)</f>
        <v>9.7318725238602174E-2</v>
      </c>
      <c r="I135" s="337"/>
      <c r="J135" s="183">
        <v>13267</v>
      </c>
      <c r="K135" s="183">
        <v>19364</v>
      </c>
      <c r="M135" s="364">
        <f t="shared" si="34"/>
        <v>20.809667105510627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490">
        <f>'[23]Sch C'!D137</f>
        <v>110129</v>
      </c>
      <c r="D136" s="490">
        <f>'[23]Sch C'!F137</f>
        <v>0</v>
      </c>
      <c r="E136" s="171">
        <f t="shared" si="36"/>
        <v>110129</v>
      </c>
      <c r="F136" s="171"/>
      <c r="G136" s="171">
        <f>E136+F136</f>
        <v>110129</v>
      </c>
      <c r="H136" s="172">
        <f>IF($G$208=0,0,G136/$G$208)</f>
        <v>3.22882910563876E-2</v>
      </c>
      <c r="I136" s="337"/>
      <c r="J136" s="183">
        <v>5145</v>
      </c>
      <c r="K136" s="183">
        <v>6107</v>
      </c>
      <c r="M136" s="364">
        <f t="shared" si="34"/>
        <v>6.9042066328129899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490">
        <f>'[23]Sch C'!D138</f>
        <v>365805</v>
      </c>
      <c r="D137" s="490">
        <f>'[23]Sch C'!F138</f>
        <v>14107</v>
      </c>
      <c r="E137" s="171">
        <f t="shared" si="36"/>
        <v>379912</v>
      </c>
      <c r="F137" s="171"/>
      <c r="G137" s="171">
        <f>E137+F137</f>
        <v>379912</v>
      </c>
      <c r="H137" s="172">
        <f>IF($G$208=0,0,G137/$G$208)</f>
        <v>0.11138491434421748</v>
      </c>
      <c r="I137" s="337"/>
      <c r="J137" s="183">
        <v>36513</v>
      </c>
      <c r="K137" s="183">
        <v>40488</v>
      </c>
      <c r="M137" s="364">
        <f t="shared" si="34"/>
        <v>23.817440912795437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490">
        <f>'[23]Sch C'!D139</f>
        <v>14107</v>
      </c>
      <c r="D138" s="490">
        <f>'[23]Sch C'!F139</f>
        <v>-14107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7"/>
      <c r="J138" s="183">
        <v>0</v>
      </c>
      <c r="K138" s="183">
        <v>0</v>
      </c>
      <c r="M138" s="364">
        <f t="shared" si="34"/>
        <v>0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7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490">
        <f>'[23]Sch C'!D141</f>
        <v>161107</v>
      </c>
      <c r="D140" s="490">
        <f>'[23]Sch C'!F141</f>
        <v>-96048</v>
      </c>
      <c r="E140" s="171">
        <f t="shared" ref="E140:E143" si="37">C140+D140</f>
        <v>65059</v>
      </c>
      <c r="F140" s="171"/>
      <c r="G140" s="171">
        <f>E140+F140</f>
        <v>65059</v>
      </c>
      <c r="H140" s="172">
        <f>IF($G$208=0,0,G140/$G$208)</f>
        <v>1.9074393918382268E-2</v>
      </c>
      <c r="I140" s="337"/>
      <c r="J140" s="168"/>
      <c r="K140" s="168"/>
      <c r="M140" s="364">
        <f t="shared" si="34"/>
        <v>4.078678452761582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490">
        <f>'[23]Sch C'!D142</f>
        <v>0</v>
      </c>
      <c r="D141" s="490">
        <f>'[23]Sch C'!F142</f>
        <v>21585</v>
      </c>
      <c r="E141" s="171">
        <f t="shared" si="37"/>
        <v>21585</v>
      </c>
      <c r="F141" s="171"/>
      <c r="G141" s="171">
        <f>E141+F141</f>
        <v>21585</v>
      </c>
      <c r="H141" s="172">
        <f>IF($G$208=0,0,G141/$G$208)</f>
        <v>6.3284217822020209E-3</v>
      </c>
      <c r="I141" s="337"/>
      <c r="J141" s="168"/>
      <c r="K141" s="168"/>
      <c r="M141" s="364">
        <f t="shared" si="34"/>
        <v>1.353206695504984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490">
        <f>'[23]Sch C'!D143</f>
        <v>0</v>
      </c>
      <c r="D142" s="490">
        <f>'[23]Sch C'!F143</f>
        <v>74463</v>
      </c>
      <c r="E142" s="171">
        <f t="shared" si="37"/>
        <v>74463</v>
      </c>
      <c r="F142" s="171"/>
      <c r="G142" s="171">
        <f>E142+F142</f>
        <v>74463</v>
      </c>
      <c r="H142" s="172">
        <f>IF($G$208=0,0,G142/$G$208)</f>
        <v>2.1831515921617285E-2</v>
      </c>
      <c r="I142" s="337"/>
      <c r="J142" s="168"/>
      <c r="K142" s="168"/>
      <c r="M142" s="364">
        <f t="shared" si="34"/>
        <v>4.6682339665224752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490">
        <f>'[23]Sch C'!D144</f>
        <v>0</v>
      </c>
      <c r="D143" s="490">
        <f>'[23]Sch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7"/>
      <c r="J143" s="168"/>
      <c r="K143" s="168"/>
      <c r="M143" s="364">
        <f t="shared" si="34"/>
        <v>0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7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490">
        <f>'[23]Sch C'!D146</f>
        <v>17910</v>
      </c>
      <c r="D145" s="490">
        <f>'[23]Sch C'!F146</f>
        <v>0</v>
      </c>
      <c r="E145" s="171">
        <f t="shared" ref="E145:E153" si="38">C145+D145</f>
        <v>17910</v>
      </c>
      <c r="F145" s="171"/>
      <c r="G145" s="171">
        <f t="shared" ref="G145:G153" si="39">E145+F145</f>
        <v>17910</v>
      </c>
      <c r="H145" s="172">
        <f t="shared" ref="H145:H153" si="40">IF($G$208=0,0,G145/$G$208)</f>
        <v>5.2509628964205789E-3</v>
      </c>
      <c r="I145" s="337"/>
      <c r="J145" s="183">
        <v>99</v>
      </c>
      <c r="K145" s="183">
        <v>99</v>
      </c>
      <c r="M145" s="364">
        <f t="shared" si="34"/>
        <v>1.1228136167011473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490">
        <f>'[23]Sch C'!D147</f>
        <v>147</v>
      </c>
      <c r="D146" s="490">
        <f>'[23]Sch C'!F147</f>
        <v>-147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337"/>
      <c r="J146" s="183">
        <v>0</v>
      </c>
      <c r="K146" s="183">
        <v>0</v>
      </c>
      <c r="M146" s="364">
        <f t="shared" si="34"/>
        <v>0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490">
        <f>'[23]Sch C'!D148</f>
        <v>0</v>
      </c>
      <c r="D147" s="490">
        <f>'[23]Sch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7"/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490">
        <f>'[23]Sch C'!D149</f>
        <v>0</v>
      </c>
      <c r="D148" s="490">
        <f>'[23]Sch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7"/>
      <c r="J148" s="183">
        <v>0</v>
      </c>
      <c r="K148" s="183">
        <v>0</v>
      </c>
      <c r="M148" s="364">
        <f t="shared" si="34"/>
        <v>0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490">
        <f>'[23]Sch C'!D150</f>
        <v>2960</v>
      </c>
      <c r="D149" s="490">
        <f>'[23]Sch C'!F150</f>
        <v>147</v>
      </c>
      <c r="E149" s="171">
        <f t="shared" si="38"/>
        <v>3107</v>
      </c>
      <c r="F149" s="171"/>
      <c r="G149" s="171">
        <f t="shared" si="39"/>
        <v>3107</v>
      </c>
      <c r="H149" s="172">
        <f t="shared" si="40"/>
        <v>9.1092918588379338E-4</v>
      </c>
      <c r="I149" s="337"/>
      <c r="J149" s="183">
        <v>0</v>
      </c>
      <c r="K149" s="183">
        <v>0</v>
      </c>
      <c r="M149" s="364">
        <f t="shared" si="34"/>
        <v>0.19478402607986961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490">
        <f>'[23]Sch C'!D151</f>
        <v>64637</v>
      </c>
      <c r="D150" s="490">
        <f>'[23]Sch C'!F151</f>
        <v>-1160</v>
      </c>
      <c r="E150" s="171">
        <f t="shared" si="38"/>
        <v>63477</v>
      </c>
      <c r="F150" s="171"/>
      <c r="G150" s="171">
        <f t="shared" si="39"/>
        <v>63477</v>
      </c>
      <c r="H150" s="172">
        <f t="shared" si="40"/>
        <v>1.8610573521836354E-2</v>
      </c>
      <c r="I150" s="337"/>
      <c r="J150" s="168"/>
      <c r="K150" s="168"/>
      <c r="M150" s="364">
        <f t="shared" si="34"/>
        <v>3.9794997178860259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490">
        <f>'[23]Sch C'!D152</f>
        <v>3705</v>
      </c>
      <c r="D151" s="490">
        <f>'[23]Sch C'!F152</f>
        <v>0</v>
      </c>
      <c r="E151" s="171">
        <f t="shared" si="38"/>
        <v>3705</v>
      </c>
      <c r="F151" s="171"/>
      <c r="G151" s="171">
        <f t="shared" si="39"/>
        <v>3705</v>
      </c>
      <c r="H151" s="172">
        <f t="shared" si="40"/>
        <v>1.0862544685225151E-3</v>
      </c>
      <c r="I151" s="337"/>
      <c r="J151" s="168"/>
      <c r="K151" s="168"/>
      <c r="M151" s="364">
        <f t="shared" si="34"/>
        <v>0.23227383863080683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490">
        <f>'[23]Sch C'!D153</f>
        <v>0</v>
      </c>
      <c r="D152" s="490">
        <f>'[23]Sch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7"/>
      <c r="J152" s="168"/>
      <c r="K152" s="168"/>
      <c r="M152" s="364">
        <f t="shared" si="34"/>
        <v>0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490">
        <f>'[23]Sch C'!D154</f>
        <v>0</v>
      </c>
      <c r="D153" s="490">
        <f>'[23]Sch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210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490">
        <f>'[23]Sch C'!D156</f>
        <v>0</v>
      </c>
      <c r="D155" s="490">
        <f>'[23]Sch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490">
        <f>'[23]Sch C'!D157</f>
        <v>0</v>
      </c>
      <c r="D156" s="490">
        <f>'[23]Sch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490">
        <f>'[23]Sch C'!D158</f>
        <v>4375</v>
      </c>
      <c r="D157" s="490">
        <f>'[23]Sch C'!F158</f>
        <v>0</v>
      </c>
      <c r="E157" s="171">
        <f t="shared" si="41"/>
        <v>4375</v>
      </c>
      <c r="F157" s="171"/>
      <c r="G157" s="171">
        <f t="shared" si="42"/>
        <v>4375</v>
      </c>
      <c r="H157" s="172">
        <f t="shared" si="43"/>
        <v>1.282689149739812E-3</v>
      </c>
      <c r="I157" s="337"/>
      <c r="J157" s="168"/>
      <c r="K157" s="168"/>
      <c r="M157" s="364">
        <f t="shared" si="34"/>
        <v>0.2742774747664723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490">
        <f>'[23]Sch C'!D159</f>
        <v>0</v>
      </c>
      <c r="D158" s="490">
        <f>'[23]Sch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490">
        <f>'[23]Sch C'!D160</f>
        <v>0</v>
      </c>
      <c r="D159" s="490">
        <f>'[23]Sch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7"/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490">
        <f>'[23]Sch C'!D161</f>
        <v>12441</v>
      </c>
      <c r="D160" s="490">
        <f>'[23]Sch C'!F161</f>
        <v>-408</v>
      </c>
      <c r="E160" s="171">
        <f t="shared" si="41"/>
        <v>12033</v>
      </c>
      <c r="F160" s="171"/>
      <c r="G160" s="171">
        <f t="shared" si="42"/>
        <v>12033</v>
      </c>
      <c r="H160" s="172">
        <f t="shared" si="43"/>
        <v>3.527908237444379E-3</v>
      </c>
      <c r="I160" s="337"/>
      <c r="J160" s="168"/>
      <c r="K160" s="168"/>
      <c r="M160" s="364">
        <f t="shared" si="34"/>
        <v>0.75437276659770547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490">
        <f>SUM(C123:C160)</f>
        <v>1264401</v>
      </c>
      <c r="D161" s="490">
        <f>SUM(D123:D160)</f>
        <v>-1568</v>
      </c>
      <c r="E161" s="171">
        <f t="shared" ref="E161:F161" si="44">SUM(E123:E160)</f>
        <v>1262833</v>
      </c>
      <c r="F161" s="171">
        <f t="shared" si="44"/>
        <v>0</v>
      </c>
      <c r="G161" s="171">
        <f>SUM(G123:G160)</f>
        <v>1262833</v>
      </c>
      <c r="H161" s="172">
        <f t="shared" si="43"/>
        <v>0.37024507132191453</v>
      </c>
      <c r="I161" s="337"/>
      <c r="J161" s="168"/>
      <c r="K161" s="168"/>
      <c r="M161" s="364">
        <f>G161/G$228</f>
        <v>79.169519152404234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337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7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490">
        <f>'[23]Sch C'!D175</f>
        <v>0</v>
      </c>
      <c r="D164" s="490">
        <f>'[23]Sch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490">
        <f>'[23]Sch C'!D176</f>
        <v>0</v>
      </c>
      <c r="D165" s="490">
        <f>'[23]Sch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490">
        <f>'[23]Sch C'!D177</f>
        <v>0</v>
      </c>
      <c r="D166" s="490">
        <f>'[23]Sch C'!F177</f>
        <v>0</v>
      </c>
      <c r="E166" s="171">
        <f t="shared" si="45"/>
        <v>0</v>
      </c>
      <c r="F166" s="216"/>
      <c r="G166" s="171">
        <f t="shared" si="46"/>
        <v>0</v>
      </c>
      <c r="H166" s="172">
        <f t="shared" si="47"/>
        <v>0</v>
      </c>
      <c r="I166" s="343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490">
        <f>'[23]Sch C'!D178</f>
        <v>0</v>
      </c>
      <c r="D167" s="490">
        <f>'[23]Sch C'!F178</f>
        <v>0</v>
      </c>
      <c r="E167" s="171">
        <f t="shared" si="45"/>
        <v>0</v>
      </c>
      <c r="F167" s="216"/>
      <c r="G167" s="171">
        <f t="shared" si="46"/>
        <v>0</v>
      </c>
      <c r="H167" s="172">
        <f t="shared" si="47"/>
        <v>0</v>
      </c>
      <c r="I167" s="344"/>
      <c r="J167" s="222"/>
      <c r="K167" s="222"/>
      <c r="L167" s="218"/>
      <c r="M167" s="364">
        <f t="shared" si="48"/>
        <v>0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490">
        <f>'[23]Sch C'!D179</f>
        <v>0</v>
      </c>
      <c r="D168" s="490">
        <f>'[23]Sch C'!F179</f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343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490">
        <f>'[23]Sch C'!D180</f>
        <v>0</v>
      </c>
      <c r="D169" s="490">
        <f>'[23]Sch C'!F180</f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344"/>
      <c r="J169" s="222"/>
      <c r="K169" s="222"/>
      <c r="L169" s="218"/>
      <c r="M169" s="364">
        <f t="shared" si="48"/>
        <v>0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490">
        <f>'[23]Sch C'!D181</f>
        <v>0</v>
      </c>
      <c r="D170" s="490">
        <f>'[23]Sch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3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490">
        <f>'[23]Sch C'!D182</f>
        <v>0</v>
      </c>
      <c r="D171" s="490">
        <f>'[23]Sch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490">
        <f>'[23]Sch C'!D183</f>
        <v>0</v>
      </c>
      <c r="D172" s="490">
        <f>'[23]Sch C'!F183</f>
        <v>0</v>
      </c>
      <c r="E172" s="171">
        <f t="shared" si="45"/>
        <v>0</v>
      </c>
      <c r="F172" s="216"/>
      <c r="G172" s="171">
        <f t="shared" si="46"/>
        <v>0</v>
      </c>
      <c r="H172" s="172">
        <f t="shared" si="47"/>
        <v>0</v>
      </c>
      <c r="I172" s="343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490">
        <f>'[23]Sch C'!D184</f>
        <v>0</v>
      </c>
      <c r="D173" s="490">
        <f>'[23]Sch C'!F184</f>
        <v>0</v>
      </c>
      <c r="E173" s="171">
        <f t="shared" si="45"/>
        <v>0</v>
      </c>
      <c r="F173" s="216"/>
      <c r="G173" s="171">
        <f t="shared" si="46"/>
        <v>0</v>
      </c>
      <c r="H173" s="172">
        <f t="shared" si="47"/>
        <v>0</v>
      </c>
      <c r="I173" s="344"/>
      <c r="J173" s="222"/>
      <c r="K173" s="222"/>
      <c r="L173" s="218"/>
      <c r="M173" s="364">
        <f t="shared" si="48"/>
        <v>0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490">
        <f>'[23]Sch C'!D185</f>
        <v>0</v>
      </c>
      <c r="D174" s="490">
        <f>'[23]Sch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3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490">
        <f>'[23]Sch C'!D186</f>
        <v>0</v>
      </c>
      <c r="D175" s="490">
        <f>'[23]Sch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490">
        <f>'[23]Sch C'!D187</f>
        <v>0</v>
      </c>
      <c r="D176" s="490">
        <f>'[23]Sch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490">
        <f>'[23]Sch C'!D188</f>
        <v>297</v>
      </c>
      <c r="D177" s="490">
        <f>'[23]Sch C'!F188</f>
        <v>0</v>
      </c>
      <c r="E177" s="171">
        <f t="shared" si="45"/>
        <v>297</v>
      </c>
      <c r="F177" s="216"/>
      <c r="G177" s="171">
        <f t="shared" si="46"/>
        <v>297</v>
      </c>
      <c r="H177" s="172">
        <f t="shared" si="47"/>
        <v>8.7076269136622661E-5</v>
      </c>
      <c r="I177" s="337"/>
      <c r="J177" s="223"/>
      <c r="K177" s="218"/>
      <c r="L177" s="220"/>
      <c r="M177" s="364">
        <f t="shared" si="48"/>
        <v>1.8619522287003951E-2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490">
        <f>'[23]Sch C'!D189</f>
        <v>0</v>
      </c>
      <c r="D178" s="490">
        <f>'[23]Sch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337"/>
      <c r="J178" s="223"/>
      <c r="K178" s="218"/>
      <c r="L178" s="220"/>
      <c r="M178" s="364">
        <f t="shared" si="48"/>
        <v>0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490">
        <f>'[23]Sch C'!D190</f>
        <v>0</v>
      </c>
      <c r="D179" s="490">
        <f>'[23]Sch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490">
        <f>'[23]Sch C'!D191</f>
        <v>0</v>
      </c>
      <c r="D180" s="490">
        <f>'[23]Sch C'!F191</f>
        <v>0</v>
      </c>
      <c r="E180" s="171">
        <f t="shared" si="45"/>
        <v>0</v>
      </c>
      <c r="F180" s="216"/>
      <c r="G180" s="171">
        <f t="shared" si="46"/>
        <v>0</v>
      </c>
      <c r="H180" s="172">
        <f t="shared" si="47"/>
        <v>0</v>
      </c>
      <c r="I180" s="337"/>
      <c r="J180" s="223"/>
      <c r="K180" s="218"/>
      <c r="L180" s="220"/>
      <c r="M180" s="364">
        <f t="shared" si="48"/>
        <v>0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490">
        <f>'[23]Sch C'!D192</f>
        <v>0</v>
      </c>
      <c r="D181" s="490">
        <f>'[23]Sch C'!F192</f>
        <v>0</v>
      </c>
      <c r="E181" s="171">
        <f t="shared" si="45"/>
        <v>0</v>
      </c>
      <c r="F181" s="216"/>
      <c r="G181" s="171">
        <f t="shared" si="46"/>
        <v>0</v>
      </c>
      <c r="H181" s="172">
        <f t="shared" si="47"/>
        <v>0</v>
      </c>
      <c r="I181" s="337"/>
      <c r="J181" s="223"/>
      <c r="K181" s="218"/>
      <c r="L181" s="220"/>
      <c r="M181" s="364">
        <f t="shared" si="48"/>
        <v>0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490">
        <f>'[23]Sch C'!D193</f>
        <v>2270</v>
      </c>
      <c r="D182" s="490">
        <f>'[23]Sch C'!F193</f>
        <v>0</v>
      </c>
      <c r="E182" s="171">
        <f t="shared" si="45"/>
        <v>2270</v>
      </c>
      <c r="F182" s="216"/>
      <c r="G182" s="171">
        <f t="shared" si="46"/>
        <v>2270</v>
      </c>
      <c r="H182" s="172">
        <f t="shared" si="47"/>
        <v>6.6553242740785676E-4</v>
      </c>
      <c r="I182" s="337"/>
      <c r="J182" s="223"/>
      <c r="K182" s="218"/>
      <c r="L182" s="220"/>
      <c r="M182" s="364">
        <f t="shared" si="48"/>
        <v>0.14231082690740393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490">
        <f>'[23]Sch C'!D194</f>
        <v>159964</v>
      </c>
      <c r="D183" s="490">
        <f>'[23]Sch C'!F194</f>
        <v>5903</v>
      </c>
      <c r="E183" s="171">
        <f t="shared" si="45"/>
        <v>165867</v>
      </c>
      <c r="F183" s="216"/>
      <c r="G183" s="171">
        <f t="shared" si="46"/>
        <v>165867</v>
      </c>
      <c r="H183" s="172">
        <f t="shared" si="47"/>
        <v>4.8629897417118491E-2</v>
      </c>
      <c r="I183" s="337"/>
      <c r="J183" s="223"/>
      <c r="K183" s="218"/>
      <c r="M183" s="364">
        <f t="shared" si="48"/>
        <v>10.398533007334963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490">
        <f>'[23]Sch C'!D195</f>
        <v>50611</v>
      </c>
      <c r="D184" s="490">
        <f>'[23]Sch C'!F195</f>
        <v>1868</v>
      </c>
      <c r="E184" s="171">
        <f t="shared" si="45"/>
        <v>52479</v>
      </c>
      <c r="F184" s="216"/>
      <c r="G184" s="171">
        <f t="shared" si="46"/>
        <v>52479</v>
      </c>
      <c r="H184" s="172">
        <f t="shared" si="47"/>
        <v>1.5386112888958994E-2</v>
      </c>
      <c r="I184" s="337"/>
      <c r="J184" s="223"/>
      <c r="K184" s="218"/>
      <c r="M184" s="364">
        <f t="shared" si="48"/>
        <v>3.290013165318789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490">
        <f>'[23]Sch C'!D196</f>
        <v>0</v>
      </c>
      <c r="D185" s="490">
        <f>'[23]Sch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490">
        <f>'[23]Sch C'!D197</f>
        <v>83001</v>
      </c>
      <c r="D186" s="490">
        <f>'[23]Sch C'!F197</f>
        <v>3063</v>
      </c>
      <c r="E186" s="171">
        <f t="shared" si="45"/>
        <v>86064</v>
      </c>
      <c r="F186" s="216"/>
      <c r="G186" s="171">
        <f t="shared" si="46"/>
        <v>86064</v>
      </c>
      <c r="H186" s="172">
        <f t="shared" si="47"/>
        <v>2.5232767767590213E-2</v>
      </c>
      <c r="I186" s="337"/>
      <c r="J186" s="223"/>
      <c r="K186" s="218"/>
      <c r="M186" s="364">
        <f t="shared" si="48"/>
        <v>5.3955237916118115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490">
        <f>'[23]Sch C'!D198</f>
        <v>2750</v>
      </c>
      <c r="D187" s="490">
        <f>'[23]Sch C'!F198</f>
        <v>-44</v>
      </c>
      <c r="E187" s="171">
        <f t="shared" si="45"/>
        <v>2706</v>
      </c>
      <c r="F187" s="216"/>
      <c r="G187" s="171">
        <f t="shared" si="46"/>
        <v>2706</v>
      </c>
      <c r="H187" s="172">
        <f t="shared" si="47"/>
        <v>7.9336156324478428E-4</v>
      </c>
      <c r="I187" s="337"/>
      <c r="J187" s="223"/>
      <c r="K187" s="218"/>
      <c r="M187" s="364">
        <f t="shared" si="48"/>
        <v>0.16964453639270266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490">
        <f>'[23]Sch C'!D199</f>
        <v>0</v>
      </c>
      <c r="D188" s="490">
        <f>'[23]Sch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7"/>
      <c r="J188" s="223"/>
      <c r="K188" s="218"/>
      <c r="M188" s="364">
        <f t="shared" si="48"/>
        <v>0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490">
        <f>'[23]Sch C'!D200</f>
        <v>0</v>
      </c>
      <c r="D189" s="490">
        <f>'[23]Sch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7"/>
      <c r="J189" s="223"/>
      <c r="K189" s="218"/>
      <c r="M189" s="364">
        <f t="shared" si="48"/>
        <v>0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490">
        <f>'[23]Sch C'!D201</f>
        <v>0</v>
      </c>
      <c r="D190" s="490">
        <f>'[23]Sch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7"/>
      <c r="J190" s="223"/>
      <c r="K190" s="218"/>
      <c r="M190" s="364">
        <f t="shared" si="48"/>
        <v>0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490">
        <f>'[23]Sch C'!D202</f>
        <v>0</v>
      </c>
      <c r="D191" s="490">
        <f>'[23]Sch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490">
        <f>'[23]Sch C'!D203</f>
        <v>0</v>
      </c>
      <c r="D192" s="490">
        <f>'[23]Sch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7"/>
      <c r="J192" s="223"/>
      <c r="K192" s="218"/>
      <c r="M192" s="364">
        <f t="shared" si="48"/>
        <v>0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490">
        <f>'[23]Sch C'!D204</f>
        <v>0</v>
      </c>
      <c r="D193" s="490">
        <f>'[23]Sch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490">
        <f>'[23]Sch C'!D205</f>
        <v>138667</v>
      </c>
      <c r="D194" s="490">
        <f>'[23]Sch C'!F205</f>
        <v>-9026</v>
      </c>
      <c r="E194" s="171">
        <f t="shared" si="45"/>
        <v>129641</v>
      </c>
      <c r="F194" s="216"/>
      <c r="G194" s="171">
        <f t="shared" si="46"/>
        <v>129641</v>
      </c>
      <c r="H194" s="172">
        <f t="shared" si="47"/>
        <v>3.8008938071181476E-2</v>
      </c>
      <c r="I194" s="337"/>
      <c r="J194" s="223"/>
      <c r="K194" s="218"/>
      <c r="M194" s="364">
        <f t="shared" si="48"/>
        <v>8.1274528242743393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490">
        <f>'[23]Sch C'!D206</f>
        <v>3513</v>
      </c>
      <c r="D195" s="490">
        <f>'[23]Sch C'!F206</f>
        <v>0</v>
      </c>
      <c r="E195" s="171">
        <f t="shared" si="45"/>
        <v>3513</v>
      </c>
      <c r="F195" s="216"/>
      <c r="G195" s="171">
        <f t="shared" si="46"/>
        <v>3513</v>
      </c>
      <c r="H195" s="172">
        <f t="shared" si="47"/>
        <v>1.0299627389796478E-3</v>
      </c>
      <c r="I195" s="337"/>
      <c r="J195" s="223"/>
      <c r="K195" s="218"/>
      <c r="M195" s="364">
        <f t="shared" si="48"/>
        <v>0.22023697573819823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490">
        <f>'[23]Sch C'!D207</f>
        <v>1467</v>
      </c>
      <c r="D196" s="490">
        <f>'[23]Sch C'!F207</f>
        <v>0</v>
      </c>
      <c r="E196" s="171">
        <f t="shared" si="45"/>
        <v>1467</v>
      </c>
      <c r="F196" s="216"/>
      <c r="G196" s="171">
        <f t="shared" si="46"/>
        <v>1467</v>
      </c>
      <c r="H196" s="172">
        <f t="shared" si="47"/>
        <v>4.3010399603846952E-4</v>
      </c>
      <c r="I196" s="337"/>
      <c r="J196" s="223"/>
      <c r="K196" s="218"/>
      <c r="M196" s="364">
        <f t="shared" si="48"/>
        <v>9.1969155538837694E-2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490">
        <f>SUM(C164:C196)</f>
        <v>442540</v>
      </c>
      <c r="D197" s="490">
        <f>SUM(D164:D196)</f>
        <v>1764</v>
      </c>
      <c r="E197" s="171">
        <f t="shared" ref="E197:F197" si="49">SUM(E164:E196)</f>
        <v>444304</v>
      </c>
      <c r="F197" s="171">
        <f t="shared" si="49"/>
        <v>0</v>
      </c>
      <c r="G197" s="171">
        <f>SUM(G164:G196)</f>
        <v>444304</v>
      </c>
      <c r="H197" s="172">
        <f>IF($G$208=0,0,G197/$G$208)</f>
        <v>0.13026375313965655</v>
      </c>
      <c r="I197" s="337"/>
      <c r="J197" s="168"/>
      <c r="K197" s="168"/>
      <c r="M197" s="364">
        <f>G197/G$228</f>
        <v>27.854303805404051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165"/>
      <c r="G198" s="165"/>
      <c r="H198" s="198"/>
      <c r="I198" s="341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1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490">
        <f>'[23]Sch C'!D211</f>
        <v>81437</v>
      </c>
      <c r="D200" s="490">
        <f>'[23]Sch C'!F211</f>
        <v>0</v>
      </c>
      <c r="E200" s="171">
        <f t="shared" ref="E200:E205" si="50">C200+D200</f>
        <v>81437</v>
      </c>
      <c r="F200" s="171"/>
      <c r="G200" s="171">
        <f t="shared" ref="G200:G205" si="51">E200+F200</f>
        <v>81437</v>
      </c>
      <c r="H200" s="172">
        <f t="shared" ref="H200:H206" si="52">IF($G$208=0,0,G200/$G$208)</f>
        <v>2.3876195722825389E-2</v>
      </c>
      <c r="I200" s="337"/>
      <c r="J200" s="183">
        <v>5189</v>
      </c>
      <c r="K200" s="183">
        <v>5888</v>
      </c>
      <c r="M200" s="364">
        <f t="shared" ref="M200:M205" si="53">G200/G$228</f>
        <v>5.1054479342987902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490">
        <f>'[23]Sch C'!D212</f>
        <v>34681</v>
      </c>
      <c r="D201" s="490">
        <f>'[23]Sch C'!F212</f>
        <v>0</v>
      </c>
      <c r="E201" s="171">
        <f t="shared" si="50"/>
        <v>34681</v>
      </c>
      <c r="F201" s="171"/>
      <c r="G201" s="171">
        <f t="shared" si="51"/>
        <v>34681</v>
      </c>
      <c r="H201" s="172">
        <f t="shared" si="52"/>
        <v>1.0167986834771754E-2</v>
      </c>
      <c r="I201" s="337"/>
      <c r="J201" s="168"/>
      <c r="K201" s="168"/>
      <c r="M201" s="364">
        <f t="shared" si="53"/>
        <v>2.1742210519716632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490">
        <f>'[23]Sch C'!D213</f>
        <v>2756</v>
      </c>
      <c r="D202" s="490">
        <f>'[23]Sch C'!F213</f>
        <v>0</v>
      </c>
      <c r="E202" s="171">
        <f t="shared" si="50"/>
        <v>2756</v>
      </c>
      <c r="F202" s="171"/>
      <c r="G202" s="171">
        <f t="shared" si="51"/>
        <v>2756</v>
      </c>
      <c r="H202" s="172">
        <f t="shared" si="52"/>
        <v>8.0802086781323924E-4</v>
      </c>
      <c r="I202" s="337"/>
      <c r="J202" s="168"/>
      <c r="K202" s="168"/>
      <c r="M202" s="364">
        <f t="shared" si="53"/>
        <v>0.17277913610431947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490">
        <f>'[23]Sch C'!D214</f>
        <v>0</v>
      </c>
      <c r="D203" s="490">
        <f>'[23]Sch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>
        <f t="shared" si="53"/>
        <v>0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490">
        <f>'[23]Sch C'!D215</f>
        <v>0</v>
      </c>
      <c r="D204" s="490">
        <f>'[23]Sch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490">
        <f>'[23]Sch C'!D216</f>
        <v>1769</v>
      </c>
      <c r="D205" s="490">
        <f>'[23]Sch C'!F216</f>
        <v>0</v>
      </c>
      <c r="E205" s="171">
        <f t="shared" si="50"/>
        <v>1769</v>
      </c>
      <c r="F205" s="171"/>
      <c r="G205" s="171">
        <f t="shared" si="51"/>
        <v>1769</v>
      </c>
      <c r="H205" s="172">
        <f t="shared" si="52"/>
        <v>5.1864619563193773E-4</v>
      </c>
      <c r="I205" s="337"/>
      <c r="J205" s="168"/>
      <c r="K205" s="168"/>
      <c r="M205" s="364">
        <f t="shared" si="53"/>
        <v>0.11090213779700332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490">
        <f>SUM(C200:C205)</f>
        <v>120643</v>
      </c>
      <c r="D206" s="490">
        <f>SUM(D200:D205)</f>
        <v>0</v>
      </c>
      <c r="E206" s="171">
        <f t="shared" ref="E206:F206" si="54">SUM(E200:E205)</f>
        <v>120643</v>
      </c>
      <c r="F206" s="171">
        <f t="shared" si="54"/>
        <v>0</v>
      </c>
      <c r="G206" s="171">
        <f>SUM(G200:G205)</f>
        <v>120643</v>
      </c>
      <c r="H206" s="172">
        <f t="shared" si="52"/>
        <v>3.5370849621042318E-2</v>
      </c>
      <c r="I206" s="337"/>
      <c r="J206" s="168"/>
      <c r="K206" s="168"/>
      <c r="M206" s="364">
        <f>G206/G$228</f>
        <v>7.5633502601717764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490">
        <f>SUM(C25:C206)/2</f>
        <v>3489069</v>
      </c>
      <c r="D208" s="490">
        <f>SUM(D25:D206)/2</f>
        <v>-78266</v>
      </c>
      <c r="E208" s="171">
        <f t="shared" ref="E208:F208" si="55">SUM(E25:E206)/2</f>
        <v>3410803</v>
      </c>
      <c r="F208" s="171">
        <f t="shared" si="55"/>
        <v>0</v>
      </c>
      <c r="G208" s="171">
        <f>SUM(G25:G206)/2</f>
        <v>3410803</v>
      </c>
      <c r="H208" s="172">
        <f>IF($G$208=0,0,G208/$G$208)</f>
        <v>1</v>
      </c>
      <c r="I208" s="337"/>
      <c r="J208" s="183">
        <f>SUM(J25:J200)</f>
        <v>86643</v>
      </c>
      <c r="K208" s="183">
        <f>SUM(K25:K200)</f>
        <v>101407</v>
      </c>
      <c r="M208" s="364">
        <f>G208/G$228</f>
        <v>213.83004200363612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490">
        <f>'[23]Sch C'!D221</f>
        <v>3489069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490">
        <f>C208-C211</f>
        <v>0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619"/>
      <c r="D213" s="232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490">
        <f>C21-C208</f>
        <v>361256</v>
      </c>
      <c r="D215" s="490">
        <f>D21-D208</f>
        <v>112656</v>
      </c>
      <c r="E215" s="171">
        <f t="shared" ref="E215:F215" si="56">E21-E208</f>
        <v>473912</v>
      </c>
      <c r="F215" s="171">
        <f t="shared" si="56"/>
        <v>0</v>
      </c>
      <c r="G215" s="171">
        <f>G21-G208</f>
        <v>473912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491">
        <f>'[23]Sch D'!C9</f>
        <v>10790</v>
      </c>
      <c r="D219" s="491"/>
      <c r="E219" s="235">
        <f t="shared" ref="E219:G227" si="57">C219+D219</f>
        <v>10790</v>
      </c>
      <c r="F219" s="234"/>
      <c r="G219" s="235">
        <f t="shared" si="57"/>
        <v>10790</v>
      </c>
      <c r="H219" s="172">
        <f t="shared" ref="H219:H228" si="58">IF($G$228=0,0,G219/$G$228)</f>
        <v>0.67644661776691117</v>
      </c>
      <c r="I219" s="337"/>
      <c r="J219" s="168"/>
      <c r="K219" s="168"/>
    </row>
    <row r="220" spans="1:14">
      <c r="A220" s="163"/>
      <c r="B220" s="170" t="s">
        <v>217</v>
      </c>
      <c r="C220" s="491">
        <f>'[23]Sch D'!D9</f>
        <v>658</v>
      </c>
      <c r="D220" s="491"/>
      <c r="E220" s="235">
        <f t="shared" ref="E220:E227" si="59">C220+D220</f>
        <v>658</v>
      </c>
      <c r="F220" s="234"/>
      <c r="G220" s="235">
        <f t="shared" si="57"/>
        <v>658</v>
      </c>
      <c r="H220" s="172">
        <f t="shared" si="58"/>
        <v>4.1251332204877436E-2</v>
      </c>
      <c r="I220" s="337"/>
      <c r="J220" s="168"/>
      <c r="K220" s="168"/>
    </row>
    <row r="221" spans="1:14">
      <c r="A221" s="163"/>
      <c r="B221" s="170" t="s">
        <v>72</v>
      </c>
      <c r="C221" s="491">
        <f>'[23]Sch D'!E9</f>
        <v>1788</v>
      </c>
      <c r="D221" s="491"/>
      <c r="E221" s="235">
        <f t="shared" si="59"/>
        <v>1788</v>
      </c>
      <c r="F221" s="234"/>
      <c r="G221" s="235">
        <f t="shared" si="57"/>
        <v>1788</v>
      </c>
      <c r="H221" s="172">
        <f t="shared" si="58"/>
        <v>0.11209328568741772</v>
      </c>
      <c r="I221" s="337"/>
      <c r="J221" s="168"/>
      <c r="K221" s="168"/>
    </row>
    <row r="222" spans="1:14">
      <c r="A222" s="163"/>
      <c r="B222" s="202" t="s">
        <v>334</v>
      </c>
      <c r="C222" s="491">
        <f>'[23]Sch D'!F9</f>
        <v>419</v>
      </c>
      <c r="D222" s="491"/>
      <c r="E222" s="235">
        <f>C222+D222</f>
        <v>419</v>
      </c>
      <c r="F222" s="234"/>
      <c r="G222" s="235">
        <f>E222+F222</f>
        <v>419</v>
      </c>
      <c r="H222" s="172">
        <f t="shared" si="58"/>
        <v>2.6267945583349005E-2</v>
      </c>
      <c r="I222" s="337"/>
      <c r="J222" s="168"/>
      <c r="K222" s="168"/>
    </row>
    <row r="223" spans="1:14">
      <c r="A223" s="163"/>
      <c r="B223" s="170" t="s">
        <v>73</v>
      </c>
      <c r="C223" s="491">
        <f>'[23]Sch D'!G9</f>
        <v>776</v>
      </c>
      <c r="D223" s="491"/>
      <c r="E223" s="235">
        <f t="shared" si="59"/>
        <v>776</v>
      </c>
      <c r="F223" s="234"/>
      <c r="G223" s="235">
        <f t="shared" si="57"/>
        <v>776</v>
      </c>
      <c r="H223" s="172">
        <f t="shared" si="58"/>
        <v>4.8648987524293148E-2</v>
      </c>
      <c r="I223" s="337"/>
      <c r="J223" s="168"/>
      <c r="K223" s="168"/>
    </row>
    <row r="224" spans="1:14">
      <c r="A224" s="163"/>
      <c r="B224" s="170" t="s">
        <v>74</v>
      </c>
      <c r="C224" s="491">
        <f>'[23]Sch D'!H9</f>
        <v>722</v>
      </c>
      <c r="D224" s="491"/>
      <c r="E224" s="235">
        <f t="shared" si="59"/>
        <v>722</v>
      </c>
      <c r="F224" s="234"/>
      <c r="G224" s="235">
        <f t="shared" si="57"/>
        <v>722</v>
      </c>
      <c r="H224" s="172">
        <f t="shared" si="58"/>
        <v>4.5263619835746977E-2</v>
      </c>
      <c r="I224" s="337"/>
      <c r="J224" s="168"/>
      <c r="K224" s="168"/>
    </row>
    <row r="225" spans="1:11">
      <c r="A225" s="163"/>
      <c r="B225" s="170" t="s">
        <v>236</v>
      </c>
      <c r="C225" s="491">
        <f>'[23]Sch D'!I9</f>
        <v>798</v>
      </c>
      <c r="D225" s="491"/>
      <c r="E225" s="235">
        <f t="shared" si="59"/>
        <v>798</v>
      </c>
      <c r="F225" s="234"/>
      <c r="G225" s="235">
        <f t="shared" si="57"/>
        <v>798</v>
      </c>
      <c r="H225" s="172">
        <f t="shared" si="58"/>
        <v>5.002821139740455E-2</v>
      </c>
      <c r="I225" s="337"/>
      <c r="J225" s="168"/>
      <c r="K225" s="168"/>
    </row>
    <row r="226" spans="1:11">
      <c r="A226" s="163"/>
      <c r="B226" s="170" t="s">
        <v>235</v>
      </c>
      <c r="C226" s="491">
        <f>'[23]Sch D'!J9</f>
        <v>0</v>
      </c>
      <c r="D226" s="491"/>
      <c r="E226" s="235">
        <f>C226+D226</f>
        <v>0</v>
      </c>
      <c r="F226" s="234"/>
      <c r="G226" s="235">
        <f>E226+F226</f>
        <v>0</v>
      </c>
      <c r="H226" s="172">
        <f t="shared" si="58"/>
        <v>0</v>
      </c>
      <c r="I226" s="337"/>
      <c r="J226" s="168"/>
      <c r="K226" s="168"/>
    </row>
    <row r="227" spans="1:11">
      <c r="A227" s="163"/>
      <c r="B227" s="170" t="s">
        <v>179</v>
      </c>
      <c r="C227" s="491">
        <f>'[23]Sch D'!K9</f>
        <v>0</v>
      </c>
      <c r="D227" s="491"/>
      <c r="E227" s="235">
        <f t="shared" si="59"/>
        <v>0</v>
      </c>
      <c r="F227" s="234"/>
      <c r="G227" s="235">
        <f t="shared" si="57"/>
        <v>0</v>
      </c>
      <c r="H227" s="172">
        <f t="shared" si="58"/>
        <v>0</v>
      </c>
      <c r="I227" s="337"/>
      <c r="J227" s="168"/>
      <c r="K227" s="168"/>
    </row>
    <row r="228" spans="1:11" ht="13.5" thickBot="1">
      <c r="A228" s="163"/>
      <c r="B228" s="236" t="s">
        <v>75</v>
      </c>
      <c r="C228" s="491">
        <f>SUM(C219:C227)</f>
        <v>15951</v>
      </c>
      <c r="D228" s="491">
        <f>SUM(D219:D227)</f>
        <v>0</v>
      </c>
      <c r="E228" s="237">
        <f>SUM(E219:E227)</f>
        <v>15951</v>
      </c>
      <c r="F228" s="237">
        <f>SUM(F219:F227)</f>
        <v>0</v>
      </c>
      <c r="G228" s="237">
        <f>SUM(G219:G227)</f>
        <v>15951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620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619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492">
        <f>'[23]Sch D'!N22</f>
        <v>80</v>
      </c>
      <c r="D231" s="526"/>
      <c r="E231" s="235">
        <f>C231+D231</f>
        <v>80</v>
      </c>
      <c r="F231" s="235"/>
      <c r="G231" s="235">
        <f>E231+F231</f>
        <v>80</v>
      </c>
      <c r="H231" s="167"/>
      <c r="J231" s="168"/>
      <c r="K231" s="168"/>
    </row>
    <row r="232" spans="1:11">
      <c r="A232" s="163"/>
      <c r="B232" s="202" t="s">
        <v>290</v>
      </c>
      <c r="C232" s="492">
        <f>'[23]Sch D'!N24</f>
        <v>80</v>
      </c>
      <c r="D232" s="526"/>
      <c r="E232" s="235">
        <f>C232+D232</f>
        <v>80</v>
      </c>
      <c r="F232" s="235"/>
      <c r="G232" s="235">
        <f>E232+F232</f>
        <v>80</v>
      </c>
      <c r="H232" s="167"/>
      <c r="J232" s="168"/>
      <c r="K232" s="168"/>
    </row>
    <row r="233" spans="1:11">
      <c r="A233" s="163"/>
      <c r="B233" s="202" t="s">
        <v>76</v>
      </c>
      <c r="C233" s="492">
        <f>$C$4-$C$3+1</f>
        <v>365</v>
      </c>
      <c r="D233" s="489"/>
      <c r="E233" s="235">
        <f>C233+D233</f>
        <v>365</v>
      </c>
      <c r="F233" s="240"/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621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492">
        <f>'[23]Sch D'!N28</f>
        <v>29200</v>
      </c>
      <c r="D235" s="489"/>
      <c r="E235" s="234">
        <f>E231*E233</f>
        <v>29200</v>
      </c>
      <c r="F235" s="240"/>
      <c r="G235" s="234">
        <f>G231*G233</f>
        <v>29200</v>
      </c>
      <c r="H235" s="167"/>
      <c r="J235" s="168"/>
      <c r="K235" s="168"/>
    </row>
    <row r="236" spans="1:11" ht="26">
      <c r="A236" s="163"/>
      <c r="B236" s="244" t="s">
        <v>336</v>
      </c>
      <c r="C236" s="493">
        <f>'[23]Sch D'!N30</f>
        <v>0.54626712328767124</v>
      </c>
      <c r="D236" s="240"/>
      <c r="E236" s="245">
        <f>E228/E235</f>
        <v>0.54626712328767124</v>
      </c>
      <c r="F236" s="246"/>
      <c r="G236" s="245">
        <f>G228/G235</f>
        <v>0.54626712328767124</v>
      </c>
      <c r="H236" s="167"/>
      <c r="J236" s="168"/>
      <c r="K236" s="168"/>
    </row>
    <row r="237" spans="1:11" ht="26">
      <c r="A237" s="163"/>
      <c r="B237" s="244" t="s">
        <v>337</v>
      </c>
      <c r="C237" s="493">
        <f>'[23]Sch D'!N32</f>
        <v>0.39205479452054792</v>
      </c>
      <c r="D237" s="240"/>
      <c r="E237" s="245">
        <f>(E219+E220)/E235</f>
        <v>0.39205479452054792</v>
      </c>
      <c r="F237" s="246"/>
      <c r="G237" s="245">
        <f>(G219+G220)/G235</f>
        <v>0.39205479452054792</v>
      </c>
      <c r="H237" s="167"/>
      <c r="J237" s="168"/>
      <c r="K237" s="168"/>
    </row>
    <row r="238" spans="1:11" ht="26">
      <c r="A238" s="163"/>
      <c r="B238" s="244" t="s">
        <v>338</v>
      </c>
      <c r="C238" s="493">
        <f>'[23]Sch D'!N34</f>
        <v>0.7176979499717886</v>
      </c>
      <c r="D238" s="240"/>
      <c r="E238" s="245">
        <f>(E237/E236)</f>
        <v>0.7176979499717886</v>
      </c>
      <c r="F238" s="246"/>
      <c r="G238" s="245">
        <f>(G237/G236)</f>
        <v>0.7176979499717886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490">
        <f>'[23]Sch B'!C85</f>
        <v>233.02763641048764</v>
      </c>
    </row>
    <row r="242" spans="2:7">
      <c r="F242" s="142" t="s">
        <v>341</v>
      </c>
      <c r="G242" s="490">
        <f>'[23]Sch B'!E85</f>
        <v>159.46524955628908</v>
      </c>
    </row>
    <row r="243" spans="2:7">
      <c r="F243" s="142" t="s">
        <v>342</v>
      </c>
      <c r="G243" s="490">
        <f>'[23]Sch B'!G85</f>
        <v>159.46324413317305</v>
      </c>
    </row>
    <row r="244" spans="2:7">
      <c r="F244" s="142" t="s">
        <v>343</v>
      </c>
      <c r="G244" s="490">
        <f>'[23]Sch B'!I85</f>
        <v>159.46983687288395</v>
      </c>
    </row>
    <row r="245" spans="2:7">
      <c r="F245" s="142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" right="0" top="0" bottom="1" header="0.5" footer="0.5"/>
      <printOptions horizontalCentered="1"/>
      <pageSetup scale="70" orientation="portrait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r:id="rId3"/>
  <headerFooter alignWithMargins="0">
    <oddFooter>&amp;R&amp;D
&amp;T
&amp;F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8">
    <tabColor rgb="FFE28CAB"/>
  </sheetPr>
  <dimension ref="A1:Q245"/>
  <sheetViews>
    <sheetView showGridLines="0" zoomScale="90" zoomScaleNormal="90" workbookViewId="0">
      <pane xSplit="2" topLeftCell="C1" activePane="topRight" state="frozen"/>
      <selection activeCell="N1" sqref="N1"/>
      <selection pane="topRight"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478"/>
      <c r="E1" s="478"/>
      <c r="F1" s="478"/>
      <c r="G1" s="478"/>
      <c r="H1" s="478"/>
      <c r="I1" s="479"/>
    </row>
    <row r="2" spans="1:14" ht="23">
      <c r="B2" s="143" t="s">
        <v>189</v>
      </c>
      <c r="C2" s="247" t="s">
        <v>381</v>
      </c>
      <c r="D2" s="247"/>
      <c r="E2" s="144"/>
    </row>
    <row r="3" spans="1:14">
      <c r="A3" s="145"/>
      <c r="B3" s="140" t="s">
        <v>79</v>
      </c>
      <c r="C3" s="495">
        <v>41821</v>
      </c>
      <c r="D3" s="144"/>
      <c r="E3" s="147"/>
    </row>
    <row r="4" spans="1:14">
      <c r="A4" s="145"/>
      <c r="B4" s="148" t="s">
        <v>80</v>
      </c>
      <c r="C4" s="495">
        <v>42185</v>
      </c>
      <c r="D4" s="144"/>
      <c r="E4" s="149"/>
      <c r="G4" s="150"/>
    </row>
    <row r="5" spans="1:14">
      <c r="A5" s="145"/>
      <c r="B5" s="148"/>
      <c r="C5" s="151"/>
      <c r="D5" s="144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144"/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490">
        <f>'[24]Sch B'!E10</f>
        <v>5748395</v>
      </c>
      <c r="D11" s="490">
        <f>'[24]Sch B'!G10</f>
        <v>14192</v>
      </c>
      <c r="E11" s="171">
        <f>C11+D11</f>
        <v>5762587</v>
      </c>
      <c r="F11" s="171"/>
      <c r="G11" s="171">
        <f t="shared" ref="G11:G20" si="0">E11+F11</f>
        <v>5762587</v>
      </c>
      <c r="H11" s="172">
        <f t="shared" ref="H11:H21" si="1">IF($G$21=0,0,G11/$G$21)</f>
        <v>0.5434947699851681</v>
      </c>
      <c r="I11" s="337"/>
      <c r="J11" s="368" t="s">
        <v>344</v>
      </c>
      <c r="K11" s="369">
        <f>G21</f>
        <v>10602838</v>
      </c>
      <c r="M11" s="359">
        <f>IFERROR(G11/G219,0)</f>
        <v>239.76812016310228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490">
        <f>'[24]Sch B'!E15</f>
        <v>0</v>
      </c>
      <c r="D12" s="490">
        <f>'[24]Sch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7"/>
      <c r="J12" s="370" t="s">
        <v>345</v>
      </c>
      <c r="K12" s="371">
        <f>G208</f>
        <v>10336237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490">
        <f>'[24]Sch B'!E21</f>
        <v>2076325</v>
      </c>
      <c r="D13" s="490">
        <f>'[24]Sch B'!G21</f>
        <v>29877</v>
      </c>
      <c r="E13" s="171">
        <f t="shared" si="2"/>
        <v>2106202</v>
      </c>
      <c r="F13" s="171"/>
      <c r="G13" s="171">
        <f t="shared" si="0"/>
        <v>2106202</v>
      </c>
      <c r="H13" s="172">
        <f t="shared" si="1"/>
        <v>0.19864511746760632</v>
      </c>
      <c r="I13" s="337"/>
      <c r="J13" s="370" t="s">
        <v>346</v>
      </c>
      <c r="K13" s="371">
        <f>G228</f>
        <v>37143</v>
      </c>
      <c r="M13" s="359">
        <f t="shared" si="3"/>
        <v>583.92070973107843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490">
        <f>'[24]Sch B'!E27</f>
        <v>559893</v>
      </c>
      <c r="D14" s="490">
        <f>'[24]Sch B'!G27</f>
        <v>83012</v>
      </c>
      <c r="E14" s="171">
        <f t="shared" si="2"/>
        <v>642905</v>
      </c>
      <c r="F14" s="175"/>
      <c r="G14" s="175">
        <f>E14+F14</f>
        <v>642905</v>
      </c>
      <c r="H14" s="176">
        <f t="shared" si="1"/>
        <v>6.0635180882703289E-2</v>
      </c>
      <c r="I14" s="338"/>
      <c r="J14" s="370" t="s">
        <v>347</v>
      </c>
      <c r="K14" s="371">
        <f>G231</f>
        <v>176</v>
      </c>
      <c r="M14" s="359">
        <f t="shared" si="3"/>
        <v>630.29901960784309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490">
        <f>'[24]Sch B'!E32</f>
        <v>856729</v>
      </c>
      <c r="D15" s="490">
        <f>'[24]Sch B'!G32</f>
        <v>-1477</v>
      </c>
      <c r="E15" s="171">
        <f t="shared" si="2"/>
        <v>855252</v>
      </c>
      <c r="F15" s="171"/>
      <c r="G15" s="171">
        <f t="shared" si="0"/>
        <v>855252</v>
      </c>
      <c r="H15" s="172">
        <f t="shared" si="1"/>
        <v>8.0662554685830334E-2</v>
      </c>
      <c r="I15" s="337"/>
      <c r="J15" s="370" t="s">
        <v>348</v>
      </c>
      <c r="K15" s="371">
        <f>G235</f>
        <v>64240</v>
      </c>
      <c r="M15" s="359">
        <f t="shared" si="3"/>
        <v>328.69023827824748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490">
        <f>'[24]Sch B'!E37</f>
        <v>491764</v>
      </c>
      <c r="D16" s="490">
        <f>'[24]Sch B'!G37</f>
        <v>-4474</v>
      </c>
      <c r="E16" s="171">
        <f t="shared" si="2"/>
        <v>487290</v>
      </c>
      <c r="F16" s="171"/>
      <c r="G16" s="171">
        <f t="shared" si="0"/>
        <v>487290</v>
      </c>
      <c r="H16" s="172">
        <f t="shared" si="1"/>
        <v>4.5958449992351103E-2</v>
      </c>
      <c r="I16" s="337"/>
      <c r="J16" s="372"/>
      <c r="K16" s="371"/>
      <c r="M16" s="359">
        <f t="shared" si="3"/>
        <v>203.88702928870293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490">
        <f>'[24]Sch B'!E42</f>
        <v>435703</v>
      </c>
      <c r="D17" s="490">
        <f>'[24]Sch B'!G42</f>
        <v>-14332</v>
      </c>
      <c r="E17" s="171">
        <f t="shared" si="2"/>
        <v>421371</v>
      </c>
      <c r="F17" s="171"/>
      <c r="G17" s="171">
        <f>E17+F17</f>
        <v>421371</v>
      </c>
      <c r="H17" s="172">
        <f t="shared" si="1"/>
        <v>3.9741340950413463E-2</v>
      </c>
      <c r="I17" s="337"/>
      <c r="J17" s="370" t="s">
        <v>156</v>
      </c>
      <c r="K17" s="371">
        <f>J208</f>
        <v>170244</v>
      </c>
      <c r="M17" s="359">
        <f t="shared" si="3"/>
        <v>161.81682027649771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490">
        <f>'[24]Sch B'!E47</f>
        <v>0</v>
      </c>
      <c r="D18" s="490">
        <f>'[24]Sch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337"/>
      <c r="J18" s="373" t="s">
        <v>252</v>
      </c>
      <c r="K18" s="374">
        <f>K208</f>
        <v>179379</v>
      </c>
      <c r="M18" s="359">
        <f t="shared" si="3"/>
        <v>0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490">
        <f>'[24]Sch B'!E52</f>
        <v>422403</v>
      </c>
      <c r="D19" s="490">
        <f>'[24]Sch B'!G52</f>
        <v>-95172</v>
      </c>
      <c r="E19" s="171">
        <f t="shared" si="2"/>
        <v>327231</v>
      </c>
      <c r="F19" s="171"/>
      <c r="G19" s="171">
        <f t="shared" si="0"/>
        <v>327231</v>
      </c>
      <c r="H19" s="172">
        <f t="shared" si="1"/>
        <v>3.0862586035927363E-2</v>
      </c>
      <c r="I19" s="337"/>
      <c r="J19" s="168"/>
      <c r="K19" s="168"/>
      <c r="M19" s="359">
        <f t="shared" si="3"/>
        <v>369.33521444695259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490">
        <f>'[24]Sch B'!E67</f>
        <v>888098</v>
      </c>
      <c r="D20" s="490">
        <f>'[24]Sch B'!G67</f>
        <v>-888098</v>
      </c>
      <c r="E20" s="171">
        <f t="shared" si="2"/>
        <v>0</v>
      </c>
      <c r="F20" s="171"/>
      <c r="G20" s="171">
        <f t="shared" si="0"/>
        <v>0</v>
      </c>
      <c r="H20" s="172">
        <f t="shared" si="1"/>
        <v>0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490">
        <f>SUM(C11:C20)</f>
        <v>11479310</v>
      </c>
      <c r="D21" s="490">
        <f>SUM(D11:D20)</f>
        <v>-876472</v>
      </c>
      <c r="E21" s="171">
        <f>SUM(E11:E20)</f>
        <v>10602838</v>
      </c>
      <c r="F21" s="171">
        <f>SUM(F11:F20)</f>
        <v>0</v>
      </c>
      <c r="G21" s="171">
        <f>SUM(G11:G20)</f>
        <v>10602838</v>
      </c>
      <c r="H21" s="172">
        <f t="shared" si="1"/>
        <v>1</v>
      </c>
      <c r="I21" s="337"/>
      <c r="J21" s="168"/>
      <c r="K21" s="168"/>
      <c r="M21" s="359">
        <f>IFERROR(G21/G228,0)</f>
        <v>285.459925154134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4">
      <c r="A24" s="181" t="s">
        <v>161</v>
      </c>
      <c r="B24" s="148" t="s">
        <v>12</v>
      </c>
      <c r="M24" s="363"/>
      <c r="N24" s="363"/>
    </row>
    <row r="25" spans="1:14" s="167" customFormat="1">
      <c r="A25" s="169" t="s">
        <v>83</v>
      </c>
      <c r="B25" s="170" t="s">
        <v>14</v>
      </c>
      <c r="C25" s="490">
        <f>'[24]Sch C'!D10</f>
        <v>97694</v>
      </c>
      <c r="D25" s="490">
        <f>'[24]Sch C'!F10</f>
        <v>13657</v>
      </c>
      <c r="E25" s="171">
        <f t="shared" ref="E25:E60" si="4">C25+D25</f>
        <v>111351</v>
      </c>
      <c r="F25" s="171"/>
      <c r="G25" s="182">
        <f>E25+F25</f>
        <v>111351</v>
      </c>
      <c r="H25" s="172">
        <f>IF($G$208=0,0,G25/$G$208)</f>
        <v>1.0772876047637065E-2</v>
      </c>
      <c r="I25" s="337"/>
      <c r="J25" s="183">
        <v>1992</v>
      </c>
      <c r="K25" s="183">
        <v>2080</v>
      </c>
      <c r="M25" s="359">
        <f>G25/G$228</f>
        <v>2.9979000080768921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490">
        <f>'[24]Sch C'!D11</f>
        <v>0</v>
      </c>
      <c r="D26" s="490">
        <f>'[24]Sch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490">
        <f>'[24]Sch C'!D12</f>
        <v>213261</v>
      </c>
      <c r="D27" s="490">
        <f>'[24]Sch C'!F12</f>
        <v>-13657</v>
      </c>
      <c r="E27" s="171">
        <f t="shared" si="4"/>
        <v>199604</v>
      </c>
      <c r="F27" s="171"/>
      <c r="G27" s="171">
        <f t="shared" si="5"/>
        <v>199604</v>
      </c>
      <c r="H27" s="172">
        <f t="shared" si="6"/>
        <v>1.9311089712822953E-2</v>
      </c>
      <c r="I27" s="337"/>
      <c r="J27" s="185">
        <v>9635</v>
      </c>
      <c r="K27" s="185">
        <v>10377</v>
      </c>
      <c r="M27" s="359">
        <f t="shared" si="7"/>
        <v>5.3739331771800876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490">
        <f>'[24]Sch C'!D13</f>
        <v>123593</v>
      </c>
      <c r="D28" s="490">
        <f>'[24]Sch C'!F13</f>
        <v>-86199</v>
      </c>
      <c r="E28" s="171">
        <f t="shared" si="4"/>
        <v>37394</v>
      </c>
      <c r="F28" s="171"/>
      <c r="G28" s="171">
        <f t="shared" si="5"/>
        <v>37394</v>
      </c>
      <c r="H28" s="172">
        <f t="shared" si="6"/>
        <v>3.6177576036617583E-3</v>
      </c>
      <c r="I28" s="337"/>
      <c r="J28" s="168"/>
      <c r="K28" s="168"/>
      <c r="M28" s="359">
        <f t="shared" si="7"/>
        <v>1.006757666316668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490">
        <f>'[24]Sch C'!D14</f>
        <v>0</v>
      </c>
      <c r="D29" s="490">
        <f>'[24]Sch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490">
        <f>'[24]Sch C'!D15</f>
        <v>0</v>
      </c>
      <c r="D30" s="490">
        <f>'[24]Sch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7"/>
      <c r="J30" s="168"/>
      <c r="K30" s="168"/>
      <c r="M30" s="359">
        <f t="shared" si="7"/>
        <v>0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490">
        <f>'[24]Sch C'!D16</f>
        <v>716416</v>
      </c>
      <c r="D31" s="490">
        <f>'[24]Sch C'!F16</f>
        <v>-92181</v>
      </c>
      <c r="E31" s="171">
        <f t="shared" si="4"/>
        <v>624235</v>
      </c>
      <c r="F31" s="171"/>
      <c r="G31" s="171">
        <f t="shared" si="5"/>
        <v>624235</v>
      </c>
      <c r="H31" s="172">
        <f t="shared" si="6"/>
        <v>6.0392868313681278E-2</v>
      </c>
      <c r="I31" s="337"/>
      <c r="J31" s="168"/>
      <c r="K31" s="168"/>
      <c r="M31" s="359">
        <f t="shared" si="7"/>
        <v>16.8062622836066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490">
        <f>'[24]Sch C'!D17</f>
        <v>23598</v>
      </c>
      <c r="D32" s="490">
        <f>'[24]Sch C'!F17</f>
        <v>-23598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7"/>
      <c r="J32" s="168"/>
      <c r="K32" s="168"/>
      <c r="M32" s="359">
        <f t="shared" si="7"/>
        <v>0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490">
        <f>'[24]Sch C'!D18</f>
        <v>57344</v>
      </c>
      <c r="D33" s="490">
        <f>'[24]Sch C'!F18</f>
        <v>0</v>
      </c>
      <c r="E33" s="171">
        <f t="shared" si="4"/>
        <v>57344</v>
      </c>
      <c r="F33" s="171"/>
      <c r="G33" s="171">
        <f t="shared" si="5"/>
        <v>57344</v>
      </c>
      <c r="H33" s="172">
        <f t="shared" si="6"/>
        <v>5.5478604060646055E-3</v>
      </c>
      <c r="I33" s="337"/>
      <c r="J33" s="168"/>
      <c r="K33" s="168"/>
      <c r="M33" s="359">
        <f t="shared" si="7"/>
        <v>1.5438709851115957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490">
        <f>'[24]Sch C'!D19</f>
        <v>13359</v>
      </c>
      <c r="D34" s="490">
        <f>'[24]Sch C'!F19</f>
        <v>-2798</v>
      </c>
      <c r="E34" s="171">
        <f t="shared" si="4"/>
        <v>10561</v>
      </c>
      <c r="F34" s="171"/>
      <c r="G34" s="171">
        <f t="shared" si="5"/>
        <v>10561</v>
      </c>
      <c r="H34" s="172">
        <f t="shared" si="6"/>
        <v>1.0217451476780186E-3</v>
      </c>
      <c r="I34" s="337"/>
      <c r="J34" s="168"/>
      <c r="K34" s="168"/>
      <c r="M34" s="359">
        <f t="shared" si="7"/>
        <v>0.28433352179414695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490">
        <f>'[24]Sch C'!D20</f>
        <v>30644</v>
      </c>
      <c r="D35" s="490">
        <f>'[24]Sch C'!F20</f>
        <v>0</v>
      </c>
      <c r="E35" s="171">
        <f t="shared" si="4"/>
        <v>30644</v>
      </c>
      <c r="F35" s="171"/>
      <c r="G35" s="171">
        <f t="shared" si="5"/>
        <v>30644</v>
      </c>
      <c r="H35" s="172">
        <f t="shared" si="6"/>
        <v>2.964715302096885E-3</v>
      </c>
      <c r="I35" s="337"/>
      <c r="J35" s="168"/>
      <c r="K35" s="168"/>
      <c r="M35" s="359">
        <f t="shared" si="7"/>
        <v>0.82502759604770748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490">
        <f>'[24]Sch C'!D21</f>
        <v>16847</v>
      </c>
      <c r="D36" s="490">
        <f>'[24]Sch C'!F21</f>
        <v>4000</v>
      </c>
      <c r="E36" s="171">
        <f t="shared" si="4"/>
        <v>20847</v>
      </c>
      <c r="F36" s="171"/>
      <c r="G36" s="171">
        <f t="shared" si="5"/>
        <v>20847</v>
      </c>
      <c r="H36" s="172">
        <f t="shared" si="6"/>
        <v>2.016884868255246E-3</v>
      </c>
      <c r="I36" s="337"/>
      <c r="J36" s="168"/>
      <c r="K36" s="168"/>
      <c r="M36" s="359">
        <f t="shared" si="7"/>
        <v>0.56126322591066957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490">
        <f>'[24]Sch C'!D22</f>
        <v>0</v>
      </c>
      <c r="D37" s="490">
        <f>'[24]Sch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490">
        <f>'[24]Sch C'!D23</f>
        <v>15904</v>
      </c>
      <c r="D38" s="490">
        <f>'[24]Sch C'!F23</f>
        <v>0</v>
      </c>
      <c r="E38" s="171">
        <f t="shared" si="4"/>
        <v>15904</v>
      </c>
      <c r="F38" s="171"/>
      <c r="G38" s="171">
        <f t="shared" si="5"/>
        <v>15904</v>
      </c>
      <c r="H38" s="172">
        <f t="shared" si="6"/>
        <v>1.5386644094944803E-3</v>
      </c>
      <c r="I38" s="337"/>
      <c r="J38" s="168"/>
      <c r="K38" s="168"/>
      <c r="M38" s="359">
        <f t="shared" si="7"/>
        <v>0.42818296852704413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490">
        <f>'[24]Sch C'!D24</f>
        <v>0</v>
      </c>
      <c r="D39" s="490">
        <f>'[24]Sch C'!F24</f>
        <v>0</v>
      </c>
      <c r="E39" s="171">
        <f t="shared" si="4"/>
        <v>0</v>
      </c>
      <c r="F39" s="171"/>
      <c r="G39" s="171">
        <f t="shared" si="5"/>
        <v>0</v>
      </c>
      <c r="H39" s="172">
        <f t="shared" si="6"/>
        <v>0</v>
      </c>
      <c r="I39" s="337"/>
      <c r="J39" s="168"/>
      <c r="K39" s="168"/>
      <c r="M39" s="359">
        <f t="shared" si="7"/>
        <v>0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490">
        <f>'[24]Sch C'!D25</f>
        <v>0</v>
      </c>
      <c r="D40" s="490">
        <f>'[24]Sch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337"/>
      <c r="J40" s="168"/>
      <c r="K40" s="168"/>
      <c r="M40" s="359">
        <f t="shared" si="7"/>
        <v>0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490">
        <f>'[24]Sch C'!D26</f>
        <v>499100</v>
      </c>
      <c r="D41" s="490">
        <f>'[24]Sch C'!F26</f>
        <v>0</v>
      </c>
      <c r="E41" s="171">
        <f t="shared" si="4"/>
        <v>499100</v>
      </c>
      <c r="F41" s="171"/>
      <c r="G41" s="171">
        <f t="shared" si="5"/>
        <v>499100</v>
      </c>
      <c r="H41" s="172">
        <f t="shared" si="6"/>
        <v>4.8286431512744921E-2</v>
      </c>
      <c r="I41" s="337"/>
      <c r="J41" s="168"/>
      <c r="K41" s="168"/>
      <c r="M41" s="359">
        <f t="shared" si="7"/>
        <v>13.437256010553806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490">
        <f>'[24]Sch C'!D27</f>
        <v>0</v>
      </c>
      <c r="D42" s="490">
        <f>'[24]Sch C'!F27</f>
        <v>0</v>
      </c>
      <c r="E42" s="171">
        <f t="shared" si="4"/>
        <v>0</v>
      </c>
      <c r="F42" s="171"/>
      <c r="G42" s="171">
        <f t="shared" si="5"/>
        <v>0</v>
      </c>
      <c r="H42" s="172">
        <f t="shared" si="6"/>
        <v>0</v>
      </c>
      <c r="I42" s="337"/>
      <c r="J42" s="168"/>
      <c r="K42" s="168"/>
      <c r="M42" s="359">
        <f t="shared" si="7"/>
        <v>0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490">
        <f>'[24]Sch C'!D28</f>
        <v>0</v>
      </c>
      <c r="D43" s="490">
        <f>'[24]Sch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490">
        <f>'[24]Sch C'!D29</f>
        <v>118797</v>
      </c>
      <c r="D44" s="490">
        <f>'[24]Sch C'!F29</f>
        <v>-118797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490">
        <f>'[24]Sch C'!D30</f>
        <v>0</v>
      </c>
      <c r="D45" s="490">
        <f>'[24]Sch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490">
        <f>'[24]Sch C'!D31</f>
        <v>0</v>
      </c>
      <c r="D46" s="490">
        <f>'[24]Sch C'!F31</f>
        <v>0</v>
      </c>
      <c r="E46" s="171">
        <f t="shared" si="4"/>
        <v>0</v>
      </c>
      <c r="F46" s="171"/>
      <c r="G46" s="171">
        <f t="shared" si="5"/>
        <v>0</v>
      </c>
      <c r="H46" s="172">
        <f t="shared" si="6"/>
        <v>0</v>
      </c>
      <c r="I46" s="337"/>
      <c r="J46" s="168"/>
      <c r="K46" s="168"/>
      <c r="M46" s="359">
        <f t="shared" si="7"/>
        <v>0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490">
        <f>'[24]Sch C'!D32</f>
        <v>41468</v>
      </c>
      <c r="D47" s="490">
        <f>'[24]Sch C'!F32</f>
        <v>0</v>
      </c>
      <c r="E47" s="171">
        <f t="shared" si="4"/>
        <v>41468</v>
      </c>
      <c r="F47" s="171"/>
      <c r="G47" s="171">
        <f t="shared" si="5"/>
        <v>41468</v>
      </c>
      <c r="H47" s="172">
        <f t="shared" si="6"/>
        <v>4.0119049127840239E-3</v>
      </c>
      <c r="I47" s="337"/>
      <c r="J47" s="168"/>
      <c r="K47" s="168"/>
      <c r="M47" s="359">
        <f t="shared" si="7"/>
        <v>1.1164418598390007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490">
        <f>'[24]Sch C'!D33</f>
        <v>1560</v>
      </c>
      <c r="D48" s="490">
        <f>'[24]Sch C'!F33</f>
        <v>-1560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490">
        <f>'[24]Sch C'!D34</f>
        <v>5223</v>
      </c>
      <c r="D49" s="490">
        <f>'[24]Sch C'!F34</f>
        <v>0</v>
      </c>
      <c r="E49" s="171">
        <f t="shared" si="4"/>
        <v>5223</v>
      </c>
      <c r="F49" s="171"/>
      <c r="G49" s="171">
        <f t="shared" si="5"/>
        <v>5223</v>
      </c>
      <c r="H49" s="172">
        <f t="shared" si="6"/>
        <v>5.0530962089975295E-4</v>
      </c>
      <c r="I49" s="337"/>
      <c r="J49" s="168"/>
      <c r="K49" s="168"/>
      <c r="M49" s="359">
        <f t="shared" si="7"/>
        <v>0.14061868992811566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490">
        <f>'[24]Sch C'!D35</f>
        <v>0</v>
      </c>
      <c r="D50" s="490">
        <f>'[24]Sch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490">
        <f>'[24]Sch C'!D36</f>
        <v>0</v>
      </c>
      <c r="D51" s="490">
        <f>'[24]Sch C'!F36</f>
        <v>0</v>
      </c>
      <c r="E51" s="171">
        <f t="shared" si="4"/>
        <v>0</v>
      </c>
      <c r="F51" s="171"/>
      <c r="G51" s="171">
        <f t="shared" si="5"/>
        <v>0</v>
      </c>
      <c r="H51" s="172">
        <f t="shared" si="6"/>
        <v>0</v>
      </c>
      <c r="I51" s="337"/>
      <c r="J51" s="183">
        <v>0</v>
      </c>
      <c r="K51" s="183">
        <v>0</v>
      </c>
      <c r="M51" s="359">
        <f t="shared" si="7"/>
        <v>0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490">
        <f>'[24]Sch C'!D37</f>
        <v>0</v>
      </c>
      <c r="D52" s="490">
        <f>'[24]Sch C'!F37</f>
        <v>0</v>
      </c>
      <c r="E52" s="171">
        <f t="shared" si="4"/>
        <v>0</v>
      </c>
      <c r="F52" s="171"/>
      <c r="G52" s="171">
        <f t="shared" si="5"/>
        <v>0</v>
      </c>
      <c r="H52" s="172">
        <f t="shared" si="6"/>
        <v>0</v>
      </c>
      <c r="I52" s="337"/>
      <c r="J52" s="168"/>
      <c r="K52" s="168"/>
      <c r="M52" s="359">
        <f t="shared" si="7"/>
        <v>0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490">
        <f>'[24]Sch C'!D38</f>
        <v>0</v>
      </c>
      <c r="D53" s="490">
        <f>'[24]Sch C'!F38</f>
        <v>0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7"/>
      <c r="J53" s="168"/>
      <c r="K53" s="168"/>
      <c r="M53" s="359">
        <f t="shared" si="7"/>
        <v>0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490">
        <f>'[24]Sch C'!D39</f>
        <v>10761</v>
      </c>
      <c r="D54" s="490">
        <f>'[24]Sch C'!F39</f>
        <v>0</v>
      </c>
      <c r="E54" s="171">
        <f t="shared" si="4"/>
        <v>10761</v>
      </c>
      <c r="F54" s="171"/>
      <c r="G54" s="171">
        <f t="shared" si="5"/>
        <v>10761</v>
      </c>
      <c r="H54" s="172">
        <f t="shared" si="6"/>
        <v>1.0410945492058668E-3</v>
      </c>
      <c r="I54" s="337"/>
      <c r="J54" s="168"/>
      <c r="K54" s="168"/>
      <c r="M54" s="359">
        <f t="shared" si="7"/>
        <v>0.28971811646878282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490">
        <f>'[24]Sch C'!D40</f>
        <v>0</v>
      </c>
      <c r="D55" s="490">
        <f>'[24]Sch C'!F40</f>
        <v>0</v>
      </c>
      <c r="E55" s="171">
        <f t="shared" si="4"/>
        <v>0</v>
      </c>
      <c r="F55" s="171"/>
      <c r="G55" s="171">
        <f t="shared" si="5"/>
        <v>0</v>
      </c>
      <c r="H55" s="172">
        <f t="shared" si="6"/>
        <v>0</v>
      </c>
      <c r="I55" s="337"/>
      <c r="J55" s="168"/>
      <c r="K55" s="168"/>
      <c r="M55" s="359">
        <f t="shared" si="7"/>
        <v>0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490">
        <f>'[24]Sch C'!D41</f>
        <v>26476</v>
      </c>
      <c r="D56" s="490">
        <f>'[24]Sch C'!F41</f>
        <v>3184</v>
      </c>
      <c r="E56" s="171">
        <f t="shared" si="4"/>
        <v>29660</v>
      </c>
      <c r="F56" s="171"/>
      <c r="G56" s="171">
        <f t="shared" si="5"/>
        <v>29660</v>
      </c>
      <c r="H56" s="172">
        <f t="shared" si="6"/>
        <v>2.8695162465798723E-3</v>
      </c>
      <c r="I56" s="337"/>
      <c r="J56" s="168"/>
      <c r="K56" s="168"/>
      <c r="M56" s="359">
        <f t="shared" si="7"/>
        <v>0.79853539024849907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490">
        <f>'[24]Sch C'!D42</f>
        <v>5528</v>
      </c>
      <c r="D57" s="490">
        <f>'[24]Sch C'!F42</f>
        <v>0</v>
      </c>
      <c r="E57" s="171">
        <f t="shared" si="4"/>
        <v>5528</v>
      </c>
      <c r="F57" s="171"/>
      <c r="G57" s="171">
        <f t="shared" si="5"/>
        <v>5528</v>
      </c>
      <c r="H57" s="172">
        <f t="shared" si="6"/>
        <v>5.3481745822972135E-4</v>
      </c>
      <c r="I57" s="337"/>
      <c r="J57" s="168"/>
      <c r="K57" s="168"/>
      <c r="M57" s="359">
        <f t="shared" si="7"/>
        <v>0.14883019680693535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490">
        <f>'[24]Sch C'!D43</f>
        <v>9418</v>
      </c>
      <c r="D58" s="490">
        <f>'[24]Sch C'!F43</f>
        <v>-8646</v>
      </c>
      <c r="E58" s="171">
        <f t="shared" si="4"/>
        <v>772</v>
      </c>
      <c r="F58" s="171"/>
      <c r="G58" s="171">
        <f t="shared" si="5"/>
        <v>772</v>
      </c>
      <c r="H58" s="172">
        <f t="shared" si="6"/>
        <v>7.4688689897493639E-5</v>
      </c>
      <c r="I58" s="337"/>
      <c r="J58" s="168"/>
      <c r="K58" s="168"/>
      <c r="M58" s="359">
        <f t="shared" si="7"/>
        <v>2.0784535444094445E-2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490">
        <f>'[24]Sch C'!D44</f>
        <v>0</v>
      </c>
      <c r="D59" s="490">
        <f>'[24]Sch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7"/>
      <c r="J59" s="168"/>
      <c r="K59" s="168"/>
      <c r="M59" s="359">
        <f t="shared" si="7"/>
        <v>0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490">
        <f>'[24]Sch C'!D45</f>
        <v>823662</v>
      </c>
      <c r="D60" s="490">
        <f>'[24]Sch C'!F45</f>
        <v>-776722</v>
      </c>
      <c r="E60" s="171">
        <f t="shared" si="4"/>
        <v>46940</v>
      </c>
      <c r="F60" s="171"/>
      <c r="G60" s="171">
        <f t="shared" si="5"/>
        <v>46940</v>
      </c>
      <c r="H60" s="172">
        <f t="shared" si="6"/>
        <v>4.5413045385859479E-3</v>
      </c>
      <c r="I60" s="337"/>
      <c r="J60" s="168"/>
      <c r="K60" s="168"/>
      <c r="M60" s="359">
        <f t="shared" si="7"/>
        <v>1.263764370137038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490">
        <f>SUM(C25:C60)</f>
        <v>2850653</v>
      </c>
      <c r="D61" s="490">
        <f>SUM(D25:D60)</f>
        <v>-1103317</v>
      </c>
      <c r="E61" s="171">
        <f t="shared" ref="E61:F61" si="8">SUM(E25:E60)</f>
        <v>1747336</v>
      </c>
      <c r="F61" s="171">
        <f t="shared" si="8"/>
        <v>0</v>
      </c>
      <c r="G61" s="171">
        <f>SUM(G25:G60)</f>
        <v>1747336</v>
      </c>
      <c r="H61" s="186">
        <f t="shared" si="6"/>
        <v>0.16904952934031989</v>
      </c>
      <c r="I61" s="339"/>
      <c r="J61" s="168"/>
      <c r="K61" s="168"/>
      <c r="M61" s="364">
        <f>G61/G$228</f>
        <v>47.043480601997686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I62" s="340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490">
        <f>'[24]Sch C'!D57</f>
        <v>453358</v>
      </c>
      <c r="D64" s="490">
        <f>'[24]Sch C'!F57</f>
        <v>-453358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I64" s="337"/>
      <c r="J64" s="190"/>
      <c r="K64" s="168"/>
      <c r="M64" s="359">
        <f t="shared" ref="M64:M79" si="12">G64/G$228</f>
        <v>0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490">
        <f>'[24]Sch C'!D58</f>
        <v>0</v>
      </c>
      <c r="D65" s="490">
        <f>'[24]Sch C'!F58</f>
        <v>110270</v>
      </c>
      <c r="E65" s="171">
        <f t="shared" si="9"/>
        <v>110270</v>
      </c>
      <c r="F65" s="171"/>
      <c r="G65" s="171">
        <f t="shared" si="10"/>
        <v>110270</v>
      </c>
      <c r="H65" s="172">
        <f t="shared" si="11"/>
        <v>1.0668292532379046E-2</v>
      </c>
      <c r="I65" s="337"/>
      <c r="J65" s="190"/>
      <c r="K65" s="168"/>
      <c r="M65" s="359">
        <f t="shared" si="12"/>
        <v>2.9687962738604852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490">
        <f>'[24]Sch C'!D59</f>
        <v>0</v>
      </c>
      <c r="D66" s="490">
        <f>'[24]Sch C'!F59</f>
        <v>245633</v>
      </c>
      <c r="E66" s="171">
        <f t="shared" si="9"/>
        <v>245633</v>
      </c>
      <c r="F66" s="171"/>
      <c r="G66" s="171">
        <f t="shared" si="10"/>
        <v>245633</v>
      </c>
      <c r="H66" s="172">
        <f t="shared" si="11"/>
        <v>2.3764257727449556E-2</v>
      </c>
      <c r="I66" s="337"/>
      <c r="J66" s="190"/>
      <c r="K66" s="168"/>
      <c r="M66" s="359">
        <f t="shared" si="12"/>
        <v>6.6131707185741595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490">
        <f>'[24]Sch C'!D60</f>
        <v>0</v>
      </c>
      <c r="D67" s="490">
        <f>'[24]Sch C'!F60</f>
        <v>29877</v>
      </c>
      <c r="E67" s="171">
        <f t="shared" si="9"/>
        <v>29877</v>
      </c>
      <c r="F67" s="171"/>
      <c r="G67" s="171">
        <f t="shared" si="10"/>
        <v>29877</v>
      </c>
      <c r="H67" s="172">
        <f t="shared" si="11"/>
        <v>2.8905103472375874E-3</v>
      </c>
      <c r="I67" s="337"/>
      <c r="J67" s="193"/>
      <c r="K67" s="168"/>
      <c r="M67" s="359">
        <f t="shared" si="12"/>
        <v>0.804377675470479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490">
        <f>'[24]Sch C'!D61</f>
        <v>24009</v>
      </c>
      <c r="D68" s="490">
        <f>'[24]Sch C'!F61</f>
        <v>-15634</v>
      </c>
      <c r="E68" s="171">
        <f t="shared" si="9"/>
        <v>8375</v>
      </c>
      <c r="F68" s="171"/>
      <c r="G68" s="171">
        <f t="shared" si="10"/>
        <v>8375</v>
      </c>
      <c r="H68" s="172">
        <f t="shared" si="11"/>
        <v>8.1025618897863892E-4</v>
      </c>
      <c r="I68" s="337"/>
      <c r="J68" s="193"/>
      <c r="K68" s="168"/>
      <c r="M68" s="359">
        <f t="shared" si="12"/>
        <v>0.22547990200037693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490">
        <f>'[24]Sch C'!D62</f>
        <v>15829</v>
      </c>
      <c r="D69" s="490">
        <f>'[24]Sch C'!F62</f>
        <v>-328</v>
      </c>
      <c r="E69" s="171">
        <f t="shared" si="9"/>
        <v>15501</v>
      </c>
      <c r="F69" s="171"/>
      <c r="G69" s="171">
        <f t="shared" si="10"/>
        <v>15501</v>
      </c>
      <c r="H69" s="172">
        <f t="shared" si="11"/>
        <v>1.4996753654158666E-3</v>
      </c>
      <c r="I69" s="337"/>
      <c r="J69" s="195"/>
      <c r="K69" s="168"/>
      <c r="M69" s="359">
        <f t="shared" si="12"/>
        <v>0.41733301025765285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490">
        <f>'[24]Sch C'!D63</f>
        <v>0</v>
      </c>
      <c r="D70" s="490">
        <f>'[24]Sch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7"/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490">
        <f>'[24]Sch C'!D64</f>
        <v>0</v>
      </c>
      <c r="D71" s="490">
        <f>'[24]Sch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490">
        <f>'[24]Sch C'!D65</f>
        <v>0</v>
      </c>
      <c r="D72" s="490">
        <f>'[24]Sch C'!F65</f>
        <v>24009</v>
      </c>
      <c r="E72" s="171">
        <f t="shared" si="9"/>
        <v>24009</v>
      </c>
      <c r="F72" s="171"/>
      <c r="G72" s="171">
        <f t="shared" si="10"/>
        <v>24009</v>
      </c>
      <c r="H72" s="172">
        <f t="shared" si="11"/>
        <v>2.3227989064105244E-3</v>
      </c>
      <c r="I72" s="337"/>
      <c r="J72" s="195"/>
      <c r="K72" s="168"/>
      <c r="M72" s="359">
        <f t="shared" si="12"/>
        <v>0.64639366771666262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490">
        <f>'[24]Sch C'!D66</f>
        <v>0</v>
      </c>
      <c r="D73" s="490">
        <f>'[24]Sch C'!F66</f>
        <v>0</v>
      </c>
      <c r="E73" s="171">
        <f t="shared" si="9"/>
        <v>0</v>
      </c>
      <c r="F73" s="171"/>
      <c r="G73" s="171">
        <f t="shared" si="10"/>
        <v>0</v>
      </c>
      <c r="H73" s="172">
        <f t="shared" si="11"/>
        <v>0</v>
      </c>
      <c r="I73" s="337"/>
      <c r="J73" s="195"/>
      <c r="K73" s="168"/>
      <c r="M73" s="359">
        <f t="shared" si="12"/>
        <v>0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490">
        <f>'[24]Sch C'!D67</f>
        <v>0</v>
      </c>
      <c r="D74" s="490">
        <f>'[24]Sch C'!F67</f>
        <v>0</v>
      </c>
      <c r="E74" s="171">
        <f t="shared" si="9"/>
        <v>0</v>
      </c>
      <c r="F74" s="171"/>
      <c r="G74" s="171">
        <f t="shared" si="10"/>
        <v>0</v>
      </c>
      <c r="H74" s="172">
        <f t="shared" si="11"/>
        <v>0</v>
      </c>
      <c r="I74" s="337"/>
      <c r="J74" s="195"/>
      <c r="K74" s="168"/>
      <c r="M74" s="359">
        <f t="shared" si="12"/>
        <v>0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490">
        <f>'[24]Sch C'!D68</f>
        <v>0</v>
      </c>
      <c r="D75" s="490">
        <f>'[24]Sch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490">
        <f>'[24]Sch C'!D69</f>
        <v>0</v>
      </c>
      <c r="D76" s="490">
        <f>'[24]Sch C'!F69</f>
        <v>0</v>
      </c>
      <c r="E76" s="171">
        <f t="shared" si="9"/>
        <v>0</v>
      </c>
      <c r="F76" s="171"/>
      <c r="G76" s="171">
        <f t="shared" si="10"/>
        <v>0</v>
      </c>
      <c r="H76" s="172">
        <f t="shared" si="11"/>
        <v>0</v>
      </c>
      <c r="I76" s="337"/>
      <c r="J76" s="195"/>
      <c r="K76" s="168"/>
      <c r="M76" s="359">
        <f t="shared" si="12"/>
        <v>0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490">
        <f>'[24]Sch C'!D70</f>
        <v>0</v>
      </c>
      <c r="D77" s="490">
        <f>'[24]Sch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7"/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490">
        <f>'[24]Sch C'!D71</f>
        <v>0</v>
      </c>
      <c r="D78" s="490">
        <f>'[24]Sch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7"/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490">
        <f>SUM(C64:C78)</f>
        <v>493196</v>
      </c>
      <c r="D79" s="490">
        <f>SUM(D64:D78)</f>
        <v>-59531</v>
      </c>
      <c r="E79" s="171">
        <f t="shared" ref="E79:F79" si="13">SUM(E64:E78)</f>
        <v>433665</v>
      </c>
      <c r="F79" s="171">
        <f t="shared" si="13"/>
        <v>0</v>
      </c>
      <c r="G79" s="171">
        <f>SUM(G64:G78)</f>
        <v>433665</v>
      </c>
      <c r="H79" s="172">
        <f t="shared" si="11"/>
        <v>4.1955791067871222E-2</v>
      </c>
      <c r="I79" s="337"/>
      <c r="J79" s="195"/>
      <c r="K79" s="168"/>
      <c r="M79" s="359">
        <f t="shared" si="12"/>
        <v>11.675551247879817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490">
        <f>'[24]Sch C'!D75</f>
        <v>174209</v>
      </c>
      <c r="D82" s="490">
        <f>'[24]Sch C'!F75</f>
        <v>-31795</v>
      </c>
      <c r="E82" s="171">
        <f t="shared" ref="E82:E92" si="14">C82+D82</f>
        <v>142414</v>
      </c>
      <c r="F82" s="171"/>
      <c r="G82" s="171">
        <f t="shared" ref="G82:G92" si="15">E82+F82</f>
        <v>142414</v>
      </c>
      <c r="H82" s="172">
        <f t="shared" ref="H82:H93" si="16">IF($G$208=0,0,G82/$G$208)</f>
        <v>1.3778128345934792E-2</v>
      </c>
      <c r="I82" s="337"/>
      <c r="J82" s="183">
        <v>7108</v>
      </c>
      <c r="K82" s="183">
        <v>7577</v>
      </c>
      <c r="M82" s="359">
        <f t="shared" ref="M82:M92" si="17">G82/G$228</f>
        <v>3.8342083299679617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490">
        <f>'[24]Sch C'!D76</f>
        <v>15140</v>
      </c>
      <c r="D83" s="490">
        <f>'[24]Sch C'!F76</f>
        <v>472</v>
      </c>
      <c r="E83" s="171">
        <f t="shared" si="14"/>
        <v>15612</v>
      </c>
      <c r="F83" s="171"/>
      <c r="G83" s="171">
        <f t="shared" si="15"/>
        <v>15612</v>
      </c>
      <c r="H83" s="172">
        <f t="shared" si="16"/>
        <v>1.5104142832638222E-3</v>
      </c>
      <c r="I83" s="337"/>
      <c r="J83" s="168"/>
      <c r="K83" s="168"/>
      <c r="M83" s="359">
        <f t="shared" si="17"/>
        <v>0.42032146030207579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490">
        <f>'[24]Sch C'!D77</f>
        <v>36666</v>
      </c>
      <c r="D84" s="490">
        <f>'[24]Sch C'!F77</f>
        <v>-6692</v>
      </c>
      <c r="E84" s="171">
        <f t="shared" si="14"/>
        <v>29974</v>
      </c>
      <c r="F84" s="171"/>
      <c r="G84" s="171">
        <f t="shared" si="15"/>
        <v>29974</v>
      </c>
      <c r="H84" s="172">
        <f t="shared" si="16"/>
        <v>2.8998948069785938E-3</v>
      </c>
      <c r="I84" s="337"/>
      <c r="J84" s="168"/>
      <c r="K84" s="168"/>
      <c r="M84" s="359">
        <f t="shared" si="17"/>
        <v>0.80698920388767736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490">
        <f>'[24]Sch C'!D78</f>
        <v>-3580</v>
      </c>
      <c r="D85" s="490">
        <f>'[24]Sch C'!F78</f>
        <v>653</v>
      </c>
      <c r="E85" s="171">
        <f t="shared" si="14"/>
        <v>-2927</v>
      </c>
      <c r="F85" s="171"/>
      <c r="G85" s="171">
        <f t="shared" si="15"/>
        <v>-2927</v>
      </c>
      <c r="H85" s="172">
        <f t="shared" si="16"/>
        <v>-2.8317849136005684E-4</v>
      </c>
      <c r="I85" s="337"/>
      <c r="J85" s="168"/>
      <c r="K85" s="168"/>
      <c r="M85" s="359">
        <f t="shared" si="17"/>
        <v>-7.8803543063295914E-2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490">
        <f>'[24]Sch C'!D79</f>
        <v>14107</v>
      </c>
      <c r="D86" s="490">
        <f>'[24]Sch C'!F79</f>
        <v>-2575</v>
      </c>
      <c r="E86" s="171">
        <f t="shared" si="14"/>
        <v>11532</v>
      </c>
      <c r="F86" s="171"/>
      <c r="G86" s="171">
        <f>E86+F86</f>
        <v>11532</v>
      </c>
      <c r="H86" s="172">
        <f t="shared" si="16"/>
        <v>1.115686492095721E-3</v>
      </c>
      <c r="I86" s="337"/>
      <c r="J86" s="168"/>
      <c r="K86" s="168"/>
      <c r="M86" s="359">
        <f t="shared" si="17"/>
        <v>0.31047572893950409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490">
        <f>'[24]Sch C'!D80</f>
        <v>9111</v>
      </c>
      <c r="D87" s="490">
        <f>'[24]Sch C'!F80</f>
        <v>-1663</v>
      </c>
      <c r="E87" s="171">
        <f t="shared" si="14"/>
        <v>7448</v>
      </c>
      <c r="F87" s="171"/>
      <c r="G87" s="171">
        <f t="shared" si="15"/>
        <v>7448</v>
      </c>
      <c r="H87" s="172">
        <f t="shared" si="16"/>
        <v>7.2057171289706303E-4</v>
      </c>
      <c r="I87" s="337"/>
      <c r="J87" s="168"/>
      <c r="K87" s="168"/>
      <c r="M87" s="359">
        <f t="shared" si="17"/>
        <v>0.20052230568343968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490">
        <f>'[24]Sch C'!D81</f>
        <v>29171</v>
      </c>
      <c r="D88" s="490">
        <f>'[24]Sch C'!F81</f>
        <v>-5324</v>
      </c>
      <c r="E88" s="171">
        <f t="shared" si="14"/>
        <v>23847</v>
      </c>
      <c r="F88" s="171"/>
      <c r="G88" s="171">
        <f t="shared" si="15"/>
        <v>23847</v>
      </c>
      <c r="H88" s="172">
        <f t="shared" si="16"/>
        <v>2.3071258911729676E-3</v>
      </c>
      <c r="I88" s="337"/>
      <c r="J88" s="168"/>
      <c r="K88" s="168"/>
      <c r="M88" s="359">
        <f t="shared" si="17"/>
        <v>0.64203214603020753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490">
        <f>'[24]Sch C'!D82</f>
        <v>0</v>
      </c>
      <c r="D89" s="490">
        <f>'[24]Sch C'!F82</f>
        <v>0</v>
      </c>
      <c r="E89" s="171">
        <f t="shared" si="14"/>
        <v>0</v>
      </c>
      <c r="F89" s="171"/>
      <c r="G89" s="171">
        <f t="shared" si="15"/>
        <v>0</v>
      </c>
      <c r="H89" s="172">
        <f t="shared" si="16"/>
        <v>0</v>
      </c>
      <c r="I89" s="337"/>
      <c r="J89" s="168"/>
      <c r="K89" s="168"/>
      <c r="M89" s="359">
        <f t="shared" si="17"/>
        <v>0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490">
        <f>'[24]Sch C'!D83</f>
        <v>16704</v>
      </c>
      <c r="D90" s="490">
        <f>'[24]Sch C'!F83</f>
        <v>-3049</v>
      </c>
      <c r="E90" s="171">
        <f t="shared" si="14"/>
        <v>13655</v>
      </c>
      <c r="F90" s="171"/>
      <c r="G90" s="171">
        <f t="shared" si="15"/>
        <v>13655</v>
      </c>
      <c r="H90" s="172">
        <f t="shared" si="16"/>
        <v>1.3210803893138287E-3</v>
      </c>
      <c r="I90" s="337"/>
      <c r="J90" s="168"/>
      <c r="K90" s="168"/>
      <c r="M90" s="359">
        <f t="shared" si="17"/>
        <v>0.36763320141076383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490">
        <f>'[24]Sch C'!D84</f>
        <v>223453</v>
      </c>
      <c r="D91" s="490">
        <f>'[24]Sch C'!F84</f>
        <v>-40782</v>
      </c>
      <c r="E91" s="171">
        <f t="shared" si="14"/>
        <v>182671</v>
      </c>
      <c r="F91" s="171"/>
      <c r="G91" s="171">
        <f t="shared" si="15"/>
        <v>182671</v>
      </c>
      <c r="H91" s="172">
        <f t="shared" si="16"/>
        <v>1.7672872632467695E-2</v>
      </c>
      <c r="I91" s="337"/>
      <c r="J91" s="168"/>
      <c r="K91" s="168"/>
      <c r="M91" s="359">
        <f t="shared" si="17"/>
        <v>4.918046469052042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490">
        <f>'[24]Sch C'!D85</f>
        <v>22200</v>
      </c>
      <c r="D92" s="490">
        <f>'[24]Sch C'!F85</f>
        <v>70844</v>
      </c>
      <c r="E92" s="171">
        <f t="shared" si="14"/>
        <v>93044</v>
      </c>
      <c r="F92" s="171"/>
      <c r="G92" s="171">
        <f t="shared" si="15"/>
        <v>93044</v>
      </c>
      <c r="H92" s="172">
        <f t="shared" si="16"/>
        <v>9.0017285787854905E-3</v>
      </c>
      <c r="I92" s="337"/>
      <c r="J92" s="168"/>
      <c r="K92" s="168"/>
      <c r="M92" s="359">
        <f t="shared" si="17"/>
        <v>2.5050211345340978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490">
        <f>SUM(C82:C92)</f>
        <v>537181</v>
      </c>
      <c r="D93" s="490">
        <f>SUM(D82:D92)</f>
        <v>-19911</v>
      </c>
      <c r="E93" s="171">
        <f t="shared" ref="E93:F93" si="18">SUM(E82:E92)</f>
        <v>517270</v>
      </c>
      <c r="F93" s="171">
        <f t="shared" si="18"/>
        <v>0</v>
      </c>
      <c r="G93" s="171">
        <f>SUM(G82:G92)</f>
        <v>517270</v>
      </c>
      <c r="H93" s="172">
        <f t="shared" si="16"/>
        <v>5.0044324641549918E-2</v>
      </c>
      <c r="I93" s="337"/>
      <c r="J93" s="168"/>
      <c r="K93" s="168"/>
      <c r="M93" s="364">
        <f>G93/G$228</f>
        <v>13.926446436744474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490">
        <f>'[24]Sch C'!D89</f>
        <v>0</v>
      </c>
      <c r="D96" s="490">
        <f>'[24]Sch C'!F89</f>
        <v>0</v>
      </c>
      <c r="E96" s="171">
        <f t="shared" ref="E96:E101" si="19">C96+D96</f>
        <v>0</v>
      </c>
      <c r="F96" s="171"/>
      <c r="G96" s="171">
        <f t="shared" ref="G96:G101" si="20">E96+F96</f>
        <v>0</v>
      </c>
      <c r="H96" s="172">
        <f t="shared" ref="H96:H102" si="21">IF($G$208=0,0,G96/$G$208)</f>
        <v>0</v>
      </c>
      <c r="I96" s="337"/>
      <c r="J96" s="183">
        <v>0</v>
      </c>
      <c r="K96" s="183">
        <v>0</v>
      </c>
      <c r="M96" s="364">
        <f t="shared" ref="M96:M101" si="22">G96/G$228</f>
        <v>0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490">
        <f>'[24]Sch C'!D90</f>
        <v>0</v>
      </c>
      <c r="D97" s="490">
        <f>'[24]Sch C'!F90</f>
        <v>0</v>
      </c>
      <c r="E97" s="171">
        <f t="shared" si="19"/>
        <v>0</v>
      </c>
      <c r="F97" s="171"/>
      <c r="G97" s="171">
        <f t="shared" si="20"/>
        <v>0</v>
      </c>
      <c r="H97" s="172">
        <f t="shared" si="21"/>
        <v>0</v>
      </c>
      <c r="I97" s="337"/>
      <c r="J97" s="168"/>
      <c r="K97" s="168"/>
      <c r="M97" s="364">
        <f t="shared" si="22"/>
        <v>0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490">
        <f>'[24]Sch C'!D91</f>
        <v>720715</v>
      </c>
      <c r="D98" s="490">
        <f>'[24]Sch C'!F91</f>
        <v>-293780</v>
      </c>
      <c r="E98" s="171">
        <f t="shared" si="19"/>
        <v>426935</v>
      </c>
      <c r="F98" s="171"/>
      <c r="G98" s="171">
        <f t="shared" si="20"/>
        <v>426935</v>
      </c>
      <c r="H98" s="172">
        <f t="shared" si="21"/>
        <v>4.1304683706459129E-2</v>
      </c>
      <c r="I98" s="337"/>
      <c r="J98" s="168"/>
      <c r="K98" s="168"/>
      <c r="M98" s="364">
        <f t="shared" si="22"/>
        <v>11.494359637078318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490">
        <f>'[24]Sch C'!D92</f>
        <v>8707</v>
      </c>
      <c r="D99" s="490">
        <f>'[24]Sch C'!F92</f>
        <v>293780</v>
      </c>
      <c r="E99" s="171">
        <f t="shared" si="19"/>
        <v>302487</v>
      </c>
      <c r="F99" s="171"/>
      <c r="G99" s="171">
        <f t="shared" si="20"/>
        <v>302487</v>
      </c>
      <c r="H99" s="172">
        <f t="shared" si="21"/>
        <v>2.9264712099770933E-2</v>
      </c>
      <c r="I99" s="337"/>
      <c r="J99" s="168"/>
      <c r="K99" s="168"/>
      <c r="M99" s="364">
        <f t="shared" si="22"/>
        <v>8.1438494467328972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490">
        <f>'[24]Sch C'!D93</f>
        <v>4553</v>
      </c>
      <c r="D100" s="490">
        <f>'[24]Sch C'!F93</f>
        <v>0</v>
      </c>
      <c r="E100" s="171">
        <f t="shared" si="19"/>
        <v>4553</v>
      </c>
      <c r="F100" s="171"/>
      <c r="G100" s="171">
        <f t="shared" si="20"/>
        <v>4553</v>
      </c>
      <c r="H100" s="172">
        <f t="shared" si="21"/>
        <v>4.4048912578146187E-4</v>
      </c>
      <c r="I100" s="337"/>
      <c r="J100" s="168"/>
      <c r="K100" s="168"/>
      <c r="M100" s="364">
        <f t="shared" si="22"/>
        <v>0.1225802977680855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490">
        <f>'[24]Sch C'!D94</f>
        <v>19</v>
      </c>
      <c r="D101" s="490">
        <f>'[24]Sch C'!F94</f>
        <v>262</v>
      </c>
      <c r="E101" s="171">
        <f t="shared" si="19"/>
        <v>281</v>
      </c>
      <c r="F101" s="171"/>
      <c r="G101" s="171">
        <f t="shared" si="20"/>
        <v>281</v>
      </c>
      <c r="H101" s="172">
        <f t="shared" si="21"/>
        <v>2.7185909146626571E-5</v>
      </c>
      <c r="I101" s="337"/>
      <c r="J101" s="168"/>
      <c r="K101" s="168"/>
      <c r="M101" s="364">
        <f t="shared" si="22"/>
        <v>7.565355517863393E-3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490">
        <f>SUM(C96:C101)</f>
        <v>733994</v>
      </c>
      <c r="D102" s="490">
        <f>SUM(D96:D101)</f>
        <v>262</v>
      </c>
      <c r="E102" s="171">
        <f t="shared" ref="E102:F102" si="23">SUM(E96:E101)</f>
        <v>734256</v>
      </c>
      <c r="F102" s="171">
        <f t="shared" si="23"/>
        <v>0</v>
      </c>
      <c r="G102" s="171">
        <f>SUM(G96:G101)</f>
        <v>734256</v>
      </c>
      <c r="H102" s="172">
        <f t="shared" si="21"/>
        <v>7.1037070841158151E-2</v>
      </c>
      <c r="I102" s="337"/>
      <c r="J102" s="168"/>
      <c r="K102" s="168"/>
      <c r="M102" s="364">
        <f>G102/G$228</f>
        <v>19.768354737097166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490">
        <f>'[24]Sch C'!D98</f>
        <v>0</v>
      </c>
      <c r="D105" s="490">
        <f>'[24]Sch C'!F98</f>
        <v>0</v>
      </c>
      <c r="E105" s="171">
        <f t="shared" ref="E105:E110" si="24">C105+D105</f>
        <v>0</v>
      </c>
      <c r="F105" s="171"/>
      <c r="G105" s="171">
        <f t="shared" ref="G105:G110" si="25">E105+F105</f>
        <v>0</v>
      </c>
      <c r="H105" s="172">
        <f t="shared" ref="H105:H111" si="26">IF($G$208=0,0,G105/$G$208)</f>
        <v>0</v>
      </c>
      <c r="I105" s="337"/>
      <c r="J105" s="183">
        <v>0</v>
      </c>
      <c r="K105" s="183">
        <v>0</v>
      </c>
      <c r="M105" s="364">
        <f t="shared" ref="M105:M110" si="27">G105/G$228</f>
        <v>0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490">
        <f>'[24]Sch C'!D99</f>
        <v>0</v>
      </c>
      <c r="D106" s="490">
        <f>'[24]Sch C'!F99</f>
        <v>0</v>
      </c>
      <c r="E106" s="171">
        <f t="shared" si="24"/>
        <v>0</v>
      </c>
      <c r="F106" s="171"/>
      <c r="G106" s="171">
        <f t="shared" si="25"/>
        <v>0</v>
      </c>
      <c r="H106" s="172">
        <f t="shared" si="26"/>
        <v>0</v>
      </c>
      <c r="I106" s="337"/>
      <c r="J106" s="168"/>
      <c r="K106" s="168"/>
      <c r="M106" s="364">
        <f t="shared" si="27"/>
        <v>0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490">
        <f>'[24]Sch C'!D100</f>
        <v>282</v>
      </c>
      <c r="D107" s="490">
        <f>'[24]Sch C'!F100</f>
        <v>0</v>
      </c>
      <c r="E107" s="171">
        <f t="shared" si="24"/>
        <v>282</v>
      </c>
      <c r="F107" s="171"/>
      <c r="G107" s="171">
        <f t="shared" si="25"/>
        <v>282</v>
      </c>
      <c r="H107" s="172">
        <f t="shared" si="26"/>
        <v>2.7282656154265813E-5</v>
      </c>
      <c r="I107" s="337"/>
      <c r="J107" s="168"/>
      <c r="K107" s="168"/>
      <c r="M107" s="364">
        <f t="shared" si="27"/>
        <v>7.5922784912365723E-3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490">
        <f>'[24]Sch C'!D101</f>
        <v>144124</v>
      </c>
      <c r="D108" s="490">
        <f>'[24]Sch C'!F101</f>
        <v>0</v>
      </c>
      <c r="E108" s="171">
        <f t="shared" si="24"/>
        <v>144124</v>
      </c>
      <c r="F108" s="171"/>
      <c r="G108" s="171">
        <f t="shared" si="25"/>
        <v>144124</v>
      </c>
      <c r="H108" s="172">
        <f t="shared" si="26"/>
        <v>1.3943565728997893E-2</v>
      </c>
      <c r="I108" s="337"/>
      <c r="J108" s="168"/>
      <c r="K108" s="168"/>
      <c r="M108" s="364">
        <f t="shared" si="27"/>
        <v>3.8802466144360985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490">
        <f>'[24]Sch C'!D102</f>
        <v>923</v>
      </c>
      <c r="D109" s="490">
        <f>'[24]Sch C'!F102</f>
        <v>0</v>
      </c>
      <c r="E109" s="171">
        <f t="shared" si="24"/>
        <v>923</v>
      </c>
      <c r="F109" s="171"/>
      <c r="G109" s="171">
        <f t="shared" si="25"/>
        <v>923</v>
      </c>
      <c r="H109" s="172">
        <f t="shared" si="26"/>
        <v>8.929748805101896E-5</v>
      </c>
      <c r="I109" s="337"/>
      <c r="J109" s="168"/>
      <c r="K109" s="168"/>
      <c r="M109" s="364">
        <f t="shared" si="27"/>
        <v>2.4849904423444525E-2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490">
        <f>'[24]Sch C'!D103</f>
        <v>845</v>
      </c>
      <c r="D110" s="490">
        <f>'[24]Sch C'!F103</f>
        <v>0</v>
      </c>
      <c r="E110" s="171">
        <f t="shared" si="24"/>
        <v>845</v>
      </c>
      <c r="F110" s="171"/>
      <c r="G110" s="171">
        <f t="shared" si="25"/>
        <v>845</v>
      </c>
      <c r="H110" s="172">
        <f t="shared" si="26"/>
        <v>8.1751221455158191E-5</v>
      </c>
      <c r="I110" s="337"/>
      <c r="J110" s="168"/>
      <c r="K110" s="168"/>
      <c r="M110" s="364">
        <f t="shared" si="27"/>
        <v>2.2749912500336537E-2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490">
        <f>SUM(C105:C110)</f>
        <v>146174</v>
      </c>
      <c r="D111" s="490">
        <f>SUM(D105:D110)</f>
        <v>0</v>
      </c>
      <c r="E111" s="171">
        <f t="shared" ref="E111:F111" si="28">SUM(E105:E110)</f>
        <v>146174</v>
      </c>
      <c r="F111" s="171">
        <f t="shared" si="28"/>
        <v>0</v>
      </c>
      <c r="G111" s="171">
        <f>SUM(G105:G110)</f>
        <v>146174</v>
      </c>
      <c r="H111" s="172">
        <f t="shared" si="26"/>
        <v>1.4141897094658337E-2</v>
      </c>
      <c r="I111" s="337"/>
      <c r="J111" s="168"/>
      <c r="K111" s="168"/>
      <c r="M111" s="364">
        <f>G111/G$228</f>
        <v>3.9354387098511161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490">
        <f>'[24]Sch C'!D115</f>
        <v>0</v>
      </c>
      <c r="D114" s="490">
        <f>'[24]Sch C'!F115</f>
        <v>0</v>
      </c>
      <c r="E114" s="171">
        <f t="shared" ref="E114:E118" si="29">C114+D114</f>
        <v>0</v>
      </c>
      <c r="F114" s="171"/>
      <c r="G114" s="171">
        <f>E114+F114</f>
        <v>0</v>
      </c>
      <c r="H114" s="172">
        <f t="shared" ref="H114:H119" si="30">IF($G$208=0,0,G114/$G$208)</f>
        <v>0</v>
      </c>
      <c r="I114" s="337"/>
      <c r="J114" s="183">
        <v>0</v>
      </c>
      <c r="K114" s="183">
        <v>0</v>
      </c>
      <c r="M114" s="364">
        <f t="shared" ref="M114:M119" si="31">G114/G$228</f>
        <v>0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490">
        <f>'[24]Sch C'!D116</f>
        <v>0</v>
      </c>
      <c r="D115" s="490">
        <f>'[24]Sch C'!F116</f>
        <v>0</v>
      </c>
      <c r="E115" s="171">
        <f t="shared" si="29"/>
        <v>0</v>
      </c>
      <c r="F115" s="171"/>
      <c r="G115" s="171">
        <f>E115+F115</f>
        <v>0</v>
      </c>
      <c r="H115" s="172">
        <f t="shared" si="30"/>
        <v>0</v>
      </c>
      <c r="I115" s="337"/>
      <c r="J115" s="168"/>
      <c r="K115" s="168"/>
      <c r="M115" s="364">
        <f t="shared" si="31"/>
        <v>0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490">
        <f>'[24]Sch C'!D117</f>
        <v>-219</v>
      </c>
      <c r="D116" s="490">
        <f>'[24]Sch C'!F117</f>
        <v>0</v>
      </c>
      <c r="E116" s="171">
        <f t="shared" si="29"/>
        <v>-219</v>
      </c>
      <c r="F116" s="171"/>
      <c r="G116" s="171">
        <f>E116+F116</f>
        <v>-219</v>
      </c>
      <c r="H116" s="172">
        <f t="shared" si="30"/>
        <v>-2.1187594672993664E-5</v>
      </c>
      <c r="I116" s="337"/>
      <c r="J116" s="168"/>
      <c r="K116" s="168"/>
      <c r="M116" s="364">
        <f t="shared" si="31"/>
        <v>-5.896131168726274E-3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490">
        <f>'[24]Sch C'!D118</f>
        <v>216298</v>
      </c>
      <c r="D117" s="490">
        <f>'[24]Sch C'!F118</f>
        <v>0</v>
      </c>
      <c r="E117" s="171">
        <f t="shared" si="29"/>
        <v>216298</v>
      </c>
      <c r="F117" s="171"/>
      <c r="G117" s="171">
        <f>E117+F117</f>
        <v>216298</v>
      </c>
      <c r="H117" s="172">
        <f t="shared" si="30"/>
        <v>2.0926184258352434E-2</v>
      </c>
      <c r="I117" s="337"/>
      <c r="J117" s="168"/>
      <c r="K117" s="168"/>
      <c r="M117" s="364">
        <f t="shared" si="31"/>
        <v>5.8233852946719438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490">
        <f>'[24]Sch C'!D119</f>
        <v>0</v>
      </c>
      <c r="D118" s="490">
        <f>'[24]Sch C'!F119</f>
        <v>40</v>
      </c>
      <c r="E118" s="171">
        <f t="shared" si="29"/>
        <v>40</v>
      </c>
      <c r="F118" s="171"/>
      <c r="G118" s="171">
        <f>E118+F118</f>
        <v>40</v>
      </c>
      <c r="H118" s="172">
        <f t="shared" si="30"/>
        <v>3.8698803055696187E-6</v>
      </c>
      <c r="I118" s="337"/>
      <c r="J118" s="168"/>
      <c r="K118" s="168"/>
      <c r="M118" s="364">
        <f t="shared" si="31"/>
        <v>1.0769189349271733E-3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490">
        <f>SUM(C114:C118)</f>
        <v>216079</v>
      </c>
      <c r="D119" s="490">
        <f>SUM(D114:D118)</f>
        <v>40</v>
      </c>
      <c r="E119" s="171">
        <f t="shared" ref="E119:F119" si="32">SUM(E114:E118)</f>
        <v>216119</v>
      </c>
      <c r="F119" s="171">
        <f t="shared" si="32"/>
        <v>0</v>
      </c>
      <c r="G119" s="171">
        <f>SUM(G114:G118)</f>
        <v>216119</v>
      </c>
      <c r="H119" s="172">
        <f t="shared" si="30"/>
        <v>2.0908866543985011E-2</v>
      </c>
      <c r="I119" s="337"/>
      <c r="J119" s="168"/>
      <c r="K119" s="168"/>
      <c r="M119" s="364">
        <f t="shared" si="31"/>
        <v>5.8185660824381449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1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490">
        <f>'[24]Sch C'!D124</f>
        <v>0</v>
      </c>
      <c r="D123" s="490">
        <f>'[24]Sch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7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0.77002560279620991</v>
      </c>
    </row>
    <row r="124" spans="1:14" s="167" customFormat="1">
      <c r="B124" s="163" t="s">
        <v>194</v>
      </c>
      <c r="C124" s="490">
        <f>'[24]Sch C'!D125</f>
        <v>524731</v>
      </c>
      <c r="D124" s="490">
        <f>'[24]Sch C'!F125</f>
        <v>0</v>
      </c>
      <c r="E124" s="171">
        <f t="shared" si="33"/>
        <v>524731</v>
      </c>
      <c r="F124" s="171"/>
      <c r="G124" s="171">
        <f>E124+F124</f>
        <v>524731</v>
      </c>
      <c r="H124" s="172">
        <f>IF($G$208=0,0,G124/$G$208)</f>
        <v>5.0766154065546291E-2</v>
      </c>
      <c r="I124" s="337"/>
      <c r="J124" s="183">
        <v>13343</v>
      </c>
      <c r="K124" s="183">
        <v>14707</v>
      </c>
      <c r="M124" s="364">
        <f t="shared" si="34"/>
        <v>14.127318741081766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490">
        <f>'[24]Sch C'!D126</f>
        <v>0</v>
      </c>
      <c r="D125" s="490">
        <f>'[24]Sch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7"/>
      <c r="J125" s="183">
        <v>0</v>
      </c>
      <c r="K125" s="183">
        <v>0</v>
      </c>
      <c r="M125" s="364">
        <f t="shared" si="34"/>
        <v>0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490">
        <f>'[24]Sch C'!D127</f>
        <v>0</v>
      </c>
      <c r="D126" s="490">
        <f>'[24]Sch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7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490">
        <f>'[24]Sch C'!D128</f>
        <v>91756</v>
      </c>
      <c r="D127" s="490">
        <f>'[24]Sch C'!F128</f>
        <v>0</v>
      </c>
      <c r="E127" s="171">
        <f t="shared" si="33"/>
        <v>91756</v>
      </c>
      <c r="F127" s="171"/>
      <c r="G127" s="171">
        <f>E127+F127</f>
        <v>91756</v>
      </c>
      <c r="H127" s="172">
        <f>IF($G$208=0,0,G127/$G$208)</f>
        <v>8.8771184329461492E-3</v>
      </c>
      <c r="I127" s="337"/>
      <c r="J127" s="183">
        <v>3977</v>
      </c>
      <c r="K127" s="183">
        <v>4466</v>
      </c>
      <c r="M127" s="364">
        <f t="shared" si="34"/>
        <v>2.4703443448294431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205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490">
        <f>'[24]Sch C'!D130</f>
        <v>0</v>
      </c>
      <c r="D129" s="490">
        <f>'[24]Sch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7"/>
      <c r="J129" s="204"/>
      <c r="K129" s="204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490">
        <f>'[24]Sch C'!D131</f>
        <v>47919</v>
      </c>
      <c r="D130" s="490">
        <f>'[24]Sch C'!F131</f>
        <v>11922</v>
      </c>
      <c r="E130" s="171">
        <f t="shared" si="35"/>
        <v>59841</v>
      </c>
      <c r="F130" s="171"/>
      <c r="G130" s="171">
        <f>E130+F130</f>
        <v>59841</v>
      </c>
      <c r="H130" s="172">
        <f>IF($G$208=0,0,G130/$G$208)</f>
        <v>5.7894376841397888E-3</v>
      </c>
      <c r="I130" s="337"/>
      <c r="J130" s="204"/>
      <c r="K130" s="204"/>
      <c r="M130" s="364">
        <f t="shared" si="34"/>
        <v>1.6110976496244245</v>
      </c>
      <c r="N130" s="359">
        <f>SUMMARY!J133</f>
        <v>1.0792348507966931</v>
      </c>
    </row>
    <row r="131" spans="1:14" s="167" customFormat="1">
      <c r="B131" s="163" t="s">
        <v>195</v>
      </c>
      <c r="C131" s="490">
        <f>'[24]Sch C'!D132</f>
        <v>0</v>
      </c>
      <c r="D131" s="490">
        <f>'[24]Sch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7"/>
      <c r="J131" s="168"/>
      <c r="K131" s="168"/>
      <c r="M131" s="364">
        <f t="shared" si="34"/>
        <v>0</v>
      </c>
      <c r="N131" s="359">
        <f>SUMMARY!J134</f>
        <v>8.2765628075518377E-2</v>
      </c>
    </row>
    <row r="132" spans="1:14" s="167" customFormat="1">
      <c r="B132" s="163" t="s">
        <v>196</v>
      </c>
      <c r="C132" s="490">
        <f>'[24]Sch C'!D133</f>
        <v>0</v>
      </c>
      <c r="D132" s="490">
        <f>'[24]Sch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490">
        <f>'[24]Sch C'!D134</f>
        <v>9127</v>
      </c>
      <c r="D133" s="490">
        <f>'[24]Sch C'!F134</f>
        <v>2085</v>
      </c>
      <c r="E133" s="171">
        <f t="shared" si="35"/>
        <v>11212</v>
      </c>
      <c r="F133" s="171"/>
      <c r="G133" s="171">
        <f>E133+F133</f>
        <v>11212</v>
      </c>
      <c r="H133" s="172">
        <f>IF($G$208=0,0,G133/$G$208)</f>
        <v>1.0847274496511641E-3</v>
      </c>
      <c r="I133" s="337"/>
      <c r="J133" s="168"/>
      <c r="K133" s="168"/>
      <c r="M133" s="364">
        <f t="shared" si="34"/>
        <v>0.3018603774600867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490">
        <f>'[24]Sch C'!D136</f>
        <v>414860</v>
      </c>
      <c r="D135" s="490">
        <f>'[24]Sch C'!F136</f>
        <v>17787</v>
      </c>
      <c r="E135" s="171">
        <f t="shared" ref="E135:E138" si="36">C135+D135</f>
        <v>432647</v>
      </c>
      <c r="F135" s="171"/>
      <c r="G135" s="171">
        <f>E135+F135</f>
        <v>432647</v>
      </c>
      <c r="H135" s="172">
        <f>IF($G$208=0,0,G135/$G$208)</f>
        <v>4.1857302614094469E-2</v>
      </c>
      <c r="I135" s="337"/>
      <c r="J135" s="183">
        <v>14813</v>
      </c>
      <c r="K135" s="183">
        <v>15548</v>
      </c>
      <c r="M135" s="364">
        <f t="shared" si="34"/>
        <v>11.648143660985919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490">
        <f>'[24]Sch C'!D137</f>
        <v>654222</v>
      </c>
      <c r="D136" s="490">
        <f>'[24]Sch C'!F137</f>
        <v>25961</v>
      </c>
      <c r="E136" s="171">
        <f t="shared" si="36"/>
        <v>680183</v>
      </c>
      <c r="F136" s="171"/>
      <c r="G136" s="171">
        <f>E136+F136</f>
        <v>680183</v>
      </c>
      <c r="H136" s="172">
        <f>IF($G$208=0,0,G136/$G$208)</f>
        <v>6.5805669897081503E-2</v>
      </c>
      <c r="I136" s="337"/>
      <c r="J136" s="183">
        <v>24614</v>
      </c>
      <c r="K136" s="183">
        <v>25399</v>
      </c>
      <c r="M136" s="364">
        <f t="shared" si="34"/>
        <v>18.312548797889239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490">
        <f>'[24]Sch C'!D138</f>
        <v>1096063</v>
      </c>
      <c r="D137" s="490">
        <f>'[24]Sch C'!F138</f>
        <v>43275</v>
      </c>
      <c r="E137" s="171">
        <f t="shared" si="36"/>
        <v>1139338</v>
      </c>
      <c r="F137" s="171"/>
      <c r="G137" s="171">
        <f>E137+F137</f>
        <v>1139338</v>
      </c>
      <c r="H137" s="172">
        <f>IF($G$208=0,0,G137/$G$208)</f>
        <v>0.11022754218967695</v>
      </c>
      <c r="I137" s="337"/>
      <c r="J137" s="183">
        <v>84511</v>
      </c>
      <c r="K137" s="183">
        <v>88161</v>
      </c>
      <c r="M137" s="364">
        <f t="shared" si="34"/>
        <v>30.674366637051396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490">
        <f>'[24]Sch C'!D139</f>
        <v>87023</v>
      </c>
      <c r="D138" s="490">
        <f>'[24]Sch C'!F139</f>
        <v>-87023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7"/>
      <c r="J138" s="183">
        <v>0</v>
      </c>
      <c r="K138" s="183">
        <v>0</v>
      </c>
      <c r="M138" s="364">
        <f t="shared" si="34"/>
        <v>0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7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490">
        <f>'[24]Sch C'!D141</f>
        <v>242451</v>
      </c>
      <c r="D140" s="490">
        <f>'[24]Sch C'!F141</f>
        <v>-185466</v>
      </c>
      <c r="E140" s="171">
        <f t="shared" ref="E140:E143" si="37">C140+D140</f>
        <v>56985</v>
      </c>
      <c r="F140" s="171"/>
      <c r="G140" s="171">
        <f>E140+F140</f>
        <v>56985</v>
      </c>
      <c r="H140" s="172">
        <f>IF($G$208=0,0,G140/$G$208)</f>
        <v>5.5131282303221181E-3</v>
      </c>
      <c r="I140" s="337"/>
      <c r="J140" s="168"/>
      <c r="K140" s="168"/>
      <c r="M140" s="364">
        <f t="shared" si="34"/>
        <v>1.5342056376706243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490">
        <f>'[24]Sch C'!D142</f>
        <v>0</v>
      </c>
      <c r="D141" s="490">
        <f>'[24]Sch C'!F142</f>
        <v>88677</v>
      </c>
      <c r="E141" s="171">
        <f t="shared" si="37"/>
        <v>88677</v>
      </c>
      <c r="F141" s="171"/>
      <c r="G141" s="171">
        <f>E141+F141</f>
        <v>88677</v>
      </c>
      <c r="H141" s="172">
        <f>IF($G$208=0,0,G141/$G$208)</f>
        <v>8.5792343964249274E-3</v>
      </c>
      <c r="I141" s="337"/>
      <c r="J141" s="168"/>
      <c r="K141" s="168"/>
      <c r="M141" s="364">
        <f t="shared" si="34"/>
        <v>2.3874485098134239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490">
        <f>'[24]Sch C'!D143</f>
        <v>0</v>
      </c>
      <c r="D142" s="490">
        <f>'[24]Sch C'!F143</f>
        <v>147959</v>
      </c>
      <c r="E142" s="171">
        <f t="shared" si="37"/>
        <v>147959</v>
      </c>
      <c r="F142" s="171"/>
      <c r="G142" s="171">
        <f>E142+F142</f>
        <v>147959</v>
      </c>
      <c r="H142" s="172">
        <f>IF($G$208=0,0,G142/$G$208)</f>
        <v>1.431459050329438E-2</v>
      </c>
      <c r="I142" s="337"/>
      <c r="J142" s="168"/>
      <c r="K142" s="168"/>
      <c r="M142" s="364">
        <f t="shared" si="34"/>
        <v>3.9834962173222412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490">
        <f>'[24]Sch C'!D144</f>
        <v>0</v>
      </c>
      <c r="D143" s="490">
        <f>'[24]Sch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7"/>
      <c r="J143" s="168"/>
      <c r="K143" s="168"/>
      <c r="M143" s="364">
        <f t="shared" si="34"/>
        <v>0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7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490">
        <f>'[24]Sch C'!D146</f>
        <v>60952</v>
      </c>
      <c r="D145" s="490">
        <f>'[24]Sch C'!F146</f>
        <v>0</v>
      </c>
      <c r="E145" s="171">
        <f t="shared" ref="E145:E153" si="38">C145+D145</f>
        <v>60952</v>
      </c>
      <c r="F145" s="171"/>
      <c r="G145" s="171">
        <f t="shared" ref="G145:G153" si="39">E145+F145</f>
        <v>60952</v>
      </c>
      <c r="H145" s="172">
        <f t="shared" ref="H145:H153" si="40">IF($G$208=0,0,G145/$G$208)</f>
        <v>5.8969236096269853E-3</v>
      </c>
      <c r="I145" s="337"/>
      <c r="J145" s="183">
        <v>360</v>
      </c>
      <c r="K145" s="183">
        <v>360</v>
      </c>
      <c r="M145" s="364">
        <f t="shared" si="34"/>
        <v>1.6410090730420268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490">
        <f>'[24]Sch C'!D147</f>
        <v>1550</v>
      </c>
      <c r="D146" s="490">
        <f>'[24]Sch C'!F147</f>
        <v>0</v>
      </c>
      <c r="E146" s="171">
        <f t="shared" si="38"/>
        <v>1550</v>
      </c>
      <c r="F146" s="171"/>
      <c r="G146" s="171">
        <f t="shared" si="39"/>
        <v>1550</v>
      </c>
      <c r="H146" s="172">
        <f t="shared" si="40"/>
        <v>1.4995786184082274E-4</v>
      </c>
      <c r="I146" s="337"/>
      <c r="J146" s="183">
        <v>0</v>
      </c>
      <c r="K146" s="183">
        <v>0</v>
      </c>
      <c r="M146" s="364">
        <f t="shared" si="34"/>
        <v>4.1730608728427966E-2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490">
        <f>'[24]Sch C'!D148</f>
        <v>0</v>
      </c>
      <c r="D147" s="490">
        <f>'[24]Sch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7"/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490">
        <f>'[24]Sch C'!D149</f>
        <v>0</v>
      </c>
      <c r="D148" s="490">
        <f>'[24]Sch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7"/>
      <c r="J148" s="183">
        <v>0</v>
      </c>
      <c r="K148" s="183">
        <v>0</v>
      </c>
      <c r="M148" s="364">
        <f t="shared" si="34"/>
        <v>0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490">
        <f>'[24]Sch C'!D150</f>
        <v>24183</v>
      </c>
      <c r="D149" s="490">
        <f>'[24]Sch C'!F150</f>
        <v>0</v>
      </c>
      <c r="E149" s="171">
        <f t="shared" si="38"/>
        <v>24183</v>
      </c>
      <c r="F149" s="171"/>
      <c r="G149" s="171">
        <f t="shared" si="39"/>
        <v>24183</v>
      </c>
      <c r="H149" s="172">
        <f t="shared" si="40"/>
        <v>2.3396328857397523E-3</v>
      </c>
      <c r="I149" s="337"/>
      <c r="J149" s="183">
        <v>0</v>
      </c>
      <c r="K149" s="183">
        <v>0</v>
      </c>
      <c r="M149" s="364">
        <f t="shared" si="34"/>
        <v>0.65107826508359579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490">
        <f>'[24]Sch C'!D151</f>
        <v>192797</v>
      </c>
      <c r="D150" s="490">
        <f>'[24]Sch C'!F151</f>
        <v>437</v>
      </c>
      <c r="E150" s="171">
        <f t="shared" si="38"/>
        <v>193234</v>
      </c>
      <c r="F150" s="171"/>
      <c r="G150" s="171">
        <f t="shared" si="39"/>
        <v>193234</v>
      </c>
      <c r="H150" s="172">
        <f t="shared" si="40"/>
        <v>1.8694811274160995E-2</v>
      </c>
      <c r="I150" s="337"/>
      <c r="J150" s="168"/>
      <c r="K150" s="168"/>
      <c r="M150" s="364">
        <f t="shared" si="34"/>
        <v>5.2024338367929355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490">
        <f>'[24]Sch C'!D152</f>
        <v>3800</v>
      </c>
      <c r="D151" s="490">
        <f>'[24]Sch C'!F152</f>
        <v>0</v>
      </c>
      <c r="E151" s="171">
        <f t="shared" si="38"/>
        <v>3800</v>
      </c>
      <c r="F151" s="171"/>
      <c r="G151" s="171">
        <f t="shared" si="39"/>
        <v>3800</v>
      </c>
      <c r="H151" s="172">
        <f t="shared" si="40"/>
        <v>3.6763862902911378E-4</v>
      </c>
      <c r="I151" s="337"/>
      <c r="J151" s="168"/>
      <c r="K151" s="168"/>
      <c r="M151" s="364">
        <f t="shared" si="34"/>
        <v>0.10230729881808147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490">
        <f>'[24]Sch C'!D153</f>
        <v>19774</v>
      </c>
      <c r="D152" s="490">
        <f>'[24]Sch C'!F153</f>
        <v>0</v>
      </c>
      <c r="E152" s="171">
        <f t="shared" si="38"/>
        <v>19774</v>
      </c>
      <c r="F152" s="171"/>
      <c r="G152" s="171">
        <f t="shared" si="39"/>
        <v>19774</v>
      </c>
      <c r="H152" s="172">
        <f t="shared" si="40"/>
        <v>1.9130753290583411E-3</v>
      </c>
      <c r="I152" s="337"/>
      <c r="J152" s="168"/>
      <c r="K152" s="168"/>
      <c r="M152" s="364">
        <f t="shared" si="34"/>
        <v>0.53237487548124818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490">
        <f>'[24]Sch C'!D154</f>
        <v>978939</v>
      </c>
      <c r="D153" s="490">
        <f>'[24]Sch C'!F154</f>
        <v>0</v>
      </c>
      <c r="E153" s="171">
        <f t="shared" si="38"/>
        <v>978939</v>
      </c>
      <c r="F153" s="171"/>
      <c r="G153" s="171">
        <f t="shared" si="39"/>
        <v>978939</v>
      </c>
      <c r="H153" s="172">
        <f t="shared" si="40"/>
        <v>9.4709418911350429E-2</v>
      </c>
      <c r="I153" s="337"/>
      <c r="J153" s="168"/>
      <c r="K153" s="168"/>
      <c r="M153" s="364">
        <f t="shared" si="34"/>
        <v>26.355948630966804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210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490">
        <f>'[24]Sch C'!D156</f>
        <v>0</v>
      </c>
      <c r="D155" s="490">
        <f>'[24]Sch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490">
        <f>'[24]Sch C'!D157</f>
        <v>0</v>
      </c>
      <c r="D156" s="490">
        <f>'[24]Sch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490">
        <f>'[24]Sch C'!D158</f>
        <v>0</v>
      </c>
      <c r="D157" s="490">
        <f>'[24]Sch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7"/>
      <c r="J157" s="168"/>
      <c r="K157" s="168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490">
        <f>'[24]Sch C'!D159</f>
        <v>0</v>
      </c>
      <c r="D158" s="490">
        <f>'[24]Sch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490">
        <f>'[24]Sch C'!D160</f>
        <v>0</v>
      </c>
      <c r="D159" s="490">
        <f>'[24]Sch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7"/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490">
        <f>'[24]Sch C'!D161</f>
        <v>197026</v>
      </c>
      <c r="D160" s="490">
        <f>'[24]Sch C'!F161</f>
        <v>143263</v>
      </c>
      <c r="E160" s="171">
        <f t="shared" si="41"/>
        <v>340289</v>
      </c>
      <c r="F160" s="171"/>
      <c r="G160" s="171">
        <f t="shared" si="42"/>
        <v>340289</v>
      </c>
      <c r="H160" s="172">
        <f t="shared" si="43"/>
        <v>3.2921942482549503E-2</v>
      </c>
      <c r="I160" s="337"/>
      <c r="J160" s="168"/>
      <c r="K160" s="168"/>
      <c r="M160" s="364">
        <f t="shared" si="34"/>
        <v>9.1615916861858224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490">
        <f>SUM(C123:C160)</f>
        <v>4647173</v>
      </c>
      <c r="D161" s="490">
        <f>SUM(D123:D160)</f>
        <v>208877</v>
      </c>
      <c r="E161" s="171">
        <f t="shared" ref="E161:F161" si="44">SUM(E123:E160)</f>
        <v>4856050</v>
      </c>
      <c r="F161" s="171">
        <f t="shared" si="44"/>
        <v>0</v>
      </c>
      <c r="G161" s="171">
        <f>SUM(G123:G160)</f>
        <v>4856050</v>
      </c>
      <c r="H161" s="172">
        <f t="shared" si="43"/>
        <v>0.46980830644653371</v>
      </c>
      <c r="I161" s="337"/>
      <c r="J161" s="168"/>
      <c r="K161" s="168"/>
      <c r="M161" s="364">
        <f>G161/G$228</f>
        <v>130.73930484882752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337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7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490">
        <f>'[24]Sch C'!D175</f>
        <v>0</v>
      </c>
      <c r="D164" s="490">
        <f>'[24]Sch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490">
        <f>'[24]Sch C'!D176</f>
        <v>0</v>
      </c>
      <c r="D165" s="490">
        <f>'[24]Sch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490">
        <f>'[24]Sch C'!D177</f>
        <v>0</v>
      </c>
      <c r="D166" s="490">
        <f>'[24]Sch C'!F177</f>
        <v>0</v>
      </c>
      <c r="E166" s="171">
        <f t="shared" si="45"/>
        <v>0</v>
      </c>
      <c r="F166" s="216"/>
      <c r="G166" s="171">
        <f t="shared" si="46"/>
        <v>0</v>
      </c>
      <c r="H166" s="172">
        <f t="shared" si="47"/>
        <v>0</v>
      </c>
      <c r="I166" s="343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490">
        <f>'[24]Sch C'!D178</f>
        <v>0</v>
      </c>
      <c r="D167" s="490">
        <f>'[24]Sch C'!F178</f>
        <v>0</v>
      </c>
      <c r="E167" s="171">
        <f t="shared" si="45"/>
        <v>0</v>
      </c>
      <c r="F167" s="216"/>
      <c r="G167" s="171">
        <f t="shared" si="46"/>
        <v>0</v>
      </c>
      <c r="H167" s="172">
        <f t="shared" si="47"/>
        <v>0</v>
      </c>
      <c r="I167" s="344"/>
      <c r="J167" s="222"/>
      <c r="K167" s="222"/>
      <c r="L167" s="218"/>
      <c r="M167" s="364">
        <f t="shared" si="48"/>
        <v>0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490">
        <f>'[24]Sch C'!D179</f>
        <v>0</v>
      </c>
      <c r="D168" s="490">
        <f>'[24]Sch C'!F179</f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343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490">
        <f>'[24]Sch C'!D180</f>
        <v>0</v>
      </c>
      <c r="D169" s="490">
        <f>'[24]Sch C'!F180</f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344"/>
      <c r="J169" s="222"/>
      <c r="K169" s="222"/>
      <c r="L169" s="218"/>
      <c r="M169" s="364">
        <f t="shared" si="48"/>
        <v>0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490">
        <f>'[24]Sch C'!D181</f>
        <v>0</v>
      </c>
      <c r="D170" s="490">
        <f>'[24]Sch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3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490">
        <f>'[24]Sch C'!D182</f>
        <v>0</v>
      </c>
      <c r="D171" s="490">
        <f>'[24]Sch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490">
        <f>'[24]Sch C'!D183</f>
        <v>0</v>
      </c>
      <c r="D172" s="490">
        <f>'[24]Sch C'!F183</f>
        <v>0</v>
      </c>
      <c r="E172" s="171">
        <f t="shared" si="45"/>
        <v>0</v>
      </c>
      <c r="F172" s="216"/>
      <c r="G172" s="171">
        <f t="shared" si="46"/>
        <v>0</v>
      </c>
      <c r="H172" s="172">
        <f t="shared" si="47"/>
        <v>0</v>
      </c>
      <c r="I172" s="343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490">
        <f>'[24]Sch C'!D184</f>
        <v>0</v>
      </c>
      <c r="D173" s="490">
        <f>'[24]Sch C'!F184</f>
        <v>0</v>
      </c>
      <c r="E173" s="171">
        <f t="shared" si="45"/>
        <v>0</v>
      </c>
      <c r="F173" s="216"/>
      <c r="G173" s="171">
        <f t="shared" si="46"/>
        <v>0</v>
      </c>
      <c r="H173" s="172">
        <f t="shared" si="47"/>
        <v>0</v>
      </c>
      <c r="I173" s="344"/>
      <c r="J173" s="222"/>
      <c r="K173" s="222"/>
      <c r="L173" s="218"/>
      <c r="M173" s="364">
        <f t="shared" si="48"/>
        <v>0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490">
        <f>'[24]Sch C'!D185</f>
        <v>0</v>
      </c>
      <c r="D174" s="490">
        <f>'[24]Sch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3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490">
        <f>'[24]Sch C'!D186</f>
        <v>0</v>
      </c>
      <c r="D175" s="490">
        <f>'[24]Sch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490">
        <f>'[24]Sch C'!D187</f>
        <v>0</v>
      </c>
      <c r="D176" s="490">
        <f>'[24]Sch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490">
        <f>'[24]Sch C'!D188</f>
        <v>10479</v>
      </c>
      <c r="D177" s="490">
        <f>'[24]Sch C'!F188</f>
        <v>1</v>
      </c>
      <c r="E177" s="171">
        <f t="shared" si="45"/>
        <v>10480</v>
      </c>
      <c r="F177" s="216"/>
      <c r="G177" s="171">
        <f t="shared" si="46"/>
        <v>10480</v>
      </c>
      <c r="H177" s="172">
        <f t="shared" si="47"/>
        <v>1.0139086400592402E-3</v>
      </c>
      <c r="I177" s="337"/>
      <c r="J177" s="223"/>
      <c r="K177" s="218"/>
      <c r="L177" s="220"/>
      <c r="M177" s="364">
        <f t="shared" si="48"/>
        <v>0.2821527609509194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490">
        <f>'[24]Sch C'!D189</f>
        <v>0</v>
      </c>
      <c r="D178" s="490">
        <f>'[24]Sch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337"/>
      <c r="J178" s="223"/>
      <c r="K178" s="218"/>
      <c r="L178" s="220"/>
      <c r="M178" s="364">
        <f t="shared" si="48"/>
        <v>0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490">
        <f>'[24]Sch C'!D190</f>
        <v>0</v>
      </c>
      <c r="D179" s="490">
        <f>'[24]Sch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490">
        <f>'[24]Sch C'!D191</f>
        <v>9883</v>
      </c>
      <c r="D180" s="490">
        <f>'[24]Sch C'!F191</f>
        <v>0</v>
      </c>
      <c r="E180" s="171">
        <f t="shared" si="45"/>
        <v>9883</v>
      </c>
      <c r="F180" s="216"/>
      <c r="G180" s="171">
        <f t="shared" si="46"/>
        <v>9883</v>
      </c>
      <c r="H180" s="172">
        <f t="shared" si="47"/>
        <v>9.5615067649861354E-4</v>
      </c>
      <c r="I180" s="337"/>
      <c r="J180" s="223"/>
      <c r="K180" s="218"/>
      <c r="L180" s="220"/>
      <c r="M180" s="364">
        <f t="shared" si="48"/>
        <v>0.26607974584713134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490">
        <f>'[24]Sch C'!D192</f>
        <v>64920</v>
      </c>
      <c r="D181" s="490">
        <f>'[24]Sch C'!F192</f>
        <v>0</v>
      </c>
      <c r="E181" s="171">
        <f t="shared" si="45"/>
        <v>64920</v>
      </c>
      <c r="F181" s="216"/>
      <c r="G181" s="171">
        <f t="shared" si="46"/>
        <v>64920</v>
      </c>
      <c r="H181" s="172">
        <f t="shared" si="47"/>
        <v>6.2808157359394911E-3</v>
      </c>
      <c r="I181" s="337"/>
      <c r="J181" s="223"/>
      <c r="K181" s="218"/>
      <c r="L181" s="220"/>
      <c r="M181" s="364">
        <f t="shared" si="48"/>
        <v>1.7478394313868024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490">
        <f>'[24]Sch C'!D193</f>
        <v>0</v>
      </c>
      <c r="D182" s="490">
        <f>'[24]Sch C'!F193</f>
        <v>0</v>
      </c>
      <c r="E182" s="171">
        <f t="shared" si="45"/>
        <v>0</v>
      </c>
      <c r="F182" s="216"/>
      <c r="G182" s="171">
        <f t="shared" si="46"/>
        <v>0</v>
      </c>
      <c r="H182" s="172">
        <f t="shared" si="47"/>
        <v>0</v>
      </c>
      <c r="I182" s="337"/>
      <c r="J182" s="223"/>
      <c r="K182" s="218"/>
      <c r="L182" s="220"/>
      <c r="M182" s="364">
        <f t="shared" si="48"/>
        <v>0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490">
        <f>'[24]Sch C'!D194</f>
        <v>378690</v>
      </c>
      <c r="D183" s="490">
        <f>'[24]Sch C'!F194</f>
        <v>-36618</v>
      </c>
      <c r="E183" s="171">
        <f t="shared" si="45"/>
        <v>342072</v>
      </c>
      <c r="F183" s="216"/>
      <c r="G183" s="171">
        <f t="shared" si="46"/>
        <v>342072</v>
      </c>
      <c r="H183" s="172">
        <f t="shared" si="47"/>
        <v>3.3094442397170264E-2</v>
      </c>
      <c r="I183" s="337"/>
      <c r="J183" s="223"/>
      <c r="K183" s="218"/>
      <c r="M183" s="364">
        <f t="shared" si="48"/>
        <v>9.2095953477102004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490">
        <f>'[24]Sch C'!D195</f>
        <v>218635</v>
      </c>
      <c r="D184" s="490">
        <f>'[24]Sch C'!F195</f>
        <v>-14074</v>
      </c>
      <c r="E184" s="171">
        <f t="shared" si="45"/>
        <v>204561</v>
      </c>
      <c r="F184" s="216"/>
      <c r="G184" s="171">
        <f t="shared" si="46"/>
        <v>204561</v>
      </c>
      <c r="H184" s="172">
        <f t="shared" si="47"/>
        <v>1.9790664629690671E-2</v>
      </c>
      <c r="I184" s="337"/>
      <c r="J184" s="223"/>
      <c r="K184" s="218"/>
      <c r="M184" s="364">
        <f t="shared" si="48"/>
        <v>5.5073903561909381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490">
        <f>'[24]Sch C'!D196</f>
        <v>0</v>
      </c>
      <c r="D185" s="490">
        <f>'[24]Sch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490">
        <f>'[24]Sch C'!D197</f>
        <v>327183</v>
      </c>
      <c r="D186" s="490">
        <f>'[24]Sch C'!F197</f>
        <v>-12540</v>
      </c>
      <c r="E186" s="171">
        <f t="shared" si="45"/>
        <v>314643</v>
      </c>
      <c r="F186" s="216"/>
      <c r="G186" s="171">
        <f t="shared" si="46"/>
        <v>314643</v>
      </c>
      <c r="H186" s="172">
        <f t="shared" si="47"/>
        <v>3.0440768724633541E-2</v>
      </c>
      <c r="I186" s="337"/>
      <c r="J186" s="223"/>
      <c r="K186" s="218"/>
      <c r="M186" s="364">
        <f t="shared" si="48"/>
        <v>8.4711251110572654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490">
        <f>'[24]Sch C'!D198</f>
        <v>0</v>
      </c>
      <c r="D187" s="490">
        <f>'[24]Sch C'!F198</f>
        <v>0</v>
      </c>
      <c r="E187" s="171">
        <f t="shared" si="45"/>
        <v>0</v>
      </c>
      <c r="F187" s="216"/>
      <c r="G187" s="171">
        <f t="shared" si="46"/>
        <v>0</v>
      </c>
      <c r="H187" s="172">
        <f t="shared" si="47"/>
        <v>0</v>
      </c>
      <c r="I187" s="337"/>
      <c r="J187" s="223"/>
      <c r="K187" s="218"/>
      <c r="M187" s="364">
        <f t="shared" si="48"/>
        <v>0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490">
        <f>'[24]Sch C'!D199</f>
        <v>0</v>
      </c>
      <c r="D188" s="490">
        <f>'[24]Sch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7"/>
      <c r="J188" s="223"/>
      <c r="K188" s="218"/>
      <c r="M188" s="364">
        <f t="shared" si="48"/>
        <v>0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490">
        <f>'[24]Sch C'!D200</f>
        <v>0</v>
      </c>
      <c r="D189" s="490">
        <f>'[24]Sch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7"/>
      <c r="J189" s="223"/>
      <c r="K189" s="218"/>
      <c r="M189" s="364">
        <f t="shared" si="48"/>
        <v>0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490">
        <f>'[24]Sch C'!D201</f>
        <v>0</v>
      </c>
      <c r="D190" s="490">
        <f>'[24]Sch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7"/>
      <c r="J190" s="223"/>
      <c r="K190" s="218"/>
      <c r="M190" s="364">
        <f t="shared" si="48"/>
        <v>0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490">
        <f>'[24]Sch C'!D202</f>
        <v>0</v>
      </c>
      <c r="D191" s="490">
        <f>'[24]Sch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490">
        <f>'[24]Sch C'!D203</f>
        <v>0</v>
      </c>
      <c r="D192" s="490">
        <f>'[24]Sch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7"/>
      <c r="J192" s="223"/>
      <c r="K192" s="218"/>
      <c r="M192" s="364">
        <f t="shared" si="48"/>
        <v>0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490">
        <f>'[24]Sch C'!D204</f>
        <v>0</v>
      </c>
      <c r="D193" s="490">
        <f>'[24]Sch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490">
        <f>'[24]Sch C'!D205</f>
        <v>482855</v>
      </c>
      <c r="D194" s="490">
        <f>'[24]Sch C'!F205</f>
        <v>0</v>
      </c>
      <c r="E194" s="171">
        <f t="shared" si="45"/>
        <v>482855</v>
      </c>
      <c r="F194" s="216"/>
      <c r="G194" s="171">
        <f t="shared" si="46"/>
        <v>482855</v>
      </c>
      <c r="H194" s="172">
        <f t="shared" si="47"/>
        <v>4.6714776373645454E-2</v>
      </c>
      <c r="I194" s="337"/>
      <c r="J194" s="223"/>
      <c r="K194" s="218"/>
      <c r="M194" s="364">
        <f t="shared" si="48"/>
        <v>12.999892308106507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490">
        <f>'[24]Sch C'!D206</f>
        <v>0</v>
      </c>
      <c r="D195" s="490">
        <f>'[24]Sch C'!F206</f>
        <v>0</v>
      </c>
      <c r="E195" s="171">
        <f t="shared" si="45"/>
        <v>0</v>
      </c>
      <c r="F195" s="216"/>
      <c r="G195" s="171">
        <f t="shared" si="46"/>
        <v>0</v>
      </c>
      <c r="H195" s="172">
        <f t="shared" si="47"/>
        <v>0</v>
      </c>
      <c r="I195" s="337"/>
      <c r="J195" s="223"/>
      <c r="K195" s="218"/>
      <c r="M195" s="364">
        <f t="shared" si="48"/>
        <v>0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490">
        <f>'[24]Sch C'!D207</f>
        <v>18102</v>
      </c>
      <c r="D196" s="490">
        <f>'[24]Sch C'!F207</f>
        <v>0</v>
      </c>
      <c r="E196" s="171">
        <f t="shared" si="45"/>
        <v>18102</v>
      </c>
      <c r="F196" s="216"/>
      <c r="G196" s="171">
        <f t="shared" si="46"/>
        <v>18102</v>
      </c>
      <c r="H196" s="172">
        <f t="shared" si="47"/>
        <v>1.751314332285531E-3</v>
      </c>
      <c r="I196" s="337"/>
      <c r="J196" s="223"/>
      <c r="K196" s="218"/>
      <c r="M196" s="364">
        <f t="shared" si="48"/>
        <v>0.48735966400129233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490">
        <f>SUM(C164:C196)</f>
        <v>1510747</v>
      </c>
      <c r="D197" s="490">
        <f>SUM(D164:D196)</f>
        <v>-63231</v>
      </c>
      <c r="E197" s="171">
        <f t="shared" ref="E197:F197" si="49">SUM(E164:E196)</f>
        <v>1447516</v>
      </c>
      <c r="F197" s="171">
        <f t="shared" si="49"/>
        <v>0</v>
      </c>
      <c r="G197" s="171">
        <f>SUM(G164:G196)</f>
        <v>1447516</v>
      </c>
      <c r="H197" s="172">
        <f>IF($G$208=0,0,G197/$G$208)</f>
        <v>0.1400428415099228</v>
      </c>
      <c r="I197" s="337"/>
      <c r="J197" s="168"/>
      <c r="K197" s="168"/>
      <c r="M197" s="364">
        <f>G197/G$228</f>
        <v>38.971434725251058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165"/>
      <c r="G198" s="165"/>
      <c r="H198" s="198"/>
      <c r="I198" s="341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1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490">
        <f>'[24]Sch C'!D211</f>
        <v>171306</v>
      </c>
      <c r="D200" s="490">
        <f>'[24]Sch C'!F211</f>
        <v>0</v>
      </c>
      <c r="E200" s="171">
        <f t="shared" ref="E200:E205" si="50">C200+D200</f>
        <v>171306</v>
      </c>
      <c r="F200" s="171"/>
      <c r="G200" s="171">
        <f t="shared" ref="G200:G205" si="51">E200+F200</f>
        <v>171306</v>
      </c>
      <c r="H200" s="172">
        <f t="shared" ref="H200:H206" si="52">IF($G$208=0,0,G200/$G$208)</f>
        <v>1.6573342890647727E-2</v>
      </c>
      <c r="I200" s="337"/>
      <c r="J200" s="183">
        <v>9891</v>
      </c>
      <c r="K200" s="183">
        <v>10704</v>
      </c>
      <c r="M200" s="364">
        <f t="shared" ref="M200:M205" si="53">G200/G$228</f>
        <v>4.6120668766658586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490">
        <f>'[24]Sch C'!D212</f>
        <v>16608</v>
      </c>
      <c r="D201" s="490">
        <f>'[24]Sch C'!F212</f>
        <v>3892</v>
      </c>
      <c r="E201" s="171">
        <f t="shared" si="50"/>
        <v>20500</v>
      </c>
      <c r="F201" s="171"/>
      <c r="G201" s="171">
        <f t="shared" si="51"/>
        <v>20500</v>
      </c>
      <c r="H201" s="172">
        <f t="shared" si="52"/>
        <v>1.9833136566044297E-3</v>
      </c>
      <c r="I201" s="337"/>
      <c r="J201" s="168"/>
      <c r="K201" s="168"/>
      <c r="M201" s="364">
        <f t="shared" si="53"/>
        <v>0.55192095415017639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490">
        <f>'[24]Sch C'!D213</f>
        <v>25259</v>
      </c>
      <c r="D202" s="490">
        <f>'[24]Sch C'!F213</f>
        <v>0</v>
      </c>
      <c r="E202" s="171">
        <f t="shared" si="50"/>
        <v>25259</v>
      </c>
      <c r="F202" s="171"/>
      <c r="G202" s="171">
        <f t="shared" si="51"/>
        <v>25259</v>
      </c>
      <c r="H202" s="172">
        <f t="shared" si="52"/>
        <v>2.4437326659595749E-3</v>
      </c>
      <c r="I202" s="337"/>
      <c r="J202" s="168"/>
      <c r="K202" s="168"/>
      <c r="M202" s="364">
        <f t="shared" si="53"/>
        <v>0.68004738443313684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490">
        <f>'[24]Sch C'!D214</f>
        <v>0</v>
      </c>
      <c r="D203" s="490">
        <f>'[24]Sch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>
        <f t="shared" si="53"/>
        <v>0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490">
        <f>'[24]Sch C'!D215</f>
        <v>0</v>
      </c>
      <c r="D204" s="490">
        <f>'[24]Sch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490">
        <f>'[24]Sch C'!D216</f>
        <v>20752</v>
      </c>
      <c r="D205" s="490">
        <f>'[24]Sch C'!F216</f>
        <v>34</v>
      </c>
      <c r="E205" s="171">
        <f t="shared" si="50"/>
        <v>20786</v>
      </c>
      <c r="F205" s="171"/>
      <c r="G205" s="171">
        <f t="shared" si="51"/>
        <v>20786</v>
      </c>
      <c r="H205" s="172">
        <f t="shared" si="52"/>
        <v>2.0109833007892525E-3</v>
      </c>
      <c r="I205" s="337"/>
      <c r="J205" s="168"/>
      <c r="K205" s="168"/>
      <c r="M205" s="364">
        <f t="shared" si="53"/>
        <v>0.55962092453490564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490">
        <f>SUM(C200:C205)</f>
        <v>233925</v>
      </c>
      <c r="D206" s="490">
        <f>SUM(D200:D205)</f>
        <v>3926</v>
      </c>
      <c r="E206" s="171">
        <f t="shared" ref="E206:F206" si="54">SUM(E200:E205)</f>
        <v>237851</v>
      </c>
      <c r="F206" s="171">
        <f t="shared" si="54"/>
        <v>0</v>
      </c>
      <c r="G206" s="171">
        <f>SUM(G200:G205)</f>
        <v>237851</v>
      </c>
      <c r="H206" s="172">
        <f t="shared" si="52"/>
        <v>2.3011372514000986E-2</v>
      </c>
      <c r="I206" s="337"/>
      <c r="J206" s="168"/>
      <c r="K206" s="168"/>
      <c r="M206" s="364">
        <f>G206/G$228</f>
        <v>6.4036561397840774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490">
        <f>SUM(C25:C206)/2</f>
        <v>11369122</v>
      </c>
      <c r="D208" s="490">
        <f>SUM(D25:D206)/2</f>
        <v>-1032885</v>
      </c>
      <c r="E208" s="171">
        <f t="shared" ref="E208:F208" si="55">SUM(E25:E206)/2</f>
        <v>10336237</v>
      </c>
      <c r="F208" s="171">
        <f t="shared" si="55"/>
        <v>0</v>
      </c>
      <c r="G208" s="171">
        <f>SUM(G25:G206)/2</f>
        <v>10336237</v>
      </c>
      <c r="H208" s="172">
        <f>IF($G$208=0,0,G208/$G$208)</f>
        <v>1</v>
      </c>
      <c r="I208" s="337"/>
      <c r="J208" s="183">
        <f>SUM(J25:J200)</f>
        <v>170244</v>
      </c>
      <c r="K208" s="183">
        <f>SUM(K25:K200)</f>
        <v>179379</v>
      </c>
      <c r="M208" s="364">
        <f>G208/G$228</f>
        <v>278.28223352987106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490">
        <f>'[24]Sch C'!D221</f>
        <v>11369122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490">
        <f>C208-C211</f>
        <v>0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619"/>
      <c r="D213" s="232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490">
        <f>C21-C208</f>
        <v>110188</v>
      </c>
      <c r="D215" s="490">
        <f>D21-D208</f>
        <v>156413</v>
      </c>
      <c r="E215" s="171">
        <f t="shared" ref="E215:F215" si="56">E21-E208</f>
        <v>266601</v>
      </c>
      <c r="F215" s="171">
        <f t="shared" si="56"/>
        <v>0</v>
      </c>
      <c r="G215" s="171">
        <f>G21-G208</f>
        <v>266601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491">
        <f>'[24]Sch D'!C9</f>
        <v>24034</v>
      </c>
      <c r="D219" s="491"/>
      <c r="E219" s="235">
        <f t="shared" ref="E219:G227" si="57">C219+D219</f>
        <v>24034</v>
      </c>
      <c r="F219" s="234"/>
      <c r="G219" s="235">
        <f t="shared" si="57"/>
        <v>24034</v>
      </c>
      <c r="H219" s="172">
        <f t="shared" ref="H219:H228" si="58">IF($G$228=0,0,G219/$G$228)</f>
        <v>0.64706674205099213</v>
      </c>
      <c r="I219" s="337"/>
      <c r="J219" s="168"/>
      <c r="K219" s="168"/>
    </row>
    <row r="220" spans="1:14">
      <c r="A220" s="163"/>
      <c r="B220" s="170" t="s">
        <v>217</v>
      </c>
      <c r="C220" s="491">
        <f>'[24]Sch D'!D9</f>
        <v>0</v>
      </c>
      <c r="D220" s="491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7"/>
      <c r="J220" s="168"/>
      <c r="K220" s="168"/>
    </row>
    <row r="221" spans="1:14">
      <c r="A221" s="163"/>
      <c r="B221" s="170" t="s">
        <v>72</v>
      </c>
      <c r="C221" s="491">
        <f>'[24]Sch D'!E9</f>
        <v>3607</v>
      </c>
      <c r="D221" s="491"/>
      <c r="E221" s="235">
        <f t="shared" si="59"/>
        <v>3607</v>
      </c>
      <c r="F221" s="234"/>
      <c r="G221" s="235">
        <f t="shared" si="57"/>
        <v>3607</v>
      </c>
      <c r="H221" s="172">
        <f t="shared" si="58"/>
        <v>9.7111164957057863E-2</v>
      </c>
      <c r="I221" s="337"/>
      <c r="J221" s="168"/>
      <c r="K221" s="168"/>
    </row>
    <row r="222" spans="1:14">
      <c r="A222" s="163"/>
      <c r="B222" s="202" t="s">
        <v>334</v>
      </c>
      <c r="C222" s="491">
        <f>'[24]Sch D'!F9</f>
        <v>1020</v>
      </c>
      <c r="D222" s="491"/>
      <c r="E222" s="235">
        <f>C222+D222</f>
        <v>1020</v>
      </c>
      <c r="F222" s="234"/>
      <c r="G222" s="235">
        <f>E222+F222</f>
        <v>1020</v>
      </c>
      <c r="H222" s="172">
        <f t="shared" si="58"/>
        <v>2.7461432840642921E-2</v>
      </c>
      <c r="I222" s="337"/>
      <c r="J222" s="168"/>
      <c r="K222" s="168"/>
    </row>
    <row r="223" spans="1:14">
      <c r="A223" s="163"/>
      <c r="B223" s="170" t="s">
        <v>73</v>
      </c>
      <c r="C223" s="491">
        <f>'[24]Sch D'!G9</f>
        <v>2602</v>
      </c>
      <c r="D223" s="491"/>
      <c r="E223" s="235">
        <f t="shared" si="59"/>
        <v>2602</v>
      </c>
      <c r="F223" s="234"/>
      <c r="G223" s="235">
        <f t="shared" si="57"/>
        <v>2602</v>
      </c>
      <c r="H223" s="172">
        <f t="shared" si="58"/>
        <v>7.0053576717012622E-2</v>
      </c>
      <c r="I223" s="337"/>
      <c r="J223" s="168"/>
      <c r="K223" s="168"/>
    </row>
    <row r="224" spans="1:14">
      <c r="A224" s="163"/>
      <c r="B224" s="170" t="s">
        <v>74</v>
      </c>
      <c r="C224" s="491">
        <f>'[24]Sch D'!H9</f>
        <v>2390</v>
      </c>
      <c r="D224" s="491"/>
      <c r="E224" s="235">
        <f t="shared" si="59"/>
        <v>2390</v>
      </c>
      <c r="F224" s="234"/>
      <c r="G224" s="235">
        <f t="shared" si="57"/>
        <v>2390</v>
      </c>
      <c r="H224" s="172">
        <f t="shared" si="58"/>
        <v>6.4345906361898603E-2</v>
      </c>
      <c r="I224" s="337"/>
      <c r="J224" s="168"/>
      <c r="K224" s="168"/>
    </row>
    <row r="225" spans="1:11">
      <c r="A225" s="163"/>
      <c r="B225" s="170" t="s">
        <v>236</v>
      </c>
      <c r="C225" s="491">
        <f>'[24]Sch D'!I9</f>
        <v>2604</v>
      </c>
      <c r="D225" s="491"/>
      <c r="E225" s="235">
        <f t="shared" si="59"/>
        <v>2604</v>
      </c>
      <c r="F225" s="234"/>
      <c r="G225" s="235">
        <f t="shared" si="57"/>
        <v>2604</v>
      </c>
      <c r="H225" s="172">
        <f t="shared" si="58"/>
        <v>7.0107422663758981E-2</v>
      </c>
      <c r="I225" s="337"/>
      <c r="J225" s="168"/>
      <c r="K225" s="168"/>
    </row>
    <row r="226" spans="1:11">
      <c r="A226" s="163"/>
      <c r="B226" s="170" t="s">
        <v>235</v>
      </c>
      <c r="C226" s="491">
        <f>'[24]Sch D'!J9</f>
        <v>0</v>
      </c>
      <c r="D226" s="491"/>
      <c r="E226" s="235">
        <f>C226+D226</f>
        <v>0</v>
      </c>
      <c r="F226" s="234"/>
      <c r="G226" s="235">
        <f>E226+F226</f>
        <v>0</v>
      </c>
      <c r="H226" s="172">
        <f t="shared" si="58"/>
        <v>0</v>
      </c>
      <c r="I226" s="337"/>
      <c r="J226" s="168"/>
      <c r="K226" s="168"/>
    </row>
    <row r="227" spans="1:11">
      <c r="A227" s="163"/>
      <c r="B227" s="170" t="s">
        <v>179</v>
      </c>
      <c r="C227" s="491">
        <f>'[24]Sch D'!K9</f>
        <v>886</v>
      </c>
      <c r="D227" s="491"/>
      <c r="E227" s="235">
        <f t="shared" si="59"/>
        <v>886</v>
      </c>
      <c r="F227" s="234"/>
      <c r="G227" s="235">
        <f t="shared" si="57"/>
        <v>886</v>
      </c>
      <c r="H227" s="172">
        <f t="shared" si="58"/>
        <v>2.385375440863689E-2</v>
      </c>
      <c r="I227" s="337"/>
      <c r="J227" s="168"/>
      <c r="K227" s="168"/>
    </row>
    <row r="228" spans="1:11" ht="13.5" thickBot="1">
      <c r="A228" s="163"/>
      <c r="B228" s="236" t="s">
        <v>75</v>
      </c>
      <c r="C228" s="491">
        <f>SUM(C219:C227)</f>
        <v>37143</v>
      </c>
      <c r="D228" s="491">
        <f>SUM(D219:D227)</f>
        <v>0</v>
      </c>
      <c r="E228" s="237">
        <f>SUM(E219:E227)</f>
        <v>37143</v>
      </c>
      <c r="F228" s="237">
        <f>SUM(F219:F227)</f>
        <v>0</v>
      </c>
      <c r="G228" s="237">
        <f>SUM(G219:G227)</f>
        <v>37143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620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619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492">
        <f>'[24]Sch D'!N22</f>
        <v>176</v>
      </c>
      <c r="D231" s="526"/>
      <c r="E231" s="235">
        <f>C231+D231</f>
        <v>176</v>
      </c>
      <c r="F231" s="235"/>
      <c r="G231" s="235">
        <f>E231+F231</f>
        <v>176</v>
      </c>
      <c r="H231" s="167"/>
      <c r="J231" s="168"/>
      <c r="K231" s="168"/>
    </row>
    <row r="232" spans="1:11">
      <c r="A232" s="163"/>
      <c r="B232" s="202" t="s">
        <v>290</v>
      </c>
      <c r="C232" s="492">
        <f>'[24]Sch D'!N24</f>
        <v>176</v>
      </c>
      <c r="D232" s="526"/>
      <c r="E232" s="235">
        <f>C232+D232</f>
        <v>176</v>
      </c>
      <c r="F232" s="235"/>
      <c r="G232" s="235">
        <f>E232+F232</f>
        <v>176</v>
      </c>
      <c r="H232" s="167"/>
      <c r="J232" s="168"/>
      <c r="K232" s="168"/>
    </row>
    <row r="233" spans="1:11">
      <c r="A233" s="163"/>
      <c r="B233" s="202" t="s">
        <v>76</v>
      </c>
      <c r="C233" s="492">
        <f>$C$4-$C$3+1</f>
        <v>365</v>
      </c>
      <c r="D233" s="489"/>
      <c r="E233" s="235">
        <f>C233+D233</f>
        <v>365</v>
      </c>
      <c r="F233" s="240"/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621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492">
        <f>'[24]Sch D'!N28</f>
        <v>64240</v>
      </c>
      <c r="D235" s="489"/>
      <c r="E235" s="234">
        <f>E231*E233</f>
        <v>64240</v>
      </c>
      <c r="F235" s="240"/>
      <c r="G235" s="234">
        <f>G231*G233</f>
        <v>64240</v>
      </c>
      <c r="H235" s="167"/>
      <c r="J235" s="168"/>
      <c r="K235" s="168"/>
    </row>
    <row r="236" spans="1:11" ht="26">
      <c r="A236" s="163"/>
      <c r="B236" s="244" t="s">
        <v>336</v>
      </c>
      <c r="C236" s="493">
        <f>'[24]Sch D'!N30</f>
        <v>0.57819115815691158</v>
      </c>
      <c r="D236" s="240"/>
      <c r="E236" s="245">
        <f>E228/E235</f>
        <v>0.57819115815691158</v>
      </c>
      <c r="F236" s="246"/>
      <c r="G236" s="245">
        <f>G228/G235</f>
        <v>0.57819115815691158</v>
      </c>
      <c r="H236" s="167"/>
      <c r="J236" s="168"/>
      <c r="K236" s="168"/>
    </row>
    <row r="237" spans="1:11" ht="26">
      <c r="A237" s="163"/>
      <c r="B237" s="244" t="s">
        <v>337</v>
      </c>
      <c r="C237" s="493">
        <f>'[24]Sch D'!N32</f>
        <v>0.37412826899128271</v>
      </c>
      <c r="D237" s="240"/>
      <c r="E237" s="245">
        <f>(E219+E220)/E235</f>
        <v>0.37412826899128271</v>
      </c>
      <c r="F237" s="246"/>
      <c r="G237" s="245">
        <f>(G219+G220)/G235</f>
        <v>0.37412826899128271</v>
      </c>
      <c r="H237" s="167"/>
      <c r="J237" s="168"/>
      <c r="K237" s="168"/>
    </row>
    <row r="238" spans="1:11" ht="26">
      <c r="A238" s="163"/>
      <c r="B238" s="244" t="s">
        <v>338</v>
      </c>
      <c r="C238" s="493">
        <f>'[24]Sch D'!N34</f>
        <v>0.64706674205099213</v>
      </c>
      <c r="D238" s="240"/>
      <c r="E238" s="245">
        <f>(E237/E236)</f>
        <v>0.64706674205099213</v>
      </c>
      <c r="F238" s="246"/>
      <c r="G238" s="245">
        <f>(G237/G236)</f>
        <v>0.64706674205099213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632">
        <f>'[24]Sch B'!C85</f>
        <v>208.77648428405124</v>
      </c>
    </row>
    <row r="242" spans="2:7">
      <c r="F242" s="142" t="s">
        <v>341</v>
      </c>
      <c r="G242" s="632">
        <f>'[24]Sch B'!E85</f>
        <v>200.38745980707395</v>
      </c>
    </row>
    <row r="243" spans="2:7">
      <c r="F243" s="142" t="s">
        <v>342</v>
      </c>
      <c r="G243" s="632">
        <f>'[24]Sch B'!G85</f>
        <v>207.48775055679286</v>
      </c>
    </row>
    <row r="244" spans="2:7">
      <c r="F244" s="142" t="s">
        <v>343</v>
      </c>
      <c r="G244" s="632">
        <f>'[24]Sch B'!I85</f>
        <v>195.97391304347826</v>
      </c>
    </row>
    <row r="245" spans="2:7">
      <c r="F245" s="142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F1" sqref="F1"/>
      <pageMargins left="0" right="0" top="0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  <cellWatches>
    <cellWatch r="G186"/>
  </cellWatche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9">
    <tabColor rgb="FFE28CAB"/>
  </sheetPr>
  <dimension ref="A1:N245"/>
  <sheetViews>
    <sheetView showGridLines="0" zoomScale="90" zoomScaleNormal="90" workbookViewId="0">
      <selection activeCell="N1" sqref="N1"/>
    </sheetView>
  </sheetViews>
  <sheetFormatPr defaultColWidth="8.6640625" defaultRowHeight="13"/>
  <cols>
    <col min="1" max="1" width="8.58203125" style="142" customWidth="1"/>
    <col min="2" max="2" width="29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478"/>
      <c r="E1" s="478"/>
      <c r="F1" s="478"/>
      <c r="G1" s="478"/>
      <c r="H1" s="478"/>
      <c r="I1" s="479"/>
    </row>
    <row r="2" spans="1:14" ht="23">
      <c r="B2" s="143" t="s">
        <v>189</v>
      </c>
      <c r="C2" s="247" t="s">
        <v>247</v>
      </c>
      <c r="D2" s="247"/>
      <c r="F2" s="465" t="s">
        <v>635</v>
      </c>
    </row>
    <row r="3" spans="1:14" ht="13.25" customHeight="1">
      <c r="A3" s="145"/>
      <c r="B3" s="140" t="s">
        <v>79</v>
      </c>
      <c r="C3" s="495">
        <v>41821</v>
      </c>
      <c r="D3" s="144"/>
      <c r="E3" s="416"/>
      <c r="F3" s="441" t="s">
        <v>652</v>
      </c>
    </row>
    <row r="4" spans="1:14" ht="13.25" customHeight="1">
      <c r="A4" s="145"/>
      <c r="B4" s="148" t="s">
        <v>80</v>
      </c>
      <c r="C4" s="495">
        <v>42185</v>
      </c>
      <c r="D4" s="144"/>
      <c r="E4" s="416"/>
      <c r="F4" s="628" t="s">
        <v>653</v>
      </c>
      <c r="G4" s="150"/>
    </row>
    <row r="5" spans="1:14">
      <c r="A5" s="145"/>
      <c r="B5" s="148"/>
      <c r="C5" s="151"/>
      <c r="D5" s="144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490">
        <f>'[25]Sch B'!E10</f>
        <v>981347</v>
      </c>
      <c r="D11" s="490">
        <f>'[25]Sch B'!G10</f>
        <v>0</v>
      </c>
      <c r="E11" s="171">
        <f>C11+D11</f>
        <v>981347</v>
      </c>
      <c r="F11" s="573"/>
      <c r="G11" s="171">
        <f t="shared" ref="G11:G20" si="0">E11+F11</f>
        <v>981347</v>
      </c>
      <c r="H11" s="172">
        <f t="shared" ref="H11:H21" si="1">IF($G$21=0,0,G11/$G$21)</f>
        <v>8.7699510629247135E-2</v>
      </c>
      <c r="I11" s="337"/>
      <c r="J11" s="368" t="s">
        <v>344</v>
      </c>
      <c r="K11" s="369">
        <f>G21</f>
        <v>11189880</v>
      </c>
      <c r="M11" s="359">
        <f>IFERROR(G11/G219,0)</f>
        <v>176.43779216109314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490">
        <f>'[25]Sch B'!E15</f>
        <v>0</v>
      </c>
      <c r="D12" s="490">
        <f>'[25]Sch B'!G15</f>
        <v>0</v>
      </c>
      <c r="E12" s="171">
        <f t="shared" ref="E12:E20" si="2">C12+D12</f>
        <v>0</v>
      </c>
      <c r="F12" s="573"/>
      <c r="G12" s="171">
        <f>E12+F12</f>
        <v>0</v>
      </c>
      <c r="H12" s="172">
        <f t="shared" si="1"/>
        <v>0</v>
      </c>
      <c r="I12" s="337"/>
      <c r="J12" s="370" t="s">
        <v>345</v>
      </c>
      <c r="K12" s="371">
        <f>G208</f>
        <v>9818912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490">
        <f>'[25]Sch B'!E21</f>
        <v>8974291</v>
      </c>
      <c r="D13" s="490">
        <f>'[25]Sch B'!G21</f>
        <v>0</v>
      </c>
      <c r="E13" s="171">
        <f t="shared" si="2"/>
        <v>8974291</v>
      </c>
      <c r="F13" s="573">
        <f>-3888880+1597552</f>
        <v>-2291328</v>
      </c>
      <c r="G13" s="171">
        <f t="shared" si="0"/>
        <v>6682963</v>
      </c>
      <c r="H13" s="172">
        <f t="shared" si="1"/>
        <v>0.59723276746488796</v>
      </c>
      <c r="I13" s="658" t="s">
        <v>467</v>
      </c>
      <c r="J13" s="370" t="s">
        <v>346</v>
      </c>
      <c r="K13" s="371">
        <f>G228</f>
        <v>27481</v>
      </c>
      <c r="M13" s="359">
        <f t="shared" si="3"/>
        <v>384.36550296198311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490">
        <f>'[25]Sch B'!E27</f>
        <v>0</v>
      </c>
      <c r="D14" s="490">
        <f>'[25]Sch B'!G27</f>
        <v>0</v>
      </c>
      <c r="E14" s="171">
        <f t="shared" si="2"/>
        <v>0</v>
      </c>
      <c r="F14" s="573">
        <f>3888880-1597552</f>
        <v>2291328</v>
      </c>
      <c r="G14" s="175">
        <f>E14+F14</f>
        <v>2291328</v>
      </c>
      <c r="H14" s="176">
        <f t="shared" si="1"/>
        <v>0.20476787954830614</v>
      </c>
      <c r="I14" s="659" t="s">
        <v>467</v>
      </c>
      <c r="J14" s="370" t="s">
        <v>347</v>
      </c>
      <c r="K14" s="371">
        <f>G231</f>
        <v>108</v>
      </c>
      <c r="M14" s="359">
        <f t="shared" si="3"/>
        <v>0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490">
        <f>'[25]Sch B'!E32</f>
        <v>0</v>
      </c>
      <c r="D15" s="490">
        <f>'[25]Sch B'!G32</f>
        <v>0</v>
      </c>
      <c r="E15" s="171">
        <f t="shared" si="2"/>
        <v>0</v>
      </c>
      <c r="F15" s="573"/>
      <c r="G15" s="171">
        <f t="shared" si="0"/>
        <v>0</v>
      </c>
      <c r="H15" s="172">
        <f t="shared" si="1"/>
        <v>0</v>
      </c>
      <c r="I15" s="337"/>
      <c r="J15" s="370" t="s">
        <v>348</v>
      </c>
      <c r="K15" s="371">
        <f>G235</f>
        <v>39420</v>
      </c>
      <c r="M15" s="359">
        <f t="shared" si="3"/>
        <v>0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490">
        <f>'[25]Sch B'!E37</f>
        <v>929088</v>
      </c>
      <c r="D16" s="490">
        <f>'[25]Sch B'!G37</f>
        <v>0</v>
      </c>
      <c r="E16" s="171">
        <f t="shared" si="2"/>
        <v>929088</v>
      </c>
      <c r="F16" s="573"/>
      <c r="G16" s="171">
        <f t="shared" si="0"/>
        <v>929088</v>
      </c>
      <c r="H16" s="172">
        <f t="shared" si="1"/>
        <v>8.3029308625293563E-2</v>
      </c>
      <c r="I16" s="337"/>
      <c r="J16" s="372"/>
      <c r="K16" s="371"/>
      <c r="M16" s="359">
        <f t="shared" si="3"/>
        <v>271.90166812993857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490">
        <f>'[25]Sch B'!E42</f>
        <v>0</v>
      </c>
      <c r="D17" s="490">
        <f>'[25]Sch B'!G42</f>
        <v>0</v>
      </c>
      <c r="E17" s="171">
        <f t="shared" si="2"/>
        <v>0</v>
      </c>
      <c r="F17" s="573"/>
      <c r="G17" s="171">
        <f>E17+F17</f>
        <v>0</v>
      </c>
      <c r="H17" s="172">
        <f t="shared" si="1"/>
        <v>0</v>
      </c>
      <c r="I17" s="337"/>
      <c r="J17" s="370" t="s">
        <v>156</v>
      </c>
      <c r="K17" s="371">
        <f>J208</f>
        <v>153939</v>
      </c>
      <c r="M17" s="359">
        <f t="shared" si="3"/>
        <v>0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490">
        <f>'[25]Sch B'!E47</f>
        <v>186514</v>
      </c>
      <c r="D18" s="490">
        <f>'[25]Sch B'!G47</f>
        <v>0</v>
      </c>
      <c r="E18" s="171">
        <f t="shared" si="2"/>
        <v>186514</v>
      </c>
      <c r="F18" s="573"/>
      <c r="G18" s="171">
        <f>E18+F18</f>
        <v>186514</v>
      </c>
      <c r="H18" s="172">
        <f t="shared" si="1"/>
        <v>1.6668096530078964E-2</v>
      </c>
      <c r="I18" s="337"/>
      <c r="J18" s="373" t="s">
        <v>252</v>
      </c>
      <c r="K18" s="374">
        <f>K208</f>
        <v>160791</v>
      </c>
      <c r="M18" s="359">
        <f t="shared" si="3"/>
        <v>167.27713004484306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490">
        <f>'[25]Sch B'!E52</f>
        <v>0</v>
      </c>
      <c r="D19" s="490">
        <f>'[25]Sch B'!G52</f>
        <v>0</v>
      </c>
      <c r="E19" s="171">
        <f t="shared" si="2"/>
        <v>0</v>
      </c>
      <c r="F19" s="573"/>
      <c r="G19" s="171">
        <f t="shared" si="0"/>
        <v>0</v>
      </c>
      <c r="H19" s="172">
        <f t="shared" si="1"/>
        <v>0</v>
      </c>
      <c r="I19" s="337"/>
      <c r="J19" s="168"/>
      <c r="K19" s="168"/>
      <c r="M19" s="359">
        <f t="shared" si="3"/>
        <v>0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490">
        <f>'[25]Sch B'!E67</f>
        <v>118640</v>
      </c>
      <c r="D20" s="490">
        <f>'[25]Sch B'!G67</f>
        <v>0</v>
      </c>
      <c r="E20" s="171">
        <f t="shared" si="2"/>
        <v>118640</v>
      </c>
      <c r="F20" s="573"/>
      <c r="G20" s="171">
        <f t="shared" si="0"/>
        <v>118640</v>
      </c>
      <c r="H20" s="172">
        <f t="shared" si="1"/>
        <v>1.0602437202186262E-2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490">
        <f>SUM(C11:C20)</f>
        <v>11189880</v>
      </c>
      <c r="D21" s="490">
        <f>SUM(D11:D20)</f>
        <v>0</v>
      </c>
      <c r="E21" s="171">
        <f>SUM(E11:E20)</f>
        <v>11189880</v>
      </c>
      <c r="F21" s="573">
        <f>SUM(F11:F20)</f>
        <v>0</v>
      </c>
      <c r="G21" s="171">
        <f>SUM(G11:G20)</f>
        <v>11189880</v>
      </c>
      <c r="H21" s="172">
        <f t="shared" si="1"/>
        <v>1</v>
      </c>
      <c r="I21" s="337"/>
      <c r="J21" s="168"/>
      <c r="K21" s="168"/>
      <c r="M21" s="359">
        <f>IFERROR(G21/G228,0)</f>
        <v>407.18605582038498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4">
      <c r="A24" s="181" t="s">
        <v>161</v>
      </c>
      <c r="B24" s="148" t="s">
        <v>12</v>
      </c>
      <c r="M24" s="363"/>
      <c r="N24" s="363"/>
    </row>
    <row r="25" spans="1:14" s="167" customFormat="1">
      <c r="A25" s="169" t="s">
        <v>83</v>
      </c>
      <c r="B25" s="170" t="s">
        <v>14</v>
      </c>
      <c r="C25" s="490">
        <f>'[25]Sch C'!D10</f>
        <v>95753</v>
      </c>
      <c r="D25" s="490">
        <f>'[25]Sch C'!F10</f>
        <v>3533</v>
      </c>
      <c r="E25" s="171">
        <f t="shared" ref="E25:E60" si="4">C25+D25</f>
        <v>99286</v>
      </c>
      <c r="F25" s="573"/>
      <c r="G25" s="182">
        <f>E25+F25</f>
        <v>99286</v>
      </c>
      <c r="H25" s="172">
        <f>IF($G$208=0,0,G25/$G$208)</f>
        <v>1.0111710951274439E-2</v>
      </c>
      <c r="I25" s="337"/>
      <c r="J25" s="183">
        <v>2080</v>
      </c>
      <c r="K25" s="183">
        <v>2080</v>
      </c>
      <c r="M25" s="359">
        <f>G25/G$228</f>
        <v>3.6128961828172192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490">
        <f>'[25]Sch C'!D11</f>
        <v>0</v>
      </c>
      <c r="D26" s="490">
        <f>'[25]Sch C'!F11</f>
        <v>0</v>
      </c>
      <c r="E26" s="171">
        <f t="shared" si="4"/>
        <v>0</v>
      </c>
      <c r="F26" s="573"/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490">
        <f>'[25]Sch C'!D12</f>
        <v>436010</v>
      </c>
      <c r="D27" s="490">
        <f>'[25]Sch C'!F12</f>
        <v>16089</v>
      </c>
      <c r="E27" s="171">
        <f t="shared" si="4"/>
        <v>452099</v>
      </c>
      <c r="F27" s="573"/>
      <c r="G27" s="171">
        <f t="shared" si="5"/>
        <v>452099</v>
      </c>
      <c r="H27" s="172">
        <f t="shared" si="6"/>
        <v>4.604369608363941E-2</v>
      </c>
      <c r="I27" s="337"/>
      <c r="J27" s="185">
        <v>15245</v>
      </c>
      <c r="K27" s="185">
        <v>16352</v>
      </c>
      <c r="M27" s="359">
        <f t="shared" si="7"/>
        <v>16.451330009824972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490">
        <f>'[25]Sch C'!D13</f>
        <v>995353</v>
      </c>
      <c r="D28" s="490">
        <f>'[25]Sch C'!F13</f>
        <v>-907775</v>
      </c>
      <c r="E28" s="171">
        <f t="shared" si="4"/>
        <v>87578</v>
      </c>
      <c r="F28" s="573"/>
      <c r="G28" s="171">
        <f t="shared" si="5"/>
        <v>87578</v>
      </c>
      <c r="H28" s="172">
        <f t="shared" si="6"/>
        <v>8.9193181484873273E-3</v>
      </c>
      <c r="I28" s="337"/>
      <c r="J28" s="168"/>
      <c r="K28" s="168"/>
      <c r="M28" s="359">
        <f t="shared" si="7"/>
        <v>3.1868563734944142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490">
        <f>'[25]Sch C'!D14</f>
        <v>0</v>
      </c>
      <c r="D29" s="490">
        <f>'[25]Sch C'!F14</f>
        <v>0</v>
      </c>
      <c r="E29" s="171">
        <f t="shared" si="4"/>
        <v>0</v>
      </c>
      <c r="F29" s="573"/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490">
        <f>'[25]Sch C'!D15</f>
        <v>0</v>
      </c>
      <c r="D30" s="490">
        <f>'[25]Sch C'!F15</f>
        <v>0</v>
      </c>
      <c r="E30" s="171">
        <f t="shared" si="4"/>
        <v>0</v>
      </c>
      <c r="F30" s="573"/>
      <c r="G30" s="171">
        <f t="shared" si="5"/>
        <v>0</v>
      </c>
      <c r="H30" s="172">
        <f t="shared" si="6"/>
        <v>0</v>
      </c>
      <c r="I30" s="337"/>
      <c r="J30" s="168"/>
      <c r="K30" s="168"/>
      <c r="M30" s="359">
        <f t="shared" si="7"/>
        <v>0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490">
        <f>'[25]Sch C'!D16</f>
        <v>551953</v>
      </c>
      <c r="D31" s="490">
        <f>'[25]Sch C'!F16</f>
        <v>-9970</v>
      </c>
      <c r="E31" s="171">
        <f t="shared" si="4"/>
        <v>541983</v>
      </c>
      <c r="F31" s="573"/>
      <c r="G31" s="171">
        <f t="shared" si="5"/>
        <v>541983</v>
      </c>
      <c r="H31" s="172">
        <f t="shared" si="6"/>
        <v>5.5197867136399632E-2</v>
      </c>
      <c r="I31" s="337"/>
      <c r="J31" s="168"/>
      <c r="K31" s="168"/>
      <c r="M31" s="359">
        <f t="shared" si="7"/>
        <v>19.722098904697791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490">
        <f>'[25]Sch C'!D17</f>
        <v>12649</v>
      </c>
      <c r="D32" s="490">
        <f>'[25]Sch C'!F17</f>
        <v>0</v>
      </c>
      <c r="E32" s="171">
        <f t="shared" si="4"/>
        <v>12649</v>
      </c>
      <c r="F32" s="573"/>
      <c r="G32" s="171">
        <f t="shared" si="5"/>
        <v>12649</v>
      </c>
      <c r="H32" s="172">
        <f t="shared" si="6"/>
        <v>1.2882282680606568E-3</v>
      </c>
      <c r="I32" s="337"/>
      <c r="J32" s="168"/>
      <c r="K32" s="168"/>
      <c r="M32" s="359">
        <f t="shared" si="7"/>
        <v>0.46028164913940539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490">
        <f>'[25]Sch C'!D18</f>
        <v>17884</v>
      </c>
      <c r="D33" s="490">
        <f>'[25]Sch C'!F18</f>
        <v>0</v>
      </c>
      <c r="E33" s="171">
        <f t="shared" si="4"/>
        <v>17884</v>
      </c>
      <c r="F33" s="573"/>
      <c r="G33" s="171">
        <f t="shared" si="5"/>
        <v>17884</v>
      </c>
      <c r="H33" s="172">
        <f t="shared" si="6"/>
        <v>1.8213830615856422E-3</v>
      </c>
      <c r="I33" s="337"/>
      <c r="J33" s="168"/>
      <c r="K33" s="168"/>
      <c r="M33" s="359">
        <f t="shared" si="7"/>
        <v>0.65077690040391545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490">
        <f>'[25]Sch C'!D19</f>
        <v>11085</v>
      </c>
      <c r="D34" s="490">
        <f>'[25]Sch C'!F19</f>
        <v>0</v>
      </c>
      <c r="E34" s="171">
        <f t="shared" si="4"/>
        <v>11085</v>
      </c>
      <c r="F34" s="573"/>
      <c r="G34" s="171">
        <f t="shared" si="5"/>
        <v>11085</v>
      </c>
      <c r="H34" s="172">
        <f t="shared" si="6"/>
        <v>1.12894381780792E-3</v>
      </c>
      <c r="I34" s="337"/>
      <c r="J34" s="168"/>
      <c r="K34" s="168"/>
      <c r="M34" s="359">
        <f t="shared" si="7"/>
        <v>0.40336960081510864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490">
        <f>'[25]Sch C'!D20</f>
        <v>61479</v>
      </c>
      <c r="D35" s="490">
        <f>'[25]Sch C'!F20</f>
        <v>0</v>
      </c>
      <c r="E35" s="171">
        <f t="shared" si="4"/>
        <v>61479</v>
      </c>
      <c r="F35" s="573"/>
      <c r="G35" s="171">
        <f t="shared" si="5"/>
        <v>61479</v>
      </c>
      <c r="H35" s="172">
        <f t="shared" si="6"/>
        <v>6.2612843459641963E-3</v>
      </c>
      <c r="I35" s="337"/>
      <c r="J35" s="168"/>
      <c r="K35" s="168"/>
      <c r="M35" s="359">
        <f t="shared" si="7"/>
        <v>2.2371456642771368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490">
        <f>'[25]Sch C'!D21</f>
        <v>73486</v>
      </c>
      <c r="D36" s="490">
        <f>'[25]Sch C'!F21</f>
        <v>6400</v>
      </c>
      <c r="E36" s="171">
        <f t="shared" si="4"/>
        <v>79886</v>
      </c>
      <c r="F36" s="573"/>
      <c r="G36" s="171">
        <f t="shared" si="5"/>
        <v>79886</v>
      </c>
      <c r="H36" s="172">
        <f t="shared" si="6"/>
        <v>8.1359319647635094E-3</v>
      </c>
      <c r="I36" s="337"/>
      <c r="J36" s="168"/>
      <c r="K36" s="168"/>
      <c r="M36" s="359">
        <f t="shared" si="7"/>
        <v>2.9069538954186527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490">
        <f>'[25]Sch C'!D22</f>
        <v>0</v>
      </c>
      <c r="D37" s="490">
        <f>'[25]Sch C'!F22</f>
        <v>0</v>
      </c>
      <c r="E37" s="171">
        <f t="shared" si="4"/>
        <v>0</v>
      </c>
      <c r="F37" s="573"/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490">
        <f>'[25]Sch C'!D23</f>
        <v>29382</v>
      </c>
      <c r="D38" s="490">
        <f>'[25]Sch C'!F23</f>
        <v>0</v>
      </c>
      <c r="E38" s="171">
        <f t="shared" si="4"/>
        <v>29382</v>
      </c>
      <c r="F38" s="573"/>
      <c r="G38" s="171">
        <f t="shared" si="5"/>
        <v>29382</v>
      </c>
      <c r="H38" s="172">
        <f t="shared" si="6"/>
        <v>2.9923885660651608E-3</v>
      </c>
      <c r="I38" s="337"/>
      <c r="J38" s="168"/>
      <c r="K38" s="168"/>
      <c r="M38" s="359">
        <f t="shared" si="7"/>
        <v>1.0691750664095192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490">
        <f>'[25]Sch C'!D24</f>
        <v>0</v>
      </c>
      <c r="D39" s="490">
        <f>'[25]Sch C'!F24</f>
        <v>0</v>
      </c>
      <c r="E39" s="171">
        <f t="shared" si="4"/>
        <v>0</v>
      </c>
      <c r="F39" s="573"/>
      <c r="G39" s="171">
        <f t="shared" si="5"/>
        <v>0</v>
      </c>
      <c r="H39" s="172">
        <f t="shared" si="6"/>
        <v>0</v>
      </c>
      <c r="I39" s="337"/>
      <c r="J39" s="168"/>
      <c r="K39" s="168"/>
      <c r="M39" s="359">
        <f t="shared" si="7"/>
        <v>0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490">
        <f>'[25]Sch C'!D25</f>
        <v>0</v>
      </c>
      <c r="D40" s="490">
        <f>'[25]Sch C'!F25</f>
        <v>0</v>
      </c>
      <c r="E40" s="171">
        <f t="shared" si="4"/>
        <v>0</v>
      </c>
      <c r="F40" s="573"/>
      <c r="G40" s="171">
        <f t="shared" si="5"/>
        <v>0</v>
      </c>
      <c r="H40" s="172">
        <f t="shared" si="6"/>
        <v>0</v>
      </c>
      <c r="I40" s="337"/>
      <c r="J40" s="168"/>
      <c r="K40" s="168"/>
      <c r="M40" s="359">
        <f t="shared" si="7"/>
        <v>0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490">
        <f>'[25]Sch C'!D26</f>
        <v>176101</v>
      </c>
      <c r="D41" s="490">
        <f>'[25]Sch C'!F26</f>
        <v>0</v>
      </c>
      <c r="E41" s="171">
        <f t="shared" si="4"/>
        <v>176101</v>
      </c>
      <c r="F41" s="573"/>
      <c r="G41" s="171">
        <f t="shared" si="5"/>
        <v>176101</v>
      </c>
      <c r="H41" s="172">
        <f t="shared" si="6"/>
        <v>1.793487913935882E-2</v>
      </c>
      <c r="I41" s="337"/>
      <c r="J41" s="168"/>
      <c r="K41" s="168"/>
      <c r="M41" s="359">
        <f t="shared" si="7"/>
        <v>6.4081001419162327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490">
        <f>'[25]Sch C'!D27</f>
        <v>226481</v>
      </c>
      <c r="D42" s="490">
        <f>'[25]Sch C'!F27</f>
        <v>-190</v>
      </c>
      <c r="E42" s="171">
        <f t="shared" si="4"/>
        <v>226291</v>
      </c>
      <c r="F42" s="573"/>
      <c r="G42" s="171">
        <f t="shared" si="5"/>
        <v>226291</v>
      </c>
      <c r="H42" s="172">
        <f t="shared" si="6"/>
        <v>2.3046443434873436E-2</v>
      </c>
      <c r="I42" s="337"/>
      <c r="J42" s="168"/>
      <c r="K42" s="168"/>
      <c r="M42" s="359">
        <f t="shared" si="7"/>
        <v>8.2344528947272657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490">
        <f>'[25]Sch C'!D28</f>
        <v>0</v>
      </c>
      <c r="D43" s="490">
        <f>'[25]Sch C'!F28</f>
        <v>0</v>
      </c>
      <c r="E43" s="171">
        <f t="shared" si="4"/>
        <v>0</v>
      </c>
      <c r="F43" s="573"/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490">
        <f>'[25]Sch C'!D29</f>
        <v>310695</v>
      </c>
      <c r="D44" s="490">
        <f>'[25]Sch C'!F29</f>
        <v>-310695</v>
      </c>
      <c r="E44" s="171">
        <f t="shared" si="4"/>
        <v>0</v>
      </c>
      <c r="F44" s="573"/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490">
        <f>'[25]Sch C'!D30</f>
        <v>0</v>
      </c>
      <c r="D45" s="490">
        <f>'[25]Sch C'!F30</f>
        <v>0</v>
      </c>
      <c r="E45" s="171">
        <f t="shared" si="4"/>
        <v>0</v>
      </c>
      <c r="F45" s="573"/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490">
        <f>'[25]Sch C'!D31</f>
        <v>70383</v>
      </c>
      <c r="D46" s="490">
        <f>'[25]Sch C'!F31</f>
        <v>0</v>
      </c>
      <c r="E46" s="171">
        <f t="shared" si="4"/>
        <v>70383</v>
      </c>
      <c r="F46" s="573"/>
      <c r="G46" s="171">
        <f t="shared" si="5"/>
        <v>70383</v>
      </c>
      <c r="H46" s="172">
        <f t="shared" si="6"/>
        <v>7.1681057942061194E-3</v>
      </c>
      <c r="I46" s="337"/>
      <c r="J46" s="168"/>
      <c r="K46" s="168"/>
      <c r="M46" s="359">
        <f t="shared" si="7"/>
        <v>2.5611513409264584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490">
        <f>'[25]Sch C'!D32</f>
        <v>48106</v>
      </c>
      <c r="D47" s="490">
        <f>'[25]Sch C'!F32</f>
        <v>0</v>
      </c>
      <c r="E47" s="171">
        <f t="shared" si="4"/>
        <v>48106</v>
      </c>
      <c r="F47" s="573"/>
      <c r="G47" s="171">
        <f t="shared" si="5"/>
        <v>48106</v>
      </c>
      <c r="H47" s="172">
        <f t="shared" si="6"/>
        <v>4.8993208208811733E-3</v>
      </c>
      <c r="I47" s="337"/>
      <c r="J47" s="168"/>
      <c r="K47" s="168"/>
      <c r="M47" s="359">
        <f t="shared" si="7"/>
        <v>1.7505185400822387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490">
        <f>'[25]Sch C'!D33</f>
        <v>0</v>
      </c>
      <c r="D48" s="490">
        <f>'[25]Sch C'!F33</f>
        <v>0</v>
      </c>
      <c r="E48" s="171">
        <f t="shared" si="4"/>
        <v>0</v>
      </c>
      <c r="F48" s="573"/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490">
        <f>'[25]Sch C'!D34</f>
        <v>0</v>
      </c>
      <c r="D49" s="490">
        <f>'[25]Sch C'!F34</f>
        <v>0</v>
      </c>
      <c r="E49" s="171">
        <f t="shared" si="4"/>
        <v>0</v>
      </c>
      <c r="F49" s="573"/>
      <c r="G49" s="171">
        <f t="shared" si="5"/>
        <v>0</v>
      </c>
      <c r="H49" s="172">
        <f t="shared" si="6"/>
        <v>0</v>
      </c>
      <c r="I49" s="337"/>
      <c r="J49" s="168"/>
      <c r="K49" s="168"/>
      <c r="M49" s="359">
        <f t="shared" si="7"/>
        <v>0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490">
        <f>'[25]Sch C'!D35</f>
        <v>10138</v>
      </c>
      <c r="D50" s="490">
        <f>'[25]Sch C'!F35</f>
        <v>-10138</v>
      </c>
      <c r="E50" s="171">
        <f t="shared" si="4"/>
        <v>0</v>
      </c>
      <c r="F50" s="573"/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490">
        <f>'[25]Sch C'!D36</f>
        <v>45190</v>
      </c>
      <c r="D51" s="490">
        <f>'[25]Sch C'!F36</f>
        <v>1667</v>
      </c>
      <c r="E51" s="171">
        <f t="shared" si="4"/>
        <v>46857</v>
      </c>
      <c r="F51" s="573"/>
      <c r="G51" s="171">
        <f t="shared" si="5"/>
        <v>46857</v>
      </c>
      <c r="H51" s="172">
        <f t="shared" si="6"/>
        <v>4.7721173180898246E-3</v>
      </c>
      <c r="I51" s="337"/>
      <c r="J51" s="183">
        <v>186</v>
      </c>
      <c r="K51" s="183">
        <v>199</v>
      </c>
      <c r="M51" s="359">
        <f t="shared" si="7"/>
        <v>1.7050689567337434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490">
        <f>'[25]Sch C'!D37</f>
        <v>0</v>
      </c>
      <c r="D52" s="490">
        <f>'[25]Sch C'!F37</f>
        <v>7443</v>
      </c>
      <c r="E52" s="171">
        <f t="shared" si="4"/>
        <v>7443</v>
      </c>
      <c r="F52" s="573"/>
      <c r="G52" s="171">
        <f t="shared" si="5"/>
        <v>7443</v>
      </c>
      <c r="H52" s="172">
        <f t="shared" si="6"/>
        <v>7.5802695858767242E-4</v>
      </c>
      <c r="I52" s="337"/>
      <c r="J52" s="168"/>
      <c r="K52" s="168"/>
      <c r="M52" s="359">
        <f t="shared" si="7"/>
        <v>0.27084167242822316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490">
        <f>'[25]Sch C'!D38</f>
        <v>0</v>
      </c>
      <c r="D53" s="490">
        <f>'[25]Sch C'!F38</f>
        <v>0</v>
      </c>
      <c r="E53" s="171">
        <f t="shared" si="4"/>
        <v>0</v>
      </c>
      <c r="F53" s="573"/>
      <c r="G53" s="171">
        <f t="shared" si="5"/>
        <v>0</v>
      </c>
      <c r="H53" s="172">
        <f t="shared" si="6"/>
        <v>0</v>
      </c>
      <c r="I53" s="337"/>
      <c r="J53" s="168"/>
      <c r="K53" s="168"/>
      <c r="M53" s="359">
        <f t="shared" si="7"/>
        <v>0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490">
        <f>'[25]Sch C'!D39</f>
        <v>14076</v>
      </c>
      <c r="D54" s="490">
        <f>'[25]Sch C'!F39</f>
        <v>0</v>
      </c>
      <c r="E54" s="171">
        <f t="shared" si="4"/>
        <v>14076</v>
      </c>
      <c r="F54" s="573"/>
      <c r="G54" s="171">
        <f t="shared" si="5"/>
        <v>14076</v>
      </c>
      <c r="H54" s="172">
        <f t="shared" si="6"/>
        <v>1.4335600522746308E-3</v>
      </c>
      <c r="I54" s="337"/>
      <c r="J54" s="168"/>
      <c r="K54" s="168"/>
      <c r="M54" s="359">
        <f t="shared" si="7"/>
        <v>0.51220843491867107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490">
        <f>'[25]Sch C'!D40</f>
        <v>0</v>
      </c>
      <c r="D55" s="490">
        <f>'[25]Sch C'!F40</f>
        <v>0</v>
      </c>
      <c r="E55" s="171">
        <f t="shared" si="4"/>
        <v>0</v>
      </c>
      <c r="F55" s="573"/>
      <c r="G55" s="171">
        <f t="shared" si="5"/>
        <v>0</v>
      </c>
      <c r="H55" s="172">
        <f t="shared" si="6"/>
        <v>0</v>
      </c>
      <c r="I55" s="337"/>
      <c r="J55" s="168"/>
      <c r="K55" s="168"/>
      <c r="M55" s="359">
        <f t="shared" si="7"/>
        <v>0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490">
        <f>'[25]Sch C'!D41</f>
        <v>84425</v>
      </c>
      <c r="D56" s="490">
        <f>'[25]Sch C'!F41</f>
        <v>0</v>
      </c>
      <c r="E56" s="171">
        <f t="shared" si="4"/>
        <v>84425</v>
      </c>
      <c r="F56" s="573"/>
      <c r="G56" s="171">
        <f t="shared" si="5"/>
        <v>84425</v>
      </c>
      <c r="H56" s="172">
        <f t="shared" si="6"/>
        <v>8.5982031410404731E-3</v>
      </c>
      <c r="I56" s="337"/>
      <c r="J56" s="168"/>
      <c r="K56" s="168"/>
      <c r="M56" s="359">
        <f t="shared" si="7"/>
        <v>3.0721225574032966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490">
        <f>'[25]Sch C'!D42</f>
        <v>11986</v>
      </c>
      <c r="D57" s="490">
        <f>'[25]Sch C'!F42</f>
        <v>0</v>
      </c>
      <c r="E57" s="171">
        <f t="shared" si="4"/>
        <v>11986</v>
      </c>
      <c r="F57" s="573"/>
      <c r="G57" s="171">
        <f t="shared" si="5"/>
        <v>11986</v>
      </c>
      <c r="H57" s="172">
        <f t="shared" si="6"/>
        <v>1.2207055119752576E-3</v>
      </c>
      <c r="I57" s="337"/>
      <c r="J57" s="168"/>
      <c r="K57" s="168"/>
      <c r="M57" s="359">
        <f t="shared" si="7"/>
        <v>0.4361558895236709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490">
        <f>'[25]Sch C'!D43</f>
        <v>15158</v>
      </c>
      <c r="D58" s="490">
        <f>'[25]Sch C'!F43</f>
        <v>0</v>
      </c>
      <c r="E58" s="171">
        <f t="shared" si="4"/>
        <v>15158</v>
      </c>
      <c r="F58" s="573"/>
      <c r="G58" s="171">
        <f t="shared" si="5"/>
        <v>15158</v>
      </c>
      <c r="H58" s="172">
        <f t="shared" si="6"/>
        <v>1.5437555606975599E-3</v>
      </c>
      <c r="I58" s="337"/>
      <c r="J58" s="168"/>
      <c r="K58" s="168"/>
      <c r="M58" s="359">
        <f t="shared" si="7"/>
        <v>0.55158109239110653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490">
        <f>'[25]Sch C'!D44</f>
        <v>0</v>
      </c>
      <c r="D59" s="490">
        <f>'[25]Sch C'!F44</f>
        <v>0</v>
      </c>
      <c r="E59" s="171">
        <f t="shared" si="4"/>
        <v>0</v>
      </c>
      <c r="F59" s="573"/>
      <c r="G59" s="171">
        <f t="shared" si="5"/>
        <v>0</v>
      </c>
      <c r="H59" s="172">
        <f t="shared" si="6"/>
        <v>0</v>
      </c>
      <c r="I59" s="337"/>
      <c r="J59" s="168"/>
      <c r="K59" s="168"/>
      <c r="M59" s="359">
        <f t="shared" si="7"/>
        <v>0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490">
        <f>'[25]Sch C'!D45</f>
        <v>16546</v>
      </c>
      <c r="D60" s="490">
        <f>'[25]Sch C'!F45</f>
        <v>-107727</v>
      </c>
      <c r="E60" s="171">
        <f t="shared" si="4"/>
        <v>-91181</v>
      </c>
      <c r="F60" s="573"/>
      <c r="G60" s="171">
        <f t="shared" si="5"/>
        <v>-91181</v>
      </c>
      <c r="H60" s="172">
        <f t="shared" si="6"/>
        <v>-9.2862630808790217E-3</v>
      </c>
      <c r="I60" s="337"/>
      <c r="J60" s="168"/>
      <c r="K60" s="168"/>
      <c r="M60" s="359">
        <f t="shared" si="7"/>
        <v>-3.3179651395509624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490">
        <f>SUM(C25:C60)</f>
        <v>3314319</v>
      </c>
      <c r="D61" s="490">
        <f>SUM(D25:D60)</f>
        <v>-1311363</v>
      </c>
      <c r="E61" s="171">
        <f t="shared" ref="E61" si="8">SUM(E25:E60)</f>
        <v>2002956</v>
      </c>
      <c r="F61" s="573">
        <f>SUM(F25:F60)</f>
        <v>0</v>
      </c>
      <c r="G61" s="171">
        <f>SUM(G25:G60)</f>
        <v>2002956</v>
      </c>
      <c r="H61" s="186">
        <f t="shared" si="6"/>
        <v>0.20398960699515384</v>
      </c>
      <c r="I61" s="339"/>
      <c r="J61" s="168"/>
      <c r="K61" s="168"/>
      <c r="M61" s="364">
        <f>G61/G$228</f>
        <v>72.885120628798077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I62" s="340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490">
        <f>'[25]Sch C'!D57</f>
        <v>1147920</v>
      </c>
      <c r="D64" s="490">
        <f>'[25]Sch C'!F57</f>
        <v>-1147920</v>
      </c>
      <c r="E64" s="171">
        <f t="shared" ref="E64:E78" si="9">C64+D64</f>
        <v>0</v>
      </c>
      <c r="F64" s="573"/>
      <c r="G64" s="171">
        <f t="shared" ref="G64:G78" si="10">E64+F64</f>
        <v>0</v>
      </c>
      <c r="H64" s="172">
        <f t="shared" ref="H64:H79" si="11">IF($G$208=0,0,G64/$G$208)</f>
        <v>0</v>
      </c>
      <c r="I64" s="337"/>
      <c r="J64" s="190"/>
      <c r="K64" s="168"/>
      <c r="M64" s="359">
        <f t="shared" ref="M64:M79" si="12">G64/G$228</f>
        <v>0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490">
        <f>'[25]Sch C'!D58</f>
        <v>15924</v>
      </c>
      <c r="D65" s="490">
        <f>'[25]Sch C'!F58</f>
        <v>313668</v>
      </c>
      <c r="E65" s="171">
        <f t="shared" si="9"/>
        <v>329592</v>
      </c>
      <c r="F65" s="573"/>
      <c r="G65" s="171">
        <f t="shared" si="10"/>
        <v>329592</v>
      </c>
      <c r="H65" s="172">
        <f t="shared" si="11"/>
        <v>3.3567059160933513E-2</v>
      </c>
      <c r="I65" s="337"/>
      <c r="J65" s="190"/>
      <c r="K65" s="168"/>
      <c r="M65" s="359">
        <f t="shared" si="12"/>
        <v>11.993450020013828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490">
        <f>'[25]Sch C'!D59</f>
        <v>60497</v>
      </c>
      <c r="D66" s="490">
        <f>'[25]Sch C'!F59</f>
        <v>410700</v>
      </c>
      <c r="E66" s="171">
        <f t="shared" si="9"/>
        <v>471197</v>
      </c>
      <c r="F66" s="573"/>
      <c r="G66" s="171">
        <f t="shared" si="10"/>
        <v>471197</v>
      </c>
      <c r="H66" s="172">
        <f t="shared" si="11"/>
        <v>4.7988718098298466E-2</v>
      </c>
      <c r="I66" s="337"/>
      <c r="J66" s="190"/>
      <c r="K66" s="168"/>
      <c r="M66" s="359">
        <f t="shared" si="12"/>
        <v>17.146282886357849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490">
        <f>'[25]Sch C'!D60</f>
        <v>59532</v>
      </c>
      <c r="D67" s="490">
        <f>'[25]Sch C'!F60</f>
        <v>0</v>
      </c>
      <c r="E67" s="171">
        <f t="shared" si="9"/>
        <v>59532</v>
      </c>
      <c r="F67" s="573"/>
      <c r="G67" s="171">
        <f t="shared" si="10"/>
        <v>59532</v>
      </c>
      <c r="H67" s="172">
        <f t="shared" si="11"/>
        <v>6.062993537369517E-3</v>
      </c>
      <c r="I67" s="337"/>
      <c r="J67" s="193"/>
      <c r="K67" s="168"/>
      <c r="M67" s="359">
        <f t="shared" si="12"/>
        <v>2.1662967140933738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490">
        <f>'[25]Sch C'!D61</f>
        <v>17707</v>
      </c>
      <c r="D68" s="490">
        <f>'[25]Sch C'!F61</f>
        <v>24224</v>
      </c>
      <c r="E68" s="171">
        <f t="shared" si="9"/>
        <v>41931</v>
      </c>
      <c r="F68" s="573"/>
      <c r="G68" s="171">
        <f t="shared" si="10"/>
        <v>41931</v>
      </c>
      <c r="H68" s="172">
        <f t="shared" si="11"/>
        <v>4.2704324063602972E-3</v>
      </c>
      <c r="I68" s="337"/>
      <c r="J68" s="193"/>
      <c r="K68" s="168"/>
      <c r="M68" s="359">
        <f t="shared" si="12"/>
        <v>1.525817837778829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490">
        <f>'[25]Sch C'!D62</f>
        <v>18225</v>
      </c>
      <c r="D69" s="490">
        <f>'[25]Sch C'!F62</f>
        <v>0</v>
      </c>
      <c r="E69" s="171">
        <f t="shared" si="9"/>
        <v>18225</v>
      </c>
      <c r="F69" s="573"/>
      <c r="G69" s="171">
        <f t="shared" si="10"/>
        <v>18225</v>
      </c>
      <c r="H69" s="172">
        <f t="shared" si="11"/>
        <v>1.8561119602660662E-3</v>
      </c>
      <c r="I69" s="337"/>
      <c r="J69" s="195"/>
      <c r="K69" s="168"/>
      <c r="M69" s="359">
        <f t="shared" si="12"/>
        <v>0.66318547359994173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490">
        <f>'[25]Sch C'!D63</f>
        <v>0</v>
      </c>
      <c r="D70" s="490">
        <f>'[25]Sch C'!F63</f>
        <v>0</v>
      </c>
      <c r="E70" s="171">
        <f t="shared" si="9"/>
        <v>0</v>
      </c>
      <c r="F70" s="573"/>
      <c r="G70" s="171">
        <f t="shared" si="10"/>
        <v>0</v>
      </c>
      <c r="H70" s="172">
        <f t="shared" si="11"/>
        <v>0</v>
      </c>
      <c r="I70" s="337"/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490">
        <f>'[25]Sch C'!D64</f>
        <v>0</v>
      </c>
      <c r="D71" s="490">
        <f>'[25]Sch C'!F64</f>
        <v>0</v>
      </c>
      <c r="E71" s="171">
        <f t="shared" si="9"/>
        <v>0</v>
      </c>
      <c r="F71" s="573"/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490">
        <f>'[25]Sch C'!D65</f>
        <v>16980</v>
      </c>
      <c r="D72" s="490">
        <f>'[25]Sch C'!F65</f>
        <v>0</v>
      </c>
      <c r="E72" s="171">
        <f t="shared" si="9"/>
        <v>16980</v>
      </c>
      <c r="F72" s="573"/>
      <c r="G72" s="171">
        <f t="shared" si="10"/>
        <v>16980</v>
      </c>
      <c r="H72" s="172">
        <f t="shared" si="11"/>
        <v>1.7293158345853389E-3</v>
      </c>
      <c r="I72" s="337"/>
      <c r="J72" s="195"/>
      <c r="K72" s="168"/>
      <c r="M72" s="359">
        <f t="shared" si="12"/>
        <v>0.61788144536225031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490">
        <f>'[25]Sch C'!D66</f>
        <v>0</v>
      </c>
      <c r="D73" s="490">
        <f>'[25]Sch C'!F66</f>
        <v>0</v>
      </c>
      <c r="E73" s="171">
        <f t="shared" si="9"/>
        <v>0</v>
      </c>
      <c r="F73" s="573"/>
      <c r="G73" s="171">
        <f t="shared" si="10"/>
        <v>0</v>
      </c>
      <c r="H73" s="172">
        <f t="shared" si="11"/>
        <v>0</v>
      </c>
      <c r="I73" s="337"/>
      <c r="J73" s="195"/>
      <c r="K73" s="168"/>
      <c r="M73" s="359">
        <f t="shared" si="12"/>
        <v>0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490">
        <f>'[25]Sch C'!D67</f>
        <v>56805</v>
      </c>
      <c r="D74" s="490">
        <f>'[25]Sch C'!F67</f>
        <v>42533</v>
      </c>
      <c r="E74" s="171">
        <f t="shared" si="9"/>
        <v>99338</v>
      </c>
      <c r="F74" s="573"/>
      <c r="G74" s="171">
        <f t="shared" si="10"/>
        <v>99338</v>
      </c>
      <c r="H74" s="172">
        <f t="shared" si="11"/>
        <v>1.0117006853712508E-2</v>
      </c>
      <c r="I74" s="337"/>
      <c r="J74" s="195"/>
      <c r="K74" s="168"/>
      <c r="M74" s="359">
        <f t="shared" si="12"/>
        <v>3.614788399257669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490">
        <f>'[25]Sch C'!D68</f>
        <v>0</v>
      </c>
      <c r="D75" s="490">
        <f>'[25]Sch C'!F68</f>
        <v>0</v>
      </c>
      <c r="E75" s="171">
        <f t="shared" si="9"/>
        <v>0</v>
      </c>
      <c r="F75" s="573"/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490">
        <f>'[25]Sch C'!D69</f>
        <v>0</v>
      </c>
      <c r="D76" s="490">
        <f>'[25]Sch C'!F69</f>
        <v>0</v>
      </c>
      <c r="E76" s="171">
        <f t="shared" si="9"/>
        <v>0</v>
      </c>
      <c r="F76" s="573"/>
      <c r="G76" s="171">
        <f t="shared" si="10"/>
        <v>0</v>
      </c>
      <c r="H76" s="172">
        <f t="shared" si="11"/>
        <v>0</v>
      </c>
      <c r="I76" s="337"/>
      <c r="J76" s="195"/>
      <c r="K76" s="168"/>
      <c r="M76" s="359">
        <f t="shared" si="12"/>
        <v>0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490">
        <f>'[25]Sch C'!D70</f>
        <v>0</v>
      </c>
      <c r="D77" s="490">
        <f>'[25]Sch C'!F70</f>
        <v>-10361</v>
      </c>
      <c r="E77" s="171">
        <f t="shared" si="9"/>
        <v>-10361</v>
      </c>
      <c r="F77" s="573"/>
      <c r="G77" s="171">
        <f t="shared" si="10"/>
        <v>-10361</v>
      </c>
      <c r="H77" s="172">
        <f t="shared" si="11"/>
        <v>-1.0552085607855534E-3</v>
      </c>
      <c r="I77" s="337"/>
      <c r="J77" s="195"/>
      <c r="K77" s="168"/>
      <c r="M77" s="359">
        <f t="shared" si="12"/>
        <v>-0.37702412575961575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490">
        <f>'[25]Sch C'!D71</f>
        <v>0</v>
      </c>
      <c r="D78" s="490">
        <f>'[25]Sch C'!F71</f>
        <v>0</v>
      </c>
      <c r="E78" s="171">
        <f t="shared" si="9"/>
        <v>0</v>
      </c>
      <c r="F78" s="573"/>
      <c r="G78" s="171">
        <f t="shared" si="10"/>
        <v>0</v>
      </c>
      <c r="H78" s="172">
        <f t="shared" si="11"/>
        <v>0</v>
      </c>
      <c r="I78" s="337"/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490">
        <f>SUM(C64:C78)</f>
        <v>1393590</v>
      </c>
      <c r="D79" s="490">
        <f>SUM(D64:D78)</f>
        <v>-367156</v>
      </c>
      <c r="E79" s="171">
        <f t="shared" ref="E79" si="13">SUM(E64:E78)</f>
        <v>1026434</v>
      </c>
      <c r="F79" s="573">
        <f>SUM(F64:F78)</f>
        <v>0</v>
      </c>
      <c r="G79" s="171">
        <f>SUM(G64:G78)</f>
        <v>1026434</v>
      </c>
      <c r="H79" s="172">
        <f t="shared" si="11"/>
        <v>0.10453642929074015</v>
      </c>
      <c r="I79" s="337"/>
      <c r="J79" s="195"/>
      <c r="K79" s="168"/>
      <c r="M79" s="359">
        <f t="shared" si="12"/>
        <v>37.350678650704126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490">
        <f>'[25]Sch C'!D75</f>
        <v>94109</v>
      </c>
      <c r="D82" s="490">
        <f>'[25]Sch C'!F75</f>
        <v>3473</v>
      </c>
      <c r="E82" s="171">
        <f t="shared" ref="E82:E92" si="14">C82+D82</f>
        <v>97582</v>
      </c>
      <c r="F82" s="573"/>
      <c r="G82" s="171">
        <f t="shared" ref="G82:G92" si="15">E82+F82</f>
        <v>97582</v>
      </c>
      <c r="H82" s="172">
        <f t="shared" ref="H82:H93" si="16">IF($G$208=0,0,G82/$G$208)</f>
        <v>9.9381683021499741E-3</v>
      </c>
      <c r="I82" s="337"/>
      <c r="J82" s="183">
        <v>2808</v>
      </c>
      <c r="K82" s="183">
        <v>2903</v>
      </c>
      <c r="M82" s="359">
        <f t="shared" ref="M82:M92" si="17">G82/G$228</f>
        <v>3.5508897056147886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490">
        <f>'[25]Sch C'!D76</f>
        <v>0</v>
      </c>
      <c r="D83" s="490">
        <f>'[25]Sch C'!F76</f>
        <v>15500</v>
      </c>
      <c r="E83" s="171">
        <f t="shared" si="14"/>
        <v>15500</v>
      </c>
      <c r="F83" s="573"/>
      <c r="G83" s="171">
        <f t="shared" si="15"/>
        <v>15500</v>
      </c>
      <c r="H83" s="172">
        <f t="shared" si="16"/>
        <v>1.5785863036556391E-3</v>
      </c>
      <c r="I83" s="337"/>
      <c r="J83" s="168"/>
      <c r="K83" s="168"/>
      <c r="M83" s="359">
        <f t="shared" si="17"/>
        <v>0.56402605436483388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490">
        <f>'[25]Sch C'!D77</f>
        <v>2243</v>
      </c>
      <c r="D84" s="490">
        <f>'[25]Sch C'!F77</f>
        <v>0</v>
      </c>
      <c r="E84" s="171">
        <f t="shared" si="14"/>
        <v>2243</v>
      </c>
      <c r="F84" s="573"/>
      <c r="G84" s="171">
        <f t="shared" si="15"/>
        <v>2243</v>
      </c>
      <c r="H84" s="172">
        <f t="shared" si="16"/>
        <v>2.2843671478061929E-4</v>
      </c>
      <c r="I84" s="337"/>
      <c r="J84" s="168"/>
      <c r="K84" s="168"/>
      <c r="M84" s="359">
        <f t="shared" si="17"/>
        <v>8.1620028383246612E-2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490">
        <f>'[25]Sch C'!D78</f>
        <v>53197</v>
      </c>
      <c r="D85" s="490">
        <f>'[25]Sch C'!F78</f>
        <v>0</v>
      </c>
      <c r="E85" s="171">
        <f t="shared" si="14"/>
        <v>53197</v>
      </c>
      <c r="F85" s="573"/>
      <c r="G85" s="171">
        <f t="shared" si="15"/>
        <v>53197</v>
      </c>
      <c r="H85" s="172">
        <f t="shared" si="16"/>
        <v>5.4178100384238087E-3</v>
      </c>
      <c r="I85" s="337"/>
      <c r="J85" s="168"/>
      <c r="K85" s="168"/>
      <c r="M85" s="359">
        <f t="shared" si="17"/>
        <v>1.9357738073578108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490">
        <f>'[25]Sch C'!D79</f>
        <v>4776</v>
      </c>
      <c r="D86" s="490">
        <f>'[25]Sch C'!F79</f>
        <v>0</v>
      </c>
      <c r="E86" s="171">
        <f t="shared" si="14"/>
        <v>4776</v>
      </c>
      <c r="F86" s="573"/>
      <c r="G86" s="171">
        <f>E86+F86</f>
        <v>4776</v>
      </c>
      <c r="H86" s="172">
        <f t="shared" si="16"/>
        <v>4.8640827008124727E-4</v>
      </c>
      <c r="I86" s="337"/>
      <c r="J86" s="168"/>
      <c r="K86" s="168"/>
      <c r="M86" s="359">
        <f t="shared" si="17"/>
        <v>0.17379280229977076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490">
        <f>'[25]Sch C'!D80</f>
        <v>21739</v>
      </c>
      <c r="D87" s="490">
        <f>'[25]Sch C'!F80</f>
        <v>0</v>
      </c>
      <c r="E87" s="171">
        <f t="shared" si="14"/>
        <v>21739</v>
      </c>
      <c r="F87" s="573"/>
      <c r="G87" s="171">
        <f t="shared" si="15"/>
        <v>21739</v>
      </c>
      <c r="H87" s="172">
        <f t="shared" si="16"/>
        <v>2.2139927519464479E-3</v>
      </c>
      <c r="I87" s="337"/>
      <c r="J87" s="168"/>
      <c r="K87" s="168"/>
      <c r="M87" s="359">
        <f t="shared" si="17"/>
        <v>0.79105563844110471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490">
        <f>'[25]Sch C'!D81</f>
        <v>22831</v>
      </c>
      <c r="D88" s="490">
        <f>'[25]Sch C'!F81</f>
        <v>0</v>
      </c>
      <c r="E88" s="171">
        <f t="shared" si="14"/>
        <v>22831</v>
      </c>
      <c r="F88" s="573"/>
      <c r="G88" s="171">
        <f t="shared" si="15"/>
        <v>22831</v>
      </c>
      <c r="H88" s="172">
        <f t="shared" si="16"/>
        <v>2.3252067031459289E-3</v>
      </c>
      <c r="I88" s="337"/>
      <c r="J88" s="168"/>
      <c r="K88" s="168"/>
      <c r="M88" s="359">
        <f t="shared" si="17"/>
        <v>0.83079218369054986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490">
        <f>'[25]Sch C'!D82</f>
        <v>0</v>
      </c>
      <c r="D89" s="490">
        <f>'[25]Sch C'!F82</f>
        <v>0</v>
      </c>
      <c r="E89" s="171">
        <f t="shared" si="14"/>
        <v>0</v>
      </c>
      <c r="F89" s="573"/>
      <c r="G89" s="171">
        <f t="shared" si="15"/>
        <v>0</v>
      </c>
      <c r="H89" s="172">
        <f t="shared" si="16"/>
        <v>0</v>
      </c>
      <c r="I89" s="337"/>
      <c r="J89" s="168"/>
      <c r="K89" s="168"/>
      <c r="M89" s="359">
        <f t="shared" si="17"/>
        <v>0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490">
        <f>'[25]Sch C'!D83</f>
        <v>7510</v>
      </c>
      <c r="D90" s="490">
        <f>'[25]Sch C'!F83</f>
        <v>0</v>
      </c>
      <c r="E90" s="171">
        <f t="shared" si="14"/>
        <v>7510</v>
      </c>
      <c r="F90" s="573"/>
      <c r="G90" s="171">
        <f t="shared" si="15"/>
        <v>7510</v>
      </c>
      <c r="H90" s="172">
        <f t="shared" si="16"/>
        <v>7.6485052519057102E-4</v>
      </c>
      <c r="I90" s="337"/>
      <c r="J90" s="168"/>
      <c r="K90" s="168"/>
      <c r="M90" s="359">
        <f t="shared" si="17"/>
        <v>0.27327972053418725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490">
        <f>'[25]Sch C'!D84</f>
        <v>107738</v>
      </c>
      <c r="D91" s="490">
        <f>'[25]Sch C'!F84</f>
        <v>0</v>
      </c>
      <c r="E91" s="171">
        <f t="shared" si="14"/>
        <v>107738</v>
      </c>
      <c r="F91" s="573"/>
      <c r="G91" s="171">
        <f t="shared" si="15"/>
        <v>107738</v>
      </c>
      <c r="H91" s="172">
        <f t="shared" si="16"/>
        <v>1.0972498786016211E-2</v>
      </c>
      <c r="I91" s="337"/>
      <c r="J91" s="168"/>
      <c r="K91" s="168"/>
      <c r="M91" s="359">
        <f t="shared" si="17"/>
        <v>3.920454131945708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490">
        <f>'[25]Sch C'!D85</f>
        <v>797</v>
      </c>
      <c r="D92" s="490">
        <f>'[25]Sch C'!F85</f>
        <v>0</v>
      </c>
      <c r="E92" s="171">
        <f t="shared" si="14"/>
        <v>797</v>
      </c>
      <c r="F92" s="573"/>
      <c r="G92" s="171">
        <f t="shared" si="15"/>
        <v>797</v>
      </c>
      <c r="H92" s="172">
        <f t="shared" si="16"/>
        <v>8.1169889291196422E-5</v>
      </c>
      <c r="I92" s="337"/>
      <c r="J92" s="168"/>
      <c r="K92" s="168"/>
      <c r="M92" s="359">
        <f t="shared" si="17"/>
        <v>2.9001855827662747E-2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490">
        <f>SUM(C82:C92)</f>
        <v>314940</v>
      </c>
      <c r="D93" s="490">
        <f>SUM(D82:D92)</f>
        <v>18973</v>
      </c>
      <c r="E93" s="171">
        <f t="shared" ref="E93" si="18">SUM(E82:E92)</f>
        <v>333913</v>
      </c>
      <c r="F93" s="573">
        <f>SUM(F82:F92)</f>
        <v>0</v>
      </c>
      <c r="G93" s="171">
        <f>SUM(G82:G92)</f>
        <v>333913</v>
      </c>
      <c r="H93" s="172">
        <f t="shared" si="16"/>
        <v>3.4007128284681644E-2</v>
      </c>
      <c r="I93" s="337"/>
      <c r="J93" s="168"/>
      <c r="K93" s="168"/>
      <c r="M93" s="364">
        <f>G93/G$228</f>
        <v>12.150685928459662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490">
        <f>'[25]Sch C'!D89</f>
        <v>287511</v>
      </c>
      <c r="D96" s="490">
        <f>'[25]Sch C'!F89</f>
        <v>10609</v>
      </c>
      <c r="E96" s="171">
        <f t="shared" ref="E96:E101" si="19">C96+D96</f>
        <v>298120</v>
      </c>
      <c r="F96" s="573"/>
      <c r="G96" s="171">
        <f t="shared" ref="G96:G101" si="20">E96+F96</f>
        <v>298120</v>
      </c>
      <c r="H96" s="172">
        <f t="shared" ref="H96:H102" si="21">IF($G$208=0,0,G96/$G$208)</f>
        <v>3.0361816054568978E-2</v>
      </c>
      <c r="I96" s="337"/>
      <c r="J96" s="183">
        <v>17559</v>
      </c>
      <c r="K96" s="183">
        <v>18236</v>
      </c>
      <c r="M96" s="364">
        <f t="shared" ref="M96:M101" si="22">G96/G$228</f>
        <v>10.848222408209308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490">
        <f>'[25]Sch C'!D90</f>
        <v>0</v>
      </c>
      <c r="D97" s="490">
        <f>'[25]Sch C'!F90</f>
        <v>47353</v>
      </c>
      <c r="E97" s="171">
        <f t="shared" si="19"/>
        <v>47353</v>
      </c>
      <c r="F97" s="573"/>
      <c r="G97" s="171">
        <f t="shared" si="20"/>
        <v>47353</v>
      </c>
      <c r="H97" s="172">
        <f t="shared" si="21"/>
        <v>4.8226320798068056E-3</v>
      </c>
      <c r="I97" s="337"/>
      <c r="J97" s="168"/>
      <c r="K97" s="168"/>
      <c r="M97" s="364">
        <f t="shared" si="22"/>
        <v>1.7231177904734181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490">
        <f>'[25]Sch C'!D91</f>
        <v>14299</v>
      </c>
      <c r="D98" s="490">
        <f>'[25]Sch C'!F91</f>
        <v>0</v>
      </c>
      <c r="E98" s="171">
        <f t="shared" si="19"/>
        <v>14299</v>
      </c>
      <c r="F98" s="573"/>
      <c r="G98" s="171">
        <f t="shared" si="20"/>
        <v>14299</v>
      </c>
      <c r="H98" s="172">
        <f t="shared" si="21"/>
        <v>1.456271326191741E-3</v>
      </c>
      <c r="I98" s="337"/>
      <c r="J98" s="168"/>
      <c r="K98" s="168"/>
      <c r="M98" s="364">
        <f t="shared" si="22"/>
        <v>0.52032313234598448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490">
        <f>'[25]Sch C'!D92</f>
        <v>192652</v>
      </c>
      <c r="D99" s="490">
        <f>'[25]Sch C'!F92</f>
        <v>0</v>
      </c>
      <c r="E99" s="171">
        <f t="shared" si="19"/>
        <v>192652</v>
      </c>
      <c r="F99" s="573"/>
      <c r="G99" s="171">
        <f t="shared" si="20"/>
        <v>192652</v>
      </c>
      <c r="H99" s="172">
        <f t="shared" si="21"/>
        <v>1.9620503778830078E-2</v>
      </c>
      <c r="I99" s="337"/>
      <c r="J99" s="168"/>
      <c r="K99" s="168"/>
      <c r="M99" s="364">
        <f t="shared" si="22"/>
        <v>7.0103708016447728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490">
        <f>'[25]Sch C'!D93</f>
        <v>17812</v>
      </c>
      <c r="D100" s="490">
        <f>'[25]Sch C'!F93</f>
        <v>0</v>
      </c>
      <c r="E100" s="171">
        <f t="shared" si="19"/>
        <v>17812</v>
      </c>
      <c r="F100" s="573"/>
      <c r="G100" s="171">
        <f t="shared" si="20"/>
        <v>17812</v>
      </c>
      <c r="H100" s="172">
        <f t="shared" si="21"/>
        <v>1.8140502735944674E-3</v>
      </c>
      <c r="I100" s="337"/>
      <c r="J100" s="168"/>
      <c r="K100" s="168"/>
      <c r="M100" s="364">
        <f t="shared" si="22"/>
        <v>0.64815690840944651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490">
        <f>'[25]Sch C'!D94</f>
        <v>3935</v>
      </c>
      <c r="D101" s="490">
        <f>'[25]Sch C'!F94</f>
        <v>0</v>
      </c>
      <c r="E101" s="171">
        <f t="shared" si="19"/>
        <v>3935</v>
      </c>
      <c r="F101" s="573"/>
      <c r="G101" s="171">
        <f t="shared" si="20"/>
        <v>3935</v>
      </c>
      <c r="H101" s="172">
        <f t="shared" si="21"/>
        <v>4.0075723257322198E-4</v>
      </c>
      <c r="I101" s="337"/>
      <c r="J101" s="168"/>
      <c r="K101" s="168"/>
      <c r="M101" s="364">
        <f t="shared" si="22"/>
        <v>0.14318984025326589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490">
        <f>SUM(C96:C101)</f>
        <v>516209</v>
      </c>
      <c r="D102" s="490">
        <f>SUM(D96:D101)</f>
        <v>57962</v>
      </c>
      <c r="E102" s="171">
        <f t="shared" ref="E102" si="23">SUM(E96:E101)</f>
        <v>574171</v>
      </c>
      <c r="F102" s="573">
        <f>SUM(F96:F101)</f>
        <v>0</v>
      </c>
      <c r="G102" s="171">
        <f>SUM(G96:G101)</f>
        <v>574171</v>
      </c>
      <c r="H102" s="172">
        <f t="shared" si="21"/>
        <v>5.8476030745565295E-2</v>
      </c>
      <c r="I102" s="337"/>
      <c r="J102" s="168"/>
      <c r="K102" s="168"/>
      <c r="M102" s="364">
        <f>G102/G$228</f>
        <v>20.893380881336196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490">
        <f>'[25]Sch C'!D98</f>
        <v>0</v>
      </c>
      <c r="D105" s="490">
        <f>'[25]Sch C'!F98</f>
        <v>0</v>
      </c>
      <c r="E105" s="171">
        <f t="shared" ref="E105:E110" si="24">C105+D105</f>
        <v>0</v>
      </c>
      <c r="F105" s="573"/>
      <c r="G105" s="171">
        <f t="shared" ref="G105:G110" si="25">E105+F105</f>
        <v>0</v>
      </c>
      <c r="H105" s="172">
        <f t="shared" ref="H105:H111" si="26">IF($G$208=0,0,G105/$G$208)</f>
        <v>0</v>
      </c>
      <c r="I105" s="337"/>
      <c r="J105" s="183">
        <v>0</v>
      </c>
      <c r="K105" s="183">
        <v>0</v>
      </c>
      <c r="M105" s="364">
        <f t="shared" ref="M105:M110" si="27">G105/G$228</f>
        <v>0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490">
        <f>'[25]Sch C'!D99</f>
        <v>0</v>
      </c>
      <c r="D106" s="490">
        <f>'[25]Sch C'!F99</f>
        <v>0</v>
      </c>
      <c r="E106" s="171">
        <f t="shared" si="24"/>
        <v>0</v>
      </c>
      <c r="F106" s="573"/>
      <c r="G106" s="171">
        <f t="shared" si="25"/>
        <v>0</v>
      </c>
      <c r="H106" s="172">
        <f t="shared" si="26"/>
        <v>0</v>
      </c>
      <c r="I106" s="337"/>
      <c r="J106" s="168"/>
      <c r="K106" s="168"/>
      <c r="M106" s="364">
        <f t="shared" si="27"/>
        <v>0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490">
        <f>'[25]Sch C'!D100</f>
        <v>523</v>
      </c>
      <c r="D107" s="490">
        <f>'[25]Sch C'!F100</f>
        <v>0</v>
      </c>
      <c r="E107" s="171">
        <f t="shared" si="24"/>
        <v>523</v>
      </c>
      <c r="F107" s="573"/>
      <c r="G107" s="171">
        <f t="shared" si="25"/>
        <v>523</v>
      </c>
      <c r="H107" s="172">
        <f t="shared" si="26"/>
        <v>5.3264557213670926E-5</v>
      </c>
      <c r="I107" s="337"/>
      <c r="J107" s="168"/>
      <c r="K107" s="168"/>
      <c r="M107" s="364">
        <f t="shared" si="27"/>
        <v>1.9031330737600525E-2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490">
        <f>'[25]Sch C'!D101</f>
        <v>85566</v>
      </c>
      <c r="D108" s="490">
        <f>'[25]Sch C'!F101</f>
        <v>0</v>
      </c>
      <c r="E108" s="171">
        <f t="shared" si="24"/>
        <v>85566</v>
      </c>
      <c r="F108" s="573"/>
      <c r="G108" s="171">
        <f t="shared" si="25"/>
        <v>85566</v>
      </c>
      <c r="H108" s="172">
        <f t="shared" si="26"/>
        <v>8.7144074618450591E-3</v>
      </c>
      <c r="I108" s="337"/>
      <c r="J108" s="168"/>
      <c r="K108" s="168"/>
      <c r="M108" s="364">
        <f t="shared" si="27"/>
        <v>3.1136421527600886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490">
        <f>'[25]Sch C'!D102</f>
        <v>0</v>
      </c>
      <c r="D109" s="490">
        <f>'[25]Sch C'!F102</f>
        <v>0</v>
      </c>
      <c r="E109" s="171">
        <f t="shared" si="24"/>
        <v>0</v>
      </c>
      <c r="F109" s="573"/>
      <c r="G109" s="171">
        <f t="shared" si="25"/>
        <v>0</v>
      </c>
      <c r="H109" s="172">
        <f t="shared" si="26"/>
        <v>0</v>
      </c>
      <c r="I109" s="337"/>
      <c r="J109" s="168"/>
      <c r="K109" s="168"/>
      <c r="M109" s="364">
        <f t="shared" si="27"/>
        <v>0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490">
        <f>'[25]Sch C'!D103</f>
        <v>0</v>
      </c>
      <c r="D110" s="490">
        <f>'[25]Sch C'!F103</f>
        <v>0</v>
      </c>
      <c r="E110" s="171">
        <f t="shared" si="24"/>
        <v>0</v>
      </c>
      <c r="F110" s="573"/>
      <c r="G110" s="171">
        <f t="shared" si="25"/>
        <v>0</v>
      </c>
      <c r="H110" s="172">
        <f t="shared" si="26"/>
        <v>0</v>
      </c>
      <c r="I110" s="337"/>
      <c r="J110" s="168"/>
      <c r="K110" s="168"/>
      <c r="M110" s="364">
        <f t="shared" si="27"/>
        <v>0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490">
        <f>SUM(C105:C110)</f>
        <v>86089</v>
      </c>
      <c r="D111" s="490">
        <f>SUM(D105:D110)</f>
        <v>0</v>
      </c>
      <c r="E111" s="171">
        <f t="shared" ref="E111" si="28">SUM(E105:E110)</f>
        <v>86089</v>
      </c>
      <c r="F111" s="573">
        <f>SUM(F105:F110)</f>
        <v>0</v>
      </c>
      <c r="G111" s="171">
        <f>SUM(G105:G110)</f>
        <v>86089</v>
      </c>
      <c r="H111" s="172">
        <f t="shared" si="26"/>
        <v>8.7676720190587309E-3</v>
      </c>
      <c r="I111" s="337"/>
      <c r="J111" s="168"/>
      <c r="K111" s="168"/>
      <c r="M111" s="364">
        <f>G111/G$228</f>
        <v>3.1326734834976895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490">
        <f>'[25]Sch C'!D115</f>
        <v>0</v>
      </c>
      <c r="D114" s="490">
        <f>'[25]Sch C'!F115</f>
        <v>0</v>
      </c>
      <c r="E114" s="171">
        <f t="shared" ref="E114:E118" si="29">C114+D114</f>
        <v>0</v>
      </c>
      <c r="F114" s="573"/>
      <c r="G114" s="171">
        <f>E114+F114</f>
        <v>0</v>
      </c>
      <c r="H114" s="172">
        <f t="shared" ref="H114:H119" si="30">IF($G$208=0,0,G114/$G$208)</f>
        <v>0</v>
      </c>
      <c r="I114" s="337"/>
      <c r="J114" s="183">
        <v>0</v>
      </c>
      <c r="K114" s="183">
        <v>0</v>
      </c>
      <c r="M114" s="364">
        <f t="shared" ref="M114:M119" si="31">G114/G$228</f>
        <v>0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490">
        <f>'[25]Sch C'!D116</f>
        <v>0</v>
      </c>
      <c r="D115" s="490">
        <f>'[25]Sch C'!F116</f>
        <v>0</v>
      </c>
      <c r="E115" s="171">
        <f t="shared" si="29"/>
        <v>0</v>
      </c>
      <c r="F115" s="573"/>
      <c r="G115" s="171">
        <f>E115+F115</f>
        <v>0</v>
      </c>
      <c r="H115" s="172">
        <f t="shared" si="30"/>
        <v>0</v>
      </c>
      <c r="I115" s="337"/>
      <c r="J115" s="168"/>
      <c r="K115" s="168"/>
      <c r="M115" s="364">
        <f t="shared" si="31"/>
        <v>0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490">
        <f>'[25]Sch C'!D117</f>
        <v>1437</v>
      </c>
      <c r="D116" s="490">
        <f>'[25]Sch C'!F117</f>
        <v>0</v>
      </c>
      <c r="E116" s="171">
        <f t="shared" si="29"/>
        <v>1437</v>
      </c>
      <c r="F116" s="573"/>
      <c r="G116" s="171">
        <f>E116+F116</f>
        <v>1437</v>
      </c>
      <c r="H116" s="172">
        <f t="shared" si="30"/>
        <v>1.4635022699052605E-4</v>
      </c>
      <c r="I116" s="337"/>
      <c r="J116" s="168"/>
      <c r="K116" s="168"/>
      <c r="M116" s="364">
        <f t="shared" si="31"/>
        <v>5.2290673556275244E-2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490">
        <f>'[25]Sch C'!D118</f>
        <v>131440</v>
      </c>
      <c r="D117" s="490">
        <f>'[25]Sch C'!F118</f>
        <v>0</v>
      </c>
      <c r="E117" s="171">
        <f t="shared" si="29"/>
        <v>131440</v>
      </c>
      <c r="F117" s="573"/>
      <c r="G117" s="171">
        <f>E117+F117</f>
        <v>131440</v>
      </c>
      <c r="H117" s="172">
        <f t="shared" si="30"/>
        <v>1.338641185499982E-2</v>
      </c>
      <c r="I117" s="337"/>
      <c r="J117" s="168"/>
      <c r="K117" s="168"/>
      <c r="M117" s="364">
        <f t="shared" si="31"/>
        <v>4.7829409410137913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490">
        <f>'[25]Sch C'!D119</f>
        <v>0</v>
      </c>
      <c r="D118" s="490">
        <f>'[25]Sch C'!F119</f>
        <v>0</v>
      </c>
      <c r="E118" s="171">
        <f t="shared" si="29"/>
        <v>0</v>
      </c>
      <c r="F118" s="573"/>
      <c r="G118" s="171">
        <f>E118+F118</f>
        <v>0</v>
      </c>
      <c r="H118" s="172">
        <f t="shared" si="30"/>
        <v>0</v>
      </c>
      <c r="I118" s="337"/>
      <c r="J118" s="168"/>
      <c r="K118" s="168"/>
      <c r="M118" s="364">
        <f t="shared" si="31"/>
        <v>0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490">
        <f>SUM(C114:C118)</f>
        <v>132877</v>
      </c>
      <c r="D119" s="490">
        <f>SUM(D114:D118)</f>
        <v>0</v>
      </c>
      <c r="E119" s="171">
        <f t="shared" ref="E119" si="32">SUM(E114:E118)</f>
        <v>132877</v>
      </c>
      <c r="F119" s="573">
        <f>SUM(F114:F118)</f>
        <v>0</v>
      </c>
      <c r="G119" s="171">
        <f>SUM(G114:G118)</f>
        <v>132877</v>
      </c>
      <c r="H119" s="172">
        <f t="shared" si="30"/>
        <v>1.3532762081990347E-2</v>
      </c>
      <c r="I119" s="337"/>
      <c r="J119" s="168"/>
      <c r="K119" s="168"/>
      <c r="M119" s="364">
        <f t="shared" si="31"/>
        <v>4.8352316145700662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1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490">
        <f>'[25]Sch C'!D124</f>
        <v>0</v>
      </c>
      <c r="D123" s="490">
        <f>'[25]Sch C'!F124</f>
        <v>0</v>
      </c>
      <c r="E123" s="171">
        <f t="shared" ref="E123:E127" si="33">C123+D123</f>
        <v>0</v>
      </c>
      <c r="F123" s="573"/>
      <c r="G123" s="171">
        <f>E123+F123</f>
        <v>0</v>
      </c>
      <c r="H123" s="172">
        <f>IF($G$208=0,0,G123/$G$208)</f>
        <v>0</v>
      </c>
      <c r="I123" s="337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0.77002560279620991</v>
      </c>
    </row>
    <row r="124" spans="1:14" s="167" customFormat="1">
      <c r="B124" s="163" t="s">
        <v>194</v>
      </c>
      <c r="C124" s="490">
        <f>'[25]Sch C'!D125</f>
        <v>269304</v>
      </c>
      <c r="D124" s="490">
        <f>'[25]Sch C'!F125</f>
        <v>9937</v>
      </c>
      <c r="E124" s="171">
        <f t="shared" si="33"/>
        <v>279241</v>
      </c>
      <c r="F124" s="573"/>
      <c r="G124" s="171">
        <f>E124+F124</f>
        <v>279241</v>
      </c>
      <c r="H124" s="172">
        <f>IF($G$208=0,0,G124/$G$208)</f>
        <v>2.8439097936716409E-2</v>
      </c>
      <c r="I124" s="337"/>
      <c r="J124" s="183">
        <v>3935</v>
      </c>
      <c r="K124" s="183">
        <v>4199</v>
      </c>
      <c r="M124" s="364">
        <f t="shared" si="34"/>
        <v>10.161238673992941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490">
        <f>'[25]Sch C'!D126</f>
        <v>0</v>
      </c>
      <c r="D125" s="490">
        <f>'[25]Sch C'!F126</f>
        <v>0</v>
      </c>
      <c r="E125" s="171">
        <f t="shared" si="33"/>
        <v>0</v>
      </c>
      <c r="F125" s="573"/>
      <c r="G125" s="171">
        <f>E125+F125</f>
        <v>0</v>
      </c>
      <c r="H125" s="172">
        <f>IF($G$208=0,0,G125/$G$208)</f>
        <v>0</v>
      </c>
      <c r="I125" s="337"/>
      <c r="J125" s="183">
        <v>0</v>
      </c>
      <c r="K125" s="183">
        <v>0</v>
      </c>
      <c r="M125" s="364">
        <f t="shared" si="34"/>
        <v>0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490">
        <f>'[25]Sch C'!D127</f>
        <v>0</v>
      </c>
      <c r="D126" s="490">
        <f>'[25]Sch C'!F127</f>
        <v>0</v>
      </c>
      <c r="E126" s="171">
        <f t="shared" si="33"/>
        <v>0</v>
      </c>
      <c r="F126" s="573"/>
      <c r="G126" s="171">
        <f>E126+F126</f>
        <v>0</v>
      </c>
      <c r="H126" s="172">
        <f>IF($G$208=0,0,G126/$G$208)</f>
        <v>0</v>
      </c>
      <c r="I126" s="337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490">
        <f>'[25]Sch C'!D128</f>
        <v>133739</v>
      </c>
      <c r="D127" s="490">
        <f>'[25]Sch C'!F128</f>
        <v>4935</v>
      </c>
      <c r="E127" s="171">
        <f t="shared" si="33"/>
        <v>138674</v>
      </c>
      <c r="F127" s="573"/>
      <c r="G127" s="171">
        <f>E127+F127</f>
        <v>138674</v>
      </c>
      <c r="H127" s="172">
        <f>IF($G$208=0,0,G127/$G$208)</f>
        <v>1.4123153359557555E-2</v>
      </c>
      <c r="I127" s="337"/>
      <c r="J127" s="183">
        <v>6302</v>
      </c>
      <c r="K127" s="183">
        <v>6629</v>
      </c>
      <c r="M127" s="364">
        <f t="shared" si="34"/>
        <v>5.0461773589025141</v>
      </c>
      <c r="N127" s="359">
        <f>SUMMARY!J130</f>
        <v>2.5140796974413586</v>
      </c>
    </row>
    <row r="128" spans="1:14" s="167" customFormat="1" ht="15.5">
      <c r="A128" s="169" t="s">
        <v>95</v>
      </c>
      <c r="B128" s="170" t="s">
        <v>152</v>
      </c>
      <c r="C128" s="580"/>
      <c r="D128" s="580"/>
      <c r="E128"/>
      <c r="F128" s="573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490">
        <f>'[25]Sch C'!D130</f>
        <v>0</v>
      </c>
      <c r="D129" s="490">
        <f>'[25]Sch C'!F130</f>
        <v>0</v>
      </c>
      <c r="E129" s="171">
        <f t="shared" ref="E129:E133" si="35">C129+D129</f>
        <v>0</v>
      </c>
      <c r="F129" s="573"/>
      <c r="G129" s="171">
        <f>E129+F129</f>
        <v>0</v>
      </c>
      <c r="H129" s="172">
        <f>IF($G$208=0,0,G129/$G$208)</f>
        <v>0</v>
      </c>
      <c r="I129" s="337"/>
      <c r="J129" s="204"/>
      <c r="K129" s="204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490">
        <f>'[25]Sch C'!D131</f>
        <v>0</v>
      </c>
      <c r="D130" s="490">
        <f>'[25]Sch C'!F131</f>
        <v>44354</v>
      </c>
      <c r="E130" s="171">
        <f t="shared" si="35"/>
        <v>44354</v>
      </c>
      <c r="F130" s="573"/>
      <c r="G130" s="171">
        <f>E130+F130</f>
        <v>44354</v>
      </c>
      <c r="H130" s="172">
        <f>IF($G$208=0,0,G130/$G$208)</f>
        <v>4.5172010911188531E-3</v>
      </c>
      <c r="I130" s="337"/>
      <c r="J130" s="204"/>
      <c r="K130" s="204"/>
      <c r="M130" s="364">
        <f t="shared" si="34"/>
        <v>1.613987846148248</v>
      </c>
      <c r="N130" s="359">
        <f>SUMMARY!J133</f>
        <v>1.0792348507966931</v>
      </c>
    </row>
    <row r="131" spans="1:14" s="167" customFormat="1">
      <c r="B131" s="163" t="s">
        <v>195</v>
      </c>
      <c r="C131" s="490">
        <f>'[25]Sch C'!D132</f>
        <v>0</v>
      </c>
      <c r="D131" s="490">
        <f>'[25]Sch C'!F132</f>
        <v>0</v>
      </c>
      <c r="E131" s="171">
        <f t="shared" si="35"/>
        <v>0</v>
      </c>
      <c r="F131" s="573"/>
      <c r="G131" s="171">
        <f>E131+F131</f>
        <v>0</v>
      </c>
      <c r="H131" s="172">
        <f>IF($G$208=0,0,G131/$G$208)</f>
        <v>0</v>
      </c>
      <c r="I131" s="337"/>
      <c r="J131" s="168"/>
      <c r="K131" s="168"/>
      <c r="M131" s="364">
        <f t="shared" si="34"/>
        <v>0</v>
      </c>
      <c r="N131" s="359">
        <f>SUMMARY!J134</f>
        <v>8.2765628075518377E-2</v>
      </c>
    </row>
    <row r="132" spans="1:14" s="167" customFormat="1">
      <c r="B132" s="163" t="s">
        <v>196</v>
      </c>
      <c r="C132" s="490">
        <f>'[25]Sch C'!D133</f>
        <v>0</v>
      </c>
      <c r="D132" s="490">
        <f>'[25]Sch C'!F133</f>
        <v>0</v>
      </c>
      <c r="E132" s="171">
        <f t="shared" si="35"/>
        <v>0</v>
      </c>
      <c r="F132" s="573"/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490">
        <f>'[25]Sch C'!D134</f>
        <v>0</v>
      </c>
      <c r="D133" s="490">
        <f>'[25]Sch C'!F134</f>
        <v>22027</v>
      </c>
      <c r="E133" s="171">
        <f t="shared" si="35"/>
        <v>22027</v>
      </c>
      <c r="F133" s="573"/>
      <c r="G133" s="171">
        <f>E133+F133</f>
        <v>22027</v>
      </c>
      <c r="H133" s="172">
        <f>IF($G$208=0,0,G133/$G$208)</f>
        <v>2.2433239039111462E-3</v>
      </c>
      <c r="I133" s="337"/>
      <c r="J133" s="168"/>
      <c r="K133" s="168"/>
      <c r="M133" s="364">
        <f t="shared" si="34"/>
        <v>0.80153560641898036</v>
      </c>
      <c r="N133" s="359">
        <f>SUMMARY!J136</f>
        <v>0.48951420004915208</v>
      </c>
    </row>
    <row r="134" spans="1:14" s="167" customFormat="1" ht="15.5">
      <c r="A134" s="169" t="s">
        <v>86</v>
      </c>
      <c r="B134" s="170" t="s">
        <v>64</v>
      </c>
      <c r="C134" s="196"/>
      <c r="D134" s="196"/>
      <c r="E134"/>
      <c r="F134" s="196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490">
        <f>'[25]Sch C'!D136</f>
        <v>861339</v>
      </c>
      <c r="D135" s="490">
        <f>'[25]Sch C'!F136</f>
        <v>31783</v>
      </c>
      <c r="E135" s="171">
        <f t="shared" ref="E135:E138" si="36">C135+D135</f>
        <v>893122</v>
      </c>
      <c r="F135" s="573"/>
      <c r="G135" s="171">
        <f>E135+F135</f>
        <v>893122</v>
      </c>
      <c r="H135" s="172">
        <f>IF($G$208=0,0,G135/$G$208)</f>
        <v>9.0959364947969801E-2</v>
      </c>
      <c r="I135" s="337"/>
      <c r="J135" s="183">
        <v>10769</v>
      </c>
      <c r="K135" s="183">
        <v>11402</v>
      </c>
      <c r="M135" s="364">
        <f t="shared" si="34"/>
        <v>32.499617917834136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490">
        <f>'[25]Sch C'!D137</f>
        <v>283228</v>
      </c>
      <c r="D136" s="490">
        <f>'[25]Sch C'!F137</f>
        <v>10451</v>
      </c>
      <c r="E136" s="171">
        <f t="shared" si="36"/>
        <v>293679</v>
      </c>
      <c r="F136" s="573"/>
      <c r="G136" s="171">
        <f>E136+F136</f>
        <v>293679</v>
      </c>
      <c r="H136" s="172">
        <f>IF($G$208=0,0,G136/$G$208)</f>
        <v>2.9909525617502226E-2</v>
      </c>
      <c r="I136" s="337"/>
      <c r="J136" s="183">
        <v>15955</v>
      </c>
      <c r="K136" s="183">
        <v>16212</v>
      </c>
      <c r="M136" s="364">
        <f t="shared" si="34"/>
        <v>10.686619846439358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490">
        <f>'[25]Sch C'!D138</f>
        <v>763456</v>
      </c>
      <c r="D137" s="490">
        <f>'[25]Sch C'!F138</f>
        <v>28171</v>
      </c>
      <c r="E137" s="171">
        <f t="shared" si="36"/>
        <v>791627</v>
      </c>
      <c r="F137" s="573"/>
      <c r="G137" s="171">
        <f>E137+F137</f>
        <v>791627</v>
      </c>
      <c r="H137" s="172">
        <f>IF($G$208=0,0,G137/$G$208)</f>
        <v>8.062267998735502E-2</v>
      </c>
      <c r="I137" s="337"/>
      <c r="J137" s="183">
        <v>57693</v>
      </c>
      <c r="K137" s="183">
        <v>59532</v>
      </c>
      <c r="M137" s="364">
        <f t="shared" si="34"/>
        <v>28.806338925075508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490">
        <f>'[25]Sch C'!D139</f>
        <v>0</v>
      </c>
      <c r="D138" s="490">
        <f>'[25]Sch C'!F139</f>
        <v>0</v>
      </c>
      <c r="E138" s="171">
        <f t="shared" si="36"/>
        <v>0</v>
      </c>
      <c r="F138" s="573"/>
      <c r="G138" s="171">
        <f>E138+F138</f>
        <v>0</v>
      </c>
      <c r="H138" s="172">
        <f>IF($G$208=0,0,G138/$G$208)</f>
        <v>0</v>
      </c>
      <c r="I138" s="337"/>
      <c r="J138" s="183">
        <v>0</v>
      </c>
      <c r="K138" s="183">
        <v>0</v>
      </c>
      <c r="M138" s="364">
        <f t="shared" si="34"/>
        <v>0</v>
      </c>
      <c r="N138" s="359">
        <f>SUMMARY!J141</f>
        <v>2.553029289205647</v>
      </c>
    </row>
    <row r="139" spans="1:14" s="167" customFormat="1" ht="15.5">
      <c r="A139" s="169" t="s">
        <v>96</v>
      </c>
      <c r="B139" s="170" t="s">
        <v>153</v>
      </c>
      <c r="C139" s="196"/>
      <c r="D139" s="196"/>
      <c r="E139"/>
      <c r="F139" s="196"/>
      <c r="G139" s="196"/>
      <c r="H139" s="197"/>
      <c r="I139" s="337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490">
        <f>'[25]Sch C'!D141</f>
        <v>0</v>
      </c>
      <c r="D140" s="490">
        <f>'[25]Sch C'!F141</f>
        <v>141861</v>
      </c>
      <c r="E140" s="171">
        <f t="shared" ref="E140:E143" si="37">C140+D140</f>
        <v>141861</v>
      </c>
      <c r="F140" s="573"/>
      <c r="G140" s="171">
        <f>E140+F140</f>
        <v>141861</v>
      </c>
      <c r="H140" s="172">
        <f>IF($G$208=0,0,G140/$G$208)</f>
        <v>1.4447731072444686E-2</v>
      </c>
      <c r="I140" s="337"/>
      <c r="J140" s="168"/>
      <c r="K140" s="168"/>
      <c r="M140" s="364">
        <f t="shared" si="34"/>
        <v>5.1621483934354648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490">
        <f>'[25]Sch C'!D142</f>
        <v>0</v>
      </c>
      <c r="D141" s="490">
        <f>'[25]Sch C'!F142</f>
        <v>46647</v>
      </c>
      <c r="E141" s="171">
        <f t="shared" si="37"/>
        <v>46647</v>
      </c>
      <c r="F141" s="573"/>
      <c r="G141" s="171">
        <f>E141+F141</f>
        <v>46647</v>
      </c>
      <c r="H141" s="172">
        <f>IF($G$208=0,0,G141/$G$208)</f>
        <v>4.7507300197822322E-3</v>
      </c>
      <c r="I141" s="337"/>
      <c r="J141" s="168"/>
      <c r="K141" s="168"/>
      <c r="M141" s="364">
        <f t="shared" si="34"/>
        <v>1.6974273134165423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490">
        <f>'[25]Sch C'!D143</f>
        <v>0</v>
      </c>
      <c r="D142" s="490">
        <f>'[25]Sch C'!F143</f>
        <v>125740</v>
      </c>
      <c r="E142" s="171">
        <f t="shared" si="37"/>
        <v>125740</v>
      </c>
      <c r="F142" s="573"/>
      <c r="G142" s="171">
        <f>E142+F142</f>
        <v>125740</v>
      </c>
      <c r="H142" s="172">
        <f>IF($G$208=0,0,G142/$G$208)</f>
        <v>1.2805899472365167E-2</v>
      </c>
      <c r="I142" s="337"/>
      <c r="J142" s="168"/>
      <c r="K142" s="168"/>
      <c r="M142" s="364">
        <f t="shared" si="34"/>
        <v>4.5755249081183367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490">
        <f>'[25]Sch C'!D144</f>
        <v>0</v>
      </c>
      <c r="D143" s="490">
        <f>'[25]Sch C'!F144</f>
        <v>0</v>
      </c>
      <c r="E143" s="171">
        <f t="shared" si="37"/>
        <v>0</v>
      </c>
      <c r="F143" s="573"/>
      <c r="G143" s="171">
        <f>E143+F143</f>
        <v>0</v>
      </c>
      <c r="H143" s="172">
        <f>IF($G$208=0,0,G143/$G$208)</f>
        <v>0</v>
      </c>
      <c r="I143" s="337"/>
      <c r="J143" s="168"/>
      <c r="K143" s="168"/>
      <c r="M143" s="364">
        <f t="shared" si="34"/>
        <v>0</v>
      </c>
      <c r="N143" s="359">
        <f>SUMMARY!J146</f>
        <v>0.71727598372518497</v>
      </c>
    </row>
    <row r="144" spans="1:14" s="167" customFormat="1" ht="15.5">
      <c r="A144" s="169" t="s">
        <v>87</v>
      </c>
      <c r="B144" s="170" t="s">
        <v>98</v>
      </c>
      <c r="C144" s="196"/>
      <c r="D144" s="196"/>
      <c r="E144"/>
      <c r="F144" s="196"/>
      <c r="G144" s="196"/>
      <c r="H144" s="197"/>
      <c r="I144" s="337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490">
        <f>'[25]Sch C'!D146</f>
        <v>80300</v>
      </c>
      <c r="D145" s="490">
        <f>'[25]Sch C'!F146</f>
        <v>0</v>
      </c>
      <c r="E145" s="171">
        <f t="shared" ref="E145:E153" si="38">C145+D145</f>
        <v>80300</v>
      </c>
      <c r="F145" s="573"/>
      <c r="G145" s="171">
        <f t="shared" ref="G145:G153" si="39">E145+F145</f>
        <v>80300</v>
      </c>
      <c r="H145" s="172">
        <f t="shared" ref="H145:H153" si="40">IF($G$208=0,0,G145/$G$208)</f>
        <v>8.178095495712764E-3</v>
      </c>
      <c r="I145" s="337"/>
      <c r="J145" s="183">
        <v>0</v>
      </c>
      <c r="K145" s="183">
        <v>0</v>
      </c>
      <c r="M145" s="364">
        <f t="shared" si="34"/>
        <v>2.9220188493868493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490">
        <f>'[25]Sch C'!D147</f>
        <v>0</v>
      </c>
      <c r="D146" s="490">
        <f>'[25]Sch C'!F147</f>
        <v>0</v>
      </c>
      <c r="E146" s="171">
        <f t="shared" si="38"/>
        <v>0</v>
      </c>
      <c r="F146" s="573"/>
      <c r="G146" s="171">
        <f t="shared" si="39"/>
        <v>0</v>
      </c>
      <c r="H146" s="172">
        <f t="shared" si="40"/>
        <v>0</v>
      </c>
      <c r="I146" s="337"/>
      <c r="J146" s="183">
        <v>0</v>
      </c>
      <c r="K146" s="183">
        <v>0</v>
      </c>
      <c r="M146" s="364">
        <f t="shared" si="34"/>
        <v>0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490">
        <f>'[25]Sch C'!D148</f>
        <v>0</v>
      </c>
      <c r="D147" s="490">
        <f>'[25]Sch C'!F148</f>
        <v>0</v>
      </c>
      <c r="E147" s="171">
        <f t="shared" si="38"/>
        <v>0</v>
      </c>
      <c r="F147" s="573"/>
      <c r="G147" s="171">
        <f t="shared" si="39"/>
        <v>0</v>
      </c>
      <c r="H147" s="172">
        <f t="shared" si="40"/>
        <v>0</v>
      </c>
      <c r="I147" s="337"/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490">
        <f>'[25]Sch C'!D149</f>
        <v>0</v>
      </c>
      <c r="D148" s="490">
        <f>'[25]Sch C'!F149</f>
        <v>0</v>
      </c>
      <c r="E148" s="171">
        <f t="shared" si="38"/>
        <v>0</v>
      </c>
      <c r="F148" s="573"/>
      <c r="G148" s="171">
        <f t="shared" si="39"/>
        <v>0</v>
      </c>
      <c r="H148" s="172">
        <f t="shared" si="40"/>
        <v>0</v>
      </c>
      <c r="I148" s="337"/>
      <c r="J148" s="183">
        <v>0</v>
      </c>
      <c r="K148" s="183">
        <v>0</v>
      </c>
      <c r="M148" s="364">
        <f t="shared" si="34"/>
        <v>0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490">
        <f>'[25]Sch C'!D150</f>
        <v>28644</v>
      </c>
      <c r="D149" s="490">
        <f>'[25]Sch C'!F150</f>
        <v>0</v>
      </c>
      <c r="E149" s="171">
        <f t="shared" si="38"/>
        <v>28644</v>
      </c>
      <c r="F149" s="573"/>
      <c r="G149" s="171">
        <f t="shared" si="39"/>
        <v>28644</v>
      </c>
      <c r="H149" s="172">
        <f t="shared" si="40"/>
        <v>2.9172274891556215E-3</v>
      </c>
      <c r="I149" s="337"/>
      <c r="J149" s="183">
        <v>0</v>
      </c>
      <c r="K149" s="183">
        <v>0</v>
      </c>
      <c r="M149" s="364">
        <f t="shared" si="34"/>
        <v>1.042320148466213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490">
        <f>'[25]Sch C'!D151</f>
        <v>109734</v>
      </c>
      <c r="D150" s="490">
        <f>'[25]Sch C'!F151</f>
        <v>0</v>
      </c>
      <c r="E150" s="171">
        <f t="shared" si="38"/>
        <v>109734</v>
      </c>
      <c r="F150" s="573"/>
      <c r="G150" s="171">
        <f t="shared" si="39"/>
        <v>109734</v>
      </c>
      <c r="H150" s="172">
        <f t="shared" si="40"/>
        <v>1.1175779964215994E-2</v>
      </c>
      <c r="I150" s="337"/>
      <c r="J150" s="168"/>
      <c r="K150" s="168"/>
      <c r="M150" s="364">
        <f t="shared" si="34"/>
        <v>3.9930861322368183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490">
        <f>'[25]Sch C'!D152</f>
        <v>6441</v>
      </c>
      <c r="D151" s="490">
        <f>'[25]Sch C'!F152</f>
        <v>-362</v>
      </c>
      <c r="E151" s="171">
        <f t="shared" si="38"/>
        <v>6079</v>
      </c>
      <c r="F151" s="573"/>
      <c r="G151" s="171">
        <f t="shared" si="39"/>
        <v>6079</v>
      </c>
      <c r="H151" s="172">
        <f t="shared" si="40"/>
        <v>6.1911136386597618E-4</v>
      </c>
      <c r="I151" s="337"/>
      <c r="J151" s="168"/>
      <c r="K151" s="168"/>
      <c r="M151" s="364">
        <f t="shared" si="34"/>
        <v>0.22120737964411774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490">
        <f>'[25]Sch C'!D153</f>
        <v>0</v>
      </c>
      <c r="D152" s="490">
        <f>'[25]Sch C'!F153</f>
        <v>0</v>
      </c>
      <c r="E152" s="171">
        <f t="shared" si="38"/>
        <v>0</v>
      </c>
      <c r="F152" s="573"/>
      <c r="G152" s="171">
        <f t="shared" si="39"/>
        <v>0</v>
      </c>
      <c r="H152" s="172">
        <f t="shared" si="40"/>
        <v>0</v>
      </c>
      <c r="I152" s="337"/>
      <c r="J152" s="168"/>
      <c r="K152" s="168"/>
      <c r="M152" s="364">
        <f t="shared" si="34"/>
        <v>0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490">
        <f>'[25]Sch C'!D154</f>
        <v>0</v>
      </c>
      <c r="D153" s="490">
        <f>'[25]Sch C'!F154</f>
        <v>0</v>
      </c>
      <c r="E153" s="171">
        <f t="shared" si="38"/>
        <v>0</v>
      </c>
      <c r="F153" s="573"/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 ht="15.5">
      <c r="A154" s="169"/>
      <c r="B154" s="209" t="s">
        <v>101</v>
      </c>
      <c r="C154" s="572"/>
      <c r="D154" s="572"/>
      <c r="E154"/>
      <c r="F154" s="572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490">
        <f>'[25]Sch C'!D156</f>
        <v>0</v>
      </c>
      <c r="D155" s="490">
        <f>'[25]Sch C'!F156</f>
        <v>0</v>
      </c>
      <c r="E155" s="171">
        <f t="shared" ref="E155:E160" si="41">C155+D155</f>
        <v>0</v>
      </c>
      <c r="F155" s="573"/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490">
        <f>'[25]Sch C'!D157</f>
        <v>0</v>
      </c>
      <c r="D156" s="490">
        <f>'[25]Sch C'!F157</f>
        <v>0</v>
      </c>
      <c r="E156" s="171">
        <f t="shared" si="41"/>
        <v>0</v>
      </c>
      <c r="F156" s="573"/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490">
        <f>'[25]Sch C'!D158</f>
        <v>0</v>
      </c>
      <c r="D157" s="490">
        <f>'[25]Sch C'!F158</f>
        <v>0</v>
      </c>
      <c r="E157" s="171">
        <f t="shared" si="41"/>
        <v>0</v>
      </c>
      <c r="F157" s="573"/>
      <c r="G157" s="171">
        <f t="shared" si="42"/>
        <v>0</v>
      </c>
      <c r="H157" s="172">
        <f t="shared" si="43"/>
        <v>0</v>
      </c>
      <c r="I157" s="337"/>
      <c r="J157" s="168"/>
      <c r="K157" s="168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490">
        <f>'[25]Sch C'!D159</f>
        <v>0</v>
      </c>
      <c r="D158" s="490">
        <f>'[25]Sch C'!F159</f>
        <v>0</v>
      </c>
      <c r="E158" s="171">
        <f t="shared" si="41"/>
        <v>0</v>
      </c>
      <c r="F158" s="573"/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490">
        <f>'[25]Sch C'!D160</f>
        <v>0</v>
      </c>
      <c r="D159" s="490">
        <f>'[25]Sch C'!F160</f>
        <v>0</v>
      </c>
      <c r="E159" s="171">
        <f t="shared" si="41"/>
        <v>0</v>
      </c>
      <c r="F159" s="573"/>
      <c r="G159" s="171">
        <f t="shared" si="42"/>
        <v>0</v>
      </c>
      <c r="H159" s="172">
        <f>IF($G$208=0,0,G159/$G$208)</f>
        <v>0</v>
      </c>
      <c r="I159" s="337"/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490">
        <f>'[25]Sch C'!D161</f>
        <v>0</v>
      </c>
      <c r="D160" s="490">
        <f>'[25]Sch C'!F161</f>
        <v>0</v>
      </c>
      <c r="E160" s="171">
        <f t="shared" si="41"/>
        <v>0</v>
      </c>
      <c r="F160" s="573"/>
      <c r="G160" s="171">
        <f t="shared" si="42"/>
        <v>0</v>
      </c>
      <c r="H160" s="172">
        <f t="shared" si="43"/>
        <v>0</v>
      </c>
      <c r="I160" s="337"/>
      <c r="J160" s="168"/>
      <c r="K160" s="168"/>
      <c r="M160" s="364">
        <f t="shared" si="34"/>
        <v>0</v>
      </c>
      <c r="N160" s="359">
        <f>SUMMARY!J163</f>
        <v>0.61572967423063263</v>
      </c>
    </row>
    <row r="161" spans="1:14" s="167" customFormat="1">
      <c r="A161" s="169"/>
      <c r="B161" s="170" t="s">
        <v>233</v>
      </c>
      <c r="C161" s="490">
        <f>SUM(C123:C160)</f>
        <v>2536185</v>
      </c>
      <c r="D161" s="490">
        <f>SUM(D123:D160)</f>
        <v>465544</v>
      </c>
      <c r="E161" s="171">
        <f t="shared" ref="E161" si="44">SUM(E123:E160)</f>
        <v>3001729</v>
      </c>
      <c r="F161" s="573">
        <f>SUM(F123:F160)</f>
        <v>0</v>
      </c>
      <c r="G161" s="171">
        <f>SUM(G123:G160)</f>
        <v>3001729</v>
      </c>
      <c r="H161" s="172">
        <f t="shared" si="43"/>
        <v>0.30570892172167347</v>
      </c>
      <c r="I161" s="337"/>
      <c r="J161" s="168"/>
      <c r="K161" s="168"/>
      <c r="M161" s="364">
        <f>G161/G$228</f>
        <v>109.22924929951603</v>
      </c>
      <c r="N161" s="359">
        <f>SUMMARY!J164</f>
        <v>98.597321527877028</v>
      </c>
    </row>
    <row r="162" spans="1:14" s="167" customFormat="1">
      <c r="A162" s="169"/>
      <c r="B162" s="170"/>
      <c r="C162" s="196"/>
      <c r="D162" s="196"/>
      <c r="E162" s="196"/>
      <c r="F162" s="196"/>
      <c r="G162" s="196"/>
      <c r="H162" s="197"/>
      <c r="I162" s="337"/>
      <c r="J162" s="168"/>
      <c r="K162" s="168"/>
      <c r="M162" s="359"/>
      <c r="N162" s="359"/>
    </row>
    <row r="163" spans="1:14" s="167" customFormat="1" ht="26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7"/>
      <c r="J163" s="168"/>
      <c r="K163" s="168"/>
      <c r="M163" s="359"/>
      <c r="N163" s="359"/>
    </row>
    <row r="164" spans="1:14" s="221" customFormat="1">
      <c r="A164" s="215" t="s">
        <v>95</v>
      </c>
      <c r="B164" s="148" t="s">
        <v>102</v>
      </c>
      <c r="C164" s="490">
        <f>'[25]Sch C'!D175</f>
        <v>0</v>
      </c>
      <c r="D164" s="490">
        <f>'[25]Sch C'!F175</f>
        <v>0</v>
      </c>
      <c r="E164" s="171">
        <f t="shared" ref="E164:E196" si="45">C164+D164</f>
        <v>0</v>
      </c>
      <c r="F164" s="573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>
        <v>0</v>
      </c>
      <c r="K164" s="217">
        <v>0</v>
      </c>
      <c r="M164" s="364">
        <f>G164/G$228</f>
        <v>0</v>
      </c>
      <c r="N164" s="359">
        <f>SUMMARY!J167</f>
        <v>0</v>
      </c>
    </row>
    <row r="165" spans="1:14" s="221" customFormat="1">
      <c r="A165" s="215" t="s">
        <v>123</v>
      </c>
      <c r="B165" s="148" t="s">
        <v>103</v>
      </c>
      <c r="C165" s="490">
        <f>'[25]Sch C'!D176</f>
        <v>0</v>
      </c>
      <c r="D165" s="490">
        <f>'[25]Sch C'!F176</f>
        <v>0</v>
      </c>
      <c r="E165" s="171">
        <f t="shared" si="45"/>
        <v>0</v>
      </c>
      <c r="F165" s="573"/>
      <c r="G165" s="171">
        <f t="shared" si="46"/>
        <v>0</v>
      </c>
      <c r="H165" s="172">
        <f t="shared" si="47"/>
        <v>0</v>
      </c>
      <c r="I165" s="344"/>
      <c r="J165" s="222"/>
      <c r="K165" s="222"/>
      <c r="M165" s="364">
        <f t="shared" ref="M165:M196" si="48">G165/G$228</f>
        <v>0</v>
      </c>
      <c r="N165" s="359">
        <f>SUMMARY!J168</f>
        <v>0</v>
      </c>
    </row>
    <row r="166" spans="1:14" s="221" customFormat="1">
      <c r="A166" s="215" t="s">
        <v>124</v>
      </c>
      <c r="B166" s="148" t="s">
        <v>104</v>
      </c>
      <c r="C166" s="490">
        <f>'[25]Sch C'!D177</f>
        <v>812113</v>
      </c>
      <c r="D166" s="490">
        <f>'[25]Sch C'!F177</f>
        <v>29967</v>
      </c>
      <c r="E166" s="171">
        <f t="shared" si="45"/>
        <v>842080</v>
      </c>
      <c r="F166" s="573"/>
      <c r="G166" s="171">
        <f t="shared" si="46"/>
        <v>842080</v>
      </c>
      <c r="H166" s="172">
        <f t="shared" si="47"/>
        <v>8.5761029327892951E-2</v>
      </c>
      <c r="I166" s="343"/>
      <c r="J166" s="217">
        <v>9295</v>
      </c>
      <c r="K166" s="217">
        <v>10075</v>
      </c>
      <c r="M166" s="364">
        <f t="shared" si="48"/>
        <v>30.642261926421892</v>
      </c>
      <c r="N166" s="359">
        <f>SUMMARY!J169</f>
        <v>4.5899160973212085</v>
      </c>
    </row>
    <row r="167" spans="1:14" s="221" customFormat="1">
      <c r="A167" s="215" t="s">
        <v>157</v>
      </c>
      <c r="B167" s="148" t="s">
        <v>105</v>
      </c>
      <c r="C167" s="490">
        <f>'[25]Sch C'!D178</f>
        <v>0</v>
      </c>
      <c r="D167" s="490">
        <f>'[25]Sch C'!F178</f>
        <v>133754</v>
      </c>
      <c r="E167" s="171">
        <f t="shared" si="45"/>
        <v>133754</v>
      </c>
      <c r="F167" s="573"/>
      <c r="G167" s="171">
        <f t="shared" si="46"/>
        <v>133754</v>
      </c>
      <c r="H167" s="172">
        <f t="shared" si="47"/>
        <v>1.362207951349396E-2</v>
      </c>
      <c r="I167" s="344"/>
      <c r="J167" s="222"/>
      <c r="K167" s="222"/>
      <c r="M167" s="364">
        <f t="shared" si="48"/>
        <v>4.8671445726138058</v>
      </c>
      <c r="N167" s="359">
        <f>SUMMARY!J170</f>
        <v>0.83466769369350857</v>
      </c>
    </row>
    <row r="168" spans="1:14" s="221" customFormat="1">
      <c r="A168" s="215" t="s">
        <v>158</v>
      </c>
      <c r="B168" s="148" t="s">
        <v>316</v>
      </c>
      <c r="C168" s="490">
        <f>'[25]Sch C'!D179</f>
        <v>134316</v>
      </c>
      <c r="D168" s="490">
        <f>'[25]Sch C'!F179</f>
        <v>4956</v>
      </c>
      <c r="E168" s="171">
        <f t="shared" si="45"/>
        <v>139272</v>
      </c>
      <c r="F168" s="573"/>
      <c r="G168" s="171">
        <f t="shared" si="46"/>
        <v>139272</v>
      </c>
      <c r="H168" s="172">
        <f t="shared" si="47"/>
        <v>1.4184056237595367E-2</v>
      </c>
      <c r="I168" s="343"/>
      <c r="J168" s="217">
        <v>1150</v>
      </c>
      <c r="K168" s="217">
        <v>1316</v>
      </c>
      <c r="M168" s="364">
        <f t="shared" si="48"/>
        <v>5.0679378479676869</v>
      </c>
      <c r="N168" s="359">
        <f>SUMMARY!J171</f>
        <v>0.77161464733349716</v>
      </c>
    </row>
    <row r="169" spans="1:14" s="221" customFormat="1">
      <c r="A169" s="215" t="s">
        <v>86</v>
      </c>
      <c r="B169" s="148" t="s">
        <v>317</v>
      </c>
      <c r="C169" s="490">
        <f>'[25]Sch C'!D180</f>
        <v>0</v>
      </c>
      <c r="D169" s="490">
        <f>'[25]Sch C'!F180</f>
        <v>22122</v>
      </c>
      <c r="E169" s="171">
        <f t="shared" si="45"/>
        <v>22122</v>
      </c>
      <c r="F169" s="573"/>
      <c r="G169" s="171">
        <f t="shared" si="46"/>
        <v>22122</v>
      </c>
      <c r="H169" s="172">
        <f t="shared" si="47"/>
        <v>2.2529991102883903E-3</v>
      </c>
      <c r="I169" s="344"/>
      <c r="J169" s="222"/>
      <c r="K169" s="222"/>
      <c r="M169" s="364">
        <f t="shared" si="48"/>
        <v>0.80499254030057132</v>
      </c>
      <c r="N169" s="359">
        <f>SUMMARY!J172</f>
        <v>0.13394964091641409</v>
      </c>
    </row>
    <row r="170" spans="1:14" s="221" customFormat="1">
      <c r="A170" s="215" t="s">
        <v>96</v>
      </c>
      <c r="B170" s="148" t="s">
        <v>318</v>
      </c>
      <c r="C170" s="490">
        <f>'[25]Sch C'!D181</f>
        <v>0</v>
      </c>
      <c r="D170" s="490">
        <f>'[25]Sch C'!F181</f>
        <v>0</v>
      </c>
      <c r="E170" s="171">
        <f t="shared" si="45"/>
        <v>0</v>
      </c>
      <c r="F170" s="573"/>
      <c r="G170" s="171">
        <f t="shared" si="46"/>
        <v>0</v>
      </c>
      <c r="H170" s="172">
        <f t="shared" si="47"/>
        <v>0</v>
      </c>
      <c r="I170" s="343"/>
      <c r="J170" s="217">
        <v>0</v>
      </c>
      <c r="K170" s="217">
        <v>0</v>
      </c>
      <c r="M170" s="364">
        <f t="shared" si="48"/>
        <v>0</v>
      </c>
      <c r="N170" s="359">
        <f>SUMMARY!J173</f>
        <v>0</v>
      </c>
    </row>
    <row r="171" spans="1:14" s="221" customFormat="1">
      <c r="A171" s="215" t="s">
        <v>125</v>
      </c>
      <c r="B171" s="148" t="s">
        <v>109</v>
      </c>
      <c r="C171" s="490">
        <f>'[25]Sch C'!D182</f>
        <v>0</v>
      </c>
      <c r="D171" s="490">
        <f>'[25]Sch C'!F182</f>
        <v>0</v>
      </c>
      <c r="E171" s="171">
        <f t="shared" si="45"/>
        <v>0</v>
      </c>
      <c r="F171" s="573"/>
      <c r="G171" s="171">
        <f t="shared" si="46"/>
        <v>0</v>
      </c>
      <c r="H171" s="172">
        <f t="shared" si="47"/>
        <v>0</v>
      </c>
      <c r="I171" s="344"/>
      <c r="J171" s="222"/>
      <c r="K171" s="222"/>
      <c r="M171" s="364">
        <f t="shared" si="48"/>
        <v>0</v>
      </c>
      <c r="N171" s="359">
        <f>SUMMARY!J174</f>
        <v>0</v>
      </c>
    </row>
    <row r="172" spans="1:14" s="221" customFormat="1">
      <c r="A172" s="215" t="s">
        <v>126</v>
      </c>
      <c r="B172" s="148" t="s">
        <v>319</v>
      </c>
      <c r="C172" s="490">
        <f>'[25]Sch C'!D183</f>
        <v>601489</v>
      </c>
      <c r="D172" s="490">
        <f>'[25]Sch C'!F183</f>
        <v>22195</v>
      </c>
      <c r="E172" s="171">
        <f t="shared" si="45"/>
        <v>623684</v>
      </c>
      <c r="F172" s="573"/>
      <c r="G172" s="171">
        <f t="shared" si="46"/>
        <v>623684</v>
      </c>
      <c r="H172" s="172">
        <f t="shared" si="47"/>
        <v>6.351864646510734E-2</v>
      </c>
      <c r="I172" s="343"/>
      <c r="J172" s="217">
        <v>6207</v>
      </c>
      <c r="K172" s="217">
        <v>6617</v>
      </c>
      <c r="M172" s="364">
        <f t="shared" si="48"/>
        <v>22.695098431643682</v>
      </c>
      <c r="N172" s="359">
        <f>SUMMARY!J175</f>
        <v>2.5941162939297122</v>
      </c>
    </row>
    <row r="173" spans="1:14" s="221" customFormat="1">
      <c r="A173" s="215" t="s">
        <v>127</v>
      </c>
      <c r="B173" s="148" t="s">
        <v>111</v>
      </c>
      <c r="C173" s="490">
        <f>'[25]Sch C'!D184</f>
        <v>0</v>
      </c>
      <c r="D173" s="490">
        <f>'[25]Sch C'!F184</f>
        <v>99064</v>
      </c>
      <c r="E173" s="171">
        <f t="shared" si="45"/>
        <v>99064</v>
      </c>
      <c r="F173" s="573"/>
      <c r="G173" s="171">
        <f t="shared" si="46"/>
        <v>99064</v>
      </c>
      <c r="H173" s="172">
        <f t="shared" si="47"/>
        <v>1.0089101521634983E-2</v>
      </c>
      <c r="I173" s="344"/>
      <c r="J173" s="222"/>
      <c r="K173" s="222"/>
      <c r="M173" s="364">
        <f t="shared" si="48"/>
        <v>3.6048178741676069</v>
      </c>
      <c r="N173" s="359">
        <f>SUMMARY!J176</f>
        <v>0.43431776693811036</v>
      </c>
    </row>
    <row r="174" spans="1:14" s="221" customFormat="1">
      <c r="A174" s="215" t="s">
        <v>128</v>
      </c>
      <c r="B174" s="148" t="s">
        <v>320</v>
      </c>
      <c r="C174" s="490">
        <f>'[25]Sch C'!D185</f>
        <v>0</v>
      </c>
      <c r="D174" s="490">
        <f>'[25]Sch C'!F185</f>
        <v>0</v>
      </c>
      <c r="E174" s="171">
        <f t="shared" si="45"/>
        <v>0</v>
      </c>
      <c r="F174" s="573"/>
      <c r="G174" s="171">
        <f t="shared" si="46"/>
        <v>0</v>
      </c>
      <c r="H174" s="172">
        <f t="shared" si="47"/>
        <v>0</v>
      </c>
      <c r="I174" s="343"/>
      <c r="J174" s="217">
        <v>0</v>
      </c>
      <c r="K174" s="217">
        <v>0</v>
      </c>
      <c r="M174" s="364">
        <f t="shared" si="48"/>
        <v>0</v>
      </c>
      <c r="N174" s="359">
        <f>SUMMARY!J177</f>
        <v>2.3603943092760983E-3</v>
      </c>
    </row>
    <row r="175" spans="1:14" s="221" customFormat="1">
      <c r="A175" s="215" t="s">
        <v>129</v>
      </c>
      <c r="B175" s="148" t="s">
        <v>321</v>
      </c>
      <c r="C175" s="490">
        <f>'[25]Sch C'!D186</f>
        <v>0</v>
      </c>
      <c r="D175" s="490">
        <f>'[25]Sch C'!F186</f>
        <v>0</v>
      </c>
      <c r="E175" s="171">
        <f t="shared" si="45"/>
        <v>0</v>
      </c>
      <c r="F175" s="573"/>
      <c r="G175" s="171">
        <f t="shared" si="46"/>
        <v>0</v>
      </c>
      <c r="H175" s="172">
        <f t="shared" si="47"/>
        <v>0</v>
      </c>
      <c r="I175" s="337"/>
      <c r="J175" s="223"/>
      <c r="K175" s="218"/>
      <c r="M175" s="364">
        <f t="shared" si="48"/>
        <v>0</v>
      </c>
      <c r="N175" s="359">
        <f>SUMMARY!J178</f>
        <v>0</v>
      </c>
    </row>
    <row r="176" spans="1:14" s="221" customFormat="1">
      <c r="A176" s="224" t="s">
        <v>293</v>
      </c>
      <c r="B176" s="148" t="s">
        <v>154</v>
      </c>
      <c r="C176" s="490">
        <f>'[25]Sch C'!D187</f>
        <v>0</v>
      </c>
      <c r="D176" s="490">
        <f>'[25]Sch C'!F187</f>
        <v>0</v>
      </c>
      <c r="E176" s="171">
        <f t="shared" si="45"/>
        <v>0</v>
      </c>
      <c r="F176" s="573"/>
      <c r="G176" s="171">
        <f t="shared" si="46"/>
        <v>0</v>
      </c>
      <c r="H176" s="172">
        <f t="shared" si="47"/>
        <v>0</v>
      </c>
      <c r="I176" s="337"/>
      <c r="J176" s="223"/>
      <c r="K176" s="218"/>
      <c r="M176" s="364">
        <f t="shared" si="48"/>
        <v>0</v>
      </c>
      <c r="N176" s="359">
        <f>SUMMARY!J179</f>
        <v>0</v>
      </c>
    </row>
    <row r="177" spans="1:14" s="221" customFormat="1">
      <c r="A177" s="224" t="s">
        <v>294</v>
      </c>
      <c r="B177" s="148" t="s">
        <v>322</v>
      </c>
      <c r="C177" s="490">
        <f>'[25]Sch C'!D188</f>
        <v>0</v>
      </c>
      <c r="D177" s="490">
        <f>'[25]Sch C'!F188</f>
        <v>0</v>
      </c>
      <c r="E177" s="171">
        <f t="shared" si="45"/>
        <v>0</v>
      </c>
      <c r="F177" s="573"/>
      <c r="G177" s="171">
        <f t="shared" si="46"/>
        <v>0</v>
      </c>
      <c r="H177" s="172">
        <f t="shared" si="47"/>
        <v>0</v>
      </c>
      <c r="I177" s="337"/>
      <c r="J177" s="223"/>
      <c r="K177" s="218"/>
      <c r="M177" s="364">
        <f t="shared" si="48"/>
        <v>0</v>
      </c>
      <c r="N177" s="359">
        <f>SUMMARY!J180</f>
        <v>9.0641762922913108E-2</v>
      </c>
    </row>
    <row r="178" spans="1:14" s="221" customFormat="1">
      <c r="A178" s="224" t="s">
        <v>295</v>
      </c>
      <c r="B178" s="148" t="s">
        <v>323</v>
      </c>
      <c r="C178" s="490">
        <f>'[25]Sch C'!D189</f>
        <v>0</v>
      </c>
      <c r="D178" s="490">
        <f>'[25]Sch C'!F189</f>
        <v>0</v>
      </c>
      <c r="E178" s="171">
        <f t="shared" si="45"/>
        <v>0</v>
      </c>
      <c r="F178" s="573"/>
      <c r="G178" s="171">
        <f t="shared" si="46"/>
        <v>0</v>
      </c>
      <c r="H178" s="172">
        <f t="shared" si="47"/>
        <v>0</v>
      </c>
      <c r="I178" s="337"/>
      <c r="J178" s="223"/>
      <c r="K178" s="218"/>
      <c r="M178" s="364">
        <f t="shared" si="48"/>
        <v>0</v>
      </c>
      <c r="N178" s="359">
        <f>SUMMARY!J181</f>
        <v>1.778645585866033E-2</v>
      </c>
    </row>
    <row r="179" spans="1:14" s="221" customFormat="1">
      <c r="A179" s="224" t="s">
        <v>296</v>
      </c>
      <c r="B179" s="148" t="s">
        <v>324</v>
      </c>
      <c r="C179" s="490">
        <f>'[25]Sch C'!D190</f>
        <v>0</v>
      </c>
      <c r="D179" s="490">
        <f>'[25]Sch C'!F190</f>
        <v>0</v>
      </c>
      <c r="E179" s="171">
        <f t="shared" si="45"/>
        <v>0</v>
      </c>
      <c r="F179" s="573"/>
      <c r="G179" s="171">
        <f t="shared" si="46"/>
        <v>0</v>
      </c>
      <c r="H179" s="172">
        <f t="shared" si="47"/>
        <v>0</v>
      </c>
      <c r="I179" s="337"/>
      <c r="J179" s="223"/>
      <c r="K179" s="218"/>
      <c r="M179" s="364">
        <f t="shared" si="48"/>
        <v>0</v>
      </c>
      <c r="N179" s="359">
        <f>SUMMARY!J182</f>
        <v>1.1468829360203163E-4</v>
      </c>
    </row>
    <row r="180" spans="1:14" s="221" customFormat="1">
      <c r="A180" s="224" t="s">
        <v>297</v>
      </c>
      <c r="B180" s="148" t="s">
        <v>325</v>
      </c>
      <c r="C180" s="490">
        <f>'[25]Sch C'!D191</f>
        <v>0</v>
      </c>
      <c r="D180" s="490">
        <f>'[25]Sch C'!F191</f>
        <v>0</v>
      </c>
      <c r="E180" s="171">
        <f t="shared" si="45"/>
        <v>0</v>
      </c>
      <c r="F180" s="573"/>
      <c r="G180" s="171">
        <f t="shared" si="46"/>
        <v>0</v>
      </c>
      <c r="H180" s="172">
        <f t="shared" si="47"/>
        <v>0</v>
      </c>
      <c r="I180" s="337"/>
      <c r="J180" s="223"/>
      <c r="K180" s="218"/>
      <c r="M180" s="364">
        <f t="shared" si="48"/>
        <v>0</v>
      </c>
      <c r="N180" s="359">
        <f>SUMMARY!J183</f>
        <v>1.8462734496600307E-2</v>
      </c>
    </row>
    <row r="181" spans="1:14" s="221" customFormat="1">
      <c r="A181" s="224" t="s">
        <v>298</v>
      </c>
      <c r="B181" s="148" t="s">
        <v>117</v>
      </c>
      <c r="C181" s="490">
        <f>'[25]Sch C'!D192</f>
        <v>0</v>
      </c>
      <c r="D181" s="490">
        <f>'[25]Sch C'!F192</f>
        <v>0</v>
      </c>
      <c r="E181" s="171">
        <f t="shared" si="45"/>
        <v>0</v>
      </c>
      <c r="F181" s="573"/>
      <c r="G181" s="171">
        <f t="shared" si="46"/>
        <v>0</v>
      </c>
      <c r="H181" s="172">
        <f t="shared" si="47"/>
        <v>0</v>
      </c>
      <c r="I181" s="337"/>
      <c r="J181" s="223"/>
      <c r="K181" s="218"/>
      <c r="M181" s="364">
        <f t="shared" si="48"/>
        <v>0</v>
      </c>
      <c r="N181" s="359">
        <f>SUMMARY!J184</f>
        <v>0.21032919363206901</v>
      </c>
    </row>
    <row r="182" spans="1:14" s="221" customFormat="1">
      <c r="A182" s="224" t="s">
        <v>132</v>
      </c>
      <c r="B182" s="148" t="s">
        <v>118</v>
      </c>
      <c r="C182" s="490">
        <f>'[25]Sch C'!D193</f>
        <v>0</v>
      </c>
      <c r="D182" s="490">
        <f>'[25]Sch C'!F193</f>
        <v>0</v>
      </c>
      <c r="E182" s="171">
        <f t="shared" si="45"/>
        <v>0</v>
      </c>
      <c r="F182" s="573"/>
      <c r="G182" s="171">
        <f t="shared" si="46"/>
        <v>0</v>
      </c>
      <c r="H182" s="172">
        <f t="shared" si="47"/>
        <v>0</v>
      </c>
      <c r="I182" s="337"/>
      <c r="J182" s="223"/>
      <c r="K182" s="218"/>
      <c r="M182" s="364">
        <f t="shared" si="48"/>
        <v>0</v>
      </c>
      <c r="N182" s="359">
        <f>SUMMARY!J185</f>
        <v>4.5937156276453409E-2</v>
      </c>
    </row>
    <row r="183" spans="1:14" s="221" customFormat="1">
      <c r="A183" s="224" t="s">
        <v>133</v>
      </c>
      <c r="B183" s="148" t="s">
        <v>119</v>
      </c>
      <c r="C183" s="490">
        <f>'[25]Sch C'!D194</f>
        <v>0</v>
      </c>
      <c r="D183" s="490">
        <f>'[25]Sch C'!F194</f>
        <v>0</v>
      </c>
      <c r="E183" s="171">
        <f t="shared" si="45"/>
        <v>0</v>
      </c>
      <c r="F183" s="573"/>
      <c r="G183" s="171">
        <f t="shared" si="46"/>
        <v>0</v>
      </c>
      <c r="H183" s="172">
        <f t="shared" si="47"/>
        <v>0</v>
      </c>
      <c r="I183" s="337"/>
      <c r="J183" s="223"/>
      <c r="K183" s="218"/>
      <c r="M183" s="364">
        <f t="shared" si="48"/>
        <v>0</v>
      </c>
      <c r="N183" s="359">
        <f>SUMMARY!J186</f>
        <v>7.3129851396739571</v>
      </c>
    </row>
    <row r="184" spans="1:14" s="221" customFormat="1">
      <c r="A184" s="224" t="s">
        <v>134</v>
      </c>
      <c r="B184" s="148" t="s">
        <v>326</v>
      </c>
      <c r="C184" s="490">
        <f>'[25]Sch C'!D195</f>
        <v>0</v>
      </c>
      <c r="D184" s="490">
        <f>'[25]Sch C'!F195</f>
        <v>0</v>
      </c>
      <c r="E184" s="171">
        <f t="shared" si="45"/>
        <v>0</v>
      </c>
      <c r="F184" s="573"/>
      <c r="G184" s="171">
        <f t="shared" si="46"/>
        <v>0</v>
      </c>
      <c r="H184" s="172">
        <f t="shared" si="47"/>
        <v>0</v>
      </c>
      <c r="I184" s="337"/>
      <c r="J184" s="223"/>
      <c r="K184" s="218"/>
      <c r="M184" s="364">
        <f t="shared" si="48"/>
        <v>0</v>
      </c>
      <c r="N184" s="359">
        <f>SUMMARY!J187</f>
        <v>1.617871871330657</v>
      </c>
    </row>
    <row r="185" spans="1:14" s="221" customFormat="1">
      <c r="A185" s="224" t="s">
        <v>135</v>
      </c>
      <c r="B185" s="148" t="s">
        <v>327</v>
      </c>
      <c r="C185" s="490">
        <f>'[25]Sch C'!D196</f>
        <v>0</v>
      </c>
      <c r="D185" s="490">
        <f>'[25]Sch C'!F196</f>
        <v>0</v>
      </c>
      <c r="E185" s="171">
        <f t="shared" si="45"/>
        <v>0</v>
      </c>
      <c r="F185" s="573"/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</row>
    <row r="186" spans="1:14" s="221" customFormat="1">
      <c r="A186" s="224" t="s">
        <v>136</v>
      </c>
      <c r="B186" s="148" t="s">
        <v>328</v>
      </c>
      <c r="C186" s="490">
        <f>'[25]Sch C'!D197</f>
        <v>0</v>
      </c>
      <c r="D186" s="490">
        <f>'[25]Sch C'!F197</f>
        <v>0</v>
      </c>
      <c r="E186" s="171">
        <f t="shared" si="45"/>
        <v>0</v>
      </c>
      <c r="F186" s="573"/>
      <c r="G186" s="171">
        <f t="shared" si="46"/>
        <v>0</v>
      </c>
      <c r="H186" s="172">
        <f t="shared" si="47"/>
        <v>0</v>
      </c>
      <c r="I186" s="337"/>
      <c r="J186" s="223"/>
      <c r="K186" s="218"/>
      <c r="M186" s="364">
        <f t="shared" si="48"/>
        <v>0</v>
      </c>
      <c r="N186" s="359">
        <f>SUMMARY!J189</f>
        <v>5.0698778515059661</v>
      </c>
    </row>
    <row r="187" spans="1:14" s="221" customFormat="1">
      <c r="A187" s="224" t="s">
        <v>137</v>
      </c>
      <c r="B187" s="148" t="s">
        <v>122</v>
      </c>
      <c r="C187" s="490">
        <f>'[25]Sch C'!D198</f>
        <v>105473</v>
      </c>
      <c r="D187" s="490">
        <f>'[25]Sch C'!F198</f>
        <v>0</v>
      </c>
      <c r="E187" s="171">
        <f t="shared" si="45"/>
        <v>105473</v>
      </c>
      <c r="F187" s="573"/>
      <c r="G187" s="171">
        <f t="shared" si="46"/>
        <v>105473</v>
      </c>
      <c r="H187" s="172">
        <f t="shared" si="47"/>
        <v>1.0741821497127177E-2</v>
      </c>
      <c r="I187" s="337"/>
      <c r="J187" s="223"/>
      <c r="K187" s="218"/>
      <c r="M187" s="364">
        <f t="shared" si="48"/>
        <v>3.8380335504530403</v>
      </c>
      <c r="N187" s="359">
        <f>SUMMARY!J190</f>
        <v>1.3048000054613476</v>
      </c>
    </row>
    <row r="188" spans="1:14" s="221" customFormat="1">
      <c r="A188" s="224" t="s">
        <v>275</v>
      </c>
      <c r="B188" s="148" t="s">
        <v>329</v>
      </c>
      <c r="C188" s="490">
        <f>'[25]Sch C'!D199</f>
        <v>0</v>
      </c>
      <c r="D188" s="490">
        <f>'[25]Sch C'!F199</f>
        <v>0</v>
      </c>
      <c r="E188" s="171">
        <f t="shared" si="45"/>
        <v>0</v>
      </c>
      <c r="F188" s="573"/>
      <c r="G188" s="171">
        <f t="shared" si="46"/>
        <v>0</v>
      </c>
      <c r="H188" s="172">
        <f t="shared" si="47"/>
        <v>0</v>
      </c>
      <c r="I188" s="337"/>
      <c r="J188" s="223"/>
      <c r="K188" s="218"/>
      <c r="M188" s="364">
        <f t="shared" si="48"/>
        <v>0</v>
      </c>
      <c r="N188" s="359">
        <f>SUMMARY!J191</f>
        <v>0.39995945495753804</v>
      </c>
    </row>
    <row r="189" spans="1:14" s="221" customFormat="1">
      <c r="A189" s="224" t="s">
        <v>277</v>
      </c>
      <c r="B189" s="148" t="s">
        <v>278</v>
      </c>
      <c r="C189" s="490">
        <f>'[25]Sch C'!D200</f>
        <v>0</v>
      </c>
      <c r="D189" s="490">
        <f>'[25]Sch C'!F200</f>
        <v>0</v>
      </c>
      <c r="E189" s="171">
        <f t="shared" si="45"/>
        <v>0</v>
      </c>
      <c r="F189" s="573"/>
      <c r="G189" s="171">
        <f t="shared" si="46"/>
        <v>0</v>
      </c>
      <c r="H189" s="172">
        <f t="shared" si="47"/>
        <v>0</v>
      </c>
      <c r="I189" s="337"/>
      <c r="J189" s="223"/>
      <c r="K189" s="218"/>
      <c r="M189" s="364">
        <f t="shared" si="48"/>
        <v>0</v>
      </c>
      <c r="N189" s="359">
        <f>SUMMARY!J192</f>
        <v>5.0800032768083883E-3</v>
      </c>
    </row>
    <row r="190" spans="1:14" s="221" customFormat="1">
      <c r="A190" s="225" t="s">
        <v>279</v>
      </c>
      <c r="B190" s="226" t="s">
        <v>280</v>
      </c>
      <c r="C190" s="490">
        <f>'[25]Sch C'!D201</f>
        <v>0</v>
      </c>
      <c r="D190" s="490">
        <f>'[25]Sch C'!F201</f>
        <v>0</v>
      </c>
      <c r="E190" s="171">
        <f t="shared" si="45"/>
        <v>0</v>
      </c>
      <c r="F190" s="573"/>
      <c r="G190" s="171">
        <f t="shared" si="46"/>
        <v>0</v>
      </c>
      <c r="H190" s="172">
        <f t="shared" si="47"/>
        <v>0</v>
      </c>
      <c r="I190" s="337"/>
      <c r="J190" s="223"/>
      <c r="K190" s="218"/>
      <c r="M190" s="364">
        <f t="shared" si="48"/>
        <v>0</v>
      </c>
      <c r="N190" s="359">
        <f>SUMMARY!J193</f>
        <v>-2.2159984708227519E-2</v>
      </c>
    </row>
    <row r="191" spans="1:14" s="221" customFormat="1">
      <c r="A191" s="225" t="s">
        <v>281</v>
      </c>
      <c r="B191" s="226" t="s">
        <v>282</v>
      </c>
      <c r="C191" s="490">
        <f>'[25]Sch C'!D202</f>
        <v>0</v>
      </c>
      <c r="D191" s="490">
        <f>'[25]Sch C'!F202</f>
        <v>0</v>
      </c>
      <c r="E191" s="171">
        <f t="shared" si="45"/>
        <v>0</v>
      </c>
      <c r="F191" s="573"/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>
        <f t="shared" si="48"/>
        <v>0</v>
      </c>
      <c r="N191" s="359">
        <f>SUMMARY!J194</f>
        <v>4.7598918653231749E-4</v>
      </c>
    </row>
    <row r="192" spans="1:14" s="221" customFormat="1">
      <c r="A192" s="225" t="s">
        <v>283</v>
      </c>
      <c r="B192" s="226" t="s">
        <v>330</v>
      </c>
      <c r="C192" s="490">
        <f>'[25]Sch C'!D203</f>
        <v>0</v>
      </c>
      <c r="D192" s="490">
        <f>'[25]Sch C'!F203</f>
        <v>0</v>
      </c>
      <c r="E192" s="171">
        <f t="shared" si="45"/>
        <v>0</v>
      </c>
      <c r="F192" s="573"/>
      <c r="G192" s="171">
        <f t="shared" si="46"/>
        <v>0</v>
      </c>
      <c r="H192" s="172">
        <f t="shared" si="47"/>
        <v>0</v>
      </c>
      <c r="I192" s="337"/>
      <c r="J192" s="223"/>
      <c r="K192" s="218"/>
      <c r="M192" s="364">
        <f t="shared" si="48"/>
        <v>0</v>
      </c>
      <c r="N192" s="359">
        <f>SUMMARY!J195</f>
        <v>9.9736102236421709E-2</v>
      </c>
    </row>
    <row r="193" spans="1:14" s="221" customFormat="1">
      <c r="A193" s="225" t="s">
        <v>285</v>
      </c>
      <c r="B193" s="226" t="s">
        <v>331</v>
      </c>
      <c r="C193" s="490">
        <f>'[25]Sch C'!D204</f>
        <v>0</v>
      </c>
      <c r="D193" s="490">
        <f>'[25]Sch C'!F204</f>
        <v>0</v>
      </c>
      <c r="E193" s="171">
        <f t="shared" si="45"/>
        <v>0</v>
      </c>
      <c r="F193" s="573"/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>
        <f t="shared" si="48"/>
        <v>0</v>
      </c>
      <c r="N193" s="359">
        <f>SUMMARY!J196</f>
        <v>1.4186941918571311E-2</v>
      </c>
    </row>
    <row r="194" spans="1:14" s="221" customFormat="1">
      <c r="A194" s="224" t="s">
        <v>138</v>
      </c>
      <c r="B194" s="148" t="s">
        <v>332</v>
      </c>
      <c r="C194" s="490">
        <f>'[25]Sch C'!D205</f>
        <v>487678</v>
      </c>
      <c r="D194" s="490">
        <f>'[25]Sch C'!F205</f>
        <v>0</v>
      </c>
      <c r="E194" s="171">
        <f t="shared" si="45"/>
        <v>487678</v>
      </c>
      <c r="F194" s="573"/>
      <c r="G194" s="171">
        <f t="shared" si="46"/>
        <v>487678</v>
      </c>
      <c r="H194" s="172">
        <f t="shared" si="47"/>
        <v>4.966721363833386E-2</v>
      </c>
      <c r="I194" s="337"/>
      <c r="J194" s="223"/>
      <c r="K194" s="218"/>
      <c r="M194" s="364">
        <f t="shared" si="48"/>
        <v>17.746006331647319</v>
      </c>
      <c r="N194" s="359">
        <f>SUMMARY!J197</f>
        <v>9.4205484776494348</v>
      </c>
    </row>
    <row r="195" spans="1:14" s="221" customFormat="1">
      <c r="A195" s="224" t="s">
        <v>139</v>
      </c>
      <c r="B195" s="148" t="s">
        <v>67</v>
      </c>
      <c r="C195" s="490">
        <f>'[25]Sch C'!D206</f>
        <v>15201</v>
      </c>
      <c r="D195" s="490">
        <f>'[25]Sch C'!F206</f>
        <v>0</v>
      </c>
      <c r="E195" s="171">
        <f t="shared" si="45"/>
        <v>15201</v>
      </c>
      <c r="F195" s="573"/>
      <c r="G195" s="171">
        <f t="shared" si="46"/>
        <v>15201</v>
      </c>
      <c r="H195" s="172">
        <f t="shared" si="47"/>
        <v>1.5481348646367336E-3</v>
      </c>
      <c r="I195" s="337"/>
      <c r="J195" s="223"/>
      <c r="K195" s="218"/>
      <c r="M195" s="364">
        <f t="shared" si="48"/>
        <v>0.5531458098322477</v>
      </c>
      <c r="N195" s="359">
        <f>SUMMARY!J198</f>
        <v>0.51514733622784747</v>
      </c>
    </row>
    <row r="196" spans="1:14" s="221" customFormat="1">
      <c r="A196" s="225" t="s">
        <v>143</v>
      </c>
      <c r="B196" s="194" t="s">
        <v>333</v>
      </c>
      <c r="C196" s="490">
        <f>'[25]Sch C'!D207</f>
        <v>12029</v>
      </c>
      <c r="D196" s="490">
        <f>'[25]Sch C'!F207</f>
        <v>0</v>
      </c>
      <c r="E196" s="171">
        <f t="shared" si="45"/>
        <v>12029</v>
      </c>
      <c r="F196" s="573"/>
      <c r="G196" s="171">
        <f t="shared" si="46"/>
        <v>12029</v>
      </c>
      <c r="H196" s="172">
        <f t="shared" si="47"/>
        <v>1.2250848159144313E-3</v>
      </c>
      <c r="I196" s="337"/>
      <c r="J196" s="223"/>
      <c r="K196" s="218"/>
      <c r="M196" s="364">
        <f t="shared" si="48"/>
        <v>0.43772060696481208</v>
      </c>
      <c r="N196" s="359">
        <f>SUMMARY!J199</f>
        <v>0.43468466925335936</v>
      </c>
    </row>
    <row r="197" spans="1:14" s="167" customFormat="1" ht="26">
      <c r="A197" s="163"/>
      <c r="B197" s="212" t="s">
        <v>130</v>
      </c>
      <c r="C197" s="490">
        <f>SUM(C164:C196)</f>
        <v>2168299</v>
      </c>
      <c r="D197" s="490">
        <f>SUM(D164:D196)</f>
        <v>312058</v>
      </c>
      <c r="E197" s="171">
        <f t="shared" ref="E197" si="49">SUM(E164:E196)</f>
        <v>2480357</v>
      </c>
      <c r="F197" s="573">
        <f>SUM(F164:F196)</f>
        <v>0</v>
      </c>
      <c r="G197" s="171">
        <f>SUM(G164:G196)</f>
        <v>2480357</v>
      </c>
      <c r="H197" s="172">
        <f>IF($G$208=0,0,G197/$G$208)</f>
        <v>0.25261016699202521</v>
      </c>
      <c r="I197" s="337"/>
      <c r="J197" s="168"/>
      <c r="K197" s="168"/>
      <c r="M197" s="364">
        <f>G197/G$228</f>
        <v>90.257159492012661</v>
      </c>
      <c r="N197" s="359">
        <f>SUMMARY!J200</f>
        <v>35.91740838389223</v>
      </c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341"/>
      <c r="J198" s="168"/>
      <c r="K198" s="168"/>
      <c r="M198" s="359"/>
      <c r="N198" s="359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1"/>
      <c r="J199" s="168"/>
      <c r="K199" s="168"/>
      <c r="M199" s="359"/>
      <c r="N199" s="359"/>
    </row>
    <row r="200" spans="1:14" s="167" customFormat="1">
      <c r="A200" s="169" t="s">
        <v>85</v>
      </c>
      <c r="B200" s="170" t="s">
        <v>69</v>
      </c>
      <c r="C200" s="490">
        <f>'[25]Sch C'!D211</f>
        <v>119763</v>
      </c>
      <c r="D200" s="490">
        <f>'[25]Sch C'!F211</f>
        <v>4419</v>
      </c>
      <c r="E200" s="171">
        <f t="shared" ref="E200:E205" si="50">C200+D200</f>
        <v>124182</v>
      </c>
      <c r="F200" s="573"/>
      <c r="G200" s="171">
        <f t="shared" ref="G200:G205" si="51">E200+F200</f>
        <v>124182</v>
      </c>
      <c r="H200" s="172">
        <f t="shared" ref="H200:H206" si="52">IF($G$208=0,0,G200/$G$208)</f>
        <v>1.264722608777836E-2</v>
      </c>
      <c r="I200" s="337"/>
      <c r="J200" s="183">
        <v>4755</v>
      </c>
      <c r="K200" s="183">
        <v>5039</v>
      </c>
      <c r="M200" s="364">
        <f t="shared" ref="M200:M205" si="53">G200/G$228</f>
        <v>4.5188311924602456</v>
      </c>
      <c r="N200" s="359">
        <f>SUMMARY!J203</f>
        <v>4.8433639387236838</v>
      </c>
    </row>
    <row r="201" spans="1:14" s="167" customFormat="1">
      <c r="A201" s="169" t="s">
        <v>86</v>
      </c>
      <c r="B201" s="170" t="s">
        <v>45</v>
      </c>
      <c r="C201" s="490">
        <f>'[25]Sch C'!D212</f>
        <v>0</v>
      </c>
      <c r="D201" s="490">
        <f>'[25]Sch C'!F212</f>
        <v>19725</v>
      </c>
      <c r="E201" s="171">
        <f t="shared" si="50"/>
        <v>19725</v>
      </c>
      <c r="F201" s="573"/>
      <c r="G201" s="171">
        <f t="shared" si="51"/>
        <v>19725</v>
      </c>
      <c r="H201" s="172">
        <f t="shared" si="52"/>
        <v>2.0088783767488699E-3</v>
      </c>
      <c r="I201" s="337"/>
      <c r="J201" s="168"/>
      <c r="K201" s="168"/>
      <c r="M201" s="364">
        <f t="shared" si="53"/>
        <v>0.71776864015137731</v>
      </c>
      <c r="N201" s="359">
        <f>SUMMARY!J204</f>
        <v>0.96144674193499036</v>
      </c>
    </row>
    <row r="202" spans="1:14" s="167" customFormat="1">
      <c r="A202" s="169" t="s">
        <v>140</v>
      </c>
      <c r="B202" s="170" t="s">
        <v>54</v>
      </c>
      <c r="C202" s="490">
        <f>'[25]Sch C'!D213</f>
        <v>15269</v>
      </c>
      <c r="D202" s="490">
        <f>'[25]Sch C'!F213</f>
        <v>0</v>
      </c>
      <c r="E202" s="171">
        <f t="shared" si="50"/>
        <v>15269</v>
      </c>
      <c r="F202" s="573"/>
      <c r="G202" s="171">
        <f t="shared" si="51"/>
        <v>15269</v>
      </c>
      <c r="H202" s="172">
        <f t="shared" si="52"/>
        <v>1.5550602755172874E-3</v>
      </c>
      <c r="I202" s="337"/>
      <c r="J202" s="168"/>
      <c r="K202" s="168"/>
      <c r="M202" s="364">
        <f t="shared" si="53"/>
        <v>0.55562024671591281</v>
      </c>
      <c r="N202" s="359">
        <f>SUMMARY!J205</f>
        <v>0.5247184566232489</v>
      </c>
    </row>
    <row r="203" spans="1:14" s="167" customFormat="1">
      <c r="A203" s="169" t="s">
        <v>141</v>
      </c>
      <c r="B203" s="170" t="s">
        <v>70</v>
      </c>
      <c r="C203" s="490">
        <f>'[25]Sch C'!D214</f>
        <v>0</v>
      </c>
      <c r="D203" s="490">
        <f>'[25]Sch C'!F214</f>
        <v>0</v>
      </c>
      <c r="E203" s="171">
        <f t="shared" si="50"/>
        <v>0</v>
      </c>
      <c r="F203" s="573"/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>
        <f t="shared" si="53"/>
        <v>0</v>
      </c>
      <c r="N203" s="359">
        <f>SUMMARY!J206</f>
        <v>1.4027039130553507E-2</v>
      </c>
    </row>
    <row r="204" spans="1:14" s="167" customFormat="1">
      <c r="A204" s="169" t="s">
        <v>142</v>
      </c>
      <c r="B204" s="202" t="s">
        <v>71</v>
      </c>
      <c r="C204" s="490">
        <f>'[25]Sch C'!D215</f>
        <v>0</v>
      </c>
      <c r="D204" s="490">
        <f>'[25]Sch C'!F215</f>
        <v>0</v>
      </c>
      <c r="E204" s="171">
        <f t="shared" si="50"/>
        <v>0</v>
      </c>
      <c r="F204" s="573"/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</row>
    <row r="205" spans="1:14" s="167" customFormat="1">
      <c r="A205" s="169" t="s">
        <v>143</v>
      </c>
      <c r="B205" s="170" t="s">
        <v>312</v>
      </c>
      <c r="C205" s="490">
        <f>'[25]Sch C'!D216</f>
        <v>21210</v>
      </c>
      <c r="D205" s="490">
        <f>'[25]Sch C'!F216</f>
        <v>0</v>
      </c>
      <c r="E205" s="171">
        <f t="shared" si="50"/>
        <v>21210</v>
      </c>
      <c r="F205" s="573"/>
      <c r="G205" s="171">
        <f t="shared" si="51"/>
        <v>21210</v>
      </c>
      <c r="H205" s="172">
        <f t="shared" si="52"/>
        <v>2.1601171290668458E-3</v>
      </c>
      <c r="I205" s="337"/>
      <c r="J205" s="168"/>
      <c r="K205" s="168"/>
      <c r="M205" s="364">
        <f t="shared" si="53"/>
        <v>0.77180597503729853</v>
      </c>
      <c r="N205" s="359">
        <f>SUMMARY!J208</f>
        <v>0.36483307391933595</v>
      </c>
    </row>
    <row r="206" spans="1:14" s="167" customFormat="1">
      <c r="A206" s="163"/>
      <c r="B206" s="170" t="s">
        <v>144</v>
      </c>
      <c r="C206" s="490">
        <f>SUM(C200:C205)</f>
        <v>156242</v>
      </c>
      <c r="D206" s="490">
        <f>SUM(D200:D205)</f>
        <v>24144</v>
      </c>
      <c r="E206" s="171">
        <f t="shared" ref="E206" si="54">SUM(E200:E205)</f>
        <v>180386</v>
      </c>
      <c r="F206" s="573">
        <f>SUM(F200:F205)</f>
        <v>0</v>
      </c>
      <c r="G206" s="171">
        <f>SUM(G200:G205)</f>
        <v>180386</v>
      </c>
      <c r="H206" s="172">
        <f t="shared" si="52"/>
        <v>1.8371281869111362E-2</v>
      </c>
      <c r="I206" s="337"/>
      <c r="J206" s="168"/>
      <c r="K206" s="168"/>
      <c r="M206" s="364">
        <f>G206/G$228</f>
        <v>6.5640260543648337</v>
      </c>
      <c r="N206" s="359">
        <f>SUMMARY!J209</f>
        <v>6.7083892503318125</v>
      </c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14" s="167" customFormat="1">
      <c r="A208" s="227"/>
      <c r="B208" s="228" t="s">
        <v>145</v>
      </c>
      <c r="C208" s="490">
        <f>SUM(C25:C206)/2</f>
        <v>10618750</v>
      </c>
      <c r="D208" s="490">
        <f>SUM(D25:D206)/2</f>
        <v>-799838</v>
      </c>
      <c r="E208" s="171">
        <f t="shared" ref="E208:F208" si="55">SUM(E25:E206)/2</f>
        <v>9818912</v>
      </c>
      <c r="F208" s="171">
        <f t="shared" si="55"/>
        <v>0</v>
      </c>
      <c r="G208" s="171">
        <f>SUM(G25:G206)/2</f>
        <v>9818912</v>
      </c>
      <c r="H208" s="172">
        <f>IF($G$208=0,0,G208/$G$208)</f>
        <v>1</v>
      </c>
      <c r="I208" s="337"/>
      <c r="J208" s="183">
        <f>SUM(J25:J200)</f>
        <v>153939</v>
      </c>
      <c r="K208" s="183">
        <f>SUM(K25:K200)</f>
        <v>160791</v>
      </c>
      <c r="M208" s="364">
        <f>G208/G$228</f>
        <v>357.29820603325936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490">
        <f>'[25]Sch C'!D221</f>
        <v>10618750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490">
        <f>C208-C211</f>
        <v>0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619"/>
      <c r="D213" s="232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490">
        <f>C21-C208</f>
        <v>571130</v>
      </c>
      <c r="D215" s="490">
        <f>D21-D208</f>
        <v>799838</v>
      </c>
      <c r="E215" s="171">
        <f t="shared" ref="E215:F215" si="56">E21-E208</f>
        <v>1370968</v>
      </c>
      <c r="F215" s="171">
        <f t="shared" si="56"/>
        <v>0</v>
      </c>
      <c r="G215" s="171">
        <f>G21-G208</f>
        <v>1370968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491">
        <f>'[25]Sch D'!C9</f>
        <v>5562</v>
      </c>
      <c r="D219" s="491"/>
      <c r="E219" s="235">
        <f t="shared" ref="E219:G227" si="57">C219+D219</f>
        <v>5562</v>
      </c>
      <c r="F219" s="234"/>
      <c r="G219" s="235">
        <f t="shared" si="57"/>
        <v>5562</v>
      </c>
      <c r="H219" s="172">
        <f t="shared" ref="H219:H228" si="58">IF($G$228=0,0,G219/$G$228)</f>
        <v>0.20239438157272296</v>
      </c>
      <c r="I219" s="337"/>
      <c r="J219" s="168"/>
      <c r="K219" s="168"/>
    </row>
    <row r="220" spans="1:14">
      <c r="A220" s="163"/>
      <c r="B220" s="170" t="s">
        <v>217</v>
      </c>
      <c r="C220" s="491">
        <f>'[25]Sch D'!D9</f>
        <v>0</v>
      </c>
      <c r="D220" s="491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7"/>
      <c r="J220" s="168"/>
      <c r="K220" s="168"/>
    </row>
    <row r="221" spans="1:14">
      <c r="A221" s="163"/>
      <c r="B221" s="170" t="s">
        <v>72</v>
      </c>
      <c r="C221" s="491">
        <f>'[25]Sch D'!E9</f>
        <v>17387</v>
      </c>
      <c r="D221" s="491"/>
      <c r="E221" s="235">
        <f t="shared" si="59"/>
        <v>17387</v>
      </c>
      <c r="F221" s="234"/>
      <c r="G221" s="235">
        <f t="shared" si="57"/>
        <v>17387</v>
      </c>
      <c r="H221" s="172">
        <f t="shared" si="58"/>
        <v>0.63269167788653979</v>
      </c>
      <c r="I221" s="337"/>
      <c r="J221" s="168"/>
      <c r="K221" s="168"/>
    </row>
    <row r="222" spans="1:14">
      <c r="A222" s="163"/>
      <c r="B222" s="202" t="s">
        <v>334</v>
      </c>
      <c r="C222" s="491">
        <f>'[25]Sch D'!F9</f>
        <v>0</v>
      </c>
      <c r="D222" s="491"/>
      <c r="E222" s="235">
        <f>C222+D222</f>
        <v>0</v>
      </c>
      <c r="F222" s="234"/>
      <c r="G222" s="235">
        <f>E222+F222</f>
        <v>0</v>
      </c>
      <c r="H222" s="172">
        <f t="shared" si="58"/>
        <v>0</v>
      </c>
      <c r="I222" s="337"/>
      <c r="J222" s="168"/>
      <c r="K222" s="168"/>
    </row>
    <row r="223" spans="1:14">
      <c r="A223" s="163"/>
      <c r="B223" s="170" t="s">
        <v>73</v>
      </c>
      <c r="C223" s="491">
        <f>'[25]Sch D'!G9</f>
        <v>0</v>
      </c>
      <c r="D223" s="491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7"/>
      <c r="J223" s="168"/>
      <c r="K223" s="168"/>
    </row>
    <row r="224" spans="1:14">
      <c r="A224" s="163"/>
      <c r="B224" s="170" t="s">
        <v>74</v>
      </c>
      <c r="C224" s="491">
        <f>'[25]Sch D'!H9</f>
        <v>3417</v>
      </c>
      <c r="D224" s="491"/>
      <c r="E224" s="235">
        <f t="shared" si="59"/>
        <v>3417</v>
      </c>
      <c r="F224" s="234"/>
      <c r="G224" s="235">
        <f t="shared" si="57"/>
        <v>3417</v>
      </c>
      <c r="H224" s="172">
        <f t="shared" si="58"/>
        <v>0.12434045340417016</v>
      </c>
      <c r="I224" s="337"/>
      <c r="J224" s="168"/>
      <c r="K224" s="168"/>
    </row>
    <row r="225" spans="1:11">
      <c r="A225" s="163"/>
      <c r="B225" s="170" t="s">
        <v>236</v>
      </c>
      <c r="C225" s="491">
        <f>'[25]Sch D'!I9</f>
        <v>0</v>
      </c>
      <c r="D225" s="491"/>
      <c r="E225" s="235">
        <f t="shared" si="59"/>
        <v>0</v>
      </c>
      <c r="F225" s="234"/>
      <c r="G225" s="235">
        <f t="shared" si="57"/>
        <v>0</v>
      </c>
      <c r="H225" s="172">
        <f t="shared" si="58"/>
        <v>0</v>
      </c>
      <c r="I225" s="337"/>
      <c r="J225" s="168"/>
      <c r="K225" s="168"/>
    </row>
    <row r="226" spans="1:11">
      <c r="A226" s="163"/>
      <c r="B226" s="170" t="s">
        <v>235</v>
      </c>
      <c r="C226" s="491">
        <f>'[25]Sch D'!J9</f>
        <v>1115</v>
      </c>
      <c r="D226" s="491"/>
      <c r="E226" s="235">
        <f>C226+D226</f>
        <v>1115</v>
      </c>
      <c r="F226" s="234"/>
      <c r="G226" s="235">
        <f>E226+F226</f>
        <v>1115</v>
      </c>
      <c r="H226" s="172">
        <f t="shared" si="58"/>
        <v>4.0573487136567082E-2</v>
      </c>
      <c r="I226" s="337"/>
      <c r="J226" s="168"/>
      <c r="K226" s="168"/>
    </row>
    <row r="227" spans="1:11">
      <c r="A227" s="163"/>
      <c r="B227" s="170" t="s">
        <v>179</v>
      </c>
      <c r="C227" s="491">
        <f>'[25]Sch D'!K9</f>
        <v>0</v>
      </c>
      <c r="D227" s="491"/>
      <c r="E227" s="235">
        <f t="shared" si="59"/>
        <v>0</v>
      </c>
      <c r="F227" s="234"/>
      <c r="G227" s="235">
        <f t="shared" si="57"/>
        <v>0</v>
      </c>
      <c r="H227" s="172">
        <f t="shared" si="58"/>
        <v>0</v>
      </c>
      <c r="I227" s="337"/>
      <c r="J227" s="168"/>
      <c r="K227" s="168"/>
    </row>
    <row r="228" spans="1:11" ht="13.5" thickBot="1">
      <c r="A228" s="163"/>
      <c r="B228" s="236" t="s">
        <v>75</v>
      </c>
      <c r="C228" s="491">
        <f>SUM(C219:C227)</f>
        <v>27481</v>
      </c>
      <c r="D228" s="491">
        <f>SUM(D219:D227)</f>
        <v>0</v>
      </c>
      <c r="E228" s="237">
        <f>SUM(E219:E227)</f>
        <v>27481</v>
      </c>
      <c r="F228" s="237">
        <f>SUM(F219:F227)</f>
        <v>0</v>
      </c>
      <c r="G228" s="237">
        <f>SUM(G219:G227)</f>
        <v>27481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620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619"/>
      <c r="D230" s="232"/>
      <c r="E230" s="232"/>
      <c r="F230" s="232"/>
      <c r="G230" s="232"/>
      <c r="H230" s="167"/>
      <c r="J230" s="168"/>
      <c r="K230" s="168"/>
    </row>
    <row r="231" spans="1:11">
      <c r="A231" s="358"/>
      <c r="B231" s="202" t="s">
        <v>219</v>
      </c>
      <c r="C231" s="492">
        <f>'[25]Sch D'!N22</f>
        <v>108</v>
      </c>
      <c r="D231" s="526"/>
      <c r="E231" s="235">
        <f>C231+D231</f>
        <v>108</v>
      </c>
      <c r="F231" s="235"/>
      <c r="G231" s="235">
        <f>E231+F231</f>
        <v>108</v>
      </c>
      <c r="I231" s="333" t="s">
        <v>654</v>
      </c>
      <c r="J231" s="168"/>
      <c r="K231" s="168"/>
    </row>
    <row r="232" spans="1:11">
      <c r="A232" s="163"/>
      <c r="B232" s="202" t="s">
        <v>290</v>
      </c>
      <c r="C232" s="492">
        <f>'[25]Sch D'!N24</f>
        <v>108</v>
      </c>
      <c r="D232" s="526"/>
      <c r="E232" s="235">
        <f>C232+D232</f>
        <v>108</v>
      </c>
      <c r="F232" s="235">
        <v>-13</v>
      </c>
      <c r="G232" s="235">
        <f>E232+F232</f>
        <v>95</v>
      </c>
      <c r="H232" s="522" t="s">
        <v>655</v>
      </c>
      <c r="J232" s="168"/>
      <c r="K232" s="168"/>
    </row>
    <row r="233" spans="1:11">
      <c r="A233" s="163"/>
      <c r="B233" s="202" t="s">
        <v>76</v>
      </c>
      <c r="C233" s="492">
        <f>$C$4-$C$3+1</f>
        <v>365</v>
      </c>
      <c r="D233" s="489"/>
      <c r="E233" s="235">
        <f>C233+D233</f>
        <v>365</v>
      </c>
      <c r="F233" s="240"/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621"/>
      <c r="D234" s="240"/>
      <c r="E234" s="243"/>
      <c r="F234" s="240"/>
      <c r="G234" s="243"/>
      <c r="H234" s="167"/>
      <c r="J234" s="168"/>
      <c r="K234" s="168"/>
    </row>
    <row r="235" spans="1:11" ht="39">
      <c r="A235" s="163"/>
      <c r="B235" s="244" t="s">
        <v>335</v>
      </c>
      <c r="C235" s="492">
        <f>'[25]Sch D'!N28</f>
        <v>39420</v>
      </c>
      <c r="D235" s="489"/>
      <c r="E235" s="234">
        <f>E231*E233</f>
        <v>39420</v>
      </c>
      <c r="F235" s="240"/>
      <c r="G235" s="234">
        <f>G231*G233</f>
        <v>39420</v>
      </c>
      <c r="H235" s="167"/>
      <c r="J235" s="168"/>
      <c r="K235" s="168"/>
    </row>
    <row r="236" spans="1:11" ht="26">
      <c r="A236" s="163"/>
      <c r="B236" s="244" t="s">
        <v>336</v>
      </c>
      <c r="C236" s="493">
        <f>'[25]Sch D'!N30</f>
        <v>0.69713343480466772</v>
      </c>
      <c r="D236" s="240"/>
      <c r="E236" s="245">
        <f>IFERROR(E228/E235,"0")</f>
        <v>0.69713343480466772</v>
      </c>
      <c r="F236" s="246"/>
      <c r="G236" s="245">
        <f>IFERROR(G228/G235,"0")</f>
        <v>0.69713343480466772</v>
      </c>
      <c r="H236" s="167"/>
      <c r="J236" s="168"/>
      <c r="K236" s="168"/>
    </row>
    <row r="237" spans="1:11" ht="39">
      <c r="A237" s="163"/>
      <c r="B237" s="244" t="s">
        <v>337</v>
      </c>
      <c r="C237" s="493">
        <f>'[25]Sch D'!N32</f>
        <v>0.14109589041095891</v>
      </c>
      <c r="D237" s="240"/>
      <c r="E237" s="245">
        <f>IFERROR((E219+E220)/E235,"0")</f>
        <v>0.14109589041095891</v>
      </c>
      <c r="F237" s="246"/>
      <c r="G237" s="245">
        <f>IFERROR((G219+G220)/G235,"0")</f>
        <v>0.14109589041095891</v>
      </c>
      <c r="H237" s="167"/>
      <c r="J237" s="168"/>
      <c r="K237" s="168"/>
    </row>
    <row r="238" spans="1:11" ht="39">
      <c r="A238" s="163"/>
      <c r="B238" s="244" t="s">
        <v>338</v>
      </c>
      <c r="C238" s="493">
        <f>'[25]Sch D'!N34</f>
        <v>0.20239438157272296</v>
      </c>
      <c r="D238" s="240"/>
      <c r="E238" s="245">
        <f>IFERROR((E237/E236),"0")</f>
        <v>0.20239438157272296</v>
      </c>
      <c r="F238" s="246"/>
      <c r="G238" s="245">
        <f>IFERROR((G237/G236),"0")</f>
        <v>0.20239438157272296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490">
        <f>'[25]Sch B'!C85</f>
        <v>241.44444444444446</v>
      </c>
    </row>
    <row r="242" spans="2:7">
      <c r="F242" s="142" t="s">
        <v>341</v>
      </c>
      <c r="G242" s="490">
        <f>'[25]Sch B'!E85</f>
        <v>332.67941507311588</v>
      </c>
    </row>
    <row r="243" spans="2:7">
      <c r="F243" s="142" t="s">
        <v>342</v>
      </c>
      <c r="G243" s="490">
        <f>'[25]Sch B'!G85</f>
        <v>253.04887714663144</v>
      </c>
    </row>
    <row r="244" spans="2:7">
      <c r="F244" s="142" t="s">
        <v>343</v>
      </c>
      <c r="G244" s="490">
        <f>'[25]Sch B'!I85</f>
        <v>256.48144220572641</v>
      </c>
    </row>
    <row r="245" spans="2:7">
      <c r="F245" s="142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F5" sqref="F5"/>
      <pageMargins left="0" right="0" top="0" bottom="1" header="0.5" footer="0.5"/>
      <printOptions horizontalCentered="1"/>
      <pageSetup scale="70" orientation="portrait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r:id="rId3"/>
  <headerFooter alignWithMargins="0">
    <oddFooter>&amp;R&amp;D
&amp;T
&amp;F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0">
    <tabColor rgb="FFE28CAB"/>
  </sheetPr>
  <dimension ref="A1:Q245"/>
  <sheetViews>
    <sheetView showGridLines="0" zoomScale="90" zoomScaleNormal="90" workbookViewId="0">
      <selection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478"/>
      <c r="E1" s="478"/>
      <c r="F1" s="478"/>
      <c r="G1" s="478"/>
      <c r="H1" s="478"/>
      <c r="I1" s="479"/>
    </row>
    <row r="2" spans="1:14" ht="23">
      <c r="B2" s="143" t="s">
        <v>189</v>
      </c>
      <c r="C2" s="404" t="s">
        <v>355</v>
      </c>
      <c r="D2" s="404"/>
      <c r="E2" s="441" t="s">
        <v>584</v>
      </c>
    </row>
    <row r="3" spans="1:14">
      <c r="A3" s="145"/>
      <c r="B3" s="140" t="s">
        <v>79</v>
      </c>
      <c r="C3" s="495">
        <v>41821</v>
      </c>
      <c r="D3" s="144"/>
      <c r="E3" s="147"/>
    </row>
    <row r="4" spans="1:14">
      <c r="A4" s="145"/>
      <c r="B4" s="148" t="s">
        <v>80</v>
      </c>
      <c r="C4" s="495">
        <v>42185</v>
      </c>
      <c r="D4" s="144"/>
      <c r="E4" s="149"/>
      <c r="G4" s="150"/>
    </row>
    <row r="5" spans="1:14">
      <c r="A5" s="145"/>
      <c r="B5" s="148"/>
      <c r="C5" s="151"/>
      <c r="D5" s="144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144"/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490">
        <f>'[26]Sch B'!E10</f>
        <v>2128586</v>
      </c>
      <c r="D11" s="490">
        <f>'[26]Sch B'!G10</f>
        <v>0</v>
      </c>
      <c r="E11" s="171">
        <f>C11+D11</f>
        <v>2128586</v>
      </c>
      <c r="F11" s="171"/>
      <c r="G11" s="171">
        <f t="shared" ref="G11:G20" si="0">E11+F11</f>
        <v>2128586</v>
      </c>
      <c r="H11" s="172">
        <f t="shared" ref="H11:H21" si="1">IF($G$21=0,0,G11/$G$21)</f>
        <v>0.45545992650583866</v>
      </c>
      <c r="I11" s="337"/>
      <c r="J11" s="368" t="s">
        <v>344</v>
      </c>
      <c r="K11" s="369">
        <f>G21</f>
        <v>4673486.9000000004</v>
      </c>
      <c r="M11" s="359">
        <f>IFERROR(G11/G219,0)</f>
        <v>156.38718683417824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490">
        <f>'[26]Sch B'!E15</f>
        <v>0</v>
      </c>
      <c r="D12" s="490">
        <f>'[26]Sch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7"/>
      <c r="J12" s="370" t="s">
        <v>345</v>
      </c>
      <c r="K12" s="371">
        <f>G208</f>
        <v>4545884.82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490">
        <f>'[26]Sch B'!E21</f>
        <v>1292141</v>
      </c>
      <c r="D13" s="490">
        <f>'[26]Sch B'!G21</f>
        <v>0</v>
      </c>
      <c r="E13" s="171">
        <f t="shared" si="2"/>
        <v>1292141</v>
      </c>
      <c r="F13" s="171"/>
      <c r="G13" s="171">
        <f t="shared" si="0"/>
        <v>1292141</v>
      </c>
      <c r="H13" s="172">
        <f t="shared" si="1"/>
        <v>0.27648328274976014</v>
      </c>
      <c r="I13" s="337"/>
      <c r="J13" s="370" t="s">
        <v>346</v>
      </c>
      <c r="K13" s="371">
        <f>G228</f>
        <v>21574</v>
      </c>
      <c r="M13" s="359">
        <f t="shared" si="3"/>
        <v>475.57637099742362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490">
        <f>'[26]Sch B'!E27</f>
        <v>42388</v>
      </c>
      <c r="D14" s="490">
        <f>'[26]Sch B'!G27</f>
        <v>0</v>
      </c>
      <c r="E14" s="171">
        <f t="shared" si="2"/>
        <v>42388</v>
      </c>
      <c r="F14" s="175"/>
      <c r="G14" s="175">
        <f>E14+F14</f>
        <v>42388</v>
      </c>
      <c r="H14" s="176">
        <f t="shared" si="1"/>
        <v>9.0698874110463432E-3</v>
      </c>
      <c r="I14" s="338"/>
      <c r="J14" s="370" t="s">
        <v>347</v>
      </c>
      <c r="K14" s="371">
        <f>G231</f>
        <v>121</v>
      </c>
      <c r="M14" s="359">
        <f t="shared" si="3"/>
        <v>40.44656488549618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490">
        <f>'[26]Sch B'!E32</f>
        <v>0</v>
      </c>
      <c r="D15" s="490">
        <f>'[26]Sch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7"/>
      <c r="J15" s="370" t="s">
        <v>348</v>
      </c>
      <c r="K15" s="371">
        <f>G235</f>
        <v>44165</v>
      </c>
      <c r="M15" s="359">
        <f t="shared" si="3"/>
        <v>0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490">
        <f>'[26]Sch B'!E37</f>
        <v>464106</v>
      </c>
      <c r="D16" s="490">
        <f>'[26]Sch B'!G37</f>
        <v>0</v>
      </c>
      <c r="E16" s="171">
        <f t="shared" si="2"/>
        <v>464106</v>
      </c>
      <c r="F16" s="171"/>
      <c r="G16" s="171">
        <f t="shared" si="0"/>
        <v>464106</v>
      </c>
      <c r="H16" s="172">
        <f t="shared" si="1"/>
        <v>9.930615190127097E-2</v>
      </c>
      <c r="I16" s="337"/>
      <c r="J16" s="372"/>
      <c r="K16" s="371"/>
      <c r="M16" s="359">
        <f t="shared" si="3"/>
        <v>180.51575262543759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490">
        <f>'[26]Sch B'!E42</f>
        <v>283797</v>
      </c>
      <c r="D17" s="490">
        <f>'[26]Sch B'!G42</f>
        <v>0</v>
      </c>
      <c r="E17" s="171">
        <f t="shared" si="2"/>
        <v>283797</v>
      </c>
      <c r="F17" s="171"/>
      <c r="G17" s="171">
        <f>E17+F17</f>
        <v>283797</v>
      </c>
      <c r="H17" s="172">
        <f t="shared" si="1"/>
        <v>6.0724894724750372E-2</v>
      </c>
      <c r="I17" s="337"/>
      <c r="J17" s="370" t="s">
        <v>156</v>
      </c>
      <c r="K17" s="371">
        <f>J208</f>
        <v>97109.260000000009</v>
      </c>
      <c r="M17" s="359">
        <f t="shared" si="3"/>
        <v>174.42962507682853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490">
        <f>'[26]Sch B'!E47</f>
        <v>0</v>
      </c>
      <c r="D18" s="490">
        <f>'[26]Sch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337"/>
      <c r="J18" s="373" t="s">
        <v>252</v>
      </c>
      <c r="K18" s="374">
        <f>K208</f>
        <v>109042.65999999999</v>
      </c>
      <c r="M18" s="359">
        <f t="shared" si="3"/>
        <v>0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490">
        <f>'[26]Sch B'!E52</f>
        <v>282506</v>
      </c>
      <c r="D19" s="490">
        <f>'[26]Sch B'!G52</f>
        <v>0</v>
      </c>
      <c r="E19" s="171">
        <f t="shared" si="2"/>
        <v>282506</v>
      </c>
      <c r="F19" s="171"/>
      <c r="G19" s="171">
        <f t="shared" si="0"/>
        <v>282506</v>
      </c>
      <c r="H19" s="172">
        <f t="shared" si="1"/>
        <v>6.0448655585190574E-2</v>
      </c>
      <c r="I19" s="337"/>
      <c r="J19" s="168"/>
      <c r="K19" s="168"/>
      <c r="M19" s="359">
        <f t="shared" si="3"/>
        <v>0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490">
        <f>'[26]Sch B'!E67</f>
        <v>192632</v>
      </c>
      <c r="D20" s="490">
        <f>'[26]Sch B'!G67</f>
        <v>-12669.1</v>
      </c>
      <c r="E20" s="171">
        <f t="shared" si="2"/>
        <v>179962.9</v>
      </c>
      <c r="F20" s="171"/>
      <c r="G20" s="171">
        <f t="shared" si="0"/>
        <v>179962.9</v>
      </c>
      <c r="H20" s="172">
        <f t="shared" si="1"/>
        <v>3.8507201122142863E-2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490">
        <f>SUM(C11:C20)</f>
        <v>4686156</v>
      </c>
      <c r="D21" s="490">
        <f>SUM(D11:D20)</f>
        <v>-12669.1</v>
      </c>
      <c r="E21" s="171">
        <f>SUM(E11:E20)</f>
        <v>4673486.9000000004</v>
      </c>
      <c r="F21" s="171">
        <f>SUM(F11:F20)</f>
        <v>0</v>
      </c>
      <c r="G21" s="171">
        <f>SUM(G11:G20)</f>
        <v>4673486.9000000004</v>
      </c>
      <c r="H21" s="172">
        <f t="shared" si="1"/>
        <v>1</v>
      </c>
      <c r="I21" s="337"/>
      <c r="J21" s="168"/>
      <c r="K21" s="168"/>
      <c r="M21" s="359">
        <f>IFERROR(G21/G228,0)</f>
        <v>216.62588764253269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4">
      <c r="A24" s="181" t="s">
        <v>161</v>
      </c>
      <c r="B24" s="148" t="s">
        <v>12</v>
      </c>
      <c r="M24" s="363"/>
      <c r="N24" s="363"/>
    </row>
    <row r="25" spans="1:14" s="167" customFormat="1">
      <c r="A25" s="169" t="s">
        <v>83</v>
      </c>
      <c r="B25" s="170" t="s">
        <v>14</v>
      </c>
      <c r="C25" s="490">
        <f>'[26]Sch C'!D10</f>
        <v>90150</v>
      </c>
      <c r="D25" s="490">
        <f>'[26]Sch C'!F10</f>
        <v>12636.44</v>
      </c>
      <c r="E25" s="171">
        <f t="shared" ref="E25:E60" si="4">C25+D25</f>
        <v>102786.44</v>
      </c>
      <c r="F25" s="171"/>
      <c r="G25" s="182">
        <f>E25+F25</f>
        <v>102786.44</v>
      </c>
      <c r="H25" s="172">
        <f>IF($G$208=0,0,G25/$G$208)</f>
        <v>2.2610876445391326E-2</v>
      </c>
      <c r="I25" s="337"/>
      <c r="J25" s="488">
        <v>1899.41</v>
      </c>
      <c r="K25" s="488">
        <v>2171</v>
      </c>
      <c r="M25" s="359">
        <f>G25/G$228</f>
        <v>4.7643663669231486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490">
        <f>'[26]Sch C'!D11</f>
        <v>0</v>
      </c>
      <c r="D26" s="490">
        <f>'[26]Sch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488">
        <v>0</v>
      </c>
      <c r="K26" s="488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490">
        <f>'[26]Sch C'!D12</f>
        <v>60753</v>
      </c>
      <c r="D27" s="490">
        <f>'[26]Sch C'!F12</f>
        <v>4302.9399999999996</v>
      </c>
      <c r="E27" s="171">
        <f t="shared" si="4"/>
        <v>65055.94</v>
      </c>
      <c r="F27" s="171"/>
      <c r="G27" s="171">
        <f t="shared" si="5"/>
        <v>65055.94</v>
      </c>
      <c r="H27" s="172">
        <f t="shared" si="6"/>
        <v>1.4310952119547983E-2</v>
      </c>
      <c r="I27" s="337"/>
      <c r="J27" s="488">
        <v>4149.55</v>
      </c>
      <c r="K27" s="488">
        <v>4435.2700000000004</v>
      </c>
      <c r="M27" s="359">
        <f t="shared" si="7"/>
        <v>3.0154788170946509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490">
        <f>'[26]Sch C'!D13</f>
        <v>361509</v>
      </c>
      <c r="D28" s="490">
        <f>'[26]Sch C'!F13</f>
        <v>-322289</v>
      </c>
      <c r="E28" s="171">
        <f t="shared" si="4"/>
        <v>39220</v>
      </c>
      <c r="F28" s="171"/>
      <c r="G28" s="171">
        <f t="shared" si="5"/>
        <v>39220</v>
      </c>
      <c r="H28" s="172">
        <f t="shared" si="6"/>
        <v>8.627583309512887E-3</v>
      </c>
      <c r="I28" s="337"/>
      <c r="J28" s="527"/>
      <c r="K28" s="527"/>
      <c r="M28" s="359">
        <f t="shared" si="7"/>
        <v>1.8179289885973857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490">
        <f>'[26]Sch C'!D14</f>
        <v>0</v>
      </c>
      <c r="D29" s="490">
        <f>'[26]Sch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7"/>
      <c r="J29" s="527"/>
      <c r="K29" s="527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490">
        <f>'[26]Sch C'!D15</f>
        <v>0</v>
      </c>
      <c r="D30" s="490">
        <f>'[26]Sch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7"/>
      <c r="J30" s="527"/>
      <c r="K30" s="527"/>
      <c r="M30" s="359">
        <f t="shared" si="7"/>
        <v>0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490">
        <f>'[26]Sch C'!D16</f>
        <v>295480</v>
      </c>
      <c r="D31" s="490">
        <f>'[26]Sch C'!F16</f>
        <v>20094</v>
      </c>
      <c r="E31" s="171">
        <f t="shared" si="4"/>
        <v>315574</v>
      </c>
      <c r="F31" s="171"/>
      <c r="G31" s="171">
        <f t="shared" si="5"/>
        <v>315574</v>
      </c>
      <c r="H31" s="172">
        <f t="shared" si="6"/>
        <v>6.9419708702606317E-2</v>
      </c>
      <c r="I31" s="337"/>
      <c r="J31" s="527"/>
      <c r="K31" s="527"/>
      <c r="M31" s="359">
        <f t="shared" si="7"/>
        <v>14.627514600908501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490">
        <f>'[26]Sch C'!D17</f>
        <v>0</v>
      </c>
      <c r="D32" s="490">
        <f>'[26]Sch C'!F17</f>
        <v>0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7"/>
      <c r="J32" s="527"/>
      <c r="K32" s="527"/>
      <c r="M32" s="359">
        <f t="shared" si="7"/>
        <v>0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490">
        <f>'[26]Sch C'!D18</f>
        <v>10832</v>
      </c>
      <c r="D33" s="490">
        <f>'[26]Sch C'!F18</f>
        <v>0</v>
      </c>
      <c r="E33" s="171">
        <f t="shared" si="4"/>
        <v>10832</v>
      </c>
      <c r="F33" s="171"/>
      <c r="G33" s="171">
        <f t="shared" si="5"/>
        <v>10832</v>
      </c>
      <c r="H33" s="172">
        <f t="shared" si="6"/>
        <v>2.3828144418318103E-3</v>
      </c>
      <c r="I33" s="337"/>
      <c r="J33" s="527"/>
      <c r="K33" s="527"/>
      <c r="M33" s="359">
        <f t="shared" si="7"/>
        <v>0.50208584407156764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490">
        <f>'[26]Sch C'!D19</f>
        <v>13900</v>
      </c>
      <c r="D34" s="490">
        <f>'[26]Sch C'!F19</f>
        <v>0</v>
      </c>
      <c r="E34" s="171">
        <f t="shared" si="4"/>
        <v>13900</v>
      </c>
      <c r="F34" s="171"/>
      <c r="G34" s="171">
        <f t="shared" si="5"/>
        <v>13900</v>
      </c>
      <c r="H34" s="172">
        <f t="shared" si="6"/>
        <v>3.0577105558956944E-3</v>
      </c>
      <c r="I34" s="337"/>
      <c r="J34" s="527"/>
      <c r="K34" s="527"/>
      <c r="M34" s="359">
        <f t="shared" si="7"/>
        <v>0.64429405766200054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490">
        <f>'[26]Sch C'!D20</f>
        <v>7367</v>
      </c>
      <c r="D35" s="490">
        <f>'[26]Sch C'!F20</f>
        <v>0</v>
      </c>
      <c r="E35" s="171">
        <f t="shared" si="4"/>
        <v>7367</v>
      </c>
      <c r="F35" s="171"/>
      <c r="G35" s="171">
        <f t="shared" si="5"/>
        <v>7367</v>
      </c>
      <c r="H35" s="172">
        <f t="shared" si="6"/>
        <v>1.620586594624718E-3</v>
      </c>
      <c r="I35" s="337"/>
      <c r="J35" s="527"/>
      <c r="K35" s="527"/>
      <c r="M35" s="359">
        <f t="shared" si="7"/>
        <v>0.34147585056086027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490">
        <f>'[26]Sch C'!D21</f>
        <v>18039</v>
      </c>
      <c r="D36" s="490">
        <f>'[26]Sch C'!F21</f>
        <v>0</v>
      </c>
      <c r="E36" s="171">
        <f t="shared" si="4"/>
        <v>18039</v>
      </c>
      <c r="F36" s="171"/>
      <c r="G36" s="171">
        <f t="shared" si="5"/>
        <v>18039</v>
      </c>
      <c r="H36" s="172">
        <f t="shared" si="6"/>
        <v>3.968204368187225E-3</v>
      </c>
      <c r="I36" s="337"/>
      <c r="J36" s="527"/>
      <c r="K36" s="527"/>
      <c r="M36" s="359">
        <f t="shared" si="7"/>
        <v>0.83614536015574303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490">
        <f>'[26]Sch C'!D22</f>
        <v>0</v>
      </c>
      <c r="D37" s="490">
        <f>'[26]Sch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7"/>
      <c r="J37" s="527"/>
      <c r="K37" s="527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490">
        <f>'[26]Sch C'!D23</f>
        <v>5029</v>
      </c>
      <c r="D38" s="490">
        <f>'[26]Sch C'!F23</f>
        <v>0</v>
      </c>
      <c r="E38" s="171">
        <f t="shared" si="4"/>
        <v>5029</v>
      </c>
      <c r="F38" s="171"/>
      <c r="G38" s="171">
        <f t="shared" si="5"/>
        <v>5029</v>
      </c>
      <c r="H38" s="172">
        <f t="shared" si="6"/>
        <v>1.1062752795395286E-3</v>
      </c>
      <c r="I38" s="337"/>
      <c r="J38" s="527"/>
      <c r="K38" s="527"/>
      <c r="M38" s="359">
        <f t="shared" si="7"/>
        <v>0.23310466302030222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490">
        <f>'[26]Sch C'!D24</f>
        <v>0</v>
      </c>
      <c r="D39" s="490">
        <f>'[26]Sch C'!F24</f>
        <v>0</v>
      </c>
      <c r="E39" s="171">
        <f t="shared" si="4"/>
        <v>0</v>
      </c>
      <c r="F39" s="171"/>
      <c r="G39" s="171">
        <f t="shared" si="5"/>
        <v>0</v>
      </c>
      <c r="H39" s="172">
        <f t="shared" si="6"/>
        <v>0</v>
      </c>
      <c r="I39" s="337"/>
      <c r="J39" s="527"/>
      <c r="K39" s="527"/>
      <c r="M39" s="359">
        <f t="shared" si="7"/>
        <v>0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490">
        <f>'[26]Sch C'!D25</f>
        <v>0</v>
      </c>
      <c r="D40" s="490">
        <f>'[26]Sch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337"/>
      <c r="J40" s="527"/>
      <c r="K40" s="527"/>
      <c r="M40" s="359">
        <f t="shared" si="7"/>
        <v>0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490">
        <f>'[26]Sch C'!D26</f>
        <v>272839</v>
      </c>
      <c r="D41" s="490">
        <f>'[26]Sch C'!F26</f>
        <v>0</v>
      </c>
      <c r="E41" s="171">
        <f t="shared" si="4"/>
        <v>272839</v>
      </c>
      <c r="F41" s="171"/>
      <c r="G41" s="171">
        <f t="shared" si="5"/>
        <v>272839</v>
      </c>
      <c r="H41" s="172">
        <f t="shared" si="6"/>
        <v>6.0018898587052186E-2</v>
      </c>
      <c r="I41" s="337"/>
      <c r="J41" s="527"/>
      <c r="K41" s="527"/>
      <c r="M41" s="359">
        <f t="shared" si="7"/>
        <v>12.646658014276444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490">
        <f>'[26]Sch C'!D27</f>
        <v>0</v>
      </c>
      <c r="D42" s="490">
        <f>'[26]Sch C'!F27</f>
        <v>0</v>
      </c>
      <c r="E42" s="171">
        <f t="shared" si="4"/>
        <v>0</v>
      </c>
      <c r="F42" s="171"/>
      <c r="G42" s="171">
        <f t="shared" si="5"/>
        <v>0</v>
      </c>
      <c r="H42" s="172">
        <f t="shared" si="6"/>
        <v>0</v>
      </c>
      <c r="I42" s="337"/>
      <c r="J42" s="527"/>
      <c r="K42" s="527"/>
      <c r="M42" s="359">
        <f t="shared" si="7"/>
        <v>0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490">
        <f>'[26]Sch C'!D28</f>
        <v>0</v>
      </c>
      <c r="D43" s="490">
        <f>'[26]Sch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7"/>
      <c r="J43" s="527"/>
      <c r="K43" s="527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490">
        <f>'[26]Sch C'!D29</f>
        <v>293901</v>
      </c>
      <c r="D44" s="490">
        <f>'[26]Sch C'!F29</f>
        <v>-293901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7"/>
      <c r="J44" s="527"/>
      <c r="K44" s="527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490">
        <f>'[26]Sch C'!D30</f>
        <v>0</v>
      </c>
      <c r="D45" s="490">
        <f>'[26]Sch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7"/>
      <c r="J45" s="527"/>
      <c r="K45" s="527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490">
        <f>'[26]Sch C'!D31</f>
        <v>36509</v>
      </c>
      <c r="D46" s="490">
        <f>'[26]Sch C'!F31</f>
        <v>0</v>
      </c>
      <c r="E46" s="171">
        <f t="shared" si="4"/>
        <v>36509</v>
      </c>
      <c r="F46" s="171"/>
      <c r="G46" s="171">
        <f t="shared" si="5"/>
        <v>36509</v>
      </c>
      <c r="H46" s="172">
        <f t="shared" si="6"/>
        <v>8.0312197615248857E-3</v>
      </c>
      <c r="I46" s="337"/>
      <c r="J46" s="527"/>
      <c r="K46" s="527"/>
      <c r="M46" s="359">
        <f t="shared" si="7"/>
        <v>1.692268471308056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490">
        <f>'[26]Sch C'!D32</f>
        <v>25505</v>
      </c>
      <c r="D47" s="490">
        <f>'[26]Sch C'!F32</f>
        <v>0</v>
      </c>
      <c r="E47" s="171">
        <f t="shared" si="4"/>
        <v>25505</v>
      </c>
      <c r="F47" s="171"/>
      <c r="G47" s="171">
        <f t="shared" si="5"/>
        <v>25505</v>
      </c>
      <c r="H47" s="172">
        <f t="shared" si="6"/>
        <v>5.610568901303575E-3</v>
      </c>
      <c r="I47" s="337"/>
      <c r="J47" s="527"/>
      <c r="K47" s="527"/>
      <c r="M47" s="359">
        <f t="shared" si="7"/>
        <v>1.1822100676740521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490">
        <f>'[26]Sch C'!D33</f>
        <v>1495</v>
      </c>
      <c r="D48" s="490">
        <f>'[26]Sch C'!F33</f>
        <v>-1495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7"/>
      <c r="J48" s="527"/>
      <c r="K48" s="527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490">
        <f>'[26]Sch C'!D34</f>
        <v>0</v>
      </c>
      <c r="D49" s="490">
        <f>'[26]Sch C'!F34</f>
        <v>0</v>
      </c>
      <c r="E49" s="171">
        <f t="shared" si="4"/>
        <v>0</v>
      </c>
      <c r="F49" s="171"/>
      <c r="G49" s="171">
        <f t="shared" si="5"/>
        <v>0</v>
      </c>
      <c r="H49" s="172">
        <f t="shared" si="6"/>
        <v>0</v>
      </c>
      <c r="I49" s="337"/>
      <c r="J49" s="527"/>
      <c r="K49" s="527"/>
      <c r="M49" s="359">
        <f t="shared" si="7"/>
        <v>0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490">
        <f>'[26]Sch C'!D35</f>
        <v>0</v>
      </c>
      <c r="D50" s="490">
        <f>'[26]Sch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7"/>
      <c r="J50" s="527"/>
      <c r="K50" s="527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490">
        <f>'[26]Sch C'!D36</f>
        <v>24623</v>
      </c>
      <c r="D51" s="490">
        <f>'[26]Sch C'!F36</f>
        <v>1286.5</v>
      </c>
      <c r="E51" s="171">
        <f t="shared" si="4"/>
        <v>25909.5</v>
      </c>
      <c r="F51" s="171"/>
      <c r="G51" s="171">
        <f t="shared" si="5"/>
        <v>25909.5</v>
      </c>
      <c r="H51" s="172">
        <f t="shared" si="6"/>
        <v>5.6995504782719059E-3</v>
      </c>
      <c r="I51" s="337"/>
      <c r="J51" s="488">
        <v>2081.2999999999997</v>
      </c>
      <c r="K51" s="488">
        <v>2191.5100000000002</v>
      </c>
      <c r="M51" s="359">
        <f t="shared" si="7"/>
        <v>1.2009594882729211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490">
        <f>'[26]Sch C'!D37</f>
        <v>0</v>
      </c>
      <c r="D52" s="490">
        <f>'[26]Sch C'!F37</f>
        <v>3876.33</v>
      </c>
      <c r="E52" s="171">
        <f t="shared" si="4"/>
        <v>3876.33</v>
      </c>
      <c r="F52" s="171"/>
      <c r="G52" s="171">
        <f t="shared" si="5"/>
        <v>3876.33</v>
      </c>
      <c r="H52" s="172">
        <f t="shared" si="6"/>
        <v>8.5271188195216964E-4</v>
      </c>
      <c r="I52" s="337"/>
      <c r="J52" s="527"/>
      <c r="K52" s="527"/>
      <c r="M52" s="359">
        <f t="shared" si="7"/>
        <v>0.17967599888754981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490">
        <f>'[26]Sch C'!D38</f>
        <v>0</v>
      </c>
      <c r="D53" s="490">
        <f>'[26]Sch C'!F38</f>
        <v>0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7"/>
      <c r="J53" s="527"/>
      <c r="K53" s="527"/>
      <c r="M53" s="359">
        <f t="shared" si="7"/>
        <v>0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490">
        <f>'[26]Sch C'!D39</f>
        <v>581</v>
      </c>
      <c r="D54" s="490">
        <f>'[26]Sch C'!F39</f>
        <v>0</v>
      </c>
      <c r="E54" s="171">
        <f t="shared" si="4"/>
        <v>581</v>
      </c>
      <c r="F54" s="171"/>
      <c r="G54" s="171">
        <f t="shared" si="5"/>
        <v>581</v>
      </c>
      <c r="H54" s="172">
        <f t="shared" si="6"/>
        <v>1.2780790165290635E-4</v>
      </c>
      <c r="I54" s="337"/>
      <c r="J54" s="527"/>
      <c r="K54" s="527"/>
      <c r="M54" s="359">
        <f t="shared" si="7"/>
        <v>2.6930564568462038E-2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490">
        <f>'[26]Sch C'!D40</f>
        <v>2873</v>
      </c>
      <c r="D55" s="490">
        <f>'[26]Sch C'!F40</f>
        <v>-2873</v>
      </c>
      <c r="E55" s="171">
        <f t="shared" si="4"/>
        <v>0</v>
      </c>
      <c r="F55" s="171"/>
      <c r="G55" s="171">
        <f t="shared" si="5"/>
        <v>0</v>
      </c>
      <c r="H55" s="172">
        <f t="shared" si="6"/>
        <v>0</v>
      </c>
      <c r="I55" s="337"/>
      <c r="J55" s="527"/>
      <c r="K55" s="527"/>
      <c r="M55" s="359">
        <f t="shared" si="7"/>
        <v>0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490">
        <f>'[26]Sch C'!D41</f>
        <v>0</v>
      </c>
      <c r="D56" s="490">
        <f>'[26]Sch C'!F41</f>
        <v>0</v>
      </c>
      <c r="E56" s="171">
        <f t="shared" si="4"/>
        <v>0</v>
      </c>
      <c r="F56" s="171"/>
      <c r="G56" s="171">
        <f t="shared" si="5"/>
        <v>0</v>
      </c>
      <c r="H56" s="172">
        <f t="shared" si="6"/>
        <v>0</v>
      </c>
      <c r="I56" s="337"/>
      <c r="J56" s="527"/>
      <c r="K56" s="527"/>
      <c r="M56" s="359">
        <f t="shared" si="7"/>
        <v>0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490">
        <f>'[26]Sch C'!D42</f>
        <v>660</v>
      </c>
      <c r="D57" s="490">
        <f>'[26]Sch C'!F42</f>
        <v>0</v>
      </c>
      <c r="E57" s="171">
        <f t="shared" si="4"/>
        <v>660</v>
      </c>
      <c r="F57" s="171"/>
      <c r="G57" s="171">
        <f t="shared" si="5"/>
        <v>660</v>
      </c>
      <c r="H57" s="172">
        <f t="shared" si="6"/>
        <v>1.451862566108747E-4</v>
      </c>
      <c r="I57" s="337"/>
      <c r="J57" s="527"/>
      <c r="K57" s="527"/>
      <c r="M57" s="359">
        <f t="shared" si="7"/>
        <v>3.0592379716325207E-2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490">
        <f>'[26]Sch C'!D43</f>
        <v>6134</v>
      </c>
      <c r="D58" s="490">
        <f>'[26]Sch C'!F43</f>
        <v>0</v>
      </c>
      <c r="E58" s="171">
        <f t="shared" si="4"/>
        <v>6134</v>
      </c>
      <c r="F58" s="171"/>
      <c r="G58" s="171">
        <f t="shared" si="5"/>
        <v>6134</v>
      </c>
      <c r="H58" s="172">
        <f t="shared" si="6"/>
        <v>1.3493522697744021E-3</v>
      </c>
      <c r="I58" s="337"/>
      <c r="J58" s="527"/>
      <c r="K58" s="527"/>
      <c r="M58" s="359">
        <f t="shared" si="7"/>
        <v>0.28432372299990727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490">
        <f>'[26]Sch C'!D44</f>
        <v>0</v>
      </c>
      <c r="D59" s="490">
        <f>'[26]Sch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7"/>
      <c r="J59" s="527"/>
      <c r="K59" s="527"/>
      <c r="M59" s="359">
        <f t="shared" si="7"/>
        <v>0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490">
        <f>'[26]Sch C'!D45</f>
        <v>73554</v>
      </c>
      <c r="D60" s="490">
        <f>'[26]Sch C'!F45</f>
        <v>-8266</v>
      </c>
      <c r="E60" s="171">
        <f t="shared" si="4"/>
        <v>65288</v>
      </c>
      <c r="F60" s="171"/>
      <c r="G60" s="171">
        <f t="shared" si="5"/>
        <v>65288</v>
      </c>
      <c r="H60" s="172">
        <f t="shared" si="6"/>
        <v>1.4362000487289072E-2</v>
      </c>
      <c r="I60" s="337"/>
      <c r="J60" s="527"/>
      <c r="K60" s="527"/>
      <c r="M60" s="359">
        <f t="shared" si="7"/>
        <v>3.0262352832112729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490">
        <f>SUM(C25:C60)</f>
        <v>1601733</v>
      </c>
      <c r="D61" s="490">
        <f>SUM(D25:D60)</f>
        <v>-586627.79</v>
      </c>
      <c r="E61" s="171">
        <f t="shared" ref="E61:F61" si="8">SUM(E25:E60)</f>
        <v>1015105.21</v>
      </c>
      <c r="F61" s="171">
        <f t="shared" si="8"/>
        <v>0</v>
      </c>
      <c r="G61" s="171">
        <f>SUM(G25:G60)</f>
        <v>1015105.21</v>
      </c>
      <c r="H61" s="186">
        <f t="shared" si="6"/>
        <v>0.22330200834256947</v>
      </c>
      <c r="I61" s="339"/>
      <c r="J61" s="527"/>
      <c r="K61" s="527"/>
      <c r="M61" s="364">
        <f>G61/G$228</f>
        <v>47.052248539909151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I62" s="340"/>
      <c r="J62" s="527"/>
      <c r="K62" s="527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40"/>
      <c r="J63" s="527"/>
      <c r="K63" s="527"/>
      <c r="M63" s="359"/>
      <c r="N63" s="359"/>
    </row>
    <row r="64" spans="1:14" s="167" customFormat="1">
      <c r="A64" s="188">
        <v>230</v>
      </c>
      <c r="B64" s="189" t="s">
        <v>253</v>
      </c>
      <c r="C64" s="490">
        <f>'[26]Sch C'!D57</f>
        <v>254390</v>
      </c>
      <c r="D64" s="490">
        <f>'[26]Sch C'!F57</f>
        <v>-71440</v>
      </c>
      <c r="E64" s="171">
        <f t="shared" ref="E64:E78" si="9">C64+D64</f>
        <v>182950</v>
      </c>
      <c r="F64" s="171"/>
      <c r="G64" s="171">
        <f t="shared" ref="G64:G78" si="10">E64+F64</f>
        <v>182950</v>
      </c>
      <c r="H64" s="172">
        <f t="shared" ref="H64:H79" si="11">IF($G$208=0,0,G64/$G$208)</f>
        <v>4.0245190374181103E-2</v>
      </c>
      <c r="I64" s="337"/>
      <c r="J64" s="528"/>
      <c r="K64" s="527"/>
      <c r="M64" s="359">
        <f t="shared" ref="M64:M79" si="12">G64/G$228</f>
        <v>8.4801149531843887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490">
        <f>'[26]Sch C'!D58</f>
        <v>0</v>
      </c>
      <c r="D65" s="490">
        <f>'[26]Sch C'!F58</f>
        <v>0</v>
      </c>
      <c r="E65" s="171">
        <f t="shared" si="9"/>
        <v>0</v>
      </c>
      <c r="F65" s="171"/>
      <c r="G65" s="171">
        <f t="shared" si="10"/>
        <v>0</v>
      </c>
      <c r="H65" s="172">
        <f t="shared" si="11"/>
        <v>0</v>
      </c>
      <c r="I65" s="337"/>
      <c r="J65" s="528"/>
      <c r="K65" s="527"/>
      <c r="M65" s="359">
        <f t="shared" si="12"/>
        <v>0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490">
        <f>'[26]Sch C'!D59</f>
        <v>0</v>
      </c>
      <c r="D66" s="490">
        <f>'[26]Sch C'!F59</f>
        <v>0</v>
      </c>
      <c r="E66" s="171">
        <f t="shared" si="9"/>
        <v>0</v>
      </c>
      <c r="F66" s="171"/>
      <c r="G66" s="171">
        <f t="shared" si="10"/>
        <v>0</v>
      </c>
      <c r="H66" s="172">
        <f t="shared" si="11"/>
        <v>0</v>
      </c>
      <c r="I66" s="337"/>
      <c r="J66" s="528"/>
      <c r="K66" s="527"/>
      <c r="M66" s="359">
        <f t="shared" si="12"/>
        <v>0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490">
        <f>'[26]Sch C'!D60</f>
        <v>0</v>
      </c>
      <c r="D67" s="490">
        <f>'[26]Sch C'!F60</f>
        <v>0</v>
      </c>
      <c r="E67" s="171">
        <f t="shared" si="9"/>
        <v>0</v>
      </c>
      <c r="F67" s="171"/>
      <c r="G67" s="171">
        <f t="shared" si="10"/>
        <v>0</v>
      </c>
      <c r="H67" s="172">
        <f t="shared" si="11"/>
        <v>0</v>
      </c>
      <c r="I67" s="337"/>
      <c r="J67" s="529"/>
      <c r="K67" s="527"/>
      <c r="M67" s="359">
        <f t="shared" si="12"/>
        <v>0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490">
        <f>'[26]Sch C'!D61</f>
        <v>6012</v>
      </c>
      <c r="D68" s="490">
        <f>'[26]Sch C'!F61</f>
        <v>0</v>
      </c>
      <c r="E68" s="171">
        <f t="shared" si="9"/>
        <v>6012</v>
      </c>
      <c r="F68" s="171"/>
      <c r="G68" s="171">
        <f t="shared" si="10"/>
        <v>6012</v>
      </c>
      <c r="H68" s="172">
        <f t="shared" si="11"/>
        <v>1.3225148102190586E-3</v>
      </c>
      <c r="I68" s="337"/>
      <c r="J68" s="529"/>
      <c r="K68" s="527"/>
      <c r="M68" s="359">
        <f t="shared" si="12"/>
        <v>0.27866876796143508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490">
        <f>'[26]Sch C'!D62</f>
        <v>0</v>
      </c>
      <c r="D69" s="490">
        <f>'[26]Sch C'!F62</f>
        <v>0</v>
      </c>
      <c r="E69" s="171">
        <f t="shared" si="9"/>
        <v>0</v>
      </c>
      <c r="F69" s="171"/>
      <c r="G69" s="171">
        <f t="shared" si="10"/>
        <v>0</v>
      </c>
      <c r="H69" s="172">
        <f t="shared" si="11"/>
        <v>0</v>
      </c>
      <c r="I69" s="337"/>
      <c r="J69" s="530"/>
      <c r="K69" s="527"/>
      <c r="M69" s="359">
        <f t="shared" si="12"/>
        <v>0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490">
        <f>'[26]Sch C'!D63</f>
        <v>0</v>
      </c>
      <c r="D70" s="490">
        <f>'[26]Sch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7"/>
      <c r="J70" s="530"/>
      <c r="K70" s="527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490">
        <f>'[26]Sch C'!D64</f>
        <v>0</v>
      </c>
      <c r="D71" s="490">
        <f>'[26]Sch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7"/>
      <c r="J71" s="530"/>
      <c r="K71" s="527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490">
        <f>'[26]Sch C'!D65</f>
        <v>8978</v>
      </c>
      <c r="D72" s="490">
        <f>'[26]Sch C'!F65</f>
        <v>0</v>
      </c>
      <c r="E72" s="171">
        <f t="shared" si="9"/>
        <v>8978</v>
      </c>
      <c r="F72" s="171"/>
      <c r="G72" s="171">
        <f t="shared" si="10"/>
        <v>8978</v>
      </c>
      <c r="H72" s="172">
        <f t="shared" si="11"/>
        <v>1.9749730482612623E-3</v>
      </c>
      <c r="I72" s="337"/>
      <c r="J72" s="530"/>
      <c r="K72" s="527"/>
      <c r="M72" s="359">
        <f t="shared" si="12"/>
        <v>0.41614906832298137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490">
        <f>'[26]Sch C'!D66</f>
        <v>0</v>
      </c>
      <c r="D73" s="490">
        <f>'[26]Sch C'!F66</f>
        <v>0</v>
      </c>
      <c r="E73" s="171">
        <f t="shared" si="9"/>
        <v>0</v>
      </c>
      <c r="F73" s="171"/>
      <c r="G73" s="171">
        <f t="shared" si="10"/>
        <v>0</v>
      </c>
      <c r="H73" s="172">
        <f t="shared" si="11"/>
        <v>0</v>
      </c>
      <c r="I73" s="337"/>
      <c r="J73" s="530"/>
      <c r="K73" s="527"/>
      <c r="M73" s="359">
        <f t="shared" si="12"/>
        <v>0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490">
        <f>'[26]Sch C'!D67</f>
        <v>239039</v>
      </c>
      <c r="D74" s="490">
        <f>'[26]Sch C'!F67</f>
        <v>0</v>
      </c>
      <c r="E74" s="171">
        <f t="shared" si="9"/>
        <v>239039</v>
      </c>
      <c r="F74" s="171"/>
      <c r="G74" s="171">
        <f t="shared" si="10"/>
        <v>239039</v>
      </c>
      <c r="H74" s="172">
        <f t="shared" si="11"/>
        <v>5.258360241516194E-2</v>
      </c>
      <c r="I74" s="337"/>
      <c r="J74" s="530"/>
      <c r="K74" s="527"/>
      <c r="M74" s="359">
        <f t="shared" si="12"/>
        <v>11.079957356076759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490">
        <f>'[26]Sch C'!D68</f>
        <v>0</v>
      </c>
      <c r="D75" s="490">
        <f>'[26]Sch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7"/>
      <c r="J75" s="530"/>
      <c r="K75" s="527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490">
        <f>'[26]Sch C'!D69</f>
        <v>0</v>
      </c>
      <c r="D76" s="490">
        <f>'[26]Sch C'!F69</f>
        <v>0</v>
      </c>
      <c r="E76" s="171">
        <f t="shared" si="9"/>
        <v>0</v>
      </c>
      <c r="F76" s="171"/>
      <c r="G76" s="171">
        <f t="shared" si="10"/>
        <v>0</v>
      </c>
      <c r="H76" s="172">
        <f t="shared" si="11"/>
        <v>0</v>
      </c>
      <c r="I76" s="337"/>
      <c r="J76" s="530"/>
      <c r="K76" s="527"/>
      <c r="M76" s="359">
        <f t="shared" si="12"/>
        <v>0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490">
        <f>'[26]Sch C'!D70</f>
        <v>0</v>
      </c>
      <c r="D77" s="490">
        <f>'[26]Sch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7"/>
      <c r="J77" s="530"/>
      <c r="K77" s="527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490">
        <f>'[26]Sch C'!D71</f>
        <v>0</v>
      </c>
      <c r="D78" s="490">
        <f>'[26]Sch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7"/>
      <c r="J78" s="530"/>
      <c r="K78" s="527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490">
        <f>SUM(C64:C78)</f>
        <v>508419</v>
      </c>
      <c r="D79" s="490">
        <f>SUM(D64:D78)</f>
        <v>-71440</v>
      </c>
      <c r="E79" s="171">
        <f t="shared" ref="E79:F79" si="13">SUM(E64:E78)</f>
        <v>436979</v>
      </c>
      <c r="F79" s="171">
        <f t="shared" si="13"/>
        <v>0</v>
      </c>
      <c r="G79" s="171">
        <f>SUM(G64:G78)</f>
        <v>436979</v>
      </c>
      <c r="H79" s="172">
        <f t="shared" si="11"/>
        <v>9.6126280647823359E-2</v>
      </c>
      <c r="I79" s="337"/>
      <c r="J79" s="530"/>
      <c r="K79" s="527"/>
      <c r="M79" s="359">
        <f t="shared" si="12"/>
        <v>20.254890145545563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I80" s="337"/>
      <c r="J80" s="527"/>
      <c r="K80" s="527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1"/>
      <c r="J81" s="527"/>
      <c r="K81" s="527"/>
      <c r="M81" s="359"/>
      <c r="N81" s="359"/>
    </row>
    <row r="82" spans="1:14" s="167" customFormat="1">
      <c r="A82" s="169" t="s">
        <v>85</v>
      </c>
      <c r="B82" s="148" t="s">
        <v>44</v>
      </c>
      <c r="C82" s="490">
        <f>'[26]Sch C'!D75</f>
        <v>31780</v>
      </c>
      <c r="D82" s="490">
        <f>'[26]Sch C'!F75</f>
        <v>1577.76</v>
      </c>
      <c r="E82" s="171">
        <f t="shared" ref="E82:E92" si="14">C82+D82</f>
        <v>33357.760000000002</v>
      </c>
      <c r="F82" s="171"/>
      <c r="G82" s="171">
        <f t="shared" ref="G82:G92" si="15">E82+F82</f>
        <v>33357.760000000002</v>
      </c>
      <c r="H82" s="172">
        <f t="shared" ref="H82:H93" si="16">IF($G$208=0,0,G82/$G$208)</f>
        <v>7.338012580793897E-3</v>
      </c>
      <c r="I82" s="337"/>
      <c r="J82" s="488">
        <v>1574.25</v>
      </c>
      <c r="K82" s="488">
        <v>1648.35</v>
      </c>
      <c r="M82" s="359">
        <f t="shared" ref="M82:M92" si="17">G82/G$228</f>
        <v>1.5462019097061279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490">
        <f>'[26]Sch C'!D76</f>
        <v>0</v>
      </c>
      <c r="D83" s="490">
        <f>'[26]Sch C'!F76</f>
        <v>5003.04</v>
      </c>
      <c r="E83" s="171">
        <f t="shared" si="14"/>
        <v>5003.04</v>
      </c>
      <c r="F83" s="171"/>
      <c r="G83" s="171">
        <f t="shared" si="15"/>
        <v>5003.04</v>
      </c>
      <c r="H83" s="172">
        <f t="shared" si="16"/>
        <v>1.1005646201128342E-3</v>
      </c>
      <c r="I83" s="337"/>
      <c r="J83" s="527"/>
      <c r="K83" s="527"/>
      <c r="M83" s="359">
        <f t="shared" si="17"/>
        <v>0.23190136275146009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490">
        <f>'[26]Sch C'!D77</f>
        <v>38259</v>
      </c>
      <c r="D84" s="490">
        <f>'[26]Sch C'!F77</f>
        <v>0</v>
      </c>
      <c r="E84" s="171">
        <f t="shared" si="14"/>
        <v>38259</v>
      </c>
      <c r="F84" s="171"/>
      <c r="G84" s="171">
        <f t="shared" si="15"/>
        <v>38259</v>
      </c>
      <c r="H84" s="172">
        <f t="shared" si="16"/>
        <v>8.4161833207203867E-3</v>
      </c>
      <c r="I84" s="337"/>
      <c r="J84" s="527"/>
      <c r="K84" s="527"/>
      <c r="M84" s="359">
        <f t="shared" si="17"/>
        <v>1.773384629646797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490">
        <f>'[26]Sch C'!D78</f>
        <v>0</v>
      </c>
      <c r="D85" s="490">
        <f>'[26]Sch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I85" s="337"/>
      <c r="J85" s="527"/>
      <c r="K85" s="527"/>
      <c r="M85" s="359">
        <f t="shared" si="17"/>
        <v>0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490">
        <f>'[26]Sch C'!D79</f>
        <v>310</v>
      </c>
      <c r="D86" s="490">
        <f>'[26]Sch C'!F79</f>
        <v>0</v>
      </c>
      <c r="E86" s="171">
        <f t="shared" si="14"/>
        <v>310</v>
      </c>
      <c r="F86" s="171"/>
      <c r="G86" s="171">
        <f>E86+F86</f>
        <v>310</v>
      </c>
      <c r="H86" s="172">
        <f t="shared" si="16"/>
        <v>6.8193544771774487E-5</v>
      </c>
      <c r="I86" s="337"/>
      <c r="J86" s="527"/>
      <c r="K86" s="527"/>
      <c r="M86" s="359">
        <f t="shared" si="17"/>
        <v>1.4369148048576991E-2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490">
        <f>'[26]Sch C'!D80</f>
        <v>25122</v>
      </c>
      <c r="D87" s="490">
        <f>'[26]Sch C'!F80</f>
        <v>0</v>
      </c>
      <c r="E87" s="171">
        <f t="shared" si="14"/>
        <v>25122</v>
      </c>
      <c r="F87" s="171"/>
      <c r="G87" s="171">
        <f t="shared" si="15"/>
        <v>25122</v>
      </c>
      <c r="H87" s="172">
        <f t="shared" si="16"/>
        <v>5.5263168766339311E-3</v>
      </c>
      <c r="I87" s="337"/>
      <c r="J87" s="527"/>
      <c r="K87" s="527"/>
      <c r="M87" s="359">
        <f t="shared" si="17"/>
        <v>1.1644572170204877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490">
        <f>'[26]Sch C'!D81</f>
        <v>8864</v>
      </c>
      <c r="D88" s="490">
        <f>'[26]Sch C'!F81</f>
        <v>0</v>
      </c>
      <c r="E88" s="171">
        <f t="shared" si="14"/>
        <v>8864</v>
      </c>
      <c r="F88" s="171"/>
      <c r="G88" s="171">
        <f t="shared" si="15"/>
        <v>8864</v>
      </c>
      <c r="H88" s="172">
        <f t="shared" si="16"/>
        <v>1.9498954221193838E-3</v>
      </c>
      <c r="I88" s="337"/>
      <c r="J88" s="527"/>
      <c r="K88" s="527"/>
      <c r="M88" s="359">
        <f t="shared" si="17"/>
        <v>0.4108649300083434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490">
        <f>'[26]Sch C'!D82</f>
        <v>0</v>
      </c>
      <c r="D89" s="490">
        <f>'[26]Sch C'!F82</f>
        <v>0</v>
      </c>
      <c r="E89" s="171">
        <f t="shared" si="14"/>
        <v>0</v>
      </c>
      <c r="F89" s="171"/>
      <c r="G89" s="171">
        <f t="shared" si="15"/>
        <v>0</v>
      </c>
      <c r="H89" s="172">
        <f t="shared" si="16"/>
        <v>0</v>
      </c>
      <c r="I89" s="337"/>
      <c r="J89" s="527"/>
      <c r="K89" s="527"/>
      <c r="M89" s="359">
        <f t="shared" si="17"/>
        <v>0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490">
        <f>'[26]Sch C'!D83</f>
        <v>0</v>
      </c>
      <c r="D90" s="490">
        <f>'[26]Sch C'!F83</f>
        <v>0</v>
      </c>
      <c r="E90" s="171">
        <f t="shared" si="14"/>
        <v>0</v>
      </c>
      <c r="F90" s="171"/>
      <c r="G90" s="171">
        <f t="shared" si="15"/>
        <v>0</v>
      </c>
      <c r="H90" s="172">
        <f t="shared" si="16"/>
        <v>0</v>
      </c>
      <c r="I90" s="337"/>
      <c r="J90" s="527"/>
      <c r="K90" s="527"/>
      <c r="M90" s="359">
        <f t="shared" si="17"/>
        <v>0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490">
        <f>'[26]Sch C'!D84</f>
        <v>64250</v>
      </c>
      <c r="D91" s="490">
        <f>'[26]Sch C'!F84</f>
        <v>0</v>
      </c>
      <c r="E91" s="171">
        <f t="shared" si="14"/>
        <v>64250</v>
      </c>
      <c r="F91" s="171"/>
      <c r="G91" s="171">
        <f t="shared" si="15"/>
        <v>64250</v>
      </c>
      <c r="H91" s="172">
        <f t="shared" si="16"/>
        <v>1.4133662101891969E-2</v>
      </c>
      <c r="I91" s="337"/>
      <c r="J91" s="527"/>
      <c r="K91" s="527"/>
      <c r="M91" s="359">
        <f t="shared" si="17"/>
        <v>2.9781218132937797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490">
        <f>'[26]Sch C'!D85</f>
        <v>0</v>
      </c>
      <c r="D92" s="490">
        <f>'[26]Sch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7"/>
      <c r="J92" s="527"/>
      <c r="K92" s="527"/>
      <c r="M92" s="359">
        <f t="shared" si="17"/>
        <v>0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490">
        <f>SUM(C82:C92)</f>
        <v>168585</v>
      </c>
      <c r="D93" s="490">
        <f>SUM(D82:D92)</f>
        <v>6580.8</v>
      </c>
      <c r="E93" s="171">
        <f t="shared" ref="E93:F93" si="18">SUM(E82:E92)</f>
        <v>175165.8</v>
      </c>
      <c r="F93" s="171">
        <f t="shared" si="18"/>
        <v>0</v>
      </c>
      <c r="G93" s="171">
        <f>SUM(G82:G92)</f>
        <v>175165.8</v>
      </c>
      <c r="H93" s="172">
        <f t="shared" si="16"/>
        <v>3.8532828467044172E-2</v>
      </c>
      <c r="I93" s="337"/>
      <c r="J93" s="527"/>
      <c r="K93" s="527"/>
      <c r="M93" s="364">
        <f>G93/G$228</f>
        <v>8.1193010104755725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I94" s="341"/>
      <c r="J94" s="527"/>
      <c r="K94" s="527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1"/>
      <c r="J95" s="527"/>
      <c r="K95" s="527"/>
      <c r="M95" s="359"/>
      <c r="N95" s="359"/>
    </row>
    <row r="96" spans="1:14" s="167" customFormat="1">
      <c r="A96" s="169" t="s">
        <v>85</v>
      </c>
      <c r="B96" s="170" t="s">
        <v>44</v>
      </c>
      <c r="C96" s="490">
        <f>'[26]Sch C'!D89</f>
        <v>147734</v>
      </c>
      <c r="D96" s="490">
        <f>'[26]Sch C'!F89</f>
        <v>9437.86</v>
      </c>
      <c r="E96" s="171">
        <f t="shared" ref="E96:E101" si="19">C96+D96</f>
        <v>157171.85999999999</v>
      </c>
      <c r="F96" s="171"/>
      <c r="G96" s="171">
        <f t="shared" ref="G96:G101" si="20">E96+F96</f>
        <v>157171.85999999999</v>
      </c>
      <c r="H96" s="172">
        <f t="shared" ref="H96:H102" si="21">IF($G$208=0,0,G96/$G$208)</f>
        <v>3.4574536360558288E-2</v>
      </c>
      <c r="I96" s="337"/>
      <c r="J96" s="488">
        <v>14111.65</v>
      </c>
      <c r="K96" s="488">
        <v>14906.82</v>
      </c>
      <c r="M96" s="364">
        <f t="shared" ref="M96:M101" si="22">G96/G$228</f>
        <v>7.285244275516825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490">
        <f>'[26]Sch C'!D90</f>
        <v>0</v>
      </c>
      <c r="D97" s="490">
        <f>'[26]Sch C'!F90</f>
        <v>23257.37</v>
      </c>
      <c r="E97" s="171">
        <f t="shared" si="19"/>
        <v>23257.37</v>
      </c>
      <c r="F97" s="171"/>
      <c r="G97" s="171">
        <f t="shared" si="20"/>
        <v>23257.37</v>
      </c>
      <c r="H97" s="172">
        <f t="shared" si="21"/>
        <v>5.116137104415241E-3</v>
      </c>
      <c r="I97" s="337"/>
      <c r="J97" s="527"/>
      <c r="K97" s="527"/>
      <c r="M97" s="364">
        <f t="shared" si="22"/>
        <v>1.0780277185501066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490">
        <f>'[26]Sch C'!D91</f>
        <v>0</v>
      </c>
      <c r="D98" s="490">
        <f>'[26]Sch C'!F91</f>
        <v>0</v>
      </c>
      <c r="E98" s="171">
        <f t="shared" si="19"/>
        <v>0</v>
      </c>
      <c r="F98" s="171"/>
      <c r="G98" s="171">
        <f t="shared" si="20"/>
        <v>0</v>
      </c>
      <c r="H98" s="172">
        <f t="shared" si="21"/>
        <v>0</v>
      </c>
      <c r="I98" s="337"/>
      <c r="J98" s="527"/>
      <c r="K98" s="527"/>
      <c r="M98" s="364">
        <f t="shared" si="22"/>
        <v>0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490">
        <f>'[26]Sch C'!D92</f>
        <v>157544</v>
      </c>
      <c r="D99" s="490">
        <f>'[26]Sch C'!F92</f>
        <v>-4409</v>
      </c>
      <c r="E99" s="171">
        <f t="shared" si="19"/>
        <v>153135</v>
      </c>
      <c r="F99" s="171"/>
      <c r="G99" s="171">
        <f t="shared" si="20"/>
        <v>153135</v>
      </c>
      <c r="H99" s="172">
        <f t="shared" si="21"/>
        <v>3.3686511221373179E-2</v>
      </c>
      <c r="I99" s="337"/>
      <c r="J99" s="527"/>
      <c r="K99" s="527"/>
      <c r="M99" s="364">
        <f t="shared" si="22"/>
        <v>7.098127375544637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490">
        <f>'[26]Sch C'!D93</f>
        <v>17637</v>
      </c>
      <c r="D100" s="490">
        <f>'[26]Sch C'!F93</f>
        <v>0</v>
      </c>
      <c r="E100" s="171">
        <f t="shared" si="19"/>
        <v>17637</v>
      </c>
      <c r="F100" s="171"/>
      <c r="G100" s="171">
        <f t="shared" si="20"/>
        <v>17637</v>
      </c>
      <c r="H100" s="172">
        <f t="shared" si="21"/>
        <v>3.8797727391606017E-3</v>
      </c>
      <c r="I100" s="337"/>
      <c r="J100" s="527"/>
      <c r="K100" s="527"/>
      <c r="M100" s="364">
        <f t="shared" si="22"/>
        <v>0.81751181978307219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490">
        <f>'[26]Sch C'!D94</f>
        <v>4418</v>
      </c>
      <c r="D101" s="490">
        <f>'[26]Sch C'!F94</f>
        <v>0</v>
      </c>
      <c r="E101" s="171">
        <f t="shared" si="19"/>
        <v>4418</v>
      </c>
      <c r="F101" s="171"/>
      <c r="G101" s="171">
        <f t="shared" si="20"/>
        <v>4418</v>
      </c>
      <c r="H101" s="172">
        <f t="shared" si="21"/>
        <v>9.718680025861279E-4</v>
      </c>
      <c r="I101" s="337"/>
      <c r="J101" s="527"/>
      <c r="K101" s="527"/>
      <c r="M101" s="364">
        <f t="shared" si="22"/>
        <v>0.20478353573746175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490">
        <f>SUM(C96:C101)</f>
        <v>327333</v>
      </c>
      <c r="D102" s="490">
        <f>SUM(D96:D101)</f>
        <v>28286.23</v>
      </c>
      <c r="E102" s="171">
        <f t="shared" ref="E102:F102" si="23">SUM(E96:E101)</f>
        <v>355619.23</v>
      </c>
      <c r="F102" s="171">
        <f t="shared" si="23"/>
        <v>0</v>
      </c>
      <c r="G102" s="171">
        <f>SUM(G96:G101)</f>
        <v>355619.23</v>
      </c>
      <c r="H102" s="172">
        <f t="shared" si="21"/>
        <v>7.8228825428093438E-2</v>
      </c>
      <c r="I102" s="337"/>
      <c r="J102" s="527"/>
      <c r="K102" s="527"/>
      <c r="M102" s="364">
        <f>G102/G$228</f>
        <v>16.483694725132104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I103" s="341"/>
      <c r="J103" s="527"/>
      <c r="K103" s="527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1"/>
      <c r="J104" s="527"/>
      <c r="K104" s="527"/>
      <c r="M104" s="359"/>
      <c r="N104" s="359"/>
    </row>
    <row r="105" spans="1:14" s="167" customFormat="1">
      <c r="A105" s="169" t="s">
        <v>85</v>
      </c>
      <c r="B105" s="170" t="s">
        <v>44</v>
      </c>
      <c r="C105" s="490">
        <f>'[26]Sch C'!D98</f>
        <v>0</v>
      </c>
      <c r="D105" s="490">
        <f>'[26]Sch C'!F98</f>
        <v>0</v>
      </c>
      <c r="E105" s="171">
        <f t="shared" ref="E105:E110" si="24">C105+D105</f>
        <v>0</v>
      </c>
      <c r="F105" s="171"/>
      <c r="G105" s="171">
        <f t="shared" ref="G105:G110" si="25">E105+F105</f>
        <v>0</v>
      </c>
      <c r="H105" s="172">
        <f t="shared" ref="H105:H111" si="26">IF($G$208=0,0,G105/$G$208)</f>
        <v>0</v>
      </c>
      <c r="I105" s="337"/>
      <c r="J105" s="488">
        <v>0</v>
      </c>
      <c r="K105" s="488">
        <v>0</v>
      </c>
      <c r="M105" s="364">
        <f t="shared" ref="M105:M110" si="27">G105/G$228</f>
        <v>0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490">
        <f>'[26]Sch C'!D99</f>
        <v>0</v>
      </c>
      <c r="D106" s="490">
        <f>'[26]Sch C'!F99</f>
        <v>0</v>
      </c>
      <c r="E106" s="171">
        <f t="shared" si="24"/>
        <v>0</v>
      </c>
      <c r="F106" s="171"/>
      <c r="G106" s="171">
        <f t="shared" si="25"/>
        <v>0</v>
      </c>
      <c r="H106" s="172">
        <f t="shared" si="26"/>
        <v>0</v>
      </c>
      <c r="I106" s="337"/>
      <c r="J106" s="527"/>
      <c r="K106" s="527"/>
      <c r="M106" s="364">
        <f t="shared" si="27"/>
        <v>0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490">
        <f>'[26]Sch C'!D100</f>
        <v>0</v>
      </c>
      <c r="D107" s="490">
        <f>'[26]Sch C'!F100</f>
        <v>0</v>
      </c>
      <c r="E107" s="171">
        <f t="shared" si="24"/>
        <v>0</v>
      </c>
      <c r="F107" s="171"/>
      <c r="G107" s="171">
        <f t="shared" si="25"/>
        <v>0</v>
      </c>
      <c r="H107" s="172">
        <f t="shared" si="26"/>
        <v>0</v>
      </c>
      <c r="I107" s="337"/>
      <c r="J107" s="527"/>
      <c r="K107" s="527"/>
      <c r="M107" s="364">
        <f t="shared" si="27"/>
        <v>0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490">
        <f>'[26]Sch C'!D101</f>
        <v>35852</v>
      </c>
      <c r="D108" s="490">
        <f>'[26]Sch C'!F101</f>
        <v>0</v>
      </c>
      <c r="E108" s="171">
        <f t="shared" si="24"/>
        <v>35852</v>
      </c>
      <c r="F108" s="171"/>
      <c r="G108" s="171">
        <f t="shared" si="25"/>
        <v>35852</v>
      </c>
      <c r="H108" s="172">
        <f t="shared" si="26"/>
        <v>7.8866934424440607E-3</v>
      </c>
      <c r="I108" s="337"/>
      <c r="J108" s="527"/>
      <c r="K108" s="527"/>
      <c r="M108" s="364">
        <f t="shared" si="27"/>
        <v>1.6618151478631686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490">
        <f>'[26]Sch C'!D102</f>
        <v>2516</v>
      </c>
      <c r="D109" s="490">
        <f>'[26]Sch C'!F102</f>
        <v>0</v>
      </c>
      <c r="E109" s="171">
        <f t="shared" si="24"/>
        <v>2516</v>
      </c>
      <c r="F109" s="171"/>
      <c r="G109" s="171">
        <f t="shared" si="25"/>
        <v>2516</v>
      </c>
      <c r="H109" s="172">
        <f t="shared" si="26"/>
        <v>5.5346760853478905E-4</v>
      </c>
      <c r="I109" s="337"/>
      <c r="J109" s="527"/>
      <c r="K109" s="527"/>
      <c r="M109" s="364">
        <f t="shared" si="27"/>
        <v>0.11662185964587003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490">
        <f>'[26]Sch C'!D103</f>
        <v>0</v>
      </c>
      <c r="D110" s="490">
        <f>'[26]Sch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7"/>
      <c r="J110" s="527"/>
      <c r="K110" s="527"/>
      <c r="M110" s="364">
        <f t="shared" si="27"/>
        <v>0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490">
        <f>SUM(C105:C110)</f>
        <v>38368</v>
      </c>
      <c r="D111" s="490">
        <f>SUM(D105:D110)</f>
        <v>0</v>
      </c>
      <c r="E111" s="171">
        <f t="shared" ref="E111:F111" si="28">SUM(E105:E110)</f>
        <v>38368</v>
      </c>
      <c r="F111" s="171">
        <f t="shared" si="28"/>
        <v>0</v>
      </c>
      <c r="G111" s="171">
        <f>SUM(G105:G110)</f>
        <v>38368</v>
      </c>
      <c r="H111" s="172">
        <f t="shared" si="26"/>
        <v>8.4401610509788495E-3</v>
      </c>
      <c r="I111" s="337"/>
      <c r="J111" s="527"/>
      <c r="K111" s="527"/>
      <c r="M111" s="364">
        <f>G111/G$228</f>
        <v>1.7784370075090385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I112" s="341"/>
      <c r="J112" s="527"/>
      <c r="K112" s="527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1"/>
      <c r="J113" s="527"/>
      <c r="K113" s="527"/>
      <c r="M113" s="359"/>
      <c r="N113" s="359"/>
    </row>
    <row r="114" spans="1:14" s="167" customFormat="1">
      <c r="A114" s="169" t="s">
        <v>85</v>
      </c>
      <c r="B114" s="170" t="s">
        <v>44</v>
      </c>
      <c r="C114" s="490">
        <f>'[26]Sch C'!D115</f>
        <v>0</v>
      </c>
      <c r="D114" s="490">
        <f>'[26]Sch C'!F115</f>
        <v>0</v>
      </c>
      <c r="E114" s="171">
        <f t="shared" ref="E114:E118" si="29">C114+D114</f>
        <v>0</v>
      </c>
      <c r="F114" s="171"/>
      <c r="G114" s="171">
        <f>E114+F114</f>
        <v>0</v>
      </c>
      <c r="H114" s="172">
        <f t="shared" ref="H114:H119" si="30">IF($G$208=0,0,G114/$G$208)</f>
        <v>0</v>
      </c>
      <c r="I114" s="337"/>
      <c r="J114" s="488">
        <v>0</v>
      </c>
      <c r="K114" s="488">
        <v>0</v>
      </c>
      <c r="M114" s="364">
        <f t="shared" ref="M114:M119" si="31">G114/G$228</f>
        <v>0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490">
        <f>'[26]Sch C'!D116</f>
        <v>0</v>
      </c>
      <c r="D115" s="490">
        <f>'[26]Sch C'!F116</f>
        <v>0</v>
      </c>
      <c r="E115" s="171">
        <f t="shared" si="29"/>
        <v>0</v>
      </c>
      <c r="F115" s="171"/>
      <c r="G115" s="171">
        <f>E115+F115</f>
        <v>0</v>
      </c>
      <c r="H115" s="172">
        <f t="shared" si="30"/>
        <v>0</v>
      </c>
      <c r="I115" s="337"/>
      <c r="J115" s="527"/>
      <c r="K115" s="527"/>
      <c r="M115" s="364">
        <f t="shared" si="31"/>
        <v>0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490">
        <f>'[26]Sch C'!D117</f>
        <v>21387</v>
      </c>
      <c r="D116" s="490">
        <f>'[26]Sch C'!F117</f>
        <v>0</v>
      </c>
      <c r="E116" s="171">
        <f t="shared" si="29"/>
        <v>21387</v>
      </c>
      <c r="F116" s="171"/>
      <c r="G116" s="171">
        <f>E116+F116</f>
        <v>21387</v>
      </c>
      <c r="H116" s="172">
        <f t="shared" si="30"/>
        <v>4.7046946517223902E-3</v>
      </c>
      <c r="I116" s="337"/>
      <c r="J116" s="527"/>
      <c r="K116" s="527"/>
      <c r="M116" s="364">
        <f t="shared" si="31"/>
        <v>0.99133215908037453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490">
        <f>'[26]Sch C'!D118</f>
        <v>75540</v>
      </c>
      <c r="D117" s="490">
        <f>'[26]Sch C'!F118</f>
        <v>0</v>
      </c>
      <c r="E117" s="171">
        <f t="shared" si="29"/>
        <v>75540</v>
      </c>
      <c r="F117" s="171"/>
      <c r="G117" s="171">
        <f>E117+F117</f>
        <v>75540</v>
      </c>
      <c r="H117" s="172">
        <f t="shared" si="30"/>
        <v>1.6617227006644659E-2</v>
      </c>
      <c r="I117" s="337"/>
      <c r="J117" s="527"/>
      <c r="K117" s="527"/>
      <c r="M117" s="364">
        <f t="shared" si="31"/>
        <v>3.5014369148048576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490">
        <f>'[26]Sch C'!D119</f>
        <v>0</v>
      </c>
      <c r="D118" s="490">
        <f>'[26]Sch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337"/>
      <c r="J118" s="527"/>
      <c r="K118" s="527"/>
      <c r="M118" s="364">
        <f t="shared" si="31"/>
        <v>0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490">
        <f>SUM(C114:C118)</f>
        <v>96927</v>
      </c>
      <c r="D119" s="490">
        <f>SUM(D114:D118)</f>
        <v>0</v>
      </c>
      <c r="E119" s="171">
        <f t="shared" ref="E119:F119" si="32">SUM(E114:E118)</f>
        <v>96927</v>
      </c>
      <c r="F119" s="171">
        <f t="shared" si="32"/>
        <v>0</v>
      </c>
      <c r="G119" s="171">
        <f>SUM(G114:G118)</f>
        <v>96927</v>
      </c>
      <c r="H119" s="172">
        <f t="shared" si="30"/>
        <v>2.1321921658367049E-2</v>
      </c>
      <c r="I119" s="337"/>
      <c r="J119" s="527"/>
      <c r="K119" s="527"/>
      <c r="M119" s="364">
        <f t="shared" si="31"/>
        <v>4.4927690738852322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1"/>
      <c r="J121" s="489"/>
      <c r="K121" s="489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1"/>
      <c r="J122" s="489"/>
      <c r="K122" s="489"/>
      <c r="M122" s="359"/>
      <c r="N122" s="359"/>
    </row>
    <row r="123" spans="1:14" s="167" customFormat="1">
      <c r="B123" s="163" t="s">
        <v>232</v>
      </c>
      <c r="C123" s="490">
        <f>'[26]Sch C'!D124</f>
        <v>39400</v>
      </c>
      <c r="D123" s="490">
        <f>'[26]Sch C'!F124</f>
        <v>0</v>
      </c>
      <c r="E123" s="171">
        <f t="shared" ref="E123:E127" si="33">C123+D123</f>
        <v>39400</v>
      </c>
      <c r="F123" s="171"/>
      <c r="G123" s="171">
        <f>E123+F123</f>
        <v>39400</v>
      </c>
      <c r="H123" s="172">
        <f>IF($G$208=0,0,G123/$G$208)</f>
        <v>8.6671795613158537E-3</v>
      </c>
      <c r="I123" s="337"/>
      <c r="J123" s="488">
        <v>0</v>
      </c>
      <c r="K123" s="488">
        <v>0</v>
      </c>
      <c r="M123" s="364">
        <f t="shared" ref="M123:M160" si="34">G123/G$228</f>
        <v>1.8262723648836563</v>
      </c>
      <c r="N123" s="359">
        <f>SUMMARY!J126</f>
        <v>0.77002560279620991</v>
      </c>
    </row>
    <row r="124" spans="1:14" s="167" customFormat="1">
      <c r="B124" s="163" t="s">
        <v>194</v>
      </c>
      <c r="C124" s="490">
        <f>'[26]Sch C'!D125</f>
        <v>207850</v>
      </c>
      <c r="D124" s="490">
        <f>'[26]Sch C'!F125</f>
        <v>13403.9</v>
      </c>
      <c r="E124" s="171">
        <f t="shared" si="33"/>
        <v>221253.9</v>
      </c>
      <c r="F124" s="171"/>
      <c r="G124" s="171">
        <f>E124+F124</f>
        <v>221253.9</v>
      </c>
      <c r="H124" s="172">
        <f>IF($G$208=0,0,G124/$G$208)</f>
        <v>4.8671250759934559E-2</v>
      </c>
      <c r="I124" s="337"/>
      <c r="J124" s="488">
        <v>6501.41</v>
      </c>
      <c r="K124" s="488">
        <v>6932.1900000000005</v>
      </c>
      <c r="M124" s="364">
        <f t="shared" si="34"/>
        <v>10.255580791693705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490">
        <f>'[26]Sch C'!D126</f>
        <v>0</v>
      </c>
      <c r="D125" s="490">
        <f>'[26]Sch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7"/>
      <c r="J125" s="488">
        <v>0</v>
      </c>
      <c r="K125" s="488">
        <v>0</v>
      </c>
      <c r="M125" s="364">
        <f t="shared" si="34"/>
        <v>0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490">
        <f>'[26]Sch C'!D127</f>
        <v>0</v>
      </c>
      <c r="D126" s="490">
        <f>'[26]Sch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7"/>
      <c r="J126" s="488">
        <v>0</v>
      </c>
      <c r="K126" s="488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490">
        <f>'[26]Sch C'!D128</f>
        <v>35236</v>
      </c>
      <c r="D127" s="490">
        <f>'[26]Sch C'!F128</f>
        <v>1596.17</v>
      </c>
      <c r="E127" s="171">
        <f t="shared" si="33"/>
        <v>36832.17</v>
      </c>
      <c r="F127" s="171"/>
      <c r="G127" s="171">
        <f>E127+F127</f>
        <v>36832.17</v>
      </c>
      <c r="H127" s="172">
        <f>IF($G$208=0,0,G127/$G$208)</f>
        <v>8.1023104320535767E-3</v>
      </c>
      <c r="I127" s="337"/>
      <c r="J127" s="488">
        <v>2210.33</v>
      </c>
      <c r="K127" s="488">
        <v>2309.13</v>
      </c>
      <c r="M127" s="364">
        <f t="shared" si="34"/>
        <v>1.7072480763882449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205"/>
      <c r="G128" s="205"/>
      <c r="H128" s="206"/>
      <c r="I128" s="342"/>
      <c r="J128" s="531"/>
      <c r="K128" s="531"/>
      <c r="M128" s="364"/>
      <c r="N128" s="359"/>
    </row>
    <row r="129" spans="1:14" s="167" customFormat="1">
      <c r="A129" s="169"/>
      <c r="B129" s="163" t="s">
        <v>232</v>
      </c>
      <c r="C129" s="490">
        <f>'[26]Sch C'!D130</f>
        <v>0</v>
      </c>
      <c r="D129" s="490">
        <f>'[26]Sch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7"/>
      <c r="J129" s="489"/>
      <c r="K129" s="489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490">
        <f>'[26]Sch C'!D131</f>
        <v>0</v>
      </c>
      <c r="D130" s="490">
        <f>'[26]Sch C'!F131</f>
        <v>32721.269999999997</v>
      </c>
      <c r="E130" s="171">
        <f t="shared" si="35"/>
        <v>32721.269999999997</v>
      </c>
      <c r="F130" s="171"/>
      <c r="G130" s="171">
        <f>E130+F130</f>
        <v>32721.269999999997</v>
      </c>
      <c r="H130" s="172">
        <f>IF($G$208=0,0,G130/$G$208)</f>
        <v>7.1979980346268419E-3</v>
      </c>
      <c r="I130" s="337"/>
      <c r="J130" s="489"/>
      <c r="K130" s="489"/>
      <c r="M130" s="364">
        <f t="shared" si="34"/>
        <v>1.5166992676369704</v>
      </c>
      <c r="N130" s="359">
        <f>SUMMARY!J133</f>
        <v>1.0792348507966931</v>
      </c>
    </row>
    <row r="131" spans="1:14" s="167" customFormat="1">
      <c r="B131" s="163" t="s">
        <v>195</v>
      </c>
      <c r="C131" s="490">
        <f>'[26]Sch C'!D132</f>
        <v>0</v>
      </c>
      <c r="D131" s="490">
        <f>'[26]Sch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7"/>
      <c r="J131" s="527"/>
      <c r="K131" s="527"/>
      <c r="M131" s="364">
        <f t="shared" si="34"/>
        <v>0</v>
      </c>
      <c r="N131" s="359">
        <f>SUMMARY!J134</f>
        <v>8.2765628075518377E-2</v>
      </c>
    </row>
    <row r="132" spans="1:14" s="167" customFormat="1">
      <c r="B132" s="163" t="s">
        <v>196</v>
      </c>
      <c r="C132" s="490">
        <f>'[26]Sch C'!D133</f>
        <v>0</v>
      </c>
      <c r="D132" s="490">
        <f>'[26]Sch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7"/>
      <c r="J132" s="527"/>
      <c r="K132" s="527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490">
        <f>'[26]Sch C'!D134</f>
        <v>0</v>
      </c>
      <c r="D133" s="490">
        <f>'[26]Sch C'!F134</f>
        <v>5547.11</v>
      </c>
      <c r="E133" s="171">
        <f t="shared" si="35"/>
        <v>5547.11</v>
      </c>
      <c r="F133" s="171"/>
      <c r="G133" s="171">
        <f>E133+F133</f>
        <v>5547.11</v>
      </c>
      <c r="H133" s="172">
        <f>IF($G$208=0,0,G133/$G$208)</f>
        <v>1.220248690770832E-3</v>
      </c>
      <c r="I133" s="337"/>
      <c r="J133" s="527"/>
      <c r="K133" s="527"/>
      <c r="M133" s="364">
        <f t="shared" si="34"/>
        <v>0.25712014461852228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7"/>
      <c r="J134" s="489"/>
      <c r="K134" s="489"/>
      <c r="M134" s="364"/>
      <c r="N134" s="359"/>
    </row>
    <row r="135" spans="1:14" s="167" customFormat="1">
      <c r="A135" s="169"/>
      <c r="B135" s="163" t="s">
        <v>194</v>
      </c>
      <c r="C135" s="490">
        <f>'[26]Sch C'!D136</f>
        <v>344724</v>
      </c>
      <c r="D135" s="490">
        <f>'[26]Sch C'!F136</f>
        <v>15445.52</v>
      </c>
      <c r="E135" s="171">
        <f t="shared" ref="E135:E138" si="36">C135+D135</f>
        <v>360169.52</v>
      </c>
      <c r="F135" s="171"/>
      <c r="G135" s="171">
        <f>E135+F135</f>
        <v>360169.52</v>
      </c>
      <c r="H135" s="172">
        <f>IF($G$208=0,0,G135/$G$208)</f>
        <v>7.9229794475962984E-2</v>
      </c>
      <c r="I135" s="337"/>
      <c r="J135" s="488">
        <v>12979.65</v>
      </c>
      <c r="K135" s="488">
        <v>13534.31</v>
      </c>
      <c r="M135" s="364">
        <f t="shared" si="34"/>
        <v>16.694610178919071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490">
        <f>'[26]Sch C'!D137</f>
        <v>85677</v>
      </c>
      <c r="D136" s="490">
        <f>'[26]Sch C'!F137</f>
        <v>6971.19</v>
      </c>
      <c r="E136" s="171">
        <f t="shared" si="36"/>
        <v>92648.19</v>
      </c>
      <c r="F136" s="171"/>
      <c r="G136" s="171">
        <f>E136+F136</f>
        <v>92648.19</v>
      </c>
      <c r="H136" s="172">
        <f>IF($G$208=0,0,G136/$G$208)</f>
        <v>2.0380672557383447E-2</v>
      </c>
      <c r="I136" s="337"/>
      <c r="J136" s="488">
        <v>3543.75</v>
      </c>
      <c r="K136" s="488">
        <v>3803.56</v>
      </c>
      <c r="M136" s="364">
        <f t="shared" si="34"/>
        <v>4.2944372856215818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490">
        <f>'[26]Sch C'!D138</f>
        <v>486365</v>
      </c>
      <c r="D137" s="490">
        <f>'[26]Sch C'!F138</f>
        <v>30919.82</v>
      </c>
      <c r="E137" s="171">
        <f t="shared" si="36"/>
        <v>517284.82</v>
      </c>
      <c r="F137" s="171"/>
      <c r="G137" s="171">
        <f>E137+F137</f>
        <v>517284.82</v>
      </c>
      <c r="H137" s="172">
        <f>IF($G$208=0,0,G137/$G$208)</f>
        <v>0.11379188881428808</v>
      </c>
      <c r="I137" s="337"/>
      <c r="J137" s="488">
        <v>42060.5</v>
      </c>
      <c r="K137" s="488">
        <v>44640.13</v>
      </c>
      <c r="M137" s="364">
        <f t="shared" si="34"/>
        <v>23.977232780198388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490">
        <f>'[26]Sch C'!D139</f>
        <v>0</v>
      </c>
      <c r="D138" s="490">
        <f>'[26]Sch C'!F139</f>
        <v>0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7"/>
      <c r="J138" s="488">
        <v>0</v>
      </c>
      <c r="K138" s="488">
        <v>0</v>
      </c>
      <c r="M138" s="364">
        <f t="shared" si="34"/>
        <v>0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7"/>
      <c r="J139" s="532"/>
      <c r="K139" s="532"/>
      <c r="M139" s="364"/>
      <c r="N139" s="359"/>
    </row>
    <row r="140" spans="1:14" s="167" customFormat="1">
      <c r="A140" s="169"/>
      <c r="B140" s="163" t="s">
        <v>194</v>
      </c>
      <c r="C140" s="490">
        <f>'[26]Sch C'!D141</f>
        <v>0</v>
      </c>
      <c r="D140" s="490">
        <f>'[26]Sch C'!F141</f>
        <v>54268.98</v>
      </c>
      <c r="E140" s="171">
        <f t="shared" ref="E140:E143" si="37">C140+D140</f>
        <v>54268.98</v>
      </c>
      <c r="F140" s="171"/>
      <c r="G140" s="171">
        <f>E140+F140</f>
        <v>54268.98</v>
      </c>
      <c r="H140" s="172">
        <f>IF($G$208=0,0,G140/$G$208)</f>
        <v>1.1938045539833981E-2</v>
      </c>
      <c r="I140" s="337"/>
      <c r="J140" s="527"/>
      <c r="K140" s="527"/>
      <c r="M140" s="364">
        <f t="shared" si="34"/>
        <v>2.5154806711782705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490">
        <f>'[26]Sch C'!D142</f>
        <v>0</v>
      </c>
      <c r="D141" s="490">
        <f>'[26]Sch C'!F142</f>
        <v>13487.9</v>
      </c>
      <c r="E141" s="171">
        <f t="shared" si="37"/>
        <v>13487.9</v>
      </c>
      <c r="F141" s="171"/>
      <c r="G141" s="171">
        <f>E141+F141</f>
        <v>13487.9</v>
      </c>
      <c r="H141" s="172">
        <f>IF($G$208=0,0,G141/$G$208)</f>
        <v>2.9670571371845709E-3</v>
      </c>
      <c r="I141" s="337"/>
      <c r="J141" s="527"/>
      <c r="K141" s="527"/>
      <c r="M141" s="364">
        <f t="shared" si="34"/>
        <v>0.62519236117548904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490">
        <f>'[26]Sch C'!D143</f>
        <v>0</v>
      </c>
      <c r="D142" s="490">
        <f>'[26]Sch C'!F143</f>
        <v>76567.14</v>
      </c>
      <c r="E142" s="171">
        <f t="shared" si="37"/>
        <v>76567.14</v>
      </c>
      <c r="F142" s="171"/>
      <c r="G142" s="171">
        <f>E142+F142</f>
        <v>76567.14</v>
      </c>
      <c r="H142" s="172">
        <f>IF($G$208=0,0,G142/$G$208)</f>
        <v>1.6843176418182983E-2</v>
      </c>
      <c r="I142" s="337"/>
      <c r="J142" s="527"/>
      <c r="K142" s="527"/>
      <c r="M142" s="364">
        <f t="shared" si="34"/>
        <v>3.5490470010197459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490">
        <f>'[26]Sch C'!D144</f>
        <v>0</v>
      </c>
      <c r="D143" s="490">
        <f>'[26]Sch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7"/>
      <c r="J143" s="527"/>
      <c r="K143" s="527"/>
      <c r="M143" s="364">
        <f t="shared" si="34"/>
        <v>0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7"/>
      <c r="J144" s="489"/>
      <c r="K144" s="489"/>
      <c r="M144" s="364"/>
      <c r="N144" s="359"/>
    </row>
    <row r="145" spans="1:14" s="167" customFormat="1">
      <c r="A145" s="169"/>
      <c r="B145" s="163" t="s">
        <v>232</v>
      </c>
      <c r="C145" s="490">
        <f>'[26]Sch C'!D146</f>
        <v>0</v>
      </c>
      <c r="D145" s="490">
        <f>'[26]Sch C'!F146</f>
        <v>0</v>
      </c>
      <c r="E145" s="171">
        <f t="shared" ref="E145:E153" si="38">C145+D145</f>
        <v>0</v>
      </c>
      <c r="F145" s="171"/>
      <c r="G145" s="171">
        <f t="shared" ref="G145:G153" si="39">E145+F145</f>
        <v>0</v>
      </c>
      <c r="H145" s="172">
        <f t="shared" ref="H145:H153" si="40">IF($G$208=0,0,G145/$G$208)</f>
        <v>0</v>
      </c>
      <c r="I145" s="337"/>
      <c r="J145" s="488">
        <v>0</v>
      </c>
      <c r="K145" s="488">
        <v>0</v>
      </c>
      <c r="M145" s="364">
        <f t="shared" si="34"/>
        <v>0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490">
        <f>'[26]Sch C'!D147</f>
        <v>0</v>
      </c>
      <c r="D146" s="490">
        <f>'[26]Sch C'!F147</f>
        <v>43289</v>
      </c>
      <c r="E146" s="171">
        <f t="shared" si="38"/>
        <v>43289</v>
      </c>
      <c r="F146" s="171"/>
      <c r="G146" s="171">
        <f t="shared" si="39"/>
        <v>43289</v>
      </c>
      <c r="H146" s="172">
        <f t="shared" si="40"/>
        <v>9.5226785794365991E-3</v>
      </c>
      <c r="I146" s="337"/>
      <c r="J146" s="488">
        <v>0</v>
      </c>
      <c r="K146" s="488">
        <v>860</v>
      </c>
      <c r="M146" s="364">
        <f t="shared" si="34"/>
        <v>2.0065356447575784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490">
        <f>'[26]Sch C'!D148</f>
        <v>0</v>
      </c>
      <c r="D147" s="490">
        <f>'[26]Sch C'!F148</f>
        <v>34630</v>
      </c>
      <c r="E147" s="171">
        <f t="shared" si="38"/>
        <v>34630</v>
      </c>
      <c r="F147" s="171"/>
      <c r="G147" s="171">
        <f t="shared" si="39"/>
        <v>34630</v>
      </c>
      <c r="H147" s="172">
        <f t="shared" si="40"/>
        <v>7.6178788885372592E-3</v>
      </c>
      <c r="I147" s="337"/>
      <c r="J147" s="488">
        <v>0</v>
      </c>
      <c r="K147" s="488">
        <v>954</v>
      </c>
      <c r="M147" s="364">
        <f t="shared" si="34"/>
        <v>1.6051728932974878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490">
        <f>'[26]Sch C'!D149</f>
        <v>140256</v>
      </c>
      <c r="D148" s="490">
        <f>'[26]Sch C'!F149</f>
        <v>-77919</v>
      </c>
      <c r="E148" s="171">
        <f t="shared" si="38"/>
        <v>62337</v>
      </c>
      <c r="F148" s="171"/>
      <c r="G148" s="171">
        <f t="shared" si="39"/>
        <v>62337</v>
      </c>
      <c r="H148" s="172">
        <f t="shared" si="40"/>
        <v>1.3712841936897115E-2</v>
      </c>
      <c r="I148" s="337"/>
      <c r="J148" s="488">
        <v>0</v>
      </c>
      <c r="K148" s="488">
        <v>4315</v>
      </c>
      <c r="M148" s="364">
        <f t="shared" si="34"/>
        <v>2.8894502642069155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490">
        <f>'[26]Sch C'!D150</f>
        <v>1970</v>
      </c>
      <c r="D149" s="490">
        <f>'[26]Sch C'!F150</f>
        <v>0</v>
      </c>
      <c r="E149" s="171">
        <f t="shared" si="38"/>
        <v>1970</v>
      </c>
      <c r="F149" s="171"/>
      <c r="G149" s="171">
        <f t="shared" si="39"/>
        <v>1970</v>
      </c>
      <c r="H149" s="172">
        <f t="shared" si="40"/>
        <v>4.333589780657927E-4</v>
      </c>
      <c r="I149" s="337"/>
      <c r="J149" s="488">
        <v>0</v>
      </c>
      <c r="K149" s="488">
        <v>0</v>
      </c>
      <c r="M149" s="364">
        <f t="shared" si="34"/>
        <v>9.1313618244182812E-2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490">
        <f>'[26]Sch C'!D151</f>
        <v>134346</v>
      </c>
      <c r="D150" s="490">
        <f>'[26]Sch C'!F151</f>
        <v>0</v>
      </c>
      <c r="E150" s="171">
        <f t="shared" si="38"/>
        <v>134346</v>
      </c>
      <c r="F150" s="171"/>
      <c r="G150" s="171">
        <f t="shared" si="39"/>
        <v>134346</v>
      </c>
      <c r="H150" s="172">
        <f t="shared" si="40"/>
        <v>2.9553322470673594E-2</v>
      </c>
      <c r="I150" s="337"/>
      <c r="J150" s="527"/>
      <c r="K150" s="527"/>
      <c r="M150" s="364">
        <f t="shared" si="34"/>
        <v>6.2272179475294331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490">
        <f>'[26]Sch C'!D152</f>
        <v>2703</v>
      </c>
      <c r="D151" s="490">
        <f>'[26]Sch C'!F152</f>
        <v>0</v>
      </c>
      <c r="E151" s="171">
        <f t="shared" si="38"/>
        <v>2703</v>
      </c>
      <c r="F151" s="171"/>
      <c r="G151" s="171">
        <f t="shared" si="39"/>
        <v>2703</v>
      </c>
      <c r="H151" s="172">
        <f t="shared" si="40"/>
        <v>5.9460371457453688E-4</v>
      </c>
      <c r="I151" s="337"/>
      <c r="J151" s="527"/>
      <c r="K151" s="527"/>
      <c r="M151" s="364">
        <f t="shared" si="34"/>
        <v>0.12528970056549552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490">
        <f>'[26]Sch C'!D153</f>
        <v>5438</v>
      </c>
      <c r="D152" s="490">
        <f>'[26]Sch C'!F153</f>
        <v>0</v>
      </c>
      <c r="E152" s="171">
        <f t="shared" si="38"/>
        <v>5438</v>
      </c>
      <c r="F152" s="171"/>
      <c r="G152" s="171">
        <f t="shared" si="39"/>
        <v>5438</v>
      </c>
      <c r="H152" s="172">
        <f t="shared" si="40"/>
        <v>1.1962467628029343E-3</v>
      </c>
      <c r="I152" s="337"/>
      <c r="J152" s="527"/>
      <c r="K152" s="527"/>
      <c r="M152" s="364">
        <f t="shared" si="34"/>
        <v>0.25206266802632799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490">
        <f>'[26]Sch C'!D154</f>
        <v>0</v>
      </c>
      <c r="D153" s="490">
        <f>'[26]Sch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7"/>
      <c r="J153" s="527"/>
      <c r="K153" s="527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210"/>
      <c r="G154" s="210"/>
      <c r="H154" s="211"/>
      <c r="I154" s="337"/>
      <c r="J154" s="527"/>
      <c r="K154" s="527"/>
      <c r="M154" s="364"/>
      <c r="N154" s="359"/>
    </row>
    <row r="155" spans="1:14" s="167" customFormat="1">
      <c r="A155" s="169">
        <v>440.1</v>
      </c>
      <c r="B155" s="163" t="s">
        <v>223</v>
      </c>
      <c r="C155" s="490">
        <f>'[26]Sch C'!D156</f>
        <v>0</v>
      </c>
      <c r="D155" s="490">
        <f>'[26]Sch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527"/>
      <c r="K155" s="527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490">
        <f>'[26]Sch C'!D157</f>
        <v>0</v>
      </c>
      <c r="D156" s="490">
        <f>'[26]Sch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7"/>
      <c r="J156" s="527"/>
      <c r="K156" s="527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490">
        <f>'[26]Sch C'!D158</f>
        <v>0</v>
      </c>
      <c r="D157" s="490">
        <f>'[26]Sch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7"/>
      <c r="J157" s="527"/>
      <c r="K157" s="527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490">
        <f>'[26]Sch C'!D159</f>
        <v>0</v>
      </c>
      <c r="D158" s="490">
        <f>'[26]Sch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7"/>
      <c r="J158" s="527"/>
      <c r="K158" s="527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490">
        <f>'[26]Sch C'!D160</f>
        <v>0</v>
      </c>
      <c r="D159" s="490">
        <f>'[26]Sch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7"/>
      <c r="J159" s="527"/>
      <c r="K159" s="527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490">
        <f>'[26]Sch C'!D161</f>
        <v>2560</v>
      </c>
      <c r="D160" s="490">
        <f>'[26]Sch C'!F161</f>
        <v>0</v>
      </c>
      <c r="E160" s="171">
        <f t="shared" si="41"/>
        <v>2560</v>
      </c>
      <c r="F160" s="171"/>
      <c r="G160" s="171">
        <f t="shared" si="42"/>
        <v>2560</v>
      </c>
      <c r="H160" s="172">
        <f t="shared" si="43"/>
        <v>5.6314669230884734E-4</v>
      </c>
      <c r="I160" s="337"/>
      <c r="J160" s="527"/>
      <c r="K160" s="527"/>
      <c r="M160" s="364">
        <f t="shared" si="34"/>
        <v>0.11866135162695837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490">
        <f>SUM(C123:C160)</f>
        <v>1486525</v>
      </c>
      <c r="D161" s="490">
        <f>SUM(D123:D160)</f>
        <v>250929</v>
      </c>
      <c r="E161" s="171">
        <f t="shared" ref="E161:F161" si="44">SUM(E123:E160)</f>
        <v>1737453.9999999998</v>
      </c>
      <c r="F161" s="171">
        <f t="shared" si="44"/>
        <v>0</v>
      </c>
      <c r="G161" s="171">
        <f>SUM(G123:G160)</f>
        <v>1737453.9999999998</v>
      </c>
      <c r="H161" s="172">
        <f t="shared" si="43"/>
        <v>0.38220370044483432</v>
      </c>
      <c r="I161" s="337"/>
      <c r="J161" s="527"/>
      <c r="K161" s="527"/>
      <c r="M161" s="364">
        <f>G161/G$228</f>
        <v>80.534625011588005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337"/>
      <c r="J162" s="527"/>
      <c r="K162" s="527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7"/>
      <c r="J163" s="527"/>
      <c r="K163" s="527"/>
      <c r="M163" s="359"/>
      <c r="N163" s="359"/>
    </row>
    <row r="164" spans="1:17" s="221" customFormat="1">
      <c r="A164" s="215" t="s">
        <v>95</v>
      </c>
      <c r="B164" s="148" t="s">
        <v>102</v>
      </c>
      <c r="C164" s="490">
        <f>'[26]Sch C'!D175</f>
        <v>0</v>
      </c>
      <c r="D164" s="490">
        <f>'[26]Sch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488">
        <v>0</v>
      </c>
      <c r="K164" s="488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490">
        <f>'[26]Sch C'!D176</f>
        <v>0</v>
      </c>
      <c r="D165" s="490">
        <f>'[26]Sch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4"/>
      <c r="J165" s="533"/>
      <c r="K165" s="533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490">
        <f>'[26]Sch C'!D177</f>
        <v>0</v>
      </c>
      <c r="D166" s="490">
        <f>'[26]Sch C'!F177</f>
        <v>0</v>
      </c>
      <c r="E166" s="171">
        <f t="shared" si="45"/>
        <v>0</v>
      </c>
      <c r="F166" s="216"/>
      <c r="G166" s="171">
        <f t="shared" si="46"/>
        <v>0</v>
      </c>
      <c r="H166" s="172">
        <f t="shared" si="47"/>
        <v>0</v>
      </c>
      <c r="I166" s="343"/>
      <c r="J166" s="488">
        <v>0</v>
      </c>
      <c r="K166" s="488">
        <v>0</v>
      </c>
      <c r="L166" s="218"/>
      <c r="M166" s="364">
        <f t="shared" si="48"/>
        <v>0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490">
        <f>'[26]Sch C'!D178</f>
        <v>0</v>
      </c>
      <c r="D167" s="490">
        <f>'[26]Sch C'!F178</f>
        <v>0</v>
      </c>
      <c r="E167" s="171">
        <f t="shared" si="45"/>
        <v>0</v>
      </c>
      <c r="F167" s="216"/>
      <c r="G167" s="171">
        <f t="shared" si="46"/>
        <v>0</v>
      </c>
      <c r="H167" s="172">
        <f t="shared" si="47"/>
        <v>0</v>
      </c>
      <c r="I167" s="344"/>
      <c r="J167" s="533"/>
      <c r="K167" s="533"/>
      <c r="L167" s="218"/>
      <c r="M167" s="364">
        <f t="shared" si="48"/>
        <v>0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490">
        <f>'[26]Sch C'!D179</f>
        <v>0</v>
      </c>
      <c r="D168" s="490">
        <f>'[26]Sch C'!F179</f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343"/>
      <c r="J168" s="488">
        <v>0</v>
      </c>
      <c r="K168" s="488">
        <v>0</v>
      </c>
      <c r="L168" s="218"/>
      <c r="M168" s="364">
        <f t="shared" si="48"/>
        <v>0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490">
        <f>'[26]Sch C'!D180</f>
        <v>0</v>
      </c>
      <c r="D169" s="490">
        <f>'[26]Sch C'!F180</f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344"/>
      <c r="J169" s="533"/>
      <c r="K169" s="533"/>
      <c r="L169" s="218"/>
      <c r="M169" s="364">
        <f t="shared" si="48"/>
        <v>0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490">
        <f>'[26]Sch C'!D181</f>
        <v>0</v>
      </c>
      <c r="D170" s="490">
        <f>'[26]Sch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3"/>
      <c r="J170" s="488">
        <v>0</v>
      </c>
      <c r="K170" s="488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490">
        <f>'[26]Sch C'!D182</f>
        <v>0</v>
      </c>
      <c r="D171" s="490">
        <f>'[26]Sch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4"/>
      <c r="J171" s="533"/>
      <c r="K171" s="533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490">
        <f>'[26]Sch C'!D183</f>
        <v>0</v>
      </c>
      <c r="D172" s="490">
        <f>'[26]Sch C'!F183</f>
        <v>0</v>
      </c>
      <c r="E172" s="171">
        <f t="shared" si="45"/>
        <v>0</v>
      </c>
      <c r="F172" s="216"/>
      <c r="G172" s="171">
        <f t="shared" si="46"/>
        <v>0</v>
      </c>
      <c r="H172" s="172">
        <f t="shared" si="47"/>
        <v>0</v>
      </c>
      <c r="I172" s="343"/>
      <c r="J172" s="488">
        <v>0</v>
      </c>
      <c r="K172" s="488">
        <v>0</v>
      </c>
      <c r="L172" s="218"/>
      <c r="M172" s="364">
        <f t="shared" si="48"/>
        <v>0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490">
        <f>'[26]Sch C'!D184</f>
        <v>0</v>
      </c>
      <c r="D173" s="490">
        <f>'[26]Sch C'!F184</f>
        <v>0</v>
      </c>
      <c r="E173" s="171">
        <f t="shared" si="45"/>
        <v>0</v>
      </c>
      <c r="F173" s="216"/>
      <c r="G173" s="171">
        <f t="shared" si="46"/>
        <v>0</v>
      </c>
      <c r="H173" s="172">
        <f t="shared" si="47"/>
        <v>0</v>
      </c>
      <c r="I173" s="344"/>
      <c r="J173" s="533"/>
      <c r="K173" s="533"/>
      <c r="L173" s="218"/>
      <c r="M173" s="364">
        <f t="shared" si="48"/>
        <v>0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490">
        <f>'[26]Sch C'!D185</f>
        <v>0</v>
      </c>
      <c r="D174" s="490">
        <f>'[26]Sch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3"/>
      <c r="J174" s="488">
        <v>0</v>
      </c>
      <c r="K174" s="488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490">
        <f>'[26]Sch C'!D186</f>
        <v>0</v>
      </c>
      <c r="D175" s="490">
        <f>'[26]Sch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7"/>
      <c r="J175" s="534"/>
      <c r="K175" s="535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490">
        <f>'[26]Sch C'!D187</f>
        <v>0</v>
      </c>
      <c r="D176" s="490">
        <f>'[26]Sch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7"/>
      <c r="J176" s="534"/>
      <c r="K176" s="535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490">
        <f>'[26]Sch C'!D188</f>
        <v>165</v>
      </c>
      <c r="D177" s="490">
        <f>'[26]Sch C'!F188</f>
        <v>0</v>
      </c>
      <c r="E177" s="171">
        <f t="shared" si="45"/>
        <v>165</v>
      </c>
      <c r="F177" s="216"/>
      <c r="G177" s="171">
        <f t="shared" si="46"/>
        <v>165</v>
      </c>
      <c r="H177" s="172">
        <f t="shared" si="47"/>
        <v>3.6296564152718674E-5</v>
      </c>
      <c r="I177" s="337"/>
      <c r="J177" s="534"/>
      <c r="K177" s="535"/>
      <c r="L177" s="220"/>
      <c r="M177" s="364">
        <f t="shared" si="48"/>
        <v>7.6480949290813017E-3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490">
        <f>'[26]Sch C'!D189</f>
        <v>0</v>
      </c>
      <c r="D178" s="490">
        <f>'[26]Sch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337"/>
      <c r="J178" s="534"/>
      <c r="K178" s="535"/>
      <c r="L178" s="220"/>
      <c r="M178" s="364">
        <f t="shared" si="48"/>
        <v>0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490">
        <f>'[26]Sch C'!D190</f>
        <v>0</v>
      </c>
      <c r="D179" s="490">
        <f>'[26]Sch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7"/>
      <c r="J179" s="534"/>
      <c r="K179" s="535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490">
        <f>'[26]Sch C'!D191</f>
        <v>0</v>
      </c>
      <c r="D180" s="490">
        <f>'[26]Sch C'!F191</f>
        <v>0</v>
      </c>
      <c r="E180" s="171">
        <f t="shared" si="45"/>
        <v>0</v>
      </c>
      <c r="F180" s="216"/>
      <c r="G180" s="171">
        <f t="shared" si="46"/>
        <v>0</v>
      </c>
      <c r="H180" s="172">
        <f t="shared" si="47"/>
        <v>0</v>
      </c>
      <c r="I180" s="337"/>
      <c r="J180" s="534"/>
      <c r="K180" s="535"/>
      <c r="L180" s="220"/>
      <c r="M180" s="364">
        <f t="shared" si="48"/>
        <v>0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490">
        <f>'[26]Sch C'!D192</f>
        <v>0</v>
      </c>
      <c r="D181" s="490">
        <f>'[26]Sch C'!F192</f>
        <v>0</v>
      </c>
      <c r="E181" s="171">
        <f t="shared" si="45"/>
        <v>0</v>
      </c>
      <c r="F181" s="216"/>
      <c r="G181" s="171">
        <f t="shared" si="46"/>
        <v>0</v>
      </c>
      <c r="H181" s="172">
        <f t="shared" si="47"/>
        <v>0</v>
      </c>
      <c r="I181" s="337"/>
      <c r="J181" s="534"/>
      <c r="K181" s="535"/>
      <c r="L181" s="220"/>
      <c r="M181" s="364">
        <f t="shared" si="48"/>
        <v>0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490">
        <f>'[26]Sch C'!D193</f>
        <v>0</v>
      </c>
      <c r="D182" s="490">
        <f>'[26]Sch C'!F193</f>
        <v>0</v>
      </c>
      <c r="E182" s="171">
        <f t="shared" si="45"/>
        <v>0</v>
      </c>
      <c r="F182" s="216"/>
      <c r="G182" s="171">
        <f t="shared" si="46"/>
        <v>0</v>
      </c>
      <c r="H182" s="172">
        <f t="shared" si="47"/>
        <v>0</v>
      </c>
      <c r="I182" s="337"/>
      <c r="J182" s="534"/>
      <c r="K182" s="535"/>
      <c r="L182" s="220"/>
      <c r="M182" s="364">
        <f t="shared" si="48"/>
        <v>0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490">
        <f>'[26]Sch C'!D194</f>
        <v>214767</v>
      </c>
      <c r="D183" s="490">
        <f>'[26]Sch C'!F194</f>
        <v>0</v>
      </c>
      <c r="E183" s="171">
        <f t="shared" si="45"/>
        <v>214767</v>
      </c>
      <c r="F183" s="216"/>
      <c r="G183" s="171">
        <f t="shared" si="46"/>
        <v>214767</v>
      </c>
      <c r="H183" s="172">
        <f t="shared" si="47"/>
        <v>4.7244267838708678E-2</v>
      </c>
      <c r="I183" s="337"/>
      <c r="J183" s="534"/>
      <c r="K183" s="535"/>
      <c r="M183" s="364">
        <f t="shared" si="48"/>
        <v>9.9548994159636592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490">
        <f>'[26]Sch C'!D195</f>
        <v>36552</v>
      </c>
      <c r="D184" s="490">
        <f>'[26]Sch C'!F195</f>
        <v>0</v>
      </c>
      <c r="E184" s="171">
        <f t="shared" si="45"/>
        <v>36552</v>
      </c>
      <c r="F184" s="216"/>
      <c r="G184" s="171">
        <f t="shared" si="46"/>
        <v>36552</v>
      </c>
      <c r="H184" s="172">
        <f t="shared" si="47"/>
        <v>8.0406788661222615E-3</v>
      </c>
      <c r="I184" s="337"/>
      <c r="J184" s="534"/>
      <c r="K184" s="535"/>
      <c r="M184" s="364">
        <f t="shared" si="48"/>
        <v>1.694261611198665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490">
        <f>'[26]Sch C'!D196</f>
        <v>0</v>
      </c>
      <c r="D185" s="490">
        <f>'[26]Sch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7"/>
      <c r="J185" s="534"/>
      <c r="K185" s="535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490">
        <f>'[26]Sch C'!D197</f>
        <v>131717</v>
      </c>
      <c r="D186" s="490">
        <f>'[26]Sch C'!F197</f>
        <v>0</v>
      </c>
      <c r="E186" s="171">
        <f t="shared" si="45"/>
        <v>131717</v>
      </c>
      <c r="F186" s="216"/>
      <c r="G186" s="171">
        <f t="shared" si="46"/>
        <v>131717</v>
      </c>
      <c r="H186" s="172">
        <f t="shared" si="47"/>
        <v>2.897499721517361E-2</v>
      </c>
      <c r="I186" s="337"/>
      <c r="J186" s="534"/>
      <c r="K186" s="535"/>
      <c r="M186" s="364">
        <f t="shared" si="48"/>
        <v>6.1053583016594049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490">
        <f>'[26]Sch C'!D198</f>
        <v>22427</v>
      </c>
      <c r="D187" s="490">
        <f>'[26]Sch C'!F198</f>
        <v>0</v>
      </c>
      <c r="E187" s="171">
        <f t="shared" si="45"/>
        <v>22427</v>
      </c>
      <c r="F187" s="216"/>
      <c r="G187" s="171">
        <f t="shared" si="46"/>
        <v>22427</v>
      </c>
      <c r="H187" s="172">
        <f t="shared" si="47"/>
        <v>4.933472995472859E-3</v>
      </c>
      <c r="I187" s="337"/>
      <c r="J187" s="534"/>
      <c r="K187" s="535"/>
      <c r="M187" s="364">
        <f t="shared" si="48"/>
        <v>1.0395383331788264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490">
        <f>'[26]Sch C'!D199</f>
        <v>0</v>
      </c>
      <c r="D188" s="490">
        <f>'[26]Sch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7"/>
      <c r="J188" s="534"/>
      <c r="K188" s="535"/>
      <c r="M188" s="364">
        <f t="shared" si="48"/>
        <v>0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490">
        <f>'[26]Sch C'!D200</f>
        <v>0</v>
      </c>
      <c r="D189" s="490">
        <f>'[26]Sch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7"/>
      <c r="J189" s="534"/>
      <c r="K189" s="535"/>
      <c r="M189" s="364">
        <f t="shared" si="48"/>
        <v>0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490">
        <f>'[26]Sch C'!D201</f>
        <v>0</v>
      </c>
      <c r="D190" s="490">
        <f>'[26]Sch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7"/>
      <c r="J190" s="534"/>
      <c r="K190" s="535"/>
      <c r="M190" s="364">
        <f t="shared" si="48"/>
        <v>0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490">
        <f>'[26]Sch C'!D202</f>
        <v>0</v>
      </c>
      <c r="D191" s="490">
        <f>'[26]Sch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7"/>
      <c r="J191" s="534"/>
      <c r="K191" s="535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490">
        <f>'[26]Sch C'!D203</f>
        <v>0</v>
      </c>
      <c r="D192" s="490">
        <f>'[26]Sch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7"/>
      <c r="J192" s="534"/>
      <c r="K192" s="535"/>
      <c r="M192" s="364">
        <f t="shared" si="48"/>
        <v>0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490">
        <f>'[26]Sch C'!D204</f>
        <v>0</v>
      </c>
      <c r="D193" s="490">
        <f>'[26]Sch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7"/>
      <c r="J193" s="534"/>
      <c r="K193" s="535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490">
        <f>'[26]Sch C'!D205</f>
        <v>197309</v>
      </c>
      <c r="D194" s="490">
        <f>'[26]Sch C'!F205</f>
        <v>0</v>
      </c>
      <c r="E194" s="171">
        <f t="shared" si="45"/>
        <v>197309</v>
      </c>
      <c r="F194" s="216"/>
      <c r="G194" s="171">
        <f t="shared" si="46"/>
        <v>197309</v>
      </c>
      <c r="H194" s="172">
        <f t="shared" si="47"/>
        <v>4.3403871372174357E-2</v>
      </c>
      <c r="I194" s="337"/>
      <c r="J194" s="534"/>
      <c r="K194" s="535"/>
      <c r="M194" s="364">
        <f t="shared" si="48"/>
        <v>9.1456846203763789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490">
        <f>'[26]Sch C'!D206</f>
        <v>0</v>
      </c>
      <c r="D195" s="490">
        <f>'[26]Sch C'!F206</f>
        <v>0</v>
      </c>
      <c r="E195" s="171">
        <f t="shared" si="45"/>
        <v>0</v>
      </c>
      <c r="F195" s="216"/>
      <c r="G195" s="171">
        <f t="shared" si="46"/>
        <v>0</v>
      </c>
      <c r="H195" s="172">
        <f t="shared" si="47"/>
        <v>0</v>
      </c>
      <c r="I195" s="337"/>
      <c r="J195" s="534"/>
      <c r="K195" s="535"/>
      <c r="M195" s="364">
        <f t="shared" si="48"/>
        <v>0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490">
        <f>'[26]Sch C'!D207</f>
        <v>0</v>
      </c>
      <c r="D196" s="490">
        <f>'[26]Sch C'!F207</f>
        <v>0</v>
      </c>
      <c r="E196" s="171">
        <f t="shared" si="45"/>
        <v>0</v>
      </c>
      <c r="F196" s="216"/>
      <c r="G196" s="171">
        <f t="shared" si="46"/>
        <v>0</v>
      </c>
      <c r="H196" s="172">
        <f t="shared" si="47"/>
        <v>0</v>
      </c>
      <c r="I196" s="337"/>
      <c r="J196" s="534"/>
      <c r="K196" s="535"/>
      <c r="M196" s="364">
        <f t="shared" si="48"/>
        <v>0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490">
        <f>SUM(C164:C196)</f>
        <v>602937</v>
      </c>
      <c r="D197" s="490">
        <f>SUM(D164:D196)</f>
        <v>0</v>
      </c>
      <c r="E197" s="171">
        <f t="shared" ref="E197:F197" si="49">SUM(E164:E196)</f>
        <v>602937</v>
      </c>
      <c r="F197" s="171">
        <f t="shared" si="49"/>
        <v>0</v>
      </c>
      <c r="G197" s="171">
        <f>SUM(G164:G196)</f>
        <v>602937</v>
      </c>
      <c r="H197" s="172">
        <f>IF($G$208=0,0,G197/$G$208)</f>
        <v>0.13263358485180449</v>
      </c>
      <c r="I197" s="337"/>
      <c r="J197" s="527"/>
      <c r="K197" s="527"/>
      <c r="M197" s="364">
        <f>G197/G$228</f>
        <v>27.947390377306018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165"/>
      <c r="G198" s="165"/>
      <c r="H198" s="198"/>
      <c r="I198" s="341"/>
      <c r="J198" s="527"/>
      <c r="K198" s="527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1"/>
      <c r="J199" s="527"/>
      <c r="K199" s="527"/>
      <c r="M199" s="359"/>
      <c r="N199" s="359"/>
    </row>
    <row r="200" spans="1:16" s="167" customFormat="1">
      <c r="A200" s="169" t="s">
        <v>85</v>
      </c>
      <c r="B200" s="170" t="s">
        <v>69</v>
      </c>
      <c r="C200" s="490">
        <f>'[26]Sch C'!D211</f>
        <v>119983</v>
      </c>
      <c r="D200" s="490">
        <f>'[26]Sch C'!F211</f>
        <v>-54102.42</v>
      </c>
      <c r="E200" s="171">
        <f t="shared" ref="E200:E205" si="50">C200+D200</f>
        <v>65880.58</v>
      </c>
      <c r="F200" s="171"/>
      <c r="G200" s="171">
        <f t="shared" ref="G200:G205" si="51">E200+F200</f>
        <v>65880.58</v>
      </c>
      <c r="H200" s="172">
        <f t="shared" ref="H200:H206" si="52">IF($G$208=0,0,G200/$G$208)</f>
        <v>1.449235574780797E-2</v>
      </c>
      <c r="I200" s="337"/>
      <c r="J200" s="488">
        <v>5997.46</v>
      </c>
      <c r="K200" s="488">
        <v>6341.3899999999994</v>
      </c>
      <c r="M200" s="364">
        <f t="shared" ref="M200:M205" si="53">G200/G$228</f>
        <v>3.0537026049874849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490">
        <f>'[26]Sch C'!D212</f>
        <v>0</v>
      </c>
      <c r="D201" s="490">
        <f>'[26]Sch C'!F212</f>
        <v>9720</v>
      </c>
      <c r="E201" s="171">
        <f t="shared" si="50"/>
        <v>9720</v>
      </c>
      <c r="F201" s="171"/>
      <c r="G201" s="171">
        <f t="shared" si="51"/>
        <v>9720</v>
      </c>
      <c r="H201" s="172">
        <f t="shared" si="52"/>
        <v>2.1381975973601545E-3</v>
      </c>
      <c r="I201" s="337"/>
      <c r="J201" s="527"/>
      <c r="K201" s="527"/>
      <c r="M201" s="364">
        <f t="shared" si="53"/>
        <v>0.45054231945860757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490">
        <f>'[26]Sch C'!D213</f>
        <v>9411</v>
      </c>
      <c r="D202" s="490">
        <f>'[26]Sch C'!F213</f>
        <v>0</v>
      </c>
      <c r="E202" s="171">
        <f t="shared" si="50"/>
        <v>9411</v>
      </c>
      <c r="F202" s="171"/>
      <c r="G202" s="171">
        <f t="shared" si="51"/>
        <v>9411</v>
      </c>
      <c r="H202" s="172">
        <f t="shared" si="52"/>
        <v>2.0702240317650635E-3</v>
      </c>
      <c r="I202" s="337"/>
      <c r="J202" s="527"/>
      <c r="K202" s="527"/>
      <c r="M202" s="364">
        <f t="shared" si="53"/>
        <v>0.43621952350050985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490">
        <f>'[26]Sch C'!D214</f>
        <v>0</v>
      </c>
      <c r="D203" s="490">
        <f>'[26]Sch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7"/>
      <c r="J203" s="527"/>
      <c r="K203" s="527"/>
      <c r="M203" s="364">
        <f t="shared" si="53"/>
        <v>0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490">
        <f>'[26]Sch C'!D215</f>
        <v>0</v>
      </c>
      <c r="D204" s="490">
        <f>'[26]Sch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7"/>
      <c r="J204" s="527"/>
      <c r="K204" s="527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490">
        <f>'[26]Sch C'!D216</f>
        <v>9802</v>
      </c>
      <c r="D205" s="490">
        <f>'[26]Sch C'!F216</f>
        <v>-7484</v>
      </c>
      <c r="E205" s="171">
        <f t="shared" si="50"/>
        <v>2318</v>
      </c>
      <c r="F205" s="171"/>
      <c r="G205" s="171">
        <f t="shared" si="51"/>
        <v>2318</v>
      </c>
      <c r="H205" s="172">
        <f t="shared" si="52"/>
        <v>5.0991173155152665E-4</v>
      </c>
      <c r="I205" s="337"/>
      <c r="J205" s="527"/>
      <c r="K205" s="527"/>
      <c r="M205" s="364">
        <f t="shared" si="53"/>
        <v>0.10744414573097247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490">
        <f>SUM(C200:C205)</f>
        <v>139196</v>
      </c>
      <c r="D206" s="490">
        <f>SUM(D200:D205)</f>
        <v>-51866.42</v>
      </c>
      <c r="E206" s="171">
        <f t="shared" ref="E206:F206" si="54">SUM(E200:E205)</f>
        <v>87329.58</v>
      </c>
      <c r="F206" s="171">
        <f t="shared" si="54"/>
        <v>0</v>
      </c>
      <c r="G206" s="171">
        <f>SUM(G200:G205)</f>
        <v>87329.58</v>
      </c>
      <c r="H206" s="172">
        <f t="shared" si="52"/>
        <v>1.9210689108484714E-2</v>
      </c>
      <c r="I206" s="337"/>
      <c r="J206" s="527"/>
      <c r="K206" s="527"/>
      <c r="M206" s="364">
        <f>G206/G$228</f>
        <v>4.0479085936775752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490">
        <f>SUM(C25:C206)/2</f>
        <v>4970023</v>
      </c>
      <c r="D208" s="490">
        <f>SUM(D25:D206)/2</f>
        <v>-424138.18</v>
      </c>
      <c r="E208" s="171">
        <f t="shared" ref="E208:F208" si="55">SUM(E25:E206)/2</f>
        <v>4545884.82</v>
      </c>
      <c r="F208" s="171">
        <f t="shared" si="55"/>
        <v>0</v>
      </c>
      <c r="G208" s="171">
        <f>SUM(G25:G206)/2</f>
        <v>4545884.82</v>
      </c>
      <c r="H208" s="172">
        <f>IF($G$208=0,0,G208/$G$208)</f>
        <v>1</v>
      </c>
      <c r="I208" s="337"/>
      <c r="J208" s="183">
        <f>SUM(J25:J200)</f>
        <v>97109.260000000009</v>
      </c>
      <c r="K208" s="183">
        <f>SUM(K25:K200)</f>
        <v>109042.65999999999</v>
      </c>
      <c r="M208" s="364">
        <f>G208/G$228</f>
        <v>210.71126448502829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490">
        <f>'[26]Sch C'!D221</f>
        <v>4970023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490">
        <f>C208-C211</f>
        <v>0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619"/>
      <c r="D213" s="232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490">
        <f>C21-C208</f>
        <v>-283867</v>
      </c>
      <c r="D215" s="490">
        <f>D21-D208</f>
        <v>411469.08</v>
      </c>
      <c r="E215" s="171">
        <f t="shared" ref="E215:F215" si="56">E21-E208</f>
        <v>127602.08000000007</v>
      </c>
      <c r="F215" s="171">
        <f t="shared" si="56"/>
        <v>0</v>
      </c>
      <c r="G215" s="171">
        <f>G21-G208</f>
        <v>127602.08000000007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491">
        <f>'[26]Sch D'!C9</f>
        <v>13611</v>
      </c>
      <c r="D219" s="491"/>
      <c r="E219" s="235">
        <f t="shared" ref="E219:G227" si="57">C219+D219</f>
        <v>13611</v>
      </c>
      <c r="F219" s="234"/>
      <c r="G219" s="235">
        <f t="shared" si="57"/>
        <v>13611</v>
      </c>
      <c r="H219" s="172">
        <f t="shared" ref="H219:H228" si="58">IF($G$228=0,0,G219/$G$228)</f>
        <v>0.63089830351348841</v>
      </c>
      <c r="I219" s="337"/>
      <c r="J219" s="168"/>
      <c r="K219" s="168"/>
    </row>
    <row r="220" spans="1:14">
      <c r="A220" s="163"/>
      <c r="B220" s="170" t="s">
        <v>217</v>
      </c>
      <c r="C220" s="491">
        <f>'[26]Sch D'!D9</f>
        <v>0</v>
      </c>
      <c r="D220" s="491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7"/>
      <c r="J220" s="168"/>
      <c r="K220" s="168"/>
    </row>
    <row r="221" spans="1:14">
      <c r="A221" s="163"/>
      <c r="B221" s="170" t="s">
        <v>72</v>
      </c>
      <c r="C221" s="491">
        <f>'[26]Sch D'!E9</f>
        <v>2717</v>
      </c>
      <c r="D221" s="491"/>
      <c r="E221" s="235">
        <f t="shared" si="59"/>
        <v>2717</v>
      </c>
      <c r="F221" s="234"/>
      <c r="G221" s="235">
        <f t="shared" si="57"/>
        <v>2717</v>
      </c>
      <c r="H221" s="172">
        <f t="shared" si="58"/>
        <v>0.12593862983220544</v>
      </c>
      <c r="I221" s="337"/>
      <c r="J221" s="168"/>
      <c r="K221" s="168"/>
    </row>
    <row r="222" spans="1:14">
      <c r="A222" s="163"/>
      <c r="B222" s="202" t="s">
        <v>334</v>
      </c>
      <c r="C222" s="491">
        <f>'[26]Sch D'!F9</f>
        <v>1048</v>
      </c>
      <c r="D222" s="491"/>
      <c r="E222" s="235">
        <f>C222+D222</f>
        <v>1048</v>
      </c>
      <c r="F222" s="234"/>
      <c r="G222" s="235">
        <f>E222+F222</f>
        <v>1048</v>
      </c>
      <c r="H222" s="172">
        <f t="shared" si="58"/>
        <v>4.8576990822286087E-2</v>
      </c>
      <c r="I222" s="337"/>
      <c r="J222" s="168"/>
      <c r="K222" s="168"/>
    </row>
    <row r="223" spans="1:14">
      <c r="A223" s="163"/>
      <c r="B223" s="170" t="s">
        <v>73</v>
      </c>
      <c r="C223" s="491">
        <f>'[26]Sch D'!G9</f>
        <v>0</v>
      </c>
      <c r="D223" s="491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7"/>
      <c r="J223" s="168"/>
      <c r="K223" s="168"/>
    </row>
    <row r="224" spans="1:14">
      <c r="A224" s="163"/>
      <c r="B224" s="170" t="s">
        <v>74</v>
      </c>
      <c r="C224" s="491">
        <f>'[26]Sch D'!H9</f>
        <v>2571</v>
      </c>
      <c r="D224" s="491"/>
      <c r="E224" s="235">
        <f t="shared" si="59"/>
        <v>2571</v>
      </c>
      <c r="F224" s="234"/>
      <c r="G224" s="235">
        <f t="shared" si="57"/>
        <v>2571</v>
      </c>
      <c r="H224" s="172">
        <f t="shared" si="58"/>
        <v>0.11917122462223047</v>
      </c>
      <c r="I224" s="337"/>
      <c r="J224" s="168"/>
      <c r="K224" s="168"/>
    </row>
    <row r="225" spans="1:11">
      <c r="A225" s="163"/>
      <c r="B225" s="170" t="s">
        <v>236</v>
      </c>
      <c r="C225" s="491">
        <f>'[26]Sch D'!I9</f>
        <v>1627</v>
      </c>
      <c r="D225" s="491"/>
      <c r="E225" s="235">
        <f t="shared" si="59"/>
        <v>1627</v>
      </c>
      <c r="F225" s="234"/>
      <c r="G225" s="235">
        <f t="shared" si="57"/>
        <v>1627</v>
      </c>
      <c r="H225" s="172">
        <f t="shared" si="58"/>
        <v>7.5414851209789566E-2</v>
      </c>
      <c r="I225" s="337"/>
      <c r="J225" s="168"/>
      <c r="K225" s="168"/>
    </row>
    <row r="226" spans="1:11">
      <c r="A226" s="163"/>
      <c r="B226" s="170" t="s">
        <v>235</v>
      </c>
      <c r="C226" s="491">
        <f>'[26]Sch D'!J9</f>
        <v>0</v>
      </c>
      <c r="D226" s="491"/>
      <c r="E226" s="235">
        <f>C226+D226</f>
        <v>0</v>
      </c>
      <c r="F226" s="234"/>
      <c r="G226" s="235">
        <f>E226+F226</f>
        <v>0</v>
      </c>
      <c r="H226" s="172">
        <f t="shared" si="58"/>
        <v>0</v>
      </c>
      <c r="I226" s="337"/>
      <c r="J226" s="168"/>
      <c r="K226" s="168"/>
    </row>
    <row r="227" spans="1:11">
      <c r="A227" s="163"/>
      <c r="B227" s="170" t="s">
        <v>179</v>
      </c>
      <c r="C227" s="491">
        <f>'[26]Sch D'!K9</f>
        <v>0</v>
      </c>
      <c r="D227" s="491"/>
      <c r="E227" s="235">
        <f t="shared" si="59"/>
        <v>0</v>
      </c>
      <c r="F227" s="234"/>
      <c r="G227" s="235">
        <f t="shared" si="57"/>
        <v>0</v>
      </c>
      <c r="H227" s="172">
        <f t="shared" si="58"/>
        <v>0</v>
      </c>
      <c r="I227" s="337"/>
      <c r="J227" s="168"/>
      <c r="K227" s="168"/>
    </row>
    <row r="228" spans="1:11" ht="13.5" thickBot="1">
      <c r="A228" s="163"/>
      <c r="B228" s="236" t="s">
        <v>75</v>
      </c>
      <c r="C228" s="491">
        <f>SUM(C219:C227)</f>
        <v>21574</v>
      </c>
      <c r="D228" s="491">
        <f>SUM(D219:D227)</f>
        <v>0</v>
      </c>
      <c r="E228" s="237">
        <f>SUM(E219:E227)</f>
        <v>21574</v>
      </c>
      <c r="F228" s="237">
        <f>SUM(F219:F227)</f>
        <v>0</v>
      </c>
      <c r="G228" s="237">
        <f>SUM(G219:G227)</f>
        <v>21574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620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619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492">
        <f>'[26]Sch D'!N22</f>
        <v>121</v>
      </c>
      <c r="D231" s="526"/>
      <c r="E231" s="235">
        <f>C231+D231</f>
        <v>121</v>
      </c>
      <c r="F231" s="235"/>
      <c r="G231" s="235">
        <f>E231+F231</f>
        <v>121</v>
      </c>
      <c r="H231" s="167"/>
      <c r="J231" s="168"/>
      <c r="K231" s="168"/>
    </row>
    <row r="232" spans="1:11">
      <c r="A232" s="163"/>
      <c r="B232" s="202" t="s">
        <v>290</v>
      </c>
      <c r="C232" s="492">
        <f>'[26]Sch D'!N24</f>
        <v>121</v>
      </c>
      <c r="D232" s="526"/>
      <c r="E232" s="235">
        <f>C232+D232</f>
        <v>121</v>
      </c>
      <c r="F232" s="235"/>
      <c r="G232" s="235">
        <f>E232+F232</f>
        <v>121</v>
      </c>
      <c r="H232" s="167"/>
      <c r="J232" s="168"/>
      <c r="K232" s="168"/>
    </row>
    <row r="233" spans="1:11">
      <c r="A233" s="163"/>
      <c r="B233" s="202" t="s">
        <v>76</v>
      </c>
      <c r="C233" s="492">
        <f>$C$4-$C$3+1</f>
        <v>365</v>
      </c>
      <c r="D233" s="489"/>
      <c r="E233" s="235">
        <f>C233+D233</f>
        <v>365</v>
      </c>
      <c r="F233" s="240"/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621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492">
        <f>'[26]Sch D'!N28</f>
        <v>44165</v>
      </c>
      <c r="D235" s="489"/>
      <c r="E235" s="234">
        <f>E231*E233</f>
        <v>44165</v>
      </c>
      <c r="F235" s="240"/>
      <c r="G235" s="234">
        <f>G231*G233</f>
        <v>44165</v>
      </c>
      <c r="H235" s="167"/>
      <c r="J235" s="168"/>
      <c r="K235" s="168"/>
    </row>
    <row r="236" spans="1:11" ht="26">
      <c r="A236" s="163"/>
      <c r="B236" s="244" t="s">
        <v>336</v>
      </c>
      <c r="C236" s="493">
        <f>'[26]Sch D'!N30</f>
        <v>0.48848635797577267</v>
      </c>
      <c r="D236" s="240"/>
      <c r="E236" s="245">
        <f>E228/E235</f>
        <v>0.48848635797577267</v>
      </c>
      <c r="F236" s="246"/>
      <c r="G236" s="245">
        <f>G228/G235</f>
        <v>0.48848635797577267</v>
      </c>
      <c r="H236" s="167"/>
      <c r="J236" s="168"/>
      <c r="K236" s="168"/>
    </row>
    <row r="237" spans="1:11" ht="26">
      <c r="A237" s="163"/>
      <c r="B237" s="244" t="s">
        <v>337</v>
      </c>
      <c r="C237" s="493">
        <f>'[26]Sch D'!N32</f>
        <v>0.30818521453639758</v>
      </c>
      <c r="D237" s="240"/>
      <c r="E237" s="245">
        <f>(E219+E220)/E235</f>
        <v>0.30818521453639758</v>
      </c>
      <c r="F237" s="246"/>
      <c r="G237" s="245">
        <f>(G219+G220)/G235</f>
        <v>0.30818521453639758</v>
      </c>
      <c r="H237" s="167"/>
      <c r="J237" s="168"/>
      <c r="K237" s="168"/>
    </row>
    <row r="238" spans="1:11" ht="26">
      <c r="A238" s="163"/>
      <c r="B238" s="244" t="s">
        <v>338</v>
      </c>
      <c r="C238" s="493">
        <f>'[26]Sch D'!N34</f>
        <v>0.63089830351348841</v>
      </c>
      <c r="D238" s="240"/>
      <c r="E238" s="245">
        <f>(E237/E236)</f>
        <v>0.63089830351348841</v>
      </c>
      <c r="F238" s="246"/>
      <c r="G238" s="245">
        <f>(G237/G236)</f>
        <v>0.63089830351348841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490">
        <f>'[26]Sch B'!C85</f>
        <v>182.34848484848484</v>
      </c>
    </row>
    <row r="242" spans="2:7">
      <c r="F242" s="142" t="s">
        <v>341</v>
      </c>
      <c r="G242" s="490">
        <f>'[26]Sch B'!E85</f>
        <v>170.80099502487562</v>
      </c>
    </row>
    <row r="243" spans="2:7">
      <c r="F243" s="142" t="s">
        <v>342</v>
      </c>
      <c r="G243" s="490">
        <f>'[26]Sch B'!G85</f>
        <v>183.13718411552347</v>
      </c>
    </row>
    <row r="244" spans="2:7">
      <c r="F244" s="142" t="s">
        <v>343</v>
      </c>
      <c r="G244" s="490">
        <f>'[26]Sch B'!I85</f>
        <v>184.04792332268372</v>
      </c>
    </row>
    <row r="245" spans="2:7">
      <c r="F245" s="142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" right="0" top="0" bottom="1" header="0.5" footer="0.5"/>
      <printOptions horizontalCentered="1"/>
      <pageSetup scale="70" orientation="portrait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r:id="rId3"/>
  <headerFooter alignWithMargins="0">
    <oddFooter>&amp;R&amp;D
&amp;T
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>
    <tabColor rgb="FFE28CAB"/>
  </sheetPr>
  <dimension ref="A1:Q249"/>
  <sheetViews>
    <sheetView showGridLines="0" zoomScale="90" zoomScaleNormal="90" workbookViewId="0">
      <pane xSplit="2" topLeftCell="C1" activePane="topRight" state="frozen"/>
      <selection activeCell="N1" sqref="N1"/>
      <selection pane="topRight"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662" t="s">
        <v>676</v>
      </c>
      <c r="D1" s="478"/>
      <c r="E1" s="478"/>
      <c r="F1" s="478"/>
      <c r="G1" s="478"/>
      <c r="H1" s="478"/>
      <c r="I1" s="479"/>
    </row>
    <row r="2" spans="1:14" ht="23">
      <c r="B2" s="143" t="s">
        <v>189</v>
      </c>
      <c r="C2" s="485" t="s">
        <v>445</v>
      </c>
      <c r="D2" s="144"/>
    </row>
    <row r="3" spans="1:14">
      <c r="A3" s="145"/>
      <c r="B3" s="140" t="s">
        <v>79</v>
      </c>
      <c r="C3" s="495">
        <v>41821</v>
      </c>
      <c r="D3" s="144"/>
      <c r="E3" s="147"/>
    </row>
    <row r="4" spans="1:14">
      <c r="A4" s="145"/>
      <c r="B4" s="148" t="s">
        <v>80</v>
      </c>
      <c r="C4" s="495">
        <v>42185</v>
      </c>
      <c r="D4" s="144"/>
      <c r="E4" s="149"/>
      <c r="G4" s="150"/>
    </row>
    <row r="5" spans="1:14">
      <c r="A5" s="145"/>
      <c r="B5" s="148"/>
      <c r="C5" s="151"/>
      <c r="D5" s="144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144"/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490">
        <f>'[3]Sch B'!E10</f>
        <v>2163363</v>
      </c>
      <c r="D11" s="490">
        <f>'[3]Sch B'!G10</f>
        <v>0</v>
      </c>
      <c r="E11" s="171">
        <f>C11+D11</f>
        <v>2163363</v>
      </c>
      <c r="F11" s="171"/>
      <c r="G11" s="171">
        <f t="shared" ref="G11:G20" si="0">E11+F11</f>
        <v>2163363</v>
      </c>
      <c r="H11" s="172">
        <f t="shared" ref="H11:H21" si="1">IF($G$21=0,0,G11/$G$21)</f>
        <v>0.359449441775472</v>
      </c>
      <c r="I11" s="337"/>
      <c r="J11" s="368" t="s">
        <v>344</v>
      </c>
      <c r="K11" s="369">
        <f>G21</f>
        <v>6018546</v>
      </c>
      <c r="M11" s="359">
        <f>IFERROR(G11/G219,0)</f>
        <v>184.33563394683026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490">
        <f>'[3]Sch B'!E15</f>
        <v>0</v>
      </c>
      <c r="D12" s="490">
        <f>'[3]Sch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7"/>
      <c r="J12" s="370" t="s">
        <v>345</v>
      </c>
      <c r="K12" s="371">
        <f>G208</f>
        <v>5817523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490">
        <f>'[3]Sch B'!E21</f>
        <v>1432563</v>
      </c>
      <c r="D13" s="490">
        <f>'[3]Sch B'!G21</f>
        <v>0</v>
      </c>
      <c r="E13" s="171">
        <f t="shared" si="2"/>
        <v>1432563</v>
      </c>
      <c r="F13" s="171"/>
      <c r="G13" s="171">
        <f t="shared" si="0"/>
        <v>1432563</v>
      </c>
      <c r="H13" s="172">
        <f t="shared" si="1"/>
        <v>0.23802476544999407</v>
      </c>
      <c r="I13" s="337"/>
      <c r="J13" s="370" t="s">
        <v>346</v>
      </c>
      <c r="K13" s="371">
        <f>G228</f>
        <v>23806</v>
      </c>
      <c r="M13" s="359">
        <f t="shared" si="3"/>
        <v>514.57004310344826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490">
        <f>'[3]Sch B'!E27</f>
        <v>874273</v>
      </c>
      <c r="D14" s="490">
        <f>'[3]Sch B'!G27</f>
        <v>0</v>
      </c>
      <c r="E14" s="171">
        <f t="shared" si="2"/>
        <v>874273</v>
      </c>
      <c r="F14" s="175"/>
      <c r="G14" s="175">
        <f>E14+F14</f>
        <v>874273</v>
      </c>
      <c r="H14" s="176">
        <f t="shared" si="1"/>
        <v>0.14526315824453281</v>
      </c>
      <c r="I14" s="338"/>
      <c r="J14" s="370" t="s">
        <v>347</v>
      </c>
      <c r="K14" s="371">
        <f>G231</f>
        <v>122</v>
      </c>
      <c r="M14" s="359">
        <f t="shared" si="3"/>
        <v>438.67185148018064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490">
        <f>'[3]Sch B'!E32</f>
        <v>0</v>
      </c>
      <c r="D15" s="490">
        <f>'[3]Sch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7"/>
      <c r="J15" s="370" t="s">
        <v>348</v>
      </c>
      <c r="K15" s="371">
        <f>G235</f>
        <v>44530</v>
      </c>
      <c r="M15" s="359">
        <f t="shared" si="3"/>
        <v>0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490">
        <f>'[3]Sch B'!E37</f>
        <v>961128</v>
      </c>
      <c r="D16" s="490">
        <f>'[3]Sch B'!G37</f>
        <v>0</v>
      </c>
      <c r="E16" s="171">
        <f t="shared" si="2"/>
        <v>961128</v>
      </c>
      <c r="F16" s="171"/>
      <c r="G16" s="171">
        <f t="shared" si="0"/>
        <v>961128</v>
      </c>
      <c r="H16" s="172">
        <f t="shared" si="1"/>
        <v>0.15969438465702512</v>
      </c>
      <c r="I16" s="337"/>
      <c r="J16" s="372"/>
      <c r="K16" s="371"/>
      <c r="M16" s="359">
        <f t="shared" si="3"/>
        <v>208.35204855842184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490">
        <f>'[3]Sch B'!E42</f>
        <v>459218</v>
      </c>
      <c r="D17" s="490">
        <f>'[3]Sch B'!G42</f>
        <v>0</v>
      </c>
      <c r="E17" s="171">
        <f t="shared" si="2"/>
        <v>459218</v>
      </c>
      <c r="F17" s="171"/>
      <c r="G17" s="171">
        <f>E17+F17</f>
        <v>459218</v>
      </c>
      <c r="H17" s="172">
        <f t="shared" si="1"/>
        <v>7.6300488523307786E-2</v>
      </c>
      <c r="I17" s="337"/>
      <c r="J17" s="370" t="s">
        <v>156</v>
      </c>
      <c r="K17" s="371">
        <f>J208</f>
        <v>121027</v>
      </c>
      <c r="M17" s="359">
        <f t="shared" si="3"/>
        <v>185.6926809543065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490">
        <f>'[3]Sch B'!E47</f>
        <v>0</v>
      </c>
      <c r="D18" s="490">
        <f>'[3]Sch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337"/>
      <c r="J18" s="373" t="s">
        <v>252</v>
      </c>
      <c r="K18" s="374">
        <f>K208</f>
        <v>141962</v>
      </c>
      <c r="M18" s="359">
        <f t="shared" si="3"/>
        <v>0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490">
        <f>'[3]Sch B'!E52</f>
        <v>65969</v>
      </c>
      <c r="D19" s="490">
        <f>'[3]Sch B'!G52</f>
        <v>0</v>
      </c>
      <c r="E19" s="171">
        <f t="shared" si="2"/>
        <v>65969</v>
      </c>
      <c r="F19" s="171"/>
      <c r="G19" s="171">
        <f t="shared" si="0"/>
        <v>65969</v>
      </c>
      <c r="H19" s="172">
        <f t="shared" si="1"/>
        <v>1.0960953027525254E-2</v>
      </c>
      <c r="I19" s="337"/>
      <c r="J19" s="168"/>
      <c r="K19" s="168"/>
      <c r="M19" s="359">
        <f t="shared" si="3"/>
        <v>318.69082125603865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490">
        <f>'[3]Sch B'!E67</f>
        <v>64967</v>
      </c>
      <c r="D20" s="490">
        <f>'[3]Sch B'!G67</f>
        <v>-2935</v>
      </c>
      <c r="E20" s="171">
        <f t="shared" si="2"/>
        <v>62032</v>
      </c>
      <c r="F20" s="171"/>
      <c r="G20" s="171">
        <f t="shared" si="0"/>
        <v>62032</v>
      </c>
      <c r="H20" s="172">
        <f t="shared" si="1"/>
        <v>1.0306808322142922E-2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490">
        <f>SUM(C11:C20)</f>
        <v>6021481</v>
      </c>
      <c r="D21" s="490">
        <f>SUM(D11:D20)</f>
        <v>-2935</v>
      </c>
      <c r="E21" s="171">
        <f>SUM(E11:E20)</f>
        <v>6018546</v>
      </c>
      <c r="F21" s="171">
        <f>SUM(F11:F20)</f>
        <v>0</v>
      </c>
      <c r="G21" s="171">
        <f>SUM(G11:G20)</f>
        <v>6018546</v>
      </c>
      <c r="H21" s="172">
        <f t="shared" si="1"/>
        <v>1</v>
      </c>
      <c r="I21" s="337"/>
      <c r="J21" s="168"/>
      <c r="K21" s="168"/>
      <c r="M21" s="359">
        <f>IFERROR(G21/G228,0)</f>
        <v>252.81634881962532</v>
      </c>
      <c r="N21" s="359">
        <f>SUMMARY!J24</f>
        <v>264.67475627099196</v>
      </c>
    </row>
    <row r="22" spans="1:14">
      <c r="A22" s="145"/>
      <c r="B22" s="179"/>
      <c r="C22" s="151"/>
      <c r="D22" s="144"/>
      <c r="F22" s="144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4">
      <c r="A24" s="181" t="s">
        <v>161</v>
      </c>
      <c r="B24" s="148" t="s">
        <v>12</v>
      </c>
      <c r="M24" s="363"/>
      <c r="N24" s="363"/>
    </row>
    <row r="25" spans="1:14" s="167" customFormat="1">
      <c r="A25" s="169" t="s">
        <v>83</v>
      </c>
      <c r="B25" s="170" t="s">
        <v>14</v>
      </c>
      <c r="C25" s="490">
        <f>'[3]Sch C'!D10</f>
        <v>0</v>
      </c>
      <c r="D25" s="490">
        <f>'[3]Sch C'!F10</f>
        <v>144316</v>
      </c>
      <c r="E25" s="171">
        <f t="shared" ref="E25:E60" si="4">C25+D25</f>
        <v>144316</v>
      </c>
      <c r="F25" s="171"/>
      <c r="G25" s="182">
        <f>E25+F25</f>
        <v>144316</v>
      </c>
      <c r="H25" s="172">
        <f>IF($G$208=0,0,G25/$G$208)</f>
        <v>2.4807121518900743E-2</v>
      </c>
      <c r="J25" s="183">
        <v>1872</v>
      </c>
      <c r="K25" s="183">
        <v>2160</v>
      </c>
      <c r="M25" s="359">
        <f>G25/G$228</f>
        <v>6.0621692010417538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490">
        <f>'[3]Sch C'!D11</f>
        <v>0</v>
      </c>
      <c r="D26" s="490">
        <f>'[3]Sch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490">
        <f>'[3]Sch C'!D12</f>
        <v>229381</v>
      </c>
      <c r="D27" s="490">
        <f>'[3]Sch C'!F12</f>
        <v>-144316</v>
      </c>
      <c r="E27" s="171">
        <f t="shared" si="4"/>
        <v>85065</v>
      </c>
      <c r="F27" s="171"/>
      <c r="G27" s="171">
        <f t="shared" si="5"/>
        <v>85065</v>
      </c>
      <c r="H27" s="172">
        <f t="shared" si="6"/>
        <v>1.4622202610973778E-2</v>
      </c>
      <c r="J27" s="185">
        <v>6044</v>
      </c>
      <c r="K27" s="185">
        <v>6837</v>
      </c>
      <c r="M27" s="359">
        <f t="shared" si="7"/>
        <v>3.5732588423086615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490">
        <f>'[3]Sch C'!D13</f>
        <v>29067</v>
      </c>
      <c r="D28" s="490">
        <f>'[3]Sch C'!F13</f>
        <v>0</v>
      </c>
      <c r="E28" s="171">
        <f t="shared" si="4"/>
        <v>29067</v>
      </c>
      <c r="F28" s="171"/>
      <c r="G28" s="171">
        <f t="shared" si="5"/>
        <v>29067</v>
      </c>
      <c r="H28" s="172">
        <f t="shared" si="6"/>
        <v>4.9964563956171725E-3</v>
      </c>
      <c r="J28" s="168"/>
      <c r="K28" s="168"/>
      <c r="M28" s="359">
        <f t="shared" si="7"/>
        <v>1.220994707216668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490">
        <f>'[3]Sch C'!D14</f>
        <v>0</v>
      </c>
      <c r="D29" s="490">
        <f>'[3]Sch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490">
        <f>'[3]Sch C'!D15</f>
        <v>0</v>
      </c>
      <c r="D30" s="490">
        <f>'[3]Sch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J30" s="168"/>
      <c r="K30" s="168"/>
      <c r="M30" s="359">
        <f t="shared" si="7"/>
        <v>0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490">
        <f>'[3]Sch C'!D16</f>
        <v>300194</v>
      </c>
      <c r="D31" s="490">
        <f>'[3]Sch C'!F16</f>
        <v>55567</v>
      </c>
      <c r="E31" s="171">
        <f t="shared" si="4"/>
        <v>355761</v>
      </c>
      <c r="F31" s="171"/>
      <c r="G31" s="171">
        <f t="shared" si="5"/>
        <v>355761</v>
      </c>
      <c r="H31" s="172">
        <f t="shared" si="6"/>
        <v>6.1153346535974158E-2</v>
      </c>
      <c r="J31" s="168"/>
      <c r="K31" s="168"/>
      <c r="M31" s="359">
        <f t="shared" si="7"/>
        <v>14.944173737713182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490">
        <f>'[3]Sch C'!D17</f>
        <v>0</v>
      </c>
      <c r="D32" s="490">
        <f>'[3]Sch C'!F17</f>
        <v>0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J32" s="168"/>
      <c r="K32" s="168"/>
      <c r="M32" s="359">
        <f t="shared" si="7"/>
        <v>0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490">
        <f>'[3]Sch C'!D18</f>
        <v>21781</v>
      </c>
      <c r="D33" s="490">
        <f>'[3]Sch C'!F18</f>
        <v>0</v>
      </c>
      <c r="E33" s="171">
        <f t="shared" si="4"/>
        <v>21781</v>
      </c>
      <c r="F33" s="171"/>
      <c r="G33" s="171">
        <f t="shared" si="5"/>
        <v>21781</v>
      </c>
      <c r="H33" s="172">
        <f t="shared" si="6"/>
        <v>3.7440333282739062E-3</v>
      </c>
      <c r="J33" s="168"/>
      <c r="K33" s="168"/>
      <c r="M33" s="359">
        <f t="shared" si="7"/>
        <v>0.91493741073678903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490">
        <f>'[3]Sch C'!D19</f>
        <v>14524</v>
      </c>
      <c r="D34" s="490">
        <f>'[3]Sch C'!F19</f>
        <v>0</v>
      </c>
      <c r="E34" s="171">
        <f t="shared" si="4"/>
        <v>14524</v>
      </c>
      <c r="F34" s="171"/>
      <c r="G34" s="171">
        <f t="shared" si="5"/>
        <v>14524</v>
      </c>
      <c r="H34" s="172">
        <f t="shared" si="6"/>
        <v>2.4965952003971449E-3</v>
      </c>
      <c r="J34" s="168"/>
      <c r="K34" s="168"/>
      <c r="M34" s="359">
        <f t="shared" si="7"/>
        <v>0.61009829454759301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490">
        <f>'[3]Sch C'!D20</f>
        <v>11416</v>
      </c>
      <c r="D35" s="490">
        <f>'[3]Sch C'!F20</f>
        <v>0</v>
      </c>
      <c r="E35" s="171">
        <f t="shared" si="4"/>
        <v>11416</v>
      </c>
      <c r="F35" s="171"/>
      <c r="G35" s="171">
        <f t="shared" si="5"/>
        <v>11416</v>
      </c>
      <c r="H35" s="172">
        <f t="shared" si="6"/>
        <v>1.9623472051593094E-3</v>
      </c>
      <c r="J35" s="168"/>
      <c r="K35" s="168"/>
      <c r="M35" s="359">
        <f t="shared" si="7"/>
        <v>0.47954297235990928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490">
        <f>'[3]Sch C'!D21</f>
        <v>14513</v>
      </c>
      <c r="D36" s="490">
        <f>'[3]Sch C'!F21</f>
        <v>0</v>
      </c>
      <c r="E36" s="171">
        <f t="shared" si="4"/>
        <v>14513</v>
      </c>
      <c r="F36" s="171"/>
      <c r="G36" s="171">
        <f t="shared" si="5"/>
        <v>14513</v>
      </c>
      <c r="H36" s="172">
        <f t="shared" si="6"/>
        <v>2.4947043612891604E-3</v>
      </c>
      <c r="J36" s="168"/>
      <c r="K36" s="168"/>
      <c r="M36" s="359">
        <f t="shared" si="7"/>
        <v>0.60963622616147195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490">
        <f>'[3]Sch C'!D22</f>
        <v>0</v>
      </c>
      <c r="D37" s="490">
        <f>'[3]Sch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490">
        <f>'[3]Sch C'!D23</f>
        <v>3588</v>
      </c>
      <c r="D38" s="490">
        <f>'[3]Sch C'!F23</f>
        <v>0</v>
      </c>
      <c r="E38" s="171">
        <f t="shared" si="4"/>
        <v>3588</v>
      </c>
      <c r="F38" s="171"/>
      <c r="G38" s="171">
        <f t="shared" si="5"/>
        <v>3588</v>
      </c>
      <c r="H38" s="172">
        <f t="shared" si="6"/>
        <v>6.1675733813171003E-4</v>
      </c>
      <c r="J38" s="168"/>
      <c r="K38" s="168"/>
      <c r="M38" s="359">
        <f t="shared" si="7"/>
        <v>0.15071830630933378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490">
        <f>'[3]Sch C'!D24</f>
        <v>0</v>
      </c>
      <c r="D39" s="490">
        <f>'[3]Sch C'!F24</f>
        <v>0</v>
      </c>
      <c r="E39" s="171">
        <f t="shared" si="4"/>
        <v>0</v>
      </c>
      <c r="F39" s="171"/>
      <c r="G39" s="171">
        <f t="shared" si="5"/>
        <v>0</v>
      </c>
      <c r="H39" s="172">
        <f t="shared" si="6"/>
        <v>0</v>
      </c>
      <c r="J39" s="168"/>
      <c r="K39" s="168"/>
      <c r="M39" s="359">
        <f t="shared" si="7"/>
        <v>0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490">
        <f>'[3]Sch C'!D25</f>
        <v>1799</v>
      </c>
      <c r="D40" s="490">
        <f>'[3]Sch C'!F25</f>
        <v>0</v>
      </c>
      <c r="E40" s="171">
        <f t="shared" si="4"/>
        <v>1799</v>
      </c>
      <c r="F40" s="171"/>
      <c r="G40" s="171">
        <f t="shared" si="5"/>
        <v>1799</v>
      </c>
      <c r="H40" s="172">
        <f t="shared" si="6"/>
        <v>3.0923814138766621E-4</v>
      </c>
      <c r="J40" s="168"/>
      <c r="K40" s="168"/>
      <c r="M40" s="359">
        <f t="shared" si="7"/>
        <v>7.5569184239267409E-2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490">
        <f>'[3]Sch C'!D26</f>
        <v>294356</v>
      </c>
      <c r="D41" s="490">
        <f>'[3]Sch C'!F26</f>
        <v>0</v>
      </c>
      <c r="E41" s="171">
        <f t="shared" si="4"/>
        <v>294356</v>
      </c>
      <c r="F41" s="171"/>
      <c r="G41" s="171">
        <f t="shared" si="5"/>
        <v>294356</v>
      </c>
      <c r="H41" s="172">
        <f t="shared" si="6"/>
        <v>5.0598166951810936E-2</v>
      </c>
      <c r="J41" s="168"/>
      <c r="K41" s="168"/>
      <c r="M41" s="359">
        <f t="shared" si="7"/>
        <v>12.364781987734185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490">
        <f>'[3]Sch C'!D27</f>
        <v>18665</v>
      </c>
      <c r="D42" s="490">
        <f>'[3]Sch C'!F27</f>
        <v>-288</v>
      </c>
      <c r="E42" s="171">
        <f t="shared" si="4"/>
        <v>18377</v>
      </c>
      <c r="F42" s="171"/>
      <c r="G42" s="171">
        <f t="shared" si="5"/>
        <v>18377</v>
      </c>
      <c r="H42" s="172">
        <f t="shared" si="6"/>
        <v>3.1589045715848482E-3</v>
      </c>
      <c r="J42" s="168"/>
      <c r="K42" s="168"/>
      <c r="M42" s="359">
        <f t="shared" si="7"/>
        <v>0.77194824834075448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490">
        <f>'[3]Sch C'!D28</f>
        <v>0</v>
      </c>
      <c r="D43" s="490">
        <f>'[3]Sch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490">
        <f>'[3]Sch C'!D29</f>
        <v>78527</v>
      </c>
      <c r="D44" s="490">
        <f>'[3]Sch C'!F29</f>
        <v>-78527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490">
        <f>'[3]Sch C'!D30</f>
        <v>0</v>
      </c>
      <c r="D45" s="490">
        <f>'[3]Sch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490">
        <f>'[3]Sch C'!D31</f>
        <v>0</v>
      </c>
      <c r="D46" s="490">
        <f>'[3]Sch C'!F31</f>
        <v>0</v>
      </c>
      <c r="E46" s="171">
        <f t="shared" si="4"/>
        <v>0</v>
      </c>
      <c r="F46" s="171"/>
      <c r="G46" s="171">
        <f t="shared" si="5"/>
        <v>0</v>
      </c>
      <c r="H46" s="172">
        <f t="shared" si="6"/>
        <v>0</v>
      </c>
      <c r="J46" s="168"/>
      <c r="K46" s="168"/>
      <c r="M46" s="359">
        <f t="shared" si="7"/>
        <v>0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490">
        <f>'[3]Sch C'!D32</f>
        <v>82370</v>
      </c>
      <c r="D47" s="490">
        <f>'[3]Sch C'!F32</f>
        <v>0</v>
      </c>
      <c r="E47" s="171">
        <f t="shared" si="4"/>
        <v>82370</v>
      </c>
      <c r="F47" s="171"/>
      <c r="G47" s="171">
        <f t="shared" si="5"/>
        <v>82370</v>
      </c>
      <c r="H47" s="172">
        <f t="shared" si="6"/>
        <v>1.4158947029517546E-2</v>
      </c>
      <c r="J47" s="168"/>
      <c r="K47" s="168"/>
      <c r="M47" s="359">
        <f t="shared" si="7"/>
        <v>3.4600520877089811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490">
        <f>'[3]Sch C'!D33</f>
        <v>0</v>
      </c>
      <c r="D48" s="490">
        <f>'[3]Sch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490">
        <f>'[3]Sch C'!D34</f>
        <v>235</v>
      </c>
      <c r="D49" s="490">
        <f>'[3]Sch C'!F34</f>
        <v>0</v>
      </c>
      <c r="E49" s="171">
        <f t="shared" si="4"/>
        <v>235</v>
      </c>
      <c r="F49" s="171"/>
      <c r="G49" s="171">
        <f t="shared" si="5"/>
        <v>235</v>
      </c>
      <c r="H49" s="172">
        <f t="shared" si="6"/>
        <v>4.0395199125125936E-5</v>
      </c>
      <c r="J49" s="168"/>
      <c r="K49" s="168"/>
      <c r="M49" s="359">
        <f t="shared" si="7"/>
        <v>9.8714609762244818E-3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490">
        <f>'[3]Sch C'!D35</f>
        <v>0</v>
      </c>
      <c r="D50" s="490">
        <f>'[3]Sch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490">
        <f>'[3]Sch C'!D36</f>
        <v>0</v>
      </c>
      <c r="D51" s="490">
        <f>'[3]Sch C'!F36</f>
        <v>0</v>
      </c>
      <c r="E51" s="171">
        <f t="shared" si="4"/>
        <v>0</v>
      </c>
      <c r="F51" s="171"/>
      <c r="G51" s="171">
        <f t="shared" si="5"/>
        <v>0</v>
      </c>
      <c r="H51" s="172">
        <f t="shared" si="6"/>
        <v>0</v>
      </c>
      <c r="J51" s="183">
        <v>0</v>
      </c>
      <c r="K51" s="183">
        <v>0</v>
      </c>
      <c r="M51" s="359">
        <f t="shared" si="7"/>
        <v>0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490">
        <f>'[3]Sch C'!D37</f>
        <v>0</v>
      </c>
      <c r="D52" s="490">
        <f>'[3]Sch C'!F37</f>
        <v>0</v>
      </c>
      <c r="E52" s="171">
        <f t="shared" si="4"/>
        <v>0</v>
      </c>
      <c r="F52" s="171"/>
      <c r="G52" s="171">
        <f t="shared" si="5"/>
        <v>0</v>
      </c>
      <c r="H52" s="172">
        <f t="shared" si="6"/>
        <v>0</v>
      </c>
      <c r="J52" s="168"/>
      <c r="K52" s="168"/>
      <c r="M52" s="359">
        <f t="shared" si="7"/>
        <v>0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490">
        <f>'[3]Sch C'!D38</f>
        <v>63</v>
      </c>
      <c r="D53" s="490">
        <f>'[3]Sch C'!F38</f>
        <v>-63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J53" s="168"/>
      <c r="K53" s="168"/>
      <c r="M53" s="359">
        <f t="shared" si="7"/>
        <v>0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490">
        <f>'[3]Sch C'!D39</f>
        <v>3174</v>
      </c>
      <c r="D54" s="490">
        <f>'[3]Sch C'!F39</f>
        <v>0</v>
      </c>
      <c r="E54" s="171">
        <f t="shared" si="4"/>
        <v>3174</v>
      </c>
      <c r="F54" s="171"/>
      <c r="G54" s="171">
        <f t="shared" si="5"/>
        <v>3174</v>
      </c>
      <c r="H54" s="172">
        <f t="shared" si="6"/>
        <v>5.4559302988574344E-4</v>
      </c>
      <c r="J54" s="168"/>
      <c r="K54" s="168"/>
      <c r="M54" s="359">
        <f t="shared" si="7"/>
        <v>0.13332773250441066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490">
        <f>'[3]Sch C'!D40</f>
        <v>6205</v>
      </c>
      <c r="D55" s="490">
        <f>'[3]Sch C'!F40</f>
        <v>-6205</v>
      </c>
      <c r="E55" s="171">
        <f t="shared" si="4"/>
        <v>0</v>
      </c>
      <c r="F55" s="171"/>
      <c r="G55" s="171">
        <f t="shared" si="5"/>
        <v>0</v>
      </c>
      <c r="H55" s="172">
        <f t="shared" si="6"/>
        <v>0</v>
      </c>
      <c r="J55" s="168"/>
      <c r="K55" s="168"/>
      <c r="M55" s="359">
        <f t="shared" si="7"/>
        <v>0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490">
        <f>'[3]Sch C'!D41</f>
        <v>134120</v>
      </c>
      <c r="D56" s="490">
        <f>'[3]Sch C'!F41</f>
        <v>-8178</v>
      </c>
      <c r="E56" s="171">
        <f t="shared" si="4"/>
        <v>125942</v>
      </c>
      <c r="F56" s="171"/>
      <c r="G56" s="171">
        <f t="shared" si="5"/>
        <v>125942</v>
      </c>
      <c r="H56" s="172">
        <f t="shared" si="6"/>
        <v>2.1648732630708982E-2</v>
      </c>
      <c r="J56" s="168"/>
      <c r="K56" s="168"/>
      <c r="M56" s="359">
        <f t="shared" si="7"/>
        <v>5.2903469713517604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490">
        <f>'[3]Sch C'!D42</f>
        <v>132</v>
      </c>
      <c r="D57" s="490">
        <f>'[3]Sch C'!F42</f>
        <v>0</v>
      </c>
      <c r="E57" s="171">
        <f t="shared" si="4"/>
        <v>132</v>
      </c>
      <c r="F57" s="171"/>
      <c r="G57" s="171">
        <f t="shared" si="5"/>
        <v>132</v>
      </c>
      <c r="H57" s="172">
        <f t="shared" si="6"/>
        <v>2.2690069295815418E-5</v>
      </c>
      <c r="J57" s="168"/>
      <c r="K57" s="168"/>
      <c r="M57" s="359">
        <f t="shared" si="7"/>
        <v>5.544820633453751E-3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490">
        <f>'[3]Sch C'!D43</f>
        <v>4694</v>
      </c>
      <c r="D58" s="490">
        <f>'[3]Sch C'!F43</f>
        <v>-4694</v>
      </c>
      <c r="E58" s="171">
        <f t="shared" si="4"/>
        <v>0</v>
      </c>
      <c r="F58" s="171"/>
      <c r="G58" s="171">
        <f t="shared" si="5"/>
        <v>0</v>
      </c>
      <c r="H58" s="172">
        <f t="shared" si="6"/>
        <v>0</v>
      </c>
      <c r="J58" s="168"/>
      <c r="K58" s="168"/>
      <c r="M58" s="359">
        <f t="shared" si="7"/>
        <v>0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490">
        <f>'[3]Sch C'!D44</f>
        <v>0</v>
      </c>
      <c r="D59" s="490">
        <f>'[3]Sch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J59" s="168"/>
      <c r="K59" s="168"/>
      <c r="M59" s="359">
        <f t="shared" si="7"/>
        <v>0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490">
        <f>'[3]Sch C'!D45</f>
        <v>1817</v>
      </c>
      <c r="D60" s="490">
        <f>'[3]Sch C'!F45</f>
        <v>-174</v>
      </c>
      <c r="E60" s="171">
        <f t="shared" si="4"/>
        <v>1643</v>
      </c>
      <c r="F60" s="171"/>
      <c r="G60" s="171">
        <f t="shared" si="5"/>
        <v>1643</v>
      </c>
      <c r="H60" s="172">
        <f t="shared" si="6"/>
        <v>2.8242260494715704E-4</v>
      </c>
      <c r="J60" s="168"/>
      <c r="K60" s="168"/>
      <c r="M60" s="359">
        <f t="shared" si="7"/>
        <v>6.9016214399731157E-2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490">
        <f>SUM(C25:C60)</f>
        <v>1250621</v>
      </c>
      <c r="D61" s="490">
        <f>SUM(D25:D60)</f>
        <v>-42562</v>
      </c>
      <c r="E61" s="171">
        <f t="shared" ref="E61:F61" si="8">SUM(E25:E60)</f>
        <v>1208059</v>
      </c>
      <c r="F61" s="171">
        <f t="shared" si="8"/>
        <v>0</v>
      </c>
      <c r="G61" s="171">
        <f>SUM(G25:G60)</f>
        <v>1208059</v>
      </c>
      <c r="H61" s="186">
        <f t="shared" si="6"/>
        <v>0.2076586547229809</v>
      </c>
      <c r="J61" s="168"/>
      <c r="K61" s="168"/>
      <c r="M61" s="364">
        <f>G61/G$228</f>
        <v>50.745988406284127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490">
        <f>'[3]Sch C'!D57</f>
        <v>0</v>
      </c>
      <c r="D64" s="490">
        <f>'[3]Sch C'!F57</f>
        <v>0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J64" s="190"/>
      <c r="K64" s="168"/>
      <c r="M64" s="359">
        <f t="shared" ref="M64:M79" si="12">G64/G$228</f>
        <v>0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490">
        <f>'[3]Sch C'!D58</f>
        <v>170497</v>
      </c>
      <c r="D65" s="490">
        <f>'[3]Sch C'!F58</f>
        <v>0</v>
      </c>
      <c r="E65" s="171">
        <f t="shared" si="9"/>
        <v>170497</v>
      </c>
      <c r="F65" s="171"/>
      <c r="G65" s="171">
        <f t="shared" si="10"/>
        <v>170497</v>
      </c>
      <c r="H65" s="172">
        <f t="shared" si="11"/>
        <v>2.9307490490368494E-2</v>
      </c>
      <c r="J65" s="190"/>
      <c r="K65" s="168"/>
      <c r="M65" s="359">
        <f t="shared" si="12"/>
        <v>7.1619339662270018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490">
        <f>'[3]Sch C'!D59</f>
        <v>252027</v>
      </c>
      <c r="D66" s="490">
        <f>'[3]Sch C'!F59</f>
        <v>0</v>
      </c>
      <c r="E66" s="171">
        <f t="shared" si="9"/>
        <v>252027</v>
      </c>
      <c r="F66" s="171"/>
      <c r="G66" s="171">
        <f t="shared" si="10"/>
        <v>252027</v>
      </c>
      <c r="H66" s="172">
        <f t="shared" si="11"/>
        <v>4.3322046169821764E-2</v>
      </c>
      <c r="J66" s="190"/>
      <c r="K66" s="168"/>
      <c r="M66" s="359">
        <f t="shared" si="12"/>
        <v>10.586700831723094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490">
        <f>'[3]Sch C'!D60</f>
        <v>32369</v>
      </c>
      <c r="D67" s="490">
        <f>'[3]Sch C'!F60</f>
        <v>0</v>
      </c>
      <c r="E67" s="171">
        <f t="shared" si="9"/>
        <v>32369</v>
      </c>
      <c r="F67" s="171"/>
      <c r="G67" s="171">
        <f t="shared" si="10"/>
        <v>32369</v>
      </c>
      <c r="H67" s="172">
        <f t="shared" si="11"/>
        <v>5.564051916941282E-3</v>
      </c>
      <c r="J67" s="193"/>
      <c r="K67" s="168"/>
      <c r="M67" s="359">
        <f t="shared" si="12"/>
        <v>1.359699235486852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490">
        <f>'[3]Sch C'!D61</f>
        <v>44777</v>
      </c>
      <c r="D68" s="490">
        <f>'[3]Sch C'!F61</f>
        <v>0</v>
      </c>
      <c r="E68" s="171">
        <f t="shared" si="9"/>
        <v>44777</v>
      </c>
      <c r="F68" s="171"/>
      <c r="G68" s="171">
        <f t="shared" si="10"/>
        <v>44777</v>
      </c>
      <c r="H68" s="172">
        <f t="shared" si="11"/>
        <v>7.6969184307479318E-3</v>
      </c>
      <c r="J68" s="193"/>
      <c r="K68" s="168"/>
      <c r="M68" s="359">
        <f t="shared" si="12"/>
        <v>1.8809123750315047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490">
        <f>'[3]Sch C'!D62</f>
        <v>6641</v>
      </c>
      <c r="D69" s="490">
        <f>'[3]Sch C'!F62</f>
        <v>0</v>
      </c>
      <c r="E69" s="171">
        <f t="shared" si="9"/>
        <v>6641</v>
      </c>
      <c r="F69" s="171"/>
      <c r="G69" s="171">
        <f t="shared" si="10"/>
        <v>6641</v>
      </c>
      <c r="H69" s="172">
        <f t="shared" si="11"/>
        <v>1.1415511378296227E-3</v>
      </c>
      <c r="J69" s="195"/>
      <c r="K69" s="168"/>
      <c r="M69" s="359">
        <f t="shared" si="12"/>
        <v>0.27896328656641184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490">
        <f>'[3]Sch C'!D63</f>
        <v>0</v>
      </c>
      <c r="D70" s="490">
        <f>'[3]Sch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490">
        <f>'[3]Sch C'!D64</f>
        <v>0</v>
      </c>
      <c r="D71" s="490">
        <f>'[3]Sch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490">
        <f>'[3]Sch C'!D65</f>
        <v>0</v>
      </c>
      <c r="D72" s="490">
        <f>'[3]Sch C'!F65</f>
        <v>0</v>
      </c>
      <c r="E72" s="171">
        <f t="shared" si="9"/>
        <v>0</v>
      </c>
      <c r="F72" s="171"/>
      <c r="G72" s="171">
        <f t="shared" si="10"/>
        <v>0</v>
      </c>
      <c r="H72" s="172">
        <f t="shared" si="11"/>
        <v>0</v>
      </c>
      <c r="J72" s="195"/>
      <c r="K72" s="168"/>
      <c r="M72" s="359">
        <f t="shared" si="12"/>
        <v>0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490">
        <f>'[3]Sch C'!D66</f>
        <v>67297</v>
      </c>
      <c r="D73" s="490">
        <f>'[3]Sch C'!F66</f>
        <v>-1863</v>
      </c>
      <c r="E73" s="171">
        <f t="shared" si="9"/>
        <v>65434</v>
      </c>
      <c r="F73" s="171"/>
      <c r="G73" s="171">
        <f t="shared" si="10"/>
        <v>65434</v>
      </c>
      <c r="H73" s="172">
        <f t="shared" si="11"/>
        <v>1.1247742381078682E-2</v>
      </c>
      <c r="J73" s="195"/>
      <c r="K73" s="168"/>
      <c r="M73" s="359">
        <f t="shared" si="12"/>
        <v>2.7486347979500967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490">
        <f>'[3]Sch C'!D67</f>
        <v>69131</v>
      </c>
      <c r="D74" s="490">
        <f>'[3]Sch C'!F67</f>
        <v>0</v>
      </c>
      <c r="E74" s="171">
        <f t="shared" si="9"/>
        <v>69131</v>
      </c>
      <c r="F74" s="171"/>
      <c r="G74" s="171">
        <f t="shared" si="10"/>
        <v>69131</v>
      </c>
      <c r="H74" s="172">
        <f t="shared" si="11"/>
        <v>1.1883236215825876E-2</v>
      </c>
      <c r="J74" s="195"/>
      <c r="K74" s="168"/>
      <c r="M74" s="359">
        <f t="shared" si="12"/>
        <v>2.9039317819037218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490">
        <f>'[3]Sch C'!D68</f>
        <v>0</v>
      </c>
      <c r="D75" s="490">
        <f>'[3]Sch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490">
        <f>'[3]Sch C'!D69</f>
        <v>6871</v>
      </c>
      <c r="D76" s="490">
        <f>'[3]Sch C'!F69</f>
        <v>0</v>
      </c>
      <c r="E76" s="171">
        <f t="shared" si="9"/>
        <v>6871</v>
      </c>
      <c r="F76" s="171"/>
      <c r="G76" s="171">
        <f t="shared" si="10"/>
        <v>6871</v>
      </c>
      <c r="H76" s="172">
        <f t="shared" si="11"/>
        <v>1.1810868646329373E-3</v>
      </c>
      <c r="J76" s="195"/>
      <c r="K76" s="168"/>
      <c r="M76" s="359">
        <f t="shared" si="12"/>
        <v>0.28862471645803578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490">
        <f>'[3]Sch C'!D70</f>
        <v>0</v>
      </c>
      <c r="D77" s="490">
        <f>'[3]Sch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490">
        <f>'[3]Sch C'!D71</f>
        <v>0</v>
      </c>
      <c r="D78" s="490">
        <f>'[3]Sch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490">
        <f>SUM(C64:C78)</f>
        <v>649610</v>
      </c>
      <c r="D79" s="490">
        <f>SUM(D64:D78)</f>
        <v>-1863</v>
      </c>
      <c r="E79" s="171">
        <f t="shared" ref="E79:F79" si="13">SUM(E64:E78)</f>
        <v>647747</v>
      </c>
      <c r="F79" s="171">
        <f t="shared" si="13"/>
        <v>0</v>
      </c>
      <c r="G79" s="171">
        <f>SUM(G64:G78)</f>
        <v>647747</v>
      </c>
      <c r="H79" s="172">
        <f t="shared" si="11"/>
        <v>0.11134412360724659</v>
      </c>
      <c r="J79" s="195"/>
      <c r="K79" s="168"/>
      <c r="M79" s="359">
        <f t="shared" si="12"/>
        <v>27.209400991346719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490">
        <f>'[3]Sch C'!D75</f>
        <v>40431</v>
      </c>
      <c r="D82" s="490">
        <f>'[3]Sch C'!F75</f>
        <v>0</v>
      </c>
      <c r="E82" s="171">
        <f t="shared" ref="E82:E92" si="14">C82+D82</f>
        <v>40431</v>
      </c>
      <c r="F82" s="171"/>
      <c r="G82" s="171">
        <f t="shared" ref="G82:G92" si="15">E82+F82</f>
        <v>40431</v>
      </c>
      <c r="H82" s="172">
        <f t="shared" ref="H82:H93" si="16">IF($G$208=0,0,G82/$G$208)</f>
        <v>6.9498650886296457E-3</v>
      </c>
      <c r="J82" s="183">
        <v>1903</v>
      </c>
      <c r="K82" s="183">
        <v>2234</v>
      </c>
      <c r="M82" s="359">
        <f t="shared" ref="M82:M92" si="17">G82/G$228</f>
        <v>1.6983533562967319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490">
        <f>'[3]Sch C'!D76</f>
        <v>8642</v>
      </c>
      <c r="D83" s="490">
        <f>'[3]Sch C'!F76</f>
        <v>0</v>
      </c>
      <c r="E83" s="171">
        <f t="shared" si="14"/>
        <v>8642</v>
      </c>
      <c r="F83" s="171"/>
      <c r="G83" s="171">
        <f t="shared" si="15"/>
        <v>8642</v>
      </c>
      <c r="H83" s="172">
        <f t="shared" si="16"/>
        <v>1.4855119610184609E-3</v>
      </c>
      <c r="J83" s="168"/>
      <c r="K83" s="168"/>
      <c r="M83" s="359">
        <f t="shared" si="17"/>
        <v>0.36301772662354026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490">
        <f>'[3]Sch C'!D77</f>
        <v>4685</v>
      </c>
      <c r="D84" s="490">
        <f>'[3]Sch C'!F77</f>
        <v>0</v>
      </c>
      <c r="E84" s="171">
        <f t="shared" si="14"/>
        <v>4685</v>
      </c>
      <c r="F84" s="171"/>
      <c r="G84" s="171">
        <f t="shared" si="15"/>
        <v>4685</v>
      </c>
      <c r="H84" s="172">
        <f t="shared" si="16"/>
        <v>8.0532556553708512E-4</v>
      </c>
      <c r="J84" s="168"/>
      <c r="K84" s="168"/>
      <c r="M84" s="359">
        <f t="shared" si="17"/>
        <v>0.19679912627068807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490">
        <f>'[3]Sch C'!D78</f>
        <v>0</v>
      </c>
      <c r="D85" s="490">
        <f>'[3]Sch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J85" s="168"/>
      <c r="K85" s="168"/>
      <c r="M85" s="359">
        <f t="shared" si="17"/>
        <v>0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490">
        <f>'[3]Sch C'!D79</f>
        <v>2707</v>
      </c>
      <c r="D86" s="490">
        <f>'[3]Sch C'!F79</f>
        <v>0</v>
      </c>
      <c r="E86" s="171">
        <f t="shared" si="14"/>
        <v>2707</v>
      </c>
      <c r="F86" s="171"/>
      <c r="G86" s="171">
        <f>E86+F86</f>
        <v>2707</v>
      </c>
      <c r="H86" s="172">
        <f t="shared" si="16"/>
        <v>4.653183150285783E-4</v>
      </c>
      <c r="J86" s="168"/>
      <c r="K86" s="168"/>
      <c r="M86" s="359">
        <f t="shared" si="17"/>
        <v>0.11371082920272201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490">
        <f>'[3]Sch C'!D80</f>
        <v>20108</v>
      </c>
      <c r="D87" s="490">
        <f>'[3]Sch C'!F80</f>
        <v>0</v>
      </c>
      <c r="E87" s="171">
        <f t="shared" si="14"/>
        <v>20108</v>
      </c>
      <c r="F87" s="171"/>
      <c r="G87" s="171">
        <f t="shared" si="15"/>
        <v>20108</v>
      </c>
      <c r="H87" s="172">
        <f t="shared" si="16"/>
        <v>3.456453889395882E-3</v>
      </c>
      <c r="J87" s="168"/>
      <c r="K87" s="168"/>
      <c r="M87" s="359">
        <f t="shared" si="17"/>
        <v>0.8446610098294548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490">
        <f>'[3]Sch C'!D81</f>
        <v>22303</v>
      </c>
      <c r="D88" s="490">
        <f>'[3]Sch C'!F81</f>
        <v>0</v>
      </c>
      <c r="E88" s="171">
        <f t="shared" si="14"/>
        <v>22303</v>
      </c>
      <c r="F88" s="171"/>
      <c r="G88" s="171">
        <f t="shared" si="15"/>
        <v>22303</v>
      </c>
      <c r="H88" s="172">
        <f t="shared" si="16"/>
        <v>3.8337622386709945E-3</v>
      </c>
      <c r="J88" s="168"/>
      <c r="K88" s="168"/>
      <c r="M88" s="359">
        <f t="shared" si="17"/>
        <v>0.93686465596908342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490">
        <f>'[3]Sch C'!D82</f>
        <v>7079</v>
      </c>
      <c r="D89" s="490">
        <f>'[3]Sch C'!F82</f>
        <v>0</v>
      </c>
      <c r="E89" s="171">
        <f t="shared" si="14"/>
        <v>7079</v>
      </c>
      <c r="F89" s="171"/>
      <c r="G89" s="171">
        <f t="shared" si="15"/>
        <v>7079</v>
      </c>
      <c r="H89" s="172">
        <f t="shared" si="16"/>
        <v>1.2168409132202829E-3</v>
      </c>
      <c r="J89" s="168"/>
      <c r="K89" s="168"/>
      <c r="M89" s="359">
        <f t="shared" si="17"/>
        <v>0.29736200957741749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490">
        <f>'[3]Sch C'!D83</f>
        <v>0</v>
      </c>
      <c r="D90" s="490">
        <f>'[3]Sch C'!F83</f>
        <v>0</v>
      </c>
      <c r="E90" s="171">
        <f t="shared" si="14"/>
        <v>0</v>
      </c>
      <c r="F90" s="171"/>
      <c r="G90" s="171">
        <f t="shared" si="15"/>
        <v>0</v>
      </c>
      <c r="H90" s="172">
        <f t="shared" si="16"/>
        <v>0</v>
      </c>
      <c r="J90" s="168"/>
      <c r="K90" s="168"/>
      <c r="M90" s="359">
        <f t="shared" si="17"/>
        <v>0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490">
        <f>'[3]Sch C'!D84</f>
        <v>85654</v>
      </c>
      <c r="D91" s="490">
        <f>'[3]Sch C'!F84</f>
        <v>0</v>
      </c>
      <c r="E91" s="171">
        <f t="shared" si="14"/>
        <v>85654</v>
      </c>
      <c r="F91" s="171"/>
      <c r="G91" s="171">
        <f t="shared" si="15"/>
        <v>85654</v>
      </c>
      <c r="H91" s="172">
        <f t="shared" si="16"/>
        <v>1.4723448450483135E-2</v>
      </c>
      <c r="J91" s="168"/>
      <c r="K91" s="168"/>
      <c r="M91" s="359">
        <f t="shared" si="17"/>
        <v>3.5980005040746033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490">
        <f>'[3]Sch C'!D85</f>
        <v>0</v>
      </c>
      <c r="D92" s="490">
        <f>'[3]Sch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J92" s="168"/>
      <c r="K92" s="168"/>
      <c r="M92" s="359">
        <f t="shared" si="17"/>
        <v>0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490">
        <f>SUM(C82:C92)</f>
        <v>191609</v>
      </c>
      <c r="D93" s="490">
        <f>SUM(D82:D92)</f>
        <v>0</v>
      </c>
      <c r="E93" s="171">
        <f t="shared" ref="E93:F93" si="18">SUM(E82:E92)</f>
        <v>191609</v>
      </c>
      <c r="F93" s="171">
        <f t="shared" si="18"/>
        <v>0</v>
      </c>
      <c r="G93" s="171">
        <f>SUM(G82:G92)</f>
        <v>191609</v>
      </c>
      <c r="H93" s="172">
        <f t="shared" si="16"/>
        <v>3.2936526421984066E-2</v>
      </c>
      <c r="J93" s="168"/>
      <c r="K93" s="168"/>
      <c r="M93" s="364">
        <f>G93/G$228</f>
        <v>8.0487692178442405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490">
        <f>'[3]Sch C'!D89</f>
        <v>200924</v>
      </c>
      <c r="D96" s="490">
        <f>'[3]Sch C'!F89</f>
        <v>0</v>
      </c>
      <c r="E96" s="171">
        <f t="shared" ref="E96:E101" si="19">C96+D96</f>
        <v>200924</v>
      </c>
      <c r="F96" s="171"/>
      <c r="G96" s="171">
        <f t="shared" ref="G96:G101" si="20">E96+F96</f>
        <v>200924</v>
      </c>
      <c r="H96" s="172">
        <f t="shared" ref="H96:H102" si="21">IF($G$208=0,0,G96/$G$208)</f>
        <v>3.4537723357518313E-2</v>
      </c>
      <c r="J96" s="183">
        <v>16092</v>
      </c>
      <c r="K96" s="183">
        <v>17897</v>
      </c>
      <c r="M96" s="364">
        <f t="shared" ref="M96:M101" si="22">G96/G$228</f>
        <v>8.4400571284550114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490">
        <f>'[3]Sch C'!D90</f>
        <v>35352</v>
      </c>
      <c r="D97" s="490">
        <f>'[3]Sch C'!F90</f>
        <v>0</v>
      </c>
      <c r="E97" s="171">
        <f t="shared" si="19"/>
        <v>35352</v>
      </c>
      <c r="F97" s="171"/>
      <c r="G97" s="171">
        <f t="shared" si="20"/>
        <v>35352</v>
      </c>
      <c r="H97" s="172">
        <f t="shared" si="21"/>
        <v>6.0768131041338382E-3</v>
      </c>
      <c r="J97" s="168"/>
      <c r="K97" s="168"/>
      <c r="M97" s="364">
        <f t="shared" si="22"/>
        <v>1.4850037805595229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490">
        <f>'[3]Sch C'!D91</f>
        <v>7483</v>
      </c>
      <c r="D98" s="490">
        <f>'[3]Sch C'!F91</f>
        <v>0</v>
      </c>
      <c r="E98" s="171">
        <f t="shared" si="19"/>
        <v>7483</v>
      </c>
      <c r="F98" s="171"/>
      <c r="G98" s="171">
        <f t="shared" si="20"/>
        <v>7483</v>
      </c>
      <c r="H98" s="172">
        <f t="shared" si="21"/>
        <v>1.2862862768226271E-3</v>
      </c>
      <c r="J98" s="168"/>
      <c r="K98" s="168"/>
      <c r="M98" s="364">
        <f t="shared" si="22"/>
        <v>0.31433252121313954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490">
        <f>'[3]Sch C'!D92</f>
        <v>146897</v>
      </c>
      <c r="D99" s="490">
        <f>'[3]Sch C'!F92</f>
        <v>-2373</v>
      </c>
      <c r="E99" s="171">
        <f t="shared" si="19"/>
        <v>144524</v>
      </c>
      <c r="F99" s="171"/>
      <c r="G99" s="171">
        <f t="shared" si="20"/>
        <v>144524</v>
      </c>
      <c r="H99" s="172">
        <f t="shared" si="21"/>
        <v>2.4842875567488088E-2</v>
      </c>
      <c r="J99" s="168"/>
      <c r="K99" s="168"/>
      <c r="M99" s="364">
        <f t="shared" si="22"/>
        <v>6.0709064941611359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490">
        <f>'[3]Sch C'!D93</f>
        <v>17890</v>
      </c>
      <c r="D100" s="490">
        <f>'[3]Sch C'!F93</f>
        <v>0</v>
      </c>
      <c r="E100" s="171">
        <f t="shared" si="19"/>
        <v>17890</v>
      </c>
      <c r="F100" s="171"/>
      <c r="G100" s="171">
        <f t="shared" si="20"/>
        <v>17890</v>
      </c>
      <c r="H100" s="172">
        <f t="shared" si="21"/>
        <v>3.0751919674404382E-3</v>
      </c>
      <c r="J100" s="168"/>
      <c r="K100" s="168"/>
      <c r="M100" s="364">
        <f t="shared" si="22"/>
        <v>0.75149122070066365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490">
        <f>'[3]Sch C'!D94</f>
        <v>125</v>
      </c>
      <c r="D101" s="490">
        <f>'[3]Sch C'!F94</f>
        <v>0</v>
      </c>
      <c r="E101" s="171">
        <f t="shared" si="19"/>
        <v>125</v>
      </c>
      <c r="F101" s="171"/>
      <c r="G101" s="171">
        <f t="shared" si="20"/>
        <v>125</v>
      </c>
      <c r="H101" s="172">
        <f t="shared" si="21"/>
        <v>2.1486808045279753E-5</v>
      </c>
      <c r="J101" s="168"/>
      <c r="K101" s="168"/>
      <c r="M101" s="364">
        <f t="shared" si="22"/>
        <v>5.2507771150130216E-3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490">
        <f>SUM(C96:C101)</f>
        <v>408671</v>
      </c>
      <c r="D102" s="490">
        <f>SUM(D96:D101)</f>
        <v>-2373</v>
      </c>
      <c r="E102" s="171">
        <f t="shared" ref="E102:F102" si="23">SUM(E96:E101)</f>
        <v>406298</v>
      </c>
      <c r="F102" s="171">
        <f t="shared" si="23"/>
        <v>0</v>
      </c>
      <c r="G102" s="171">
        <f>SUM(G96:G101)</f>
        <v>406298</v>
      </c>
      <c r="H102" s="172">
        <f t="shared" si="21"/>
        <v>6.9840377081448579E-2</v>
      </c>
      <c r="J102" s="168"/>
      <c r="K102" s="168"/>
      <c r="M102" s="364">
        <f>G102/G$228</f>
        <v>17.067041922204485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490">
        <f>'[3]Sch C'!D98</f>
        <v>0</v>
      </c>
      <c r="D105" s="490">
        <f>'[3]Sch C'!F98</f>
        <v>0</v>
      </c>
      <c r="E105" s="171">
        <f t="shared" ref="E105:E110" si="24">C105+D105</f>
        <v>0</v>
      </c>
      <c r="F105" s="171"/>
      <c r="G105" s="171">
        <f t="shared" ref="G105:G110" si="25">E105+F105</f>
        <v>0</v>
      </c>
      <c r="H105" s="172">
        <f t="shared" ref="H105:H111" si="26">IF($G$208=0,0,G105/$G$208)</f>
        <v>0</v>
      </c>
      <c r="J105" s="183">
        <v>0</v>
      </c>
      <c r="K105" s="183">
        <v>0</v>
      </c>
      <c r="M105" s="364">
        <f t="shared" ref="M105:M110" si="27">G105/G$228</f>
        <v>0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490">
        <f>'[3]Sch C'!D99</f>
        <v>0</v>
      </c>
      <c r="D106" s="490">
        <f>'[3]Sch C'!F99</f>
        <v>0</v>
      </c>
      <c r="E106" s="171">
        <f t="shared" si="24"/>
        <v>0</v>
      </c>
      <c r="F106" s="171"/>
      <c r="G106" s="171">
        <f t="shared" si="25"/>
        <v>0</v>
      </c>
      <c r="H106" s="172">
        <f t="shared" si="26"/>
        <v>0</v>
      </c>
      <c r="J106" s="168"/>
      <c r="K106" s="168"/>
      <c r="M106" s="364">
        <f t="shared" si="27"/>
        <v>0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490">
        <f>'[3]Sch C'!D100</f>
        <v>0</v>
      </c>
      <c r="D107" s="490">
        <f>'[3]Sch C'!F100</f>
        <v>0</v>
      </c>
      <c r="E107" s="171">
        <f t="shared" si="24"/>
        <v>0</v>
      </c>
      <c r="F107" s="171"/>
      <c r="G107" s="171">
        <f t="shared" si="25"/>
        <v>0</v>
      </c>
      <c r="H107" s="172">
        <f t="shared" si="26"/>
        <v>0</v>
      </c>
      <c r="J107" s="168"/>
      <c r="K107" s="168"/>
      <c r="M107" s="364">
        <f t="shared" si="27"/>
        <v>0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490">
        <f>'[3]Sch C'!D101</f>
        <v>59323</v>
      </c>
      <c r="D108" s="490">
        <f>'[3]Sch C'!F101</f>
        <v>0</v>
      </c>
      <c r="E108" s="171">
        <f t="shared" si="24"/>
        <v>59323</v>
      </c>
      <c r="F108" s="171"/>
      <c r="G108" s="171">
        <f t="shared" si="25"/>
        <v>59323</v>
      </c>
      <c r="H108" s="172">
        <f t="shared" si="26"/>
        <v>1.0197295309361046E-2</v>
      </c>
      <c r="J108" s="168"/>
      <c r="K108" s="168"/>
      <c r="M108" s="364">
        <f t="shared" si="27"/>
        <v>2.49193480635134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490">
        <f>'[3]Sch C'!D102</f>
        <v>7889</v>
      </c>
      <c r="D109" s="490">
        <f>'[3]Sch C'!F102</f>
        <v>0</v>
      </c>
      <c r="E109" s="171">
        <f t="shared" si="24"/>
        <v>7889</v>
      </c>
      <c r="F109" s="171"/>
      <c r="G109" s="171">
        <f t="shared" si="25"/>
        <v>7889</v>
      </c>
      <c r="H109" s="172">
        <f t="shared" si="26"/>
        <v>1.3560754293536958E-3</v>
      </c>
      <c r="J109" s="168"/>
      <c r="K109" s="168"/>
      <c r="M109" s="364">
        <f t="shared" si="27"/>
        <v>0.33138704528270185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490">
        <f>'[3]Sch C'!D103</f>
        <v>0</v>
      </c>
      <c r="D110" s="490">
        <f>'[3]Sch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J110" s="168"/>
      <c r="K110" s="168"/>
      <c r="M110" s="364">
        <f t="shared" si="27"/>
        <v>0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490">
        <f>SUM(C105:C110)</f>
        <v>67212</v>
      </c>
      <c r="D111" s="490">
        <f>SUM(D105:D110)</f>
        <v>0</v>
      </c>
      <c r="E111" s="171">
        <f t="shared" ref="E111:F111" si="28">SUM(E105:E110)</f>
        <v>67212</v>
      </c>
      <c r="F111" s="171">
        <f t="shared" si="28"/>
        <v>0</v>
      </c>
      <c r="G111" s="171">
        <f>SUM(G105:G110)</f>
        <v>67212</v>
      </c>
      <c r="H111" s="172">
        <f t="shared" si="26"/>
        <v>1.1553370738714742E-2</v>
      </c>
      <c r="J111" s="168"/>
      <c r="K111" s="168"/>
      <c r="M111" s="364">
        <f>G111/G$228</f>
        <v>2.8233218516340419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490">
        <f>'[3]Sch C'!D115</f>
        <v>0</v>
      </c>
      <c r="D114" s="490">
        <f>'[3]Sch C'!F115</f>
        <v>0</v>
      </c>
      <c r="E114" s="171">
        <f t="shared" ref="E114:E118" si="29">C114+D114</f>
        <v>0</v>
      </c>
      <c r="F114" s="171"/>
      <c r="G114" s="171">
        <f>E114+F114</f>
        <v>0</v>
      </c>
      <c r="H114" s="172">
        <f t="shared" ref="H114:H119" si="30">IF($G$208=0,0,G114/$G$208)</f>
        <v>0</v>
      </c>
      <c r="J114" s="183">
        <v>0</v>
      </c>
      <c r="K114" s="183">
        <v>0</v>
      </c>
      <c r="M114" s="364">
        <f t="shared" ref="M114:M119" si="31">G114/G$228</f>
        <v>0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490">
        <f>'[3]Sch C'!D116</f>
        <v>0</v>
      </c>
      <c r="D115" s="490">
        <f>'[3]Sch C'!F116</f>
        <v>0</v>
      </c>
      <c r="E115" s="171">
        <f t="shared" si="29"/>
        <v>0</v>
      </c>
      <c r="F115" s="171"/>
      <c r="G115" s="171">
        <f>E115+F115</f>
        <v>0</v>
      </c>
      <c r="H115" s="172">
        <f t="shared" si="30"/>
        <v>0</v>
      </c>
      <c r="J115" s="168"/>
      <c r="K115" s="168"/>
      <c r="M115" s="364">
        <f t="shared" si="31"/>
        <v>0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490">
        <f>'[3]Sch C'!D117</f>
        <v>14690</v>
      </c>
      <c r="D116" s="490">
        <f>'[3]Sch C'!F117</f>
        <v>0</v>
      </c>
      <c r="E116" s="171">
        <f t="shared" si="29"/>
        <v>14690</v>
      </c>
      <c r="F116" s="171"/>
      <c r="G116" s="171">
        <f>E116+F116</f>
        <v>14690</v>
      </c>
      <c r="H116" s="172">
        <f t="shared" si="30"/>
        <v>2.5251296814812764E-3</v>
      </c>
      <c r="J116" s="168"/>
      <c r="K116" s="168"/>
      <c r="M116" s="364">
        <f t="shared" si="31"/>
        <v>0.61707132655633035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490">
        <f>'[3]Sch C'!D118</f>
        <v>88485</v>
      </c>
      <c r="D117" s="490">
        <f>'[3]Sch C'!F118</f>
        <v>0</v>
      </c>
      <c r="E117" s="171">
        <f t="shared" si="29"/>
        <v>88485</v>
      </c>
      <c r="F117" s="171"/>
      <c r="G117" s="171">
        <f>E117+F117</f>
        <v>88485</v>
      </c>
      <c r="H117" s="172">
        <f t="shared" si="30"/>
        <v>1.5210081679092631E-2</v>
      </c>
      <c r="J117" s="168"/>
      <c r="K117" s="168"/>
      <c r="M117" s="364">
        <f t="shared" si="31"/>
        <v>3.7169201041754181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490">
        <f>'[3]Sch C'!D119</f>
        <v>0</v>
      </c>
      <c r="D118" s="490">
        <f>'[3]Sch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J118" s="168"/>
      <c r="K118" s="168"/>
      <c r="M118" s="364">
        <f t="shared" si="31"/>
        <v>0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490">
        <f>SUM(C114:C118)</f>
        <v>103175</v>
      </c>
      <c r="D119" s="490">
        <f>SUM(D114:D118)</f>
        <v>0</v>
      </c>
      <c r="E119" s="171">
        <f t="shared" ref="E119:F119" si="32">SUM(E114:E118)</f>
        <v>103175</v>
      </c>
      <c r="F119" s="171">
        <f t="shared" si="32"/>
        <v>0</v>
      </c>
      <c r="G119" s="171">
        <f>SUM(G114:G118)</f>
        <v>103175</v>
      </c>
      <c r="H119" s="172">
        <f t="shared" si="30"/>
        <v>1.7735211360573908E-2</v>
      </c>
      <c r="J119" s="168"/>
      <c r="K119" s="168"/>
      <c r="M119" s="364">
        <f t="shared" si="31"/>
        <v>4.3339914307317482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J122" s="204"/>
      <c r="K122" s="204"/>
      <c r="M122" s="359"/>
      <c r="N122" s="359"/>
    </row>
    <row r="123" spans="1:14" s="167" customFormat="1">
      <c r="B123" s="163" t="s">
        <v>232</v>
      </c>
      <c r="C123" s="490">
        <f>'[3]Sch C'!D124</f>
        <v>0</v>
      </c>
      <c r="D123" s="490">
        <f>'[3]Sch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0.77002560279620991</v>
      </c>
    </row>
    <row r="124" spans="1:14" s="167" customFormat="1">
      <c r="B124" s="163" t="s">
        <v>194</v>
      </c>
      <c r="C124" s="490">
        <f>'[3]Sch C'!D125</f>
        <v>256989</v>
      </c>
      <c r="D124" s="490">
        <f>'[3]Sch C'!F125</f>
        <v>0</v>
      </c>
      <c r="E124" s="171">
        <f t="shared" si="33"/>
        <v>256989</v>
      </c>
      <c r="F124" s="171"/>
      <c r="G124" s="171">
        <f>E124+F124</f>
        <v>256989</v>
      </c>
      <c r="H124" s="172">
        <f>IF($G$208=0,0,G124/$G$208)</f>
        <v>4.4174986501987187E-2</v>
      </c>
      <c r="J124" s="183">
        <v>6267</v>
      </c>
      <c r="K124" s="183">
        <v>7362</v>
      </c>
      <c r="M124" s="364">
        <f t="shared" si="34"/>
        <v>10.795135680080651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490">
        <f>'[3]Sch C'!D126</f>
        <v>0</v>
      </c>
      <c r="D125" s="490">
        <f>'[3]Sch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J125" s="183">
        <v>0</v>
      </c>
      <c r="K125" s="183">
        <v>0</v>
      </c>
      <c r="M125" s="364">
        <f t="shared" si="34"/>
        <v>0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490">
        <f>'[3]Sch C'!D127</f>
        <v>0</v>
      </c>
      <c r="D126" s="490">
        <f>'[3]Sch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490">
        <f>'[3]Sch C'!D128</f>
        <v>31868</v>
      </c>
      <c r="D127" s="490">
        <f>'[3]Sch C'!F128</f>
        <v>0</v>
      </c>
      <c r="E127" s="171">
        <f t="shared" si="33"/>
        <v>31868</v>
      </c>
      <c r="F127" s="171"/>
      <c r="G127" s="171">
        <f>E127+F127</f>
        <v>31868</v>
      </c>
      <c r="H127" s="172">
        <f>IF($G$208=0,0,G127/$G$208)</f>
        <v>5.4779327902958015E-3</v>
      </c>
      <c r="J127" s="183">
        <v>2125</v>
      </c>
      <c r="K127" s="183">
        <v>2374</v>
      </c>
      <c r="M127" s="364">
        <f t="shared" si="34"/>
        <v>1.3386541208098799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205"/>
      <c r="G128" s="205"/>
      <c r="H128" s="206"/>
      <c r="I128" s="407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490">
        <f>'[3]Sch C'!D130</f>
        <v>0</v>
      </c>
      <c r="D129" s="490">
        <f>'[3]Sch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J129" s="204"/>
      <c r="K129" s="204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490">
        <f>'[3]Sch C'!D131</f>
        <v>24595</v>
      </c>
      <c r="D130" s="490">
        <f>'[3]Sch C'!F131</f>
        <v>0</v>
      </c>
      <c r="E130" s="171">
        <f t="shared" si="35"/>
        <v>24595</v>
      </c>
      <c r="F130" s="171"/>
      <c r="G130" s="171">
        <f>E130+F130</f>
        <v>24595</v>
      </c>
      <c r="H130" s="172">
        <f>IF($G$208=0,0,G130/$G$208)</f>
        <v>4.227744350989244E-3</v>
      </c>
      <c r="J130" s="204"/>
      <c r="K130" s="204"/>
      <c r="M130" s="364">
        <f t="shared" si="34"/>
        <v>1.0331429051499621</v>
      </c>
      <c r="N130" s="359">
        <f>SUMMARY!J133</f>
        <v>1.0792348507966931</v>
      </c>
    </row>
    <row r="131" spans="1:14" s="167" customFormat="1">
      <c r="B131" s="163" t="s">
        <v>195</v>
      </c>
      <c r="C131" s="490">
        <f>'[3]Sch C'!D132</f>
        <v>0</v>
      </c>
      <c r="D131" s="490">
        <f>'[3]Sch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J131" s="168"/>
      <c r="K131" s="168"/>
      <c r="M131" s="364">
        <f t="shared" si="34"/>
        <v>0</v>
      </c>
      <c r="N131" s="359">
        <f>SUMMARY!J134</f>
        <v>8.2765628075518377E-2</v>
      </c>
    </row>
    <row r="132" spans="1:14" s="167" customFormat="1">
      <c r="B132" s="163" t="s">
        <v>196</v>
      </c>
      <c r="C132" s="490">
        <f>'[3]Sch C'!D133</f>
        <v>0</v>
      </c>
      <c r="D132" s="490">
        <f>'[3]Sch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490">
        <f>'[3]Sch C'!D134</f>
        <v>9452</v>
      </c>
      <c r="D133" s="490">
        <f>'[3]Sch C'!F134</f>
        <v>0</v>
      </c>
      <c r="E133" s="171">
        <f t="shared" si="35"/>
        <v>9452</v>
      </c>
      <c r="F133" s="171"/>
      <c r="G133" s="171">
        <f>E133+F133</f>
        <v>9452</v>
      </c>
      <c r="H133" s="172">
        <f>IF($G$208=0,0,G133/$G$208)</f>
        <v>1.6247464771518738E-3</v>
      </c>
      <c r="J133" s="168"/>
      <c r="K133" s="168"/>
      <c r="M133" s="364">
        <f t="shared" si="34"/>
        <v>0.39704276232882468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08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490">
        <f>'[3]Sch C'!D136</f>
        <v>704806</v>
      </c>
      <c r="D135" s="490">
        <f>'[3]Sch C'!F136</f>
        <v>0</v>
      </c>
      <c r="E135" s="171">
        <f t="shared" ref="E135:E138" si="36">C135+D135</f>
        <v>704806</v>
      </c>
      <c r="F135" s="171"/>
      <c r="G135" s="171">
        <f>E135+F135</f>
        <v>704806</v>
      </c>
      <c r="H135" s="172">
        <f>IF($G$208=0,0,G135/$G$208)</f>
        <v>0.12115224984929153</v>
      </c>
      <c r="J135" s="183">
        <v>22905</v>
      </c>
      <c r="K135" s="183">
        <v>27015</v>
      </c>
      <c r="M135" s="364">
        <f t="shared" si="34"/>
        <v>29.606233722590943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490">
        <f>'[3]Sch C'!D137</f>
        <v>34361</v>
      </c>
      <c r="D136" s="490">
        <f>'[3]Sch C'!F137</f>
        <v>0</v>
      </c>
      <c r="E136" s="171">
        <f t="shared" si="36"/>
        <v>34361</v>
      </c>
      <c r="F136" s="171"/>
      <c r="G136" s="171">
        <f>E136+F136</f>
        <v>34361</v>
      </c>
      <c r="H136" s="172">
        <f>IF($G$208=0,0,G136/$G$208)</f>
        <v>5.9064656899508608E-3</v>
      </c>
      <c r="J136" s="183">
        <v>1505</v>
      </c>
      <c r="K136" s="183">
        <v>1926</v>
      </c>
      <c r="M136" s="364">
        <f t="shared" si="34"/>
        <v>1.4433756195916996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490">
        <f>'[3]Sch C'!D138</f>
        <v>653081</v>
      </c>
      <c r="D137" s="490">
        <f>'[3]Sch C'!F138</f>
        <v>72661</v>
      </c>
      <c r="E137" s="171">
        <f t="shared" si="36"/>
        <v>725742</v>
      </c>
      <c r="F137" s="171"/>
      <c r="G137" s="171">
        <f>E137+F137</f>
        <v>725742</v>
      </c>
      <c r="H137" s="172">
        <f>IF($G$208=0,0,G137/$G$208)</f>
        <v>0.12475103235517934</v>
      </c>
      <c r="J137" s="183">
        <v>55435</v>
      </c>
      <c r="K137" s="183">
        <v>65759</v>
      </c>
      <c r="M137" s="364">
        <f t="shared" si="34"/>
        <v>30.485675880030243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490">
        <f>'[3]Sch C'!D139</f>
        <v>72661</v>
      </c>
      <c r="D138" s="490">
        <f>'[3]Sch C'!F139</f>
        <v>-72661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J138" s="183">
        <v>0</v>
      </c>
      <c r="K138" s="183">
        <v>0</v>
      </c>
      <c r="M138" s="364">
        <f t="shared" si="34"/>
        <v>0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08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490">
        <f>'[3]Sch C'!D141</f>
        <v>279277</v>
      </c>
      <c r="D140" s="490">
        <f>'[3]Sch C'!F141</f>
        <v>-144910</v>
      </c>
      <c r="E140" s="171">
        <f t="shared" ref="E140:E143" si="37">C140+D140</f>
        <v>134367</v>
      </c>
      <c r="F140" s="171"/>
      <c r="G140" s="171">
        <f>E140+F140</f>
        <v>134367</v>
      </c>
      <c r="H140" s="172">
        <f>IF($G$208=0,0,G140/$G$208)</f>
        <v>2.3096943492960837E-2</v>
      </c>
      <c r="J140" s="168"/>
      <c r="K140" s="168"/>
      <c r="M140" s="364">
        <f t="shared" si="34"/>
        <v>5.6442493489036378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490">
        <f>'[3]Sch C'!D142</f>
        <v>0</v>
      </c>
      <c r="D141" s="490">
        <f>'[3]Sch C'!F142</f>
        <v>6551</v>
      </c>
      <c r="E141" s="171">
        <f t="shared" si="37"/>
        <v>6551</v>
      </c>
      <c r="F141" s="171"/>
      <c r="G141" s="171">
        <f>E141+F141</f>
        <v>6551</v>
      </c>
      <c r="H141" s="172">
        <f>IF($G$208=0,0,G141/$G$208)</f>
        <v>1.1260806360370212E-3</v>
      </c>
      <c r="J141" s="168"/>
      <c r="K141" s="168"/>
      <c r="M141" s="364">
        <f t="shared" si="34"/>
        <v>0.27518272704360247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490">
        <f>'[3]Sch C'!D143</f>
        <v>0</v>
      </c>
      <c r="D142" s="490">
        <f>'[3]Sch C'!F143</f>
        <v>138359</v>
      </c>
      <c r="E142" s="171">
        <f t="shared" si="37"/>
        <v>138359</v>
      </c>
      <c r="F142" s="171"/>
      <c r="G142" s="171">
        <f>E142+F142</f>
        <v>138359</v>
      </c>
      <c r="H142" s="172">
        <f>IF($G$208=0,0,G142/$G$208)</f>
        <v>2.378314619469489E-2</v>
      </c>
      <c r="J142" s="168"/>
      <c r="K142" s="168"/>
      <c r="M142" s="364">
        <f t="shared" si="34"/>
        <v>5.8119381668486936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490">
        <f>'[3]Sch C'!D144</f>
        <v>0</v>
      </c>
      <c r="D143" s="490">
        <f>'[3]Sch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J143" s="168"/>
      <c r="K143" s="168"/>
      <c r="M143" s="364">
        <f t="shared" si="34"/>
        <v>0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08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490">
        <f>'[3]Sch C'!D146</f>
        <v>48275</v>
      </c>
      <c r="D145" s="490">
        <f>'[3]Sch C'!F146</f>
        <v>0</v>
      </c>
      <c r="E145" s="171">
        <f t="shared" ref="E145:E153" si="38">C145+D145</f>
        <v>48275</v>
      </c>
      <c r="F145" s="171"/>
      <c r="G145" s="171">
        <f t="shared" ref="G145:G153" si="39">E145+F145</f>
        <v>48275</v>
      </c>
      <c r="H145" s="172">
        <f t="shared" ref="H145:H153" si="40">IF($G$208=0,0,G145/$G$208)</f>
        <v>8.2982052670870395E-3</v>
      </c>
      <c r="J145" s="183">
        <v>278</v>
      </c>
      <c r="K145" s="183">
        <v>278</v>
      </c>
      <c r="M145" s="364">
        <f t="shared" si="34"/>
        <v>2.0278501218180289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490">
        <f>'[3]Sch C'!D147</f>
        <v>0</v>
      </c>
      <c r="D146" s="490">
        <f>'[3]Sch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J146" s="183">
        <v>0</v>
      </c>
      <c r="K146" s="183">
        <v>0</v>
      </c>
      <c r="M146" s="364">
        <f t="shared" si="34"/>
        <v>0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490">
        <f>'[3]Sch C'!D148</f>
        <v>0</v>
      </c>
      <c r="D147" s="490">
        <f>'[3]Sch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490">
        <f>'[3]Sch C'!D149</f>
        <v>0</v>
      </c>
      <c r="D148" s="490">
        <f>'[3]Sch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J148" s="183">
        <v>0</v>
      </c>
      <c r="K148" s="183">
        <v>0</v>
      </c>
      <c r="M148" s="364">
        <f t="shared" si="34"/>
        <v>0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490">
        <f>'[3]Sch C'!D150</f>
        <v>493</v>
      </c>
      <c r="D149" s="490">
        <f>'[3]Sch C'!F150</f>
        <v>0</v>
      </c>
      <c r="E149" s="171">
        <f t="shared" si="38"/>
        <v>493</v>
      </c>
      <c r="F149" s="171"/>
      <c r="G149" s="171">
        <f t="shared" si="39"/>
        <v>493</v>
      </c>
      <c r="H149" s="172">
        <f t="shared" si="40"/>
        <v>8.474397093058334E-5</v>
      </c>
      <c r="J149" s="183">
        <v>0</v>
      </c>
      <c r="K149" s="183">
        <v>0</v>
      </c>
      <c r="M149" s="364">
        <f t="shared" si="34"/>
        <v>2.0709064941611358E-2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490">
        <f>'[3]Sch C'!D151</f>
        <v>113379</v>
      </c>
      <c r="D150" s="490">
        <f>'[3]Sch C'!F151</f>
        <v>-2403</v>
      </c>
      <c r="E150" s="171">
        <f t="shared" si="38"/>
        <v>110976</v>
      </c>
      <c r="F150" s="171"/>
      <c r="G150" s="171">
        <f t="shared" si="39"/>
        <v>110976</v>
      </c>
      <c r="H150" s="172">
        <f t="shared" si="40"/>
        <v>1.9076160077063725E-2</v>
      </c>
      <c r="J150" s="168"/>
      <c r="K150" s="168"/>
      <c r="M150" s="364">
        <f t="shared" si="34"/>
        <v>4.6616819289254812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490">
        <f>'[3]Sch C'!D152</f>
        <v>4384</v>
      </c>
      <c r="D151" s="490">
        <f>'[3]Sch C'!F152</f>
        <v>0</v>
      </c>
      <c r="E151" s="171">
        <f t="shared" si="38"/>
        <v>4384</v>
      </c>
      <c r="F151" s="171"/>
      <c r="G151" s="171">
        <f t="shared" si="39"/>
        <v>4384</v>
      </c>
      <c r="H151" s="172">
        <f t="shared" si="40"/>
        <v>7.5358533176405143E-4</v>
      </c>
      <c r="J151" s="168"/>
      <c r="K151" s="168"/>
      <c r="M151" s="364">
        <f t="shared" si="34"/>
        <v>0.18415525497773672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490">
        <f>'[3]Sch C'!D153</f>
        <v>0</v>
      </c>
      <c r="D152" s="490">
        <f>'[3]Sch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J152" s="168"/>
      <c r="K152" s="168"/>
      <c r="M152" s="364">
        <f t="shared" si="34"/>
        <v>0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490">
        <f>'[3]Sch C'!D154</f>
        <v>0</v>
      </c>
      <c r="D153" s="490">
        <f>'[3]Sch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210"/>
      <c r="G154" s="210"/>
      <c r="H154" s="211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490">
        <f>'[3]Sch C'!D156</f>
        <v>0</v>
      </c>
      <c r="D155" s="490">
        <f>'[3]Sch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490">
        <f>'[3]Sch C'!D157</f>
        <v>0</v>
      </c>
      <c r="D156" s="490">
        <f>'[3]Sch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J156" s="168"/>
      <c r="K156" s="168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490">
        <f>'[3]Sch C'!D158</f>
        <v>29</v>
      </c>
      <c r="D157" s="490">
        <f>'[3]Sch C'!F158</f>
        <v>0</v>
      </c>
      <c r="E157" s="171">
        <f t="shared" si="41"/>
        <v>29</v>
      </c>
      <c r="F157" s="171"/>
      <c r="G157" s="171">
        <f t="shared" si="42"/>
        <v>29</v>
      </c>
      <c r="H157" s="172">
        <f t="shared" si="43"/>
        <v>4.9849394665049029E-6</v>
      </c>
      <c r="J157" s="168"/>
      <c r="K157" s="168"/>
      <c r="M157" s="364">
        <f t="shared" si="34"/>
        <v>1.2181802906830212E-3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490">
        <f>'[3]Sch C'!D159</f>
        <v>0</v>
      </c>
      <c r="D158" s="490">
        <f>'[3]Sch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490">
        <f>'[3]Sch C'!D160</f>
        <v>0</v>
      </c>
      <c r="D159" s="490">
        <f>'[3]Sch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490">
        <f>'[3]Sch C'!D161</f>
        <v>12092</v>
      </c>
      <c r="D160" s="490">
        <f>'[3]Sch C'!F161</f>
        <v>-480</v>
      </c>
      <c r="E160" s="171">
        <f t="shared" si="41"/>
        <v>11612</v>
      </c>
      <c r="F160" s="171"/>
      <c r="G160" s="171">
        <f t="shared" si="42"/>
        <v>11612</v>
      </c>
      <c r="H160" s="172">
        <f t="shared" si="43"/>
        <v>1.996038520174308E-3</v>
      </c>
      <c r="J160" s="168"/>
      <c r="K160" s="168"/>
      <c r="M160" s="364">
        <f t="shared" si="34"/>
        <v>0.48777619087624968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490">
        <f>SUM(C123:C160)</f>
        <v>2245742</v>
      </c>
      <c r="D161" s="490">
        <f>SUM(D123:D160)</f>
        <v>-2883</v>
      </c>
      <c r="E161" s="171">
        <f t="shared" ref="E161:F161" si="44">SUM(E123:E160)</f>
        <v>2242859</v>
      </c>
      <c r="F161" s="171">
        <f t="shared" si="44"/>
        <v>0</v>
      </c>
      <c r="G161" s="171">
        <f>SUM(G123:G160)</f>
        <v>2242859</v>
      </c>
      <c r="H161" s="172">
        <f t="shared" si="43"/>
        <v>0.38553504644502479</v>
      </c>
      <c r="J161" s="168"/>
      <c r="K161" s="168"/>
      <c r="M161" s="364">
        <f>G161/G$228</f>
        <v>94.214021675207931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490">
        <f>'[3]Sch C'!D175</f>
        <v>0</v>
      </c>
      <c r="D164" s="490">
        <f>'[3]Sch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409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490">
        <f>'[3]Sch C'!D176</f>
        <v>0</v>
      </c>
      <c r="D165" s="490">
        <f>'[3]Sch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410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490">
        <f>'[3]Sch C'!D177</f>
        <v>0</v>
      </c>
      <c r="D166" s="490">
        <f>'[3]Sch C'!F177</f>
        <v>0</v>
      </c>
      <c r="E166" s="171">
        <f t="shared" si="45"/>
        <v>0</v>
      </c>
      <c r="F166" s="216"/>
      <c r="G166" s="171">
        <f t="shared" si="46"/>
        <v>0</v>
      </c>
      <c r="H166" s="172">
        <f t="shared" si="47"/>
        <v>0</v>
      </c>
      <c r="I166" s="409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490">
        <f>'[3]Sch C'!D178</f>
        <v>0</v>
      </c>
      <c r="D167" s="490">
        <f>'[3]Sch C'!F178</f>
        <v>0</v>
      </c>
      <c r="E167" s="171">
        <f t="shared" si="45"/>
        <v>0</v>
      </c>
      <c r="F167" s="216"/>
      <c r="G167" s="171">
        <f t="shared" si="46"/>
        <v>0</v>
      </c>
      <c r="H167" s="172">
        <f t="shared" si="47"/>
        <v>0</v>
      </c>
      <c r="I167" s="410"/>
      <c r="J167" s="222"/>
      <c r="K167" s="222"/>
      <c r="L167" s="218"/>
      <c r="M167" s="364">
        <f t="shared" si="48"/>
        <v>0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490">
        <f>'[3]Sch C'!D179</f>
        <v>0</v>
      </c>
      <c r="D168" s="490">
        <f>'[3]Sch C'!F179</f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409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490">
        <f>'[3]Sch C'!D180</f>
        <v>0</v>
      </c>
      <c r="D169" s="490">
        <f>'[3]Sch C'!F180</f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410"/>
      <c r="J169" s="222"/>
      <c r="K169" s="222"/>
      <c r="L169" s="218"/>
      <c r="M169" s="364">
        <f t="shared" si="48"/>
        <v>0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490">
        <f>'[3]Sch C'!D181</f>
        <v>0</v>
      </c>
      <c r="D170" s="490">
        <f>'[3]Sch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409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490">
        <f>'[3]Sch C'!D182</f>
        <v>0</v>
      </c>
      <c r="D171" s="490">
        <f>'[3]Sch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410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490">
        <f>'[3]Sch C'!D183</f>
        <v>0</v>
      </c>
      <c r="D172" s="490">
        <f>'[3]Sch C'!F183</f>
        <v>0</v>
      </c>
      <c r="E172" s="171">
        <f t="shared" si="45"/>
        <v>0</v>
      </c>
      <c r="F172" s="216"/>
      <c r="G172" s="171">
        <f t="shared" si="46"/>
        <v>0</v>
      </c>
      <c r="H172" s="172">
        <f t="shared" si="47"/>
        <v>0</v>
      </c>
      <c r="I172" s="409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490">
        <f>'[3]Sch C'!D184</f>
        <v>0</v>
      </c>
      <c r="D173" s="490">
        <f>'[3]Sch C'!F184</f>
        <v>0</v>
      </c>
      <c r="E173" s="171">
        <f t="shared" si="45"/>
        <v>0</v>
      </c>
      <c r="F173" s="216"/>
      <c r="G173" s="171">
        <f t="shared" si="46"/>
        <v>0</v>
      </c>
      <c r="H173" s="172">
        <f t="shared" si="47"/>
        <v>0</v>
      </c>
      <c r="I173" s="410"/>
      <c r="J173" s="222"/>
      <c r="K173" s="222"/>
      <c r="L173" s="218"/>
      <c r="M173" s="364">
        <f t="shared" si="48"/>
        <v>0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490">
        <f>'[3]Sch C'!D185</f>
        <v>0</v>
      </c>
      <c r="D174" s="490">
        <f>'[3]Sch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409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490">
        <f>'[3]Sch C'!D186</f>
        <v>0</v>
      </c>
      <c r="D175" s="490">
        <f>'[3]Sch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223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490">
        <f>'[3]Sch C'!D187</f>
        <v>0</v>
      </c>
      <c r="D176" s="490">
        <f>'[3]Sch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223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490">
        <f>'[3]Sch C'!D188</f>
        <v>0</v>
      </c>
      <c r="D177" s="490">
        <f>'[3]Sch C'!F188</f>
        <v>0</v>
      </c>
      <c r="E177" s="171">
        <f t="shared" si="45"/>
        <v>0</v>
      </c>
      <c r="F177" s="216"/>
      <c r="G177" s="171">
        <f t="shared" si="46"/>
        <v>0</v>
      </c>
      <c r="H177" s="172">
        <f t="shared" si="47"/>
        <v>0</v>
      </c>
      <c r="I177" s="223"/>
      <c r="J177" s="223"/>
      <c r="K177" s="218"/>
      <c r="L177" s="220"/>
      <c r="M177" s="364">
        <f t="shared" si="48"/>
        <v>0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490">
        <f>'[3]Sch C'!D189</f>
        <v>0</v>
      </c>
      <c r="D178" s="490">
        <f>'[3]Sch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223"/>
      <c r="J178" s="223"/>
      <c r="K178" s="218"/>
      <c r="L178" s="220"/>
      <c r="M178" s="364">
        <f t="shared" si="48"/>
        <v>0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490">
        <f>'[3]Sch C'!D190</f>
        <v>0</v>
      </c>
      <c r="D179" s="490">
        <f>'[3]Sch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223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490">
        <f>'[3]Sch C'!D191</f>
        <v>0</v>
      </c>
      <c r="D180" s="490">
        <f>'[3]Sch C'!F191</f>
        <v>0</v>
      </c>
      <c r="E180" s="171">
        <f t="shared" si="45"/>
        <v>0</v>
      </c>
      <c r="F180" s="216"/>
      <c r="G180" s="171">
        <f t="shared" si="46"/>
        <v>0</v>
      </c>
      <c r="H180" s="172">
        <f t="shared" si="47"/>
        <v>0</v>
      </c>
      <c r="I180" s="223"/>
      <c r="J180" s="223"/>
      <c r="K180" s="218"/>
      <c r="L180" s="220"/>
      <c r="M180" s="364">
        <f t="shared" si="48"/>
        <v>0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490">
        <f>'[3]Sch C'!D192</f>
        <v>946</v>
      </c>
      <c r="D181" s="490">
        <f>'[3]Sch C'!F192</f>
        <v>0</v>
      </c>
      <c r="E181" s="171">
        <f t="shared" si="45"/>
        <v>946</v>
      </c>
      <c r="F181" s="216"/>
      <c r="G181" s="171">
        <f t="shared" si="46"/>
        <v>946</v>
      </c>
      <c r="H181" s="172">
        <f t="shared" si="47"/>
        <v>1.6261216328667717E-4</v>
      </c>
      <c r="I181" s="223"/>
      <c r="J181" s="223"/>
      <c r="K181" s="218"/>
      <c r="L181" s="220"/>
      <c r="M181" s="364">
        <f t="shared" si="48"/>
        <v>3.9737881206418552E-2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490">
        <f>'[3]Sch C'!D193</f>
        <v>950</v>
      </c>
      <c r="D182" s="490">
        <f>'[3]Sch C'!F193</f>
        <v>0</v>
      </c>
      <c r="E182" s="171">
        <f t="shared" si="45"/>
        <v>950</v>
      </c>
      <c r="F182" s="216"/>
      <c r="G182" s="171">
        <f t="shared" si="46"/>
        <v>950</v>
      </c>
      <c r="H182" s="172">
        <f t="shared" si="47"/>
        <v>1.6329974114412613E-4</v>
      </c>
      <c r="I182" s="223"/>
      <c r="J182" s="223"/>
      <c r="K182" s="218"/>
      <c r="L182" s="220"/>
      <c r="M182" s="364">
        <f t="shared" si="48"/>
        <v>3.9905906074098968E-2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490">
        <f>'[3]Sch C'!D194</f>
        <v>228540</v>
      </c>
      <c r="D183" s="490">
        <f>'[3]Sch C'!F194</f>
        <v>8433</v>
      </c>
      <c r="E183" s="171">
        <f t="shared" si="45"/>
        <v>236973</v>
      </c>
      <c r="F183" s="216"/>
      <c r="G183" s="171">
        <f t="shared" si="46"/>
        <v>236973</v>
      </c>
      <c r="H183" s="172">
        <f t="shared" si="47"/>
        <v>4.0734346903312631E-2</v>
      </c>
      <c r="I183" s="223"/>
      <c r="J183" s="223"/>
      <c r="K183" s="218"/>
      <c r="M183" s="364">
        <f t="shared" si="48"/>
        <v>9.9543392422078476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490">
        <f>'[3]Sch C'!D195</f>
        <v>86494</v>
      </c>
      <c r="D184" s="490">
        <f>'[3]Sch C'!F195</f>
        <v>3192</v>
      </c>
      <c r="E184" s="171">
        <f t="shared" si="45"/>
        <v>89686</v>
      </c>
      <c r="F184" s="216"/>
      <c r="G184" s="171">
        <f t="shared" si="46"/>
        <v>89686</v>
      </c>
      <c r="H184" s="172">
        <f t="shared" si="47"/>
        <v>1.541652693079168E-2</v>
      </c>
      <c r="I184" s="223"/>
      <c r="J184" s="223"/>
      <c r="K184" s="218"/>
      <c r="M184" s="364">
        <f t="shared" si="48"/>
        <v>3.7673695706964629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490">
        <f>'[3]Sch C'!D196</f>
        <v>0</v>
      </c>
      <c r="D185" s="490">
        <f>'[3]Sch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223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490">
        <f>'[3]Sch C'!D197</f>
        <v>225293</v>
      </c>
      <c r="D186" s="490">
        <f>'[3]Sch C'!F197</f>
        <v>8313</v>
      </c>
      <c r="E186" s="171">
        <f t="shared" si="45"/>
        <v>233606</v>
      </c>
      <c r="F186" s="216"/>
      <c r="G186" s="171">
        <f t="shared" si="46"/>
        <v>233606</v>
      </c>
      <c r="H186" s="172">
        <f t="shared" si="47"/>
        <v>4.0155578241804976E-2</v>
      </c>
      <c r="I186" s="223"/>
      <c r="J186" s="223"/>
      <c r="K186" s="218"/>
      <c r="M186" s="364">
        <f t="shared" si="48"/>
        <v>9.8129043098378563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490">
        <f>'[3]Sch C'!D198</f>
        <v>26576</v>
      </c>
      <c r="D187" s="490">
        <f>'[3]Sch C'!F198</f>
        <v>0</v>
      </c>
      <c r="E187" s="171">
        <f t="shared" si="45"/>
        <v>26576</v>
      </c>
      <c r="F187" s="216"/>
      <c r="G187" s="171">
        <f t="shared" si="46"/>
        <v>26576</v>
      </c>
      <c r="H187" s="172">
        <f t="shared" si="47"/>
        <v>4.5682672848908375E-3</v>
      </c>
      <c r="I187" s="223"/>
      <c r="J187" s="223"/>
      <c r="K187" s="218"/>
      <c r="M187" s="364">
        <f t="shared" si="48"/>
        <v>1.1163572208686885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490">
        <f>'[3]Sch C'!D199</f>
        <v>0</v>
      </c>
      <c r="D188" s="490">
        <f>'[3]Sch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223"/>
      <c r="J188" s="223"/>
      <c r="K188" s="218"/>
      <c r="M188" s="364">
        <f t="shared" si="48"/>
        <v>0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490">
        <f>'[3]Sch C'!D200</f>
        <v>0</v>
      </c>
      <c r="D189" s="490">
        <f>'[3]Sch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223"/>
      <c r="J189" s="223"/>
      <c r="K189" s="218"/>
      <c r="M189" s="364">
        <f t="shared" si="48"/>
        <v>0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490">
        <f>'[3]Sch C'!D201</f>
        <v>0</v>
      </c>
      <c r="D190" s="490">
        <f>'[3]Sch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223"/>
      <c r="J190" s="223"/>
      <c r="K190" s="218"/>
      <c r="M190" s="364">
        <f t="shared" si="48"/>
        <v>0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490">
        <f>'[3]Sch C'!D202</f>
        <v>0</v>
      </c>
      <c r="D191" s="490">
        <f>'[3]Sch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223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490">
        <f>'[3]Sch C'!D203</f>
        <v>0</v>
      </c>
      <c r="D192" s="490">
        <f>'[3]Sch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223"/>
      <c r="J192" s="223"/>
      <c r="K192" s="218"/>
      <c r="M192" s="364">
        <f t="shared" si="48"/>
        <v>0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490">
        <f>'[3]Sch C'!D204</f>
        <v>0</v>
      </c>
      <c r="D193" s="490">
        <f>'[3]Sch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223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490">
        <f>'[3]Sch C'!D205</f>
        <v>189377</v>
      </c>
      <c r="D194" s="490">
        <f>'[3]Sch C'!F205</f>
        <v>-12013</v>
      </c>
      <c r="E194" s="171">
        <f t="shared" si="45"/>
        <v>177364</v>
      </c>
      <c r="F194" s="216"/>
      <c r="G194" s="171">
        <f t="shared" si="46"/>
        <v>177364</v>
      </c>
      <c r="H194" s="172">
        <f t="shared" si="47"/>
        <v>3.0487889777143985E-2</v>
      </c>
      <c r="I194" s="223"/>
      <c r="J194" s="223"/>
      <c r="K194" s="218"/>
      <c r="M194" s="364">
        <f t="shared" si="48"/>
        <v>7.4503906578173567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490">
        <f>'[3]Sch C'!D206</f>
        <v>2798</v>
      </c>
      <c r="D195" s="490">
        <f>'[3]Sch C'!F206</f>
        <v>0</v>
      </c>
      <c r="E195" s="171">
        <f t="shared" si="45"/>
        <v>2798</v>
      </c>
      <c r="F195" s="216"/>
      <c r="G195" s="171">
        <f t="shared" si="46"/>
        <v>2798</v>
      </c>
      <c r="H195" s="172">
        <f t="shared" si="47"/>
        <v>4.8096071128554197E-4</v>
      </c>
      <c r="I195" s="223"/>
      <c r="J195" s="223"/>
      <c r="K195" s="218"/>
      <c r="M195" s="364">
        <f t="shared" si="48"/>
        <v>0.11753339494245148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490">
        <f>'[3]Sch C'!D207</f>
        <v>1060</v>
      </c>
      <c r="D196" s="490">
        <f>'[3]Sch C'!F207</f>
        <v>0</v>
      </c>
      <c r="E196" s="171">
        <f t="shared" si="45"/>
        <v>1060</v>
      </c>
      <c r="F196" s="216"/>
      <c r="G196" s="171">
        <f t="shared" si="46"/>
        <v>1060</v>
      </c>
      <c r="H196" s="172">
        <f t="shared" si="47"/>
        <v>1.822081322239723E-4</v>
      </c>
      <c r="I196" s="223"/>
      <c r="J196" s="223"/>
      <c r="K196" s="218"/>
      <c r="M196" s="364">
        <f t="shared" si="48"/>
        <v>4.4526589935310425E-2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490">
        <f>SUM(C164:C196)</f>
        <v>762034</v>
      </c>
      <c r="D197" s="490">
        <f>SUM(D164:D196)</f>
        <v>7925</v>
      </c>
      <c r="E197" s="171">
        <f t="shared" ref="E197:F197" si="49">SUM(E164:E196)</f>
        <v>769959</v>
      </c>
      <c r="F197" s="171">
        <f t="shared" si="49"/>
        <v>0</v>
      </c>
      <c r="G197" s="171">
        <f>SUM(G164:G196)</f>
        <v>769959</v>
      </c>
      <c r="H197" s="172">
        <f>IF($G$208=0,0,G197/$G$208)</f>
        <v>0.13235168988588442</v>
      </c>
      <c r="J197" s="168"/>
      <c r="K197" s="168"/>
      <c r="M197" s="364">
        <f>G197/G$228</f>
        <v>32.343064773586491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165"/>
      <c r="G198" s="165"/>
      <c r="H198" s="198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490">
        <f>'[3]Sch C'!D211</f>
        <v>129728</v>
      </c>
      <c r="D200" s="490">
        <f>'[3]Sch C'!F211</f>
        <v>0</v>
      </c>
      <c r="E200" s="171">
        <f t="shared" ref="E200:E205" si="50">C200+D200</f>
        <v>129728</v>
      </c>
      <c r="F200" s="171"/>
      <c r="G200" s="171">
        <f t="shared" ref="G200:G205" si="51">E200+F200</f>
        <v>129728</v>
      </c>
      <c r="H200" s="172">
        <f t="shared" ref="H200:H206" si="52">IF($G$208=0,0,G200/$G$208)</f>
        <v>2.2299525072784415E-2</v>
      </c>
      <c r="J200" s="183">
        <v>6601</v>
      </c>
      <c r="K200" s="183">
        <v>8120</v>
      </c>
      <c r="M200" s="364">
        <f t="shared" ref="M200:M205" si="53">G200/G$228</f>
        <v>5.4493825086112748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490">
        <f>'[3]Sch C'!D212</f>
        <v>40043</v>
      </c>
      <c r="D201" s="490">
        <f>'[3]Sch C'!F212</f>
        <v>0</v>
      </c>
      <c r="E201" s="171">
        <f t="shared" si="50"/>
        <v>40043</v>
      </c>
      <c r="F201" s="171"/>
      <c r="G201" s="171">
        <f t="shared" si="51"/>
        <v>40043</v>
      </c>
      <c r="H201" s="172">
        <f t="shared" si="52"/>
        <v>6.883170036457097E-3</v>
      </c>
      <c r="J201" s="168"/>
      <c r="K201" s="168"/>
      <c r="M201" s="364">
        <f t="shared" si="53"/>
        <v>1.6820549441317314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490">
        <f>'[3]Sch C'!D213</f>
        <v>7382</v>
      </c>
      <c r="D202" s="490">
        <f>'[3]Sch C'!F213</f>
        <v>0</v>
      </c>
      <c r="E202" s="171">
        <f t="shared" si="50"/>
        <v>7382</v>
      </c>
      <c r="F202" s="171"/>
      <c r="G202" s="171">
        <f t="shared" si="51"/>
        <v>7382</v>
      </c>
      <c r="H202" s="172">
        <f t="shared" si="52"/>
        <v>1.2689249359220411E-3</v>
      </c>
      <c r="J202" s="168"/>
      <c r="K202" s="168"/>
      <c r="M202" s="364">
        <f t="shared" si="53"/>
        <v>0.310089893304209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490">
        <f>'[3]Sch C'!D214</f>
        <v>0</v>
      </c>
      <c r="D203" s="490">
        <f>'[3]Sch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J203" s="168"/>
      <c r="K203" s="168"/>
      <c r="M203" s="364">
        <f t="shared" si="53"/>
        <v>0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490">
        <f>'[3]Sch C'!D215</f>
        <v>0</v>
      </c>
      <c r="D204" s="490">
        <f>'[3]Sch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490">
        <f>'[3]Sch C'!D216</f>
        <v>3452</v>
      </c>
      <c r="D205" s="490">
        <f>'[3]Sch C'!F216</f>
        <v>0</v>
      </c>
      <c r="E205" s="171">
        <f t="shared" si="50"/>
        <v>3452</v>
      </c>
      <c r="F205" s="171"/>
      <c r="G205" s="171">
        <f t="shared" si="51"/>
        <v>3452</v>
      </c>
      <c r="H205" s="172">
        <f t="shared" si="52"/>
        <v>5.9337969097844568E-4</v>
      </c>
      <c r="J205" s="168"/>
      <c r="K205" s="168"/>
      <c r="M205" s="364">
        <f t="shared" si="53"/>
        <v>0.14500546080819962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490">
        <f>SUM(C200:C205)</f>
        <v>180605</v>
      </c>
      <c r="D206" s="490">
        <f>SUM(D200:D205)</f>
        <v>0</v>
      </c>
      <c r="E206" s="171">
        <f t="shared" ref="E206:F206" si="54">SUM(E200:E205)</f>
        <v>180605</v>
      </c>
      <c r="F206" s="171">
        <f t="shared" si="54"/>
        <v>0</v>
      </c>
      <c r="G206" s="171">
        <f>SUM(G200:G205)</f>
        <v>180605</v>
      </c>
      <c r="H206" s="172">
        <f t="shared" si="52"/>
        <v>3.1044999736141998E-2</v>
      </c>
      <c r="J206" s="168"/>
      <c r="K206" s="168"/>
      <c r="M206" s="364">
        <f>G206/G$228</f>
        <v>7.5865328068554145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165"/>
      <c r="G207" s="165"/>
      <c r="H207" s="198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490">
        <f>SUM(C25:C206)/2</f>
        <v>5859279</v>
      </c>
      <c r="D208" s="490">
        <f>SUM(D25:D206)/2</f>
        <v>-41756</v>
      </c>
      <c r="E208" s="171">
        <f t="shared" ref="E208:F208" si="55">SUM(E25:E206)/2</f>
        <v>5817523</v>
      </c>
      <c r="F208" s="171">
        <f t="shared" si="55"/>
        <v>0</v>
      </c>
      <c r="G208" s="171">
        <f>SUM(G25:G206)/2</f>
        <v>5817523</v>
      </c>
      <c r="H208" s="172">
        <f>IF($G$208=0,0,G208/$G$208)</f>
        <v>1</v>
      </c>
      <c r="J208" s="183">
        <f>SUM(J25:J200)</f>
        <v>121027</v>
      </c>
      <c r="K208" s="183">
        <f>SUM(K25:K200)</f>
        <v>141962</v>
      </c>
      <c r="M208" s="364">
        <f>G208/G$228</f>
        <v>244.37213307569522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J210" s="168"/>
      <c r="K210" s="168"/>
    </row>
    <row r="211" spans="1:14" s="167" customFormat="1" ht="15.5">
      <c r="A211" s="163"/>
      <c r="B211" s="228" t="s">
        <v>181</v>
      </c>
      <c r="C211" s="490">
        <f>'[3]Sch C'!D221</f>
        <v>5859279</v>
      </c>
      <c r="D211" s="196"/>
      <c r="E211" s="165"/>
      <c r="F211"/>
      <c r="G211"/>
      <c r="J211" s="168"/>
      <c r="K211" s="168"/>
    </row>
    <row r="212" spans="1:14" s="167" customFormat="1" ht="15.5">
      <c r="A212" s="163"/>
      <c r="B212" s="170" t="s">
        <v>147</v>
      </c>
      <c r="C212" s="490">
        <f>C208-C211</f>
        <v>0</v>
      </c>
      <c r="D212" s="229"/>
      <c r="E212" s="165"/>
      <c r="F212"/>
      <c r="G212"/>
      <c r="J212" s="168"/>
      <c r="K212" s="168"/>
    </row>
    <row r="213" spans="1:14" s="167" customFormat="1">
      <c r="A213" s="163"/>
      <c r="B213" s="230"/>
      <c r="C213" s="231"/>
      <c r="D213" s="232"/>
      <c r="E213" s="232"/>
      <c r="F213" s="232"/>
      <c r="G213" s="232"/>
      <c r="H213" s="16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J214" s="168"/>
      <c r="K214" s="168"/>
    </row>
    <row r="215" spans="1:14" s="167" customFormat="1">
      <c r="A215" s="163"/>
      <c r="B215" s="228" t="s">
        <v>78</v>
      </c>
      <c r="C215" s="490">
        <f>C21-C208</f>
        <v>162202</v>
      </c>
      <c r="D215" s="490">
        <f>D21-D208</f>
        <v>38821</v>
      </c>
      <c r="E215" s="171">
        <f t="shared" ref="E215:F215" si="56">E21-E208</f>
        <v>201023</v>
      </c>
      <c r="F215" s="171">
        <f t="shared" si="56"/>
        <v>0</v>
      </c>
      <c r="G215" s="171">
        <f>G21-G208</f>
        <v>201023</v>
      </c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167"/>
      <c r="J218" s="168"/>
      <c r="K218" s="168"/>
    </row>
    <row r="219" spans="1:14">
      <c r="A219" s="163"/>
      <c r="B219" s="170" t="s">
        <v>218</v>
      </c>
      <c r="C219" s="491">
        <f>'[3]Sch D'!C9</f>
        <v>11736</v>
      </c>
      <c r="D219" s="491"/>
      <c r="E219" s="235">
        <f t="shared" ref="E219:G227" si="57">C219+D219</f>
        <v>11736</v>
      </c>
      <c r="F219" s="234"/>
      <c r="G219" s="235">
        <f t="shared" si="57"/>
        <v>11736</v>
      </c>
      <c r="H219" s="172">
        <f t="shared" ref="H219:H228" si="58">IF($G$228=0,0,G219/$G$228)</f>
        <v>0.49298496177434259</v>
      </c>
      <c r="I219" s="167"/>
      <c r="J219" s="168"/>
      <c r="K219" s="168"/>
    </row>
    <row r="220" spans="1:14">
      <c r="A220" s="163"/>
      <c r="B220" s="170" t="s">
        <v>217</v>
      </c>
      <c r="C220" s="491">
        <f>'[3]Sch D'!D9</f>
        <v>0</v>
      </c>
      <c r="D220" s="491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167"/>
      <c r="J220" s="168"/>
      <c r="K220" s="168"/>
    </row>
    <row r="221" spans="1:14">
      <c r="A221" s="163"/>
      <c r="B221" s="170" t="s">
        <v>72</v>
      </c>
      <c r="C221" s="491">
        <f>'[3]Sch D'!E9</f>
        <v>2784</v>
      </c>
      <c r="D221" s="491"/>
      <c r="E221" s="235">
        <f t="shared" si="59"/>
        <v>2784</v>
      </c>
      <c r="F221" s="234"/>
      <c r="G221" s="235">
        <f t="shared" si="57"/>
        <v>2784</v>
      </c>
      <c r="H221" s="172">
        <f t="shared" si="58"/>
        <v>0.11694530790557002</v>
      </c>
      <c r="I221" s="167"/>
      <c r="J221" s="168"/>
      <c r="K221" s="168"/>
    </row>
    <row r="222" spans="1:14">
      <c r="A222" s="163"/>
      <c r="B222" s="202" t="s">
        <v>334</v>
      </c>
      <c r="C222" s="491">
        <f>'[3]Sch D'!F9</f>
        <v>1993</v>
      </c>
      <c r="D222" s="491"/>
      <c r="E222" s="235">
        <f>C222+D222</f>
        <v>1993</v>
      </c>
      <c r="F222" s="234"/>
      <c r="G222" s="235">
        <f>E222+F222</f>
        <v>1993</v>
      </c>
      <c r="H222" s="172">
        <f t="shared" si="58"/>
        <v>8.3718390321767616E-2</v>
      </c>
      <c r="I222" s="167"/>
      <c r="J222" s="168"/>
      <c r="K222" s="168"/>
    </row>
    <row r="223" spans="1:14">
      <c r="A223" s="163"/>
      <c r="B223" s="170" t="s">
        <v>73</v>
      </c>
      <c r="C223" s="491">
        <f>'[3]Sch D'!G9</f>
        <v>0</v>
      </c>
      <c r="D223" s="491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167"/>
      <c r="J223" s="168"/>
      <c r="K223" s="168"/>
    </row>
    <row r="224" spans="1:14">
      <c r="A224" s="163"/>
      <c r="B224" s="170" t="s">
        <v>74</v>
      </c>
      <c r="C224" s="491">
        <f>'[3]Sch D'!H9</f>
        <v>4613</v>
      </c>
      <c r="D224" s="491"/>
      <c r="E224" s="235">
        <f t="shared" si="59"/>
        <v>4613</v>
      </c>
      <c r="F224" s="234"/>
      <c r="G224" s="235">
        <f t="shared" si="57"/>
        <v>4613</v>
      </c>
      <c r="H224" s="172">
        <f t="shared" si="58"/>
        <v>0.19377467865244055</v>
      </c>
      <c r="I224" s="167"/>
      <c r="J224" s="168"/>
      <c r="K224" s="168"/>
    </row>
    <row r="225" spans="1:11">
      <c r="A225" s="163"/>
      <c r="B225" s="170" t="s">
        <v>236</v>
      </c>
      <c r="C225" s="491">
        <f>'[3]Sch D'!I9</f>
        <v>2473</v>
      </c>
      <c r="D225" s="491"/>
      <c r="E225" s="235">
        <f t="shared" si="59"/>
        <v>2473</v>
      </c>
      <c r="F225" s="234"/>
      <c r="G225" s="235">
        <f t="shared" si="57"/>
        <v>2473</v>
      </c>
      <c r="H225" s="172">
        <f t="shared" si="58"/>
        <v>0.10388137444341762</v>
      </c>
      <c r="I225" s="167"/>
      <c r="J225" s="168"/>
      <c r="K225" s="168"/>
    </row>
    <row r="226" spans="1:11">
      <c r="A226" s="163"/>
      <c r="B226" s="170" t="s">
        <v>235</v>
      </c>
      <c r="C226" s="491">
        <f>'[3]Sch D'!J9</f>
        <v>0</v>
      </c>
      <c r="D226" s="491"/>
      <c r="E226" s="235">
        <f>C226+D226</f>
        <v>0</v>
      </c>
      <c r="F226" s="234"/>
      <c r="G226" s="235">
        <f>E226+F226</f>
        <v>0</v>
      </c>
      <c r="H226" s="172">
        <f t="shared" si="58"/>
        <v>0</v>
      </c>
      <c r="I226" s="167"/>
      <c r="J226" s="168"/>
      <c r="K226" s="168"/>
    </row>
    <row r="227" spans="1:11">
      <c r="A227" s="163"/>
      <c r="B227" s="170" t="s">
        <v>179</v>
      </c>
      <c r="C227" s="491">
        <f>'[3]Sch D'!K9</f>
        <v>207</v>
      </c>
      <c r="D227" s="491"/>
      <c r="E227" s="235">
        <f t="shared" si="59"/>
        <v>207</v>
      </c>
      <c r="F227" s="234"/>
      <c r="G227" s="235">
        <f t="shared" si="57"/>
        <v>207</v>
      </c>
      <c r="H227" s="172">
        <f t="shared" si="58"/>
        <v>8.6952869024615638E-3</v>
      </c>
      <c r="I227" s="167"/>
      <c r="J227" s="168"/>
      <c r="K227" s="168"/>
    </row>
    <row r="228" spans="1:11" ht="13.5" thickBot="1">
      <c r="A228" s="163"/>
      <c r="B228" s="236" t="s">
        <v>75</v>
      </c>
      <c r="C228" s="491">
        <f>SUM(C219:C227)</f>
        <v>23806</v>
      </c>
      <c r="D228" s="491">
        <f>SUM(D219:D227)</f>
        <v>0</v>
      </c>
      <c r="E228" s="237">
        <f>SUM(E219:E227)</f>
        <v>23806</v>
      </c>
      <c r="F228" s="237">
        <f>SUM(F219:F227)</f>
        <v>0</v>
      </c>
      <c r="G228" s="237">
        <f>SUM(G219:G227)</f>
        <v>23806</v>
      </c>
      <c r="H228" s="172">
        <f t="shared" si="58"/>
        <v>1</v>
      </c>
      <c r="I228" s="167"/>
      <c r="J228" s="168"/>
      <c r="K228" s="168"/>
    </row>
    <row r="229" spans="1:11" ht="13.5" thickTop="1">
      <c r="A229" s="163"/>
      <c r="B229" s="167"/>
      <c r="C229" s="238"/>
      <c r="D229" s="239"/>
      <c r="E229" s="232"/>
      <c r="F229" s="239"/>
      <c r="G229" s="232"/>
      <c r="H229" s="167"/>
      <c r="I229" s="167"/>
      <c r="J229" s="168"/>
      <c r="K229" s="168"/>
    </row>
    <row r="230" spans="1:11">
      <c r="A230" s="163"/>
      <c r="B230" s="233" t="s">
        <v>160</v>
      </c>
      <c r="C230" s="231"/>
      <c r="D230" s="232"/>
      <c r="E230" s="232"/>
      <c r="F230" s="232"/>
      <c r="G230" s="232"/>
      <c r="H230" s="167"/>
      <c r="I230" s="167"/>
      <c r="J230" s="168"/>
      <c r="K230" s="168"/>
    </row>
    <row r="231" spans="1:11">
      <c r="A231" s="163"/>
      <c r="B231" s="202" t="s">
        <v>219</v>
      </c>
      <c r="C231" s="492">
        <f>'[3]Sch D'!N22</f>
        <v>122</v>
      </c>
      <c r="D231" s="526"/>
      <c r="E231" s="235">
        <f>C231+D231</f>
        <v>122</v>
      </c>
      <c r="F231" s="235"/>
      <c r="G231" s="235">
        <f>E231+F231</f>
        <v>122</v>
      </c>
      <c r="H231" s="167"/>
      <c r="I231" s="167"/>
      <c r="J231" s="168"/>
      <c r="K231" s="168"/>
    </row>
    <row r="232" spans="1:11">
      <c r="A232" s="163"/>
      <c r="B232" s="202" t="s">
        <v>290</v>
      </c>
      <c r="C232" s="492">
        <f>'[3]Sch D'!N24</f>
        <v>122</v>
      </c>
      <c r="D232" s="526"/>
      <c r="E232" s="235">
        <f>C232+D232</f>
        <v>122</v>
      </c>
      <c r="F232" s="235"/>
      <c r="G232" s="235">
        <f>E232+F232</f>
        <v>122</v>
      </c>
      <c r="H232" s="167"/>
      <c r="I232" s="167"/>
      <c r="J232" s="168"/>
      <c r="K232" s="168"/>
    </row>
    <row r="233" spans="1:11">
      <c r="A233" s="163"/>
      <c r="B233" s="202" t="s">
        <v>76</v>
      </c>
      <c r="C233" s="492">
        <f>$C$4-$C$3+1</f>
        <v>365</v>
      </c>
      <c r="D233" s="489"/>
      <c r="E233" s="235">
        <f>C233+D233</f>
        <v>365</v>
      </c>
      <c r="F233" s="240"/>
      <c r="G233" s="235">
        <f>E233+F233</f>
        <v>365</v>
      </c>
      <c r="H233" s="167"/>
      <c r="I233" s="167"/>
      <c r="J233" s="168"/>
      <c r="K233" s="168"/>
    </row>
    <row r="234" spans="1:11">
      <c r="A234" s="163"/>
      <c r="B234" s="241"/>
      <c r="C234" s="242"/>
      <c r="D234" s="240"/>
      <c r="E234" s="243"/>
      <c r="F234" s="240"/>
      <c r="G234" s="243"/>
      <c r="H234" s="167"/>
      <c r="I234" s="167"/>
      <c r="J234" s="168"/>
      <c r="K234" s="168"/>
    </row>
    <row r="235" spans="1:11" ht="26">
      <c r="A235" s="163"/>
      <c r="B235" s="244" t="s">
        <v>335</v>
      </c>
      <c r="C235" s="492">
        <f>'[3]Sch D'!N28</f>
        <v>44530</v>
      </c>
      <c r="D235" s="489"/>
      <c r="E235" s="234">
        <f>E231*E233</f>
        <v>44530</v>
      </c>
      <c r="F235" s="240"/>
      <c r="G235" s="234">
        <f>G231*G233</f>
        <v>44530</v>
      </c>
      <c r="H235" s="167"/>
      <c r="I235" s="167"/>
      <c r="J235" s="168"/>
      <c r="K235" s="168"/>
    </row>
    <row r="236" spans="1:11" ht="26">
      <c r="A236" s="163"/>
      <c r="B236" s="244" t="s">
        <v>336</v>
      </c>
      <c r="C236" s="493">
        <f>'[3]Sch D'!N30</f>
        <v>0.5346058836739277</v>
      </c>
      <c r="D236" s="240"/>
      <c r="E236" s="245">
        <f>IFERROR(E228/E235,"0")</f>
        <v>0.5346058836739277</v>
      </c>
      <c r="F236" s="246"/>
      <c r="G236" s="245">
        <f>IFERROR(G228/G235,"0")</f>
        <v>0.5346058836739277</v>
      </c>
      <c r="H236" s="167"/>
      <c r="I236" s="167"/>
      <c r="J236" s="168"/>
      <c r="K236" s="168"/>
    </row>
    <row r="237" spans="1:11" ht="26">
      <c r="A237" s="163"/>
      <c r="B237" s="244" t="s">
        <v>337</v>
      </c>
      <c r="C237" s="493">
        <f>'[3]Sch D'!N32</f>
        <v>0.26355266112732989</v>
      </c>
      <c r="D237" s="240"/>
      <c r="E237" s="245">
        <f>IFERROR((E219+E220)/E235,"0")</f>
        <v>0.26355266112732989</v>
      </c>
      <c r="F237" s="246"/>
      <c r="G237" s="245">
        <f>IFERROR((G219+G220)/G235,"0")</f>
        <v>0.26355266112732989</v>
      </c>
      <c r="H237" s="167"/>
      <c r="I237" s="167"/>
      <c r="J237" s="168"/>
      <c r="K237" s="168"/>
    </row>
    <row r="238" spans="1:11" ht="26">
      <c r="A238" s="163"/>
      <c r="B238" s="244" t="s">
        <v>338</v>
      </c>
      <c r="C238" s="493">
        <f>'[3]Sch D'!N34</f>
        <v>0.49298496177434259</v>
      </c>
      <c r="D238" s="240"/>
      <c r="E238" s="245">
        <f>IFERROR((E237/E236),"0")</f>
        <v>0.49298496177434259</v>
      </c>
      <c r="F238" s="246"/>
      <c r="G238" s="245">
        <f>IFERROR((G237/G236),"0")</f>
        <v>0.49298496177434259</v>
      </c>
      <c r="H238" s="167"/>
      <c r="I238" s="167"/>
      <c r="J238" s="168"/>
      <c r="K238" s="168"/>
    </row>
    <row r="239" spans="1:11">
      <c r="I239" s="140"/>
    </row>
    <row r="240" spans="1:11">
      <c r="I240" s="140"/>
    </row>
    <row r="241" spans="2:9">
      <c r="B241" s="148" t="s">
        <v>339</v>
      </c>
      <c r="F241" s="142" t="s">
        <v>340</v>
      </c>
      <c r="G241" s="490">
        <f>'[3]Sch B'!C85</f>
        <v>208.35221238938053</v>
      </c>
      <c r="I241" s="140"/>
    </row>
    <row r="242" spans="2:9">
      <c r="F242" s="142" t="s">
        <v>341</v>
      </c>
      <c r="G242" s="490">
        <f>'[3]Sch B'!E85</f>
        <v>208.3524011299435</v>
      </c>
      <c r="I242" s="140"/>
    </row>
    <row r="243" spans="2:9">
      <c r="F243" s="142" t="s">
        <v>342</v>
      </c>
      <c r="G243" s="490">
        <f>'[3]Sch B'!G85</f>
        <v>208.35232800555943</v>
      </c>
      <c r="I243" s="140"/>
    </row>
    <row r="244" spans="2:9">
      <c r="F244" s="142" t="s">
        <v>343</v>
      </c>
      <c r="G244" s="490">
        <f>'[3]Sch B'!I85</f>
        <v>208.35121542330259</v>
      </c>
      <c r="I244" s="140"/>
    </row>
    <row r="245" spans="2:9">
      <c r="F245" s="142"/>
      <c r="I245" s="140"/>
    </row>
    <row r="246" spans="2:9">
      <c r="I246" s="140"/>
    </row>
    <row r="247" spans="2:9">
      <c r="I247" s="140"/>
    </row>
    <row r="248" spans="2:9">
      <c r="I248" s="140"/>
    </row>
    <row r="249" spans="2:9">
      <c r="I249" s="140"/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2">
    <tabColor rgb="FFE28CAB"/>
  </sheetPr>
  <dimension ref="A1:Q245"/>
  <sheetViews>
    <sheetView showGridLines="0" zoomScale="90" zoomScaleNormal="90" workbookViewId="0">
      <pane xSplit="2" topLeftCell="C1" activePane="topRight" state="frozen"/>
      <selection activeCell="N1" sqref="N1"/>
      <selection pane="topRight"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478"/>
      <c r="E1" s="478"/>
      <c r="F1" s="478"/>
      <c r="G1" s="478"/>
      <c r="H1" s="478"/>
      <c r="I1" s="479"/>
    </row>
    <row r="2" spans="1:14" ht="23">
      <c r="B2" s="143" t="s">
        <v>189</v>
      </c>
      <c r="C2" s="247" t="s">
        <v>356</v>
      </c>
      <c r="D2" s="247"/>
      <c r="E2" s="144"/>
    </row>
    <row r="3" spans="1:14">
      <c r="A3" s="145"/>
      <c r="B3" s="140" t="s">
        <v>79</v>
      </c>
      <c r="C3" s="495">
        <v>41821</v>
      </c>
      <c r="D3" s="144"/>
      <c r="E3" s="147"/>
    </row>
    <row r="4" spans="1:14">
      <c r="A4" s="145"/>
      <c r="B4" s="148" t="s">
        <v>80</v>
      </c>
      <c r="C4" s="495">
        <v>42185</v>
      </c>
      <c r="D4" s="144"/>
      <c r="E4" s="149"/>
      <c r="G4" s="150"/>
    </row>
    <row r="5" spans="1:14">
      <c r="A5" s="145"/>
      <c r="B5" s="148"/>
      <c r="C5" s="151"/>
      <c r="D5" s="144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144"/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490">
        <f>'[27]Sch B'!E10</f>
        <v>2914532</v>
      </c>
      <c r="D11" s="490">
        <f>'[27]Sch B'!G10</f>
        <v>0</v>
      </c>
      <c r="E11" s="171">
        <f>C11+D11</f>
        <v>2914532</v>
      </c>
      <c r="F11" s="171"/>
      <c r="G11" s="171">
        <f t="shared" ref="G11:G20" si="0">E11+F11</f>
        <v>2914532</v>
      </c>
      <c r="H11" s="172">
        <f t="shared" ref="H11:H21" si="1">IF($G$21=0,0,G11/$G$21)</f>
        <v>0.38961503195690472</v>
      </c>
      <c r="I11" s="337"/>
      <c r="J11" s="368" t="s">
        <v>344</v>
      </c>
      <c r="K11" s="369">
        <f>G21</f>
        <v>7480543</v>
      </c>
      <c r="M11" s="359">
        <f>IFERROR(G11/G219,0)</f>
        <v>185.50900642861689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490">
        <f>'[27]Sch B'!E15</f>
        <v>0</v>
      </c>
      <c r="D12" s="490">
        <f>'[27]Sch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7"/>
      <c r="J12" s="370" t="s">
        <v>345</v>
      </c>
      <c r="K12" s="371">
        <f>G208</f>
        <v>6996299.5893953303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490">
        <f>'[27]Sch B'!E21</f>
        <v>1618433</v>
      </c>
      <c r="D13" s="490">
        <f>'[27]Sch B'!G21</f>
        <v>0</v>
      </c>
      <c r="E13" s="171">
        <f t="shared" si="2"/>
        <v>1618433</v>
      </c>
      <c r="F13" s="171"/>
      <c r="G13" s="171">
        <f t="shared" si="0"/>
        <v>1618433</v>
      </c>
      <c r="H13" s="172">
        <f t="shared" si="1"/>
        <v>0.21635234233664588</v>
      </c>
      <c r="I13" s="337"/>
      <c r="J13" s="370" t="s">
        <v>346</v>
      </c>
      <c r="K13" s="371">
        <f>G228</f>
        <v>30614</v>
      </c>
      <c r="M13" s="359">
        <f t="shared" si="3"/>
        <v>514.44151303242211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490">
        <f>'[27]Sch B'!E27</f>
        <v>1173391</v>
      </c>
      <c r="D14" s="490">
        <f>'[27]Sch B'!G27</f>
        <v>0</v>
      </c>
      <c r="E14" s="171">
        <f t="shared" si="2"/>
        <v>1173391</v>
      </c>
      <c r="F14" s="175"/>
      <c r="G14" s="175">
        <f>E14+F14</f>
        <v>1173391</v>
      </c>
      <c r="H14" s="176">
        <f t="shared" si="1"/>
        <v>0.15685906758373022</v>
      </c>
      <c r="I14" s="338"/>
      <c r="J14" s="370" t="s">
        <v>347</v>
      </c>
      <c r="K14" s="371">
        <f>G231</f>
        <v>120</v>
      </c>
      <c r="M14" s="359">
        <f t="shared" si="3"/>
        <v>383.08553705517465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490">
        <f>'[27]Sch B'!E32</f>
        <v>413115</v>
      </c>
      <c r="D15" s="490">
        <f>'[27]Sch B'!G32</f>
        <v>0</v>
      </c>
      <c r="E15" s="171">
        <f t="shared" si="2"/>
        <v>413115</v>
      </c>
      <c r="F15" s="171"/>
      <c r="G15" s="171">
        <f t="shared" si="0"/>
        <v>413115</v>
      </c>
      <c r="H15" s="172">
        <f t="shared" si="1"/>
        <v>5.5225269074718239E-2</v>
      </c>
      <c r="I15" s="337"/>
      <c r="J15" s="370" t="s">
        <v>348</v>
      </c>
      <c r="K15" s="371">
        <f>G235</f>
        <v>43800</v>
      </c>
      <c r="M15" s="359">
        <f t="shared" si="3"/>
        <v>244.30218805440569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490">
        <f>'[27]Sch B'!E37</f>
        <v>622474</v>
      </c>
      <c r="D16" s="490">
        <f>'[27]Sch B'!G37</f>
        <v>0</v>
      </c>
      <c r="E16" s="171">
        <f t="shared" si="2"/>
        <v>622474</v>
      </c>
      <c r="F16" s="171"/>
      <c r="G16" s="171">
        <f t="shared" si="0"/>
        <v>622474</v>
      </c>
      <c r="H16" s="172">
        <f t="shared" si="1"/>
        <v>8.3212408510986435E-2</v>
      </c>
      <c r="I16" s="337"/>
      <c r="J16" s="372"/>
      <c r="K16" s="371"/>
      <c r="M16" s="359">
        <f t="shared" si="3"/>
        <v>189.95239548367408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490">
        <f>'[27]Sch B'!E42</f>
        <v>0</v>
      </c>
      <c r="D17" s="490">
        <f>'[27]Sch B'!G42</f>
        <v>0</v>
      </c>
      <c r="E17" s="171">
        <f t="shared" si="2"/>
        <v>0</v>
      </c>
      <c r="F17" s="171"/>
      <c r="G17" s="171">
        <f>E17+F17</f>
        <v>0</v>
      </c>
      <c r="H17" s="172">
        <f t="shared" si="1"/>
        <v>0</v>
      </c>
      <c r="I17" s="337"/>
      <c r="J17" s="370" t="s">
        <v>156</v>
      </c>
      <c r="K17" s="371">
        <f>J208</f>
        <v>164017</v>
      </c>
      <c r="M17" s="359">
        <f t="shared" si="3"/>
        <v>0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490">
        <f>'[27]Sch B'!E47</f>
        <v>734008</v>
      </c>
      <c r="D18" s="490">
        <f>'[27]Sch B'!G47</f>
        <v>0</v>
      </c>
      <c r="E18" s="171">
        <f t="shared" si="2"/>
        <v>734008</v>
      </c>
      <c r="F18" s="171"/>
      <c r="G18" s="171">
        <f>E18+F18</f>
        <v>734008</v>
      </c>
      <c r="H18" s="172">
        <f t="shared" si="1"/>
        <v>9.8122288716206832E-2</v>
      </c>
      <c r="I18" s="337"/>
      <c r="J18" s="373" t="s">
        <v>252</v>
      </c>
      <c r="K18" s="374">
        <f>K208</f>
        <v>174819</v>
      </c>
      <c r="M18" s="359">
        <f t="shared" si="3"/>
        <v>196.99624261943103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490">
        <f>'[27]Sch B'!E52</f>
        <v>0</v>
      </c>
      <c r="D19" s="490">
        <f>'[27]Sch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337"/>
      <c r="J19" s="168"/>
      <c r="K19" s="168"/>
      <c r="M19" s="359">
        <f t="shared" si="3"/>
        <v>0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490">
        <f>'[27]Sch B'!E67</f>
        <v>4590</v>
      </c>
      <c r="D20" s="490">
        <f>'[27]Sch B'!G67</f>
        <v>0</v>
      </c>
      <c r="E20" s="171">
        <f t="shared" si="2"/>
        <v>4590</v>
      </c>
      <c r="F20" s="171"/>
      <c r="G20" s="171">
        <f t="shared" si="0"/>
        <v>4590</v>
      </c>
      <c r="H20" s="172">
        <f t="shared" si="1"/>
        <v>6.1359182080766058E-4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490">
        <f>SUM(C11:C20)</f>
        <v>7480543</v>
      </c>
      <c r="D21" s="490">
        <f>SUM(D11:D20)</f>
        <v>0</v>
      </c>
      <c r="E21" s="171">
        <f>SUM(E11:E20)</f>
        <v>7480543</v>
      </c>
      <c r="F21" s="171">
        <f>SUM(F11:F20)</f>
        <v>0</v>
      </c>
      <c r="G21" s="171">
        <f>SUM(G11:G20)</f>
        <v>7480543</v>
      </c>
      <c r="H21" s="172">
        <f t="shared" si="1"/>
        <v>1</v>
      </c>
      <c r="I21" s="337"/>
      <c r="J21" s="168"/>
      <c r="K21" s="168"/>
      <c r="M21" s="359">
        <f>IFERROR(G21/G228,0)</f>
        <v>244.35039524400602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4">
      <c r="A24" s="181" t="s">
        <v>161</v>
      </c>
      <c r="B24" s="148" t="s">
        <v>12</v>
      </c>
      <c r="M24" s="363"/>
      <c r="N24" s="363"/>
    </row>
    <row r="25" spans="1:14" s="167" customFormat="1">
      <c r="A25" s="169" t="s">
        <v>83</v>
      </c>
      <c r="B25" s="170" t="s">
        <v>14</v>
      </c>
      <c r="C25" s="490">
        <f>'[27]Sch C'!D10</f>
        <v>196828</v>
      </c>
      <c r="D25" s="490">
        <f>'[27]Sch C'!F10</f>
        <v>12962</v>
      </c>
      <c r="E25" s="171">
        <f t="shared" ref="E25:E60" si="4">C25+D25</f>
        <v>209790</v>
      </c>
      <c r="F25" s="171"/>
      <c r="G25" s="182">
        <f>E25+F25</f>
        <v>209790</v>
      </c>
      <c r="H25" s="172">
        <f>IF($G$208=0,0,G25/$G$208)</f>
        <v>2.9985851423228082E-2</v>
      </c>
      <c r="I25" s="337"/>
      <c r="J25" s="183">
        <v>4952</v>
      </c>
      <c r="K25" s="183">
        <v>5278</v>
      </c>
      <c r="M25" s="359">
        <f>G25/G$228</f>
        <v>6.8527471091657413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490">
        <f>'[27]Sch C'!D11</f>
        <v>0</v>
      </c>
      <c r="D26" s="490">
        <f>'[27]Sch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490">
        <f>'[27]Sch C'!D12</f>
        <v>279972</v>
      </c>
      <c r="D27" s="490">
        <f>'[27]Sch C'!F12</f>
        <v>-71119</v>
      </c>
      <c r="E27" s="171">
        <f t="shared" si="4"/>
        <v>208853</v>
      </c>
      <c r="F27" s="171"/>
      <c r="G27" s="171">
        <f t="shared" si="5"/>
        <v>208853</v>
      </c>
      <c r="H27" s="172">
        <f t="shared" si="6"/>
        <v>2.9851923482031813E-2</v>
      </c>
      <c r="I27" s="337"/>
      <c r="J27" s="185">
        <v>12255</v>
      </c>
      <c r="K27" s="185">
        <v>13062</v>
      </c>
      <c r="M27" s="359">
        <f t="shared" si="7"/>
        <v>6.8221401972953553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490">
        <f>'[27]Sch C'!D13</f>
        <v>749234</v>
      </c>
      <c r="D28" s="490">
        <f>'[27]Sch C'!F13</f>
        <v>-690671.59</v>
      </c>
      <c r="E28" s="171">
        <f t="shared" si="4"/>
        <v>58562.410000000033</v>
      </c>
      <c r="F28" s="171"/>
      <c r="G28" s="171">
        <f t="shared" si="5"/>
        <v>58562.410000000033</v>
      </c>
      <c r="H28" s="172">
        <f t="shared" si="6"/>
        <v>8.3704834608235249E-3</v>
      </c>
      <c r="I28" s="337"/>
      <c r="J28" s="168"/>
      <c r="K28" s="168"/>
      <c r="M28" s="359">
        <f t="shared" si="7"/>
        <v>1.9129290520676825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490">
        <f>'[27]Sch C'!D14</f>
        <v>0</v>
      </c>
      <c r="D29" s="490">
        <f>'[27]Sch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490">
        <f>'[27]Sch C'!D15</f>
        <v>0</v>
      </c>
      <c r="D30" s="490">
        <f>'[27]Sch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7"/>
      <c r="J30" s="168"/>
      <c r="K30" s="168"/>
      <c r="M30" s="359">
        <f t="shared" si="7"/>
        <v>0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490">
        <f>'[27]Sch C'!D16</f>
        <v>373954</v>
      </c>
      <c r="D31" s="490">
        <f>'[27]Sch C'!F16</f>
        <v>163423.74939533044</v>
      </c>
      <c r="E31" s="171">
        <f t="shared" si="4"/>
        <v>537377.74939533044</v>
      </c>
      <c r="F31" s="171"/>
      <c r="G31" s="171">
        <f t="shared" si="5"/>
        <v>537377.74939533044</v>
      </c>
      <c r="H31" s="172">
        <f t="shared" si="6"/>
        <v>7.6808853384418091E-2</v>
      </c>
      <c r="I31" s="337"/>
      <c r="J31" s="168"/>
      <c r="K31" s="168"/>
      <c r="M31" s="359">
        <f t="shared" si="7"/>
        <v>17.553333422464572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490">
        <f>'[27]Sch C'!D17</f>
        <v>0</v>
      </c>
      <c r="D32" s="490">
        <f>'[27]Sch C'!F17</f>
        <v>0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7"/>
      <c r="J32" s="168"/>
      <c r="K32" s="168"/>
      <c r="M32" s="359">
        <f t="shared" si="7"/>
        <v>0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490">
        <f>'[27]Sch C'!D18</f>
        <v>18600</v>
      </c>
      <c r="D33" s="490">
        <f>'[27]Sch C'!F18</f>
        <v>0</v>
      </c>
      <c r="E33" s="171">
        <f t="shared" si="4"/>
        <v>18600</v>
      </c>
      <c r="F33" s="171"/>
      <c r="G33" s="171">
        <f t="shared" si="5"/>
        <v>18600</v>
      </c>
      <c r="H33" s="172">
        <f t="shared" si="6"/>
        <v>2.6585482457316474E-3</v>
      </c>
      <c r="I33" s="337"/>
      <c r="J33" s="168"/>
      <c r="K33" s="168"/>
      <c r="M33" s="359">
        <f t="shared" si="7"/>
        <v>0.60756516626380086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490">
        <f>'[27]Sch C'!D19</f>
        <v>18196</v>
      </c>
      <c r="D34" s="490">
        <f>'[27]Sch C'!F19</f>
        <v>-1740.27</v>
      </c>
      <c r="E34" s="171">
        <f t="shared" si="4"/>
        <v>16455.73</v>
      </c>
      <c r="F34" s="171"/>
      <c r="G34" s="171">
        <f t="shared" si="5"/>
        <v>16455.73</v>
      </c>
      <c r="H34" s="172">
        <f t="shared" si="6"/>
        <v>2.352061942136217E-3</v>
      </c>
      <c r="I34" s="337"/>
      <c r="J34" s="168"/>
      <c r="K34" s="168"/>
      <c r="M34" s="359">
        <f t="shared" si="7"/>
        <v>0.53752302867968904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490">
        <f>'[27]Sch C'!D20</f>
        <v>25078</v>
      </c>
      <c r="D35" s="490">
        <f>'[27]Sch C'!F20</f>
        <v>0</v>
      </c>
      <c r="E35" s="171">
        <f t="shared" si="4"/>
        <v>25078</v>
      </c>
      <c r="F35" s="171"/>
      <c r="G35" s="171">
        <f t="shared" si="5"/>
        <v>25078</v>
      </c>
      <c r="H35" s="172">
        <f t="shared" si="6"/>
        <v>3.5844662852934544E-3</v>
      </c>
      <c r="I35" s="337"/>
      <c r="J35" s="168"/>
      <c r="K35" s="168"/>
      <c r="M35" s="359">
        <f t="shared" si="7"/>
        <v>0.81916770105180636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490">
        <f>'[27]Sch C'!D21</f>
        <v>7754</v>
      </c>
      <c r="D36" s="490">
        <f>'[27]Sch C'!F21</f>
        <v>0</v>
      </c>
      <c r="E36" s="171">
        <f t="shared" si="4"/>
        <v>7754</v>
      </c>
      <c r="F36" s="171"/>
      <c r="G36" s="171">
        <f t="shared" si="5"/>
        <v>7754</v>
      </c>
      <c r="H36" s="172">
        <f t="shared" si="6"/>
        <v>1.1083001665270534E-3</v>
      </c>
      <c r="I36" s="337"/>
      <c r="J36" s="168"/>
      <c r="K36" s="168"/>
      <c r="M36" s="359">
        <f t="shared" si="7"/>
        <v>0.25328281178545764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490">
        <f>'[27]Sch C'!D22</f>
        <v>0</v>
      </c>
      <c r="D37" s="490">
        <f>'[27]Sch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490">
        <f>'[27]Sch C'!D23</f>
        <v>8169</v>
      </c>
      <c r="D38" s="490">
        <f>'[27]Sch C'!F23</f>
        <v>0</v>
      </c>
      <c r="E38" s="171">
        <f t="shared" si="4"/>
        <v>8169</v>
      </c>
      <c r="F38" s="171"/>
      <c r="G38" s="171">
        <f t="shared" si="5"/>
        <v>8169</v>
      </c>
      <c r="H38" s="172">
        <f t="shared" si="6"/>
        <v>1.1676172376011735E-3</v>
      </c>
      <c r="I38" s="337"/>
      <c r="J38" s="168"/>
      <c r="K38" s="168"/>
      <c r="M38" s="359">
        <f t="shared" si="7"/>
        <v>0.26683870124779513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490">
        <f>'[27]Sch C'!D24</f>
        <v>52938</v>
      </c>
      <c r="D39" s="490">
        <f>'[27]Sch C'!F24</f>
        <v>-12600</v>
      </c>
      <c r="E39" s="171">
        <f t="shared" si="4"/>
        <v>40338</v>
      </c>
      <c r="F39" s="171"/>
      <c r="G39" s="171">
        <f t="shared" si="5"/>
        <v>40338</v>
      </c>
      <c r="H39" s="172">
        <f t="shared" si="6"/>
        <v>5.7656193084044726E-3</v>
      </c>
      <c r="I39" s="337"/>
      <c r="J39" s="168"/>
      <c r="K39" s="168"/>
      <c r="M39" s="359">
        <f t="shared" si="7"/>
        <v>1.3176324557392043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490">
        <f>'[27]Sch C'!D25</f>
        <v>0</v>
      </c>
      <c r="D40" s="490">
        <f>'[27]Sch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337"/>
      <c r="J40" s="168"/>
      <c r="K40" s="168"/>
      <c r="M40" s="359">
        <f t="shared" si="7"/>
        <v>0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490">
        <f>'[27]Sch C'!D26</f>
        <v>374568</v>
      </c>
      <c r="D41" s="490">
        <f>'[27]Sch C'!F26</f>
        <v>0</v>
      </c>
      <c r="E41" s="171">
        <f t="shared" si="4"/>
        <v>374568</v>
      </c>
      <c r="F41" s="171"/>
      <c r="G41" s="171">
        <f t="shared" si="5"/>
        <v>374568</v>
      </c>
      <c r="H41" s="172">
        <f t="shared" si="6"/>
        <v>5.3538016091785573E-2</v>
      </c>
      <c r="I41" s="337"/>
      <c r="J41" s="168"/>
      <c r="K41" s="168"/>
      <c r="M41" s="359">
        <f t="shared" si="7"/>
        <v>12.235186515973083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490">
        <f>'[27]Sch C'!D27</f>
        <v>0</v>
      </c>
      <c r="D42" s="490">
        <f>'[27]Sch C'!F27</f>
        <v>0</v>
      </c>
      <c r="E42" s="171">
        <f t="shared" si="4"/>
        <v>0</v>
      </c>
      <c r="F42" s="171"/>
      <c r="G42" s="171">
        <f t="shared" si="5"/>
        <v>0</v>
      </c>
      <c r="H42" s="172">
        <f t="shared" si="6"/>
        <v>0</v>
      </c>
      <c r="I42" s="337"/>
      <c r="J42" s="168"/>
      <c r="K42" s="168"/>
      <c r="M42" s="359">
        <f t="shared" si="7"/>
        <v>0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490">
        <f>'[27]Sch C'!D28</f>
        <v>0</v>
      </c>
      <c r="D43" s="490">
        <f>'[27]Sch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490">
        <f>'[27]Sch C'!D29</f>
        <v>45142</v>
      </c>
      <c r="D44" s="490">
        <f>'[27]Sch C'!F29</f>
        <v>-45142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490">
        <f>'[27]Sch C'!D30</f>
        <v>0</v>
      </c>
      <c r="D45" s="490">
        <f>'[27]Sch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490">
        <f>'[27]Sch C'!D31</f>
        <v>102367</v>
      </c>
      <c r="D46" s="490">
        <f>'[27]Sch C'!F31</f>
        <v>0</v>
      </c>
      <c r="E46" s="171">
        <f t="shared" si="4"/>
        <v>102367</v>
      </c>
      <c r="F46" s="171"/>
      <c r="G46" s="171">
        <f t="shared" si="5"/>
        <v>102367</v>
      </c>
      <c r="H46" s="172">
        <f t="shared" si="6"/>
        <v>1.463159184251675E-2</v>
      </c>
      <c r="I46" s="337"/>
      <c r="J46" s="168"/>
      <c r="K46" s="168"/>
      <c r="M46" s="359">
        <f t="shared" si="7"/>
        <v>3.3437969556412099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490">
        <f>'[27]Sch C'!D32</f>
        <v>78435</v>
      </c>
      <c r="D47" s="490">
        <f>'[27]Sch C'!F32</f>
        <v>-23530.3</v>
      </c>
      <c r="E47" s="171">
        <f t="shared" si="4"/>
        <v>54904.7</v>
      </c>
      <c r="F47" s="171"/>
      <c r="G47" s="171">
        <f t="shared" si="5"/>
        <v>54904.7</v>
      </c>
      <c r="H47" s="172">
        <f t="shared" si="6"/>
        <v>7.8476770896463641E-3</v>
      </c>
      <c r="I47" s="337"/>
      <c r="J47" s="168"/>
      <c r="K47" s="168"/>
      <c r="M47" s="359">
        <f t="shared" si="7"/>
        <v>1.7934507088260272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490">
        <f>'[27]Sch C'!D33</f>
        <v>0</v>
      </c>
      <c r="D48" s="490">
        <f>'[27]Sch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490">
        <f>'[27]Sch C'!D34</f>
        <v>0</v>
      </c>
      <c r="D49" s="490">
        <f>'[27]Sch C'!F34</f>
        <v>0</v>
      </c>
      <c r="E49" s="171">
        <f t="shared" si="4"/>
        <v>0</v>
      </c>
      <c r="F49" s="171"/>
      <c r="G49" s="171">
        <f t="shared" si="5"/>
        <v>0</v>
      </c>
      <c r="H49" s="172">
        <f t="shared" si="6"/>
        <v>0</v>
      </c>
      <c r="I49" s="337"/>
      <c r="J49" s="168"/>
      <c r="K49" s="168"/>
      <c r="M49" s="359">
        <f t="shared" si="7"/>
        <v>0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490">
        <f>'[27]Sch C'!D35</f>
        <v>100</v>
      </c>
      <c r="D50" s="490">
        <f>'[27]Sch C'!F35</f>
        <v>-100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490">
        <f>'[27]Sch C'!D36</f>
        <v>0</v>
      </c>
      <c r="D51" s="490">
        <f>'[27]Sch C'!F36</f>
        <v>0</v>
      </c>
      <c r="E51" s="171">
        <f t="shared" si="4"/>
        <v>0</v>
      </c>
      <c r="F51" s="171"/>
      <c r="G51" s="171">
        <f t="shared" si="5"/>
        <v>0</v>
      </c>
      <c r="H51" s="172">
        <f t="shared" si="6"/>
        <v>0</v>
      </c>
      <c r="I51" s="337"/>
      <c r="J51" s="183">
        <v>0</v>
      </c>
      <c r="K51" s="183">
        <v>0</v>
      </c>
      <c r="M51" s="359">
        <f t="shared" si="7"/>
        <v>0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490">
        <f>'[27]Sch C'!D37</f>
        <v>0</v>
      </c>
      <c r="D52" s="490">
        <f>'[27]Sch C'!F37</f>
        <v>0</v>
      </c>
      <c r="E52" s="171">
        <f t="shared" si="4"/>
        <v>0</v>
      </c>
      <c r="F52" s="171"/>
      <c r="G52" s="171">
        <f t="shared" si="5"/>
        <v>0</v>
      </c>
      <c r="H52" s="172">
        <f t="shared" si="6"/>
        <v>0</v>
      </c>
      <c r="I52" s="337"/>
      <c r="J52" s="168"/>
      <c r="K52" s="168"/>
      <c r="M52" s="359">
        <f t="shared" si="7"/>
        <v>0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490">
        <f>'[27]Sch C'!D38</f>
        <v>300</v>
      </c>
      <c r="D53" s="490">
        <f>'[27]Sch C'!F38</f>
        <v>-300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7"/>
      <c r="J53" s="168"/>
      <c r="K53" s="168"/>
      <c r="M53" s="359">
        <f t="shared" si="7"/>
        <v>0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490">
        <f>'[27]Sch C'!D39</f>
        <v>5668</v>
      </c>
      <c r="D54" s="490">
        <f>'[27]Sch C'!F39</f>
        <v>0</v>
      </c>
      <c r="E54" s="171">
        <f t="shared" si="4"/>
        <v>5668</v>
      </c>
      <c r="F54" s="171"/>
      <c r="G54" s="171">
        <f t="shared" si="5"/>
        <v>5668</v>
      </c>
      <c r="H54" s="172">
        <f t="shared" si="6"/>
        <v>8.1014255144123536E-4</v>
      </c>
      <c r="I54" s="337"/>
      <c r="J54" s="168"/>
      <c r="K54" s="168"/>
      <c r="M54" s="359">
        <f t="shared" si="7"/>
        <v>0.18514405174103352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490">
        <f>'[27]Sch C'!D40</f>
        <v>16340</v>
      </c>
      <c r="D55" s="490">
        <f>'[27]Sch C'!F40</f>
        <v>0</v>
      </c>
      <c r="E55" s="171">
        <f t="shared" si="4"/>
        <v>16340</v>
      </c>
      <c r="F55" s="171"/>
      <c r="G55" s="171">
        <f t="shared" si="5"/>
        <v>16340</v>
      </c>
      <c r="H55" s="172">
        <f t="shared" si="6"/>
        <v>2.3355203406051138E-3</v>
      </c>
      <c r="I55" s="337"/>
      <c r="J55" s="168"/>
      <c r="K55" s="168"/>
      <c r="M55" s="359">
        <f t="shared" si="7"/>
        <v>0.53374273208336054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490">
        <f>'[27]Sch C'!D41</f>
        <v>15314</v>
      </c>
      <c r="D56" s="490">
        <f>'[27]Sch C'!F41</f>
        <v>0</v>
      </c>
      <c r="E56" s="171">
        <f t="shared" si="4"/>
        <v>15314</v>
      </c>
      <c r="F56" s="171"/>
      <c r="G56" s="171">
        <f t="shared" si="5"/>
        <v>15314</v>
      </c>
      <c r="H56" s="172">
        <f t="shared" si="6"/>
        <v>2.1888713889857232E-3</v>
      </c>
      <c r="I56" s="337"/>
      <c r="J56" s="168"/>
      <c r="K56" s="168"/>
      <c r="M56" s="359">
        <f t="shared" si="7"/>
        <v>0.50022865355719603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490">
        <f>'[27]Sch C'!D42</f>
        <v>5208</v>
      </c>
      <c r="D57" s="490">
        <f>'[27]Sch C'!F42</f>
        <v>0</v>
      </c>
      <c r="E57" s="171">
        <f t="shared" si="4"/>
        <v>5208</v>
      </c>
      <c r="F57" s="171"/>
      <c r="G57" s="171">
        <f t="shared" si="5"/>
        <v>5208</v>
      </c>
      <c r="H57" s="172">
        <f t="shared" si="6"/>
        <v>7.4439350880486129E-4</v>
      </c>
      <c r="I57" s="337"/>
      <c r="J57" s="168"/>
      <c r="K57" s="168"/>
      <c r="M57" s="359">
        <f t="shared" si="7"/>
        <v>0.17011824655386423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490">
        <f>'[27]Sch C'!D43</f>
        <v>7398</v>
      </c>
      <c r="D58" s="490">
        <f>'[27]Sch C'!F43</f>
        <v>0</v>
      </c>
      <c r="E58" s="171">
        <f t="shared" si="4"/>
        <v>7398</v>
      </c>
      <c r="F58" s="171"/>
      <c r="G58" s="171">
        <f t="shared" si="5"/>
        <v>7398</v>
      </c>
      <c r="H58" s="172">
        <f t="shared" si="6"/>
        <v>1.0574161248345553E-3</v>
      </c>
      <c r="I58" s="337"/>
      <c r="J58" s="168"/>
      <c r="K58" s="168"/>
      <c r="M58" s="359">
        <f t="shared" si="7"/>
        <v>0.24165414516234401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490">
        <f>'[27]Sch C'!D44</f>
        <v>0</v>
      </c>
      <c r="D59" s="490">
        <f>'[27]Sch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7"/>
      <c r="J59" s="168"/>
      <c r="K59" s="168"/>
      <c r="M59" s="359">
        <f t="shared" si="7"/>
        <v>0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490">
        <f>'[27]Sch C'!D45</f>
        <v>14530</v>
      </c>
      <c r="D60" s="490">
        <f>'[27]Sch C'!F45</f>
        <v>-4623</v>
      </c>
      <c r="E60" s="171">
        <f t="shared" si="4"/>
        <v>9907</v>
      </c>
      <c r="F60" s="171"/>
      <c r="G60" s="171">
        <f t="shared" si="5"/>
        <v>9907</v>
      </c>
      <c r="H60" s="172">
        <f t="shared" si="6"/>
        <v>1.4160342726055608E-3</v>
      </c>
      <c r="I60" s="337"/>
      <c r="J60" s="168"/>
      <c r="K60" s="168"/>
      <c r="M60" s="359">
        <f t="shared" si="7"/>
        <v>0.32361011302018683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490">
        <f>SUM(C25:C60)</f>
        <v>2396093</v>
      </c>
      <c r="D61" s="490">
        <f>SUM(D25:D60)</f>
        <v>-673440.4106046696</v>
      </c>
      <c r="E61" s="171">
        <f t="shared" ref="E61:F61" si="8">SUM(E25:E60)</f>
        <v>1722652.5893953305</v>
      </c>
      <c r="F61" s="171">
        <f t="shared" si="8"/>
        <v>0</v>
      </c>
      <c r="G61" s="171">
        <f>SUM(G25:G60)</f>
        <v>1722652.5893953305</v>
      </c>
      <c r="H61" s="186">
        <f t="shared" si="6"/>
        <v>0.24622338814742128</v>
      </c>
      <c r="I61" s="339"/>
      <c r="J61" s="168"/>
      <c r="K61" s="168"/>
      <c r="M61" s="364">
        <f>G61/G$228</f>
        <v>56.270091768319411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I62" s="340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490">
        <f>'[27]Sch C'!D57</f>
        <v>694501</v>
      </c>
      <c r="D64" s="490">
        <f>'[27]Sch C'!F57</f>
        <v>0</v>
      </c>
      <c r="E64" s="171">
        <f t="shared" ref="E64:E78" si="9">C64+D64</f>
        <v>694501</v>
      </c>
      <c r="F64" s="171"/>
      <c r="G64" s="171">
        <f t="shared" ref="G64:G78" si="10">E64+F64</f>
        <v>694501</v>
      </c>
      <c r="H64" s="172">
        <f t="shared" ref="H64:H79" si="11">IF($G$208=0,0,G64/$G$208)</f>
        <v>9.9266904043487897E-2</v>
      </c>
      <c r="I64" s="337"/>
      <c r="J64" s="190"/>
      <c r="K64" s="168"/>
      <c r="M64" s="359">
        <f t="shared" ref="M64:M79" si="12">G64/G$228</f>
        <v>22.685732018030965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490">
        <f>'[27]Sch C'!D58</f>
        <v>2113</v>
      </c>
      <c r="D65" s="490">
        <f>'[27]Sch C'!F58</f>
        <v>0</v>
      </c>
      <c r="E65" s="171">
        <f t="shared" si="9"/>
        <v>2113</v>
      </c>
      <c r="F65" s="171"/>
      <c r="G65" s="171">
        <f t="shared" si="10"/>
        <v>2113</v>
      </c>
      <c r="H65" s="172">
        <f t="shared" si="11"/>
        <v>3.020167980231705E-4</v>
      </c>
      <c r="I65" s="337"/>
      <c r="J65" s="190"/>
      <c r="K65" s="168"/>
      <c r="M65" s="359">
        <f t="shared" si="12"/>
        <v>6.9020709479323192E-2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490">
        <f>'[27]Sch C'!D59</f>
        <v>0</v>
      </c>
      <c r="D66" s="490">
        <f>'[27]Sch C'!F59</f>
        <v>0</v>
      </c>
      <c r="E66" s="171">
        <f t="shared" si="9"/>
        <v>0</v>
      </c>
      <c r="F66" s="171"/>
      <c r="G66" s="171">
        <f t="shared" si="10"/>
        <v>0</v>
      </c>
      <c r="H66" s="172">
        <f t="shared" si="11"/>
        <v>0</v>
      </c>
      <c r="I66" s="337"/>
      <c r="J66" s="190"/>
      <c r="K66" s="168"/>
      <c r="M66" s="359">
        <f t="shared" si="12"/>
        <v>0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490">
        <f>'[27]Sch C'!D60</f>
        <v>32986</v>
      </c>
      <c r="D67" s="490">
        <f>'[27]Sch C'!F60</f>
        <v>0</v>
      </c>
      <c r="E67" s="171">
        <f t="shared" si="9"/>
        <v>32986</v>
      </c>
      <c r="F67" s="171"/>
      <c r="G67" s="171">
        <f t="shared" si="10"/>
        <v>32986</v>
      </c>
      <c r="H67" s="172">
        <f t="shared" si="11"/>
        <v>4.7147780878335549E-3</v>
      </c>
      <c r="I67" s="337"/>
      <c r="J67" s="193"/>
      <c r="K67" s="168"/>
      <c r="M67" s="359">
        <f t="shared" si="12"/>
        <v>1.0774808910955771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490">
        <f>'[27]Sch C'!D61</f>
        <v>7784</v>
      </c>
      <c r="D68" s="490">
        <f>'[27]Sch C'!F61</f>
        <v>0</v>
      </c>
      <c r="E68" s="171">
        <f t="shared" si="9"/>
        <v>7784</v>
      </c>
      <c r="F68" s="171"/>
      <c r="G68" s="171">
        <f t="shared" si="10"/>
        <v>7784</v>
      </c>
      <c r="H68" s="172">
        <f t="shared" si="11"/>
        <v>1.112588147568556E-3</v>
      </c>
      <c r="I68" s="337"/>
      <c r="J68" s="193"/>
      <c r="K68" s="168"/>
      <c r="M68" s="359">
        <f t="shared" si="12"/>
        <v>0.25426275560201217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490">
        <f>'[27]Sch C'!D62</f>
        <v>8091</v>
      </c>
      <c r="D69" s="490">
        <f>'[27]Sch C'!F62</f>
        <v>0</v>
      </c>
      <c r="E69" s="171">
        <f t="shared" si="9"/>
        <v>8091</v>
      </c>
      <c r="F69" s="171"/>
      <c r="G69" s="171">
        <f t="shared" si="10"/>
        <v>8091</v>
      </c>
      <c r="H69" s="172">
        <f t="shared" si="11"/>
        <v>1.1564684868932665E-3</v>
      </c>
      <c r="I69" s="337"/>
      <c r="J69" s="195"/>
      <c r="K69" s="168"/>
      <c r="M69" s="359">
        <f t="shared" si="12"/>
        <v>0.26429084732475339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490">
        <f>'[27]Sch C'!D63</f>
        <v>0</v>
      </c>
      <c r="D70" s="490">
        <f>'[27]Sch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7"/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490">
        <f>'[27]Sch C'!D64</f>
        <v>0</v>
      </c>
      <c r="D71" s="490">
        <f>'[27]Sch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490">
        <f>'[27]Sch C'!D65</f>
        <v>7499</v>
      </c>
      <c r="D72" s="490">
        <f>'[27]Sch C'!F65</f>
        <v>0</v>
      </c>
      <c r="E72" s="171">
        <f t="shared" si="9"/>
        <v>7499</v>
      </c>
      <c r="F72" s="171"/>
      <c r="G72" s="171">
        <f t="shared" si="10"/>
        <v>7499</v>
      </c>
      <c r="H72" s="172">
        <f t="shared" si="11"/>
        <v>1.0718523276742808E-3</v>
      </c>
      <c r="I72" s="337"/>
      <c r="J72" s="195"/>
      <c r="K72" s="168"/>
      <c r="M72" s="359">
        <f t="shared" si="12"/>
        <v>0.24495328934474422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490">
        <f>'[27]Sch C'!D66</f>
        <v>4088</v>
      </c>
      <c r="D73" s="490">
        <f>'[27]Sch C'!F66</f>
        <v>0</v>
      </c>
      <c r="E73" s="171">
        <f t="shared" si="9"/>
        <v>4088</v>
      </c>
      <c r="F73" s="171"/>
      <c r="G73" s="171">
        <f t="shared" si="10"/>
        <v>4088</v>
      </c>
      <c r="H73" s="172">
        <f t="shared" si="11"/>
        <v>5.8430888325542872E-4</v>
      </c>
      <c r="I73" s="337"/>
      <c r="J73" s="195"/>
      <c r="K73" s="168"/>
      <c r="M73" s="359">
        <f t="shared" si="12"/>
        <v>0.13353367740249558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490">
        <f>'[27]Sch C'!D67</f>
        <v>48533</v>
      </c>
      <c r="D74" s="490">
        <f>'[27]Sch C'!F67</f>
        <v>0</v>
      </c>
      <c r="E74" s="171">
        <f t="shared" si="9"/>
        <v>48533</v>
      </c>
      <c r="F74" s="171"/>
      <c r="G74" s="171">
        <f t="shared" si="10"/>
        <v>48533</v>
      </c>
      <c r="H74" s="172">
        <f t="shared" si="11"/>
        <v>6.9369527962416149E-3</v>
      </c>
      <c r="I74" s="337"/>
      <c r="J74" s="195"/>
      <c r="K74" s="168"/>
      <c r="M74" s="359">
        <f t="shared" si="12"/>
        <v>1.5853204416280133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490">
        <f>'[27]Sch C'!D68</f>
        <v>0</v>
      </c>
      <c r="D75" s="490">
        <f>'[27]Sch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490">
        <f>'[27]Sch C'!D69</f>
        <v>5929</v>
      </c>
      <c r="D76" s="490">
        <f>'[27]Sch C'!F69</f>
        <v>0</v>
      </c>
      <c r="E76" s="171">
        <f t="shared" si="9"/>
        <v>5929</v>
      </c>
      <c r="F76" s="171"/>
      <c r="G76" s="171">
        <f t="shared" si="10"/>
        <v>5929</v>
      </c>
      <c r="H76" s="172">
        <f t="shared" si="11"/>
        <v>8.4744798650230842E-4</v>
      </c>
      <c r="I76" s="337"/>
      <c r="J76" s="195"/>
      <c r="K76" s="168"/>
      <c r="M76" s="359">
        <f t="shared" si="12"/>
        <v>0.19366956294505783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490">
        <f>'[27]Sch C'!D70</f>
        <v>0</v>
      </c>
      <c r="D77" s="490">
        <f>'[27]Sch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7"/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490">
        <f>'[27]Sch C'!D71</f>
        <v>0</v>
      </c>
      <c r="D78" s="490">
        <f>'[27]Sch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7"/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490">
        <f>SUM(C64:C78)</f>
        <v>811524</v>
      </c>
      <c r="D79" s="490">
        <f>SUM(D64:D78)</f>
        <v>0</v>
      </c>
      <c r="E79" s="171">
        <f t="shared" ref="E79:F79" si="13">SUM(E64:E78)</f>
        <v>811524</v>
      </c>
      <c r="F79" s="171">
        <f t="shared" si="13"/>
        <v>0</v>
      </c>
      <c r="G79" s="171">
        <f>SUM(G64:G78)</f>
        <v>811524</v>
      </c>
      <c r="H79" s="172">
        <f t="shared" si="11"/>
        <v>0.11599331755748007</v>
      </c>
      <c r="I79" s="337"/>
      <c r="J79" s="195"/>
      <c r="K79" s="168"/>
      <c r="M79" s="359">
        <f t="shared" si="12"/>
        <v>26.508264192852945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490">
        <f>'[27]Sch C'!D75</f>
        <v>59393</v>
      </c>
      <c r="D82" s="490">
        <f>'[27]Sch C'!F75</f>
        <v>3911</v>
      </c>
      <c r="E82" s="171">
        <f t="shared" ref="E82:E92" si="14">C82+D82</f>
        <v>63304</v>
      </c>
      <c r="F82" s="171"/>
      <c r="G82" s="171">
        <f t="shared" ref="G82:G92" si="15">E82+F82</f>
        <v>63304</v>
      </c>
      <c r="H82" s="172">
        <f t="shared" ref="H82:H93" si="16">IF($G$208=0,0,G82/$G$208)</f>
        <v>9.0482117283761394E-3</v>
      </c>
      <c r="I82" s="337"/>
      <c r="J82" s="183">
        <v>2965</v>
      </c>
      <c r="K82" s="183">
        <v>3160</v>
      </c>
      <c r="M82" s="359">
        <f t="shared" ref="M82:M92" si="17">G82/G$228</f>
        <v>2.0678121121055728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490">
        <f>'[27]Sch C'!D76</f>
        <v>0</v>
      </c>
      <c r="D83" s="490">
        <f>'[27]Sch C'!F76</f>
        <v>8995</v>
      </c>
      <c r="E83" s="171">
        <f t="shared" si="14"/>
        <v>8995</v>
      </c>
      <c r="F83" s="171"/>
      <c r="G83" s="171">
        <f t="shared" si="15"/>
        <v>8995</v>
      </c>
      <c r="H83" s="172">
        <f t="shared" si="16"/>
        <v>1.28567964894388E-3</v>
      </c>
      <c r="I83" s="337"/>
      <c r="J83" s="168"/>
      <c r="K83" s="168"/>
      <c r="M83" s="359">
        <f t="shared" si="17"/>
        <v>0.29381982099692949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490">
        <f>'[27]Sch C'!D77</f>
        <v>17053</v>
      </c>
      <c r="D84" s="490">
        <f>'[27]Sch C'!F77</f>
        <v>0</v>
      </c>
      <c r="E84" s="171">
        <f t="shared" si="14"/>
        <v>17053</v>
      </c>
      <c r="F84" s="171"/>
      <c r="G84" s="171">
        <f t="shared" si="15"/>
        <v>17053</v>
      </c>
      <c r="H84" s="172">
        <f t="shared" si="16"/>
        <v>2.4374313566914935E-3</v>
      </c>
      <c r="I84" s="337"/>
      <c r="J84" s="168"/>
      <c r="K84" s="168"/>
      <c r="M84" s="359">
        <f t="shared" si="17"/>
        <v>0.55703273012347287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490">
        <f>'[27]Sch C'!D78</f>
        <v>0</v>
      </c>
      <c r="D85" s="490">
        <f>'[27]Sch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I85" s="337"/>
      <c r="J85" s="168"/>
      <c r="K85" s="168"/>
      <c r="M85" s="359">
        <f t="shared" si="17"/>
        <v>0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490">
        <f>'[27]Sch C'!D79</f>
        <v>11504</v>
      </c>
      <c r="D86" s="490">
        <f>'[27]Sch C'!F79</f>
        <v>0</v>
      </c>
      <c r="E86" s="171">
        <f t="shared" si="14"/>
        <v>11504</v>
      </c>
      <c r="F86" s="171"/>
      <c r="G86" s="171">
        <f>E86+F86</f>
        <v>11504</v>
      </c>
      <c r="H86" s="172">
        <f t="shared" si="16"/>
        <v>1.6442977967148855E-3</v>
      </c>
      <c r="I86" s="337"/>
      <c r="J86" s="168"/>
      <c r="K86" s="168"/>
      <c r="M86" s="359">
        <f t="shared" si="17"/>
        <v>0.37577578885477231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490">
        <f>'[27]Sch C'!D80</f>
        <v>18376</v>
      </c>
      <c r="D87" s="490">
        <f>'[27]Sch C'!F80</f>
        <v>0</v>
      </c>
      <c r="E87" s="171">
        <f t="shared" si="14"/>
        <v>18376</v>
      </c>
      <c r="F87" s="171"/>
      <c r="G87" s="171">
        <f t="shared" si="15"/>
        <v>18376</v>
      </c>
      <c r="H87" s="172">
        <f t="shared" si="16"/>
        <v>2.626531320621761E-3</v>
      </c>
      <c r="I87" s="337"/>
      <c r="J87" s="168"/>
      <c r="K87" s="168"/>
      <c r="M87" s="359">
        <f t="shared" si="17"/>
        <v>0.6002482524335272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490">
        <f>'[27]Sch C'!D81</f>
        <v>6797</v>
      </c>
      <c r="D88" s="490">
        <f>'[27]Sch C'!F81</f>
        <v>0</v>
      </c>
      <c r="E88" s="171">
        <f t="shared" si="14"/>
        <v>6797</v>
      </c>
      <c r="F88" s="171"/>
      <c r="G88" s="171">
        <f t="shared" si="15"/>
        <v>6797</v>
      </c>
      <c r="H88" s="172">
        <f t="shared" si="16"/>
        <v>9.7151357130311866E-4</v>
      </c>
      <c r="I88" s="337"/>
      <c r="J88" s="168"/>
      <c r="K88" s="168"/>
      <c r="M88" s="359">
        <f t="shared" si="17"/>
        <v>0.22202260403736854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490">
        <f>'[27]Sch C'!D82</f>
        <v>1005</v>
      </c>
      <c r="D89" s="490">
        <f>'[27]Sch C'!F82</f>
        <v>0</v>
      </c>
      <c r="E89" s="171">
        <f t="shared" si="14"/>
        <v>1005</v>
      </c>
      <c r="F89" s="171"/>
      <c r="G89" s="171">
        <f t="shared" si="15"/>
        <v>1005</v>
      </c>
      <c r="H89" s="172">
        <f t="shared" si="16"/>
        <v>1.43647364890339E-4</v>
      </c>
      <c r="I89" s="337"/>
      <c r="J89" s="168"/>
      <c r="K89" s="168"/>
      <c r="M89" s="359">
        <f t="shared" si="17"/>
        <v>3.2828117854576337E-2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490">
        <f>'[27]Sch C'!D83</f>
        <v>0</v>
      </c>
      <c r="D90" s="490">
        <f>'[27]Sch C'!F83</f>
        <v>0</v>
      </c>
      <c r="E90" s="171">
        <f t="shared" si="14"/>
        <v>0</v>
      </c>
      <c r="F90" s="171"/>
      <c r="G90" s="171">
        <f t="shared" si="15"/>
        <v>0</v>
      </c>
      <c r="H90" s="172">
        <f t="shared" si="16"/>
        <v>0</v>
      </c>
      <c r="I90" s="337"/>
      <c r="J90" s="168"/>
      <c r="K90" s="168"/>
      <c r="M90" s="359">
        <f t="shared" si="17"/>
        <v>0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490">
        <f>'[27]Sch C'!D84</f>
        <v>85074</v>
      </c>
      <c r="D91" s="490">
        <f>'[27]Sch C'!F84</f>
        <v>0</v>
      </c>
      <c r="E91" s="171">
        <f t="shared" si="14"/>
        <v>85074</v>
      </c>
      <c r="F91" s="171"/>
      <c r="G91" s="171">
        <f t="shared" si="15"/>
        <v>85074</v>
      </c>
      <c r="H91" s="172">
        <f t="shared" si="16"/>
        <v>1.2159856637493235E-2</v>
      </c>
      <c r="I91" s="337"/>
      <c r="J91" s="168"/>
      <c r="K91" s="168"/>
      <c r="M91" s="359">
        <f t="shared" si="17"/>
        <v>2.7789246749853009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490">
        <f>'[27]Sch C'!D85</f>
        <v>0</v>
      </c>
      <c r="D92" s="490">
        <f>'[27]Sch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7"/>
      <c r="J92" s="168"/>
      <c r="K92" s="168"/>
      <c r="M92" s="359">
        <f t="shared" si="17"/>
        <v>0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490">
        <f>SUM(C82:C92)</f>
        <v>199202</v>
      </c>
      <c r="D93" s="490">
        <f>SUM(D82:D92)</f>
        <v>12906</v>
      </c>
      <c r="E93" s="171">
        <f t="shared" ref="E93:F93" si="18">SUM(E82:E92)</f>
        <v>212108</v>
      </c>
      <c r="F93" s="171">
        <f t="shared" si="18"/>
        <v>0</v>
      </c>
      <c r="G93" s="171">
        <f>SUM(G82:G92)</f>
        <v>212108</v>
      </c>
      <c r="H93" s="172">
        <f t="shared" si="16"/>
        <v>3.0317169425034853E-2</v>
      </c>
      <c r="I93" s="337"/>
      <c r="J93" s="168"/>
      <c r="K93" s="168"/>
      <c r="M93" s="364">
        <f>G93/G$228</f>
        <v>6.92846410139152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490">
        <f>'[27]Sch C'!D89</f>
        <v>197113</v>
      </c>
      <c r="D96" s="490">
        <f>'[27]Sch C'!F89</f>
        <v>12981</v>
      </c>
      <c r="E96" s="171">
        <f t="shared" ref="E96:E101" si="19">C96+D96</f>
        <v>210094</v>
      </c>
      <c r="F96" s="171"/>
      <c r="G96" s="171">
        <f t="shared" ref="G96:G101" si="20">E96+F96</f>
        <v>210094</v>
      </c>
      <c r="H96" s="172">
        <f t="shared" ref="H96:H102" si="21">IF($G$208=0,0,G96/$G$208)</f>
        <v>3.002930296444864E-2</v>
      </c>
      <c r="I96" s="337"/>
      <c r="J96" s="183">
        <v>15224</v>
      </c>
      <c r="K96" s="183">
        <v>16227</v>
      </c>
      <c r="M96" s="364">
        <f t="shared" ref="M96:M101" si="22">G96/G$228</f>
        <v>6.8626772065068273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490">
        <f>'[27]Sch C'!D90</f>
        <v>0</v>
      </c>
      <c r="D97" s="490">
        <f>'[27]Sch C'!F90</f>
        <v>29850</v>
      </c>
      <c r="E97" s="171">
        <f t="shared" si="19"/>
        <v>29850</v>
      </c>
      <c r="F97" s="171"/>
      <c r="G97" s="171">
        <f t="shared" si="20"/>
        <v>29850</v>
      </c>
      <c r="H97" s="172">
        <f t="shared" si="21"/>
        <v>4.266541136295144E-3</v>
      </c>
      <c r="I97" s="337"/>
      <c r="J97" s="168"/>
      <c r="K97" s="168"/>
      <c r="M97" s="364">
        <f t="shared" si="22"/>
        <v>0.97504409747174492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490">
        <f>'[27]Sch C'!D91</f>
        <v>7938</v>
      </c>
      <c r="D98" s="490">
        <f>'[27]Sch C'!F91</f>
        <v>0</v>
      </c>
      <c r="E98" s="171">
        <f t="shared" si="19"/>
        <v>7938</v>
      </c>
      <c r="F98" s="171"/>
      <c r="G98" s="171">
        <f t="shared" si="20"/>
        <v>7938</v>
      </c>
      <c r="H98" s="172">
        <f t="shared" si="21"/>
        <v>1.1345997835816031E-3</v>
      </c>
      <c r="I98" s="337"/>
      <c r="J98" s="168"/>
      <c r="K98" s="168"/>
      <c r="M98" s="364">
        <f t="shared" si="22"/>
        <v>0.25929313386032532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490">
        <f>'[27]Sch C'!D92</f>
        <v>191680</v>
      </c>
      <c r="D99" s="490">
        <f>'[27]Sch C'!F92</f>
        <v>0</v>
      </c>
      <c r="E99" s="171">
        <f t="shared" si="19"/>
        <v>191680</v>
      </c>
      <c r="F99" s="171"/>
      <c r="G99" s="171">
        <f t="shared" si="20"/>
        <v>191680</v>
      </c>
      <c r="H99" s="172">
        <f t="shared" si="21"/>
        <v>2.7397340201174309E-2</v>
      </c>
      <c r="I99" s="337"/>
      <c r="J99" s="168"/>
      <c r="K99" s="168"/>
      <c r="M99" s="364">
        <f t="shared" si="22"/>
        <v>6.2611876919056639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490">
        <f>'[27]Sch C'!D93</f>
        <v>11342</v>
      </c>
      <c r="D100" s="490">
        <f>'[27]Sch C'!F93</f>
        <v>0</v>
      </c>
      <c r="E100" s="171">
        <f t="shared" si="19"/>
        <v>11342</v>
      </c>
      <c r="F100" s="171"/>
      <c r="G100" s="171">
        <f t="shared" si="20"/>
        <v>11342</v>
      </c>
      <c r="H100" s="172">
        <f t="shared" si="21"/>
        <v>1.6211426990907713E-3</v>
      </c>
      <c r="I100" s="337"/>
      <c r="J100" s="168"/>
      <c r="K100" s="168"/>
      <c r="M100" s="364">
        <f t="shared" si="22"/>
        <v>0.37048409224537793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490">
        <f>'[27]Sch C'!D94</f>
        <v>0</v>
      </c>
      <c r="D101" s="490">
        <f>'[27]Sch C'!F94</f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I101" s="337"/>
      <c r="J101" s="168"/>
      <c r="K101" s="168"/>
      <c r="M101" s="364">
        <f t="shared" si="22"/>
        <v>0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490">
        <f>SUM(C96:C101)</f>
        <v>408073</v>
      </c>
      <c r="D102" s="490">
        <f>SUM(D96:D101)</f>
        <v>42831</v>
      </c>
      <c r="E102" s="171">
        <f t="shared" ref="E102:F102" si="23">SUM(E96:E101)</f>
        <v>450904</v>
      </c>
      <c r="F102" s="171">
        <f t="shared" si="23"/>
        <v>0</v>
      </c>
      <c r="G102" s="171">
        <f>SUM(G96:G101)</f>
        <v>450904</v>
      </c>
      <c r="H102" s="172">
        <f t="shared" si="21"/>
        <v>6.4448926784590466E-2</v>
      </c>
      <c r="I102" s="337"/>
      <c r="J102" s="168"/>
      <c r="K102" s="168"/>
      <c r="M102" s="364">
        <f>G102/G$228</f>
        <v>14.728686221989939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490">
        <f>'[27]Sch C'!D98</f>
        <v>21327</v>
      </c>
      <c r="D105" s="490">
        <f>'[27]Sch C'!F98</f>
        <v>1405</v>
      </c>
      <c r="E105" s="171">
        <f t="shared" ref="E105:E110" si="24">C105+D105</f>
        <v>22732</v>
      </c>
      <c r="F105" s="171"/>
      <c r="G105" s="171">
        <f t="shared" ref="G105:G110" si="25">E105+F105</f>
        <v>22732</v>
      </c>
      <c r="H105" s="172">
        <f t="shared" ref="H105:H111" si="26">IF($G$208=0,0,G105/$G$208)</f>
        <v>3.2491461678479465E-3</v>
      </c>
      <c r="I105" s="337"/>
      <c r="J105" s="183">
        <v>1663</v>
      </c>
      <c r="K105" s="183">
        <v>1773</v>
      </c>
      <c r="M105" s="364">
        <f t="shared" ref="M105:M110" si="27">G105/G$228</f>
        <v>0.74253609459724312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490">
        <f>'[27]Sch C'!D99</f>
        <v>0</v>
      </c>
      <c r="D106" s="490">
        <f>'[27]Sch C'!F99</f>
        <v>3230</v>
      </c>
      <c r="E106" s="171">
        <f t="shared" si="24"/>
        <v>3230</v>
      </c>
      <c r="F106" s="171"/>
      <c r="G106" s="171">
        <f t="shared" si="25"/>
        <v>3230</v>
      </c>
      <c r="H106" s="172">
        <f t="shared" si="26"/>
        <v>4.6167262546845274E-4</v>
      </c>
      <c r="I106" s="337"/>
      <c r="J106" s="168"/>
      <c r="K106" s="168"/>
      <c r="M106" s="364">
        <f t="shared" si="27"/>
        <v>0.1055072842490364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490">
        <f>'[27]Sch C'!D100</f>
        <v>1679</v>
      </c>
      <c r="D107" s="490">
        <f>'[27]Sch C'!F100</f>
        <v>0</v>
      </c>
      <c r="E107" s="171">
        <f t="shared" si="24"/>
        <v>1679</v>
      </c>
      <c r="F107" s="171"/>
      <c r="G107" s="171">
        <f t="shared" si="25"/>
        <v>1679</v>
      </c>
      <c r="H107" s="172">
        <f t="shared" si="26"/>
        <v>2.3998400562276538E-4</v>
      </c>
      <c r="I107" s="337"/>
      <c r="J107" s="168"/>
      <c r="K107" s="168"/>
      <c r="M107" s="364">
        <f t="shared" si="27"/>
        <v>5.484418893316783E-2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490">
        <f>'[27]Sch C'!D101</f>
        <v>0</v>
      </c>
      <c r="D108" s="490">
        <f>'[27]Sch C'!F101</f>
        <v>0</v>
      </c>
      <c r="E108" s="171">
        <f t="shared" si="24"/>
        <v>0</v>
      </c>
      <c r="F108" s="171"/>
      <c r="G108" s="171">
        <f t="shared" si="25"/>
        <v>0</v>
      </c>
      <c r="H108" s="172">
        <f t="shared" si="26"/>
        <v>0</v>
      </c>
      <c r="I108" s="337"/>
      <c r="J108" s="168"/>
      <c r="K108" s="168"/>
      <c r="M108" s="364">
        <f t="shared" si="27"/>
        <v>0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490">
        <f>'[27]Sch C'!D102</f>
        <v>2205</v>
      </c>
      <c r="D109" s="490">
        <f>'[27]Sch C'!F102</f>
        <v>0</v>
      </c>
      <c r="E109" s="171">
        <f t="shared" si="24"/>
        <v>2205</v>
      </c>
      <c r="F109" s="171"/>
      <c r="G109" s="171">
        <f t="shared" si="25"/>
        <v>2205</v>
      </c>
      <c r="H109" s="172">
        <f t="shared" si="26"/>
        <v>3.1516660655044531E-4</v>
      </c>
      <c r="I109" s="337"/>
      <c r="J109" s="168"/>
      <c r="K109" s="168"/>
      <c r="M109" s="364">
        <f t="shared" si="27"/>
        <v>7.2025870516757046E-2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490">
        <f>'[27]Sch C'!D103</f>
        <v>1552</v>
      </c>
      <c r="D110" s="490">
        <f>'[27]Sch C'!F103</f>
        <v>0</v>
      </c>
      <c r="E110" s="171">
        <f t="shared" si="24"/>
        <v>1552</v>
      </c>
      <c r="F110" s="171"/>
      <c r="G110" s="171">
        <f t="shared" si="25"/>
        <v>1552</v>
      </c>
      <c r="H110" s="172">
        <f t="shared" si="26"/>
        <v>2.2183155254707079E-4</v>
      </c>
      <c r="I110" s="337"/>
      <c r="J110" s="168"/>
      <c r="K110" s="168"/>
      <c r="M110" s="364">
        <f t="shared" si="27"/>
        <v>5.0695760109753706E-2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490">
        <f>SUM(C105:C110)</f>
        <v>26763</v>
      </c>
      <c r="D111" s="490">
        <f>SUM(D105:D110)</f>
        <v>4635</v>
      </c>
      <c r="E111" s="171">
        <f t="shared" ref="E111:F111" si="28">SUM(E105:E110)</f>
        <v>31398</v>
      </c>
      <c r="F111" s="171">
        <f t="shared" si="28"/>
        <v>0</v>
      </c>
      <c r="G111" s="171">
        <f>SUM(G105:G110)</f>
        <v>31398</v>
      </c>
      <c r="H111" s="172">
        <f t="shared" si="26"/>
        <v>4.4878009580366805E-3</v>
      </c>
      <c r="I111" s="337"/>
      <c r="J111" s="168"/>
      <c r="K111" s="168"/>
      <c r="M111" s="364">
        <f>G111/G$228</f>
        <v>1.0256091984059581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490">
        <f>'[27]Sch C'!D115</f>
        <v>92340</v>
      </c>
      <c r="D114" s="490">
        <f>'[27]Sch C'!F115</f>
        <v>6081</v>
      </c>
      <c r="E114" s="171">
        <f t="shared" ref="E114:E118" si="29">C114+D114</f>
        <v>98421</v>
      </c>
      <c r="F114" s="171"/>
      <c r="G114" s="171">
        <f>E114+F114</f>
        <v>98421</v>
      </c>
      <c r="H114" s="172">
        <f t="shared" ref="H114:H119" si="30">IF($G$208=0,0,G114/$G$208)</f>
        <v>1.4067579402857766E-2</v>
      </c>
      <c r="I114" s="337"/>
      <c r="J114" s="183">
        <v>8882</v>
      </c>
      <c r="K114" s="183">
        <v>9467</v>
      </c>
      <c r="M114" s="364">
        <f t="shared" ref="M114:M119" si="31">G114/G$228</f>
        <v>3.2149016789704059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490">
        <f>'[27]Sch C'!D116</f>
        <v>0</v>
      </c>
      <c r="D115" s="490">
        <f>'[27]Sch C'!F116</f>
        <v>13984</v>
      </c>
      <c r="E115" s="171">
        <f t="shared" si="29"/>
        <v>13984</v>
      </c>
      <c r="F115" s="171"/>
      <c r="G115" s="171">
        <f>E115+F115</f>
        <v>13984</v>
      </c>
      <c r="H115" s="172">
        <f t="shared" si="30"/>
        <v>1.9987708961457717E-3</v>
      </c>
      <c r="I115" s="337"/>
      <c r="J115" s="168"/>
      <c r="K115" s="168"/>
      <c r="M115" s="364">
        <f t="shared" si="31"/>
        <v>0.45678447768994579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490">
        <f>'[27]Sch C'!D117</f>
        <v>25788</v>
      </c>
      <c r="D116" s="490">
        <f>'[27]Sch C'!F117</f>
        <v>0</v>
      </c>
      <c r="E116" s="171">
        <f t="shared" si="29"/>
        <v>25788</v>
      </c>
      <c r="F116" s="171"/>
      <c r="G116" s="171">
        <f>E116+F116</f>
        <v>25788</v>
      </c>
      <c r="H116" s="172">
        <f t="shared" si="30"/>
        <v>3.6859485032756838E-3</v>
      </c>
      <c r="I116" s="337"/>
      <c r="J116" s="168"/>
      <c r="K116" s="168"/>
      <c r="M116" s="364">
        <f t="shared" si="31"/>
        <v>0.84235970471026322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490">
        <f>'[27]Sch C'!D118</f>
        <v>1456</v>
      </c>
      <c r="D117" s="490">
        <f>'[27]Sch C'!F118</f>
        <v>0</v>
      </c>
      <c r="E117" s="171">
        <f t="shared" si="29"/>
        <v>1456</v>
      </c>
      <c r="F117" s="171"/>
      <c r="G117" s="171">
        <f>E117+F117</f>
        <v>1456</v>
      </c>
      <c r="H117" s="172">
        <f t="shared" si="30"/>
        <v>2.081100132142623E-4</v>
      </c>
      <c r="I117" s="337"/>
      <c r="J117" s="168"/>
      <c r="K117" s="168"/>
      <c r="M117" s="364">
        <f t="shared" si="31"/>
        <v>4.7559939896779251E-2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490">
        <f>'[27]Sch C'!D119</f>
        <v>28</v>
      </c>
      <c r="D118" s="490">
        <f>'[27]Sch C'!F119</f>
        <v>0</v>
      </c>
      <c r="E118" s="171">
        <f t="shared" si="29"/>
        <v>28</v>
      </c>
      <c r="F118" s="171"/>
      <c r="G118" s="171">
        <f>E118+F118</f>
        <v>28</v>
      </c>
      <c r="H118" s="172">
        <f t="shared" si="30"/>
        <v>4.0021156387358128E-6</v>
      </c>
      <c r="I118" s="337"/>
      <c r="J118" s="168"/>
      <c r="K118" s="168"/>
      <c r="M118" s="364">
        <f t="shared" si="31"/>
        <v>9.1461422878421641E-4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490">
        <f>SUM(C114:C118)</f>
        <v>119612</v>
      </c>
      <c r="D119" s="490">
        <f>SUM(D114:D118)</f>
        <v>20065</v>
      </c>
      <c r="E119" s="171">
        <f t="shared" ref="E119:F119" si="32">SUM(E114:E118)</f>
        <v>139677</v>
      </c>
      <c r="F119" s="171">
        <f t="shared" si="32"/>
        <v>0</v>
      </c>
      <c r="G119" s="171">
        <f>SUM(G114:G118)</f>
        <v>139677</v>
      </c>
      <c r="H119" s="172">
        <f t="shared" si="30"/>
        <v>1.9964410931132222E-2</v>
      </c>
      <c r="I119" s="337"/>
      <c r="J119" s="168"/>
      <c r="K119" s="168"/>
      <c r="M119" s="364">
        <f t="shared" si="31"/>
        <v>4.562520415496178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1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490">
        <f>'[27]Sch C'!D124</f>
        <v>0</v>
      </c>
      <c r="D123" s="490">
        <f>'[27]Sch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7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0.77002560279620991</v>
      </c>
    </row>
    <row r="124" spans="1:14" s="167" customFormat="1">
      <c r="B124" s="163" t="s">
        <v>194</v>
      </c>
      <c r="C124" s="490">
        <f>'[27]Sch C'!D125</f>
        <v>181800</v>
      </c>
      <c r="D124" s="490">
        <f>'[27]Sch C'!F125</f>
        <v>11973</v>
      </c>
      <c r="E124" s="171">
        <f t="shared" si="33"/>
        <v>193773</v>
      </c>
      <c r="F124" s="171"/>
      <c r="G124" s="171">
        <f>E124+F124</f>
        <v>193773</v>
      </c>
      <c r="H124" s="172">
        <f>IF($G$208=0,0,G124/$G$208)</f>
        <v>2.7696498345169813E-2</v>
      </c>
      <c r="I124" s="337"/>
      <c r="J124" s="183">
        <v>3499</v>
      </c>
      <c r="K124" s="183">
        <v>3729</v>
      </c>
      <c r="M124" s="364">
        <f t="shared" si="34"/>
        <v>6.3295551055072838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490">
        <f>'[27]Sch C'!D126</f>
        <v>63920</v>
      </c>
      <c r="D125" s="490">
        <f>'[27]Sch C'!F126</f>
        <v>4210</v>
      </c>
      <c r="E125" s="171">
        <f t="shared" si="33"/>
        <v>68130</v>
      </c>
      <c r="F125" s="171"/>
      <c r="G125" s="171">
        <f>E125+F125</f>
        <v>68130</v>
      </c>
      <c r="H125" s="172">
        <f>IF($G$208=0,0,G125/$G$208)</f>
        <v>9.738004945252534E-3</v>
      </c>
      <c r="I125" s="337"/>
      <c r="J125" s="183">
        <v>1694</v>
      </c>
      <c r="K125" s="183">
        <v>1806</v>
      </c>
      <c r="M125" s="364">
        <f t="shared" si="34"/>
        <v>2.2254524073953093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490">
        <f>'[27]Sch C'!D127</f>
        <v>0</v>
      </c>
      <c r="D126" s="490">
        <f>'[27]Sch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7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490">
        <f>'[27]Sch C'!D128</f>
        <v>83508</v>
      </c>
      <c r="D127" s="490">
        <f>'[27]Sch C'!F128</f>
        <v>5500</v>
      </c>
      <c r="E127" s="171">
        <f t="shared" si="33"/>
        <v>89008</v>
      </c>
      <c r="F127" s="171"/>
      <c r="G127" s="171">
        <f>E127+F127</f>
        <v>89008</v>
      </c>
      <c r="H127" s="172">
        <f>IF($G$208=0,0,G127/$G$208)</f>
        <v>1.2722153884735616E-2</v>
      </c>
      <c r="I127" s="337"/>
      <c r="J127" s="183">
        <v>3956</v>
      </c>
      <c r="K127" s="183">
        <v>4217</v>
      </c>
      <c r="M127" s="364">
        <f t="shared" si="34"/>
        <v>2.9074279741294831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205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490">
        <f>'[27]Sch C'!D130</f>
        <v>0</v>
      </c>
      <c r="D129" s="490">
        <f>'[27]Sch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7"/>
      <c r="J129" s="204"/>
      <c r="K129" s="204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490">
        <f>'[27]Sch C'!D131</f>
        <v>0</v>
      </c>
      <c r="D130" s="490">
        <f>'[27]Sch C'!F131</f>
        <v>27531</v>
      </c>
      <c r="E130" s="171">
        <f t="shared" si="35"/>
        <v>27531</v>
      </c>
      <c r="F130" s="171"/>
      <c r="G130" s="171">
        <f>E130+F130</f>
        <v>27531</v>
      </c>
      <c r="H130" s="172">
        <f>IF($G$208=0,0,G130/$G$208)</f>
        <v>3.9350802017869887E-3</v>
      </c>
      <c r="I130" s="337"/>
      <c r="J130" s="204"/>
      <c r="K130" s="204"/>
      <c r="M130" s="364">
        <f t="shared" si="34"/>
        <v>0.89929444045208073</v>
      </c>
      <c r="N130" s="359">
        <f>SUMMARY!J133</f>
        <v>1.0792348507966931</v>
      </c>
    </row>
    <row r="131" spans="1:14" s="167" customFormat="1">
      <c r="B131" s="163" t="s">
        <v>195</v>
      </c>
      <c r="C131" s="490">
        <f>'[27]Sch C'!D132</f>
        <v>0</v>
      </c>
      <c r="D131" s="490">
        <f>'[27]Sch C'!F132</f>
        <v>9680</v>
      </c>
      <c r="E131" s="171">
        <f t="shared" si="35"/>
        <v>9680</v>
      </c>
      <c r="F131" s="171"/>
      <c r="G131" s="171">
        <f>E131+F131</f>
        <v>9680</v>
      </c>
      <c r="H131" s="172">
        <f>IF($G$208=0,0,G131/$G$208)</f>
        <v>1.3835885493915241E-3</v>
      </c>
      <c r="I131" s="337"/>
      <c r="J131" s="168"/>
      <c r="K131" s="168"/>
      <c r="M131" s="364">
        <f t="shared" si="34"/>
        <v>0.31619520480825763</v>
      </c>
      <c r="N131" s="359">
        <f>SUMMARY!J134</f>
        <v>8.2765628075518377E-2</v>
      </c>
    </row>
    <row r="132" spans="1:14" s="167" customFormat="1">
      <c r="B132" s="163" t="s">
        <v>196</v>
      </c>
      <c r="C132" s="490">
        <f>'[27]Sch C'!D133</f>
        <v>0</v>
      </c>
      <c r="D132" s="490">
        <f>'[27]Sch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490">
        <f>'[27]Sch C'!D134</f>
        <v>0</v>
      </c>
      <c r="D133" s="490">
        <f>'[27]Sch C'!F134</f>
        <v>12647</v>
      </c>
      <c r="E133" s="171">
        <f t="shared" si="35"/>
        <v>12647</v>
      </c>
      <c r="F133" s="171"/>
      <c r="G133" s="171">
        <f>E133+F133</f>
        <v>12647</v>
      </c>
      <c r="H133" s="172">
        <f>IF($G$208=0,0,G133/$G$208)</f>
        <v>1.8076698743961367E-3</v>
      </c>
      <c r="I133" s="337"/>
      <c r="J133" s="168"/>
      <c r="K133" s="168"/>
      <c r="M133" s="364">
        <f t="shared" si="34"/>
        <v>0.41311164826549945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490">
        <f>'[27]Sch C'!D136</f>
        <v>733812</v>
      </c>
      <c r="D135" s="490">
        <f>'[27]Sch C'!F136</f>
        <v>48327</v>
      </c>
      <c r="E135" s="171">
        <f t="shared" ref="E135:E138" si="36">C135+D135</f>
        <v>782139</v>
      </c>
      <c r="F135" s="171"/>
      <c r="G135" s="171">
        <f>E135+F135</f>
        <v>782139</v>
      </c>
      <c r="H135" s="172">
        <f>IF($G$208=0,0,G135/$G$208)</f>
        <v>0.11179324012732822</v>
      </c>
      <c r="I135" s="337"/>
      <c r="J135" s="183">
        <v>23344</v>
      </c>
      <c r="K135" s="183">
        <v>24881</v>
      </c>
      <c r="M135" s="364">
        <f t="shared" si="34"/>
        <v>25.548409224537792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490">
        <f>'[27]Sch C'!D137</f>
        <v>111845</v>
      </c>
      <c r="D136" s="490">
        <f>'[27]Sch C'!F137</f>
        <v>7366</v>
      </c>
      <c r="E136" s="171">
        <f t="shared" si="36"/>
        <v>119211</v>
      </c>
      <c r="F136" s="171"/>
      <c r="G136" s="171">
        <f>E136+F136</f>
        <v>119211</v>
      </c>
      <c r="H136" s="172">
        <f>IF($G$208=0,0,G136/$G$208)</f>
        <v>1.7039150264619107E-2</v>
      </c>
      <c r="I136" s="337"/>
      <c r="J136" s="183">
        <v>4751</v>
      </c>
      <c r="K136" s="183">
        <v>5064</v>
      </c>
      <c r="M136" s="364">
        <f t="shared" si="34"/>
        <v>3.8940027438426865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490">
        <f>'[27]Sch C'!D138</f>
        <v>712739</v>
      </c>
      <c r="D137" s="490">
        <f>'[27]Sch C'!F138</f>
        <v>46939</v>
      </c>
      <c r="E137" s="171">
        <f t="shared" si="36"/>
        <v>759678</v>
      </c>
      <c r="F137" s="171"/>
      <c r="G137" s="171">
        <f>E137+F137</f>
        <v>759678</v>
      </c>
      <c r="H137" s="172">
        <f>IF($G$208=0,0,G137/$G$208)</f>
        <v>0.10858282872155518</v>
      </c>
      <c r="I137" s="337"/>
      <c r="J137" s="183">
        <v>50525</v>
      </c>
      <c r="K137" s="183">
        <v>53852</v>
      </c>
      <c r="M137" s="364">
        <f t="shared" si="34"/>
        <v>24.814725289083427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490">
        <f>'[27]Sch C'!D139</f>
        <v>99364</v>
      </c>
      <c r="D138" s="490">
        <f>'[27]Sch C'!F139</f>
        <v>6544</v>
      </c>
      <c r="E138" s="171">
        <f t="shared" si="36"/>
        <v>105908</v>
      </c>
      <c r="F138" s="171"/>
      <c r="G138" s="171">
        <f>E138+F138</f>
        <v>105908</v>
      </c>
      <c r="H138" s="172">
        <f>IF($G$208=0,0,G138/$G$208)</f>
        <v>1.5137716538115447E-2</v>
      </c>
      <c r="I138" s="337"/>
      <c r="J138" s="183">
        <v>7393</v>
      </c>
      <c r="K138" s="183">
        <v>7880</v>
      </c>
      <c r="M138" s="364">
        <f t="shared" si="34"/>
        <v>3.4594629907885279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7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490">
        <f>'[27]Sch C'!D141</f>
        <v>0</v>
      </c>
      <c r="D140" s="490">
        <f>'[27]Sch C'!F141</f>
        <v>111126</v>
      </c>
      <c r="E140" s="171">
        <f t="shared" ref="E140:E143" si="37">C140+D140</f>
        <v>111126</v>
      </c>
      <c r="F140" s="171"/>
      <c r="G140" s="171">
        <f>E140+F140</f>
        <v>111126</v>
      </c>
      <c r="H140" s="172">
        <f>IF($G$208=0,0,G140/$G$208)</f>
        <v>1.5883539373934143E-2</v>
      </c>
      <c r="I140" s="337"/>
      <c r="J140" s="168"/>
      <c r="K140" s="168"/>
      <c r="M140" s="364">
        <f t="shared" si="34"/>
        <v>3.6299078852812441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490">
        <f>'[27]Sch C'!D142</f>
        <v>0</v>
      </c>
      <c r="D141" s="490">
        <f>'[27]Sch C'!F142</f>
        <v>16937</v>
      </c>
      <c r="E141" s="171">
        <f t="shared" si="37"/>
        <v>16937</v>
      </c>
      <c r="F141" s="171"/>
      <c r="G141" s="171">
        <f>E141+F141</f>
        <v>16937</v>
      </c>
      <c r="H141" s="172">
        <f>IF($G$208=0,0,G141/$G$208)</f>
        <v>2.4208511633310166E-3</v>
      </c>
      <c r="I141" s="337"/>
      <c r="J141" s="168"/>
      <c r="K141" s="168"/>
      <c r="M141" s="364">
        <f t="shared" si="34"/>
        <v>0.55324361403279543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490">
        <f>'[27]Sch C'!D143</f>
        <v>0</v>
      </c>
      <c r="D142" s="490">
        <f>'[27]Sch C'!F143</f>
        <v>107935</v>
      </c>
      <c r="E142" s="171">
        <f t="shared" si="37"/>
        <v>107935</v>
      </c>
      <c r="F142" s="171"/>
      <c r="G142" s="171">
        <f>E142+F142</f>
        <v>107935</v>
      </c>
      <c r="H142" s="172">
        <f>IF($G$208=0,0,G142/$G$208)</f>
        <v>1.5427441123819642E-2</v>
      </c>
      <c r="I142" s="337"/>
      <c r="J142" s="168"/>
      <c r="K142" s="168"/>
      <c r="M142" s="364">
        <f t="shared" si="34"/>
        <v>3.5256745279937283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490">
        <f>'[27]Sch C'!D144</f>
        <v>0</v>
      </c>
      <c r="D143" s="490">
        <f>'[27]Sch C'!F144</f>
        <v>15047</v>
      </c>
      <c r="E143" s="171">
        <f t="shared" si="37"/>
        <v>15047</v>
      </c>
      <c r="F143" s="171"/>
      <c r="G143" s="171">
        <f>E143+F143</f>
        <v>15047</v>
      </c>
      <c r="H143" s="172">
        <f>IF($G$208=0,0,G143/$G$208)</f>
        <v>2.1507083577163495E-3</v>
      </c>
      <c r="I143" s="337"/>
      <c r="J143" s="168"/>
      <c r="K143" s="168"/>
      <c r="M143" s="364">
        <f t="shared" si="34"/>
        <v>0.49150715358986086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7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490">
        <f>'[27]Sch C'!D146</f>
        <v>46983</v>
      </c>
      <c r="D145" s="490">
        <f>'[27]Sch C'!F146</f>
        <v>0</v>
      </c>
      <c r="E145" s="171">
        <f t="shared" ref="E145:E153" si="38">C145+D145</f>
        <v>46983</v>
      </c>
      <c r="F145" s="171"/>
      <c r="G145" s="171">
        <f t="shared" ref="G145:G153" si="39">E145+F145</f>
        <v>46983</v>
      </c>
      <c r="H145" s="172">
        <f t="shared" ref="H145:H153" si="40">IF($G$208=0,0,G145/$G$208)</f>
        <v>6.7154071090973115E-3</v>
      </c>
      <c r="I145" s="337"/>
      <c r="J145" s="183">
        <v>0</v>
      </c>
      <c r="K145" s="183">
        <v>0</v>
      </c>
      <c r="M145" s="364">
        <f t="shared" si="34"/>
        <v>1.53469001110603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490">
        <f>'[27]Sch C'!D147</f>
        <v>0</v>
      </c>
      <c r="D146" s="490">
        <f>'[27]Sch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337"/>
      <c r="J146" s="183">
        <v>0</v>
      </c>
      <c r="K146" s="183">
        <v>0</v>
      </c>
      <c r="M146" s="364">
        <f t="shared" si="34"/>
        <v>0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490">
        <f>'[27]Sch C'!D148</f>
        <v>0</v>
      </c>
      <c r="D147" s="490">
        <f>'[27]Sch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7"/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490">
        <f>'[27]Sch C'!D149</f>
        <v>0</v>
      </c>
      <c r="D148" s="490">
        <f>'[27]Sch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7"/>
      <c r="J148" s="183">
        <v>0</v>
      </c>
      <c r="K148" s="183">
        <v>0</v>
      </c>
      <c r="M148" s="364">
        <f t="shared" si="34"/>
        <v>0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490">
        <f>'[27]Sch C'!D150</f>
        <v>22452</v>
      </c>
      <c r="D149" s="490">
        <f>'[27]Sch C'!F150</f>
        <v>0</v>
      </c>
      <c r="E149" s="171">
        <f t="shared" si="38"/>
        <v>22452</v>
      </c>
      <c r="F149" s="171"/>
      <c r="G149" s="171">
        <f t="shared" si="39"/>
        <v>22452</v>
      </c>
      <c r="H149" s="172">
        <f t="shared" si="40"/>
        <v>3.2091250114605887E-3</v>
      </c>
      <c r="I149" s="337"/>
      <c r="J149" s="183">
        <v>0</v>
      </c>
      <c r="K149" s="183">
        <v>0</v>
      </c>
      <c r="M149" s="364">
        <f t="shared" si="34"/>
        <v>0.73338995230940096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490">
        <f>'[27]Sch C'!D151</f>
        <v>96238</v>
      </c>
      <c r="D150" s="490">
        <f>'[27]Sch C'!F151</f>
        <v>0</v>
      </c>
      <c r="E150" s="171">
        <f t="shared" si="38"/>
        <v>96238</v>
      </c>
      <c r="F150" s="171"/>
      <c r="G150" s="171">
        <f t="shared" si="39"/>
        <v>96238</v>
      </c>
      <c r="H150" s="172">
        <f t="shared" si="40"/>
        <v>1.3755557315737757E-2</v>
      </c>
      <c r="I150" s="337"/>
      <c r="J150" s="168"/>
      <c r="K150" s="168"/>
      <c r="M150" s="364">
        <f t="shared" si="34"/>
        <v>3.1435944339191222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490">
        <f>'[27]Sch C'!D152</f>
        <v>4912</v>
      </c>
      <c r="D151" s="490">
        <f>'[27]Sch C'!F152</f>
        <v>0</v>
      </c>
      <c r="E151" s="171">
        <f t="shared" si="38"/>
        <v>4912</v>
      </c>
      <c r="F151" s="171"/>
      <c r="G151" s="171">
        <f t="shared" si="39"/>
        <v>4912</v>
      </c>
      <c r="H151" s="172">
        <f t="shared" si="40"/>
        <v>7.0208542919536834E-4</v>
      </c>
      <c r="I151" s="337"/>
      <c r="J151" s="168"/>
      <c r="K151" s="168"/>
      <c r="M151" s="364">
        <f t="shared" si="34"/>
        <v>0.16044946756385967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490">
        <f>'[27]Sch C'!D153</f>
        <v>0</v>
      </c>
      <c r="D152" s="490">
        <f>'[27]Sch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7"/>
      <c r="J152" s="168"/>
      <c r="K152" s="168"/>
      <c r="M152" s="364">
        <f t="shared" si="34"/>
        <v>0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490">
        <f>'[27]Sch C'!D154</f>
        <v>0</v>
      </c>
      <c r="D153" s="490">
        <f>'[27]Sch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210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490">
        <f>'[27]Sch C'!D156</f>
        <v>0</v>
      </c>
      <c r="D155" s="490">
        <f>'[27]Sch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490">
        <f>'[27]Sch C'!D157</f>
        <v>0</v>
      </c>
      <c r="D156" s="490">
        <f>'[27]Sch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490">
        <f>'[27]Sch C'!D158</f>
        <v>0</v>
      </c>
      <c r="D157" s="490">
        <f>'[27]Sch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7"/>
      <c r="J157" s="168"/>
      <c r="K157" s="168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490">
        <f>'[27]Sch C'!D159</f>
        <v>0</v>
      </c>
      <c r="D158" s="490">
        <f>'[27]Sch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490">
        <f>'[27]Sch C'!D160</f>
        <v>0</v>
      </c>
      <c r="D159" s="490">
        <f>'[27]Sch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7"/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490">
        <f>'[27]Sch C'!D161</f>
        <v>1068</v>
      </c>
      <c r="D160" s="490">
        <f>'[27]Sch C'!F161</f>
        <v>0</v>
      </c>
      <c r="E160" s="171">
        <f t="shared" si="41"/>
        <v>1068</v>
      </c>
      <c r="F160" s="171"/>
      <c r="G160" s="171">
        <f t="shared" si="42"/>
        <v>1068</v>
      </c>
      <c r="H160" s="172">
        <f t="shared" si="43"/>
        <v>1.5265212507749459E-4</v>
      </c>
      <c r="I160" s="337"/>
      <c r="J160" s="168"/>
      <c r="K160" s="168"/>
      <c r="M160" s="364">
        <f t="shared" si="34"/>
        <v>3.4885999869340822E-2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490">
        <f>SUM(C123:C160)</f>
        <v>2158641</v>
      </c>
      <c r="D161" s="490">
        <f>SUM(D123:D160)</f>
        <v>431762</v>
      </c>
      <c r="E161" s="171">
        <f t="shared" ref="E161:F161" si="44">SUM(E123:E160)</f>
        <v>2590403</v>
      </c>
      <c r="F161" s="171">
        <f t="shared" si="44"/>
        <v>0</v>
      </c>
      <c r="G161" s="171">
        <f>SUM(G123:G160)</f>
        <v>2590403</v>
      </c>
      <c r="H161" s="172">
        <f t="shared" si="43"/>
        <v>0.37025329846172023</v>
      </c>
      <c r="I161" s="337"/>
      <c r="J161" s="168"/>
      <c r="K161" s="168"/>
      <c r="M161" s="364">
        <f>G161/G$228</f>
        <v>84.614980074475724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337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7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490">
        <f>'[27]Sch C'!D175</f>
        <v>0</v>
      </c>
      <c r="D164" s="490">
        <f>'[27]Sch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490">
        <f>'[27]Sch C'!D176</f>
        <v>0</v>
      </c>
      <c r="D165" s="490">
        <f>'[27]Sch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490">
        <f>'[27]Sch C'!D177</f>
        <v>278927</v>
      </c>
      <c r="D166" s="490">
        <f>'[27]Sch C'!F177</f>
        <v>18369</v>
      </c>
      <c r="E166" s="171">
        <f t="shared" si="45"/>
        <v>297296</v>
      </c>
      <c r="F166" s="216"/>
      <c r="G166" s="171">
        <f t="shared" si="46"/>
        <v>297296</v>
      </c>
      <c r="H166" s="172">
        <f t="shared" si="47"/>
        <v>4.2493320390485798E-2</v>
      </c>
      <c r="I166" s="343"/>
      <c r="J166" s="217">
        <v>8361</v>
      </c>
      <c r="K166" s="217">
        <v>8912</v>
      </c>
      <c r="L166" s="218"/>
      <c r="M166" s="364">
        <f t="shared" si="48"/>
        <v>9.7111125628797286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490">
        <f>'[27]Sch C'!D178</f>
        <v>0</v>
      </c>
      <c r="D167" s="490">
        <f>'[27]Sch C'!F178</f>
        <v>42240</v>
      </c>
      <c r="E167" s="171">
        <f t="shared" si="45"/>
        <v>42240</v>
      </c>
      <c r="F167" s="216"/>
      <c r="G167" s="171">
        <f t="shared" si="46"/>
        <v>42240</v>
      </c>
      <c r="H167" s="172">
        <f t="shared" si="47"/>
        <v>6.0374773064357408E-3</v>
      </c>
      <c r="I167" s="344"/>
      <c r="J167" s="222"/>
      <c r="K167" s="222"/>
      <c r="L167" s="218"/>
      <c r="M167" s="364">
        <f t="shared" si="48"/>
        <v>1.3797608937087606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490">
        <f>'[27]Sch C'!D179</f>
        <v>59824</v>
      </c>
      <c r="D168" s="490">
        <f>'[27]Sch C'!F179</f>
        <v>3940</v>
      </c>
      <c r="E168" s="171">
        <f t="shared" si="45"/>
        <v>63764</v>
      </c>
      <c r="F168" s="216"/>
      <c r="G168" s="171">
        <f t="shared" si="46"/>
        <v>63764</v>
      </c>
      <c r="H168" s="172">
        <f t="shared" si="47"/>
        <v>9.1139607710125133E-3</v>
      </c>
      <c r="I168" s="343"/>
      <c r="J168" s="217">
        <v>1226</v>
      </c>
      <c r="K168" s="217">
        <v>1307</v>
      </c>
      <c r="L168" s="218"/>
      <c r="M168" s="364">
        <f t="shared" si="48"/>
        <v>2.0828379172927418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490">
        <f>'[27]Sch C'!D180</f>
        <v>0</v>
      </c>
      <c r="D169" s="490">
        <f>'[27]Sch C'!F180</f>
        <v>9060</v>
      </c>
      <c r="E169" s="171">
        <f t="shared" si="45"/>
        <v>9060</v>
      </c>
      <c r="F169" s="216"/>
      <c r="G169" s="171">
        <f t="shared" si="46"/>
        <v>9060</v>
      </c>
      <c r="H169" s="172">
        <f t="shared" si="47"/>
        <v>1.2949702745338025E-3</v>
      </c>
      <c r="I169" s="344"/>
      <c r="J169" s="222"/>
      <c r="K169" s="222"/>
      <c r="L169" s="218"/>
      <c r="M169" s="364">
        <f t="shared" si="48"/>
        <v>0.29594303259946431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490">
        <f>'[27]Sch C'!D181</f>
        <v>0</v>
      </c>
      <c r="D170" s="490">
        <f>'[27]Sch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3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490">
        <f>'[27]Sch C'!D182</f>
        <v>0</v>
      </c>
      <c r="D171" s="490">
        <f>'[27]Sch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490">
        <f>'[27]Sch C'!D183</f>
        <v>168712</v>
      </c>
      <c r="D172" s="490">
        <f>'[27]Sch C'!F183</f>
        <v>11111</v>
      </c>
      <c r="E172" s="171">
        <f t="shared" si="45"/>
        <v>179823</v>
      </c>
      <c r="F172" s="216"/>
      <c r="G172" s="171">
        <f t="shared" si="46"/>
        <v>179823</v>
      </c>
      <c r="H172" s="172">
        <f t="shared" si="47"/>
        <v>2.5702587160871076E-2</v>
      </c>
      <c r="I172" s="343"/>
      <c r="J172" s="217">
        <v>5138</v>
      </c>
      <c r="K172" s="217">
        <v>5476</v>
      </c>
      <c r="L172" s="218"/>
      <c r="M172" s="364">
        <f t="shared" si="48"/>
        <v>5.8738812308094337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490">
        <f>'[27]Sch C'!D184</f>
        <v>0</v>
      </c>
      <c r="D173" s="490">
        <f>'[27]Sch C'!F184</f>
        <v>25550</v>
      </c>
      <c r="E173" s="171">
        <f t="shared" si="45"/>
        <v>25550</v>
      </c>
      <c r="F173" s="216"/>
      <c r="G173" s="171">
        <f t="shared" si="46"/>
        <v>25550</v>
      </c>
      <c r="H173" s="172">
        <f t="shared" si="47"/>
        <v>3.6519305203464294E-3</v>
      </c>
      <c r="I173" s="344"/>
      <c r="J173" s="222"/>
      <c r="K173" s="222"/>
      <c r="L173" s="218"/>
      <c r="M173" s="364">
        <f t="shared" si="48"/>
        <v>0.83458548376559749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490">
        <f>'[27]Sch C'!D185</f>
        <v>0</v>
      </c>
      <c r="D174" s="490">
        <f>'[27]Sch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3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490">
        <f>'[27]Sch C'!D186</f>
        <v>0</v>
      </c>
      <c r="D175" s="490">
        <f>'[27]Sch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490">
        <f>'[27]Sch C'!D187</f>
        <v>0</v>
      </c>
      <c r="D176" s="490">
        <f>'[27]Sch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490">
        <f>'[27]Sch C'!D188</f>
        <v>609</v>
      </c>
      <c r="D177" s="490">
        <f>'[27]Sch C'!F188</f>
        <v>0</v>
      </c>
      <c r="E177" s="171">
        <f t="shared" si="45"/>
        <v>609</v>
      </c>
      <c r="F177" s="216"/>
      <c r="G177" s="171">
        <f t="shared" si="46"/>
        <v>609</v>
      </c>
      <c r="H177" s="172">
        <f t="shared" si="47"/>
        <v>8.7046015142503943E-5</v>
      </c>
      <c r="I177" s="337"/>
      <c r="J177" s="223"/>
      <c r="K177" s="218"/>
      <c r="L177" s="220"/>
      <c r="M177" s="364">
        <f t="shared" si="48"/>
        <v>1.9892859476056707E-2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490">
        <f>'[27]Sch C'!D189</f>
        <v>0</v>
      </c>
      <c r="D178" s="490">
        <f>'[27]Sch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337"/>
      <c r="J178" s="223"/>
      <c r="K178" s="218"/>
      <c r="L178" s="220"/>
      <c r="M178" s="364">
        <f t="shared" si="48"/>
        <v>0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490">
        <f>'[27]Sch C'!D190</f>
        <v>0</v>
      </c>
      <c r="D179" s="490">
        <f>'[27]Sch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490">
        <f>'[27]Sch C'!D191</f>
        <v>0</v>
      </c>
      <c r="D180" s="490">
        <f>'[27]Sch C'!F191</f>
        <v>0</v>
      </c>
      <c r="E180" s="171">
        <f t="shared" si="45"/>
        <v>0</v>
      </c>
      <c r="F180" s="216"/>
      <c r="G180" s="171">
        <f t="shared" si="46"/>
        <v>0</v>
      </c>
      <c r="H180" s="172">
        <f t="shared" si="47"/>
        <v>0</v>
      </c>
      <c r="I180" s="337"/>
      <c r="J180" s="223"/>
      <c r="K180" s="218"/>
      <c r="L180" s="220"/>
      <c r="M180" s="364">
        <f t="shared" si="48"/>
        <v>0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490">
        <f>'[27]Sch C'!D192</f>
        <v>0</v>
      </c>
      <c r="D181" s="490">
        <f>'[27]Sch C'!F192</f>
        <v>0</v>
      </c>
      <c r="E181" s="171">
        <f t="shared" si="45"/>
        <v>0</v>
      </c>
      <c r="F181" s="216"/>
      <c r="G181" s="171">
        <f t="shared" si="46"/>
        <v>0</v>
      </c>
      <c r="H181" s="172">
        <f t="shared" si="47"/>
        <v>0</v>
      </c>
      <c r="I181" s="337"/>
      <c r="J181" s="223"/>
      <c r="K181" s="218"/>
      <c r="L181" s="220"/>
      <c r="M181" s="364">
        <f t="shared" si="48"/>
        <v>0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490">
        <f>'[27]Sch C'!D193</f>
        <v>0</v>
      </c>
      <c r="D182" s="490">
        <f>'[27]Sch C'!F193</f>
        <v>0</v>
      </c>
      <c r="E182" s="171">
        <f t="shared" si="45"/>
        <v>0</v>
      </c>
      <c r="F182" s="216"/>
      <c r="G182" s="171">
        <f t="shared" si="46"/>
        <v>0</v>
      </c>
      <c r="H182" s="172">
        <f t="shared" si="47"/>
        <v>0</v>
      </c>
      <c r="I182" s="337"/>
      <c r="J182" s="223"/>
      <c r="K182" s="218"/>
      <c r="L182" s="220"/>
      <c r="M182" s="364">
        <f t="shared" si="48"/>
        <v>0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490">
        <f>'[27]Sch C'!D194</f>
        <v>0</v>
      </c>
      <c r="D183" s="490">
        <f>'[27]Sch C'!F194</f>
        <v>0</v>
      </c>
      <c r="E183" s="171">
        <f t="shared" si="45"/>
        <v>0</v>
      </c>
      <c r="F183" s="216"/>
      <c r="G183" s="171">
        <f t="shared" si="46"/>
        <v>0</v>
      </c>
      <c r="H183" s="172">
        <f t="shared" si="47"/>
        <v>0</v>
      </c>
      <c r="I183" s="337"/>
      <c r="J183" s="223"/>
      <c r="K183" s="218"/>
      <c r="M183" s="364">
        <f t="shared" si="48"/>
        <v>0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490">
        <f>'[27]Sch C'!D195</f>
        <v>120</v>
      </c>
      <c r="D184" s="490">
        <f>'[27]Sch C'!F195</f>
        <v>0</v>
      </c>
      <c r="E184" s="171">
        <f t="shared" si="45"/>
        <v>120</v>
      </c>
      <c r="F184" s="216"/>
      <c r="G184" s="171">
        <f t="shared" si="46"/>
        <v>120</v>
      </c>
      <c r="H184" s="172">
        <f t="shared" si="47"/>
        <v>1.7151924166010628E-5</v>
      </c>
      <c r="I184" s="337"/>
      <c r="J184" s="223"/>
      <c r="K184" s="218"/>
      <c r="M184" s="364">
        <f t="shared" si="48"/>
        <v>3.9197752662180705E-3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490">
        <f>'[27]Sch C'!D196</f>
        <v>0</v>
      </c>
      <c r="D185" s="490">
        <f>'[27]Sch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490">
        <f>'[27]Sch C'!D197</f>
        <v>0</v>
      </c>
      <c r="D186" s="490">
        <f>'[27]Sch C'!F197</f>
        <v>0</v>
      </c>
      <c r="E186" s="171">
        <f t="shared" si="45"/>
        <v>0</v>
      </c>
      <c r="F186" s="216"/>
      <c r="G186" s="171">
        <f t="shared" si="46"/>
        <v>0</v>
      </c>
      <c r="H186" s="172">
        <f t="shared" si="47"/>
        <v>0</v>
      </c>
      <c r="I186" s="337"/>
      <c r="J186" s="223"/>
      <c r="K186" s="218"/>
      <c r="M186" s="364">
        <f t="shared" si="48"/>
        <v>0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490">
        <f>'[27]Sch C'!D198</f>
        <v>29273</v>
      </c>
      <c r="D187" s="490">
        <f>'[27]Sch C'!F198</f>
        <v>0</v>
      </c>
      <c r="E187" s="171">
        <f t="shared" si="45"/>
        <v>29273</v>
      </c>
      <c r="F187" s="216"/>
      <c r="G187" s="171">
        <f t="shared" si="46"/>
        <v>29273</v>
      </c>
      <c r="H187" s="172">
        <f t="shared" si="47"/>
        <v>4.1840689675969097E-3</v>
      </c>
      <c r="I187" s="337"/>
      <c r="J187" s="223"/>
      <c r="K187" s="218"/>
      <c r="M187" s="364">
        <f t="shared" si="48"/>
        <v>0.95619651140001305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490">
        <f>'[27]Sch C'!D199</f>
        <v>0</v>
      </c>
      <c r="D188" s="490">
        <f>'[27]Sch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7"/>
      <c r="J188" s="223"/>
      <c r="K188" s="218"/>
      <c r="M188" s="364">
        <f t="shared" si="48"/>
        <v>0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490">
        <f>'[27]Sch C'!D200</f>
        <v>0</v>
      </c>
      <c r="D189" s="490">
        <f>'[27]Sch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7"/>
      <c r="J189" s="223"/>
      <c r="K189" s="218"/>
      <c r="M189" s="364">
        <f t="shared" si="48"/>
        <v>0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490">
        <f>'[27]Sch C'!D201</f>
        <v>0</v>
      </c>
      <c r="D190" s="490">
        <f>'[27]Sch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7"/>
      <c r="J190" s="223"/>
      <c r="K190" s="218"/>
      <c r="M190" s="364">
        <f t="shared" si="48"/>
        <v>0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490">
        <f>'[27]Sch C'!D202</f>
        <v>0</v>
      </c>
      <c r="D191" s="490">
        <f>'[27]Sch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490">
        <f>'[27]Sch C'!D203</f>
        <v>0</v>
      </c>
      <c r="D192" s="490">
        <f>'[27]Sch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7"/>
      <c r="J192" s="223"/>
      <c r="K192" s="218"/>
      <c r="M192" s="364">
        <f t="shared" si="48"/>
        <v>0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490">
        <f>'[27]Sch C'!D204</f>
        <v>0</v>
      </c>
      <c r="D193" s="490">
        <f>'[27]Sch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490">
        <f>'[27]Sch C'!D205</f>
        <v>170910</v>
      </c>
      <c r="D194" s="490">
        <f>'[27]Sch C'!F205</f>
        <v>0</v>
      </c>
      <c r="E194" s="171">
        <f t="shared" si="45"/>
        <v>170910</v>
      </c>
      <c r="F194" s="216"/>
      <c r="G194" s="171">
        <f t="shared" si="46"/>
        <v>170910</v>
      </c>
      <c r="H194" s="172">
        <f t="shared" si="47"/>
        <v>2.4428627993440637E-2</v>
      </c>
      <c r="I194" s="337"/>
      <c r="J194" s="223"/>
      <c r="K194" s="218"/>
      <c r="M194" s="364">
        <f t="shared" si="48"/>
        <v>5.5827399229110863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490">
        <f>'[27]Sch C'!D206</f>
        <v>6509</v>
      </c>
      <c r="D195" s="490">
        <f>'[27]Sch C'!F206</f>
        <v>0</v>
      </c>
      <c r="E195" s="171">
        <f t="shared" si="45"/>
        <v>6509</v>
      </c>
      <c r="F195" s="216"/>
      <c r="G195" s="171">
        <f t="shared" si="46"/>
        <v>6509</v>
      </c>
      <c r="H195" s="172">
        <f t="shared" si="47"/>
        <v>9.3034895330469311E-4</v>
      </c>
      <c r="I195" s="337"/>
      <c r="J195" s="223"/>
      <c r="K195" s="218"/>
      <c r="M195" s="364">
        <f t="shared" si="48"/>
        <v>0.21261514339844514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490">
        <f>'[27]Sch C'!D207</f>
        <v>22845</v>
      </c>
      <c r="D196" s="490">
        <f>'[27]Sch C'!F207</f>
        <v>-108</v>
      </c>
      <c r="E196" s="171">
        <f t="shared" si="45"/>
        <v>22737</v>
      </c>
      <c r="F196" s="216"/>
      <c r="G196" s="171">
        <f t="shared" si="46"/>
        <v>22737</v>
      </c>
      <c r="H196" s="172">
        <f t="shared" si="47"/>
        <v>3.2498608313548637E-3</v>
      </c>
      <c r="I196" s="337"/>
      <c r="J196" s="223"/>
      <c r="K196" s="218"/>
      <c r="M196" s="364">
        <f t="shared" si="48"/>
        <v>0.74269941856666888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490">
        <f>SUM(C164:C196)</f>
        <v>737729</v>
      </c>
      <c r="D197" s="490">
        <f>SUM(D164:D196)</f>
        <v>110162</v>
      </c>
      <c r="E197" s="171">
        <f t="shared" ref="E197:F197" si="49">SUM(E164:E196)</f>
        <v>847891</v>
      </c>
      <c r="F197" s="171">
        <f t="shared" si="49"/>
        <v>0</v>
      </c>
      <c r="G197" s="171">
        <f>SUM(G164:G196)</f>
        <v>847891</v>
      </c>
      <c r="H197" s="172">
        <f>IF($G$208=0,0,G197/$G$208)</f>
        <v>0.12119135110869098</v>
      </c>
      <c r="I197" s="337"/>
      <c r="J197" s="168"/>
      <c r="K197" s="168"/>
      <c r="M197" s="364">
        <f>G197/G$228</f>
        <v>27.696184752074213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165"/>
      <c r="G198" s="165"/>
      <c r="H198" s="198"/>
      <c r="I198" s="341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1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490">
        <f>'[27]Sch C'!D211</f>
        <v>139492</v>
      </c>
      <c r="D200" s="490">
        <f>'[27]Sch C'!F211</f>
        <v>9187</v>
      </c>
      <c r="E200" s="171">
        <f t="shared" ref="E200:E205" si="50">C200+D200</f>
        <v>148679</v>
      </c>
      <c r="F200" s="171"/>
      <c r="G200" s="171">
        <f t="shared" ref="G200:G205" si="51">E200+F200</f>
        <v>148679</v>
      </c>
      <c r="H200" s="172">
        <f t="shared" ref="H200:H206" si="52">IF($G$208=0,0,G200/$G$208)</f>
        <v>2.1251091108985785E-2</v>
      </c>
      <c r="I200" s="337"/>
      <c r="J200" s="183">
        <v>8189</v>
      </c>
      <c r="K200" s="183">
        <v>8728</v>
      </c>
      <c r="M200" s="364">
        <f t="shared" ref="M200:M205" si="53">G200/G$228</f>
        <v>4.8565688900503039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490">
        <f>'[27]Sch C'!D212</f>
        <v>0</v>
      </c>
      <c r="D201" s="490">
        <f>'[27]Sch C'!F212</f>
        <v>21124</v>
      </c>
      <c r="E201" s="171">
        <f t="shared" si="50"/>
        <v>21124</v>
      </c>
      <c r="F201" s="171"/>
      <c r="G201" s="171">
        <f t="shared" si="51"/>
        <v>21124</v>
      </c>
      <c r="H201" s="172">
        <f t="shared" si="52"/>
        <v>3.0193103840234041E-3</v>
      </c>
      <c r="I201" s="337"/>
      <c r="J201" s="168"/>
      <c r="K201" s="168"/>
      <c r="M201" s="364">
        <f t="shared" si="53"/>
        <v>0.690011106029921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490">
        <f>'[27]Sch C'!D213</f>
        <v>12094</v>
      </c>
      <c r="D202" s="490">
        <f>'[27]Sch C'!F213</f>
        <v>0</v>
      </c>
      <c r="E202" s="171">
        <f t="shared" si="50"/>
        <v>12094</v>
      </c>
      <c r="F202" s="171"/>
      <c r="G202" s="171">
        <f t="shared" si="51"/>
        <v>12094</v>
      </c>
      <c r="H202" s="172">
        <f t="shared" si="52"/>
        <v>1.7286280905311044E-3</v>
      </c>
      <c r="I202" s="337"/>
      <c r="J202" s="168"/>
      <c r="K202" s="168"/>
      <c r="M202" s="364">
        <f t="shared" si="53"/>
        <v>0.39504801724701116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490">
        <f>'[27]Sch C'!D214</f>
        <v>0</v>
      </c>
      <c r="D203" s="490">
        <f>'[27]Sch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>
        <f t="shared" si="53"/>
        <v>0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490">
        <f>'[27]Sch C'!D215</f>
        <v>0</v>
      </c>
      <c r="D204" s="490">
        <f>'[27]Sch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490">
        <f>'[27]Sch C'!D216</f>
        <v>7845</v>
      </c>
      <c r="D205" s="490">
        <f>'[27]Sch C'!F216</f>
        <v>0</v>
      </c>
      <c r="E205" s="171">
        <f t="shared" si="50"/>
        <v>7845</v>
      </c>
      <c r="F205" s="171"/>
      <c r="G205" s="171">
        <f t="shared" si="51"/>
        <v>7845</v>
      </c>
      <c r="H205" s="172">
        <f t="shared" si="52"/>
        <v>1.1213070423529447E-3</v>
      </c>
      <c r="I205" s="337"/>
      <c r="J205" s="168"/>
      <c r="K205" s="168"/>
      <c r="M205" s="364">
        <f t="shared" si="53"/>
        <v>0.25625530802900631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490">
        <f>SUM(C200:C205)</f>
        <v>159431</v>
      </c>
      <c r="D206" s="490">
        <f>SUM(D200:D205)</f>
        <v>30311</v>
      </c>
      <c r="E206" s="171">
        <f t="shared" ref="E206:F206" si="54">SUM(E200:E205)</f>
        <v>189742</v>
      </c>
      <c r="F206" s="171">
        <f t="shared" si="54"/>
        <v>0</v>
      </c>
      <c r="G206" s="171">
        <f>SUM(G200:G205)</f>
        <v>189742</v>
      </c>
      <c r="H206" s="172">
        <f t="shared" si="52"/>
        <v>2.7120336625893238E-2</v>
      </c>
      <c r="I206" s="337"/>
      <c r="J206" s="168"/>
      <c r="K206" s="168"/>
      <c r="M206" s="364">
        <f>G206/G$228</f>
        <v>6.1978833213562421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490">
        <f>SUM(C25:C206)/2</f>
        <v>7017068</v>
      </c>
      <c r="D208" s="490">
        <f>SUM(D25:D206)/2</f>
        <v>-20768.410604669596</v>
      </c>
      <c r="E208" s="171">
        <f t="shared" ref="E208:F208" si="55">SUM(E25:E206)/2</f>
        <v>6996299.5893953303</v>
      </c>
      <c r="F208" s="171">
        <f t="shared" si="55"/>
        <v>0</v>
      </c>
      <c r="G208" s="171">
        <f>SUM(G25:G206)/2</f>
        <v>6996299.5893953303</v>
      </c>
      <c r="H208" s="172">
        <f>IF($G$208=0,0,G208/$G$208)</f>
        <v>1</v>
      </c>
      <c r="I208" s="337"/>
      <c r="J208" s="183">
        <f>SUM(J25:J200)</f>
        <v>164017</v>
      </c>
      <c r="K208" s="183">
        <f>SUM(K25:K200)</f>
        <v>174819</v>
      </c>
      <c r="M208" s="364">
        <f>G208/G$228</f>
        <v>228.53268404636214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490">
        <f>'[27]Sch C'!D221</f>
        <v>7017068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490">
        <f>C208-C211</f>
        <v>0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619"/>
      <c r="D213" s="232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490">
        <f>C21-C208</f>
        <v>463475</v>
      </c>
      <c r="D215" s="490">
        <f>D21-D208</f>
        <v>20768.410604669596</v>
      </c>
      <c r="E215" s="171">
        <f t="shared" ref="E215:F215" si="56">E21-E208</f>
        <v>484243.41060466971</v>
      </c>
      <c r="F215" s="171">
        <f t="shared" si="56"/>
        <v>0</v>
      </c>
      <c r="G215" s="171">
        <f>G21-G208</f>
        <v>484243.41060466971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491">
        <f>'[27]Sch D'!C9</f>
        <v>15711</v>
      </c>
      <c r="D219" s="491"/>
      <c r="E219" s="235">
        <f t="shared" ref="E219:G227" si="57">C219+D219</f>
        <v>15711</v>
      </c>
      <c r="F219" s="234"/>
      <c r="G219" s="235">
        <f t="shared" si="57"/>
        <v>15711</v>
      </c>
      <c r="H219" s="172">
        <f t="shared" ref="H219:H228" si="58">IF($G$228=0,0,G219/$G$228)</f>
        <v>0.51319657672960084</v>
      </c>
      <c r="I219" s="337"/>
      <c r="J219" s="168"/>
      <c r="K219" s="168"/>
    </row>
    <row r="220" spans="1:14">
      <c r="A220" s="163"/>
      <c r="B220" s="170" t="s">
        <v>217</v>
      </c>
      <c r="C220" s="491">
        <f>'[27]Sch D'!D9</f>
        <v>0</v>
      </c>
      <c r="D220" s="491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7"/>
      <c r="J220" s="168"/>
      <c r="K220" s="168"/>
    </row>
    <row r="221" spans="1:14">
      <c r="A221" s="163"/>
      <c r="B221" s="170" t="s">
        <v>72</v>
      </c>
      <c r="C221" s="491">
        <f>'[27]Sch D'!E9</f>
        <v>3146</v>
      </c>
      <c r="D221" s="491"/>
      <c r="E221" s="235">
        <f t="shared" si="59"/>
        <v>3146</v>
      </c>
      <c r="F221" s="234"/>
      <c r="G221" s="235">
        <f t="shared" si="57"/>
        <v>3146</v>
      </c>
      <c r="H221" s="172">
        <f t="shared" si="58"/>
        <v>0.10276344156268374</v>
      </c>
      <c r="I221" s="337"/>
      <c r="J221" s="168"/>
      <c r="K221" s="168"/>
    </row>
    <row r="222" spans="1:14">
      <c r="A222" s="163"/>
      <c r="B222" s="202" t="s">
        <v>334</v>
      </c>
      <c r="C222" s="491">
        <f>'[27]Sch D'!F9</f>
        <v>3063</v>
      </c>
      <c r="D222" s="491"/>
      <c r="E222" s="235">
        <f>C222+D222</f>
        <v>3063</v>
      </c>
      <c r="F222" s="234"/>
      <c r="G222" s="235">
        <f>E222+F222</f>
        <v>3063</v>
      </c>
      <c r="H222" s="172">
        <f t="shared" si="58"/>
        <v>0.10005226367021625</v>
      </c>
      <c r="I222" s="337"/>
      <c r="J222" s="168"/>
      <c r="K222" s="168"/>
    </row>
    <row r="223" spans="1:14">
      <c r="A223" s="163"/>
      <c r="B223" s="170" t="s">
        <v>73</v>
      </c>
      <c r="C223" s="491">
        <f>'[27]Sch D'!G9</f>
        <v>1691</v>
      </c>
      <c r="D223" s="491"/>
      <c r="E223" s="235">
        <f t="shared" si="59"/>
        <v>1691</v>
      </c>
      <c r="F223" s="234"/>
      <c r="G223" s="235">
        <f t="shared" si="57"/>
        <v>1691</v>
      </c>
      <c r="H223" s="172">
        <f t="shared" si="58"/>
        <v>5.523616645978964E-2</v>
      </c>
      <c r="I223" s="337"/>
      <c r="J223" s="168"/>
      <c r="K223" s="168"/>
    </row>
    <row r="224" spans="1:14">
      <c r="A224" s="163"/>
      <c r="B224" s="170" t="s">
        <v>74</v>
      </c>
      <c r="C224" s="491">
        <f>'[27]Sch D'!H9</f>
        <v>3277</v>
      </c>
      <c r="D224" s="491"/>
      <c r="E224" s="235">
        <f t="shared" si="59"/>
        <v>3277</v>
      </c>
      <c r="F224" s="234"/>
      <c r="G224" s="235">
        <f t="shared" si="57"/>
        <v>3277</v>
      </c>
      <c r="H224" s="172">
        <f t="shared" si="58"/>
        <v>0.10704252956163847</v>
      </c>
      <c r="I224" s="337"/>
      <c r="J224" s="168"/>
      <c r="K224" s="168"/>
    </row>
    <row r="225" spans="1:11">
      <c r="A225" s="163"/>
      <c r="B225" s="170" t="s">
        <v>236</v>
      </c>
      <c r="C225" s="491">
        <f>'[27]Sch D'!I9</f>
        <v>0</v>
      </c>
      <c r="D225" s="491"/>
      <c r="E225" s="235">
        <f t="shared" si="59"/>
        <v>0</v>
      </c>
      <c r="F225" s="234"/>
      <c r="G225" s="235">
        <f t="shared" si="57"/>
        <v>0</v>
      </c>
      <c r="H225" s="172">
        <f t="shared" si="58"/>
        <v>0</v>
      </c>
      <c r="I225" s="337"/>
      <c r="J225" s="168"/>
      <c r="K225" s="168"/>
    </row>
    <row r="226" spans="1:11">
      <c r="A226" s="163"/>
      <c r="B226" s="170" t="s">
        <v>235</v>
      </c>
      <c r="C226" s="491">
        <f>'[27]Sch D'!J9</f>
        <v>3726</v>
      </c>
      <c r="D226" s="491"/>
      <c r="E226" s="235">
        <f>C226+D226</f>
        <v>3726</v>
      </c>
      <c r="F226" s="234"/>
      <c r="G226" s="235">
        <f>E226+F226</f>
        <v>3726</v>
      </c>
      <c r="H226" s="172">
        <f t="shared" si="58"/>
        <v>0.12170902201607108</v>
      </c>
      <c r="I226" s="337"/>
      <c r="J226" s="168"/>
      <c r="K226" s="168"/>
    </row>
    <row r="227" spans="1:11">
      <c r="A227" s="163"/>
      <c r="B227" s="170" t="s">
        <v>179</v>
      </c>
      <c r="C227" s="491">
        <f>'[27]Sch D'!K9</f>
        <v>0</v>
      </c>
      <c r="D227" s="491"/>
      <c r="E227" s="235">
        <f t="shared" si="59"/>
        <v>0</v>
      </c>
      <c r="F227" s="234"/>
      <c r="G227" s="235">
        <f t="shared" si="57"/>
        <v>0</v>
      </c>
      <c r="H227" s="172">
        <f t="shared" si="58"/>
        <v>0</v>
      </c>
      <c r="I227" s="337"/>
      <c r="J227" s="168"/>
      <c r="K227" s="168"/>
    </row>
    <row r="228" spans="1:11" ht="13.5" thickBot="1">
      <c r="A228" s="163"/>
      <c r="B228" s="236" t="s">
        <v>75</v>
      </c>
      <c r="C228" s="491">
        <f>SUM(C219:C227)</f>
        <v>30614</v>
      </c>
      <c r="D228" s="491">
        <f>SUM(D219:D227)</f>
        <v>0</v>
      </c>
      <c r="E228" s="237">
        <f>SUM(E219:E227)</f>
        <v>30614</v>
      </c>
      <c r="F228" s="237">
        <f>SUM(F219:F227)</f>
        <v>0</v>
      </c>
      <c r="G228" s="237">
        <f>SUM(G219:G227)</f>
        <v>30614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620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619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492">
        <f>'[27]Sch D'!N22</f>
        <v>120</v>
      </c>
      <c r="D231" s="526"/>
      <c r="E231" s="235">
        <f>C231+D231</f>
        <v>120</v>
      </c>
      <c r="F231" s="235"/>
      <c r="G231" s="235">
        <f>E231+F231</f>
        <v>120</v>
      </c>
      <c r="H231" s="167"/>
      <c r="J231" s="168"/>
      <c r="K231" s="168"/>
    </row>
    <row r="232" spans="1:11">
      <c r="A232" s="163"/>
      <c r="B232" s="202" t="s">
        <v>290</v>
      </c>
      <c r="C232" s="492">
        <f>'[27]Sch D'!N24</f>
        <v>120</v>
      </c>
      <c r="D232" s="526"/>
      <c r="E232" s="235">
        <f>C232+D232</f>
        <v>120</v>
      </c>
      <c r="F232" s="235"/>
      <c r="G232" s="235">
        <f>E232+F232</f>
        <v>120</v>
      </c>
      <c r="H232" s="167"/>
      <c r="J232" s="168"/>
      <c r="K232" s="168"/>
    </row>
    <row r="233" spans="1:11">
      <c r="A233" s="163"/>
      <c r="B233" s="202" t="s">
        <v>76</v>
      </c>
      <c r="C233" s="492">
        <f>$C$4-$C$3+1</f>
        <v>365</v>
      </c>
      <c r="D233" s="489"/>
      <c r="E233" s="235">
        <f>C233+D233</f>
        <v>365</v>
      </c>
      <c r="F233" s="240"/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621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492">
        <f>'[27]Sch D'!N28</f>
        <v>43800</v>
      </c>
      <c r="D235" s="489"/>
      <c r="E235" s="234">
        <f>E231*E233</f>
        <v>43800</v>
      </c>
      <c r="F235" s="240"/>
      <c r="G235" s="234">
        <f>G231*G233</f>
        <v>43800</v>
      </c>
      <c r="H235" s="167"/>
      <c r="J235" s="168"/>
      <c r="K235" s="168"/>
    </row>
    <row r="236" spans="1:11" ht="26">
      <c r="A236" s="163"/>
      <c r="B236" s="244" t="s">
        <v>336</v>
      </c>
      <c r="C236" s="493">
        <f>'[27]Sch D'!N30</f>
        <v>0.69894977168949768</v>
      </c>
      <c r="D236" s="240"/>
      <c r="E236" s="245">
        <f>E228/E235</f>
        <v>0.69894977168949768</v>
      </c>
      <c r="F236" s="246"/>
      <c r="G236" s="245">
        <f>G228/G235</f>
        <v>0.69894977168949768</v>
      </c>
      <c r="H236" s="167"/>
      <c r="J236" s="168"/>
      <c r="K236" s="168"/>
    </row>
    <row r="237" spans="1:11" ht="26">
      <c r="A237" s="163"/>
      <c r="B237" s="244" t="s">
        <v>337</v>
      </c>
      <c r="C237" s="493">
        <f>'[27]Sch D'!N32</f>
        <v>0.35869863013698627</v>
      </c>
      <c r="D237" s="240"/>
      <c r="E237" s="245">
        <f>(E219+E220)/E235</f>
        <v>0.35869863013698627</v>
      </c>
      <c r="F237" s="246"/>
      <c r="G237" s="245">
        <f>(G219+G220)/G235</f>
        <v>0.35869863013698627</v>
      </c>
      <c r="H237" s="167"/>
      <c r="J237" s="168"/>
      <c r="K237" s="168"/>
    </row>
    <row r="238" spans="1:11" ht="26">
      <c r="A238" s="163"/>
      <c r="B238" s="244" t="s">
        <v>338</v>
      </c>
      <c r="C238" s="493">
        <f>'[27]Sch D'!N34</f>
        <v>0.51319657672960084</v>
      </c>
      <c r="D238" s="240"/>
      <c r="E238" s="245">
        <f>(E237/E236)</f>
        <v>0.51319657672960084</v>
      </c>
      <c r="F238" s="246"/>
      <c r="G238" s="245">
        <f>(G237/G236)</f>
        <v>0.51319657672960084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490">
        <f>'[27]Sch B'!C85</f>
        <v>190.00246609124537</v>
      </c>
    </row>
    <row r="242" spans="2:7">
      <c r="F242" s="142" t="s">
        <v>341</v>
      </c>
      <c r="G242" s="490">
        <f>'[27]Sch B'!E85</f>
        <v>189.09784735812133</v>
      </c>
    </row>
    <row r="243" spans="2:7">
      <c r="F243" s="142" t="s">
        <v>342</v>
      </c>
      <c r="G243" s="490">
        <f>'[27]Sch B'!G85</f>
        <v>187.5068870523416</v>
      </c>
    </row>
    <row r="244" spans="2:7">
      <c r="F244" s="142" t="s">
        <v>343</v>
      </c>
      <c r="G244" s="490">
        <f>'[27]Sch B'!I85</f>
        <v>193.58495821727018</v>
      </c>
    </row>
    <row r="245" spans="2:7">
      <c r="F245" s="142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" right="0" top="0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3">
    <tabColor rgb="FFE28CAB"/>
  </sheetPr>
  <dimension ref="A1:Q245"/>
  <sheetViews>
    <sheetView showGridLines="0" zoomScale="90" zoomScaleNormal="90" workbookViewId="0">
      <selection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478"/>
      <c r="E1" s="478"/>
      <c r="F1" s="478"/>
      <c r="G1" s="478"/>
      <c r="H1" s="478"/>
      <c r="I1" s="479"/>
    </row>
    <row r="2" spans="1:14" ht="23">
      <c r="B2" s="143" t="s">
        <v>189</v>
      </c>
      <c r="C2" s="247" t="s">
        <v>371</v>
      </c>
      <c r="D2" s="144"/>
      <c r="E2" s="144"/>
    </row>
    <row r="3" spans="1:14">
      <c r="A3" s="145"/>
      <c r="B3" s="140" t="s">
        <v>79</v>
      </c>
      <c r="C3" s="495">
        <v>41821</v>
      </c>
      <c r="D3" s="144"/>
      <c r="E3" s="147"/>
    </row>
    <row r="4" spans="1:14">
      <c r="A4" s="145"/>
      <c r="B4" s="148" t="s">
        <v>80</v>
      </c>
      <c r="C4" s="495">
        <v>42185</v>
      </c>
      <c r="D4" s="144"/>
      <c r="E4" s="149"/>
      <c r="G4" s="150"/>
    </row>
    <row r="5" spans="1:14">
      <c r="A5" s="145"/>
      <c r="B5" s="148"/>
      <c r="C5" s="151"/>
      <c r="D5" s="144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144"/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573">
        <f>'[28]Sch B'!E10</f>
        <v>1534605</v>
      </c>
      <c r="D11" s="573">
        <f>'[28]Sch B'!G10</f>
        <v>0</v>
      </c>
      <c r="E11" s="171">
        <f>C11+D11</f>
        <v>1534605</v>
      </c>
      <c r="F11" s="171"/>
      <c r="G11" s="171">
        <f t="shared" ref="G11:G20" si="0">E11+F11</f>
        <v>1534605</v>
      </c>
      <c r="H11" s="172">
        <f t="shared" ref="H11:H21" si="1">IF($G$21=0,0,G11/$G$21)</f>
        <v>0.51762555481986205</v>
      </c>
      <c r="I11" s="337"/>
      <c r="J11" s="368" t="s">
        <v>344</v>
      </c>
      <c r="K11" s="369">
        <f>G21</f>
        <v>2964701</v>
      </c>
      <c r="M11" s="359">
        <f>IFERROR(G11/G219,0)</f>
        <v>172.73806843764069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573">
        <f>'[28]Sch B'!E15</f>
        <v>0</v>
      </c>
      <c r="D12" s="573">
        <f>'[28]Sch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7"/>
      <c r="J12" s="370" t="s">
        <v>345</v>
      </c>
      <c r="K12" s="371">
        <f>G208</f>
        <v>2524020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573">
        <f>'[28]Sch B'!E21</f>
        <v>1061469</v>
      </c>
      <c r="D13" s="573">
        <f>'[28]Sch B'!G21</f>
        <v>0</v>
      </c>
      <c r="E13" s="171">
        <f t="shared" si="2"/>
        <v>1061469</v>
      </c>
      <c r="F13" s="171"/>
      <c r="G13" s="171">
        <f t="shared" si="0"/>
        <v>1061469</v>
      </c>
      <c r="H13" s="172">
        <f t="shared" si="1"/>
        <v>0.3580357681938246</v>
      </c>
      <c r="I13" s="337"/>
      <c r="J13" s="370" t="s">
        <v>346</v>
      </c>
      <c r="K13" s="371">
        <f>G228</f>
        <v>12329</v>
      </c>
      <c r="M13" s="359">
        <f t="shared" si="3"/>
        <v>508.12302537099089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573">
        <f>'[28]Sch B'!E27</f>
        <v>218134</v>
      </c>
      <c r="D14" s="573">
        <f>'[28]Sch B'!G27</f>
        <v>0</v>
      </c>
      <c r="E14" s="171">
        <f t="shared" si="2"/>
        <v>218134</v>
      </c>
      <c r="F14" s="175"/>
      <c r="G14" s="175">
        <f>E14+F14</f>
        <v>218134</v>
      </c>
      <c r="H14" s="176">
        <f t="shared" si="1"/>
        <v>7.3577065613024725E-2</v>
      </c>
      <c r="I14" s="338"/>
      <c r="J14" s="370" t="s">
        <v>347</v>
      </c>
      <c r="K14" s="371">
        <f>G231</f>
        <v>60</v>
      </c>
      <c r="M14" s="359">
        <f t="shared" si="3"/>
        <v>444.26476578411405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573">
        <f>'[28]Sch B'!E32</f>
        <v>0</v>
      </c>
      <c r="D15" s="573">
        <f>'[28]Sch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7"/>
      <c r="J15" s="370" t="s">
        <v>348</v>
      </c>
      <c r="K15" s="371">
        <f>G235</f>
        <v>21900</v>
      </c>
      <c r="M15" s="359">
        <f t="shared" si="3"/>
        <v>0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573">
        <f>'[28]Sch B'!E37</f>
        <v>42885</v>
      </c>
      <c r="D16" s="573">
        <f>'[28]Sch B'!G37</f>
        <v>0</v>
      </c>
      <c r="E16" s="171">
        <f t="shared" si="2"/>
        <v>42885</v>
      </c>
      <c r="F16" s="171"/>
      <c r="G16" s="171">
        <f t="shared" si="0"/>
        <v>42885</v>
      </c>
      <c r="H16" s="172">
        <f t="shared" si="1"/>
        <v>1.4465202393091242E-2</v>
      </c>
      <c r="I16" s="337"/>
      <c r="J16" s="372"/>
      <c r="K16" s="371"/>
      <c r="M16" s="359">
        <f t="shared" si="3"/>
        <v>163.68320610687022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573">
        <f>'[28]Sch B'!E42</f>
        <v>0</v>
      </c>
      <c r="D17" s="573">
        <f>'[28]Sch B'!G42</f>
        <v>0</v>
      </c>
      <c r="E17" s="171">
        <f t="shared" si="2"/>
        <v>0</v>
      </c>
      <c r="F17" s="171"/>
      <c r="G17" s="171">
        <f>E17+F17</f>
        <v>0</v>
      </c>
      <c r="H17" s="172">
        <f t="shared" si="1"/>
        <v>0</v>
      </c>
      <c r="I17" s="337"/>
      <c r="J17" s="370" t="s">
        <v>156</v>
      </c>
      <c r="K17" s="371">
        <f>J208</f>
        <v>67311</v>
      </c>
      <c r="M17" s="359">
        <f t="shared" si="3"/>
        <v>0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573">
        <f>'[28]Sch B'!E47</f>
        <v>103868</v>
      </c>
      <c r="D18" s="573">
        <f>'[28]Sch B'!G47</f>
        <v>0</v>
      </c>
      <c r="E18" s="171">
        <f t="shared" si="2"/>
        <v>103868</v>
      </c>
      <c r="F18" s="171"/>
      <c r="G18" s="171">
        <f>E18+F18</f>
        <v>103868</v>
      </c>
      <c r="H18" s="172">
        <f t="shared" si="1"/>
        <v>3.5034898966202661E-2</v>
      </c>
      <c r="I18" s="337"/>
      <c r="J18" s="373" t="s">
        <v>252</v>
      </c>
      <c r="K18" s="374">
        <f>K208</f>
        <v>70476</v>
      </c>
      <c r="M18" s="359">
        <f t="shared" si="3"/>
        <v>172.25207296849089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573">
        <f>'[28]Sch B'!E52</f>
        <v>0</v>
      </c>
      <c r="D19" s="573">
        <f>'[28]Sch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337"/>
      <c r="J19" s="168"/>
      <c r="K19" s="168"/>
      <c r="M19" s="359">
        <f t="shared" si="3"/>
        <v>0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573">
        <f>'[28]Sch B'!E67</f>
        <v>3740</v>
      </c>
      <c r="D20" s="573">
        <f>'[28]Sch B'!G67</f>
        <v>0</v>
      </c>
      <c r="E20" s="171">
        <f t="shared" si="2"/>
        <v>3740</v>
      </c>
      <c r="F20" s="171"/>
      <c r="G20" s="171">
        <f t="shared" si="0"/>
        <v>3740</v>
      </c>
      <c r="H20" s="172">
        <f t="shared" si="1"/>
        <v>1.2615100139946659E-3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573">
        <f>SUM(C11:C20)</f>
        <v>2964701</v>
      </c>
      <c r="D21" s="573">
        <f>SUM(D11:D20)</f>
        <v>0</v>
      </c>
      <c r="E21" s="171">
        <f>SUM(E11:E20)</f>
        <v>2964701</v>
      </c>
      <c r="F21" s="171">
        <f>SUM(F11:F20)</f>
        <v>0</v>
      </c>
      <c r="G21" s="171">
        <f>SUM(G11:G20)</f>
        <v>2964701</v>
      </c>
      <c r="H21" s="172">
        <f t="shared" si="1"/>
        <v>1</v>
      </c>
      <c r="I21" s="337"/>
      <c r="J21" s="168"/>
      <c r="K21" s="168"/>
      <c r="M21" s="359">
        <f>IFERROR(G21/G228,0)</f>
        <v>240.46565009327603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4">
      <c r="A24" s="181" t="s">
        <v>161</v>
      </c>
      <c r="B24" s="148" t="s">
        <v>12</v>
      </c>
      <c r="M24" s="363"/>
      <c r="N24" s="363"/>
    </row>
    <row r="25" spans="1:14" s="167" customFormat="1">
      <c r="A25" s="169" t="s">
        <v>83</v>
      </c>
      <c r="B25" s="170" t="s">
        <v>14</v>
      </c>
      <c r="C25" s="573">
        <f>'[28]Sch C'!D10</f>
        <v>111324</v>
      </c>
      <c r="D25" s="573">
        <f>'[28]Sch C'!F10</f>
        <v>5236</v>
      </c>
      <c r="E25" s="171">
        <f t="shared" ref="E25:E60" si="4">C25+D25</f>
        <v>116560</v>
      </c>
      <c r="F25" s="573"/>
      <c r="G25" s="182">
        <f>E25+F25</f>
        <v>116560</v>
      </c>
      <c r="H25" s="172">
        <f>IF($G$208=0,0,G25/$G$208)</f>
        <v>4.6180299680668141E-2</v>
      </c>
      <c r="I25" s="337"/>
      <c r="J25" s="183">
        <v>2200</v>
      </c>
      <c r="K25" s="183">
        <v>2303</v>
      </c>
      <c r="M25" s="359">
        <f>G25/G$228</f>
        <v>9.4541325330521531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573">
        <f>'[28]Sch C'!D11</f>
        <v>0</v>
      </c>
      <c r="D26" s="573">
        <f>'[28]Sch C'!F11</f>
        <v>0</v>
      </c>
      <c r="E26" s="171">
        <f t="shared" si="4"/>
        <v>0</v>
      </c>
      <c r="F26" s="573"/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573">
        <f>'[28]Sch C'!D12</f>
        <v>44713</v>
      </c>
      <c r="D27" s="573">
        <f>'[28]Sch C'!F12</f>
        <v>2100</v>
      </c>
      <c r="E27" s="171">
        <f t="shared" si="4"/>
        <v>46813</v>
      </c>
      <c r="F27" s="573"/>
      <c r="G27" s="171">
        <f t="shared" si="5"/>
        <v>46813</v>
      </c>
      <c r="H27" s="172">
        <f t="shared" si="6"/>
        <v>1.8547000419964977E-2</v>
      </c>
      <c r="I27" s="337"/>
      <c r="J27" s="185">
        <v>2469</v>
      </c>
      <c r="K27" s="185">
        <v>2585</v>
      </c>
      <c r="M27" s="359">
        <f t="shared" si="7"/>
        <v>3.796982723659664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573">
        <f>'[28]Sch C'!D13</f>
        <v>268365</v>
      </c>
      <c r="D28" s="573">
        <f>'[28]Sch C'!F13</f>
        <v>-242947</v>
      </c>
      <c r="E28" s="171">
        <f t="shared" si="4"/>
        <v>25418</v>
      </c>
      <c r="F28" s="573"/>
      <c r="G28" s="171">
        <f t="shared" si="5"/>
        <v>25418</v>
      </c>
      <c r="H28" s="172">
        <f t="shared" si="6"/>
        <v>1.0070443181908226E-2</v>
      </c>
      <c r="I28" s="337"/>
      <c r="J28" s="168"/>
      <c r="K28" s="168"/>
      <c r="M28" s="359">
        <f t="shared" si="7"/>
        <v>2.0616432800713764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573">
        <f>'[28]Sch C'!D14</f>
        <v>0</v>
      </c>
      <c r="D29" s="573">
        <f>'[28]Sch C'!F14</f>
        <v>0</v>
      </c>
      <c r="E29" s="171">
        <f t="shared" si="4"/>
        <v>0</v>
      </c>
      <c r="F29" s="573"/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573">
        <f>'[28]Sch C'!D15</f>
        <v>0</v>
      </c>
      <c r="D30" s="573">
        <f>'[28]Sch C'!F15</f>
        <v>0</v>
      </c>
      <c r="E30" s="171">
        <f t="shared" si="4"/>
        <v>0</v>
      </c>
      <c r="F30" s="573"/>
      <c r="G30" s="171">
        <f t="shared" si="5"/>
        <v>0</v>
      </c>
      <c r="H30" s="172">
        <f t="shared" si="6"/>
        <v>0</v>
      </c>
      <c r="I30" s="337"/>
      <c r="J30" s="168"/>
      <c r="K30" s="168"/>
      <c r="M30" s="359">
        <f t="shared" si="7"/>
        <v>0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573">
        <f>'[28]Sch C'!D16</f>
        <v>148416</v>
      </c>
      <c r="D31" s="573">
        <f>'[28]Sch C'!F16</f>
        <v>64879</v>
      </c>
      <c r="E31" s="171">
        <f t="shared" si="4"/>
        <v>213295</v>
      </c>
      <c r="F31" s="573">
        <v>-16066</v>
      </c>
      <c r="G31" s="171">
        <f t="shared" si="5"/>
        <v>197229</v>
      </c>
      <c r="H31" s="172">
        <f t="shared" si="6"/>
        <v>7.8140822972876597E-2</v>
      </c>
      <c r="I31" s="337"/>
      <c r="J31" s="168"/>
      <c r="K31" s="168"/>
      <c r="M31" s="359">
        <f t="shared" si="7"/>
        <v>15.997161164733555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573">
        <f>'[28]Sch C'!D17</f>
        <v>0</v>
      </c>
      <c r="D32" s="573">
        <f>'[28]Sch C'!F17</f>
        <v>0</v>
      </c>
      <c r="E32" s="171">
        <f t="shared" si="4"/>
        <v>0</v>
      </c>
      <c r="F32" s="573"/>
      <c r="G32" s="171">
        <f t="shared" si="5"/>
        <v>0</v>
      </c>
      <c r="H32" s="172">
        <f t="shared" si="6"/>
        <v>0</v>
      </c>
      <c r="I32" s="337"/>
      <c r="J32" s="168"/>
      <c r="K32" s="168"/>
      <c r="M32" s="359">
        <f t="shared" si="7"/>
        <v>0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573">
        <f>'[28]Sch C'!D18</f>
        <v>9227</v>
      </c>
      <c r="D33" s="573">
        <f>'[28]Sch C'!F18</f>
        <v>0</v>
      </c>
      <c r="E33" s="171">
        <f t="shared" si="4"/>
        <v>9227</v>
      </c>
      <c r="F33" s="573"/>
      <c r="G33" s="171">
        <f t="shared" si="5"/>
        <v>9227</v>
      </c>
      <c r="H33" s="172">
        <f t="shared" si="6"/>
        <v>3.6556762624701863E-3</v>
      </c>
      <c r="I33" s="337"/>
      <c r="J33" s="168"/>
      <c r="K33" s="168"/>
      <c r="M33" s="359">
        <f t="shared" si="7"/>
        <v>0.74839808581393463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573">
        <f>'[28]Sch C'!D19</f>
        <v>8088</v>
      </c>
      <c r="D34" s="573">
        <f>'[28]Sch C'!F19</f>
        <v>-672</v>
      </c>
      <c r="E34" s="171">
        <f t="shared" si="4"/>
        <v>7416</v>
      </c>
      <c r="F34" s="573"/>
      <c r="G34" s="171">
        <f t="shared" si="5"/>
        <v>7416</v>
      </c>
      <c r="H34" s="172">
        <f t="shared" si="6"/>
        <v>2.9381700620438825E-3</v>
      </c>
      <c r="I34" s="337"/>
      <c r="J34" s="168"/>
      <c r="K34" s="168"/>
      <c r="M34" s="359">
        <f t="shared" si="7"/>
        <v>0.60150863817016786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573">
        <f>'[28]Sch C'!D20</f>
        <v>6150</v>
      </c>
      <c r="D35" s="573">
        <f>'[28]Sch C'!F20</f>
        <v>0</v>
      </c>
      <c r="E35" s="171">
        <f t="shared" si="4"/>
        <v>6150</v>
      </c>
      <c r="F35" s="573"/>
      <c r="G35" s="171">
        <f t="shared" si="5"/>
        <v>6150</v>
      </c>
      <c r="H35" s="172">
        <f t="shared" si="6"/>
        <v>2.4365892504813751E-3</v>
      </c>
      <c r="I35" s="337"/>
      <c r="J35" s="168"/>
      <c r="K35" s="168"/>
      <c r="M35" s="359">
        <f t="shared" si="7"/>
        <v>0.4988239111039014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573">
        <f>'[28]Sch C'!D21</f>
        <v>7754</v>
      </c>
      <c r="D36" s="573">
        <f>'[28]Sch C'!F21</f>
        <v>0</v>
      </c>
      <c r="E36" s="171">
        <f t="shared" si="4"/>
        <v>7754</v>
      </c>
      <c r="F36" s="573"/>
      <c r="G36" s="171">
        <f t="shared" si="5"/>
        <v>7754</v>
      </c>
      <c r="H36" s="172">
        <f t="shared" si="6"/>
        <v>3.0720834224768423E-3</v>
      </c>
      <c r="I36" s="337"/>
      <c r="J36" s="168"/>
      <c r="K36" s="168"/>
      <c r="M36" s="359">
        <f t="shared" si="7"/>
        <v>0.62892367588612219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573">
        <f>'[28]Sch C'!D22</f>
        <v>0</v>
      </c>
      <c r="D37" s="573">
        <f>'[28]Sch C'!F22</f>
        <v>0</v>
      </c>
      <c r="E37" s="171">
        <f t="shared" si="4"/>
        <v>0</v>
      </c>
      <c r="F37" s="573"/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573">
        <f>'[28]Sch C'!D23</f>
        <v>7371</v>
      </c>
      <c r="D38" s="573">
        <f>'[28]Sch C'!F23</f>
        <v>0</v>
      </c>
      <c r="E38" s="171">
        <f t="shared" si="4"/>
        <v>7371</v>
      </c>
      <c r="F38" s="573"/>
      <c r="G38" s="171">
        <f t="shared" si="5"/>
        <v>7371</v>
      </c>
      <c r="H38" s="172">
        <f t="shared" si="6"/>
        <v>2.9203413602110918E-3</v>
      </c>
      <c r="I38" s="337"/>
      <c r="J38" s="168"/>
      <c r="K38" s="168"/>
      <c r="M38" s="359">
        <f t="shared" si="7"/>
        <v>0.59785870711331013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573">
        <f>'[28]Sch C'!D24</f>
        <v>33432</v>
      </c>
      <c r="D39" s="573">
        <f>'[28]Sch C'!F24</f>
        <v>-5760</v>
      </c>
      <c r="E39" s="171">
        <f t="shared" si="4"/>
        <v>27672</v>
      </c>
      <c r="F39" s="573"/>
      <c r="G39" s="171">
        <f t="shared" si="5"/>
        <v>27672</v>
      </c>
      <c r="H39" s="172">
        <f t="shared" si="6"/>
        <v>1.0963463047044002E-2</v>
      </c>
      <c r="I39" s="337"/>
      <c r="J39" s="168"/>
      <c r="K39" s="168"/>
      <c r="M39" s="359">
        <f t="shared" si="7"/>
        <v>2.2444642712304321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573">
        <f>'[28]Sch C'!D25</f>
        <v>0</v>
      </c>
      <c r="D40" s="573">
        <f>'[28]Sch C'!F25</f>
        <v>0</v>
      </c>
      <c r="E40" s="171">
        <f t="shared" si="4"/>
        <v>0</v>
      </c>
      <c r="F40" s="573"/>
      <c r="G40" s="171">
        <f t="shared" si="5"/>
        <v>0</v>
      </c>
      <c r="H40" s="172">
        <f t="shared" si="6"/>
        <v>0</v>
      </c>
      <c r="I40" s="337"/>
      <c r="J40" s="168"/>
      <c r="K40" s="168"/>
      <c r="M40" s="359">
        <f t="shared" si="7"/>
        <v>0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573">
        <f>'[28]Sch C'!D26</f>
        <v>149535</v>
      </c>
      <c r="D41" s="573">
        <f>'[28]Sch C'!F26</f>
        <v>0</v>
      </c>
      <c r="E41" s="171">
        <f t="shared" si="4"/>
        <v>149535</v>
      </c>
      <c r="F41" s="573"/>
      <c r="G41" s="171">
        <f t="shared" si="5"/>
        <v>149535</v>
      </c>
      <c r="H41" s="172">
        <f t="shared" si="6"/>
        <v>5.9244776190362995E-2</v>
      </c>
      <c r="I41" s="337"/>
      <c r="J41" s="168"/>
      <c r="K41" s="168"/>
      <c r="M41" s="359">
        <f t="shared" si="7"/>
        <v>12.12872090193852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573">
        <f>'[28]Sch C'!D27</f>
        <v>0</v>
      </c>
      <c r="D42" s="573">
        <f>'[28]Sch C'!F27</f>
        <v>0</v>
      </c>
      <c r="E42" s="171">
        <f t="shared" si="4"/>
        <v>0</v>
      </c>
      <c r="F42" s="573"/>
      <c r="G42" s="171">
        <f t="shared" si="5"/>
        <v>0</v>
      </c>
      <c r="H42" s="172">
        <f t="shared" si="6"/>
        <v>0</v>
      </c>
      <c r="I42" s="337"/>
      <c r="J42" s="168"/>
      <c r="K42" s="168"/>
      <c r="M42" s="359">
        <f t="shared" si="7"/>
        <v>0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573">
        <f>'[28]Sch C'!D28</f>
        <v>0</v>
      </c>
      <c r="D43" s="573">
        <f>'[28]Sch C'!F28</f>
        <v>0</v>
      </c>
      <c r="E43" s="171">
        <f t="shared" si="4"/>
        <v>0</v>
      </c>
      <c r="F43" s="573"/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573">
        <f>'[28]Sch C'!D29</f>
        <v>42923</v>
      </c>
      <c r="D44" s="573">
        <f>'[28]Sch C'!F29</f>
        <v>-42923</v>
      </c>
      <c r="E44" s="171">
        <f t="shared" si="4"/>
        <v>0</v>
      </c>
      <c r="F44" s="573"/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573">
        <f>'[28]Sch C'!D30</f>
        <v>0</v>
      </c>
      <c r="D45" s="573">
        <f>'[28]Sch C'!F30</f>
        <v>0</v>
      </c>
      <c r="E45" s="171">
        <f t="shared" si="4"/>
        <v>0</v>
      </c>
      <c r="F45" s="573"/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573">
        <f>'[28]Sch C'!D31</f>
        <v>25375</v>
      </c>
      <c r="D46" s="573">
        <f>'[28]Sch C'!F31</f>
        <v>0</v>
      </c>
      <c r="E46" s="171">
        <f t="shared" si="4"/>
        <v>25375</v>
      </c>
      <c r="F46" s="573"/>
      <c r="G46" s="171">
        <f t="shared" si="5"/>
        <v>25375</v>
      </c>
      <c r="H46" s="172">
        <f t="shared" si="6"/>
        <v>1.005340686682356E-2</v>
      </c>
      <c r="I46" s="337"/>
      <c r="J46" s="168"/>
      <c r="K46" s="168"/>
      <c r="M46" s="359">
        <f t="shared" si="7"/>
        <v>2.0581555681726011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573">
        <f>'[28]Sch C'!D32</f>
        <v>33264</v>
      </c>
      <c r="D47" s="573">
        <f>'[28]Sch C'!F32</f>
        <v>-9979</v>
      </c>
      <c r="E47" s="171">
        <f t="shared" si="4"/>
        <v>23285</v>
      </c>
      <c r="F47" s="573"/>
      <c r="G47" s="171">
        <f t="shared" si="5"/>
        <v>23285</v>
      </c>
      <c r="H47" s="172">
        <f t="shared" si="6"/>
        <v>9.225362715033953E-3</v>
      </c>
      <c r="I47" s="337"/>
      <c r="J47" s="168"/>
      <c r="K47" s="168"/>
      <c r="M47" s="359">
        <f t="shared" si="7"/>
        <v>1.8886365479763161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573">
        <f>'[28]Sch C'!D33</f>
        <v>0</v>
      </c>
      <c r="D48" s="573">
        <f>'[28]Sch C'!F33</f>
        <v>0</v>
      </c>
      <c r="E48" s="171">
        <f t="shared" si="4"/>
        <v>0</v>
      </c>
      <c r="F48" s="573"/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573">
        <f>'[28]Sch C'!D34</f>
        <v>0</v>
      </c>
      <c r="D49" s="573">
        <f>'[28]Sch C'!F34</f>
        <v>0</v>
      </c>
      <c r="E49" s="171">
        <f t="shared" si="4"/>
        <v>0</v>
      </c>
      <c r="F49" s="573"/>
      <c r="G49" s="171">
        <f t="shared" si="5"/>
        <v>0</v>
      </c>
      <c r="H49" s="172">
        <f t="shared" si="6"/>
        <v>0</v>
      </c>
      <c r="I49" s="337"/>
      <c r="J49" s="168"/>
      <c r="K49" s="168"/>
      <c r="M49" s="359">
        <f t="shared" si="7"/>
        <v>0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573">
        <f>'[28]Sch C'!D35</f>
        <v>338</v>
      </c>
      <c r="D50" s="573">
        <f>'[28]Sch C'!F35</f>
        <v>-338</v>
      </c>
      <c r="E50" s="171">
        <f t="shared" si="4"/>
        <v>0</v>
      </c>
      <c r="F50" s="573"/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573">
        <f>'[28]Sch C'!D36</f>
        <v>0</v>
      </c>
      <c r="D51" s="573">
        <f>'[28]Sch C'!F36</f>
        <v>0</v>
      </c>
      <c r="E51" s="171">
        <f t="shared" si="4"/>
        <v>0</v>
      </c>
      <c r="F51" s="573"/>
      <c r="G51" s="171">
        <f t="shared" si="5"/>
        <v>0</v>
      </c>
      <c r="H51" s="172">
        <f t="shared" si="6"/>
        <v>0</v>
      </c>
      <c r="I51" s="337"/>
      <c r="J51" s="183">
        <v>0</v>
      </c>
      <c r="K51" s="183">
        <v>0</v>
      </c>
      <c r="M51" s="359">
        <f t="shared" si="7"/>
        <v>0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573">
        <f>'[28]Sch C'!D37</f>
        <v>0</v>
      </c>
      <c r="D52" s="573">
        <f>'[28]Sch C'!F37</f>
        <v>0</v>
      </c>
      <c r="E52" s="171">
        <f t="shared" si="4"/>
        <v>0</v>
      </c>
      <c r="F52" s="573"/>
      <c r="G52" s="171">
        <f t="shared" si="5"/>
        <v>0</v>
      </c>
      <c r="H52" s="172">
        <f t="shared" si="6"/>
        <v>0</v>
      </c>
      <c r="I52" s="337"/>
      <c r="J52" s="168"/>
      <c r="K52" s="168"/>
      <c r="M52" s="359">
        <f t="shared" si="7"/>
        <v>0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573">
        <f>'[28]Sch C'!D38</f>
        <v>550</v>
      </c>
      <c r="D53" s="573">
        <f>'[28]Sch C'!F38</f>
        <v>-550</v>
      </c>
      <c r="E53" s="171">
        <f t="shared" si="4"/>
        <v>0</v>
      </c>
      <c r="F53" s="573"/>
      <c r="G53" s="171">
        <f t="shared" si="5"/>
        <v>0</v>
      </c>
      <c r="H53" s="172">
        <f t="shared" si="6"/>
        <v>0</v>
      </c>
      <c r="I53" s="337"/>
      <c r="J53" s="168"/>
      <c r="K53" s="168"/>
      <c r="M53" s="359">
        <f t="shared" si="7"/>
        <v>0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573">
        <f>'[28]Sch C'!D39</f>
        <v>2005</v>
      </c>
      <c r="D54" s="573">
        <f>'[28]Sch C'!F39</f>
        <v>0</v>
      </c>
      <c r="E54" s="171">
        <f t="shared" si="4"/>
        <v>2005</v>
      </c>
      <c r="F54" s="573"/>
      <c r="G54" s="171">
        <f t="shared" si="5"/>
        <v>2005</v>
      </c>
      <c r="H54" s="172">
        <f t="shared" si="6"/>
        <v>7.9436771499433439E-4</v>
      </c>
      <c r="I54" s="337"/>
      <c r="J54" s="168"/>
      <c r="K54" s="168"/>
      <c r="M54" s="359">
        <f t="shared" si="7"/>
        <v>0.16262470597777598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573">
        <f>'[28]Sch C'!D40</f>
        <v>6123</v>
      </c>
      <c r="D55" s="573">
        <f>'[28]Sch C'!F40</f>
        <v>0</v>
      </c>
      <c r="E55" s="171">
        <f t="shared" si="4"/>
        <v>6123</v>
      </c>
      <c r="F55" s="573"/>
      <c r="G55" s="171">
        <f t="shared" si="5"/>
        <v>6123</v>
      </c>
      <c r="H55" s="172">
        <f t="shared" si="6"/>
        <v>2.4258920293817004E-3</v>
      </c>
      <c r="I55" s="337"/>
      <c r="J55" s="168"/>
      <c r="K55" s="168"/>
      <c r="M55" s="359">
        <f t="shared" si="7"/>
        <v>0.4966339524697867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573">
        <f>'[28]Sch C'!D41</f>
        <v>6971</v>
      </c>
      <c r="D56" s="573">
        <f>'[28]Sch C'!F41</f>
        <v>0</v>
      </c>
      <c r="E56" s="171">
        <f t="shared" si="4"/>
        <v>6971</v>
      </c>
      <c r="F56" s="573"/>
      <c r="G56" s="171">
        <f t="shared" si="5"/>
        <v>6971</v>
      </c>
      <c r="H56" s="172">
        <f t="shared" si="6"/>
        <v>2.7618640105862868E-3</v>
      </c>
      <c r="I56" s="337"/>
      <c r="J56" s="168"/>
      <c r="K56" s="168"/>
      <c r="M56" s="359">
        <f t="shared" si="7"/>
        <v>0.56541487549679614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573">
        <f>'[28]Sch C'!D42</f>
        <v>2291</v>
      </c>
      <c r="D57" s="573">
        <f>'[28]Sch C'!F42</f>
        <v>0</v>
      </c>
      <c r="E57" s="171">
        <f t="shared" si="4"/>
        <v>2291</v>
      </c>
      <c r="F57" s="573"/>
      <c r="G57" s="171">
        <f t="shared" si="5"/>
        <v>2291</v>
      </c>
      <c r="H57" s="172">
        <f t="shared" si="6"/>
        <v>9.0767901997606995E-4</v>
      </c>
      <c r="I57" s="337"/>
      <c r="J57" s="168"/>
      <c r="K57" s="168"/>
      <c r="M57" s="359">
        <f t="shared" si="7"/>
        <v>0.18582204558358342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573">
        <f>'[28]Sch C'!D43</f>
        <v>5716</v>
      </c>
      <c r="D58" s="573">
        <f>'[28]Sch C'!F43</f>
        <v>0</v>
      </c>
      <c r="E58" s="171">
        <f t="shared" si="4"/>
        <v>5716</v>
      </c>
      <c r="F58" s="573"/>
      <c r="G58" s="171">
        <f t="shared" si="5"/>
        <v>5716</v>
      </c>
      <c r="H58" s="172">
        <f t="shared" si="6"/>
        <v>2.2646413261384617E-3</v>
      </c>
      <c r="I58" s="337"/>
      <c r="J58" s="168"/>
      <c r="K58" s="168"/>
      <c r="M58" s="359">
        <f t="shared" si="7"/>
        <v>0.46362235379998379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573">
        <f>'[28]Sch C'!D44</f>
        <v>0</v>
      </c>
      <c r="D59" s="573">
        <f>'[28]Sch C'!F44</f>
        <v>0</v>
      </c>
      <c r="E59" s="171">
        <f t="shared" si="4"/>
        <v>0</v>
      </c>
      <c r="F59" s="573"/>
      <c r="G59" s="171">
        <f t="shared" si="5"/>
        <v>0</v>
      </c>
      <c r="H59" s="172">
        <f t="shared" si="6"/>
        <v>0</v>
      </c>
      <c r="I59" s="337"/>
      <c r="J59" s="168"/>
      <c r="K59" s="168"/>
      <c r="M59" s="359">
        <f t="shared" si="7"/>
        <v>0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573">
        <f>'[28]Sch C'!D45</f>
        <v>8652</v>
      </c>
      <c r="D60" s="573">
        <f>'[28]Sch C'!F45</f>
        <v>-3679</v>
      </c>
      <c r="E60" s="171">
        <f t="shared" si="4"/>
        <v>4973</v>
      </c>
      <c r="F60" s="573">
        <v>-722</v>
      </c>
      <c r="G60" s="171">
        <f t="shared" si="5"/>
        <v>4251</v>
      </c>
      <c r="H60" s="172">
        <f t="shared" si="6"/>
        <v>1.6842180331376139E-3</v>
      </c>
      <c r="I60" s="337"/>
      <c r="J60" s="168"/>
      <c r="K60" s="168"/>
      <c r="M60" s="359">
        <f t="shared" si="7"/>
        <v>0.34479682050450156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573">
        <f>SUM(C25:C60)</f>
        <v>928583</v>
      </c>
      <c r="D61" s="573">
        <f>SUM(D25:D60)</f>
        <v>-234633</v>
      </c>
      <c r="E61" s="171">
        <f t="shared" ref="E61" si="8">SUM(E25:E60)</f>
        <v>693950</v>
      </c>
      <c r="F61" s="573">
        <f>SUM(F25:F60)</f>
        <v>-16788</v>
      </c>
      <c r="G61" s="171">
        <f>SUM(G25:G60)</f>
        <v>677162</v>
      </c>
      <c r="H61" s="186">
        <f t="shared" si="6"/>
        <v>0.26828709756658031</v>
      </c>
      <c r="I61" s="339"/>
      <c r="J61" s="168"/>
      <c r="K61" s="168"/>
      <c r="M61" s="364">
        <f>G61/G$228</f>
        <v>54.92432476275448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I62" s="340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573">
        <f>'[28]Sch C'!D57</f>
        <v>189184</v>
      </c>
      <c r="D64" s="573">
        <f>'[28]Sch C'!F57</f>
        <v>0</v>
      </c>
      <c r="E64" s="171">
        <f t="shared" ref="E64:E78" si="9">C64+D64</f>
        <v>189184</v>
      </c>
      <c r="F64" s="573">
        <v>-189184</v>
      </c>
      <c r="G64" s="171">
        <f t="shared" ref="G64:G78" si="10">E64+F64</f>
        <v>0</v>
      </c>
      <c r="H64" s="172">
        <f t="shared" ref="H64:H79" si="11">IF($G$208=0,0,G64/$G$208)</f>
        <v>0</v>
      </c>
      <c r="I64" s="337"/>
      <c r="J64" s="190"/>
      <c r="K64" s="168"/>
      <c r="M64" s="359">
        <f t="shared" ref="M64:M79" si="12">G64/G$228</f>
        <v>0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573">
        <f>'[28]Sch C'!D58</f>
        <v>439</v>
      </c>
      <c r="D65" s="573">
        <f>'[28]Sch C'!F58</f>
        <v>0</v>
      </c>
      <c r="E65" s="171">
        <f t="shared" si="9"/>
        <v>439</v>
      </c>
      <c r="F65" s="573">
        <v>54787</v>
      </c>
      <c r="G65" s="171">
        <f t="shared" si="10"/>
        <v>55226</v>
      </c>
      <c r="H65" s="172">
        <f t="shared" si="11"/>
        <v>2.1880175275948686E-2</v>
      </c>
      <c r="I65" s="337"/>
      <c r="J65" s="190"/>
      <c r="K65" s="168"/>
      <c r="M65" s="359">
        <f t="shared" si="12"/>
        <v>4.4793576121339926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573">
        <f>'[28]Sch C'!D59</f>
        <v>0</v>
      </c>
      <c r="D66" s="573">
        <f>'[28]Sch C'!F59</f>
        <v>0</v>
      </c>
      <c r="E66" s="171">
        <f t="shared" si="9"/>
        <v>0</v>
      </c>
      <c r="F66" s="573"/>
      <c r="G66" s="171">
        <f t="shared" si="10"/>
        <v>0</v>
      </c>
      <c r="H66" s="172">
        <f t="shared" si="11"/>
        <v>0</v>
      </c>
      <c r="I66" s="337"/>
      <c r="J66" s="190"/>
      <c r="K66" s="168"/>
      <c r="M66" s="359">
        <f t="shared" si="12"/>
        <v>0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573">
        <f>'[28]Sch C'!D60</f>
        <v>11936</v>
      </c>
      <c r="D67" s="573">
        <f>'[28]Sch C'!F60</f>
        <v>0</v>
      </c>
      <c r="E67" s="171">
        <f t="shared" si="9"/>
        <v>11936</v>
      </c>
      <c r="F67" s="573"/>
      <c r="G67" s="171">
        <f t="shared" si="10"/>
        <v>11936</v>
      </c>
      <c r="H67" s="172">
        <f t="shared" si="11"/>
        <v>4.7289641128041779E-3</v>
      </c>
      <c r="I67" s="337"/>
      <c r="J67" s="193"/>
      <c r="K67" s="168"/>
      <c r="M67" s="359">
        <f t="shared" si="12"/>
        <v>0.96812393543677511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573">
        <f>'[28]Sch C'!D61</f>
        <v>4079</v>
      </c>
      <c r="D68" s="573">
        <f>'[28]Sch C'!F61</f>
        <v>0</v>
      </c>
      <c r="E68" s="171">
        <f t="shared" si="9"/>
        <v>4079</v>
      </c>
      <c r="F68" s="573"/>
      <c r="G68" s="171">
        <f t="shared" si="10"/>
        <v>4079</v>
      </c>
      <c r="H68" s="172">
        <f t="shared" si="11"/>
        <v>1.6160727727989477E-3</v>
      </c>
      <c r="I68" s="337"/>
      <c r="J68" s="193"/>
      <c r="K68" s="168"/>
      <c r="M68" s="359">
        <f t="shared" si="12"/>
        <v>0.3308459729094006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573">
        <f>'[28]Sch C'!D62</f>
        <v>4890</v>
      </c>
      <c r="D69" s="573">
        <f>'[28]Sch C'!F62</f>
        <v>0</v>
      </c>
      <c r="E69" s="171">
        <f t="shared" si="9"/>
        <v>4890</v>
      </c>
      <c r="F69" s="573"/>
      <c r="G69" s="171">
        <f t="shared" si="10"/>
        <v>4890</v>
      </c>
      <c r="H69" s="172">
        <f t="shared" si="11"/>
        <v>1.9373855991632397E-3</v>
      </c>
      <c r="I69" s="337"/>
      <c r="J69" s="195"/>
      <c r="K69" s="168"/>
      <c r="M69" s="359">
        <f t="shared" si="12"/>
        <v>0.39662584151188257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573">
        <f>'[28]Sch C'!D63</f>
        <v>0</v>
      </c>
      <c r="D70" s="573">
        <f>'[28]Sch C'!F63</f>
        <v>0</v>
      </c>
      <c r="E70" s="171">
        <f t="shared" si="9"/>
        <v>0</v>
      </c>
      <c r="F70" s="573"/>
      <c r="G70" s="171">
        <f t="shared" si="10"/>
        <v>0</v>
      </c>
      <c r="H70" s="172">
        <f t="shared" si="11"/>
        <v>0</v>
      </c>
      <c r="I70" s="337"/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573">
        <f>'[28]Sch C'!D64</f>
        <v>0</v>
      </c>
      <c r="D71" s="573">
        <f>'[28]Sch C'!F64</f>
        <v>0</v>
      </c>
      <c r="E71" s="171">
        <f t="shared" si="9"/>
        <v>0</v>
      </c>
      <c r="F71" s="573"/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573">
        <f>'[28]Sch C'!D65</f>
        <v>6479</v>
      </c>
      <c r="D72" s="573">
        <f>'[28]Sch C'!F65</f>
        <v>0</v>
      </c>
      <c r="E72" s="171">
        <f t="shared" si="9"/>
        <v>6479</v>
      </c>
      <c r="F72" s="573"/>
      <c r="G72" s="171">
        <f t="shared" si="10"/>
        <v>6479</v>
      </c>
      <c r="H72" s="172">
        <f t="shared" si="11"/>
        <v>2.5669368705477768E-3</v>
      </c>
      <c r="I72" s="337"/>
      <c r="J72" s="195"/>
      <c r="K72" s="168"/>
      <c r="M72" s="359">
        <f t="shared" si="12"/>
        <v>0.52550896260848401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573">
        <f>'[28]Sch C'!D66</f>
        <v>2787</v>
      </c>
      <c r="D73" s="573">
        <f>'[28]Sch C'!F66</f>
        <v>0</v>
      </c>
      <c r="E73" s="171">
        <f t="shared" si="9"/>
        <v>2787</v>
      </c>
      <c r="F73" s="573"/>
      <c r="G73" s="171">
        <f t="shared" si="10"/>
        <v>2787</v>
      </c>
      <c r="H73" s="172">
        <f t="shared" si="11"/>
        <v>1.104190933510828E-3</v>
      </c>
      <c r="I73" s="337"/>
      <c r="J73" s="195"/>
      <c r="K73" s="168"/>
      <c r="M73" s="359">
        <f t="shared" si="12"/>
        <v>0.22605239678806066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573">
        <f>'[28]Sch C'!D67</f>
        <v>19180</v>
      </c>
      <c r="D74" s="573">
        <f>'[28]Sch C'!F67</f>
        <v>0</v>
      </c>
      <c r="E74" s="171">
        <f t="shared" si="9"/>
        <v>19180</v>
      </c>
      <c r="F74" s="573"/>
      <c r="G74" s="171">
        <f t="shared" si="10"/>
        <v>19180</v>
      </c>
      <c r="H74" s="172">
        <f t="shared" si="11"/>
        <v>7.5989889145093937E-3</v>
      </c>
      <c r="I74" s="337"/>
      <c r="J74" s="195"/>
      <c r="K74" s="168"/>
      <c r="M74" s="359">
        <f t="shared" si="12"/>
        <v>1.5556817260118421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573">
        <f>'[28]Sch C'!D68</f>
        <v>0</v>
      </c>
      <c r="D75" s="573">
        <f>'[28]Sch C'!F68</f>
        <v>0</v>
      </c>
      <c r="E75" s="171">
        <f t="shared" si="9"/>
        <v>0</v>
      </c>
      <c r="F75" s="573"/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573">
        <f>'[28]Sch C'!D69</f>
        <v>2143</v>
      </c>
      <c r="D76" s="573">
        <f>'[28]Sch C'!F69</f>
        <v>0</v>
      </c>
      <c r="E76" s="171">
        <f t="shared" si="9"/>
        <v>2143</v>
      </c>
      <c r="F76" s="573"/>
      <c r="G76" s="171">
        <f t="shared" si="10"/>
        <v>2143</v>
      </c>
      <c r="H76" s="172">
        <f t="shared" si="11"/>
        <v>8.4904240061489211E-4</v>
      </c>
      <c r="I76" s="337"/>
      <c r="J76" s="195"/>
      <c r="K76" s="168"/>
      <c r="M76" s="359">
        <f t="shared" si="12"/>
        <v>0.17381782788547329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573">
        <f>'[28]Sch C'!D70</f>
        <v>0</v>
      </c>
      <c r="D77" s="573">
        <f>'[28]Sch C'!F70</f>
        <v>0</v>
      </c>
      <c r="E77" s="171">
        <f t="shared" si="9"/>
        <v>0</v>
      </c>
      <c r="F77" s="573"/>
      <c r="G77" s="171">
        <f t="shared" si="10"/>
        <v>0</v>
      </c>
      <c r="H77" s="172">
        <f t="shared" si="11"/>
        <v>0</v>
      </c>
      <c r="I77" s="337"/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573">
        <f>'[28]Sch C'!D71</f>
        <v>0</v>
      </c>
      <c r="D78" s="573">
        <f>'[28]Sch C'!F71</f>
        <v>0</v>
      </c>
      <c r="E78" s="171">
        <f t="shared" si="9"/>
        <v>0</v>
      </c>
      <c r="F78" s="573"/>
      <c r="G78" s="171">
        <f t="shared" si="10"/>
        <v>0</v>
      </c>
      <c r="H78" s="172">
        <f t="shared" si="11"/>
        <v>0</v>
      </c>
      <c r="I78" s="337"/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573">
        <f>SUM(C64:C78)</f>
        <v>241117</v>
      </c>
      <c r="D79" s="573">
        <f>SUM(D64:D78)</f>
        <v>0</v>
      </c>
      <c r="E79" s="171">
        <f t="shared" ref="E79" si="13">SUM(E64:E78)</f>
        <v>241117</v>
      </c>
      <c r="F79" s="573">
        <f>SUM(F64:F78)</f>
        <v>-134397</v>
      </c>
      <c r="G79" s="171">
        <f>SUM(G64:G78)</f>
        <v>106720</v>
      </c>
      <c r="H79" s="172">
        <f t="shared" si="11"/>
        <v>4.2281756879897943E-2</v>
      </c>
      <c r="I79" s="337"/>
      <c r="J79" s="195"/>
      <c r="K79" s="168"/>
      <c r="M79" s="359">
        <f t="shared" si="12"/>
        <v>8.6560142752859104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573">
        <f>'[28]Sch C'!D75</f>
        <v>35810</v>
      </c>
      <c r="D82" s="573">
        <f>'[28]Sch C'!F75</f>
        <v>1684</v>
      </c>
      <c r="E82" s="171">
        <f t="shared" ref="E82:E92" si="14">C82+D82</f>
        <v>37494</v>
      </c>
      <c r="F82" s="573"/>
      <c r="G82" s="171">
        <f t="shared" ref="G82:G92" si="15">E82+F82</f>
        <v>37494</v>
      </c>
      <c r="H82" s="172">
        <f t="shared" ref="H82:H93" si="16">IF($G$208=0,0,G82/$G$208)</f>
        <v>1.4854874367081085E-2</v>
      </c>
      <c r="I82" s="337"/>
      <c r="J82" s="183">
        <v>2097</v>
      </c>
      <c r="K82" s="183">
        <v>2196</v>
      </c>
      <c r="M82" s="359">
        <f t="shared" ref="M82:M92" si="17">G82/G$228</f>
        <v>3.0411225565739315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573">
        <f>'[28]Sch C'!D76</f>
        <v>0</v>
      </c>
      <c r="D83" s="573">
        <f>'[28]Sch C'!F76</f>
        <v>5815</v>
      </c>
      <c r="E83" s="171">
        <f t="shared" si="14"/>
        <v>5815</v>
      </c>
      <c r="F83" s="573"/>
      <c r="G83" s="171">
        <f t="shared" si="15"/>
        <v>5815</v>
      </c>
      <c r="H83" s="172">
        <f t="shared" si="16"/>
        <v>2.3038644701706009E-3</v>
      </c>
      <c r="I83" s="337"/>
      <c r="J83" s="168"/>
      <c r="K83" s="168"/>
      <c r="M83" s="359">
        <f t="shared" si="17"/>
        <v>0.47165220212507097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573">
        <f>'[28]Sch C'!D77</f>
        <v>10740</v>
      </c>
      <c r="D84" s="573">
        <f>'[28]Sch C'!F77</f>
        <v>0</v>
      </c>
      <c r="E84" s="171">
        <f t="shared" si="14"/>
        <v>10740</v>
      </c>
      <c r="F84" s="573"/>
      <c r="G84" s="171">
        <f t="shared" si="15"/>
        <v>10740</v>
      </c>
      <c r="H84" s="172">
        <f t="shared" si="16"/>
        <v>4.2551168374260111E-3</v>
      </c>
      <c r="I84" s="337"/>
      <c r="J84" s="168"/>
      <c r="K84" s="168"/>
      <c r="M84" s="359">
        <f t="shared" si="17"/>
        <v>0.87111687890339851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573">
        <f>'[28]Sch C'!D78</f>
        <v>0</v>
      </c>
      <c r="D85" s="573">
        <f>'[28]Sch C'!F78</f>
        <v>0</v>
      </c>
      <c r="E85" s="171">
        <f t="shared" si="14"/>
        <v>0</v>
      </c>
      <c r="F85" s="573"/>
      <c r="G85" s="171">
        <f t="shared" si="15"/>
        <v>0</v>
      </c>
      <c r="H85" s="172">
        <f t="shared" si="16"/>
        <v>0</v>
      </c>
      <c r="I85" s="337"/>
      <c r="J85" s="168"/>
      <c r="K85" s="168"/>
      <c r="M85" s="359">
        <f t="shared" si="17"/>
        <v>0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573">
        <f>'[28]Sch C'!D79</f>
        <v>1094</v>
      </c>
      <c r="D86" s="573">
        <f>'[28]Sch C'!F79</f>
        <v>0</v>
      </c>
      <c r="E86" s="171">
        <f t="shared" si="14"/>
        <v>1094</v>
      </c>
      <c r="F86" s="573"/>
      <c r="G86" s="171">
        <f>E86+F86</f>
        <v>1094</v>
      </c>
      <c r="H86" s="172">
        <f t="shared" si="16"/>
        <v>4.3343555122384134E-4</v>
      </c>
      <c r="I86" s="337"/>
      <c r="J86" s="168"/>
      <c r="K86" s="168"/>
      <c r="M86" s="359">
        <f t="shared" si="17"/>
        <v>8.8733879471165539E-2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573">
        <f>'[28]Sch C'!D80</f>
        <v>3760</v>
      </c>
      <c r="D87" s="573">
        <f>'[28]Sch C'!F80</f>
        <v>0</v>
      </c>
      <c r="E87" s="171">
        <f t="shared" si="14"/>
        <v>3760</v>
      </c>
      <c r="F87" s="573"/>
      <c r="G87" s="171">
        <f t="shared" si="15"/>
        <v>3760</v>
      </c>
      <c r="H87" s="172">
        <f t="shared" si="16"/>
        <v>1.4896870864731658E-3</v>
      </c>
      <c r="I87" s="337"/>
      <c r="J87" s="168"/>
      <c r="K87" s="168"/>
      <c r="M87" s="359">
        <f t="shared" si="17"/>
        <v>0.30497201719523076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573">
        <f>'[28]Sch C'!D81</f>
        <v>9186</v>
      </c>
      <c r="D88" s="573">
        <f>'[28]Sch C'!F81</f>
        <v>0</v>
      </c>
      <c r="E88" s="171">
        <f t="shared" si="14"/>
        <v>9186</v>
      </c>
      <c r="F88" s="573"/>
      <c r="G88" s="171">
        <f t="shared" si="15"/>
        <v>9186</v>
      </c>
      <c r="H88" s="172">
        <f t="shared" si="16"/>
        <v>3.6394323341336441E-3</v>
      </c>
      <c r="I88" s="337"/>
      <c r="J88" s="168"/>
      <c r="K88" s="168"/>
      <c r="M88" s="359">
        <f t="shared" si="17"/>
        <v>0.74507259307324192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573">
        <f>'[28]Sch C'!D82</f>
        <v>226</v>
      </c>
      <c r="D89" s="573">
        <f>'[28]Sch C'!F82</f>
        <v>0</v>
      </c>
      <c r="E89" s="171">
        <f t="shared" si="14"/>
        <v>226</v>
      </c>
      <c r="F89" s="573"/>
      <c r="G89" s="171">
        <f t="shared" si="15"/>
        <v>226</v>
      </c>
      <c r="H89" s="172">
        <f t="shared" si="16"/>
        <v>8.9539702538014753E-5</v>
      </c>
      <c r="I89" s="337"/>
      <c r="J89" s="168"/>
      <c r="K89" s="168"/>
      <c r="M89" s="359">
        <f t="shared" si="17"/>
        <v>1.8330764863330358E-2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573">
        <f>'[28]Sch C'!D83</f>
        <v>0</v>
      </c>
      <c r="D90" s="573">
        <f>'[28]Sch C'!F83</f>
        <v>0</v>
      </c>
      <c r="E90" s="171">
        <f t="shared" si="14"/>
        <v>0</v>
      </c>
      <c r="F90" s="573">
        <v>722</v>
      </c>
      <c r="G90" s="171">
        <f t="shared" si="15"/>
        <v>722</v>
      </c>
      <c r="H90" s="172">
        <f t="shared" si="16"/>
        <v>2.8605161607277282E-4</v>
      </c>
      <c r="I90" s="337"/>
      <c r="J90" s="168"/>
      <c r="K90" s="168"/>
      <c r="M90" s="359">
        <f t="shared" si="17"/>
        <v>5.856111606780761E-2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573">
        <f>'[28]Sch C'!D84</f>
        <v>47103</v>
      </c>
      <c r="D91" s="573">
        <f>'[28]Sch C'!F84</f>
        <v>0</v>
      </c>
      <c r="E91" s="171">
        <f t="shared" si="14"/>
        <v>47103</v>
      </c>
      <c r="F91" s="573"/>
      <c r="G91" s="171">
        <f t="shared" si="15"/>
        <v>47103</v>
      </c>
      <c r="H91" s="172">
        <f t="shared" si="16"/>
        <v>1.8661896498442961E-2</v>
      </c>
      <c r="I91" s="337"/>
      <c r="J91" s="168"/>
      <c r="K91" s="168"/>
      <c r="M91" s="359">
        <f t="shared" si="17"/>
        <v>3.8205045015816368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573">
        <f>'[28]Sch C'!D85</f>
        <v>0</v>
      </c>
      <c r="D92" s="573">
        <f>'[28]Sch C'!F85</f>
        <v>0</v>
      </c>
      <c r="E92" s="171">
        <f t="shared" si="14"/>
        <v>0</v>
      </c>
      <c r="F92" s="573"/>
      <c r="G92" s="171">
        <f t="shared" si="15"/>
        <v>0</v>
      </c>
      <c r="H92" s="172">
        <f t="shared" si="16"/>
        <v>0</v>
      </c>
      <c r="I92" s="337"/>
      <c r="J92" s="168"/>
      <c r="K92" s="168"/>
      <c r="M92" s="359">
        <f t="shared" si="17"/>
        <v>0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573">
        <f>SUM(C82:C92)</f>
        <v>107919</v>
      </c>
      <c r="D93" s="573">
        <f>SUM(D82:D92)</f>
        <v>7499</v>
      </c>
      <c r="E93" s="171">
        <f t="shared" ref="E93" si="18">SUM(E82:E92)</f>
        <v>115418</v>
      </c>
      <c r="F93" s="573">
        <f>SUM(F82:F92)</f>
        <v>722</v>
      </c>
      <c r="G93" s="171">
        <f>SUM(G82:G92)</f>
        <v>116140</v>
      </c>
      <c r="H93" s="172">
        <f t="shared" si="16"/>
        <v>4.6013898463562096E-2</v>
      </c>
      <c r="I93" s="337"/>
      <c r="J93" s="168"/>
      <c r="K93" s="168"/>
      <c r="M93" s="364">
        <f>G93/G$228</f>
        <v>9.4200665098548146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573">
        <f>'[28]Sch C'!D89</f>
        <v>75886</v>
      </c>
      <c r="D96" s="573">
        <f>'[28]Sch C'!F89</f>
        <v>3569</v>
      </c>
      <c r="E96" s="171">
        <f t="shared" ref="E96:E101" si="19">C96+D96</f>
        <v>79455</v>
      </c>
      <c r="F96" s="573"/>
      <c r="G96" s="171">
        <f t="shared" ref="G96:G101" si="20">E96+F96</f>
        <v>79455</v>
      </c>
      <c r="H96" s="172">
        <f t="shared" ref="H96:H102" si="21">IF($G$208=0,0,G96/$G$208)</f>
        <v>3.1479544536097179E-2</v>
      </c>
      <c r="I96" s="337"/>
      <c r="J96" s="183">
        <v>5967</v>
      </c>
      <c r="K96" s="183">
        <v>6248</v>
      </c>
      <c r="M96" s="364">
        <f t="shared" ref="M96:M101" si="22">G96/G$228</f>
        <v>6.4445616027252814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573">
        <f>'[28]Sch C'!D90</f>
        <v>0</v>
      </c>
      <c r="D97" s="573">
        <f>'[28]Sch C'!F90</f>
        <v>12323</v>
      </c>
      <c r="E97" s="171">
        <f t="shared" si="19"/>
        <v>12323</v>
      </c>
      <c r="F97" s="573"/>
      <c r="G97" s="171">
        <f t="shared" si="20"/>
        <v>12323</v>
      </c>
      <c r="H97" s="172">
        <f t="shared" si="21"/>
        <v>4.8822909485661762E-3</v>
      </c>
      <c r="I97" s="337"/>
      <c r="J97" s="168"/>
      <c r="K97" s="168"/>
      <c r="M97" s="364">
        <f t="shared" si="22"/>
        <v>0.9995133425257523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573">
        <f>'[28]Sch C'!D91</f>
        <v>5286</v>
      </c>
      <c r="D98" s="573">
        <f>'[28]Sch C'!F91</f>
        <v>0</v>
      </c>
      <c r="E98" s="171">
        <f t="shared" si="19"/>
        <v>5286</v>
      </c>
      <c r="F98" s="573"/>
      <c r="G98" s="171">
        <f t="shared" si="20"/>
        <v>5286</v>
      </c>
      <c r="H98" s="172">
        <f t="shared" si="21"/>
        <v>2.0942781752917965E-3</v>
      </c>
      <c r="I98" s="337"/>
      <c r="J98" s="168"/>
      <c r="K98" s="168"/>
      <c r="M98" s="364">
        <f t="shared" si="22"/>
        <v>0.42874523481223131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573">
        <f>'[28]Sch C'!D92</f>
        <v>67026</v>
      </c>
      <c r="D99" s="573">
        <f>'[28]Sch C'!F92</f>
        <v>0</v>
      </c>
      <c r="E99" s="171">
        <f t="shared" si="19"/>
        <v>67026</v>
      </c>
      <c r="F99" s="573"/>
      <c r="G99" s="171">
        <f t="shared" si="20"/>
        <v>67026</v>
      </c>
      <c r="H99" s="172">
        <f t="shared" si="21"/>
        <v>2.6555257089880428E-2</v>
      </c>
      <c r="I99" s="337"/>
      <c r="J99" s="168"/>
      <c r="K99" s="168"/>
      <c r="M99" s="364">
        <f t="shared" si="22"/>
        <v>5.4364506448211536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573">
        <f>'[28]Sch C'!D93</f>
        <v>7893</v>
      </c>
      <c r="D100" s="573">
        <f>'[28]Sch C'!F93</f>
        <v>0</v>
      </c>
      <c r="E100" s="171">
        <f t="shared" si="19"/>
        <v>7893</v>
      </c>
      <c r="F100" s="573"/>
      <c r="G100" s="171">
        <f t="shared" si="20"/>
        <v>7893</v>
      </c>
      <c r="H100" s="172">
        <f t="shared" si="21"/>
        <v>3.127154301471462E-3</v>
      </c>
      <c r="I100" s="337"/>
      <c r="J100" s="168"/>
      <c r="K100" s="168"/>
      <c r="M100" s="364">
        <f t="shared" si="22"/>
        <v>0.64019790737286075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573">
        <f>'[28]Sch C'!D94</f>
        <v>0</v>
      </c>
      <c r="D101" s="573">
        <f>'[28]Sch C'!F94</f>
        <v>0</v>
      </c>
      <c r="E101" s="171">
        <f t="shared" si="19"/>
        <v>0</v>
      </c>
      <c r="F101" s="573"/>
      <c r="G101" s="171">
        <f t="shared" si="20"/>
        <v>0</v>
      </c>
      <c r="H101" s="172">
        <f t="shared" si="21"/>
        <v>0</v>
      </c>
      <c r="I101" s="337"/>
      <c r="J101" s="168"/>
      <c r="K101" s="168"/>
      <c r="M101" s="364">
        <f t="shared" si="22"/>
        <v>0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573">
        <f>SUM(C96:C101)</f>
        <v>156091</v>
      </c>
      <c r="D102" s="573">
        <f>SUM(D96:D101)</f>
        <v>15892</v>
      </c>
      <c r="E102" s="171">
        <f t="shared" ref="E102" si="23">SUM(E96:E101)</f>
        <v>171983</v>
      </c>
      <c r="F102" s="573">
        <f>SUM(F96:F101)</f>
        <v>0</v>
      </c>
      <c r="G102" s="171">
        <f>SUM(G96:G101)</f>
        <v>171983</v>
      </c>
      <c r="H102" s="172">
        <f t="shared" si="21"/>
        <v>6.8138525051307047E-2</v>
      </c>
      <c r="I102" s="337"/>
      <c r="J102" s="168"/>
      <c r="K102" s="168"/>
      <c r="M102" s="364">
        <f>G102/G$228</f>
        <v>13.94946873225728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573">
        <f>'[28]Sch C'!D98</f>
        <v>21563</v>
      </c>
      <c r="D105" s="573">
        <f>'[28]Sch C'!F98</f>
        <v>1014</v>
      </c>
      <c r="E105" s="171">
        <f t="shared" ref="E105:E110" si="24">C105+D105</f>
        <v>22577</v>
      </c>
      <c r="F105" s="573"/>
      <c r="G105" s="171">
        <f t="shared" ref="G105:G110" si="25">E105+F105</f>
        <v>22577</v>
      </c>
      <c r="H105" s="172">
        <f t="shared" ref="H105:H111" si="26">IF($G$208=0,0,G105/$G$208)</f>
        <v>8.9448578061980498E-3</v>
      </c>
      <c r="I105" s="337"/>
      <c r="J105" s="183">
        <v>2480</v>
      </c>
      <c r="K105" s="183">
        <v>2597</v>
      </c>
      <c r="M105" s="364">
        <f t="shared" ref="M105:M110" si="27">G105/G$228</f>
        <v>1.8312109660150864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573">
        <f>'[28]Sch C'!D99</f>
        <v>0</v>
      </c>
      <c r="D106" s="573">
        <f>'[28]Sch C'!F99</f>
        <v>3502</v>
      </c>
      <c r="E106" s="171">
        <f t="shared" si="24"/>
        <v>3502</v>
      </c>
      <c r="F106" s="573"/>
      <c r="G106" s="171">
        <f t="shared" si="25"/>
        <v>3502</v>
      </c>
      <c r="H106" s="172">
        <f t="shared" si="26"/>
        <v>1.3874691959651667E-3</v>
      </c>
      <c r="I106" s="337"/>
      <c r="J106" s="168"/>
      <c r="K106" s="168"/>
      <c r="M106" s="364">
        <f t="shared" si="27"/>
        <v>0.2840457458025793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573">
        <f>'[28]Sch C'!D100</f>
        <v>6715</v>
      </c>
      <c r="D107" s="573">
        <f>'[28]Sch C'!F100</f>
        <v>0</v>
      </c>
      <c r="E107" s="171">
        <f t="shared" si="24"/>
        <v>6715</v>
      </c>
      <c r="F107" s="573"/>
      <c r="G107" s="171">
        <f t="shared" si="25"/>
        <v>6715</v>
      </c>
      <c r="H107" s="172">
        <f t="shared" si="26"/>
        <v>2.6604385068264118E-3</v>
      </c>
      <c r="I107" s="337"/>
      <c r="J107" s="168"/>
      <c r="K107" s="168"/>
      <c r="M107" s="364">
        <f t="shared" si="27"/>
        <v>0.54465082326222725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573">
        <f>'[28]Sch C'!D101</f>
        <v>0</v>
      </c>
      <c r="D108" s="573">
        <f>'[28]Sch C'!F101</f>
        <v>0</v>
      </c>
      <c r="E108" s="171">
        <f t="shared" si="24"/>
        <v>0</v>
      </c>
      <c r="F108" s="573"/>
      <c r="G108" s="171">
        <f t="shared" si="25"/>
        <v>0</v>
      </c>
      <c r="H108" s="172">
        <f t="shared" si="26"/>
        <v>0</v>
      </c>
      <c r="I108" s="337"/>
      <c r="J108" s="168"/>
      <c r="K108" s="168"/>
      <c r="M108" s="364">
        <f t="shared" si="27"/>
        <v>0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573">
        <f>'[28]Sch C'!D102</f>
        <v>1430</v>
      </c>
      <c r="D109" s="573">
        <f>'[28]Sch C'!F102</f>
        <v>0</v>
      </c>
      <c r="E109" s="171">
        <f t="shared" si="24"/>
        <v>1430</v>
      </c>
      <c r="F109" s="573"/>
      <c r="G109" s="171">
        <f t="shared" si="25"/>
        <v>1430</v>
      </c>
      <c r="H109" s="172">
        <f t="shared" si="26"/>
        <v>5.6655652490867747E-4</v>
      </c>
      <c r="I109" s="337"/>
      <c r="J109" s="168"/>
      <c r="K109" s="168"/>
      <c r="M109" s="364">
        <f t="shared" si="27"/>
        <v>0.11598669802903723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573">
        <f>'[28]Sch C'!D103</f>
        <v>0</v>
      </c>
      <c r="D110" s="573">
        <f>'[28]Sch C'!F103</f>
        <v>0</v>
      </c>
      <c r="E110" s="171">
        <f t="shared" si="24"/>
        <v>0</v>
      </c>
      <c r="F110" s="573"/>
      <c r="G110" s="171">
        <f t="shared" si="25"/>
        <v>0</v>
      </c>
      <c r="H110" s="172">
        <f t="shared" si="26"/>
        <v>0</v>
      </c>
      <c r="I110" s="337"/>
      <c r="J110" s="168"/>
      <c r="K110" s="168"/>
      <c r="M110" s="364">
        <f t="shared" si="27"/>
        <v>0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573">
        <f>SUM(C105:C110)</f>
        <v>29708</v>
      </c>
      <c r="D111" s="573">
        <f>SUM(D105:D110)</f>
        <v>4516</v>
      </c>
      <c r="E111" s="171">
        <f t="shared" ref="E111" si="28">SUM(E105:E110)</f>
        <v>34224</v>
      </c>
      <c r="F111" s="573">
        <f>SUM(F105:F110)</f>
        <v>0</v>
      </c>
      <c r="G111" s="171">
        <f>SUM(G105:G110)</f>
        <v>34224</v>
      </c>
      <c r="H111" s="172">
        <f t="shared" si="26"/>
        <v>1.3559322033898305E-2</v>
      </c>
      <c r="I111" s="337"/>
      <c r="J111" s="168"/>
      <c r="K111" s="168"/>
      <c r="M111" s="364">
        <f>G111/G$228</f>
        <v>2.77589423310893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573">
        <f>'[28]Sch C'!D115</f>
        <v>27068</v>
      </c>
      <c r="D114" s="573">
        <f>'[28]Sch C'!F115</f>
        <v>1273</v>
      </c>
      <c r="E114" s="171">
        <f t="shared" ref="E114:E118" si="29">C114+D114</f>
        <v>28341</v>
      </c>
      <c r="F114" s="573"/>
      <c r="G114" s="171">
        <f>E114+F114</f>
        <v>28341</v>
      </c>
      <c r="H114" s="172">
        <f t="shared" ref="H114:H119" si="30">IF($G$208=0,0,G114/$G$208)</f>
        <v>1.1228516414291487E-2</v>
      </c>
      <c r="I114" s="337"/>
      <c r="J114" s="183">
        <v>2673</v>
      </c>
      <c r="K114" s="183">
        <v>2799</v>
      </c>
      <c r="M114" s="364">
        <f t="shared" ref="M114:M119" si="31">G114/G$228</f>
        <v>2.2987265796090517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573">
        <f>'[28]Sch C'!D116</f>
        <v>0</v>
      </c>
      <c r="D115" s="573">
        <f>'[28]Sch C'!F116</f>
        <v>4395</v>
      </c>
      <c r="E115" s="171">
        <f t="shared" si="29"/>
        <v>4395</v>
      </c>
      <c r="F115" s="573"/>
      <c r="G115" s="171">
        <f>E115+F115</f>
        <v>4395</v>
      </c>
      <c r="H115" s="172">
        <f t="shared" si="30"/>
        <v>1.7412698790025436E-3</v>
      </c>
      <c r="I115" s="337"/>
      <c r="J115" s="168"/>
      <c r="K115" s="168"/>
      <c r="M115" s="364">
        <f t="shared" si="31"/>
        <v>0.35647659988644659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573">
        <f>'[28]Sch C'!D117</f>
        <v>7889</v>
      </c>
      <c r="D116" s="573">
        <f>'[28]Sch C'!F117</f>
        <v>0</v>
      </c>
      <c r="E116" s="171">
        <f t="shared" si="29"/>
        <v>7889</v>
      </c>
      <c r="F116" s="573"/>
      <c r="G116" s="171">
        <f>E116+F116</f>
        <v>7889</v>
      </c>
      <c r="H116" s="172">
        <f t="shared" si="30"/>
        <v>3.1255695279752142E-3</v>
      </c>
      <c r="I116" s="337"/>
      <c r="J116" s="168"/>
      <c r="K116" s="168"/>
      <c r="M116" s="364">
        <f t="shared" si="31"/>
        <v>0.63987346905669562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573">
        <f>'[28]Sch C'!D118</f>
        <v>2063</v>
      </c>
      <c r="D117" s="573">
        <f>'[28]Sch C'!F118</f>
        <v>0</v>
      </c>
      <c r="E117" s="171">
        <f t="shared" si="29"/>
        <v>2063</v>
      </c>
      <c r="F117" s="573"/>
      <c r="G117" s="171">
        <f>E117+F117</f>
        <v>2063</v>
      </c>
      <c r="H117" s="172">
        <f t="shared" si="30"/>
        <v>8.1734693068993109E-4</v>
      </c>
      <c r="I117" s="337"/>
      <c r="J117" s="168"/>
      <c r="K117" s="168"/>
      <c r="M117" s="364">
        <f t="shared" si="31"/>
        <v>0.16732906156217051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573">
        <f>'[28]Sch C'!D119</f>
        <v>0</v>
      </c>
      <c r="D118" s="573">
        <f>'[28]Sch C'!F119</f>
        <v>0</v>
      </c>
      <c r="E118" s="171">
        <f t="shared" si="29"/>
        <v>0</v>
      </c>
      <c r="F118" s="573"/>
      <c r="G118" s="171">
        <f>E118+F118</f>
        <v>0</v>
      </c>
      <c r="H118" s="172">
        <f t="shared" si="30"/>
        <v>0</v>
      </c>
      <c r="I118" s="337"/>
      <c r="J118" s="168"/>
      <c r="K118" s="168"/>
      <c r="M118" s="364">
        <f t="shared" si="31"/>
        <v>0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573">
        <f>SUM(C114:C118)</f>
        <v>37020</v>
      </c>
      <c r="D119" s="573">
        <f>SUM(D114:D118)</f>
        <v>5668</v>
      </c>
      <c r="E119" s="171">
        <f t="shared" ref="E119" si="32">SUM(E114:E118)</f>
        <v>42688</v>
      </c>
      <c r="F119" s="573">
        <f>SUM(F114:F118)</f>
        <v>0</v>
      </c>
      <c r="G119" s="171">
        <f>SUM(G114:G118)</f>
        <v>42688</v>
      </c>
      <c r="H119" s="172">
        <f t="shared" si="30"/>
        <v>1.6912702751959177E-2</v>
      </c>
      <c r="I119" s="337"/>
      <c r="J119" s="168"/>
      <c r="K119" s="168"/>
      <c r="M119" s="364">
        <f t="shared" si="31"/>
        <v>3.4624057101143646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1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573">
        <f>'[28]Sch C'!D124</f>
        <v>0</v>
      </c>
      <c r="D123" s="573">
        <f>'[28]Sch C'!F124</f>
        <v>0</v>
      </c>
      <c r="E123" s="171">
        <f t="shared" ref="E123:E127" si="33">C123+D123</f>
        <v>0</v>
      </c>
      <c r="F123" s="573"/>
      <c r="G123" s="171">
        <f>E123+F123</f>
        <v>0</v>
      </c>
      <c r="H123" s="172">
        <f>IF($G$208=0,0,G123/$G$208)</f>
        <v>0</v>
      </c>
      <c r="I123" s="337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0.77002560279620991</v>
      </c>
    </row>
    <row r="124" spans="1:14" s="167" customFormat="1">
      <c r="B124" s="163" t="s">
        <v>194</v>
      </c>
      <c r="C124" s="573">
        <f>'[28]Sch C'!D125</f>
        <v>79413</v>
      </c>
      <c r="D124" s="573">
        <f>'[28]Sch C'!F125</f>
        <v>3735</v>
      </c>
      <c r="E124" s="171">
        <f t="shared" si="33"/>
        <v>83148</v>
      </c>
      <c r="F124" s="573"/>
      <c r="G124" s="171">
        <f>E124+F124</f>
        <v>83148</v>
      </c>
      <c r="H124" s="172">
        <f>IF($G$208=0,0,G124/$G$208)</f>
        <v>3.2942686666508188E-2</v>
      </c>
      <c r="I124" s="337"/>
      <c r="J124" s="183">
        <v>2307</v>
      </c>
      <c r="K124" s="183">
        <v>2415</v>
      </c>
      <c r="M124" s="364">
        <f t="shared" si="34"/>
        <v>6.7440992781247466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573">
        <f>'[28]Sch C'!D126</f>
        <v>58233</v>
      </c>
      <c r="D125" s="573">
        <f>'[28]Sch C'!F126</f>
        <v>2739</v>
      </c>
      <c r="E125" s="171">
        <f t="shared" si="33"/>
        <v>60972</v>
      </c>
      <c r="F125" s="573"/>
      <c r="G125" s="171">
        <f>E125+F125</f>
        <v>60972</v>
      </c>
      <c r="H125" s="172">
        <f>IF($G$208=0,0,G125/$G$208)</f>
        <v>2.4156702403309006E-2</v>
      </c>
      <c r="I125" s="337"/>
      <c r="J125" s="183">
        <v>2220</v>
      </c>
      <c r="K125" s="183">
        <v>2324</v>
      </c>
      <c r="M125" s="364">
        <f t="shared" si="34"/>
        <v>4.9454132533052153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573">
        <f>'[28]Sch C'!D127</f>
        <v>0</v>
      </c>
      <c r="D126" s="573">
        <f>'[28]Sch C'!F127</f>
        <v>0</v>
      </c>
      <c r="E126" s="171">
        <f t="shared" si="33"/>
        <v>0</v>
      </c>
      <c r="F126" s="573"/>
      <c r="G126" s="171">
        <f>E126+F126</f>
        <v>0</v>
      </c>
      <c r="H126" s="172">
        <f>IF($G$208=0,0,G126/$G$208)</f>
        <v>0</v>
      </c>
      <c r="I126" s="337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573">
        <f>'[28]Sch C'!D128</f>
        <v>26788</v>
      </c>
      <c r="D127" s="573">
        <f>'[28]Sch C'!F128</f>
        <v>1260</v>
      </c>
      <c r="E127" s="171">
        <f t="shared" si="33"/>
        <v>28048</v>
      </c>
      <c r="F127" s="573"/>
      <c r="G127" s="171">
        <f>E127+F127</f>
        <v>28048</v>
      </c>
      <c r="H127" s="172">
        <f>IF($G$208=0,0,G127/$G$208)</f>
        <v>1.1112431755691318E-2</v>
      </c>
      <c r="I127" s="337"/>
      <c r="J127" s="183">
        <v>1932</v>
      </c>
      <c r="K127" s="183">
        <v>2023</v>
      </c>
      <c r="M127" s="364">
        <f t="shared" si="34"/>
        <v>2.2749614729499554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573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573">
        <f>'[28]Sch C'!D130</f>
        <v>0</v>
      </c>
      <c r="D129" s="573">
        <f>'[28]Sch C'!F130</f>
        <v>0</v>
      </c>
      <c r="E129" s="171">
        <f t="shared" ref="E129:E133" si="35">C129+D129</f>
        <v>0</v>
      </c>
      <c r="F129" s="573"/>
      <c r="G129" s="171">
        <f>E129+F129</f>
        <v>0</v>
      </c>
      <c r="H129" s="172">
        <f>IF($G$208=0,0,G129/$G$208)</f>
        <v>0</v>
      </c>
      <c r="I129" s="337"/>
      <c r="J129" s="204"/>
      <c r="K129" s="204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573">
        <f>'[28]Sch C'!D131</f>
        <v>0</v>
      </c>
      <c r="D130" s="573">
        <f>'[28]Sch C'!F131</f>
        <v>12895</v>
      </c>
      <c r="E130" s="171">
        <f t="shared" si="35"/>
        <v>12895</v>
      </c>
      <c r="F130" s="573"/>
      <c r="G130" s="171">
        <f>E130+F130</f>
        <v>12895</v>
      </c>
      <c r="H130" s="172">
        <f>IF($G$208=0,0,G130/$G$208)</f>
        <v>5.1089135585296475E-3</v>
      </c>
      <c r="I130" s="337"/>
      <c r="J130" s="204"/>
      <c r="K130" s="204"/>
      <c r="M130" s="364">
        <f t="shared" si="34"/>
        <v>1.0459080217373671</v>
      </c>
      <c r="N130" s="359">
        <f>SUMMARY!J133</f>
        <v>1.0792348507966931</v>
      </c>
    </row>
    <row r="131" spans="1:14" s="167" customFormat="1">
      <c r="B131" s="163" t="s">
        <v>195</v>
      </c>
      <c r="C131" s="573">
        <f>'[28]Sch C'!D132</f>
        <v>0</v>
      </c>
      <c r="D131" s="573">
        <f>'[28]Sch C'!F132</f>
        <v>9456</v>
      </c>
      <c r="E131" s="171">
        <f t="shared" si="35"/>
        <v>9456</v>
      </c>
      <c r="F131" s="573"/>
      <c r="G131" s="171">
        <f>E131+F131</f>
        <v>9456</v>
      </c>
      <c r="H131" s="172">
        <f>IF($G$208=0,0,G131/$G$208)</f>
        <v>3.7464045451303871E-3</v>
      </c>
      <c r="I131" s="337"/>
      <c r="J131" s="168"/>
      <c r="K131" s="168"/>
      <c r="M131" s="364">
        <f t="shared" si="34"/>
        <v>0.76697217941438889</v>
      </c>
      <c r="N131" s="359">
        <f>SUMMARY!J134</f>
        <v>8.2765628075518377E-2</v>
      </c>
    </row>
    <row r="132" spans="1:14" s="167" customFormat="1">
      <c r="B132" s="163" t="s">
        <v>196</v>
      </c>
      <c r="C132" s="573">
        <f>'[28]Sch C'!D133</f>
        <v>0</v>
      </c>
      <c r="D132" s="573">
        <f>'[28]Sch C'!F133</f>
        <v>0</v>
      </c>
      <c r="E132" s="171">
        <f t="shared" si="35"/>
        <v>0</v>
      </c>
      <c r="F132" s="573"/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573">
        <f>'[28]Sch C'!D134</f>
        <v>0</v>
      </c>
      <c r="D133" s="573">
        <f>'[28]Sch C'!F134</f>
        <v>4350</v>
      </c>
      <c r="E133" s="171">
        <f t="shared" si="35"/>
        <v>4350</v>
      </c>
      <c r="F133" s="573"/>
      <c r="G133" s="171">
        <f>E133+F133</f>
        <v>4350</v>
      </c>
      <c r="H133" s="172">
        <f>IF($G$208=0,0,G133/$G$208)</f>
        <v>1.7234411771697531E-3</v>
      </c>
      <c r="I133" s="337"/>
      <c r="J133" s="168"/>
      <c r="K133" s="168"/>
      <c r="M133" s="364">
        <f t="shared" si="34"/>
        <v>0.3528266688295888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573">
        <f>'[28]Sch C'!D136</f>
        <v>143011</v>
      </c>
      <c r="D135" s="573">
        <f>'[28]Sch C'!F136</f>
        <v>6726</v>
      </c>
      <c r="E135" s="171">
        <f t="shared" ref="E135:E138" si="36">C135+D135</f>
        <v>149737</v>
      </c>
      <c r="F135" s="573"/>
      <c r="G135" s="171">
        <f>E135+F135</f>
        <v>149737</v>
      </c>
      <c r="H135" s="172">
        <f>IF($G$208=0,0,G135/$G$208)</f>
        <v>5.9324807251923517E-2</v>
      </c>
      <c r="I135" s="337"/>
      <c r="J135" s="183">
        <v>5565</v>
      </c>
      <c r="K135" s="183">
        <v>5827</v>
      </c>
      <c r="M135" s="364">
        <f t="shared" si="34"/>
        <v>12.145105036904859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573">
        <f>'[28]Sch C'!D137</f>
        <v>93428</v>
      </c>
      <c r="D136" s="573">
        <f>'[28]Sch C'!F137</f>
        <v>4394</v>
      </c>
      <c r="E136" s="171">
        <f t="shared" si="36"/>
        <v>97822</v>
      </c>
      <c r="F136" s="573"/>
      <c r="G136" s="171">
        <f>E136+F136</f>
        <v>97822</v>
      </c>
      <c r="H136" s="172">
        <f>IF($G$208=0,0,G136/$G$208)</f>
        <v>3.8756428237494159E-2</v>
      </c>
      <c r="I136" s="337"/>
      <c r="J136" s="183">
        <v>3913</v>
      </c>
      <c r="K136" s="183">
        <v>4097</v>
      </c>
      <c r="M136" s="364">
        <f t="shared" si="34"/>
        <v>7.9343012409765592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573">
        <f>'[28]Sch C'!D138</f>
        <v>189622</v>
      </c>
      <c r="D137" s="573">
        <f>'[28]Sch C'!F138</f>
        <v>8750</v>
      </c>
      <c r="E137" s="171">
        <f t="shared" si="36"/>
        <v>198372</v>
      </c>
      <c r="F137" s="573"/>
      <c r="G137" s="171">
        <f>E137+F137</f>
        <v>198372</v>
      </c>
      <c r="H137" s="172">
        <f>IF($G$208=0,0,G137/$G$208)</f>
        <v>7.8593671999429487E-2</v>
      </c>
      <c r="I137" s="337"/>
      <c r="J137" s="183">
        <v>15760</v>
      </c>
      <c r="K137" s="183">
        <v>16501</v>
      </c>
      <c r="M137" s="364">
        <f t="shared" si="34"/>
        <v>16.089869413577745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573">
        <f>'[28]Sch C'!D139</f>
        <v>75822</v>
      </c>
      <c r="D138" s="573">
        <f>'[28]Sch C'!F139</f>
        <v>3566</v>
      </c>
      <c r="E138" s="171">
        <f t="shared" si="36"/>
        <v>79388</v>
      </c>
      <c r="F138" s="573"/>
      <c r="G138" s="171">
        <f>E138+F138</f>
        <v>79388</v>
      </c>
      <c r="H138" s="172">
        <f>IF($G$208=0,0,G138/$G$208)</f>
        <v>3.1452999580035022E-2</v>
      </c>
      <c r="I138" s="337"/>
      <c r="J138" s="183">
        <v>7088</v>
      </c>
      <c r="K138" s="183">
        <v>7421</v>
      </c>
      <c r="M138" s="364">
        <f t="shared" si="34"/>
        <v>6.4391272609295154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7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573">
        <f>'[28]Sch C'!D141</f>
        <v>0</v>
      </c>
      <c r="D140" s="573">
        <f>'[28]Sch C'!F141</f>
        <v>23223</v>
      </c>
      <c r="E140" s="171">
        <f t="shared" ref="E140:E143" si="37">C140+D140</f>
        <v>23223</v>
      </c>
      <c r="F140" s="573"/>
      <c r="G140" s="171">
        <f>E140+F140</f>
        <v>23223</v>
      </c>
      <c r="H140" s="172">
        <f>IF($G$208=0,0,G140/$G$208)</f>
        <v>9.2007987258421083E-3</v>
      </c>
      <c r="I140" s="337"/>
      <c r="J140" s="168"/>
      <c r="K140" s="168"/>
      <c r="M140" s="364">
        <f t="shared" si="34"/>
        <v>1.8836077540757563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573">
        <f>'[28]Sch C'!D142</f>
        <v>0</v>
      </c>
      <c r="D141" s="573">
        <f>'[28]Sch C'!F142</f>
        <v>15171</v>
      </c>
      <c r="E141" s="171">
        <f t="shared" si="37"/>
        <v>15171</v>
      </c>
      <c r="F141" s="573"/>
      <c r="G141" s="171">
        <f>E141+F141</f>
        <v>15171</v>
      </c>
      <c r="H141" s="172">
        <f>IF($G$208=0,0,G141/$G$208)</f>
        <v>6.010649677894787E-3</v>
      </c>
      <c r="I141" s="337"/>
      <c r="J141" s="168"/>
      <c r="K141" s="168"/>
      <c r="M141" s="364">
        <f t="shared" si="34"/>
        <v>1.2305134236353312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573">
        <f>'[28]Sch C'!D143</f>
        <v>0</v>
      </c>
      <c r="D142" s="573">
        <f>'[28]Sch C'!F143</f>
        <v>30769</v>
      </c>
      <c r="E142" s="171">
        <f t="shared" si="37"/>
        <v>30769</v>
      </c>
      <c r="F142" s="573"/>
      <c r="G142" s="171">
        <f>E142+F142</f>
        <v>30769</v>
      </c>
      <c r="H142" s="172">
        <f>IF($G$208=0,0,G142/$G$208)</f>
        <v>1.2190473926514053E-2</v>
      </c>
      <c r="I142" s="337"/>
      <c r="J142" s="168"/>
      <c r="K142" s="168"/>
      <c r="M142" s="364">
        <f t="shared" si="34"/>
        <v>2.4956606375212913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573">
        <f>'[28]Sch C'!D144</f>
        <v>0</v>
      </c>
      <c r="D143" s="573">
        <f>'[28]Sch C'!F144</f>
        <v>12312</v>
      </c>
      <c r="E143" s="171">
        <f t="shared" si="37"/>
        <v>12312</v>
      </c>
      <c r="F143" s="573"/>
      <c r="G143" s="171">
        <f>E143+F143</f>
        <v>12312</v>
      </c>
      <c r="H143" s="172">
        <f>IF($G$208=0,0,G143/$G$208)</f>
        <v>4.8779328214514943E-3</v>
      </c>
      <c r="I143" s="337"/>
      <c r="J143" s="168"/>
      <c r="K143" s="168"/>
      <c r="M143" s="364">
        <f t="shared" si="34"/>
        <v>0.99862113715629819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7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573">
        <f>'[28]Sch C'!D146</f>
        <v>14400</v>
      </c>
      <c r="D145" s="573">
        <f>'[28]Sch C'!F146</f>
        <v>0</v>
      </c>
      <c r="E145" s="171">
        <f t="shared" ref="E145:E153" si="38">C145+D145</f>
        <v>14400</v>
      </c>
      <c r="F145" s="573"/>
      <c r="G145" s="171">
        <f t="shared" ref="G145:G153" si="39">E145+F145</f>
        <v>14400</v>
      </c>
      <c r="H145" s="172">
        <f t="shared" ref="H145:H153" si="40">IF($G$208=0,0,G145/$G$208)</f>
        <v>5.7051845864929751E-3</v>
      </c>
      <c r="I145" s="337"/>
      <c r="J145" s="183">
        <v>0</v>
      </c>
      <c r="K145" s="183">
        <v>0</v>
      </c>
      <c r="M145" s="364">
        <f t="shared" si="34"/>
        <v>1.1679779381945008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573">
        <f>'[28]Sch C'!D147</f>
        <v>0</v>
      </c>
      <c r="D146" s="573">
        <f>'[28]Sch C'!F147</f>
        <v>0</v>
      </c>
      <c r="E146" s="171">
        <f t="shared" si="38"/>
        <v>0</v>
      </c>
      <c r="F146" s="573"/>
      <c r="G146" s="171">
        <f t="shared" si="39"/>
        <v>0</v>
      </c>
      <c r="H146" s="172">
        <f t="shared" si="40"/>
        <v>0</v>
      </c>
      <c r="I146" s="337"/>
      <c r="J146" s="183">
        <v>0</v>
      </c>
      <c r="K146" s="183">
        <v>0</v>
      </c>
      <c r="M146" s="364">
        <f t="shared" si="34"/>
        <v>0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573">
        <f>'[28]Sch C'!D148</f>
        <v>0</v>
      </c>
      <c r="D147" s="573">
        <f>'[28]Sch C'!F148</f>
        <v>0</v>
      </c>
      <c r="E147" s="171">
        <f t="shared" si="38"/>
        <v>0</v>
      </c>
      <c r="F147" s="573"/>
      <c r="G147" s="171">
        <f t="shared" si="39"/>
        <v>0</v>
      </c>
      <c r="H147" s="172">
        <f t="shared" si="40"/>
        <v>0</v>
      </c>
      <c r="I147" s="337"/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573">
        <f>'[28]Sch C'!D149</f>
        <v>0</v>
      </c>
      <c r="D148" s="573">
        <f>'[28]Sch C'!F149</f>
        <v>0</v>
      </c>
      <c r="E148" s="171">
        <f t="shared" si="38"/>
        <v>0</v>
      </c>
      <c r="F148" s="573"/>
      <c r="G148" s="171">
        <f t="shared" si="39"/>
        <v>0</v>
      </c>
      <c r="H148" s="172">
        <f t="shared" si="40"/>
        <v>0</v>
      </c>
      <c r="I148" s="337"/>
      <c r="J148" s="183">
        <v>0</v>
      </c>
      <c r="K148" s="183">
        <v>0</v>
      </c>
      <c r="M148" s="364">
        <f t="shared" si="34"/>
        <v>0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573">
        <f>'[28]Sch C'!D150</f>
        <v>8</v>
      </c>
      <c r="D149" s="573">
        <f>'[28]Sch C'!F150</f>
        <v>0</v>
      </c>
      <c r="E149" s="171">
        <f t="shared" si="38"/>
        <v>8</v>
      </c>
      <c r="F149" s="573"/>
      <c r="G149" s="171">
        <f t="shared" si="39"/>
        <v>8</v>
      </c>
      <c r="H149" s="172">
        <f t="shared" si="40"/>
        <v>3.1695469924960976E-6</v>
      </c>
      <c r="I149" s="337"/>
      <c r="J149" s="183">
        <v>0</v>
      </c>
      <c r="K149" s="183">
        <v>0</v>
      </c>
      <c r="M149" s="364">
        <f t="shared" si="34"/>
        <v>6.4887663233027825E-4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573">
        <f>'[28]Sch C'!D151</f>
        <v>41087</v>
      </c>
      <c r="D150" s="573">
        <f>'[28]Sch C'!F151</f>
        <v>0</v>
      </c>
      <c r="E150" s="171">
        <f t="shared" si="38"/>
        <v>41087</v>
      </c>
      <c r="F150" s="573"/>
      <c r="G150" s="171">
        <f t="shared" si="39"/>
        <v>41087</v>
      </c>
      <c r="H150" s="172">
        <f t="shared" si="40"/>
        <v>1.6278397160085896E-2</v>
      </c>
      <c r="I150" s="337"/>
      <c r="J150" s="168"/>
      <c r="K150" s="168"/>
      <c r="M150" s="364">
        <f t="shared" si="34"/>
        <v>3.3325492740692675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573">
        <f>'[28]Sch C'!D152</f>
        <v>358</v>
      </c>
      <c r="D151" s="573">
        <f>'[28]Sch C'!F152</f>
        <v>0</v>
      </c>
      <c r="E151" s="171">
        <f t="shared" si="38"/>
        <v>358</v>
      </c>
      <c r="F151" s="573"/>
      <c r="G151" s="171">
        <f t="shared" si="39"/>
        <v>358</v>
      </c>
      <c r="H151" s="172">
        <f t="shared" si="40"/>
        <v>1.4183722791420036E-4</v>
      </c>
      <c r="I151" s="337"/>
      <c r="J151" s="168"/>
      <c r="K151" s="168"/>
      <c r="M151" s="364">
        <f t="shared" si="34"/>
        <v>2.9037229296779949E-2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573">
        <f>'[28]Sch C'!D153</f>
        <v>0</v>
      </c>
      <c r="D152" s="573">
        <f>'[28]Sch C'!F153</f>
        <v>0</v>
      </c>
      <c r="E152" s="171">
        <f t="shared" si="38"/>
        <v>0</v>
      </c>
      <c r="F152" s="573"/>
      <c r="G152" s="171">
        <f t="shared" si="39"/>
        <v>0</v>
      </c>
      <c r="H152" s="172">
        <f t="shared" si="40"/>
        <v>0</v>
      </c>
      <c r="I152" s="337"/>
      <c r="J152" s="168"/>
      <c r="K152" s="168"/>
      <c r="M152" s="364">
        <f t="shared" si="34"/>
        <v>0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573">
        <f>'[28]Sch C'!D154</f>
        <v>0</v>
      </c>
      <c r="D153" s="573">
        <f>'[28]Sch C'!F154</f>
        <v>0</v>
      </c>
      <c r="E153" s="171">
        <f t="shared" si="38"/>
        <v>0</v>
      </c>
      <c r="F153" s="573"/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572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573">
        <f>'[28]Sch C'!D156</f>
        <v>0</v>
      </c>
      <c r="D155" s="573">
        <f>'[28]Sch C'!F156</f>
        <v>0</v>
      </c>
      <c r="E155" s="171">
        <f t="shared" ref="E155:E160" si="41">C155+D155</f>
        <v>0</v>
      </c>
      <c r="F155" s="573"/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573">
        <f>'[28]Sch C'!D157</f>
        <v>0</v>
      </c>
      <c r="D156" s="573">
        <f>'[28]Sch C'!F157</f>
        <v>0</v>
      </c>
      <c r="E156" s="171">
        <f t="shared" si="41"/>
        <v>0</v>
      </c>
      <c r="F156" s="573"/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573">
        <f>'[28]Sch C'!D158</f>
        <v>0</v>
      </c>
      <c r="D157" s="573">
        <f>'[28]Sch C'!F158</f>
        <v>0</v>
      </c>
      <c r="E157" s="171">
        <f t="shared" si="41"/>
        <v>0</v>
      </c>
      <c r="F157" s="573"/>
      <c r="G157" s="171">
        <f t="shared" si="42"/>
        <v>0</v>
      </c>
      <c r="H157" s="172">
        <f t="shared" si="43"/>
        <v>0</v>
      </c>
      <c r="I157" s="337"/>
      <c r="J157" s="168"/>
      <c r="K157" s="168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573">
        <f>'[28]Sch C'!D159</f>
        <v>0</v>
      </c>
      <c r="D158" s="573">
        <f>'[28]Sch C'!F159</f>
        <v>0</v>
      </c>
      <c r="E158" s="171">
        <f t="shared" si="41"/>
        <v>0</v>
      </c>
      <c r="F158" s="573"/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573">
        <f>'[28]Sch C'!D160</f>
        <v>0</v>
      </c>
      <c r="D159" s="573">
        <f>'[28]Sch C'!F160</f>
        <v>0</v>
      </c>
      <c r="E159" s="171">
        <f t="shared" si="41"/>
        <v>0</v>
      </c>
      <c r="F159" s="573"/>
      <c r="G159" s="171">
        <f t="shared" si="42"/>
        <v>0</v>
      </c>
      <c r="H159" s="172">
        <f>IF($G$208=0,0,G159/$G$208)</f>
        <v>0</v>
      </c>
      <c r="I159" s="337"/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573">
        <f>'[28]Sch C'!D161</f>
        <v>1733</v>
      </c>
      <c r="D160" s="573">
        <f>'[28]Sch C'!F161</f>
        <v>0</v>
      </c>
      <c r="E160" s="171">
        <f t="shared" si="41"/>
        <v>1733</v>
      </c>
      <c r="F160" s="573"/>
      <c r="G160" s="171">
        <f t="shared" si="42"/>
        <v>1733</v>
      </c>
      <c r="H160" s="172">
        <f t="shared" si="43"/>
        <v>6.8660311724946712E-4</v>
      </c>
      <c r="I160" s="337"/>
      <c r="J160" s="168"/>
      <c r="K160" s="168"/>
      <c r="M160" s="364">
        <f t="shared" si="34"/>
        <v>0.14056290047854653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573">
        <f>SUM(C123:C160)</f>
        <v>723903</v>
      </c>
      <c r="D161" s="573">
        <f>SUM(D123:D160)</f>
        <v>139346</v>
      </c>
      <c r="E161" s="171">
        <f t="shared" ref="E161" si="44">SUM(E123:E160)</f>
        <v>863249</v>
      </c>
      <c r="F161" s="573">
        <f>SUM(F123:F160)</f>
        <v>0</v>
      </c>
      <c r="G161" s="171">
        <f>SUM(G123:G160)</f>
        <v>863249</v>
      </c>
      <c r="H161" s="172">
        <f t="shared" si="43"/>
        <v>0.34201353396565798</v>
      </c>
      <c r="I161" s="337"/>
      <c r="J161" s="168"/>
      <c r="K161" s="168"/>
      <c r="M161" s="364">
        <f>G161/G$228</f>
        <v>70.017762997810038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337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7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573">
        <f>'[28]Sch C'!D175</f>
        <v>0</v>
      </c>
      <c r="D164" s="573">
        <f>'[28]Sch C'!F175</f>
        <v>0</v>
      </c>
      <c r="E164" s="171">
        <f t="shared" ref="E164:E196" si="45">C164+D164</f>
        <v>0</v>
      </c>
      <c r="F164" s="573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573">
        <f>'[28]Sch C'!D176</f>
        <v>0</v>
      </c>
      <c r="D165" s="573">
        <f>'[28]Sch C'!F176</f>
        <v>0</v>
      </c>
      <c r="E165" s="171">
        <f t="shared" si="45"/>
        <v>0</v>
      </c>
      <c r="F165" s="573"/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573">
        <f>'[28]Sch C'!D177</f>
        <v>117510</v>
      </c>
      <c r="D166" s="573">
        <f>'[28]Sch C'!F177</f>
        <v>5526</v>
      </c>
      <c r="E166" s="171">
        <f t="shared" si="45"/>
        <v>123036</v>
      </c>
      <c r="F166" s="573"/>
      <c r="G166" s="171">
        <f t="shared" si="46"/>
        <v>123036</v>
      </c>
      <c r="H166" s="172">
        <f t="shared" si="47"/>
        <v>4.8746047971093734E-2</v>
      </c>
      <c r="I166" s="343"/>
      <c r="J166" s="217">
        <v>3107</v>
      </c>
      <c r="K166" s="217">
        <v>3253</v>
      </c>
      <c r="L166" s="218"/>
      <c r="M166" s="364">
        <f t="shared" si="48"/>
        <v>9.979398166923513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573">
        <f>'[28]Sch C'!D178</f>
        <v>0</v>
      </c>
      <c r="D167" s="573">
        <f>'[28]Sch C'!F178</f>
        <v>19082</v>
      </c>
      <c r="E167" s="171">
        <f t="shared" si="45"/>
        <v>19082</v>
      </c>
      <c r="F167" s="573"/>
      <c r="G167" s="171">
        <f t="shared" si="46"/>
        <v>19082</v>
      </c>
      <c r="H167" s="172">
        <f t="shared" si="47"/>
        <v>7.5601619638513166E-3</v>
      </c>
      <c r="I167" s="344"/>
      <c r="J167" s="222"/>
      <c r="K167" s="222"/>
      <c r="L167" s="218"/>
      <c r="M167" s="364">
        <f t="shared" si="48"/>
        <v>1.5477329872657961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573">
        <f>'[28]Sch C'!D179</f>
        <v>16451</v>
      </c>
      <c r="D168" s="573">
        <f>'[28]Sch C'!F179</f>
        <v>774</v>
      </c>
      <c r="E168" s="171">
        <f t="shared" si="45"/>
        <v>17225</v>
      </c>
      <c r="F168" s="573"/>
      <c r="G168" s="171">
        <f t="shared" si="46"/>
        <v>17225</v>
      </c>
      <c r="H168" s="172">
        <f t="shared" si="47"/>
        <v>6.8244308682181599E-3</v>
      </c>
      <c r="I168" s="343"/>
      <c r="J168" s="217">
        <v>358</v>
      </c>
      <c r="K168" s="217">
        <v>375</v>
      </c>
      <c r="L168" s="218"/>
      <c r="M168" s="364">
        <f t="shared" si="48"/>
        <v>1.3971124989861303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573">
        <f>'[28]Sch C'!D180</f>
        <v>0</v>
      </c>
      <c r="D169" s="573">
        <f>'[28]Sch C'!F180</f>
        <v>2672</v>
      </c>
      <c r="E169" s="171">
        <f t="shared" si="45"/>
        <v>2672</v>
      </c>
      <c r="F169" s="573"/>
      <c r="G169" s="171">
        <f t="shared" si="46"/>
        <v>2672</v>
      </c>
      <c r="H169" s="172">
        <f t="shared" si="47"/>
        <v>1.0586286954936965E-3</v>
      </c>
      <c r="I169" s="344"/>
      <c r="J169" s="222"/>
      <c r="K169" s="222"/>
      <c r="L169" s="218"/>
      <c r="M169" s="364">
        <f t="shared" si="48"/>
        <v>0.21672479519831292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573">
        <f>'[28]Sch C'!D181</f>
        <v>0</v>
      </c>
      <c r="D170" s="573">
        <f>'[28]Sch C'!F181</f>
        <v>0</v>
      </c>
      <c r="E170" s="171">
        <f t="shared" si="45"/>
        <v>0</v>
      </c>
      <c r="F170" s="573"/>
      <c r="G170" s="171">
        <f t="shared" si="46"/>
        <v>0</v>
      </c>
      <c r="H170" s="172">
        <f t="shared" si="47"/>
        <v>0</v>
      </c>
      <c r="I170" s="343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573">
        <f>'[28]Sch C'!D182</f>
        <v>0</v>
      </c>
      <c r="D171" s="573">
        <f>'[28]Sch C'!F182</f>
        <v>0</v>
      </c>
      <c r="E171" s="171">
        <f t="shared" si="45"/>
        <v>0</v>
      </c>
      <c r="F171" s="573"/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573">
        <f>'[28]Sch C'!D183</f>
        <v>114088</v>
      </c>
      <c r="D172" s="573">
        <f>'[28]Sch C'!F183</f>
        <v>5366</v>
      </c>
      <c r="E172" s="171">
        <f t="shared" si="45"/>
        <v>119454</v>
      </c>
      <c r="F172" s="573"/>
      <c r="G172" s="171">
        <f t="shared" si="46"/>
        <v>119454</v>
      </c>
      <c r="H172" s="172">
        <f t="shared" si="47"/>
        <v>4.7326883305203606E-2</v>
      </c>
      <c r="I172" s="343"/>
      <c r="J172" s="217">
        <v>3149</v>
      </c>
      <c r="K172" s="217">
        <v>3297</v>
      </c>
      <c r="L172" s="218"/>
      <c r="M172" s="364">
        <f t="shared" si="48"/>
        <v>9.6888636547976308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573">
        <f>'[28]Sch C'!D184</f>
        <v>0</v>
      </c>
      <c r="D173" s="573">
        <f>'[28]Sch C'!F184</f>
        <v>18527</v>
      </c>
      <c r="E173" s="171">
        <f t="shared" si="45"/>
        <v>18527</v>
      </c>
      <c r="F173" s="573"/>
      <c r="G173" s="171">
        <f t="shared" si="46"/>
        <v>18527</v>
      </c>
      <c r="H173" s="172">
        <f t="shared" si="47"/>
        <v>7.3402746412469001E-3</v>
      </c>
      <c r="I173" s="344"/>
      <c r="J173" s="222"/>
      <c r="K173" s="222"/>
      <c r="L173" s="218"/>
      <c r="M173" s="364">
        <f t="shared" si="48"/>
        <v>1.502717170897883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573">
        <f>'[28]Sch C'!D185</f>
        <v>0</v>
      </c>
      <c r="D174" s="573">
        <f>'[28]Sch C'!F185</f>
        <v>0</v>
      </c>
      <c r="E174" s="171">
        <f t="shared" si="45"/>
        <v>0</v>
      </c>
      <c r="F174" s="573"/>
      <c r="G174" s="171">
        <f t="shared" si="46"/>
        <v>0</v>
      </c>
      <c r="H174" s="172">
        <f t="shared" si="47"/>
        <v>0</v>
      </c>
      <c r="I174" s="343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573">
        <f>'[28]Sch C'!D186</f>
        <v>0</v>
      </c>
      <c r="D175" s="573">
        <f>'[28]Sch C'!F186</f>
        <v>0</v>
      </c>
      <c r="E175" s="171">
        <f t="shared" si="45"/>
        <v>0</v>
      </c>
      <c r="F175" s="573"/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573">
        <f>'[28]Sch C'!D187</f>
        <v>0</v>
      </c>
      <c r="D176" s="573">
        <f>'[28]Sch C'!F187</f>
        <v>0</v>
      </c>
      <c r="E176" s="171">
        <f t="shared" si="45"/>
        <v>0</v>
      </c>
      <c r="F176" s="573"/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573">
        <f>'[28]Sch C'!D188</f>
        <v>506</v>
      </c>
      <c r="D177" s="573">
        <f>'[28]Sch C'!F188</f>
        <v>0</v>
      </c>
      <c r="E177" s="171">
        <f t="shared" si="45"/>
        <v>506</v>
      </c>
      <c r="F177" s="573"/>
      <c r="G177" s="171">
        <f t="shared" si="46"/>
        <v>506</v>
      </c>
      <c r="H177" s="172">
        <f t="shared" si="47"/>
        <v>2.0047384727537817E-4</v>
      </c>
      <c r="I177" s="337"/>
      <c r="J177" s="223"/>
      <c r="K177" s="218"/>
      <c r="L177" s="220"/>
      <c r="M177" s="364">
        <f t="shared" si="48"/>
        <v>4.1041446994890096E-2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573">
        <f>'[28]Sch C'!D189</f>
        <v>251</v>
      </c>
      <c r="D178" s="573">
        <f>'[28]Sch C'!F189</f>
        <v>0</v>
      </c>
      <c r="E178" s="171">
        <f t="shared" si="45"/>
        <v>251</v>
      </c>
      <c r="F178" s="573"/>
      <c r="G178" s="171">
        <f t="shared" si="46"/>
        <v>251</v>
      </c>
      <c r="H178" s="172">
        <f t="shared" si="47"/>
        <v>9.9444536889565065E-5</v>
      </c>
      <c r="I178" s="337"/>
      <c r="J178" s="223"/>
      <c r="K178" s="218"/>
      <c r="L178" s="220"/>
      <c r="M178" s="364">
        <f t="shared" si="48"/>
        <v>2.0358504339362479E-2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573">
        <f>'[28]Sch C'!D190</f>
        <v>0</v>
      </c>
      <c r="D179" s="573">
        <f>'[28]Sch C'!F190</f>
        <v>0</v>
      </c>
      <c r="E179" s="171">
        <f t="shared" si="45"/>
        <v>0</v>
      </c>
      <c r="F179" s="573"/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573">
        <f>'[28]Sch C'!D191</f>
        <v>318</v>
      </c>
      <c r="D180" s="573">
        <f>'[28]Sch C'!F191</f>
        <v>0</v>
      </c>
      <c r="E180" s="171">
        <f t="shared" si="45"/>
        <v>318</v>
      </c>
      <c r="F180" s="573"/>
      <c r="G180" s="171">
        <f t="shared" si="46"/>
        <v>318</v>
      </c>
      <c r="H180" s="172">
        <f t="shared" si="47"/>
        <v>1.2598949295171988E-4</v>
      </c>
      <c r="I180" s="337"/>
      <c r="J180" s="223"/>
      <c r="K180" s="218"/>
      <c r="L180" s="220"/>
      <c r="M180" s="364">
        <f t="shared" si="48"/>
        <v>2.5792846135128559E-2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573">
        <f>'[28]Sch C'!D192</f>
        <v>0</v>
      </c>
      <c r="D181" s="573">
        <f>'[28]Sch C'!F192</f>
        <v>0</v>
      </c>
      <c r="E181" s="171">
        <f t="shared" si="45"/>
        <v>0</v>
      </c>
      <c r="F181" s="573"/>
      <c r="G181" s="171">
        <f t="shared" si="46"/>
        <v>0</v>
      </c>
      <c r="H181" s="172">
        <f t="shared" si="47"/>
        <v>0</v>
      </c>
      <c r="I181" s="337"/>
      <c r="J181" s="223"/>
      <c r="K181" s="218"/>
      <c r="L181" s="220"/>
      <c r="M181" s="364">
        <f t="shared" si="48"/>
        <v>0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573">
        <f>'[28]Sch C'!D193</f>
        <v>0</v>
      </c>
      <c r="D182" s="573">
        <f>'[28]Sch C'!F193</f>
        <v>0</v>
      </c>
      <c r="E182" s="171">
        <f t="shared" si="45"/>
        <v>0</v>
      </c>
      <c r="F182" s="573"/>
      <c r="G182" s="171">
        <f t="shared" si="46"/>
        <v>0</v>
      </c>
      <c r="H182" s="172">
        <f t="shared" si="47"/>
        <v>0</v>
      </c>
      <c r="I182" s="337"/>
      <c r="J182" s="223"/>
      <c r="K182" s="218"/>
      <c r="L182" s="220"/>
      <c r="M182" s="364">
        <f t="shared" si="48"/>
        <v>0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573">
        <f>'[28]Sch C'!D194</f>
        <v>263</v>
      </c>
      <c r="D183" s="573">
        <f>'[28]Sch C'!F194</f>
        <v>0</v>
      </c>
      <c r="E183" s="171">
        <f t="shared" si="45"/>
        <v>263</v>
      </c>
      <c r="F183" s="573"/>
      <c r="G183" s="171">
        <f t="shared" si="46"/>
        <v>263</v>
      </c>
      <c r="H183" s="172">
        <f t="shared" si="47"/>
        <v>1.041988573783092E-4</v>
      </c>
      <c r="I183" s="337"/>
      <c r="J183" s="223"/>
      <c r="K183" s="218"/>
      <c r="M183" s="364">
        <f t="shared" si="48"/>
        <v>2.1331819287857896E-2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573">
        <f>'[28]Sch C'!D195</f>
        <v>0</v>
      </c>
      <c r="D184" s="573">
        <f>'[28]Sch C'!F195</f>
        <v>0</v>
      </c>
      <c r="E184" s="171">
        <f t="shared" si="45"/>
        <v>0</v>
      </c>
      <c r="F184" s="573"/>
      <c r="G184" s="171">
        <f t="shared" si="46"/>
        <v>0</v>
      </c>
      <c r="H184" s="172">
        <f t="shared" si="47"/>
        <v>0</v>
      </c>
      <c r="I184" s="337"/>
      <c r="J184" s="223"/>
      <c r="K184" s="218"/>
      <c r="M184" s="364">
        <f t="shared" si="48"/>
        <v>0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573">
        <f>'[28]Sch C'!D196</f>
        <v>0</v>
      </c>
      <c r="D185" s="573">
        <f>'[28]Sch C'!F196</f>
        <v>0</v>
      </c>
      <c r="E185" s="171">
        <f t="shared" si="45"/>
        <v>0</v>
      </c>
      <c r="F185" s="573"/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573">
        <f>'[28]Sch C'!D197</f>
        <v>549</v>
      </c>
      <c r="D186" s="573">
        <f>'[28]Sch C'!F197</f>
        <v>0</v>
      </c>
      <c r="E186" s="171">
        <f t="shared" si="45"/>
        <v>549</v>
      </c>
      <c r="F186" s="573"/>
      <c r="G186" s="171">
        <f t="shared" si="46"/>
        <v>549</v>
      </c>
      <c r="H186" s="172">
        <f t="shared" si="47"/>
        <v>2.175101623600447E-4</v>
      </c>
      <c r="I186" s="337"/>
      <c r="J186" s="223"/>
      <c r="K186" s="218"/>
      <c r="M186" s="364">
        <f t="shared" si="48"/>
        <v>4.4529158893665342E-2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573">
        <f>'[28]Sch C'!D198</f>
        <v>8242</v>
      </c>
      <c r="D187" s="573">
        <f>'[28]Sch C'!F198</f>
        <v>0</v>
      </c>
      <c r="E187" s="171">
        <f t="shared" si="45"/>
        <v>8242</v>
      </c>
      <c r="F187" s="573"/>
      <c r="G187" s="171">
        <f t="shared" si="46"/>
        <v>8242</v>
      </c>
      <c r="H187" s="172">
        <f t="shared" si="47"/>
        <v>3.2654257890191046E-3</v>
      </c>
      <c r="I187" s="337"/>
      <c r="J187" s="223"/>
      <c r="K187" s="218"/>
      <c r="M187" s="364">
        <f t="shared" si="48"/>
        <v>0.66850515045826908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573">
        <f>'[28]Sch C'!D199</f>
        <v>0</v>
      </c>
      <c r="D188" s="573">
        <f>'[28]Sch C'!F199</f>
        <v>0</v>
      </c>
      <c r="E188" s="171">
        <f t="shared" si="45"/>
        <v>0</v>
      </c>
      <c r="F188" s="573"/>
      <c r="G188" s="171">
        <f t="shared" si="46"/>
        <v>0</v>
      </c>
      <c r="H188" s="172">
        <f t="shared" si="47"/>
        <v>0</v>
      </c>
      <c r="I188" s="337"/>
      <c r="J188" s="223"/>
      <c r="K188" s="218"/>
      <c r="M188" s="364">
        <f t="shared" si="48"/>
        <v>0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573">
        <f>'[28]Sch C'!D200</f>
        <v>0</v>
      </c>
      <c r="D189" s="573">
        <f>'[28]Sch C'!F200</f>
        <v>0</v>
      </c>
      <c r="E189" s="171">
        <f t="shared" si="45"/>
        <v>0</v>
      </c>
      <c r="F189" s="573"/>
      <c r="G189" s="171">
        <f t="shared" si="46"/>
        <v>0</v>
      </c>
      <c r="H189" s="172">
        <f t="shared" si="47"/>
        <v>0</v>
      </c>
      <c r="I189" s="337"/>
      <c r="J189" s="223"/>
      <c r="K189" s="218"/>
      <c r="M189" s="364">
        <f t="shared" si="48"/>
        <v>0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573">
        <f>'[28]Sch C'!D201</f>
        <v>0</v>
      </c>
      <c r="D190" s="573">
        <f>'[28]Sch C'!F201</f>
        <v>0</v>
      </c>
      <c r="E190" s="171">
        <f t="shared" si="45"/>
        <v>0</v>
      </c>
      <c r="F190" s="573"/>
      <c r="G190" s="171">
        <f t="shared" si="46"/>
        <v>0</v>
      </c>
      <c r="H190" s="172">
        <f t="shared" si="47"/>
        <v>0</v>
      </c>
      <c r="I190" s="337"/>
      <c r="J190" s="223"/>
      <c r="K190" s="218"/>
      <c r="M190" s="364">
        <f t="shared" si="48"/>
        <v>0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573">
        <f>'[28]Sch C'!D202</f>
        <v>0</v>
      </c>
      <c r="D191" s="573">
        <f>'[28]Sch C'!F202</f>
        <v>0</v>
      </c>
      <c r="E191" s="171">
        <f t="shared" si="45"/>
        <v>0</v>
      </c>
      <c r="F191" s="573"/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573">
        <f>'[28]Sch C'!D203</f>
        <v>0</v>
      </c>
      <c r="D192" s="573">
        <f>'[28]Sch C'!F203</f>
        <v>0</v>
      </c>
      <c r="E192" s="171">
        <f t="shared" si="45"/>
        <v>0</v>
      </c>
      <c r="F192" s="573"/>
      <c r="G192" s="171">
        <f t="shared" si="46"/>
        <v>0</v>
      </c>
      <c r="H192" s="172">
        <f t="shared" si="47"/>
        <v>0</v>
      </c>
      <c r="I192" s="337"/>
      <c r="J192" s="223"/>
      <c r="K192" s="218"/>
      <c r="M192" s="364">
        <f t="shared" si="48"/>
        <v>0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573">
        <f>'[28]Sch C'!D204</f>
        <v>0</v>
      </c>
      <c r="D193" s="573">
        <f>'[28]Sch C'!F204</f>
        <v>0</v>
      </c>
      <c r="E193" s="171">
        <f t="shared" si="45"/>
        <v>0</v>
      </c>
      <c r="F193" s="573"/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573">
        <f>'[28]Sch C'!D205</f>
        <v>99023</v>
      </c>
      <c r="D194" s="573">
        <f>'[28]Sch C'!F205</f>
        <v>0</v>
      </c>
      <c r="E194" s="171">
        <f t="shared" si="45"/>
        <v>99023</v>
      </c>
      <c r="F194" s="573"/>
      <c r="G194" s="171">
        <f t="shared" si="46"/>
        <v>99023</v>
      </c>
      <c r="H194" s="172">
        <f t="shared" si="47"/>
        <v>3.9232256479742635E-2</v>
      </c>
      <c r="I194" s="337"/>
      <c r="J194" s="223"/>
      <c r="K194" s="218"/>
      <c r="M194" s="364">
        <f t="shared" si="48"/>
        <v>8.0317138454051431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573">
        <f>'[28]Sch C'!D206</f>
        <v>2412</v>
      </c>
      <c r="D195" s="573">
        <f>'[28]Sch C'!F206</f>
        <v>0</v>
      </c>
      <c r="E195" s="171">
        <f t="shared" si="45"/>
        <v>2412</v>
      </c>
      <c r="F195" s="573"/>
      <c r="G195" s="171">
        <f t="shared" si="46"/>
        <v>2412</v>
      </c>
      <c r="H195" s="172">
        <f t="shared" si="47"/>
        <v>9.5561841823757336E-4</v>
      </c>
      <c r="I195" s="337"/>
      <c r="J195" s="223"/>
      <c r="K195" s="218"/>
      <c r="M195" s="364">
        <f t="shared" si="48"/>
        <v>0.19563630464757889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573">
        <f>'[28]Sch C'!D207</f>
        <v>10806</v>
      </c>
      <c r="D196" s="573">
        <f>'[28]Sch C'!F207</f>
        <v>-105</v>
      </c>
      <c r="E196" s="171">
        <f t="shared" si="45"/>
        <v>10701</v>
      </c>
      <c r="F196" s="573"/>
      <c r="G196" s="171">
        <f t="shared" si="46"/>
        <v>10701</v>
      </c>
      <c r="H196" s="172">
        <f t="shared" si="47"/>
        <v>4.2396652958375924E-3</v>
      </c>
      <c r="I196" s="337"/>
      <c r="J196" s="223"/>
      <c r="K196" s="218"/>
      <c r="M196" s="364">
        <f t="shared" si="48"/>
        <v>0.86795360532078836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573">
        <f>SUM(C164:C196)</f>
        <v>370419</v>
      </c>
      <c r="D197" s="573">
        <f>SUM(D164:D196)</f>
        <v>51842</v>
      </c>
      <c r="E197" s="171">
        <f t="shared" ref="E197" si="49">SUM(E164:E196)</f>
        <v>422261</v>
      </c>
      <c r="F197" s="573">
        <f>SUM(F164:F196)</f>
        <v>0</v>
      </c>
      <c r="G197" s="171">
        <f>SUM(G164:G196)</f>
        <v>422261</v>
      </c>
      <c r="H197" s="172">
        <f>IF($G$208=0,0,G197/$G$208)</f>
        <v>0.16729701032479932</v>
      </c>
      <c r="I197" s="337"/>
      <c r="J197" s="168"/>
      <c r="K197" s="168"/>
      <c r="M197" s="364">
        <f>G197/G$228</f>
        <v>34.249411955551949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165"/>
      <c r="G198" s="165"/>
      <c r="H198" s="198"/>
      <c r="I198" s="341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1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573">
        <f>'[28]Sch C'!D211</f>
        <v>68744</v>
      </c>
      <c r="D200" s="573">
        <f>'[28]Sch C'!F211</f>
        <v>3233</v>
      </c>
      <c r="E200" s="171">
        <f t="shared" ref="E200:E205" si="50">C200+D200</f>
        <v>71977</v>
      </c>
      <c r="F200" s="573"/>
      <c r="G200" s="171">
        <f t="shared" ref="G200:G205" si="51">E200+F200</f>
        <v>71977</v>
      </c>
      <c r="H200" s="172">
        <f t="shared" ref="H200:H206" si="52">IF($G$208=0,0,G200/$G$208)</f>
        <v>2.851681048486145E-2</v>
      </c>
      <c r="I200" s="337"/>
      <c r="J200" s="183">
        <v>4026</v>
      </c>
      <c r="K200" s="183">
        <v>4215</v>
      </c>
      <c r="M200" s="364">
        <f t="shared" ref="M200:M205" si="53">G200/G$228</f>
        <v>5.8380241706545544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573">
        <f>'[28]Sch C'!D212</f>
        <v>0</v>
      </c>
      <c r="D201" s="573">
        <f>'[28]Sch C'!F212</f>
        <v>11163</v>
      </c>
      <c r="E201" s="171">
        <f t="shared" si="50"/>
        <v>11163</v>
      </c>
      <c r="F201" s="573"/>
      <c r="G201" s="171">
        <f t="shared" si="51"/>
        <v>11163</v>
      </c>
      <c r="H201" s="172">
        <f t="shared" si="52"/>
        <v>4.4227066346542417E-3</v>
      </c>
      <c r="I201" s="337"/>
      <c r="J201" s="168"/>
      <c r="K201" s="168"/>
      <c r="M201" s="364">
        <f t="shared" si="53"/>
        <v>0.905426230837862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573">
        <f>'[28]Sch C'!D213</f>
        <v>3440</v>
      </c>
      <c r="D202" s="573">
        <f>'[28]Sch C'!F213</f>
        <v>0</v>
      </c>
      <c r="E202" s="171">
        <f t="shared" si="50"/>
        <v>3440</v>
      </c>
      <c r="F202" s="573"/>
      <c r="G202" s="171">
        <f t="shared" si="51"/>
        <v>3440</v>
      </c>
      <c r="H202" s="172">
        <f t="shared" si="52"/>
        <v>1.362905206773322E-3</v>
      </c>
      <c r="I202" s="337"/>
      <c r="J202" s="168"/>
      <c r="K202" s="168"/>
      <c r="M202" s="364">
        <f t="shared" si="53"/>
        <v>0.27901695190201964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573">
        <f>'[28]Sch C'!D214</f>
        <v>0</v>
      </c>
      <c r="D203" s="573">
        <f>'[28]Sch C'!F214</f>
        <v>0</v>
      </c>
      <c r="E203" s="171">
        <f t="shared" si="50"/>
        <v>0</v>
      </c>
      <c r="F203" s="573"/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>
        <f t="shared" si="53"/>
        <v>0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573">
        <f>'[28]Sch C'!D215</f>
        <v>0</v>
      </c>
      <c r="D204" s="573">
        <f>'[28]Sch C'!F215</f>
        <v>0</v>
      </c>
      <c r="E204" s="171">
        <f t="shared" si="50"/>
        <v>0</v>
      </c>
      <c r="F204" s="573"/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573">
        <f>'[28]Sch C'!D216</f>
        <v>3013</v>
      </c>
      <c r="D205" s="573">
        <f>'[28]Sch C'!F216</f>
        <v>0</v>
      </c>
      <c r="E205" s="171">
        <f t="shared" si="50"/>
        <v>3013</v>
      </c>
      <c r="F205" s="171"/>
      <c r="G205" s="171">
        <f t="shared" si="51"/>
        <v>3013</v>
      </c>
      <c r="H205" s="172">
        <f t="shared" si="52"/>
        <v>1.1937306360488428E-3</v>
      </c>
      <c r="I205" s="337"/>
      <c r="J205" s="168"/>
      <c r="K205" s="168"/>
      <c r="M205" s="364">
        <f t="shared" si="53"/>
        <v>0.24438316165139104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573">
        <f>SUM(C200:C205)</f>
        <v>75197</v>
      </c>
      <c r="D206" s="573">
        <f>SUM(D200:D205)</f>
        <v>14396</v>
      </c>
      <c r="E206" s="171">
        <f t="shared" ref="E206" si="54">SUM(E200:E205)</f>
        <v>89593</v>
      </c>
      <c r="F206" s="171">
        <f>SUM(F200:F205)</f>
        <v>0</v>
      </c>
      <c r="G206" s="171">
        <f>SUM(G200:G205)</f>
        <v>89593</v>
      </c>
      <c r="H206" s="172">
        <f t="shared" si="52"/>
        <v>3.5496152962337858E-2</v>
      </c>
      <c r="I206" s="337"/>
      <c r="J206" s="168"/>
      <c r="K206" s="168"/>
      <c r="M206" s="364">
        <f>G206/G$228</f>
        <v>7.2668505150458271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573">
        <f>SUM(C25:C206)/2</f>
        <v>2669957</v>
      </c>
      <c r="D208" s="573">
        <f>SUM(D25:D206)/2</f>
        <v>4526</v>
      </c>
      <c r="E208" s="171">
        <f t="shared" ref="E208:F208" si="55">SUM(E25:E206)/2</f>
        <v>2674483</v>
      </c>
      <c r="F208" s="171">
        <f t="shared" si="55"/>
        <v>-150463</v>
      </c>
      <c r="G208" s="171">
        <f>SUM(G25:G206)/2</f>
        <v>2524020</v>
      </c>
      <c r="H208" s="172">
        <f>IF($G$208=0,0,G208/$G$208)</f>
        <v>1</v>
      </c>
      <c r="I208" s="337"/>
      <c r="J208" s="183">
        <f>SUM(J25:J200)</f>
        <v>67311</v>
      </c>
      <c r="K208" s="183">
        <f>SUM(K25:K200)</f>
        <v>70476</v>
      </c>
      <c r="M208" s="364">
        <f>G208/G$228</f>
        <v>204.7221996917836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573">
        <f>'[28]Sch C'!D221</f>
        <v>2669957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573">
        <f>C208-C211</f>
        <v>0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619"/>
      <c r="D213" s="232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573">
        <f>C21-C208</f>
        <v>294744</v>
      </c>
      <c r="D215" s="573">
        <f>D21-D208</f>
        <v>-4526</v>
      </c>
      <c r="E215" s="171">
        <f t="shared" ref="E215:F215" si="56">E21-E208</f>
        <v>290218</v>
      </c>
      <c r="F215" s="171">
        <f t="shared" si="56"/>
        <v>150463</v>
      </c>
      <c r="G215" s="171">
        <f>G21-G208</f>
        <v>440681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653">
        <f>'[28]Sch D'!C9</f>
        <v>8884</v>
      </c>
      <c r="D219" s="653"/>
      <c r="E219" s="235">
        <f t="shared" ref="E219:G227" si="57">C219+D219</f>
        <v>8884</v>
      </c>
      <c r="F219" s="234"/>
      <c r="G219" s="235">
        <f t="shared" si="57"/>
        <v>8884</v>
      </c>
      <c r="H219" s="172">
        <f t="shared" ref="H219:H228" si="58">IF($G$228=0,0,G219/$G$228)</f>
        <v>0.720577500202774</v>
      </c>
      <c r="I219" s="337"/>
      <c r="J219" s="168"/>
      <c r="K219" s="168"/>
    </row>
    <row r="220" spans="1:14">
      <c r="A220" s="163"/>
      <c r="B220" s="170" t="s">
        <v>217</v>
      </c>
      <c r="C220" s="653">
        <f>'[28]Sch D'!D9</f>
        <v>0</v>
      </c>
      <c r="D220" s="653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7"/>
      <c r="J220" s="168"/>
      <c r="K220" s="168"/>
    </row>
    <row r="221" spans="1:14">
      <c r="A221" s="163"/>
      <c r="B221" s="170" t="s">
        <v>72</v>
      </c>
      <c r="C221" s="653">
        <f>'[28]Sch D'!E9</f>
        <v>2089</v>
      </c>
      <c r="D221" s="653"/>
      <c r="E221" s="235">
        <f t="shared" si="59"/>
        <v>2089</v>
      </c>
      <c r="F221" s="234"/>
      <c r="G221" s="235">
        <f t="shared" si="57"/>
        <v>2089</v>
      </c>
      <c r="H221" s="172">
        <f t="shared" si="58"/>
        <v>0.16943791061724389</v>
      </c>
      <c r="I221" s="337"/>
      <c r="J221" s="168"/>
      <c r="K221" s="168"/>
    </row>
    <row r="222" spans="1:14">
      <c r="A222" s="163"/>
      <c r="B222" s="202" t="s">
        <v>334</v>
      </c>
      <c r="C222" s="653">
        <f>'[28]Sch D'!F9</f>
        <v>491</v>
      </c>
      <c r="D222" s="653"/>
      <c r="E222" s="235">
        <f>C222+D222</f>
        <v>491</v>
      </c>
      <c r="F222" s="234"/>
      <c r="G222" s="235">
        <f>E222+F222</f>
        <v>491</v>
      </c>
      <c r="H222" s="172">
        <f t="shared" si="58"/>
        <v>3.9824803309270823E-2</v>
      </c>
      <c r="I222" s="337"/>
      <c r="J222" s="168"/>
      <c r="K222" s="168"/>
    </row>
    <row r="223" spans="1:14">
      <c r="A223" s="163"/>
      <c r="B223" s="170" t="s">
        <v>73</v>
      </c>
      <c r="C223" s="653">
        <f>'[28]Sch D'!G9</f>
        <v>0</v>
      </c>
      <c r="D223" s="653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7"/>
      <c r="J223" s="168"/>
      <c r="K223" s="168"/>
    </row>
    <row r="224" spans="1:14">
      <c r="A224" s="163"/>
      <c r="B224" s="170" t="s">
        <v>74</v>
      </c>
      <c r="C224" s="653">
        <f>'[28]Sch D'!H9</f>
        <v>262</v>
      </c>
      <c r="D224" s="653"/>
      <c r="E224" s="235">
        <f t="shared" si="59"/>
        <v>262</v>
      </c>
      <c r="F224" s="234"/>
      <c r="G224" s="235">
        <f t="shared" si="57"/>
        <v>262</v>
      </c>
      <c r="H224" s="172">
        <f t="shared" si="58"/>
        <v>2.1250709708816613E-2</v>
      </c>
      <c r="I224" s="337"/>
      <c r="J224" s="168"/>
      <c r="K224" s="168"/>
    </row>
    <row r="225" spans="1:11">
      <c r="A225" s="163"/>
      <c r="B225" s="170" t="s">
        <v>236</v>
      </c>
      <c r="C225" s="653">
        <f>'[28]Sch D'!I9</f>
        <v>0</v>
      </c>
      <c r="D225" s="653"/>
      <c r="E225" s="235">
        <f t="shared" si="59"/>
        <v>0</v>
      </c>
      <c r="F225" s="234"/>
      <c r="G225" s="235">
        <f t="shared" si="57"/>
        <v>0</v>
      </c>
      <c r="H225" s="172">
        <f t="shared" si="58"/>
        <v>0</v>
      </c>
      <c r="I225" s="337"/>
      <c r="J225" s="168"/>
      <c r="K225" s="168"/>
    </row>
    <row r="226" spans="1:11">
      <c r="A226" s="163"/>
      <c r="B226" s="170" t="s">
        <v>235</v>
      </c>
      <c r="C226" s="653">
        <f>'[28]Sch D'!J9</f>
        <v>603</v>
      </c>
      <c r="D226" s="653"/>
      <c r="E226" s="235">
        <f>C226+D226</f>
        <v>603</v>
      </c>
      <c r="F226" s="234"/>
      <c r="G226" s="235">
        <f>E226+F226</f>
        <v>603</v>
      </c>
      <c r="H226" s="172">
        <f t="shared" si="58"/>
        <v>4.8909076161894723E-2</v>
      </c>
      <c r="I226" s="337"/>
      <c r="J226" s="168"/>
      <c r="K226" s="168"/>
    </row>
    <row r="227" spans="1:11">
      <c r="A227" s="163"/>
      <c r="B227" s="170" t="s">
        <v>179</v>
      </c>
      <c r="C227" s="653">
        <f>'[28]Sch D'!K9</f>
        <v>0</v>
      </c>
      <c r="D227" s="653"/>
      <c r="E227" s="235">
        <f t="shared" si="59"/>
        <v>0</v>
      </c>
      <c r="F227" s="234"/>
      <c r="G227" s="235">
        <f t="shared" si="57"/>
        <v>0</v>
      </c>
      <c r="H227" s="172">
        <f t="shared" si="58"/>
        <v>0</v>
      </c>
      <c r="I227" s="337"/>
      <c r="J227" s="168"/>
      <c r="K227" s="168"/>
    </row>
    <row r="228" spans="1:11" ht="13.5" thickBot="1">
      <c r="A228" s="163"/>
      <c r="B228" s="236" t="s">
        <v>75</v>
      </c>
      <c r="C228" s="653">
        <f>SUM(C219:C227)</f>
        <v>12329</v>
      </c>
      <c r="D228" s="653">
        <f>SUM(D219:D227)</f>
        <v>0</v>
      </c>
      <c r="E228" s="237">
        <f>SUM(E219:E227)</f>
        <v>12329</v>
      </c>
      <c r="F228" s="237">
        <f>SUM(F219:F227)</f>
        <v>0</v>
      </c>
      <c r="G228" s="237">
        <f>SUM(G219:G227)</f>
        <v>12329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620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619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654">
        <f>'[28]Sch D'!N22</f>
        <v>60</v>
      </c>
      <c r="D231" s="574"/>
      <c r="E231" s="235">
        <f>C231+D231</f>
        <v>60</v>
      </c>
      <c r="F231" s="235"/>
      <c r="G231" s="235">
        <f>E231+F231</f>
        <v>60</v>
      </c>
      <c r="H231" s="167"/>
      <c r="J231" s="168"/>
      <c r="K231" s="168"/>
    </row>
    <row r="232" spans="1:11">
      <c r="A232" s="163"/>
      <c r="B232" s="202" t="s">
        <v>290</v>
      </c>
      <c r="C232" s="654">
        <f>'[28]Sch D'!N24</f>
        <v>60</v>
      </c>
      <c r="D232" s="574"/>
      <c r="E232" s="235">
        <f>C232+D232</f>
        <v>60</v>
      </c>
      <c r="F232" s="235"/>
      <c r="G232" s="235">
        <f>E232+F232</f>
        <v>60</v>
      </c>
      <c r="H232" s="167"/>
      <c r="J232" s="168"/>
      <c r="K232" s="168"/>
    </row>
    <row r="233" spans="1:11">
      <c r="A233" s="163"/>
      <c r="B233" s="202" t="s">
        <v>76</v>
      </c>
      <c r="C233" s="654">
        <f>$C$4-$C$3+1</f>
        <v>365</v>
      </c>
      <c r="D233" s="489"/>
      <c r="E233" s="235">
        <f>C233+D233</f>
        <v>365</v>
      </c>
      <c r="F233" s="240"/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621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654">
        <f>'[28]Sch D'!N28</f>
        <v>21900</v>
      </c>
      <c r="D235" s="489"/>
      <c r="E235" s="234">
        <f>E231*E233</f>
        <v>21900</v>
      </c>
      <c r="F235" s="240"/>
      <c r="G235" s="234">
        <f>G231*G233</f>
        <v>21900</v>
      </c>
      <c r="H235" s="167"/>
      <c r="J235" s="168"/>
      <c r="K235" s="168"/>
    </row>
    <row r="236" spans="1:11" ht="33" customHeight="1">
      <c r="A236" s="163"/>
      <c r="B236" s="244" t="s">
        <v>336</v>
      </c>
      <c r="C236" s="655">
        <f>'[28]Sch D'!N30</f>
        <v>0.56296803652968042</v>
      </c>
      <c r="D236" s="240"/>
      <c r="E236" s="245">
        <f>E228/E235</f>
        <v>0.56296803652968042</v>
      </c>
      <c r="F236" s="246"/>
      <c r="G236" s="245">
        <f>G228/G235</f>
        <v>0.56296803652968042</v>
      </c>
      <c r="H236" s="167"/>
      <c r="J236" s="168"/>
      <c r="K236" s="168"/>
    </row>
    <row r="237" spans="1:11" ht="34.5" customHeight="1">
      <c r="A237" s="163"/>
      <c r="B237" s="244" t="s">
        <v>337</v>
      </c>
      <c r="C237" s="655">
        <f>'[28]Sch D'!N32</f>
        <v>0.40566210045662099</v>
      </c>
      <c r="D237" s="240"/>
      <c r="E237" s="245">
        <f>(E219+E220)/E235</f>
        <v>0.40566210045662099</v>
      </c>
      <c r="F237" s="246"/>
      <c r="G237" s="245">
        <f>(G219+G220)/G235</f>
        <v>0.40566210045662099</v>
      </c>
      <c r="H237" s="167"/>
      <c r="J237" s="168"/>
      <c r="K237" s="168"/>
    </row>
    <row r="238" spans="1:11" ht="33" customHeight="1">
      <c r="A238" s="163"/>
      <c r="B238" s="244" t="s">
        <v>338</v>
      </c>
      <c r="C238" s="655">
        <f>'[28]Sch D'!N34</f>
        <v>0.72057750020277389</v>
      </c>
      <c r="D238" s="240"/>
      <c r="E238" s="245">
        <f>(E237/E236)</f>
        <v>0.72057750020277389</v>
      </c>
      <c r="F238" s="246"/>
      <c r="G238" s="245">
        <f>(G237/G236)</f>
        <v>0.72057750020277389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73">
        <f>'[28]Sch B'!C85</f>
        <v>186.56164383561645</v>
      </c>
    </row>
    <row r="242" spans="2:7">
      <c r="F242" s="142" t="s">
        <v>341</v>
      </c>
      <c r="G242" s="573">
        <f>'[28]Sch B'!E85</f>
        <v>62.8</v>
      </c>
    </row>
    <row r="243" spans="2:7">
      <c r="F243" s="142" t="s">
        <v>342</v>
      </c>
      <c r="G243" s="573">
        <f>'[28]Sch B'!G85</f>
        <v>163.85542168674698</v>
      </c>
    </row>
    <row r="244" spans="2:7">
      <c r="F244" s="142" t="s">
        <v>343</v>
      </c>
      <c r="G244" s="573">
        <f>'[28]Sch B'!I85</f>
        <v>167.55813953488371</v>
      </c>
    </row>
    <row r="245" spans="2:7">
      <c r="F245" s="142"/>
    </row>
  </sheetData>
  <customSheetViews>
    <customSheetView guid="{8B6AA640-12E9-11D5-ABB1-E7A21A3D4A14}" showGridLines="0" showRuler="0">
      <pageMargins left="0.75" right="0.75" top="1" bottom="1" header="0.5" footer="0.5"/>
      <headerFooter alignWithMargins="0"/>
    </customSheetView>
    <customSheetView guid="{00D6F160-3E2B-11D5-8BE5-C1A1C12816BD}" showPageBreaks="1" showGridLines="0" showRuler="0">
      <selection activeCell="F11" sqref="F11"/>
      <pageMargins left="0" right="0" top="0" bottom="1" header="0.5" footer="0.5"/>
      <printOptions horizontalCentered="1"/>
      <pageSetup scale="70" orientation="portrait" horizontalDpi="300" verticalDpi="300" r:id="rId1"/>
      <headerFooter alignWithMargins="0"/>
    </customSheetView>
  </customSheetViews>
  <phoneticPr fontId="0" type="noConversion"/>
  <printOptions horizontalCentered="1"/>
  <pageMargins left="0" right="0" top="0.75" bottom="1" header="0.5" footer="0.5"/>
  <pageSetup scale="70" fitToHeight="4" orientation="portrait" horizontalDpi="300" verticalDpi="300" r:id="rId2"/>
  <headerFooter alignWithMargins="0">
    <oddFooter>&amp;R&amp;D
&amp;T
&amp;F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7">
    <tabColor rgb="FFE28CAB"/>
  </sheetPr>
  <dimension ref="A1:Q245"/>
  <sheetViews>
    <sheetView showGridLines="0" zoomScale="90" zoomScaleNormal="90" workbookViewId="0">
      <pane xSplit="2" topLeftCell="C1" activePane="topRight" state="frozen"/>
      <selection activeCell="N1" sqref="N1"/>
      <selection pane="topRight"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545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478"/>
      <c r="E1" s="478"/>
      <c r="G1" s="478"/>
      <c r="H1" s="478"/>
      <c r="I1" s="544"/>
    </row>
    <row r="2" spans="1:14" ht="23">
      <c r="B2" s="143" t="s">
        <v>189</v>
      </c>
      <c r="C2" s="247" t="s">
        <v>363</v>
      </c>
      <c r="D2" s="247"/>
      <c r="E2" s="144"/>
      <c r="F2" s="584" t="s">
        <v>478</v>
      </c>
    </row>
    <row r="3" spans="1:14" ht="15.5">
      <c r="A3" s="145"/>
      <c r="B3" s="140" t="s">
        <v>79</v>
      </c>
      <c r="C3" s="495">
        <v>41821</v>
      </c>
      <c r="D3" s="144"/>
      <c r="E3" s="147"/>
      <c r="F3" t="s">
        <v>532</v>
      </c>
    </row>
    <row r="4" spans="1:14">
      <c r="A4" s="145"/>
      <c r="B4" s="148" t="s">
        <v>80</v>
      </c>
      <c r="C4" s="495">
        <v>42185</v>
      </c>
      <c r="D4" s="144"/>
      <c r="E4" s="149"/>
      <c r="G4" s="150"/>
    </row>
    <row r="5" spans="1:14">
      <c r="A5" s="145"/>
      <c r="B5" s="148"/>
      <c r="C5" s="151"/>
      <c r="D5" s="144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546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547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547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144"/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548"/>
      <c r="J10" s="168"/>
      <c r="K10" s="168"/>
    </row>
    <row r="11" spans="1:14" s="167" customFormat="1">
      <c r="A11" s="169" t="s">
        <v>13</v>
      </c>
      <c r="B11" s="170" t="s">
        <v>213</v>
      </c>
      <c r="C11" s="573">
        <f>'[29]Sch B'!E10</f>
        <v>767031.8899999999</v>
      </c>
      <c r="D11" s="573">
        <f>'[29]Sch B'!G10</f>
        <v>0</v>
      </c>
      <c r="E11" s="171">
        <f>C11+D11</f>
        <v>767031.8899999999</v>
      </c>
      <c r="F11" s="171"/>
      <c r="G11" s="171">
        <f t="shared" ref="G11:G20" si="0">E11+F11</f>
        <v>767031.8899999999</v>
      </c>
      <c r="H11" s="172">
        <f t="shared" ref="H11:H21" si="1">IF($G$21=0,0,G11/$G$21)</f>
        <v>0.58952307790437242</v>
      </c>
      <c r="I11" s="541"/>
      <c r="J11" s="368" t="s">
        <v>344</v>
      </c>
      <c r="K11" s="369">
        <f>G21</f>
        <v>1301105.7899999998</v>
      </c>
      <c r="M11" s="359">
        <f>IFERROR(G11/G219,0)</f>
        <v>159.99830830204419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573">
        <f>'[29]Sch B'!E15</f>
        <v>0</v>
      </c>
      <c r="D12" s="573">
        <f>'[29]Sch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541"/>
      <c r="J12" s="370" t="s">
        <v>345</v>
      </c>
      <c r="K12" s="371">
        <f>G208</f>
        <v>1291251.2544175852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573">
        <f>'[29]Sch B'!E21</f>
        <v>160663.72</v>
      </c>
      <c r="D13" s="573">
        <f>'[29]Sch B'!G21</f>
        <v>0</v>
      </c>
      <c r="E13" s="171">
        <f t="shared" si="2"/>
        <v>160663.72</v>
      </c>
      <c r="F13" s="171"/>
      <c r="G13" s="171">
        <f t="shared" si="0"/>
        <v>160663.72</v>
      </c>
      <c r="H13" s="172">
        <f t="shared" si="1"/>
        <v>0.12348244180820994</v>
      </c>
      <c r="I13" s="541"/>
      <c r="J13" s="370" t="s">
        <v>346</v>
      </c>
      <c r="K13" s="371">
        <f>G228</f>
        <v>7826</v>
      </c>
      <c r="M13" s="359">
        <f t="shared" si="3"/>
        <v>355.45070796460175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573">
        <f>'[29]Sch B'!E27</f>
        <v>2196</v>
      </c>
      <c r="D14" s="573">
        <f>'[29]Sch B'!G27</f>
        <v>0</v>
      </c>
      <c r="E14" s="171">
        <f t="shared" si="2"/>
        <v>2196</v>
      </c>
      <c r="F14" s="175"/>
      <c r="G14" s="175">
        <f>E14+F14</f>
        <v>2196</v>
      </c>
      <c r="H14" s="176">
        <f t="shared" si="1"/>
        <v>1.6877951177205969E-3</v>
      </c>
      <c r="I14" s="549"/>
      <c r="J14" s="370" t="s">
        <v>347</v>
      </c>
      <c r="K14" s="371">
        <f>G231</f>
        <v>31</v>
      </c>
      <c r="M14" s="359">
        <f t="shared" si="3"/>
        <v>439.2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573">
        <f>'[29]Sch B'!E32</f>
        <v>0</v>
      </c>
      <c r="D15" s="573">
        <f>'[29]Sch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541"/>
      <c r="J15" s="370" t="s">
        <v>348</v>
      </c>
      <c r="K15" s="371">
        <f>G235</f>
        <v>11315</v>
      </c>
      <c r="M15" s="359">
        <f t="shared" si="3"/>
        <v>0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573">
        <f>'[29]Sch B'!E37</f>
        <v>251215.91999999998</v>
      </c>
      <c r="D16" s="573">
        <f>'[29]Sch B'!G37</f>
        <v>0</v>
      </c>
      <c r="E16" s="171">
        <f t="shared" si="2"/>
        <v>251215.91999999998</v>
      </c>
      <c r="F16" s="171"/>
      <c r="G16" s="171">
        <f t="shared" si="0"/>
        <v>251215.91999999998</v>
      </c>
      <c r="H16" s="172">
        <f t="shared" si="1"/>
        <v>0.1930787810882004</v>
      </c>
      <c r="I16" s="541"/>
      <c r="J16" s="372"/>
      <c r="K16" s="371"/>
      <c r="M16" s="359">
        <f t="shared" si="3"/>
        <v>133.12979332273449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573">
        <f>'[29]Sch B'!E42</f>
        <v>46067.47</v>
      </c>
      <c r="D17" s="573">
        <f>'[29]Sch B'!G42</f>
        <v>0</v>
      </c>
      <c r="E17" s="171">
        <f t="shared" si="2"/>
        <v>46067.47</v>
      </c>
      <c r="F17" s="171"/>
      <c r="G17" s="171">
        <f>E17+F17</f>
        <v>46067.47</v>
      </c>
      <c r="H17" s="172">
        <f t="shared" si="1"/>
        <v>3.5406398429754134E-2</v>
      </c>
      <c r="I17" s="541"/>
      <c r="J17" s="370" t="s">
        <v>156</v>
      </c>
      <c r="K17" s="371">
        <f>J208</f>
        <v>52289.3</v>
      </c>
      <c r="M17" s="359">
        <f t="shared" si="3"/>
        <v>139.59839393939393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573">
        <f>'[29]Sch B'!E47</f>
        <v>43666</v>
      </c>
      <c r="D18" s="573">
        <f>'[29]Sch B'!G47</f>
        <v>0</v>
      </c>
      <c r="E18" s="171">
        <f t="shared" si="2"/>
        <v>43666</v>
      </c>
      <c r="F18" s="171"/>
      <c r="G18" s="171">
        <f>E18+F18</f>
        <v>43666</v>
      </c>
      <c r="H18" s="172">
        <f t="shared" si="1"/>
        <v>3.356068379343697E-2</v>
      </c>
      <c r="I18" s="541"/>
      <c r="J18" s="373" t="s">
        <v>252</v>
      </c>
      <c r="K18" s="374">
        <f>K208</f>
        <v>55676.33</v>
      </c>
      <c r="M18" s="359">
        <f t="shared" si="3"/>
        <v>121.97206703910615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573">
        <f>'[29]Sch B'!E52</f>
        <v>0</v>
      </c>
      <c r="D19" s="573">
        <f>'[29]Sch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541"/>
      <c r="J19" s="168"/>
      <c r="K19" s="168"/>
      <c r="M19" s="359">
        <f t="shared" si="3"/>
        <v>0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573">
        <f>'[29]Sch B'!E67</f>
        <v>30264.789999999997</v>
      </c>
      <c r="D20" s="573">
        <f>'[29]Sch B'!G67</f>
        <v>0</v>
      </c>
      <c r="E20" s="171">
        <f t="shared" si="2"/>
        <v>30264.789999999997</v>
      </c>
      <c r="F20" s="171"/>
      <c r="G20" s="171">
        <f t="shared" si="0"/>
        <v>30264.789999999997</v>
      </c>
      <c r="H20" s="172">
        <f t="shared" si="1"/>
        <v>2.3260821858305619E-2</v>
      </c>
      <c r="I20" s="541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573">
        <f>SUM(C11:C20)</f>
        <v>1301105.7899999998</v>
      </c>
      <c r="D21" s="573">
        <f>SUM(D11:D20)</f>
        <v>0</v>
      </c>
      <c r="E21" s="171">
        <f>SUM(E11:E20)</f>
        <v>1301105.7899999998</v>
      </c>
      <c r="F21" s="171">
        <f>SUM(F11:F20)</f>
        <v>0</v>
      </c>
      <c r="G21" s="171">
        <f>SUM(G11:G20)</f>
        <v>1301105.7899999998</v>
      </c>
      <c r="H21" s="172">
        <f t="shared" si="1"/>
        <v>1</v>
      </c>
      <c r="I21" s="541"/>
      <c r="J21" s="168"/>
      <c r="K21" s="168"/>
      <c r="M21" s="359">
        <f>IFERROR(G21/G228,0)</f>
        <v>166.2542537694863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4">
      <c r="A24" s="181" t="s">
        <v>161</v>
      </c>
      <c r="B24" s="148" t="s">
        <v>12</v>
      </c>
      <c r="M24" s="363"/>
      <c r="N24" s="363"/>
    </row>
    <row r="25" spans="1:14" s="167" customFormat="1">
      <c r="A25" s="169" t="s">
        <v>83</v>
      </c>
      <c r="B25" s="170" t="s">
        <v>14</v>
      </c>
      <c r="C25" s="573">
        <f>'[29]Sch C'!D10</f>
        <v>10262.84</v>
      </c>
      <c r="D25" s="573">
        <f>'[29]Sch C'!F10</f>
        <v>0</v>
      </c>
      <c r="E25" s="171">
        <f t="shared" ref="E25:E60" si="4">C25+D25</f>
        <v>10262.84</v>
      </c>
      <c r="F25" s="573"/>
      <c r="G25" s="182">
        <f>E25+F25</f>
        <v>10262.84</v>
      </c>
      <c r="H25" s="172">
        <f>IF($G$208=0,0,G25/$G$208)</f>
        <v>7.9479806620819295E-3</v>
      </c>
      <c r="I25" s="541"/>
      <c r="J25" s="183">
        <v>346.68</v>
      </c>
      <c r="K25" s="183">
        <v>370.68</v>
      </c>
      <c r="M25" s="359">
        <f>G25/G$228</f>
        <v>1.3113774597495529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573">
        <f>'[29]Sch C'!D11</f>
        <v>0</v>
      </c>
      <c r="D26" s="573">
        <f>'[29]Sch C'!F11</f>
        <v>0</v>
      </c>
      <c r="E26" s="171">
        <f t="shared" si="4"/>
        <v>0</v>
      </c>
      <c r="F26" s="573"/>
      <c r="G26" s="171">
        <f t="shared" ref="G26:G60" si="5">E26+F26</f>
        <v>0</v>
      </c>
      <c r="H26" s="184">
        <f t="shared" ref="H26:H61" si="6">IF($G$208=0,0,G26/$G$208)</f>
        <v>0</v>
      </c>
      <c r="I26" s="541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573">
        <f>'[29]Sch C'!D12</f>
        <v>0</v>
      </c>
      <c r="D27" s="573">
        <f>'[29]Sch C'!F12</f>
        <v>0</v>
      </c>
      <c r="E27" s="171">
        <f t="shared" si="4"/>
        <v>0</v>
      </c>
      <c r="F27" s="573"/>
      <c r="G27" s="171">
        <f t="shared" si="5"/>
        <v>0</v>
      </c>
      <c r="H27" s="172">
        <f t="shared" si="6"/>
        <v>0</v>
      </c>
      <c r="I27" s="541"/>
      <c r="J27" s="185">
        <v>0</v>
      </c>
      <c r="K27" s="185">
        <v>0</v>
      </c>
      <c r="M27" s="359">
        <f t="shared" si="7"/>
        <v>0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573">
        <f>'[29]Sch C'!D13</f>
        <v>53268.4</v>
      </c>
      <c r="D28" s="573">
        <f>'[29]Sch C'!F13</f>
        <v>-52456.26</v>
      </c>
      <c r="E28" s="171">
        <f t="shared" si="4"/>
        <v>812.13999999999942</v>
      </c>
      <c r="F28" s="573"/>
      <c r="G28" s="171">
        <f t="shared" si="5"/>
        <v>812.13999999999942</v>
      </c>
      <c r="H28" s="172">
        <f t="shared" si="6"/>
        <v>6.2895582654540194E-4</v>
      </c>
      <c r="I28" s="541"/>
      <c r="J28" s="168"/>
      <c r="K28" s="168"/>
      <c r="M28" s="359">
        <f t="shared" si="7"/>
        <v>0.10377459749552766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573">
        <f>'[29]Sch C'!D14</f>
        <v>0</v>
      </c>
      <c r="D29" s="573">
        <f>'[29]Sch C'!F14</f>
        <v>0</v>
      </c>
      <c r="E29" s="171">
        <f t="shared" si="4"/>
        <v>0</v>
      </c>
      <c r="F29" s="573"/>
      <c r="G29" s="171">
        <f t="shared" si="5"/>
        <v>0</v>
      </c>
      <c r="H29" s="172">
        <f t="shared" si="6"/>
        <v>0</v>
      </c>
      <c r="I29" s="541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573">
        <f>'[29]Sch C'!D15</f>
        <v>18000</v>
      </c>
      <c r="D30" s="573">
        <f>'[29]Sch C'!F15</f>
        <v>-18000</v>
      </c>
      <c r="E30" s="171">
        <f t="shared" si="4"/>
        <v>0</v>
      </c>
      <c r="F30" s="573"/>
      <c r="G30" s="171">
        <f t="shared" si="5"/>
        <v>0</v>
      </c>
      <c r="H30" s="172">
        <f t="shared" si="6"/>
        <v>0</v>
      </c>
      <c r="I30" s="541"/>
      <c r="J30" s="168"/>
      <c r="K30" s="168"/>
      <c r="M30" s="359">
        <f t="shared" si="7"/>
        <v>0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573">
        <f>'[29]Sch C'!D16</f>
        <v>0</v>
      </c>
      <c r="D31" s="573">
        <f>'[29]Sch C'!F16</f>
        <v>51313</v>
      </c>
      <c r="E31" s="171">
        <f t="shared" si="4"/>
        <v>51313</v>
      </c>
      <c r="F31" s="573"/>
      <c r="G31" s="171">
        <f t="shared" si="5"/>
        <v>51313</v>
      </c>
      <c r="H31" s="172">
        <f t="shared" si="6"/>
        <v>3.973897397926987E-2</v>
      </c>
      <c r="I31" s="541"/>
      <c r="J31" s="168"/>
      <c r="K31" s="168"/>
      <c r="M31" s="359">
        <f t="shared" si="7"/>
        <v>6.556733963710708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573">
        <f>'[29]Sch C'!D17</f>
        <v>276</v>
      </c>
      <c r="D32" s="573">
        <f>'[29]Sch C'!F17</f>
        <v>-276</v>
      </c>
      <c r="E32" s="171">
        <f t="shared" si="4"/>
        <v>0</v>
      </c>
      <c r="F32" s="573"/>
      <c r="G32" s="171">
        <f t="shared" si="5"/>
        <v>0</v>
      </c>
      <c r="H32" s="172">
        <f t="shared" si="6"/>
        <v>0</v>
      </c>
      <c r="I32" s="541"/>
      <c r="J32" s="168"/>
      <c r="K32" s="168"/>
      <c r="M32" s="359">
        <f t="shared" si="7"/>
        <v>0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573">
        <f>'[29]Sch C'!D18</f>
        <v>7118</v>
      </c>
      <c r="D33" s="573">
        <f>'[29]Sch C'!F18</f>
        <v>0</v>
      </c>
      <c r="E33" s="171">
        <f t="shared" si="4"/>
        <v>7118</v>
      </c>
      <c r="F33" s="573"/>
      <c r="G33" s="171">
        <f t="shared" si="5"/>
        <v>7118</v>
      </c>
      <c r="H33" s="172">
        <f t="shared" si="6"/>
        <v>5.5124825440812843E-3</v>
      </c>
      <c r="I33" s="541"/>
      <c r="J33" s="168"/>
      <c r="K33" s="168"/>
      <c r="M33" s="359">
        <f t="shared" si="7"/>
        <v>0.90953232813697926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573">
        <f>'[29]Sch C'!D19</f>
        <v>3829.34</v>
      </c>
      <c r="D34" s="573">
        <f>'[29]Sch C'!F19</f>
        <v>0</v>
      </c>
      <c r="E34" s="171">
        <f t="shared" si="4"/>
        <v>3829.34</v>
      </c>
      <c r="F34" s="573"/>
      <c r="G34" s="171">
        <f t="shared" si="5"/>
        <v>3829.34</v>
      </c>
      <c r="H34" s="172">
        <f t="shared" si="6"/>
        <v>2.9656040889789585E-3</v>
      </c>
      <c r="I34" s="541"/>
      <c r="J34" s="168"/>
      <c r="K34" s="168"/>
      <c r="M34" s="359">
        <f t="shared" si="7"/>
        <v>0.48930999233324818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573">
        <f>'[29]Sch C'!D20</f>
        <v>2518.9299999999998</v>
      </c>
      <c r="D35" s="573">
        <f>'[29]Sch C'!F20</f>
        <v>0</v>
      </c>
      <c r="E35" s="171">
        <f t="shared" si="4"/>
        <v>2518.9299999999998</v>
      </c>
      <c r="F35" s="573"/>
      <c r="G35" s="171">
        <f t="shared" si="5"/>
        <v>2518.9299999999998</v>
      </c>
      <c r="H35" s="172">
        <f t="shared" si="6"/>
        <v>1.9507667399217012E-3</v>
      </c>
      <c r="I35" s="541"/>
      <c r="J35" s="168"/>
      <c r="K35" s="168"/>
      <c r="M35" s="359">
        <f t="shared" si="7"/>
        <v>0.32186685407615639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573">
        <f>'[29]Sch C'!D21</f>
        <v>4607.28</v>
      </c>
      <c r="D36" s="573">
        <f>'[29]Sch C'!F21</f>
        <v>0</v>
      </c>
      <c r="E36" s="171">
        <f t="shared" si="4"/>
        <v>4607.28</v>
      </c>
      <c r="F36" s="573"/>
      <c r="G36" s="171">
        <f t="shared" si="5"/>
        <v>4607.28</v>
      </c>
      <c r="H36" s="172">
        <f t="shared" si="6"/>
        <v>3.5680739780408568E-3</v>
      </c>
      <c r="I36" s="541"/>
      <c r="J36" s="168"/>
      <c r="K36" s="168"/>
      <c r="M36" s="359">
        <f t="shared" si="7"/>
        <v>0.58871454127268075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573">
        <f>'[29]Sch C'!D22</f>
        <v>0</v>
      </c>
      <c r="D37" s="573">
        <f>'[29]Sch C'!F22</f>
        <v>0</v>
      </c>
      <c r="E37" s="171">
        <f t="shared" si="4"/>
        <v>0</v>
      </c>
      <c r="F37" s="573"/>
      <c r="G37" s="171">
        <f t="shared" si="5"/>
        <v>0</v>
      </c>
      <c r="H37" s="172">
        <f t="shared" si="6"/>
        <v>0</v>
      </c>
      <c r="I37" s="541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573">
        <f>'[29]Sch C'!D23</f>
        <v>5141.32</v>
      </c>
      <c r="D38" s="573">
        <f>'[29]Sch C'!F23</f>
        <v>0</v>
      </c>
      <c r="E38" s="171">
        <f t="shared" si="4"/>
        <v>5141.32</v>
      </c>
      <c r="F38" s="573"/>
      <c r="G38" s="171">
        <f t="shared" si="5"/>
        <v>5141.32</v>
      </c>
      <c r="H38" s="172">
        <f t="shared" si="6"/>
        <v>3.9816573129440834E-3</v>
      </c>
      <c r="I38" s="541"/>
      <c r="J38" s="168"/>
      <c r="K38" s="168"/>
      <c r="M38" s="359">
        <f t="shared" si="7"/>
        <v>0.65695374393048811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573">
        <f>'[29]Sch C'!D24</f>
        <v>18394.04</v>
      </c>
      <c r="D39" s="573">
        <f>'[29]Sch C'!F24</f>
        <v>0</v>
      </c>
      <c r="E39" s="171">
        <f t="shared" si="4"/>
        <v>18394.04</v>
      </c>
      <c r="F39" s="573">
        <v>-10018</v>
      </c>
      <c r="G39" s="171">
        <f t="shared" si="5"/>
        <v>8376.0400000000009</v>
      </c>
      <c r="H39" s="172">
        <f t="shared" si="6"/>
        <v>6.4867623333136563E-3</v>
      </c>
      <c r="I39" s="541"/>
      <c r="J39" s="168"/>
      <c r="K39" s="168"/>
      <c r="M39" s="359">
        <f t="shared" si="7"/>
        <v>1.0702836698185536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573">
        <f>'[29]Sch C'!D25</f>
        <v>0</v>
      </c>
      <c r="D40" s="573">
        <f>'[29]Sch C'!F25</f>
        <v>0</v>
      </c>
      <c r="E40" s="171">
        <f t="shared" si="4"/>
        <v>0</v>
      </c>
      <c r="F40" s="573"/>
      <c r="G40" s="171">
        <f t="shared" si="5"/>
        <v>0</v>
      </c>
      <c r="H40" s="172">
        <f t="shared" si="6"/>
        <v>0</v>
      </c>
      <c r="I40" s="541"/>
      <c r="J40" s="168"/>
      <c r="K40" s="168"/>
      <c r="M40" s="359">
        <f t="shared" si="7"/>
        <v>0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573">
        <f>'[29]Sch C'!D26</f>
        <v>116034.29</v>
      </c>
      <c r="D41" s="573">
        <f>'[29]Sch C'!F26</f>
        <v>0</v>
      </c>
      <c r="E41" s="171">
        <f t="shared" si="4"/>
        <v>116034.29</v>
      </c>
      <c r="F41" s="573"/>
      <c r="G41" s="171">
        <f t="shared" si="5"/>
        <v>116034.29</v>
      </c>
      <c r="H41" s="172">
        <f t="shared" si="6"/>
        <v>8.9861899148618363E-2</v>
      </c>
      <c r="I41" s="541"/>
      <c r="J41" s="168"/>
      <c r="K41" s="168"/>
      <c r="M41" s="359">
        <f t="shared" si="7"/>
        <v>14.826768464094044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573">
        <f>'[29]Sch C'!D27</f>
        <v>30.52</v>
      </c>
      <c r="D42" s="573">
        <f>'[29]Sch C'!F27</f>
        <v>0</v>
      </c>
      <c r="E42" s="171">
        <f t="shared" si="4"/>
        <v>30.52</v>
      </c>
      <c r="F42" s="573"/>
      <c r="G42" s="171">
        <f t="shared" si="5"/>
        <v>30.52</v>
      </c>
      <c r="H42" s="172">
        <f t="shared" si="6"/>
        <v>2.3635988654869458E-5</v>
      </c>
      <c r="I42" s="541"/>
      <c r="J42" s="168"/>
      <c r="K42" s="168"/>
      <c r="M42" s="359">
        <f t="shared" si="7"/>
        <v>3.8998211091234346E-3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573">
        <f>'[29]Sch C'!D28</f>
        <v>0</v>
      </c>
      <c r="D43" s="573">
        <f>'[29]Sch C'!F28</f>
        <v>0</v>
      </c>
      <c r="E43" s="171">
        <f t="shared" si="4"/>
        <v>0</v>
      </c>
      <c r="F43" s="573"/>
      <c r="G43" s="171">
        <f t="shared" si="5"/>
        <v>0</v>
      </c>
      <c r="H43" s="172">
        <f t="shared" si="6"/>
        <v>0</v>
      </c>
      <c r="I43" s="541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573">
        <f>'[29]Sch C'!D29</f>
        <v>20793.310000000001</v>
      </c>
      <c r="D44" s="573">
        <f>'[29]Sch C'!F29</f>
        <v>-20793.310000000001</v>
      </c>
      <c r="E44" s="171">
        <f t="shared" si="4"/>
        <v>0</v>
      </c>
      <c r="F44" s="573"/>
      <c r="G44" s="171">
        <f t="shared" si="5"/>
        <v>0</v>
      </c>
      <c r="H44" s="172">
        <f t="shared" si="6"/>
        <v>0</v>
      </c>
      <c r="I44" s="541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573">
        <f>'[29]Sch C'!D30</f>
        <v>60</v>
      </c>
      <c r="D45" s="573">
        <f>'[29]Sch C'!F30</f>
        <v>-60</v>
      </c>
      <c r="E45" s="171">
        <f t="shared" si="4"/>
        <v>0</v>
      </c>
      <c r="F45" s="573"/>
      <c r="G45" s="171">
        <f t="shared" si="5"/>
        <v>0</v>
      </c>
      <c r="H45" s="172">
        <f t="shared" si="6"/>
        <v>0</v>
      </c>
      <c r="I45" s="541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573">
        <f>'[29]Sch C'!D31</f>
        <v>16034.33</v>
      </c>
      <c r="D46" s="573">
        <f>'[29]Sch C'!F31</f>
        <v>0</v>
      </c>
      <c r="E46" s="171">
        <f t="shared" si="4"/>
        <v>16034.33</v>
      </c>
      <c r="F46" s="573"/>
      <c r="G46" s="171">
        <f t="shared" si="5"/>
        <v>16034.33</v>
      </c>
      <c r="H46" s="172">
        <f t="shared" si="6"/>
        <v>1.2417668478651146E-2</v>
      </c>
      <c r="I46" s="541"/>
      <c r="J46" s="168"/>
      <c r="K46" s="168"/>
      <c r="M46" s="359">
        <f t="shared" si="7"/>
        <v>2.0488538205980067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573">
        <f>'[29]Sch C'!D32</f>
        <v>5492.67</v>
      </c>
      <c r="D47" s="573">
        <f>'[29]Sch C'!F32</f>
        <v>0</v>
      </c>
      <c r="E47" s="171">
        <f t="shared" si="4"/>
        <v>5492.67</v>
      </c>
      <c r="F47" s="573"/>
      <c r="G47" s="171">
        <f t="shared" si="5"/>
        <v>5492.67</v>
      </c>
      <c r="H47" s="172">
        <f t="shared" si="6"/>
        <v>4.2537577262431788E-3</v>
      </c>
      <c r="I47" s="541"/>
      <c r="J47" s="168"/>
      <c r="K47" s="168"/>
      <c r="M47" s="359">
        <f t="shared" si="7"/>
        <v>0.70184896498849991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573">
        <f>'[29]Sch C'!D33</f>
        <v>0</v>
      </c>
      <c r="D48" s="573">
        <f>'[29]Sch C'!F33</f>
        <v>0</v>
      </c>
      <c r="E48" s="171">
        <f t="shared" si="4"/>
        <v>0</v>
      </c>
      <c r="F48" s="573"/>
      <c r="G48" s="171">
        <f t="shared" si="5"/>
        <v>0</v>
      </c>
      <c r="H48" s="172">
        <f t="shared" si="6"/>
        <v>0</v>
      </c>
      <c r="I48" s="541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573">
        <f>'[29]Sch C'!D34</f>
        <v>0</v>
      </c>
      <c r="D49" s="573">
        <f>'[29]Sch C'!F34</f>
        <v>0</v>
      </c>
      <c r="E49" s="171">
        <f t="shared" si="4"/>
        <v>0</v>
      </c>
      <c r="F49" s="573"/>
      <c r="G49" s="171">
        <f t="shared" si="5"/>
        <v>0</v>
      </c>
      <c r="H49" s="172">
        <f t="shared" si="6"/>
        <v>0</v>
      </c>
      <c r="I49" s="541"/>
      <c r="J49" s="168"/>
      <c r="K49" s="168"/>
      <c r="M49" s="359">
        <f t="shared" si="7"/>
        <v>0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573">
        <f>'[29]Sch C'!D35</f>
        <v>0</v>
      </c>
      <c r="D50" s="573">
        <f>'[29]Sch C'!F35</f>
        <v>0</v>
      </c>
      <c r="E50" s="171">
        <f t="shared" si="4"/>
        <v>0</v>
      </c>
      <c r="F50" s="573"/>
      <c r="G50" s="171">
        <f t="shared" si="5"/>
        <v>0</v>
      </c>
      <c r="H50" s="172">
        <f t="shared" si="6"/>
        <v>0</v>
      </c>
      <c r="I50" s="541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573">
        <f>'[29]Sch C'!D36</f>
        <v>0</v>
      </c>
      <c r="D51" s="573">
        <f>'[29]Sch C'!F36</f>
        <v>0</v>
      </c>
      <c r="E51" s="171">
        <f t="shared" si="4"/>
        <v>0</v>
      </c>
      <c r="F51" s="573"/>
      <c r="G51" s="171">
        <f t="shared" si="5"/>
        <v>0</v>
      </c>
      <c r="H51" s="172">
        <f t="shared" si="6"/>
        <v>0</v>
      </c>
      <c r="I51" s="541"/>
      <c r="J51" s="183">
        <v>0</v>
      </c>
      <c r="K51" s="183">
        <v>0</v>
      </c>
      <c r="M51" s="359">
        <f t="shared" si="7"/>
        <v>0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573">
        <f>'[29]Sch C'!D37</f>
        <v>0</v>
      </c>
      <c r="D52" s="573">
        <f>'[29]Sch C'!F37</f>
        <v>0</v>
      </c>
      <c r="E52" s="171">
        <f t="shared" si="4"/>
        <v>0</v>
      </c>
      <c r="F52" s="573"/>
      <c r="G52" s="171">
        <f t="shared" si="5"/>
        <v>0</v>
      </c>
      <c r="H52" s="172">
        <f t="shared" si="6"/>
        <v>0</v>
      </c>
      <c r="I52" s="541"/>
      <c r="J52" s="168"/>
      <c r="K52" s="168"/>
      <c r="M52" s="359">
        <f t="shared" si="7"/>
        <v>0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573">
        <f>'[29]Sch C'!D38</f>
        <v>891.76</v>
      </c>
      <c r="D53" s="573">
        <f>'[29]Sch C'!F38</f>
        <v>0</v>
      </c>
      <c r="E53" s="171">
        <f t="shared" si="4"/>
        <v>891.76</v>
      </c>
      <c r="F53" s="573"/>
      <c r="G53" s="171">
        <f t="shared" si="5"/>
        <v>891.76</v>
      </c>
      <c r="H53" s="172">
        <f t="shared" si="6"/>
        <v>6.9061694766927879E-4</v>
      </c>
      <c r="I53" s="541"/>
      <c r="J53" s="168"/>
      <c r="K53" s="168"/>
      <c r="M53" s="359">
        <f t="shared" si="7"/>
        <v>0.11394837720419115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573">
        <f>'[29]Sch C'!D39</f>
        <v>3461.88</v>
      </c>
      <c r="D54" s="573">
        <f>'[29]Sch C'!F39</f>
        <v>0</v>
      </c>
      <c r="E54" s="171">
        <f t="shared" si="4"/>
        <v>3461.88</v>
      </c>
      <c r="F54" s="573"/>
      <c r="G54" s="171">
        <f t="shared" si="5"/>
        <v>3461.88</v>
      </c>
      <c r="H54" s="172">
        <f t="shared" si="6"/>
        <v>2.6810274051284233E-3</v>
      </c>
      <c r="I54" s="541"/>
      <c r="J54" s="168"/>
      <c r="K54" s="168"/>
      <c r="M54" s="359">
        <f t="shared" si="7"/>
        <v>0.44235624840276005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573">
        <f>'[29]Sch C'!D40</f>
        <v>2583.12</v>
      </c>
      <c r="D55" s="573">
        <f>'[29]Sch C'!F40</f>
        <v>-2583</v>
      </c>
      <c r="E55" s="171">
        <f t="shared" si="4"/>
        <v>0.11999999999989086</v>
      </c>
      <c r="F55" s="573"/>
      <c r="G55" s="171">
        <f t="shared" si="5"/>
        <v>0.11999999999989086</v>
      </c>
      <c r="H55" s="172">
        <f t="shared" si="6"/>
        <v>9.2933113977121738E-8</v>
      </c>
      <c r="I55" s="541"/>
      <c r="J55" s="168"/>
      <c r="K55" s="168"/>
      <c r="M55" s="359">
        <f t="shared" si="7"/>
        <v>1.5333503705582782E-5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573">
        <f>'[29]Sch C'!D41</f>
        <v>0</v>
      </c>
      <c r="D56" s="573">
        <f>'[29]Sch C'!F41</f>
        <v>0</v>
      </c>
      <c r="E56" s="171">
        <f t="shared" si="4"/>
        <v>0</v>
      </c>
      <c r="F56" s="573"/>
      <c r="G56" s="171">
        <f t="shared" si="5"/>
        <v>0</v>
      </c>
      <c r="H56" s="172">
        <f t="shared" si="6"/>
        <v>0</v>
      </c>
      <c r="I56" s="541"/>
      <c r="J56" s="168"/>
      <c r="K56" s="168"/>
      <c r="M56" s="359">
        <f t="shared" si="7"/>
        <v>0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573">
        <f>'[29]Sch C'!D42</f>
        <v>1074.25</v>
      </c>
      <c r="D57" s="573">
        <f>'[29]Sch C'!F42</f>
        <v>0</v>
      </c>
      <c r="E57" s="171">
        <f t="shared" si="4"/>
        <v>1074.25</v>
      </c>
      <c r="F57" s="573"/>
      <c r="G57" s="171">
        <f t="shared" si="5"/>
        <v>1074.25</v>
      </c>
      <c r="H57" s="172">
        <f t="shared" si="6"/>
        <v>8.3194498075011517E-4</v>
      </c>
      <c r="I57" s="541"/>
      <c r="J57" s="168"/>
      <c r="K57" s="168"/>
      <c r="M57" s="359">
        <f t="shared" si="7"/>
        <v>0.13726680296447738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573">
        <f>'[29]Sch C'!D43</f>
        <v>3650.34</v>
      </c>
      <c r="D58" s="573">
        <f>'[29]Sch C'!F43</f>
        <v>0</v>
      </c>
      <c r="E58" s="171">
        <f t="shared" si="4"/>
        <v>3650.34</v>
      </c>
      <c r="F58" s="573"/>
      <c r="G58" s="171">
        <f t="shared" si="5"/>
        <v>3650.34</v>
      </c>
      <c r="H58" s="172">
        <f t="shared" si="6"/>
        <v>2.8269788606296257E-3</v>
      </c>
      <c r="I58" s="541"/>
      <c r="J58" s="168"/>
      <c r="K58" s="168"/>
      <c r="M58" s="359">
        <f t="shared" si="7"/>
        <v>0.46643751597239969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573">
        <f>'[29]Sch C'!D44</f>
        <v>0</v>
      </c>
      <c r="D59" s="573">
        <f>'[29]Sch C'!F44</f>
        <v>0</v>
      </c>
      <c r="E59" s="171">
        <f t="shared" si="4"/>
        <v>0</v>
      </c>
      <c r="F59" s="573"/>
      <c r="G59" s="171">
        <f t="shared" si="5"/>
        <v>0</v>
      </c>
      <c r="H59" s="172">
        <f t="shared" si="6"/>
        <v>0</v>
      </c>
      <c r="I59" s="541"/>
      <c r="J59" s="168"/>
      <c r="K59" s="168"/>
      <c r="M59" s="359">
        <f t="shared" si="7"/>
        <v>0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573">
        <f>'[29]Sch C'!D45</f>
        <v>166.27</v>
      </c>
      <c r="D60" s="573">
        <f>'[29]Sch C'!F45</f>
        <v>0</v>
      </c>
      <c r="E60" s="171">
        <f t="shared" si="4"/>
        <v>166.27</v>
      </c>
      <c r="F60" s="573"/>
      <c r="G60" s="171">
        <f t="shared" si="5"/>
        <v>166.27</v>
      </c>
      <c r="H60" s="172">
        <f t="shared" si="6"/>
        <v>1.2876657384158405E-4</v>
      </c>
      <c r="I60" s="541"/>
      <c r="J60" s="168"/>
      <c r="K60" s="168"/>
      <c r="M60" s="359">
        <f t="shared" si="7"/>
        <v>2.1245847176079736E-2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573">
        <f>SUM(C25:C60)</f>
        <v>293688.89</v>
      </c>
      <c r="D61" s="573">
        <f>SUM(D25:D60)</f>
        <v>-42855.570000000007</v>
      </c>
      <c r="E61" s="171">
        <f t="shared" ref="E61" si="8">SUM(E25:E60)</f>
        <v>250833.31999999998</v>
      </c>
      <c r="F61" s="573">
        <f>SUM(F25:F60)</f>
        <v>-10018</v>
      </c>
      <c r="G61" s="171">
        <f>SUM(G25:G60)</f>
        <v>240815.31999999998</v>
      </c>
      <c r="H61" s="186">
        <f t="shared" si="6"/>
        <v>0.1864976465084783</v>
      </c>
      <c r="I61" s="550"/>
      <c r="J61" s="168"/>
      <c r="K61" s="168"/>
      <c r="M61" s="364">
        <f>G61/G$228</f>
        <v>30.77118834653718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I62" s="551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551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573">
        <f>'[29]Sch C'!D57</f>
        <v>60000</v>
      </c>
      <c r="D64" s="573">
        <f>'[29]Sch C'!F57</f>
        <v>-60000</v>
      </c>
      <c r="E64" s="171">
        <f t="shared" ref="E64:E78" si="9">C64+D64</f>
        <v>0</v>
      </c>
      <c r="F64" s="573"/>
      <c r="G64" s="171">
        <f t="shared" ref="G64:G78" si="10">E64+F64</f>
        <v>0</v>
      </c>
      <c r="H64" s="172">
        <f t="shared" ref="H64:H79" si="11">IF($G$208=0,0,G64/$G$208)</f>
        <v>0</v>
      </c>
      <c r="I64" s="541"/>
      <c r="J64" s="190"/>
      <c r="K64" s="168"/>
      <c r="M64" s="359">
        <f t="shared" ref="M64:M79" si="12">G64/G$228</f>
        <v>0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573">
        <f>'[29]Sch C'!D58</f>
        <v>2336.0700000000002</v>
      </c>
      <c r="D65" s="573">
        <f>'[29]Sch C'!F58</f>
        <v>7564</v>
      </c>
      <c r="E65" s="171">
        <f t="shared" si="9"/>
        <v>9900.07</v>
      </c>
      <c r="F65" s="573"/>
      <c r="G65" s="171">
        <f t="shared" si="10"/>
        <v>9900.07</v>
      </c>
      <c r="H65" s="172">
        <f t="shared" si="11"/>
        <v>7.6670361141026695E-3</v>
      </c>
      <c r="I65" s="541"/>
      <c r="J65" s="190"/>
      <c r="K65" s="168"/>
      <c r="M65" s="359">
        <f t="shared" si="12"/>
        <v>1.2650230002555582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573">
        <f>'[29]Sch C'!D59</f>
        <v>0</v>
      </c>
      <c r="D66" s="573">
        <f>'[29]Sch C'!F59</f>
        <v>11231.61</v>
      </c>
      <c r="E66" s="171">
        <f t="shared" si="9"/>
        <v>11231.61</v>
      </c>
      <c r="F66" s="573"/>
      <c r="G66" s="171">
        <f t="shared" si="10"/>
        <v>11231.61</v>
      </c>
      <c r="H66" s="172">
        <f t="shared" si="11"/>
        <v>8.698237435646081E-3</v>
      </c>
      <c r="I66" s="541"/>
      <c r="J66" s="190"/>
      <c r="K66" s="168"/>
      <c r="M66" s="359">
        <f t="shared" si="12"/>
        <v>1.4351661129568107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573">
        <f>'[29]Sch C'!D60</f>
        <v>2776.41</v>
      </c>
      <c r="D67" s="573">
        <f>'[29]Sch C'!F60</f>
        <v>0</v>
      </c>
      <c r="E67" s="171">
        <f t="shared" si="9"/>
        <v>2776.41</v>
      </c>
      <c r="F67" s="573"/>
      <c r="G67" s="171">
        <f t="shared" si="10"/>
        <v>2776.41</v>
      </c>
      <c r="H67" s="172">
        <f t="shared" si="11"/>
        <v>2.1501702248121267E-3</v>
      </c>
      <c r="I67" s="541"/>
      <c r="J67" s="193"/>
      <c r="K67" s="168"/>
      <c r="M67" s="359">
        <f t="shared" si="12"/>
        <v>0.3547674418604651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573">
        <f>'[29]Sch C'!D61</f>
        <v>7121.88</v>
      </c>
      <c r="D68" s="573">
        <f>'[29]Sch C'!F61</f>
        <v>4381</v>
      </c>
      <c r="E68" s="171">
        <f t="shared" si="9"/>
        <v>11502.880000000001</v>
      </c>
      <c r="F68" s="573"/>
      <c r="G68" s="171">
        <f t="shared" si="10"/>
        <v>11502.880000000001</v>
      </c>
      <c r="H68" s="172">
        <f t="shared" si="11"/>
        <v>8.9083204842177206E-3</v>
      </c>
      <c r="I68" s="541"/>
      <c r="J68" s="193"/>
      <c r="K68" s="168"/>
      <c r="M68" s="359">
        <f t="shared" si="12"/>
        <v>1.4698287758752877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573">
        <f>'[29]Sch C'!D62</f>
        <v>987.27</v>
      </c>
      <c r="D69" s="573">
        <f>'[29]Sch C'!F62</f>
        <v>0</v>
      </c>
      <c r="E69" s="171">
        <f t="shared" si="9"/>
        <v>987.27</v>
      </c>
      <c r="F69" s="573"/>
      <c r="G69" s="171">
        <f t="shared" si="10"/>
        <v>987.27</v>
      </c>
      <c r="H69" s="172">
        <f t="shared" si="11"/>
        <v>7.6458396196897019E-4</v>
      </c>
      <c r="I69" s="541"/>
      <c r="J69" s="195"/>
      <c r="K69" s="168"/>
      <c r="M69" s="359">
        <f t="shared" si="12"/>
        <v>0.12615256836187069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573">
        <f>'[29]Sch C'!D63</f>
        <v>174.21</v>
      </c>
      <c r="D70" s="573">
        <f>'[29]Sch C'!F63</f>
        <v>0</v>
      </c>
      <c r="E70" s="171">
        <f t="shared" si="9"/>
        <v>174.21</v>
      </c>
      <c r="F70" s="573"/>
      <c r="G70" s="171">
        <f t="shared" si="10"/>
        <v>174.21</v>
      </c>
      <c r="H70" s="172">
        <f t="shared" si="11"/>
        <v>1.349156482164092E-4</v>
      </c>
      <c r="I70" s="541"/>
      <c r="J70" s="195"/>
      <c r="K70" s="168"/>
      <c r="M70" s="359">
        <f t="shared" si="12"/>
        <v>2.2260414004600052E-2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573">
        <f>'[29]Sch C'!D64</f>
        <v>0</v>
      </c>
      <c r="D71" s="573">
        <f>'[29]Sch C'!F64</f>
        <v>0</v>
      </c>
      <c r="E71" s="171">
        <f t="shared" si="9"/>
        <v>0</v>
      </c>
      <c r="F71" s="573"/>
      <c r="G71" s="171">
        <f t="shared" si="10"/>
        <v>0</v>
      </c>
      <c r="H71" s="172">
        <f t="shared" si="11"/>
        <v>0</v>
      </c>
      <c r="I71" s="541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573">
        <f>'[29]Sch C'!D65</f>
        <v>3356</v>
      </c>
      <c r="D72" s="573">
        <f>'[29]Sch C'!F65</f>
        <v>0</v>
      </c>
      <c r="E72" s="171">
        <f t="shared" si="9"/>
        <v>3356</v>
      </c>
      <c r="F72" s="573">
        <v>-816</v>
      </c>
      <c r="G72" s="171">
        <f t="shared" si="10"/>
        <v>2540</v>
      </c>
      <c r="H72" s="172">
        <f t="shared" si="11"/>
        <v>1.9670842458508657E-3</v>
      </c>
      <c r="I72" s="541"/>
      <c r="J72" s="195"/>
      <c r="K72" s="168"/>
      <c r="M72" s="359">
        <f t="shared" si="12"/>
        <v>0.32455916176846411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573">
        <f>'[29]Sch C'!D66</f>
        <v>8198.74</v>
      </c>
      <c r="D73" s="573">
        <f>'[29]Sch C'!F66</f>
        <v>0</v>
      </c>
      <c r="E73" s="171">
        <f t="shared" si="9"/>
        <v>8198.74</v>
      </c>
      <c r="F73" s="573"/>
      <c r="G73" s="171">
        <f t="shared" si="10"/>
        <v>8198.74</v>
      </c>
      <c r="H73" s="172">
        <f t="shared" si="11"/>
        <v>6.3494536574123335E-3</v>
      </c>
      <c r="I73" s="541"/>
      <c r="J73" s="195"/>
      <c r="K73" s="168"/>
      <c r="M73" s="359">
        <f t="shared" si="12"/>
        <v>1.0476284180935342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573">
        <f>'[29]Sch C'!D67</f>
        <v>15633.66</v>
      </c>
      <c r="D74" s="573">
        <f>'[29]Sch C'!F67</f>
        <v>0</v>
      </c>
      <c r="E74" s="171">
        <f t="shared" si="9"/>
        <v>15633.66</v>
      </c>
      <c r="F74" s="573"/>
      <c r="G74" s="171">
        <f t="shared" si="10"/>
        <v>15633.66</v>
      </c>
      <c r="H74" s="172">
        <f t="shared" si="11"/>
        <v>1.210737255550742E-2</v>
      </c>
      <c r="I74" s="541"/>
      <c r="J74" s="195"/>
      <c r="K74" s="168"/>
      <c r="M74" s="359">
        <f t="shared" si="12"/>
        <v>1.9976565295169946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573">
        <f>'[29]Sch C'!D68</f>
        <v>0</v>
      </c>
      <c r="D75" s="573">
        <f>'[29]Sch C'!F68</f>
        <v>0</v>
      </c>
      <c r="E75" s="171">
        <f t="shared" si="9"/>
        <v>0</v>
      </c>
      <c r="F75" s="573"/>
      <c r="G75" s="171">
        <f t="shared" si="10"/>
        <v>0</v>
      </c>
      <c r="H75" s="172">
        <f t="shared" si="11"/>
        <v>0</v>
      </c>
      <c r="I75" s="541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573">
        <f>'[29]Sch C'!D69</f>
        <v>441.42</v>
      </c>
      <c r="D76" s="573">
        <f>'[29]Sch C'!F69</f>
        <v>0</v>
      </c>
      <c r="E76" s="171">
        <f t="shared" si="9"/>
        <v>441.42</v>
      </c>
      <c r="F76" s="573"/>
      <c r="G76" s="171">
        <f t="shared" si="10"/>
        <v>441.42</v>
      </c>
      <c r="H76" s="172">
        <f t="shared" si="11"/>
        <v>3.4185445976515325E-4</v>
      </c>
      <c r="I76" s="541"/>
      <c r="J76" s="195"/>
      <c r="K76" s="168"/>
      <c r="M76" s="359">
        <f t="shared" si="12"/>
        <v>5.6404293381037571E-2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573">
        <f>'[29]Sch C'!D70</f>
        <v>0</v>
      </c>
      <c r="D77" s="573">
        <f>'[29]Sch C'!F70</f>
        <v>0</v>
      </c>
      <c r="E77" s="171">
        <f t="shared" si="9"/>
        <v>0</v>
      </c>
      <c r="F77" s="573"/>
      <c r="G77" s="171">
        <f t="shared" si="10"/>
        <v>0</v>
      </c>
      <c r="H77" s="172">
        <f t="shared" si="11"/>
        <v>0</v>
      </c>
      <c r="I77" s="541"/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573">
        <f>'[29]Sch C'!D71</f>
        <v>0</v>
      </c>
      <c r="D78" s="573">
        <f>'[29]Sch C'!F71</f>
        <v>0</v>
      </c>
      <c r="E78" s="171">
        <f t="shared" si="9"/>
        <v>0</v>
      </c>
      <c r="F78" s="573"/>
      <c r="G78" s="171">
        <f t="shared" si="10"/>
        <v>0</v>
      </c>
      <c r="H78" s="172">
        <f t="shared" si="11"/>
        <v>0</v>
      </c>
      <c r="I78" s="541"/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573">
        <f>SUM(C64:C78)</f>
        <v>101025.66000000002</v>
      </c>
      <c r="D79" s="573">
        <f>SUM(D64:D78)</f>
        <v>-36823.39</v>
      </c>
      <c r="E79" s="171">
        <f t="shared" ref="E79" si="13">SUM(E64:E78)</f>
        <v>64202.26999999999</v>
      </c>
      <c r="F79" s="573">
        <f>SUM(F64:F78)</f>
        <v>-816</v>
      </c>
      <c r="G79" s="171">
        <f>SUM(G64:G78)</f>
        <v>63386.26999999999</v>
      </c>
      <c r="H79" s="172">
        <f t="shared" si="11"/>
        <v>4.9089028787499739E-2</v>
      </c>
      <c r="I79" s="541"/>
      <c r="J79" s="195"/>
      <c r="K79" s="168"/>
      <c r="M79" s="359">
        <f t="shared" si="12"/>
        <v>8.0994467160746222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I80" s="541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545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573">
        <f>'[29]Sch C'!D75</f>
        <v>26305.69</v>
      </c>
      <c r="D82" s="573">
        <f>'[29]Sch C'!F75</f>
        <v>0</v>
      </c>
      <c r="E82" s="171">
        <f t="shared" ref="E82:E92" si="14">C82+D82</f>
        <v>26305.69</v>
      </c>
      <c r="F82" s="573"/>
      <c r="G82" s="171">
        <f t="shared" ref="G82:G92" si="15">E82+F82</f>
        <v>26305.69</v>
      </c>
      <c r="H82" s="172">
        <f t="shared" ref="H82:H93" si="16">IF($G$208=0,0,G82/$G$208)</f>
        <v>2.0372247391825457E-2</v>
      </c>
      <c r="I82" s="541"/>
      <c r="J82" s="183">
        <v>2122.9499999999998</v>
      </c>
      <c r="K82" s="183">
        <v>2250.67</v>
      </c>
      <c r="M82" s="359">
        <f t="shared" ref="M82:M92" si="17">G82/G$228</f>
        <v>3.3613199591106566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573">
        <f>'[29]Sch C'!D76</f>
        <v>0</v>
      </c>
      <c r="D83" s="573">
        <f>'[29]Sch C'!F76</f>
        <v>2080.6389452595527</v>
      </c>
      <c r="E83" s="171">
        <f t="shared" si="14"/>
        <v>2080.6389452595527</v>
      </c>
      <c r="F83" s="573"/>
      <c r="G83" s="171">
        <f t="shared" si="15"/>
        <v>2080.6389452595527</v>
      </c>
      <c r="H83" s="172">
        <f t="shared" si="16"/>
        <v>1.6113354687101685E-3</v>
      </c>
      <c r="I83" s="541"/>
      <c r="J83" s="168"/>
      <c r="K83" s="168"/>
      <c r="M83" s="359">
        <f t="shared" si="17"/>
        <v>0.26586237480955183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573">
        <f>'[29]Sch C'!D77</f>
        <v>9743.66</v>
      </c>
      <c r="D84" s="573">
        <f>'[29]Sch C'!F77</f>
        <v>0</v>
      </c>
      <c r="E84" s="171">
        <f t="shared" si="14"/>
        <v>9743.66</v>
      </c>
      <c r="F84" s="573"/>
      <c r="G84" s="171">
        <f t="shared" si="15"/>
        <v>9743.66</v>
      </c>
      <c r="H84" s="172">
        <f t="shared" si="16"/>
        <v>7.5459055444595455E-3</v>
      </c>
      <c r="I84" s="541"/>
      <c r="J84" s="168"/>
      <c r="K84" s="168"/>
      <c r="M84" s="359">
        <f t="shared" si="17"/>
        <v>1.2450370559672885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573">
        <f>'[29]Sch C'!D78</f>
        <v>428.38</v>
      </c>
      <c r="D85" s="573">
        <f>'[29]Sch C'!F78</f>
        <v>0</v>
      </c>
      <c r="E85" s="171">
        <f t="shared" si="14"/>
        <v>428.38</v>
      </c>
      <c r="F85" s="573"/>
      <c r="G85" s="171">
        <f t="shared" si="15"/>
        <v>428.38</v>
      </c>
      <c r="H85" s="172">
        <f t="shared" si="16"/>
        <v>3.3175572804629679E-4</v>
      </c>
      <c r="I85" s="541"/>
      <c r="J85" s="168"/>
      <c r="K85" s="168"/>
      <c r="M85" s="359">
        <f t="shared" si="17"/>
        <v>5.4738052645029386E-2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573">
        <f>'[29]Sch C'!D79</f>
        <v>200</v>
      </c>
      <c r="D86" s="573">
        <f>'[29]Sch C'!F79</f>
        <v>0</v>
      </c>
      <c r="E86" s="171">
        <f t="shared" si="14"/>
        <v>200</v>
      </c>
      <c r="F86" s="573"/>
      <c r="G86" s="171">
        <f>E86+F86</f>
        <v>200</v>
      </c>
      <c r="H86" s="172">
        <f t="shared" si="16"/>
        <v>1.5488852329534377E-4</v>
      </c>
      <c r="I86" s="541"/>
      <c r="J86" s="168"/>
      <c r="K86" s="168"/>
      <c r="M86" s="359">
        <f t="shared" si="17"/>
        <v>2.5555839509327882E-2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573">
        <f>'[29]Sch C'!D80</f>
        <v>2736.5</v>
      </c>
      <c r="D87" s="573">
        <f>'[29]Sch C'!F80</f>
        <v>0</v>
      </c>
      <c r="E87" s="171">
        <f t="shared" si="14"/>
        <v>2736.5</v>
      </c>
      <c r="F87" s="573"/>
      <c r="G87" s="171">
        <f t="shared" si="15"/>
        <v>2736.5</v>
      </c>
      <c r="H87" s="172">
        <f t="shared" si="16"/>
        <v>2.1192622199885411E-3</v>
      </c>
      <c r="I87" s="541"/>
      <c r="J87" s="168"/>
      <c r="K87" s="168"/>
      <c r="M87" s="359">
        <f t="shared" si="17"/>
        <v>0.34966777408637872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573">
        <f>'[29]Sch C'!D81</f>
        <v>14703.91</v>
      </c>
      <c r="D88" s="573">
        <f>'[29]Sch C'!F81</f>
        <v>0</v>
      </c>
      <c r="E88" s="171">
        <f t="shared" si="14"/>
        <v>14703.91</v>
      </c>
      <c r="F88" s="573"/>
      <c r="G88" s="171">
        <f t="shared" si="15"/>
        <v>14703.91</v>
      </c>
      <c r="H88" s="172">
        <f t="shared" si="16"/>
        <v>1.1387334532838191E-2</v>
      </c>
      <c r="I88" s="541"/>
      <c r="J88" s="168"/>
      <c r="K88" s="168"/>
      <c r="M88" s="359">
        <f t="shared" si="17"/>
        <v>1.8788538205980065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573">
        <f>'[29]Sch C'!D82</f>
        <v>4980.6000000000004</v>
      </c>
      <c r="D89" s="573">
        <f>'[29]Sch C'!F82</f>
        <v>0</v>
      </c>
      <c r="E89" s="171">
        <f t="shared" si="14"/>
        <v>4980.6000000000004</v>
      </c>
      <c r="F89" s="573"/>
      <c r="G89" s="171">
        <f t="shared" si="15"/>
        <v>4980.6000000000004</v>
      </c>
      <c r="H89" s="172">
        <f t="shared" si="16"/>
        <v>3.8571888956239458E-3</v>
      </c>
      <c r="I89" s="541"/>
      <c r="J89" s="168"/>
      <c r="K89" s="168"/>
      <c r="M89" s="359">
        <f t="shared" si="17"/>
        <v>0.63641707130079228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573">
        <f>'[29]Sch C'!D83</f>
        <v>12423.97</v>
      </c>
      <c r="D90" s="573">
        <f>'[29]Sch C'!F83</f>
        <v>0</v>
      </c>
      <c r="E90" s="171">
        <f t="shared" si="14"/>
        <v>12423.97</v>
      </c>
      <c r="F90" s="573"/>
      <c r="G90" s="171">
        <f t="shared" si="15"/>
        <v>12423.97</v>
      </c>
      <c r="H90" s="172">
        <f t="shared" si="16"/>
        <v>9.6216518338282601E-3</v>
      </c>
      <c r="I90" s="541"/>
      <c r="J90" s="168"/>
      <c r="K90" s="168"/>
      <c r="M90" s="359">
        <f t="shared" si="17"/>
        <v>1.5875249169435215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573">
        <f>'[29]Sch C'!D84</f>
        <v>28240.18</v>
      </c>
      <c r="D91" s="573">
        <f>'[29]Sch C'!F84</f>
        <v>0</v>
      </c>
      <c r="E91" s="171">
        <f t="shared" si="14"/>
        <v>28240.18</v>
      </c>
      <c r="F91" s="573"/>
      <c r="G91" s="171">
        <f t="shared" si="15"/>
        <v>28240.18</v>
      </c>
      <c r="H91" s="172">
        <f t="shared" si="16"/>
        <v>2.1870398888973505E-2</v>
      </c>
      <c r="I91" s="541"/>
      <c r="J91" s="168"/>
      <c r="K91" s="168"/>
      <c r="M91" s="359">
        <f t="shared" si="17"/>
        <v>3.6085075389726553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573">
        <f>'[29]Sch C'!D85</f>
        <v>0</v>
      </c>
      <c r="D92" s="573">
        <f>'[29]Sch C'!F85</f>
        <v>0</v>
      </c>
      <c r="E92" s="171">
        <f t="shared" si="14"/>
        <v>0</v>
      </c>
      <c r="F92" s="573"/>
      <c r="G92" s="171">
        <f t="shared" si="15"/>
        <v>0</v>
      </c>
      <c r="H92" s="172">
        <f t="shared" si="16"/>
        <v>0</v>
      </c>
      <c r="I92" s="541"/>
      <c r="J92" s="168"/>
      <c r="K92" s="168"/>
      <c r="M92" s="359">
        <f t="shared" si="17"/>
        <v>0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573">
        <f>SUM(C82:C92)</f>
        <v>99762.889999999985</v>
      </c>
      <c r="D93" s="573">
        <f>SUM(D82:D92)</f>
        <v>2080.6389452595527</v>
      </c>
      <c r="E93" s="171">
        <f t="shared" ref="E93" si="18">SUM(E82:E92)</f>
        <v>101843.52894525955</v>
      </c>
      <c r="F93" s="573">
        <f>SUM(F82:F92)</f>
        <v>0</v>
      </c>
      <c r="G93" s="171">
        <f>SUM(G82:G92)</f>
        <v>101843.52894525955</v>
      </c>
      <c r="H93" s="172">
        <f t="shared" si="16"/>
        <v>7.887196902758925E-2</v>
      </c>
      <c r="I93" s="541"/>
      <c r="J93" s="168"/>
      <c r="K93" s="168"/>
      <c r="M93" s="364">
        <f>G93/G$228</f>
        <v>13.013484403943208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I94" s="545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545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573">
        <f>'[29]Sch C'!D89</f>
        <v>96767.47</v>
      </c>
      <c r="D96" s="573">
        <f>'[29]Sch C'!F89</f>
        <v>0</v>
      </c>
      <c r="E96" s="171">
        <f t="shared" ref="E96:E101" si="19">C96+D96</f>
        <v>96767.47</v>
      </c>
      <c r="F96" s="573"/>
      <c r="G96" s="171">
        <f t="shared" ref="G96:G101" si="20">E96+F96</f>
        <v>96767.47</v>
      </c>
      <c r="H96" s="172">
        <f t="shared" ref="H96:H102" si="21">IF($G$208=0,0,G96/$G$208)</f>
        <v>7.494085265663239E-2</v>
      </c>
      <c r="I96" s="541"/>
      <c r="J96" s="183">
        <v>11024.94</v>
      </c>
      <c r="K96" s="183">
        <v>11786.06</v>
      </c>
      <c r="M96" s="364">
        <f t="shared" ref="M96:M101" si="22">G96/G$228</f>
        <v>12.364869665218503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573">
        <f>'[29]Sch C'!D90</f>
        <v>0</v>
      </c>
      <c r="D97" s="573">
        <f>'[29]Sch C'!F90</f>
        <v>7653.7877058627018</v>
      </c>
      <c r="E97" s="171">
        <f t="shared" si="19"/>
        <v>7653.7877058627018</v>
      </c>
      <c r="F97" s="573"/>
      <c r="G97" s="171">
        <f t="shared" si="20"/>
        <v>7653.7877058627018</v>
      </c>
      <c r="H97" s="172">
        <f t="shared" si="21"/>
        <v>5.9274193768856535E-3</v>
      </c>
      <c r="I97" s="541"/>
      <c r="J97" s="168"/>
      <c r="K97" s="168"/>
      <c r="M97" s="364">
        <f t="shared" si="22"/>
        <v>0.97799485124747021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573">
        <f>'[29]Sch C'!D91</f>
        <v>3540</v>
      </c>
      <c r="D98" s="573">
        <f>'[29]Sch C'!F91</f>
        <v>0</v>
      </c>
      <c r="E98" s="171">
        <f t="shared" si="19"/>
        <v>3540</v>
      </c>
      <c r="F98" s="573"/>
      <c r="G98" s="171">
        <f t="shared" si="20"/>
        <v>3540</v>
      </c>
      <c r="H98" s="172">
        <f t="shared" si="21"/>
        <v>2.7415268623275845E-3</v>
      </c>
      <c r="I98" s="541"/>
      <c r="J98" s="168"/>
      <c r="K98" s="168"/>
      <c r="M98" s="364">
        <f t="shared" si="22"/>
        <v>0.45233835931510352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573">
        <f>'[29]Sch C'!D92</f>
        <v>85795.62</v>
      </c>
      <c r="D99" s="573">
        <f>'[29]Sch C'!F92</f>
        <v>0</v>
      </c>
      <c r="E99" s="171">
        <f t="shared" si="19"/>
        <v>85795.62</v>
      </c>
      <c r="F99" s="573"/>
      <c r="G99" s="171">
        <f t="shared" si="20"/>
        <v>85795.62</v>
      </c>
      <c r="H99" s="172">
        <f t="shared" si="21"/>
        <v>6.64437844350423E-2</v>
      </c>
      <c r="I99" s="541"/>
      <c r="J99" s="168"/>
      <c r="K99" s="168"/>
      <c r="M99" s="364">
        <f t="shared" si="22"/>
        <v>10.962895476616406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573">
        <f>'[29]Sch C'!D93</f>
        <v>5403.09</v>
      </c>
      <c r="D100" s="573">
        <f>'[29]Sch C'!F93</f>
        <v>0</v>
      </c>
      <c r="E100" s="171">
        <f t="shared" si="19"/>
        <v>5403.09</v>
      </c>
      <c r="F100" s="573"/>
      <c r="G100" s="171">
        <f t="shared" si="20"/>
        <v>5403.09</v>
      </c>
      <c r="H100" s="172">
        <f t="shared" si="21"/>
        <v>4.184383156659195E-3</v>
      </c>
      <c r="I100" s="541"/>
      <c r="J100" s="168"/>
      <c r="K100" s="168"/>
      <c r="M100" s="364">
        <f t="shared" si="22"/>
        <v>0.69040250447227192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573">
        <f>'[29]Sch C'!D94</f>
        <v>0</v>
      </c>
      <c r="D101" s="573">
        <f>'[29]Sch C'!F94</f>
        <v>0</v>
      </c>
      <c r="E101" s="171">
        <f t="shared" si="19"/>
        <v>0</v>
      </c>
      <c r="F101" s="573"/>
      <c r="G101" s="171">
        <f t="shared" si="20"/>
        <v>0</v>
      </c>
      <c r="H101" s="172">
        <f t="shared" si="21"/>
        <v>0</v>
      </c>
      <c r="I101" s="541"/>
      <c r="J101" s="168"/>
      <c r="K101" s="168"/>
      <c r="M101" s="364">
        <f t="shared" si="22"/>
        <v>0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573">
        <f>SUM(C96:C101)</f>
        <v>191506.18</v>
      </c>
      <c r="D102" s="573">
        <f>SUM(D96:D101)</f>
        <v>7653.7877058627018</v>
      </c>
      <c r="E102" s="171">
        <f t="shared" ref="E102" si="23">SUM(E96:E101)</f>
        <v>199159.96770586268</v>
      </c>
      <c r="F102" s="573">
        <f>SUM(F96:F101)</f>
        <v>0</v>
      </c>
      <c r="G102" s="171">
        <f>SUM(G96:G101)</f>
        <v>199159.96770586268</v>
      </c>
      <c r="H102" s="172">
        <f t="shared" si="21"/>
        <v>0.15423796648754712</v>
      </c>
      <c r="I102" s="541"/>
      <c r="J102" s="168"/>
      <c r="K102" s="168"/>
      <c r="M102" s="364">
        <f>G102/G$228</f>
        <v>25.448500856869753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I103" s="545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545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573">
        <f>'[29]Sch C'!D98</f>
        <v>19712.080000000002</v>
      </c>
      <c r="D105" s="573">
        <f>'[29]Sch C'!F98</f>
        <v>0</v>
      </c>
      <c r="E105" s="171">
        <f t="shared" ref="E105:E110" si="24">C105+D105</f>
        <v>19712.080000000002</v>
      </c>
      <c r="F105" s="573"/>
      <c r="G105" s="171">
        <f t="shared" ref="G105:G110" si="25">E105+F105</f>
        <v>19712.080000000002</v>
      </c>
      <c r="H105" s="172">
        <f t="shared" ref="H105:H111" si="26">IF($G$208=0,0,G105/$G$208)</f>
        <v>1.52658748113984E-2</v>
      </c>
      <c r="I105" s="541"/>
      <c r="J105" s="183">
        <v>1946.82</v>
      </c>
      <c r="K105" s="183">
        <v>2142.48</v>
      </c>
      <c r="M105" s="364">
        <f t="shared" ref="M105:M110" si="27">G105/G$228</f>
        <v>2.5187937643751601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573">
        <f>'[29]Sch C'!D99</f>
        <v>0</v>
      </c>
      <c r="D106" s="573">
        <f>'[29]Sch C'!F99</f>
        <v>1559.1197699080287</v>
      </c>
      <c r="E106" s="171">
        <f t="shared" si="24"/>
        <v>1559.1197699080287</v>
      </c>
      <c r="F106" s="573"/>
      <c r="G106" s="171">
        <f t="shared" si="25"/>
        <v>1559.1197699080287</v>
      </c>
      <c r="H106" s="172">
        <f t="shared" si="26"/>
        <v>1.2074487940081536E-3</v>
      </c>
      <c r="I106" s="541"/>
      <c r="J106" s="168"/>
      <c r="K106" s="168"/>
      <c r="M106" s="364">
        <f t="shared" si="27"/>
        <v>0.19922307307794898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573">
        <f>'[29]Sch C'!D100</f>
        <v>1075.1500000000001</v>
      </c>
      <c r="D107" s="573">
        <f>'[29]Sch C'!F100</f>
        <v>0</v>
      </c>
      <c r="E107" s="171">
        <f t="shared" si="24"/>
        <v>1075.1500000000001</v>
      </c>
      <c r="F107" s="573"/>
      <c r="G107" s="171">
        <f t="shared" si="25"/>
        <v>1075.1500000000001</v>
      </c>
      <c r="H107" s="172">
        <f t="shared" si="26"/>
        <v>8.3264197910494432E-4</v>
      </c>
      <c r="I107" s="541"/>
      <c r="J107" s="168"/>
      <c r="K107" s="168"/>
      <c r="M107" s="364">
        <f t="shared" si="27"/>
        <v>0.13738180424226937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573">
        <f>'[29]Sch C'!D101</f>
        <v>0</v>
      </c>
      <c r="D108" s="573">
        <f>'[29]Sch C'!F101</f>
        <v>0</v>
      </c>
      <c r="E108" s="171">
        <f t="shared" si="24"/>
        <v>0</v>
      </c>
      <c r="F108" s="573"/>
      <c r="G108" s="171">
        <f t="shared" si="25"/>
        <v>0</v>
      </c>
      <c r="H108" s="172">
        <f t="shared" si="26"/>
        <v>0</v>
      </c>
      <c r="I108" s="541"/>
      <c r="J108" s="168"/>
      <c r="K108" s="168"/>
      <c r="M108" s="364">
        <f t="shared" si="27"/>
        <v>0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573">
        <f>'[29]Sch C'!D102</f>
        <v>2373.7800000000002</v>
      </c>
      <c r="D109" s="573">
        <f>'[29]Sch C'!F102</f>
        <v>0</v>
      </c>
      <c r="E109" s="171">
        <f t="shared" si="24"/>
        <v>2373.7800000000002</v>
      </c>
      <c r="F109" s="573"/>
      <c r="G109" s="171">
        <f t="shared" si="25"/>
        <v>2373.7800000000002</v>
      </c>
      <c r="H109" s="172">
        <f t="shared" si="26"/>
        <v>1.8383563941401057E-3</v>
      </c>
      <c r="I109" s="541"/>
      <c r="J109" s="168"/>
      <c r="K109" s="168"/>
      <c r="M109" s="364">
        <f t="shared" si="27"/>
        <v>0.30331970355226173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573">
        <f>'[29]Sch C'!D103</f>
        <v>0</v>
      </c>
      <c r="D110" s="573">
        <f>'[29]Sch C'!F103</f>
        <v>0</v>
      </c>
      <c r="E110" s="171">
        <f t="shared" si="24"/>
        <v>0</v>
      </c>
      <c r="F110" s="573"/>
      <c r="G110" s="171">
        <f t="shared" si="25"/>
        <v>0</v>
      </c>
      <c r="H110" s="172">
        <f t="shared" si="26"/>
        <v>0</v>
      </c>
      <c r="I110" s="541"/>
      <c r="J110" s="168"/>
      <c r="K110" s="168"/>
      <c r="M110" s="364">
        <f t="shared" si="27"/>
        <v>0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573">
        <f>SUM(C105:C110)</f>
        <v>23161.010000000002</v>
      </c>
      <c r="D111" s="573">
        <f>SUM(D105:D110)</f>
        <v>1559.1197699080287</v>
      </c>
      <c r="E111" s="171">
        <f t="shared" ref="E111" si="28">SUM(E105:E110)</f>
        <v>24720.129769908031</v>
      </c>
      <c r="F111" s="573">
        <f>SUM(F105:F110)</f>
        <v>0</v>
      </c>
      <c r="G111" s="171">
        <f>SUM(G105:G110)</f>
        <v>24720.129769908031</v>
      </c>
      <c r="H111" s="172">
        <f t="shared" si="26"/>
        <v>1.9144321978651603E-2</v>
      </c>
      <c r="I111" s="541"/>
      <c r="J111" s="168"/>
      <c r="K111" s="168"/>
      <c r="M111" s="364">
        <f>G111/G$228</f>
        <v>3.1587183452476402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I112" s="545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545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573">
        <f>'[29]Sch C'!D115</f>
        <v>25066.25</v>
      </c>
      <c r="D114" s="573">
        <f>'[29]Sch C'!F115</f>
        <v>0</v>
      </c>
      <c r="E114" s="171">
        <f t="shared" ref="E114:E118" si="29">C114+D114</f>
        <v>25066.25</v>
      </c>
      <c r="F114" s="573"/>
      <c r="G114" s="171">
        <f>E114+F114</f>
        <v>25066.25</v>
      </c>
      <c r="H114" s="172">
        <f t="shared" ref="H114:H119" si="30">IF($G$208=0,0,G114/$G$208)</f>
        <v>1.9412372235259552E-2</v>
      </c>
      <c r="I114" s="541"/>
      <c r="J114" s="183">
        <v>3140.75</v>
      </c>
      <c r="K114" s="183">
        <v>3287.79</v>
      </c>
      <c r="M114" s="364">
        <f t="shared" ref="M114:M119" si="31">G114/G$228</f>
        <v>3.2029453105034502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573">
        <f>'[29]Sch C'!D116</f>
        <v>0</v>
      </c>
      <c r="D115" s="573">
        <f>'[29]Sch C'!F116</f>
        <v>1982.6058910301256</v>
      </c>
      <c r="E115" s="171">
        <f t="shared" si="29"/>
        <v>1982.6058910301256</v>
      </c>
      <c r="F115" s="573"/>
      <c r="G115" s="171">
        <f>E115+F115</f>
        <v>1982.6058910301256</v>
      </c>
      <c r="H115" s="172">
        <f t="shared" si="30"/>
        <v>1.5354144936915268E-3</v>
      </c>
      <c r="I115" s="541"/>
      <c r="J115" s="168"/>
      <c r="K115" s="168"/>
      <c r="M115" s="364">
        <f t="shared" si="31"/>
        <v>0.25333578980706944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573">
        <f>'[29]Sch C'!D117</f>
        <v>4318.18</v>
      </c>
      <c r="D116" s="573">
        <f>'[29]Sch C'!F117</f>
        <v>0</v>
      </c>
      <c r="E116" s="171">
        <f t="shared" si="29"/>
        <v>4318.18</v>
      </c>
      <c r="F116" s="573"/>
      <c r="G116" s="171">
        <f>E116+F116</f>
        <v>4318.18</v>
      </c>
      <c r="H116" s="172">
        <f t="shared" si="30"/>
        <v>3.3441826176174379E-3</v>
      </c>
      <c r="I116" s="541"/>
      <c r="J116" s="168"/>
      <c r="K116" s="168"/>
      <c r="M116" s="364">
        <f t="shared" si="31"/>
        <v>0.55177357526194737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573">
        <f>'[29]Sch C'!D118</f>
        <v>0</v>
      </c>
      <c r="D117" s="573">
        <f>'[29]Sch C'!F118</f>
        <v>0</v>
      </c>
      <c r="E117" s="171">
        <f t="shared" si="29"/>
        <v>0</v>
      </c>
      <c r="F117" s="573"/>
      <c r="G117" s="171">
        <f>E117+F117</f>
        <v>0</v>
      </c>
      <c r="H117" s="172">
        <f t="shared" si="30"/>
        <v>0</v>
      </c>
      <c r="I117" s="541"/>
      <c r="J117" s="168"/>
      <c r="K117" s="168"/>
      <c r="M117" s="364">
        <f t="shared" si="31"/>
        <v>0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573">
        <f>'[29]Sch C'!D119</f>
        <v>0</v>
      </c>
      <c r="D118" s="573">
        <f>'[29]Sch C'!F119</f>
        <v>0</v>
      </c>
      <c r="E118" s="171">
        <f t="shared" si="29"/>
        <v>0</v>
      </c>
      <c r="F118" s="573"/>
      <c r="G118" s="171">
        <f>E118+F118</f>
        <v>0</v>
      </c>
      <c r="H118" s="172">
        <f t="shared" si="30"/>
        <v>0</v>
      </c>
      <c r="I118" s="541"/>
      <c r="J118" s="168"/>
      <c r="K118" s="168"/>
      <c r="M118" s="364">
        <f t="shared" si="31"/>
        <v>0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573">
        <f>SUM(C114:C118)</f>
        <v>29384.43</v>
      </c>
      <c r="D119" s="573">
        <f>SUM(D114:D118)</f>
        <v>1982.6058910301256</v>
      </c>
      <c r="E119" s="171">
        <f t="shared" ref="E119" si="32">SUM(E114:E118)</f>
        <v>31367.035891030126</v>
      </c>
      <c r="F119" s="573">
        <f>SUM(F114:F118)</f>
        <v>0</v>
      </c>
      <c r="G119" s="171">
        <f>SUM(G114:G118)</f>
        <v>31367.035891030126</v>
      </c>
      <c r="H119" s="172">
        <f t="shared" si="30"/>
        <v>2.4291969346568517E-2</v>
      </c>
      <c r="I119" s="541"/>
      <c r="J119" s="168"/>
      <c r="K119" s="168"/>
      <c r="M119" s="364">
        <f t="shared" si="31"/>
        <v>4.0080546755724669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I120" s="541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545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545"/>
      <c r="J122" s="204"/>
      <c r="K122" s="204"/>
      <c r="M122" s="359"/>
      <c r="N122" s="359"/>
    </row>
    <row r="123" spans="1:14" s="167" customFormat="1">
      <c r="B123" s="163" t="s">
        <v>232</v>
      </c>
      <c r="C123" s="573">
        <f>'[29]Sch C'!D124</f>
        <v>0</v>
      </c>
      <c r="D123" s="573">
        <f>'[29]Sch C'!F124</f>
        <v>0</v>
      </c>
      <c r="E123" s="171">
        <f t="shared" ref="E123:E127" si="33">C123+D123</f>
        <v>0</v>
      </c>
      <c r="F123" s="573"/>
      <c r="G123" s="171">
        <f>E123+F123</f>
        <v>0</v>
      </c>
      <c r="H123" s="172">
        <f>IF($G$208=0,0,G123/$G$208)</f>
        <v>0</v>
      </c>
      <c r="I123" s="541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0.77002560279620991</v>
      </c>
    </row>
    <row r="124" spans="1:14" s="167" customFormat="1">
      <c r="B124" s="163" t="s">
        <v>194</v>
      </c>
      <c r="C124" s="573">
        <f>'[29]Sch C'!D125</f>
        <v>53700.08</v>
      </c>
      <c r="D124" s="573">
        <f>'[29]Sch C'!F125</f>
        <v>0</v>
      </c>
      <c r="E124" s="171">
        <f t="shared" si="33"/>
        <v>53700.08</v>
      </c>
      <c r="F124" s="573"/>
      <c r="G124" s="171">
        <f>E124+F124</f>
        <v>53700.08</v>
      </c>
      <c r="H124" s="172">
        <f>IF($G$208=0,0,G124/$G$208)</f>
        <v>4.1587630460209121E-2</v>
      </c>
      <c r="I124" s="541"/>
      <c r="J124" s="183">
        <v>2080.08</v>
      </c>
      <c r="K124" s="183">
        <v>2148.08</v>
      </c>
      <c r="M124" s="364">
        <f t="shared" si="34"/>
        <v>6.8617531305903405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573">
        <f>'[29]Sch C'!D126</f>
        <v>0</v>
      </c>
      <c r="D125" s="573">
        <f>'[29]Sch C'!F126</f>
        <v>0</v>
      </c>
      <c r="E125" s="171">
        <f t="shared" si="33"/>
        <v>0</v>
      </c>
      <c r="F125" s="573"/>
      <c r="G125" s="171">
        <f>E125+F125</f>
        <v>0</v>
      </c>
      <c r="H125" s="172">
        <f>IF($G$208=0,0,G125/$G$208)</f>
        <v>0</v>
      </c>
      <c r="I125" s="541"/>
      <c r="J125" s="183">
        <v>0</v>
      </c>
      <c r="K125" s="183">
        <v>0</v>
      </c>
      <c r="M125" s="364">
        <f t="shared" si="34"/>
        <v>0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573">
        <f>'[29]Sch C'!D127</f>
        <v>0</v>
      </c>
      <c r="D126" s="573">
        <f>'[29]Sch C'!F127</f>
        <v>0</v>
      </c>
      <c r="E126" s="171">
        <f t="shared" si="33"/>
        <v>0</v>
      </c>
      <c r="F126" s="573"/>
      <c r="G126" s="171">
        <f>E126+F126</f>
        <v>0</v>
      </c>
      <c r="H126" s="172">
        <f>IF($G$208=0,0,G126/$G$208)</f>
        <v>0</v>
      </c>
      <c r="I126" s="541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573">
        <f>'[29]Sch C'!D128</f>
        <v>0</v>
      </c>
      <c r="D127" s="573">
        <f>'[29]Sch C'!F128</f>
        <v>0</v>
      </c>
      <c r="E127" s="171">
        <f t="shared" si="33"/>
        <v>0</v>
      </c>
      <c r="F127" s="573"/>
      <c r="G127" s="171">
        <f>E127+F127</f>
        <v>0</v>
      </c>
      <c r="H127" s="172">
        <f>IF($G$208=0,0,G127/$G$208)</f>
        <v>0</v>
      </c>
      <c r="I127" s="541"/>
      <c r="J127" s="183">
        <v>0</v>
      </c>
      <c r="K127" s="183">
        <v>0</v>
      </c>
      <c r="M127" s="364">
        <f t="shared" si="34"/>
        <v>0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573"/>
      <c r="G128" s="205"/>
      <c r="H128" s="206"/>
      <c r="I128" s="55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573">
        <f>'[29]Sch C'!D130</f>
        <v>0</v>
      </c>
      <c r="D129" s="573">
        <f>'[29]Sch C'!F130</f>
        <v>0</v>
      </c>
      <c r="E129" s="171">
        <f t="shared" ref="E129:E133" si="35">C129+D129</f>
        <v>0</v>
      </c>
      <c r="F129" s="573"/>
      <c r="G129" s="171">
        <f>E129+F129</f>
        <v>0</v>
      </c>
      <c r="H129" s="172">
        <f>IF($G$208=0,0,G129/$G$208)</f>
        <v>0</v>
      </c>
      <c r="I129" s="541"/>
      <c r="J129" s="204"/>
      <c r="K129" s="204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573">
        <f>'[29]Sch C'!D131</f>
        <v>0</v>
      </c>
      <c r="D130" s="573">
        <f>'[29]Sch C'!F131</f>
        <v>4247.3882194899134</v>
      </c>
      <c r="E130" s="171">
        <f t="shared" si="35"/>
        <v>4247.3882194899134</v>
      </c>
      <c r="F130" s="573"/>
      <c r="G130" s="171">
        <f>E130+F130</f>
        <v>4247.3882194899134</v>
      </c>
      <c r="H130" s="172">
        <f>IF($G$208=0,0,G130/$G$208)</f>
        <v>3.2893584458941606E-3</v>
      </c>
      <c r="I130" s="541"/>
      <c r="J130" s="204"/>
      <c r="K130" s="204"/>
      <c r="M130" s="364">
        <f t="shared" si="34"/>
        <v>0.54272785835547066</v>
      </c>
      <c r="N130" s="359">
        <f>SUMMARY!J133</f>
        <v>1.0792348507966931</v>
      </c>
    </row>
    <row r="131" spans="1:14" s="167" customFormat="1">
      <c r="B131" s="163" t="s">
        <v>195</v>
      </c>
      <c r="C131" s="573">
        <f>'[29]Sch C'!D132</f>
        <v>0</v>
      </c>
      <c r="D131" s="573">
        <f>'[29]Sch C'!F132</f>
        <v>0</v>
      </c>
      <c r="E131" s="171">
        <f t="shared" si="35"/>
        <v>0</v>
      </c>
      <c r="F131" s="573"/>
      <c r="G131" s="171">
        <f>E131+F131</f>
        <v>0</v>
      </c>
      <c r="H131" s="172">
        <f>IF($G$208=0,0,G131/$G$208)</f>
        <v>0</v>
      </c>
      <c r="I131" s="541"/>
      <c r="J131" s="168"/>
      <c r="K131" s="168"/>
      <c r="M131" s="364">
        <f t="shared" si="34"/>
        <v>0</v>
      </c>
      <c r="N131" s="359">
        <f>SUMMARY!J134</f>
        <v>8.2765628075518377E-2</v>
      </c>
    </row>
    <row r="132" spans="1:14" s="167" customFormat="1">
      <c r="B132" s="163" t="s">
        <v>196</v>
      </c>
      <c r="C132" s="573">
        <f>'[29]Sch C'!D133</f>
        <v>0</v>
      </c>
      <c r="D132" s="573">
        <f>'[29]Sch C'!F133</f>
        <v>0</v>
      </c>
      <c r="E132" s="171">
        <f t="shared" si="35"/>
        <v>0</v>
      </c>
      <c r="F132" s="573"/>
      <c r="G132" s="171">
        <f>E132+F132</f>
        <v>0</v>
      </c>
      <c r="H132" s="172">
        <f>IF($G$208=0,0,G132/$G$208)</f>
        <v>0</v>
      </c>
      <c r="I132" s="541"/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573">
        <f>'[29]Sch C'!D134</f>
        <v>0</v>
      </c>
      <c r="D133" s="573">
        <f>'[29]Sch C'!F134</f>
        <v>0</v>
      </c>
      <c r="E133" s="171">
        <f t="shared" si="35"/>
        <v>0</v>
      </c>
      <c r="F133" s="573"/>
      <c r="G133" s="171">
        <f>E133+F133</f>
        <v>0</v>
      </c>
      <c r="H133" s="172">
        <f>IF($G$208=0,0,G133/$G$208)</f>
        <v>0</v>
      </c>
      <c r="I133" s="541"/>
      <c r="J133" s="168"/>
      <c r="K133" s="168"/>
      <c r="M133" s="364">
        <f t="shared" si="34"/>
        <v>0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541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573">
        <f>'[29]Sch C'!D136</f>
        <v>130203.71</v>
      </c>
      <c r="D135" s="573">
        <f>'[29]Sch C'!F136</f>
        <v>0</v>
      </c>
      <c r="E135" s="171">
        <f t="shared" ref="E135:E138" si="36">C135+D135</f>
        <v>130203.71</v>
      </c>
      <c r="F135" s="573"/>
      <c r="G135" s="171">
        <f>E135+F135</f>
        <v>130203.71</v>
      </c>
      <c r="H135" s="172">
        <f>IF($G$208=0,0,G135/$G$208)</f>
        <v>0.10083530184737592</v>
      </c>
      <c r="I135" s="541"/>
      <c r="J135" s="183">
        <v>5442.09</v>
      </c>
      <c r="K135" s="183">
        <v>5916.42</v>
      </c>
      <c r="M135" s="364">
        <f t="shared" si="34"/>
        <v>16.637325581395348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573">
        <f>'[29]Sch C'!D137</f>
        <v>103786.24000000001</v>
      </c>
      <c r="D136" s="573">
        <f>'[29]Sch C'!F137</f>
        <v>0</v>
      </c>
      <c r="E136" s="171">
        <f t="shared" si="36"/>
        <v>103786.24000000001</v>
      </c>
      <c r="F136" s="573"/>
      <c r="G136" s="171">
        <f>E136+F136</f>
        <v>103786.24000000001</v>
      </c>
      <c r="H136" s="172">
        <f>IF($G$208=0,0,G136/$G$208)</f>
        <v>8.0376487259880697E-2</v>
      </c>
      <c r="I136" s="541"/>
      <c r="J136" s="183">
        <v>4639.37</v>
      </c>
      <c r="K136" s="183">
        <v>4896.4399999999996</v>
      </c>
      <c r="M136" s="364">
        <f t="shared" si="34"/>
        <v>13.261722463582929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573">
        <f>'[29]Sch C'!D138</f>
        <v>171907.35</v>
      </c>
      <c r="D137" s="573">
        <f>'[29]Sch C'!F138</f>
        <v>0</v>
      </c>
      <c r="E137" s="171">
        <f t="shared" si="36"/>
        <v>171907.35</v>
      </c>
      <c r="F137" s="573"/>
      <c r="G137" s="171">
        <f>E137+F137</f>
        <v>171907.35</v>
      </c>
      <c r="H137" s="172">
        <f>IF($G$208=0,0,G137/$G$208)</f>
        <v>0.13313237792557908</v>
      </c>
      <c r="I137" s="541"/>
      <c r="J137" s="183">
        <v>18574.68</v>
      </c>
      <c r="K137" s="183">
        <v>19626.150000000001</v>
      </c>
      <c r="M137" s="364">
        <f t="shared" si="34"/>
        <v>21.966183235369282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573">
        <f>'[29]Sch C'!D139</f>
        <v>0</v>
      </c>
      <c r="D138" s="573">
        <f>'[29]Sch C'!F139</f>
        <v>0</v>
      </c>
      <c r="E138" s="171">
        <f t="shared" si="36"/>
        <v>0</v>
      </c>
      <c r="F138" s="573"/>
      <c r="G138" s="171">
        <f>E138+F138</f>
        <v>0</v>
      </c>
      <c r="H138" s="172">
        <f>IF($G$208=0,0,G138/$G$208)</f>
        <v>0</v>
      </c>
      <c r="I138" s="541"/>
      <c r="J138" s="183">
        <v>0</v>
      </c>
      <c r="K138" s="183">
        <v>0</v>
      </c>
      <c r="M138" s="364">
        <f t="shared" si="34"/>
        <v>0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541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573">
        <f>'[29]Sch C'!D141</f>
        <v>0</v>
      </c>
      <c r="D140" s="573">
        <f>'[29]Sch C'!F141</f>
        <v>10298.41489971488</v>
      </c>
      <c r="E140" s="171">
        <f t="shared" ref="E140:E143" si="37">C140+D140</f>
        <v>10298.41489971488</v>
      </c>
      <c r="F140" s="573"/>
      <c r="G140" s="171">
        <f>E140+F140</f>
        <v>10298.41489971488</v>
      </c>
      <c r="H140" s="172">
        <f>IF($G$208=0,0,G140/$G$208)</f>
        <v>7.9755313804980178E-3</v>
      </c>
      <c r="I140" s="541"/>
      <c r="J140" s="168"/>
      <c r="K140" s="168"/>
      <c r="M140" s="364">
        <f t="shared" si="34"/>
        <v>1.3159231918879224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573">
        <f>'[29]Sch C'!D142</f>
        <v>0</v>
      </c>
      <c r="D141" s="573">
        <f>'[29]Sch C'!F142</f>
        <v>8208.9347561708055</v>
      </c>
      <c r="E141" s="171">
        <f t="shared" si="37"/>
        <v>8208.9347561708055</v>
      </c>
      <c r="F141" s="573"/>
      <c r="G141" s="171">
        <f>E141+F141</f>
        <v>8208.9347561708055</v>
      </c>
      <c r="H141" s="172">
        <f>IF($G$208=0,0,G141/$G$208)</f>
        <v>6.3573489110555943E-3</v>
      </c>
      <c r="I141" s="541"/>
      <c r="J141" s="168"/>
      <c r="K141" s="168"/>
      <c r="M141" s="364">
        <f t="shared" si="34"/>
        <v>1.0489310958562235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573">
        <f>'[29]Sch C'!D143</f>
        <v>0</v>
      </c>
      <c r="D142" s="573">
        <f>'[29]Sch C'!F143</f>
        <v>13596.949077798941</v>
      </c>
      <c r="E142" s="171">
        <f t="shared" si="37"/>
        <v>13596.949077798941</v>
      </c>
      <c r="F142" s="573"/>
      <c r="G142" s="171">
        <f>E142+F142</f>
        <v>13596.949077798941</v>
      </c>
      <c r="H142" s="172">
        <f>IF($G$208=0,0,G142/$G$208)</f>
        <v>1.0530056819911321E-2</v>
      </c>
      <c r="I142" s="541"/>
      <c r="J142" s="168"/>
      <c r="K142" s="168"/>
      <c r="M142" s="364">
        <f t="shared" si="34"/>
        <v>1.7374072422436675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573">
        <f>'[29]Sch C'!D144</f>
        <v>0</v>
      </c>
      <c r="D143" s="573">
        <f>'[29]Sch C'!F144</f>
        <v>0</v>
      </c>
      <c r="E143" s="171">
        <f t="shared" si="37"/>
        <v>0</v>
      </c>
      <c r="F143" s="573"/>
      <c r="G143" s="171">
        <f>E143+F143</f>
        <v>0</v>
      </c>
      <c r="H143" s="172">
        <f>IF($G$208=0,0,G143/$G$208)</f>
        <v>0</v>
      </c>
      <c r="I143" s="541"/>
      <c r="J143" s="168"/>
      <c r="K143" s="168"/>
      <c r="M143" s="364">
        <f t="shared" si="34"/>
        <v>0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541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573">
        <f>'[29]Sch C'!D146</f>
        <v>0</v>
      </c>
      <c r="D145" s="573">
        <f>'[29]Sch C'!F146</f>
        <v>0</v>
      </c>
      <c r="E145" s="171">
        <f t="shared" ref="E145:E153" si="38">C145+D145</f>
        <v>0</v>
      </c>
      <c r="F145" s="573"/>
      <c r="G145" s="171">
        <f t="shared" ref="G145:G153" si="39">E145+F145</f>
        <v>0</v>
      </c>
      <c r="H145" s="172">
        <f t="shared" ref="H145:H153" si="40">IF($G$208=0,0,G145/$G$208)</f>
        <v>0</v>
      </c>
      <c r="I145" s="541"/>
      <c r="J145" s="183">
        <v>0</v>
      </c>
      <c r="K145" s="183">
        <v>0</v>
      </c>
      <c r="M145" s="364">
        <f t="shared" si="34"/>
        <v>0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573">
        <f>'[29]Sch C'!D147</f>
        <v>0</v>
      </c>
      <c r="D146" s="573">
        <f>'[29]Sch C'!F147</f>
        <v>0</v>
      </c>
      <c r="E146" s="171">
        <f t="shared" si="38"/>
        <v>0</v>
      </c>
      <c r="F146" s="573"/>
      <c r="G146" s="171">
        <f t="shared" si="39"/>
        <v>0</v>
      </c>
      <c r="H146" s="172">
        <f t="shared" si="40"/>
        <v>0</v>
      </c>
      <c r="I146" s="541"/>
      <c r="J146" s="183">
        <v>0</v>
      </c>
      <c r="K146" s="183">
        <v>0</v>
      </c>
      <c r="M146" s="364">
        <f t="shared" si="34"/>
        <v>0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573">
        <f>'[29]Sch C'!D148</f>
        <v>0</v>
      </c>
      <c r="D147" s="573">
        <f>'[29]Sch C'!F148</f>
        <v>0</v>
      </c>
      <c r="E147" s="171">
        <f t="shared" si="38"/>
        <v>0</v>
      </c>
      <c r="F147" s="573"/>
      <c r="G147" s="171">
        <f t="shared" si="39"/>
        <v>0</v>
      </c>
      <c r="H147" s="172">
        <f t="shared" si="40"/>
        <v>0</v>
      </c>
      <c r="I147" s="541"/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573">
        <f>'[29]Sch C'!D149</f>
        <v>0</v>
      </c>
      <c r="D148" s="573">
        <f>'[29]Sch C'!F149</f>
        <v>0</v>
      </c>
      <c r="E148" s="171">
        <f t="shared" si="38"/>
        <v>0</v>
      </c>
      <c r="F148" s="573"/>
      <c r="G148" s="171">
        <f t="shared" si="39"/>
        <v>0</v>
      </c>
      <c r="H148" s="172">
        <f t="shared" si="40"/>
        <v>0</v>
      </c>
      <c r="I148" s="541"/>
      <c r="J148" s="183">
        <v>0</v>
      </c>
      <c r="K148" s="183">
        <v>0</v>
      </c>
      <c r="M148" s="364">
        <f t="shared" si="34"/>
        <v>0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573">
        <f>'[29]Sch C'!D150</f>
        <v>3520.75</v>
      </c>
      <c r="D149" s="573">
        <f>'[29]Sch C'!F150</f>
        <v>0</v>
      </c>
      <c r="E149" s="171">
        <f t="shared" si="38"/>
        <v>3520.75</v>
      </c>
      <c r="F149" s="573"/>
      <c r="G149" s="171">
        <f t="shared" si="39"/>
        <v>3520.75</v>
      </c>
      <c r="H149" s="172">
        <f t="shared" si="40"/>
        <v>2.7266188419604077E-3</v>
      </c>
      <c r="I149" s="541"/>
      <c r="J149" s="183">
        <v>0</v>
      </c>
      <c r="K149" s="183">
        <v>0</v>
      </c>
      <c r="M149" s="364">
        <f t="shared" si="34"/>
        <v>0.44987860976233068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573">
        <f>'[29]Sch C'!D151</f>
        <v>42260.94</v>
      </c>
      <c r="D150" s="573">
        <f>'[29]Sch C'!F151</f>
        <v>0</v>
      </c>
      <c r="E150" s="171">
        <f t="shared" si="38"/>
        <v>42260.94</v>
      </c>
      <c r="F150" s="573"/>
      <c r="G150" s="171">
        <f t="shared" si="39"/>
        <v>42260.94</v>
      </c>
      <c r="H150" s="172">
        <f t="shared" si="40"/>
        <v>3.2728672948365629E-2</v>
      </c>
      <c r="I150" s="540" t="s">
        <v>467</v>
      </c>
      <c r="J150" s="168"/>
      <c r="K150" s="168"/>
      <c r="M150" s="364">
        <f t="shared" si="34"/>
        <v>5.4000690007666758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573">
        <f>'[29]Sch C'!D152</f>
        <v>568.47</v>
      </c>
      <c r="D151" s="573">
        <f>'[29]Sch C'!F152</f>
        <v>0</v>
      </c>
      <c r="E151" s="171">
        <f t="shared" si="38"/>
        <v>568.47</v>
      </c>
      <c r="F151" s="573"/>
      <c r="G151" s="171">
        <f t="shared" si="39"/>
        <v>568.47</v>
      </c>
      <c r="H151" s="172">
        <f t="shared" si="40"/>
        <v>4.4024739418852037E-4</v>
      </c>
      <c r="I151" s="541"/>
      <c r="J151" s="168"/>
      <c r="K151" s="168"/>
      <c r="M151" s="364">
        <f t="shared" si="34"/>
        <v>7.2638640429338111E-2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573">
        <f>'[29]Sch C'!D153</f>
        <v>1485</v>
      </c>
      <c r="D152" s="573">
        <f>'[29]Sch C'!F153</f>
        <v>0</v>
      </c>
      <c r="E152" s="171">
        <f t="shared" si="38"/>
        <v>1485</v>
      </c>
      <c r="F152" s="573"/>
      <c r="G152" s="171">
        <f t="shared" si="39"/>
        <v>1485</v>
      </c>
      <c r="H152" s="172">
        <f t="shared" si="40"/>
        <v>1.1500472854679275E-3</v>
      </c>
      <c r="I152" s="541"/>
      <c r="J152" s="168"/>
      <c r="K152" s="168"/>
      <c r="M152" s="364">
        <f t="shared" si="34"/>
        <v>0.18975210835675951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573">
        <f>'[29]Sch C'!D154</f>
        <v>0</v>
      </c>
      <c r="D153" s="573">
        <f>'[29]Sch C'!F154</f>
        <v>0</v>
      </c>
      <c r="E153" s="171">
        <f t="shared" si="38"/>
        <v>0</v>
      </c>
      <c r="F153" s="573"/>
      <c r="G153" s="171">
        <f t="shared" si="39"/>
        <v>0</v>
      </c>
      <c r="H153" s="172">
        <f t="shared" si="40"/>
        <v>0</v>
      </c>
      <c r="I153" s="541"/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572"/>
      <c r="G154" s="210"/>
      <c r="H154" s="211"/>
      <c r="I154" s="541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573">
        <f>'[29]Sch C'!D156</f>
        <v>0</v>
      </c>
      <c r="D155" s="573">
        <f>'[29]Sch C'!F156</f>
        <v>0</v>
      </c>
      <c r="E155" s="171">
        <f t="shared" ref="E155:E160" si="41">C155+D155</f>
        <v>0</v>
      </c>
      <c r="F155" s="573"/>
      <c r="G155" s="171">
        <f t="shared" ref="G155:G160" si="42">E155+F155</f>
        <v>0</v>
      </c>
      <c r="H155" s="172">
        <f t="shared" ref="H155:H161" si="43">IF($G$208=0,0,G155/$G$208)</f>
        <v>0</v>
      </c>
      <c r="I155" s="541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573">
        <f>'[29]Sch C'!D157</f>
        <v>1050</v>
      </c>
      <c r="D156" s="573">
        <f>'[29]Sch C'!F157</f>
        <v>0</v>
      </c>
      <c r="E156" s="171">
        <f t="shared" si="41"/>
        <v>1050</v>
      </c>
      <c r="F156" s="573"/>
      <c r="G156" s="171">
        <f t="shared" si="42"/>
        <v>1050</v>
      </c>
      <c r="H156" s="172">
        <f t="shared" si="43"/>
        <v>8.1316474730055478E-4</v>
      </c>
      <c r="I156" s="541"/>
      <c r="J156" s="168"/>
      <c r="K156" s="168"/>
      <c r="M156" s="364">
        <f t="shared" si="34"/>
        <v>0.13416815742397137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573">
        <f>'[29]Sch C'!D158</f>
        <v>0</v>
      </c>
      <c r="D157" s="573">
        <f>'[29]Sch C'!F158</f>
        <v>0</v>
      </c>
      <c r="E157" s="171">
        <f t="shared" si="41"/>
        <v>0</v>
      </c>
      <c r="F157" s="573"/>
      <c r="G157" s="171">
        <f t="shared" si="42"/>
        <v>0</v>
      </c>
      <c r="H157" s="172">
        <f t="shared" si="43"/>
        <v>0</v>
      </c>
      <c r="I157" s="541"/>
      <c r="J157" s="168"/>
      <c r="K157" s="168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573">
        <f>'[29]Sch C'!D159</f>
        <v>0</v>
      </c>
      <c r="D158" s="573">
        <f>'[29]Sch C'!F159</f>
        <v>0</v>
      </c>
      <c r="E158" s="171">
        <f t="shared" si="41"/>
        <v>0</v>
      </c>
      <c r="F158" s="573"/>
      <c r="G158" s="171">
        <f t="shared" si="42"/>
        <v>0</v>
      </c>
      <c r="H158" s="172">
        <f t="shared" si="43"/>
        <v>0</v>
      </c>
      <c r="I158" s="541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573">
        <f>'[29]Sch C'!D160</f>
        <v>0</v>
      </c>
      <c r="D159" s="573">
        <f>'[29]Sch C'!F160</f>
        <v>0</v>
      </c>
      <c r="E159" s="171">
        <f t="shared" si="41"/>
        <v>0</v>
      </c>
      <c r="F159" s="573"/>
      <c r="G159" s="171">
        <f t="shared" si="42"/>
        <v>0</v>
      </c>
      <c r="H159" s="172">
        <f>IF($G$208=0,0,G159/$G$208)</f>
        <v>0</v>
      </c>
      <c r="I159" s="541"/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573">
        <f>'[29]Sch C'!D161</f>
        <v>0</v>
      </c>
      <c r="D160" s="573">
        <f>'[29]Sch C'!F161</f>
        <v>0</v>
      </c>
      <c r="E160" s="171">
        <f t="shared" si="41"/>
        <v>0</v>
      </c>
      <c r="F160" s="573"/>
      <c r="G160" s="171">
        <f t="shared" si="42"/>
        <v>0</v>
      </c>
      <c r="H160" s="172">
        <f t="shared" si="43"/>
        <v>0</v>
      </c>
      <c r="I160" s="541"/>
      <c r="J160" s="168"/>
      <c r="K160" s="168"/>
      <c r="M160" s="364">
        <f t="shared" si="34"/>
        <v>0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573">
        <f>SUM(C123:C160)</f>
        <v>508482.54</v>
      </c>
      <c r="D161" s="573">
        <f>SUM(D123:D160)</f>
        <v>36351.68695317454</v>
      </c>
      <c r="E161" s="171">
        <f t="shared" ref="E161" si="44">SUM(E123:E160)</f>
        <v>544834.22695317445</v>
      </c>
      <c r="F161" s="573">
        <f>SUM(F123:F160)</f>
        <v>0</v>
      </c>
      <c r="G161" s="171">
        <f>SUM(G123:G160)</f>
        <v>544834.22695317445</v>
      </c>
      <c r="H161" s="172">
        <f t="shared" si="43"/>
        <v>0.42194284426768686</v>
      </c>
      <c r="I161" s="541"/>
      <c r="J161" s="168"/>
      <c r="K161" s="168"/>
      <c r="M161" s="364">
        <f>G161/G$228</f>
        <v>69.618480316020253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541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541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573">
        <f>'[29]Sch C'!D175</f>
        <v>0</v>
      </c>
      <c r="D164" s="573">
        <f>'[29]Sch C'!F175</f>
        <v>0</v>
      </c>
      <c r="E164" s="171">
        <f t="shared" ref="E164:E196" si="45">C164+D164</f>
        <v>0</v>
      </c>
      <c r="F164" s="573"/>
      <c r="G164" s="171">
        <f t="shared" ref="G164:G196" si="46">E164+F164</f>
        <v>0</v>
      </c>
      <c r="H164" s="172">
        <f t="shared" ref="H164:H196" si="47">IF($G$208=0,0,G164/$G$208)</f>
        <v>0</v>
      </c>
      <c r="I164" s="553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573">
        <f>'[29]Sch C'!D176</f>
        <v>0</v>
      </c>
      <c r="D165" s="573">
        <f>'[29]Sch C'!F176</f>
        <v>0</v>
      </c>
      <c r="E165" s="171">
        <f t="shared" si="45"/>
        <v>0</v>
      </c>
      <c r="F165" s="573"/>
      <c r="G165" s="171">
        <f t="shared" si="46"/>
        <v>0</v>
      </c>
      <c r="H165" s="172">
        <f t="shared" si="47"/>
        <v>0</v>
      </c>
      <c r="I165" s="554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573">
        <f>'[29]Sch C'!D177</f>
        <v>0</v>
      </c>
      <c r="D166" s="573">
        <f>'[29]Sch C'!F177</f>
        <v>0</v>
      </c>
      <c r="E166" s="171">
        <f t="shared" si="45"/>
        <v>0</v>
      </c>
      <c r="F166" s="573"/>
      <c r="G166" s="171">
        <f t="shared" si="46"/>
        <v>0</v>
      </c>
      <c r="H166" s="172">
        <f t="shared" si="47"/>
        <v>0</v>
      </c>
      <c r="I166" s="553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573">
        <f>'[29]Sch C'!D178</f>
        <v>0</v>
      </c>
      <c r="D167" s="573">
        <f>'[29]Sch C'!F178</f>
        <v>0</v>
      </c>
      <c r="E167" s="171">
        <f t="shared" si="45"/>
        <v>0</v>
      </c>
      <c r="F167" s="573"/>
      <c r="G167" s="171">
        <f t="shared" si="46"/>
        <v>0</v>
      </c>
      <c r="H167" s="172">
        <f t="shared" si="47"/>
        <v>0</v>
      </c>
      <c r="I167" s="554"/>
      <c r="J167" s="222"/>
      <c r="K167" s="222"/>
      <c r="L167" s="218"/>
      <c r="M167" s="364">
        <f t="shared" si="48"/>
        <v>0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573">
        <f>'[29]Sch C'!D179</f>
        <v>0</v>
      </c>
      <c r="D168" s="573">
        <f>'[29]Sch C'!F179</f>
        <v>0</v>
      </c>
      <c r="E168" s="171">
        <f t="shared" si="45"/>
        <v>0</v>
      </c>
      <c r="F168" s="573"/>
      <c r="G168" s="171">
        <f t="shared" si="46"/>
        <v>0</v>
      </c>
      <c r="H168" s="172">
        <f t="shared" si="47"/>
        <v>0</v>
      </c>
      <c r="I168" s="553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573">
        <f>'[29]Sch C'!D180</f>
        <v>0</v>
      </c>
      <c r="D169" s="573">
        <f>'[29]Sch C'!F180</f>
        <v>0</v>
      </c>
      <c r="E169" s="171">
        <f t="shared" si="45"/>
        <v>0</v>
      </c>
      <c r="F169" s="573"/>
      <c r="G169" s="171">
        <f t="shared" si="46"/>
        <v>0</v>
      </c>
      <c r="H169" s="172">
        <f t="shared" si="47"/>
        <v>0</v>
      </c>
      <c r="I169" s="554"/>
      <c r="J169" s="222"/>
      <c r="K169" s="222"/>
      <c r="L169" s="218"/>
      <c r="M169" s="364">
        <f t="shared" si="48"/>
        <v>0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573">
        <f>'[29]Sch C'!D181</f>
        <v>0</v>
      </c>
      <c r="D170" s="573">
        <f>'[29]Sch C'!F181</f>
        <v>0</v>
      </c>
      <c r="E170" s="171">
        <f t="shared" si="45"/>
        <v>0</v>
      </c>
      <c r="F170" s="573"/>
      <c r="G170" s="171">
        <f t="shared" si="46"/>
        <v>0</v>
      </c>
      <c r="H170" s="172">
        <f t="shared" si="47"/>
        <v>0</v>
      </c>
      <c r="I170" s="553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573">
        <f>'[29]Sch C'!D182</f>
        <v>0</v>
      </c>
      <c r="D171" s="573">
        <f>'[29]Sch C'!F182</f>
        <v>0</v>
      </c>
      <c r="E171" s="171">
        <f t="shared" si="45"/>
        <v>0</v>
      </c>
      <c r="F171" s="573"/>
      <c r="G171" s="171">
        <f t="shared" si="46"/>
        <v>0</v>
      </c>
      <c r="H171" s="172">
        <f t="shared" si="47"/>
        <v>0</v>
      </c>
      <c r="I171" s="554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573">
        <f>'[29]Sch C'!D183</f>
        <v>0</v>
      </c>
      <c r="D172" s="573">
        <f>'[29]Sch C'!F183</f>
        <v>0</v>
      </c>
      <c r="E172" s="171">
        <f t="shared" si="45"/>
        <v>0</v>
      </c>
      <c r="F172" s="573"/>
      <c r="G172" s="171">
        <f t="shared" si="46"/>
        <v>0</v>
      </c>
      <c r="H172" s="172">
        <f t="shared" si="47"/>
        <v>0</v>
      </c>
      <c r="I172" s="553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573">
        <f>'[29]Sch C'!D184</f>
        <v>0</v>
      </c>
      <c r="D173" s="573">
        <f>'[29]Sch C'!F184</f>
        <v>0</v>
      </c>
      <c r="E173" s="171">
        <f t="shared" si="45"/>
        <v>0</v>
      </c>
      <c r="F173" s="573"/>
      <c r="G173" s="171">
        <f t="shared" si="46"/>
        <v>0</v>
      </c>
      <c r="H173" s="172">
        <f t="shared" si="47"/>
        <v>0</v>
      </c>
      <c r="I173" s="554"/>
      <c r="J173" s="222"/>
      <c r="K173" s="222"/>
      <c r="L173" s="218"/>
      <c r="M173" s="364">
        <f t="shared" si="48"/>
        <v>0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573">
        <f>'[29]Sch C'!D185</f>
        <v>0</v>
      </c>
      <c r="D174" s="573">
        <f>'[29]Sch C'!F185</f>
        <v>0</v>
      </c>
      <c r="E174" s="171">
        <f t="shared" si="45"/>
        <v>0</v>
      </c>
      <c r="F174" s="573"/>
      <c r="G174" s="171">
        <f t="shared" si="46"/>
        <v>0</v>
      </c>
      <c r="H174" s="172">
        <f t="shared" si="47"/>
        <v>0</v>
      </c>
      <c r="I174" s="553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573">
        <f>'[29]Sch C'!D186</f>
        <v>0</v>
      </c>
      <c r="D175" s="573">
        <f>'[29]Sch C'!F186</f>
        <v>0</v>
      </c>
      <c r="E175" s="171">
        <f t="shared" si="45"/>
        <v>0</v>
      </c>
      <c r="F175" s="573"/>
      <c r="G175" s="171">
        <f t="shared" si="46"/>
        <v>0</v>
      </c>
      <c r="H175" s="172">
        <f t="shared" si="47"/>
        <v>0</v>
      </c>
      <c r="I175" s="541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573">
        <f>'[29]Sch C'!D187</f>
        <v>0</v>
      </c>
      <c r="D176" s="573">
        <f>'[29]Sch C'!F187</f>
        <v>0</v>
      </c>
      <c r="E176" s="171">
        <f t="shared" si="45"/>
        <v>0</v>
      </c>
      <c r="F176" s="573"/>
      <c r="G176" s="171">
        <f t="shared" si="46"/>
        <v>0</v>
      </c>
      <c r="H176" s="172">
        <f t="shared" si="47"/>
        <v>0</v>
      </c>
      <c r="I176" s="541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573">
        <f>'[29]Sch C'!D188</f>
        <v>0</v>
      </c>
      <c r="D177" s="573">
        <f>'[29]Sch C'!F188</f>
        <v>0</v>
      </c>
      <c r="E177" s="171">
        <f t="shared" si="45"/>
        <v>0</v>
      </c>
      <c r="F177" s="573"/>
      <c r="G177" s="171">
        <f t="shared" si="46"/>
        <v>0</v>
      </c>
      <c r="H177" s="172">
        <f t="shared" si="47"/>
        <v>0</v>
      </c>
      <c r="I177" s="541"/>
      <c r="J177" s="223"/>
      <c r="K177" s="218"/>
      <c r="L177" s="220"/>
      <c r="M177" s="364">
        <f t="shared" si="48"/>
        <v>0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573">
        <f>'[29]Sch C'!D189</f>
        <v>0</v>
      </c>
      <c r="D178" s="573">
        <f>'[29]Sch C'!F189</f>
        <v>0</v>
      </c>
      <c r="E178" s="171">
        <f t="shared" si="45"/>
        <v>0</v>
      </c>
      <c r="F178" s="573"/>
      <c r="G178" s="171">
        <f t="shared" si="46"/>
        <v>0</v>
      </c>
      <c r="H178" s="172">
        <f t="shared" si="47"/>
        <v>0</v>
      </c>
      <c r="I178" s="541"/>
      <c r="J178" s="223"/>
      <c r="K178" s="218"/>
      <c r="L178" s="220"/>
      <c r="M178" s="364">
        <f t="shared" si="48"/>
        <v>0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573">
        <f>'[29]Sch C'!D190</f>
        <v>0</v>
      </c>
      <c r="D179" s="573">
        <f>'[29]Sch C'!F190</f>
        <v>0</v>
      </c>
      <c r="E179" s="171">
        <f t="shared" si="45"/>
        <v>0</v>
      </c>
      <c r="F179" s="573"/>
      <c r="G179" s="171">
        <f t="shared" si="46"/>
        <v>0</v>
      </c>
      <c r="H179" s="172">
        <f t="shared" si="47"/>
        <v>0</v>
      </c>
      <c r="I179" s="541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573">
        <f>'[29]Sch C'!D191</f>
        <v>0</v>
      </c>
      <c r="D180" s="573">
        <f>'[29]Sch C'!F191</f>
        <v>0</v>
      </c>
      <c r="E180" s="171">
        <f t="shared" si="45"/>
        <v>0</v>
      </c>
      <c r="F180" s="573"/>
      <c r="G180" s="171">
        <f t="shared" si="46"/>
        <v>0</v>
      </c>
      <c r="H180" s="172">
        <f t="shared" si="47"/>
        <v>0</v>
      </c>
      <c r="I180" s="541"/>
      <c r="J180" s="223"/>
      <c r="K180" s="218"/>
      <c r="L180" s="220"/>
      <c r="M180" s="364">
        <f t="shared" si="48"/>
        <v>0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573">
        <f>'[29]Sch C'!D192</f>
        <v>0</v>
      </c>
      <c r="D181" s="573">
        <f>'[29]Sch C'!F192</f>
        <v>0</v>
      </c>
      <c r="E181" s="171">
        <f t="shared" si="45"/>
        <v>0</v>
      </c>
      <c r="F181" s="573"/>
      <c r="G181" s="171">
        <f t="shared" si="46"/>
        <v>0</v>
      </c>
      <c r="H181" s="172">
        <f t="shared" si="47"/>
        <v>0</v>
      </c>
      <c r="I181" s="541"/>
      <c r="J181" s="223"/>
      <c r="K181" s="218"/>
      <c r="L181" s="220"/>
      <c r="M181" s="364">
        <f t="shared" si="48"/>
        <v>0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573">
        <f>'[29]Sch C'!D193</f>
        <v>165</v>
      </c>
      <c r="D182" s="573">
        <f>'[29]Sch C'!F193</f>
        <v>0</v>
      </c>
      <c r="E182" s="171">
        <f t="shared" si="45"/>
        <v>165</v>
      </c>
      <c r="F182" s="573"/>
      <c r="G182" s="171">
        <f t="shared" si="46"/>
        <v>165</v>
      </c>
      <c r="H182" s="172">
        <f t="shared" si="47"/>
        <v>1.2778303171865859E-4</v>
      </c>
      <c r="I182" s="541"/>
      <c r="J182" s="223"/>
      <c r="K182" s="218"/>
      <c r="L182" s="220"/>
      <c r="M182" s="364">
        <f t="shared" si="48"/>
        <v>2.1083567595195501E-2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573">
        <f>'[29]Sch C'!D194</f>
        <v>31642.82</v>
      </c>
      <c r="D183" s="573">
        <f>'[29]Sch C'!F194</f>
        <v>-15821.5</v>
      </c>
      <c r="E183" s="171">
        <f t="shared" si="45"/>
        <v>15821.32</v>
      </c>
      <c r="F183" s="573"/>
      <c r="G183" s="171">
        <f t="shared" si="46"/>
        <v>15821.32</v>
      </c>
      <c r="H183" s="172">
        <f t="shared" si="47"/>
        <v>1.2252704456915441E-2</v>
      </c>
      <c r="I183" s="541"/>
      <c r="J183" s="223"/>
      <c r="K183" s="218"/>
      <c r="M183" s="364">
        <f t="shared" si="48"/>
        <v>2.0216355737285969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573">
        <f>'[29]Sch C'!D195</f>
        <v>0</v>
      </c>
      <c r="D184" s="573">
        <f>'[29]Sch C'!F195</f>
        <v>0</v>
      </c>
      <c r="E184" s="171">
        <f t="shared" si="45"/>
        <v>0</v>
      </c>
      <c r="F184" s="573"/>
      <c r="G184" s="171">
        <f t="shared" si="46"/>
        <v>0</v>
      </c>
      <c r="H184" s="172">
        <f t="shared" si="47"/>
        <v>0</v>
      </c>
      <c r="I184" s="541"/>
      <c r="J184" s="223"/>
      <c r="K184" s="218"/>
      <c r="M184" s="364">
        <f t="shared" si="48"/>
        <v>0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573">
        <f>'[29]Sch C'!D196</f>
        <v>0</v>
      </c>
      <c r="D185" s="573">
        <f>'[29]Sch C'!F196</f>
        <v>0</v>
      </c>
      <c r="E185" s="171">
        <f t="shared" si="45"/>
        <v>0</v>
      </c>
      <c r="F185" s="573"/>
      <c r="G185" s="171">
        <f t="shared" si="46"/>
        <v>0</v>
      </c>
      <c r="H185" s="172">
        <f t="shared" si="47"/>
        <v>0</v>
      </c>
      <c r="I185" s="541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573">
        <f>'[29]Sch C'!D197</f>
        <v>25182.33</v>
      </c>
      <c r="D186" s="573">
        <f>'[29]Sch C'!F197</f>
        <v>-12591</v>
      </c>
      <c r="E186" s="171">
        <f t="shared" si="45"/>
        <v>12591.330000000002</v>
      </c>
      <c r="F186" s="573"/>
      <c r="G186" s="171">
        <f t="shared" si="46"/>
        <v>12591.330000000002</v>
      </c>
      <c r="H186" s="172">
        <f t="shared" si="47"/>
        <v>9.7512625501218059E-3</v>
      </c>
      <c r="I186" s="541"/>
      <c r="J186" s="223"/>
      <c r="K186" s="218"/>
      <c r="M186" s="364">
        <f t="shared" si="48"/>
        <v>1.6089100434449275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573">
        <f>'[29]Sch C'!D198</f>
        <v>2993.88</v>
      </c>
      <c r="D187" s="573">
        <f>'[29]Sch C'!F198</f>
        <v>0</v>
      </c>
      <c r="E187" s="171">
        <f t="shared" si="45"/>
        <v>2993.88</v>
      </c>
      <c r="F187" s="573"/>
      <c r="G187" s="171">
        <f t="shared" si="46"/>
        <v>2993.88</v>
      </c>
      <c r="H187" s="172">
        <f t="shared" si="47"/>
        <v>2.3185882606173189E-3</v>
      </c>
      <c r="I187" s="541"/>
      <c r="J187" s="223"/>
      <c r="K187" s="218"/>
      <c r="M187" s="364">
        <f t="shared" si="48"/>
        <v>0.38255558395093281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573">
        <f>'[29]Sch C'!D199</f>
        <v>0</v>
      </c>
      <c r="D188" s="573">
        <f>'[29]Sch C'!F199</f>
        <v>0</v>
      </c>
      <c r="E188" s="171">
        <f t="shared" si="45"/>
        <v>0</v>
      </c>
      <c r="F188" s="573"/>
      <c r="G188" s="171">
        <f t="shared" si="46"/>
        <v>0</v>
      </c>
      <c r="H188" s="172">
        <f t="shared" si="47"/>
        <v>0</v>
      </c>
      <c r="I188" s="541"/>
      <c r="J188" s="223"/>
      <c r="K188" s="218"/>
      <c r="M188" s="364">
        <f t="shared" si="48"/>
        <v>0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573">
        <f>'[29]Sch C'!D200</f>
        <v>468</v>
      </c>
      <c r="D189" s="573">
        <f>'[29]Sch C'!F200</f>
        <v>0</v>
      </c>
      <c r="E189" s="171">
        <f t="shared" si="45"/>
        <v>468</v>
      </c>
      <c r="F189" s="573"/>
      <c r="G189" s="171">
        <f t="shared" si="46"/>
        <v>468</v>
      </c>
      <c r="H189" s="172">
        <f t="shared" si="47"/>
        <v>3.6243914451110441E-4</v>
      </c>
      <c r="I189" s="541"/>
      <c r="J189" s="223"/>
      <c r="K189" s="218"/>
      <c r="M189" s="364">
        <f t="shared" si="48"/>
        <v>5.9800664451827246E-2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573">
        <f>'[29]Sch C'!D201</f>
        <v>0</v>
      </c>
      <c r="D190" s="573">
        <f>'[29]Sch C'!F201</f>
        <v>0</v>
      </c>
      <c r="E190" s="171">
        <f t="shared" si="45"/>
        <v>0</v>
      </c>
      <c r="F190" s="573"/>
      <c r="G190" s="171">
        <f t="shared" si="46"/>
        <v>0</v>
      </c>
      <c r="H190" s="172">
        <f t="shared" si="47"/>
        <v>0</v>
      </c>
      <c r="I190" s="541"/>
      <c r="J190" s="223"/>
      <c r="K190" s="218"/>
      <c r="M190" s="364">
        <f t="shared" si="48"/>
        <v>0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573">
        <f>'[29]Sch C'!D202</f>
        <v>0</v>
      </c>
      <c r="D191" s="573">
        <f>'[29]Sch C'!F202</f>
        <v>0</v>
      </c>
      <c r="E191" s="171">
        <f t="shared" si="45"/>
        <v>0</v>
      </c>
      <c r="F191" s="573"/>
      <c r="G191" s="171">
        <f t="shared" si="46"/>
        <v>0</v>
      </c>
      <c r="H191" s="172">
        <f t="shared" si="47"/>
        <v>0</v>
      </c>
      <c r="I191" s="541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573">
        <f>'[29]Sch C'!D203</f>
        <v>0</v>
      </c>
      <c r="D192" s="573">
        <f>'[29]Sch C'!F203</f>
        <v>0</v>
      </c>
      <c r="E192" s="171">
        <f t="shared" si="45"/>
        <v>0</v>
      </c>
      <c r="F192" s="573"/>
      <c r="G192" s="171">
        <f t="shared" si="46"/>
        <v>0</v>
      </c>
      <c r="H192" s="172">
        <f t="shared" si="47"/>
        <v>0</v>
      </c>
      <c r="I192" s="541"/>
      <c r="J192" s="223"/>
      <c r="K192" s="218"/>
      <c r="M192" s="364">
        <f t="shared" si="48"/>
        <v>0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573">
        <f>'[29]Sch C'!D204</f>
        <v>0</v>
      </c>
      <c r="D193" s="573">
        <f>'[29]Sch C'!F204</f>
        <v>0</v>
      </c>
      <c r="E193" s="171">
        <f t="shared" si="45"/>
        <v>0</v>
      </c>
      <c r="F193" s="573"/>
      <c r="G193" s="171">
        <f t="shared" si="46"/>
        <v>0</v>
      </c>
      <c r="H193" s="172">
        <f t="shared" si="47"/>
        <v>0</v>
      </c>
      <c r="I193" s="541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573">
        <f>'[29]Sch C'!D205</f>
        <v>13457.31</v>
      </c>
      <c r="D194" s="573">
        <f>'[29]Sch C'!F205</f>
        <v>0</v>
      </c>
      <c r="E194" s="171">
        <f t="shared" si="45"/>
        <v>13457.31</v>
      </c>
      <c r="F194" s="573"/>
      <c r="G194" s="171">
        <f t="shared" si="46"/>
        <v>13457.31</v>
      </c>
      <c r="H194" s="172">
        <f t="shared" si="47"/>
        <v>1.0421914367138312E-2</v>
      </c>
      <c r="I194" s="541"/>
      <c r="J194" s="223"/>
      <c r="K194" s="218"/>
      <c r="M194" s="364">
        <f t="shared" si="48"/>
        <v>1.7195642729363658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573">
        <f>'[29]Sch C'!D206</f>
        <v>188.5</v>
      </c>
      <c r="D195" s="573">
        <f>'[29]Sch C'!F206</f>
        <v>0</v>
      </c>
      <c r="E195" s="171">
        <f t="shared" si="45"/>
        <v>188.5</v>
      </c>
      <c r="F195" s="573"/>
      <c r="G195" s="171">
        <f t="shared" si="46"/>
        <v>188.5</v>
      </c>
      <c r="H195" s="172">
        <f t="shared" si="47"/>
        <v>1.459824332058615E-4</v>
      </c>
      <c r="I195" s="541"/>
      <c r="J195" s="223"/>
      <c r="K195" s="218"/>
      <c r="M195" s="364">
        <f t="shared" si="48"/>
        <v>2.408637873754153E-2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573">
        <f>'[29]Sch C'!D207</f>
        <v>0</v>
      </c>
      <c r="D196" s="573">
        <f>'[29]Sch C'!F207</f>
        <v>0</v>
      </c>
      <c r="E196" s="171">
        <f t="shared" si="45"/>
        <v>0</v>
      </c>
      <c r="F196" s="573"/>
      <c r="G196" s="171">
        <f t="shared" si="46"/>
        <v>0</v>
      </c>
      <c r="H196" s="172">
        <f t="shared" si="47"/>
        <v>0</v>
      </c>
      <c r="I196" s="541"/>
      <c r="J196" s="223"/>
      <c r="K196" s="218"/>
      <c r="M196" s="364">
        <f t="shared" si="48"/>
        <v>0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573">
        <f>SUM(C164:C196)</f>
        <v>74097.84</v>
      </c>
      <c r="D197" s="573">
        <f>SUM(D164:D196)</f>
        <v>-28412.5</v>
      </c>
      <c r="E197" s="171">
        <f t="shared" ref="E197" si="49">SUM(E164:E196)</f>
        <v>45685.340000000004</v>
      </c>
      <c r="F197" s="573">
        <f>SUM(F164:F196)</f>
        <v>0</v>
      </c>
      <c r="G197" s="171">
        <f>SUM(G164:G196)</f>
        <v>45685.340000000004</v>
      </c>
      <c r="H197" s="172">
        <f>IF($G$208=0,0,G197/$G$208)</f>
        <v>3.5380674244228506E-2</v>
      </c>
      <c r="I197" s="541"/>
      <c r="J197" s="168"/>
      <c r="K197" s="168"/>
      <c r="M197" s="364">
        <f>G197/G$228</f>
        <v>5.8376360848453874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165"/>
      <c r="G198" s="165"/>
      <c r="H198" s="198"/>
      <c r="I198" s="545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545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573">
        <f>'[29]Sch C'!D211</f>
        <v>35765.07</v>
      </c>
      <c r="D200" s="573">
        <f>'[29]Sch C'!F211</f>
        <v>0</v>
      </c>
      <c r="E200" s="171">
        <f t="shared" ref="E200:E205" si="50">C200+D200</f>
        <v>35765.07</v>
      </c>
      <c r="F200" s="573"/>
      <c r="G200" s="171">
        <f t="shared" ref="G200:G205" si="51">E200+F200</f>
        <v>35765.07</v>
      </c>
      <c r="H200" s="172">
        <f t="shared" ref="H200:H206" si="52">IF($G$208=0,0,G200/$G$208)</f>
        <v>2.7697994389273003E-2</v>
      </c>
      <c r="I200" s="541"/>
      <c r="J200" s="183">
        <v>2970.94</v>
      </c>
      <c r="K200" s="183">
        <v>3251.56</v>
      </c>
      <c r="M200" s="364">
        <f t="shared" ref="M200:M205" si="53">G200/G$228</f>
        <v>4.5700319447993865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573">
        <f>'[29]Sch C'!D212</f>
        <v>0</v>
      </c>
      <c r="D201" s="573">
        <f>'[29]Sch C'!F212</f>
        <v>2828.8251523504641</v>
      </c>
      <c r="E201" s="171">
        <f t="shared" si="50"/>
        <v>2828.8251523504641</v>
      </c>
      <c r="F201" s="573"/>
      <c r="G201" s="171">
        <f t="shared" si="51"/>
        <v>2828.8251523504641</v>
      </c>
      <c r="H201" s="172">
        <f t="shared" si="52"/>
        <v>2.190762752541446E-3</v>
      </c>
      <c r="I201" s="541"/>
      <c r="J201" s="168"/>
      <c r="K201" s="168"/>
      <c r="M201" s="364">
        <f t="shared" si="53"/>
        <v>0.3614650079670923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573">
        <f>'[29]Sch C'!D213</f>
        <v>715</v>
      </c>
      <c r="D202" s="573">
        <f>'[29]Sch C'!F213</f>
        <v>0</v>
      </c>
      <c r="E202" s="171">
        <f t="shared" si="50"/>
        <v>715</v>
      </c>
      <c r="F202" s="573"/>
      <c r="G202" s="171">
        <f t="shared" si="51"/>
        <v>715</v>
      </c>
      <c r="H202" s="172">
        <f t="shared" si="52"/>
        <v>5.5372647078085391E-4</v>
      </c>
      <c r="I202" s="541"/>
      <c r="J202" s="168"/>
      <c r="K202" s="168"/>
      <c r="M202" s="364">
        <f t="shared" si="53"/>
        <v>9.1362126245847178E-2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573">
        <f>'[29]Sch C'!D214</f>
        <v>0</v>
      </c>
      <c r="D203" s="573">
        <f>'[29]Sch C'!F214</f>
        <v>0</v>
      </c>
      <c r="E203" s="171">
        <f t="shared" si="50"/>
        <v>0</v>
      </c>
      <c r="F203" s="573"/>
      <c r="G203" s="171">
        <f t="shared" si="51"/>
        <v>0</v>
      </c>
      <c r="H203" s="172">
        <f t="shared" si="52"/>
        <v>0</v>
      </c>
      <c r="I203" s="541"/>
      <c r="J203" s="168"/>
      <c r="K203" s="168"/>
      <c r="M203" s="364">
        <f t="shared" si="53"/>
        <v>0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573">
        <f>'[29]Sch C'!D215</f>
        <v>0</v>
      </c>
      <c r="D204" s="573">
        <f>'[29]Sch C'!F215</f>
        <v>0</v>
      </c>
      <c r="E204" s="171">
        <f t="shared" si="50"/>
        <v>0</v>
      </c>
      <c r="F204" s="573"/>
      <c r="G204" s="171">
        <f t="shared" si="51"/>
        <v>0</v>
      </c>
      <c r="H204" s="172">
        <f t="shared" si="52"/>
        <v>0</v>
      </c>
      <c r="I204" s="541"/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573">
        <f>'[29]Sch C'!D216</f>
        <v>130.54</v>
      </c>
      <c r="D205" s="573">
        <f>'[29]Sch C'!F216</f>
        <v>0</v>
      </c>
      <c r="E205" s="171">
        <f t="shared" si="50"/>
        <v>130.54</v>
      </c>
      <c r="F205" s="573"/>
      <c r="G205" s="171">
        <f t="shared" si="51"/>
        <v>130.54</v>
      </c>
      <c r="H205" s="172">
        <f t="shared" si="52"/>
        <v>1.0109573915487086E-4</v>
      </c>
      <c r="I205" s="540"/>
      <c r="J205" s="168"/>
      <c r="K205" s="168"/>
      <c r="M205" s="364">
        <f t="shared" si="53"/>
        <v>1.6680296447738305E-2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573">
        <f>SUM(C200:C205)</f>
        <v>36610.61</v>
      </c>
      <c r="D206" s="573">
        <f>SUM(D200:D205)</f>
        <v>2828.8251523504641</v>
      </c>
      <c r="E206" s="171">
        <f t="shared" ref="E206" si="54">SUM(E200:E205)</f>
        <v>39439.435152350467</v>
      </c>
      <c r="F206" s="171">
        <f>SUM(F200:F205)</f>
        <v>0</v>
      </c>
      <c r="G206" s="171">
        <f>SUM(G200:G205)</f>
        <v>39439.435152350467</v>
      </c>
      <c r="H206" s="172">
        <f t="shared" si="52"/>
        <v>3.0543579351750175E-2</v>
      </c>
      <c r="I206" s="541"/>
      <c r="J206" s="168"/>
      <c r="K206" s="168"/>
      <c r="M206" s="364">
        <f>G206/G$228</f>
        <v>5.0395393754600644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165"/>
      <c r="G207" s="165"/>
      <c r="H207" s="198"/>
      <c r="I207" s="545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573">
        <f>SUM(C25:C206)/2</f>
        <v>1357720.0499999998</v>
      </c>
      <c r="D208" s="573">
        <f>SUM(D25:D206)/2</f>
        <v>-55634.79558241459</v>
      </c>
      <c r="E208" s="171">
        <f t="shared" ref="E208:F208" si="55">SUM(E25:E206)/2</f>
        <v>1302085.2544175852</v>
      </c>
      <c r="F208" s="171">
        <f t="shared" si="55"/>
        <v>-10834</v>
      </c>
      <c r="G208" s="171">
        <f>SUM(G25:G206)/2</f>
        <v>1291251.2544175852</v>
      </c>
      <c r="H208" s="172">
        <f>IF($G$208=0,0,G208/$G$208)</f>
        <v>1</v>
      </c>
      <c r="I208" s="541"/>
      <c r="J208" s="183">
        <f>SUM(J25:J200)</f>
        <v>52289.3</v>
      </c>
      <c r="K208" s="183">
        <f>SUM(K25:K200)</f>
        <v>55676.33</v>
      </c>
      <c r="M208" s="364">
        <f>G208/G$228</f>
        <v>164.99504912057057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545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545"/>
      <c r="J210" s="168"/>
      <c r="K210" s="168"/>
    </row>
    <row r="211" spans="1:14" s="167" customFormat="1" ht="15.5">
      <c r="A211" s="163"/>
      <c r="B211" s="228" t="s">
        <v>181</v>
      </c>
      <c r="C211" s="573">
        <f>'[29]Sch C'!D221</f>
        <v>1357720.05</v>
      </c>
      <c r="D211" s="196"/>
      <c r="E211" s="165"/>
      <c r="F211"/>
      <c r="G211"/>
      <c r="I211" s="545"/>
      <c r="J211" s="168"/>
      <c r="K211" s="168"/>
    </row>
    <row r="212" spans="1:14" s="167" customFormat="1" ht="15.5">
      <c r="A212" s="163"/>
      <c r="B212" s="170" t="s">
        <v>147</v>
      </c>
      <c r="C212" s="573">
        <f>C208-C211</f>
        <v>0</v>
      </c>
      <c r="D212" s="229"/>
      <c r="E212" s="165"/>
      <c r="F212"/>
      <c r="G212"/>
      <c r="I212" s="545"/>
      <c r="J212" s="168"/>
      <c r="K212" s="168"/>
    </row>
    <row r="213" spans="1:14" s="167" customFormat="1">
      <c r="A213" s="163"/>
      <c r="B213" s="230"/>
      <c r="C213" s="619"/>
      <c r="D213" s="232"/>
      <c r="E213" s="232"/>
      <c r="F213" s="232"/>
      <c r="G213" s="232"/>
      <c r="H213" s="166"/>
      <c r="I213" s="548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545"/>
      <c r="J214" s="168"/>
      <c r="K214" s="168"/>
    </row>
    <row r="215" spans="1:14" s="167" customFormat="1">
      <c r="A215" s="163"/>
      <c r="B215" s="228" t="s">
        <v>78</v>
      </c>
      <c r="C215" s="573">
        <f>C21-C208</f>
        <v>-56614.260000000009</v>
      </c>
      <c r="D215" s="573">
        <f>D21-D208</f>
        <v>55634.79558241459</v>
      </c>
      <c r="E215" s="171">
        <f t="shared" ref="E215:F215" si="56">E21-E208</f>
        <v>-979.46441758540459</v>
      </c>
      <c r="F215" s="171">
        <f t="shared" si="56"/>
        <v>10834</v>
      </c>
      <c r="G215" s="171">
        <f>G21-G208</f>
        <v>9854.5355824145954</v>
      </c>
      <c r="I215" s="545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545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545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548"/>
      <c r="J218" s="168"/>
      <c r="K218" s="168"/>
    </row>
    <row r="219" spans="1:14">
      <c r="A219" s="163"/>
      <c r="B219" s="170" t="s">
        <v>218</v>
      </c>
      <c r="C219" s="653">
        <f>'[29]Sch D'!C9</f>
        <v>4794</v>
      </c>
      <c r="D219" s="653"/>
      <c r="E219" s="235">
        <f t="shared" ref="E219:G227" si="57">C219+D219</f>
        <v>4794</v>
      </c>
      <c r="F219" s="234"/>
      <c r="G219" s="235">
        <f t="shared" si="57"/>
        <v>4794</v>
      </c>
      <c r="H219" s="172">
        <f t="shared" ref="H219:H228" si="58">IF($G$228=0,0,G219/$G$228)</f>
        <v>0.61257347303858933</v>
      </c>
      <c r="I219" s="541"/>
      <c r="J219" s="168"/>
      <c r="K219" s="168"/>
    </row>
    <row r="220" spans="1:14">
      <c r="A220" s="163"/>
      <c r="B220" s="170" t="s">
        <v>217</v>
      </c>
      <c r="C220" s="653">
        <f>'[29]Sch D'!D9</f>
        <v>0</v>
      </c>
      <c r="D220" s="653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541"/>
      <c r="J220" s="168"/>
      <c r="K220" s="168"/>
    </row>
    <row r="221" spans="1:14">
      <c r="A221" s="163"/>
      <c r="B221" s="170" t="s">
        <v>72</v>
      </c>
      <c r="C221" s="653">
        <f>'[29]Sch D'!E9</f>
        <v>452</v>
      </c>
      <c r="D221" s="653"/>
      <c r="E221" s="235">
        <f t="shared" si="59"/>
        <v>452</v>
      </c>
      <c r="F221" s="234"/>
      <c r="G221" s="235">
        <f t="shared" si="57"/>
        <v>452</v>
      </c>
      <c r="H221" s="172">
        <f t="shared" si="58"/>
        <v>5.7756197291081009E-2</v>
      </c>
      <c r="I221" s="541"/>
      <c r="J221" s="168"/>
      <c r="K221" s="168"/>
    </row>
    <row r="222" spans="1:14">
      <c r="A222" s="163"/>
      <c r="B222" s="202" t="s">
        <v>334</v>
      </c>
      <c r="C222" s="653">
        <f>'[29]Sch D'!F9</f>
        <v>5</v>
      </c>
      <c r="D222" s="653"/>
      <c r="E222" s="235">
        <f>C222+D222</f>
        <v>5</v>
      </c>
      <c r="F222" s="234"/>
      <c r="G222" s="235">
        <f>E222+F222</f>
        <v>5</v>
      </c>
      <c r="H222" s="172">
        <f t="shared" si="58"/>
        <v>6.3889598773319699E-4</v>
      </c>
      <c r="I222" s="541"/>
      <c r="J222" s="168"/>
      <c r="K222" s="168"/>
    </row>
    <row r="223" spans="1:14">
      <c r="A223" s="163"/>
      <c r="B223" s="170" t="s">
        <v>73</v>
      </c>
      <c r="C223" s="653">
        <f>'[29]Sch D'!G9</f>
        <v>0</v>
      </c>
      <c r="D223" s="653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541"/>
      <c r="J223" s="168"/>
      <c r="K223" s="168"/>
    </row>
    <row r="224" spans="1:14">
      <c r="A224" s="163"/>
      <c r="B224" s="170" t="s">
        <v>74</v>
      </c>
      <c r="C224" s="653">
        <f>'[29]Sch D'!H9</f>
        <v>1887</v>
      </c>
      <c r="D224" s="653"/>
      <c r="E224" s="235">
        <f t="shared" si="59"/>
        <v>1887</v>
      </c>
      <c r="F224" s="234"/>
      <c r="G224" s="235">
        <f t="shared" si="57"/>
        <v>1887</v>
      </c>
      <c r="H224" s="172">
        <f t="shared" si="58"/>
        <v>0.24111934577050856</v>
      </c>
      <c r="I224" s="541"/>
      <c r="J224" s="168"/>
      <c r="K224" s="168"/>
    </row>
    <row r="225" spans="1:11">
      <c r="A225" s="163"/>
      <c r="B225" s="170" t="s">
        <v>236</v>
      </c>
      <c r="C225" s="653">
        <f>'[29]Sch D'!I9</f>
        <v>330</v>
      </c>
      <c r="D225" s="653"/>
      <c r="E225" s="235">
        <f t="shared" si="59"/>
        <v>330</v>
      </c>
      <c r="F225" s="234"/>
      <c r="G225" s="235">
        <f t="shared" si="57"/>
        <v>330</v>
      </c>
      <c r="H225" s="172">
        <f t="shared" si="58"/>
        <v>4.2167135190391003E-2</v>
      </c>
      <c r="I225" s="540"/>
      <c r="J225" s="168"/>
      <c r="K225" s="168"/>
    </row>
    <row r="226" spans="1:11">
      <c r="A226" s="163"/>
      <c r="B226" s="170" t="s">
        <v>235</v>
      </c>
      <c r="C226" s="653">
        <f>'[29]Sch D'!J9</f>
        <v>358</v>
      </c>
      <c r="D226" s="653"/>
      <c r="E226" s="235">
        <f>C226+D226</f>
        <v>358</v>
      </c>
      <c r="F226" s="234"/>
      <c r="G226" s="235">
        <f>E226+F226</f>
        <v>358</v>
      </c>
      <c r="H226" s="172">
        <f t="shared" si="58"/>
        <v>4.5744952721696909E-2</v>
      </c>
      <c r="I226" s="540"/>
      <c r="J226" s="168"/>
      <c r="K226" s="168"/>
    </row>
    <row r="227" spans="1:11">
      <c r="A227" s="163"/>
      <c r="B227" s="170" t="s">
        <v>179</v>
      </c>
      <c r="C227" s="653">
        <f>'[29]Sch D'!K9</f>
        <v>0</v>
      </c>
      <c r="D227" s="653"/>
      <c r="E227" s="235">
        <f t="shared" si="59"/>
        <v>0</v>
      </c>
      <c r="F227" s="234"/>
      <c r="G227" s="235">
        <f t="shared" si="57"/>
        <v>0</v>
      </c>
      <c r="H227" s="172">
        <f t="shared" si="58"/>
        <v>0</v>
      </c>
      <c r="I227" s="541"/>
      <c r="J227" s="168"/>
      <c r="K227" s="168"/>
    </row>
    <row r="228" spans="1:11" ht="13.5" thickBot="1">
      <c r="A228" s="163"/>
      <c r="B228" s="236" t="s">
        <v>75</v>
      </c>
      <c r="C228" s="653">
        <f>SUM(C219:C227)</f>
        <v>7826</v>
      </c>
      <c r="D228" s="653">
        <f>SUM(D219:D227)</f>
        <v>0</v>
      </c>
      <c r="E228" s="237">
        <f>SUM(E219:E227)</f>
        <v>7826</v>
      </c>
      <c r="F228" s="237">
        <f>SUM(F219:F227)</f>
        <v>0</v>
      </c>
      <c r="G228" s="237">
        <f>SUM(G219:G227)</f>
        <v>7826</v>
      </c>
      <c r="H228" s="172">
        <f t="shared" si="58"/>
        <v>1</v>
      </c>
      <c r="I228" s="541"/>
      <c r="J228" s="168"/>
      <c r="K228" s="168"/>
    </row>
    <row r="229" spans="1:11" ht="13.5" thickTop="1">
      <c r="A229" s="163"/>
      <c r="B229" s="167"/>
      <c r="C229" s="620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619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654">
        <f>'[29]Sch D'!N22</f>
        <v>31</v>
      </c>
      <c r="D231" s="574"/>
      <c r="E231" s="235">
        <f>C231+D231</f>
        <v>31</v>
      </c>
      <c r="F231" s="235"/>
      <c r="G231" s="235">
        <f>E231+F231</f>
        <v>31</v>
      </c>
      <c r="H231" s="167"/>
      <c r="J231" s="168"/>
      <c r="K231" s="168"/>
    </row>
    <row r="232" spans="1:11">
      <c r="A232" s="163"/>
      <c r="B232" s="202" t="s">
        <v>290</v>
      </c>
      <c r="C232" s="654">
        <f>'[29]Sch D'!N24</f>
        <v>31</v>
      </c>
      <c r="D232" s="574"/>
      <c r="E232" s="235">
        <f>C232+D232</f>
        <v>31</v>
      </c>
      <c r="F232" s="235"/>
      <c r="G232" s="235">
        <f>E232+F232</f>
        <v>31</v>
      </c>
      <c r="H232" s="167"/>
      <c r="J232" s="168"/>
      <c r="K232" s="168"/>
    </row>
    <row r="233" spans="1:11">
      <c r="A233" s="163"/>
      <c r="B233" s="202" t="s">
        <v>76</v>
      </c>
      <c r="C233" s="654">
        <f>$C$4-$C$3+1</f>
        <v>365</v>
      </c>
      <c r="D233" s="489"/>
      <c r="E233" s="235">
        <f>C233+D233</f>
        <v>365</v>
      </c>
      <c r="F233" s="240"/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621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654">
        <f>'[29]Sch D'!N28</f>
        <v>11315</v>
      </c>
      <c r="D235" s="489"/>
      <c r="E235" s="234">
        <f>E231*E233</f>
        <v>11315</v>
      </c>
      <c r="F235" s="240"/>
      <c r="G235" s="234">
        <f>G231*G233</f>
        <v>11315</v>
      </c>
      <c r="H235" s="167"/>
      <c r="J235" s="168"/>
      <c r="K235" s="168"/>
    </row>
    <row r="236" spans="1:11" ht="26">
      <c r="A236" s="163"/>
      <c r="B236" s="244" t="s">
        <v>336</v>
      </c>
      <c r="C236" s="655">
        <f>'[29]Sch D'!N30</f>
        <v>0.69164825452938572</v>
      </c>
      <c r="D236" s="240"/>
      <c r="E236" s="245">
        <f>E228/E235</f>
        <v>0.69164825452938572</v>
      </c>
      <c r="F236" s="246"/>
      <c r="G236" s="245">
        <f>G228/G235</f>
        <v>0.69164825452938572</v>
      </c>
      <c r="H236" s="167"/>
      <c r="J236" s="168"/>
      <c r="K236" s="168"/>
    </row>
    <row r="237" spans="1:11" ht="26">
      <c r="A237" s="163"/>
      <c r="B237" s="244" t="s">
        <v>337</v>
      </c>
      <c r="C237" s="655">
        <f>'[29]Sch D'!N32</f>
        <v>0.42368537339814405</v>
      </c>
      <c r="D237" s="240"/>
      <c r="E237" s="245">
        <f>(E219+E220)/E235</f>
        <v>0.42368537339814405</v>
      </c>
      <c r="F237" s="246"/>
      <c r="G237" s="245">
        <f>(G219+G220)/G235</f>
        <v>0.42368537339814405</v>
      </c>
      <c r="H237" s="167"/>
      <c r="J237" s="168"/>
      <c r="K237" s="168"/>
    </row>
    <row r="238" spans="1:11" ht="26">
      <c r="A238" s="163"/>
      <c r="B238" s="244" t="s">
        <v>338</v>
      </c>
      <c r="C238" s="655">
        <f>'[29]Sch D'!N34</f>
        <v>0.61257347303858933</v>
      </c>
      <c r="D238" s="240"/>
      <c r="E238" s="245">
        <f>(E237/E236)</f>
        <v>0.61257347303858933</v>
      </c>
      <c r="F238" s="246"/>
      <c r="G238" s="245">
        <f>(G237/G236)</f>
        <v>0.61257347303858933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73">
        <f>'[29]Sch B'!C85</f>
        <v>127.75612612612613</v>
      </c>
    </row>
    <row r="242" spans="2:7">
      <c r="F242" s="142" t="s">
        <v>341</v>
      </c>
      <c r="G242" s="573">
        <f>'[29]Sch B'!E85</f>
        <v>138.84263247863248</v>
      </c>
    </row>
    <row r="243" spans="2:7" ht="16.5">
      <c r="B243" s="556"/>
      <c r="F243" s="142" t="s">
        <v>342</v>
      </c>
      <c r="G243" s="573">
        <f>'[29]Sch B'!G85</f>
        <v>156.64566666666667</v>
      </c>
    </row>
    <row r="244" spans="2:7" ht="16.5">
      <c r="B244" s="556"/>
      <c r="F244" s="142" t="s">
        <v>343</v>
      </c>
      <c r="G244" s="573">
        <f>'[29]Sch B'!I85</f>
        <v>111.49027777777779</v>
      </c>
    </row>
    <row r="245" spans="2:7" ht="16.5">
      <c r="B245" s="556"/>
      <c r="F245" s="142"/>
    </row>
  </sheetData>
  <customSheetViews>
    <customSheetView guid="{8B6AA640-12E9-11D5-ABB1-E7A21A3D4A14}" showGridLines="0" showRuler="0">
      <selection activeCell="A9" sqref="A9"/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D9" sqref="D9"/>
      <pageMargins left="0" right="0" top="0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8">
    <tabColor rgb="FFE28CAB"/>
  </sheetPr>
  <dimension ref="A1:Q245"/>
  <sheetViews>
    <sheetView showGridLines="0" zoomScale="90" zoomScaleNormal="90" workbookViewId="0">
      <pane xSplit="2" topLeftCell="C1" activePane="topRight" state="frozen"/>
      <selection activeCell="N1" sqref="N1"/>
      <selection pane="topRight"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478"/>
      <c r="E1" s="478"/>
      <c r="F1" s="478"/>
      <c r="G1" s="478"/>
      <c r="H1" s="478"/>
      <c r="I1" s="479"/>
    </row>
    <row r="2" spans="1:14" ht="23">
      <c r="B2" s="143" t="s">
        <v>189</v>
      </c>
      <c r="C2" s="247" t="s">
        <v>382</v>
      </c>
      <c r="D2" s="247"/>
      <c r="E2" s="144"/>
    </row>
    <row r="3" spans="1:14">
      <c r="A3" s="145"/>
      <c r="B3" s="140" t="s">
        <v>79</v>
      </c>
      <c r="C3" s="495">
        <v>41821</v>
      </c>
      <c r="D3" s="144"/>
      <c r="E3" s="147"/>
    </row>
    <row r="4" spans="1:14">
      <c r="A4" s="145"/>
      <c r="B4" s="148" t="s">
        <v>80</v>
      </c>
      <c r="C4" s="495">
        <v>42185</v>
      </c>
      <c r="D4" s="144"/>
      <c r="E4" s="149"/>
      <c r="G4" s="150"/>
    </row>
    <row r="5" spans="1:14">
      <c r="A5" s="145"/>
      <c r="B5" s="148"/>
      <c r="C5" s="151"/>
      <c r="D5" s="144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144"/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490">
        <f>'[30]Sch B'!E10</f>
        <v>2909459</v>
      </c>
      <c r="D11" s="490">
        <f>'[30]Sch B'!G10</f>
        <v>0</v>
      </c>
      <c r="E11" s="171">
        <f>C11+D11</f>
        <v>2909459</v>
      </c>
      <c r="F11" s="171"/>
      <c r="G11" s="171">
        <f t="shared" ref="G11:G20" si="0">E11+F11</f>
        <v>2909459</v>
      </c>
      <c r="H11" s="172">
        <f t="shared" ref="H11:H21" si="1">IF($G$21=0,0,G11/$G$21)</f>
        <v>0.3725538603692759</v>
      </c>
      <c r="I11" s="337"/>
      <c r="J11" s="368" t="s">
        <v>344</v>
      </c>
      <c r="K11" s="369">
        <f>G21</f>
        <v>7809499</v>
      </c>
      <c r="M11" s="359">
        <f>IFERROR(G11/G219,0)</f>
        <v>168.11851381023922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490">
        <f>'[30]Sch B'!E15</f>
        <v>0</v>
      </c>
      <c r="D12" s="490">
        <f>'[30]Sch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7"/>
      <c r="J12" s="370" t="s">
        <v>345</v>
      </c>
      <c r="K12" s="371">
        <f>G208</f>
        <v>7411980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490">
        <f>'[30]Sch B'!E21</f>
        <v>2970674</v>
      </c>
      <c r="D13" s="490">
        <f>'[30]Sch B'!G21</f>
        <v>0</v>
      </c>
      <c r="E13" s="171">
        <f t="shared" si="2"/>
        <v>2970674</v>
      </c>
      <c r="F13" s="171"/>
      <c r="G13" s="171">
        <f t="shared" si="0"/>
        <v>2970674</v>
      </c>
      <c r="H13" s="172">
        <f t="shared" si="1"/>
        <v>0.38039239136851161</v>
      </c>
      <c r="I13" s="337"/>
      <c r="J13" s="370" t="s">
        <v>346</v>
      </c>
      <c r="K13" s="371">
        <f>G228</f>
        <v>30921</v>
      </c>
      <c r="M13" s="359">
        <f t="shared" si="3"/>
        <v>501.46421336934503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490">
        <f>'[30]Sch B'!E27</f>
        <v>674937</v>
      </c>
      <c r="D14" s="490">
        <f>'[30]Sch B'!G27</f>
        <v>0</v>
      </c>
      <c r="E14" s="171">
        <f t="shared" si="2"/>
        <v>674937</v>
      </c>
      <c r="F14" s="175"/>
      <c r="G14" s="175">
        <f>E14+F14</f>
        <v>674937</v>
      </c>
      <c r="H14" s="176">
        <f t="shared" si="1"/>
        <v>8.6425134313993762E-2</v>
      </c>
      <c r="I14" s="338"/>
      <c r="J14" s="370" t="s">
        <v>347</v>
      </c>
      <c r="K14" s="371">
        <f>G231</f>
        <v>180</v>
      </c>
      <c r="M14" s="359">
        <f t="shared" si="3"/>
        <v>412.80550458715595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490">
        <f>'[30]Sch B'!E32</f>
        <v>0</v>
      </c>
      <c r="D15" s="490">
        <f>'[30]Sch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7"/>
      <c r="J15" s="370" t="s">
        <v>348</v>
      </c>
      <c r="K15" s="371">
        <f>G235</f>
        <v>65700</v>
      </c>
      <c r="M15" s="359">
        <f t="shared" si="3"/>
        <v>0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490">
        <f>'[30]Sch B'!E37</f>
        <v>529881</v>
      </c>
      <c r="D16" s="490">
        <f>'[30]Sch B'!G37</f>
        <v>0</v>
      </c>
      <c r="E16" s="171">
        <f t="shared" si="2"/>
        <v>529881</v>
      </c>
      <c r="F16" s="171"/>
      <c r="G16" s="171">
        <f t="shared" si="0"/>
        <v>529881</v>
      </c>
      <c r="H16" s="172">
        <f t="shared" si="1"/>
        <v>6.7850831404165618E-2</v>
      </c>
      <c r="I16" s="337"/>
      <c r="J16" s="372"/>
      <c r="K16" s="371"/>
      <c r="M16" s="359">
        <f t="shared" si="3"/>
        <v>167.36607706885661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490">
        <f>'[30]Sch B'!E42</f>
        <v>311977</v>
      </c>
      <c r="D17" s="490">
        <f>'[30]Sch B'!G42</f>
        <v>0</v>
      </c>
      <c r="E17" s="171">
        <f t="shared" si="2"/>
        <v>311977</v>
      </c>
      <c r="F17" s="171"/>
      <c r="G17" s="171">
        <f>E17+F17</f>
        <v>311977</v>
      </c>
      <c r="H17" s="172">
        <f t="shared" si="1"/>
        <v>3.9948401299494375E-2</v>
      </c>
      <c r="I17" s="337"/>
      <c r="J17" s="370" t="s">
        <v>156</v>
      </c>
      <c r="K17" s="371">
        <f>J208</f>
        <v>182065</v>
      </c>
      <c r="M17" s="359">
        <f t="shared" si="3"/>
        <v>168.72742022714982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490">
        <f>'[30]Sch B'!E47</f>
        <v>149450</v>
      </c>
      <c r="D18" s="490">
        <f>'[30]Sch B'!G47</f>
        <v>0</v>
      </c>
      <c r="E18" s="171">
        <f t="shared" si="2"/>
        <v>149450</v>
      </c>
      <c r="F18" s="171"/>
      <c r="G18" s="171">
        <f>E18+F18</f>
        <v>149450</v>
      </c>
      <c r="H18" s="172">
        <f t="shared" si="1"/>
        <v>1.9136951038728606E-2</v>
      </c>
      <c r="I18" s="337"/>
      <c r="J18" s="373" t="s">
        <v>252</v>
      </c>
      <c r="K18" s="374">
        <f>K208</f>
        <v>189247</v>
      </c>
      <c r="M18" s="359">
        <f t="shared" si="3"/>
        <v>175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490">
        <f>'[30]Sch B'!E52</f>
        <v>103182</v>
      </c>
      <c r="D19" s="490">
        <f>'[30]Sch B'!G52</f>
        <v>0</v>
      </c>
      <c r="E19" s="171">
        <f t="shared" si="2"/>
        <v>103182</v>
      </c>
      <c r="F19" s="171"/>
      <c r="G19" s="171">
        <f t="shared" si="0"/>
        <v>103182</v>
      </c>
      <c r="H19" s="172">
        <f t="shared" si="1"/>
        <v>1.3212371241740347E-2</v>
      </c>
      <c r="I19" s="337"/>
      <c r="J19" s="168"/>
      <c r="K19" s="168"/>
      <c r="M19" s="359">
        <f t="shared" si="3"/>
        <v>551.77540106951869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490">
        <f>'[30]Sch B'!E67</f>
        <v>161737</v>
      </c>
      <c r="D20" s="490">
        <f>'[30]Sch B'!G67</f>
        <v>-1798</v>
      </c>
      <c r="E20" s="171">
        <f t="shared" si="2"/>
        <v>159939</v>
      </c>
      <c r="F20" s="171"/>
      <c r="G20" s="171">
        <f t="shared" si="0"/>
        <v>159939</v>
      </c>
      <c r="H20" s="172">
        <f t="shared" si="1"/>
        <v>2.0480058964089758E-2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490">
        <f>SUM(C11:C20)</f>
        <v>7811297</v>
      </c>
      <c r="D21" s="490">
        <f>SUM(D11:D20)</f>
        <v>-1798</v>
      </c>
      <c r="E21" s="171">
        <f>SUM(E11:E20)</f>
        <v>7809499</v>
      </c>
      <c r="F21" s="171">
        <f>SUM(F11:F20)</f>
        <v>0</v>
      </c>
      <c r="G21" s="171">
        <f>SUM(G11:G20)</f>
        <v>7809499</v>
      </c>
      <c r="H21" s="172">
        <f t="shared" si="1"/>
        <v>1</v>
      </c>
      <c r="I21" s="337"/>
      <c r="J21" s="168"/>
      <c r="K21" s="168"/>
      <c r="M21" s="359">
        <f>IFERROR(G21/G228,0)</f>
        <v>252.56295074544809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4">
      <c r="A24" s="181" t="s">
        <v>161</v>
      </c>
      <c r="B24" s="148" t="s">
        <v>12</v>
      </c>
      <c r="M24" s="363"/>
      <c r="N24" s="363"/>
    </row>
    <row r="25" spans="1:14" s="167" customFormat="1">
      <c r="A25" s="169" t="s">
        <v>83</v>
      </c>
      <c r="B25" s="170" t="s">
        <v>14</v>
      </c>
      <c r="C25" s="490">
        <f>'[30]Sch C'!D10</f>
        <v>112780</v>
      </c>
      <c r="D25" s="490">
        <f>'[30]Sch C'!F10</f>
        <v>0</v>
      </c>
      <c r="E25" s="171">
        <f t="shared" ref="E25:E60" si="4">C25+D25</f>
        <v>112780</v>
      </c>
      <c r="F25" s="171"/>
      <c r="G25" s="182">
        <f>E25+F25</f>
        <v>112780</v>
      </c>
      <c r="H25" s="172">
        <f>IF($G$208=0,0,G25/$G$208)</f>
        <v>1.5215907220472802E-2</v>
      </c>
      <c r="I25" s="337"/>
      <c r="J25" s="183">
        <v>1976</v>
      </c>
      <c r="K25" s="183">
        <v>2148</v>
      </c>
      <c r="M25" s="359">
        <f>G25/G$228</f>
        <v>3.6473593997606804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490">
        <f>'[30]Sch C'!D11</f>
        <v>0</v>
      </c>
      <c r="D26" s="490">
        <f>'[30]Sch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490">
        <f>'[30]Sch C'!D12</f>
        <v>182304</v>
      </c>
      <c r="D27" s="490">
        <f>'[30]Sch C'!F12</f>
        <v>185120</v>
      </c>
      <c r="E27" s="171">
        <f t="shared" si="4"/>
        <v>367424</v>
      </c>
      <c r="F27" s="171"/>
      <c r="G27" s="171">
        <f t="shared" si="5"/>
        <v>367424</v>
      </c>
      <c r="H27" s="172">
        <f t="shared" si="6"/>
        <v>4.9571639426981721E-2</v>
      </c>
      <c r="I27" s="337"/>
      <c r="J27" s="185">
        <v>11494</v>
      </c>
      <c r="K27" s="185">
        <v>12156</v>
      </c>
      <c r="M27" s="359">
        <f t="shared" si="7"/>
        <v>11.882668736457424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490">
        <f>'[30]Sch C'!D13</f>
        <v>63425</v>
      </c>
      <c r="D28" s="490">
        <f>'[30]Sch C'!F13</f>
        <v>35868</v>
      </c>
      <c r="E28" s="171">
        <f t="shared" si="4"/>
        <v>99293</v>
      </c>
      <c r="F28" s="171"/>
      <c r="G28" s="171">
        <f t="shared" si="5"/>
        <v>99293</v>
      </c>
      <c r="H28" s="172">
        <f t="shared" si="6"/>
        <v>1.3396285472977531E-2</v>
      </c>
      <c r="I28" s="337"/>
      <c r="J28" s="168"/>
      <c r="K28" s="168"/>
      <c r="M28" s="359">
        <f t="shared" si="7"/>
        <v>3.2111833381844055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490">
        <f>'[30]Sch C'!D14</f>
        <v>0</v>
      </c>
      <c r="D29" s="490">
        <f>'[30]Sch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490">
        <f>'[30]Sch C'!D15</f>
        <v>443240</v>
      </c>
      <c r="D30" s="490">
        <f>'[30]Sch C'!F15</f>
        <v>-439492</v>
      </c>
      <c r="E30" s="171">
        <f t="shared" si="4"/>
        <v>3748</v>
      </c>
      <c r="F30" s="171"/>
      <c r="G30" s="171">
        <f t="shared" si="5"/>
        <v>3748</v>
      </c>
      <c r="H30" s="172">
        <f t="shared" si="6"/>
        <v>5.0566785123543241E-4</v>
      </c>
      <c r="I30" s="337"/>
      <c r="J30" s="168"/>
      <c r="K30" s="168"/>
      <c r="M30" s="359">
        <f t="shared" si="7"/>
        <v>0.12121212121212122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490">
        <f>'[30]Sch C'!D16</f>
        <v>0</v>
      </c>
      <c r="D31" s="490">
        <f>'[30]Sch C'!F16</f>
        <v>0</v>
      </c>
      <c r="E31" s="171">
        <f t="shared" si="4"/>
        <v>0</v>
      </c>
      <c r="F31" s="171"/>
      <c r="G31" s="171">
        <f t="shared" si="5"/>
        <v>0</v>
      </c>
      <c r="H31" s="172">
        <f t="shared" si="6"/>
        <v>0</v>
      </c>
      <c r="I31" s="337"/>
      <c r="J31" s="168"/>
      <c r="K31" s="168"/>
      <c r="M31" s="359">
        <f t="shared" si="7"/>
        <v>0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490">
        <f>'[30]Sch C'!D17</f>
        <v>46813</v>
      </c>
      <c r="D32" s="490">
        <f>'[30]Sch C'!F17</f>
        <v>-37213</v>
      </c>
      <c r="E32" s="171">
        <f t="shared" si="4"/>
        <v>9600</v>
      </c>
      <c r="F32" s="171"/>
      <c r="G32" s="171">
        <f t="shared" si="5"/>
        <v>9600</v>
      </c>
      <c r="H32" s="172">
        <f t="shared" si="6"/>
        <v>1.2952004727481725E-3</v>
      </c>
      <c r="I32" s="337"/>
      <c r="J32" s="168"/>
      <c r="K32" s="168"/>
      <c r="M32" s="359">
        <f t="shared" si="7"/>
        <v>0.31046861356359756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490">
        <f>'[30]Sch C'!D18</f>
        <v>22879</v>
      </c>
      <c r="D33" s="490">
        <f>'[30]Sch C'!F18</f>
        <v>0</v>
      </c>
      <c r="E33" s="171">
        <f t="shared" si="4"/>
        <v>22879</v>
      </c>
      <c r="F33" s="171"/>
      <c r="G33" s="171">
        <f t="shared" si="5"/>
        <v>22879</v>
      </c>
      <c r="H33" s="172">
        <f t="shared" si="6"/>
        <v>3.0867595433339001E-3</v>
      </c>
      <c r="I33" s="337"/>
      <c r="J33" s="168"/>
      <c r="K33" s="168"/>
      <c r="M33" s="359">
        <f t="shared" si="7"/>
        <v>0.73991785517932795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490">
        <f>'[30]Sch C'!D19</f>
        <v>16831</v>
      </c>
      <c r="D34" s="490">
        <f>'[30]Sch C'!F19</f>
        <v>1863</v>
      </c>
      <c r="E34" s="171">
        <f t="shared" si="4"/>
        <v>18694</v>
      </c>
      <c r="F34" s="171"/>
      <c r="G34" s="171">
        <f t="shared" si="5"/>
        <v>18694</v>
      </c>
      <c r="H34" s="172">
        <f t="shared" si="6"/>
        <v>2.5221330872452433E-3</v>
      </c>
      <c r="I34" s="337"/>
      <c r="J34" s="168"/>
      <c r="K34" s="168"/>
      <c r="M34" s="359">
        <f t="shared" si="7"/>
        <v>0.60457294395394712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490">
        <f>'[30]Sch C'!D20</f>
        <v>4699</v>
      </c>
      <c r="D35" s="490">
        <f>'[30]Sch C'!F20</f>
        <v>6547</v>
      </c>
      <c r="E35" s="171">
        <f t="shared" si="4"/>
        <v>11246</v>
      </c>
      <c r="F35" s="171"/>
      <c r="G35" s="171">
        <f t="shared" si="5"/>
        <v>11246</v>
      </c>
      <c r="H35" s="172">
        <f t="shared" si="6"/>
        <v>1.5172733871381197E-3</v>
      </c>
      <c r="I35" s="337"/>
      <c r="J35" s="168"/>
      <c r="K35" s="168"/>
      <c r="M35" s="359">
        <f t="shared" si="7"/>
        <v>0.36370104459752273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490">
        <f>'[30]Sch C'!D21</f>
        <v>166371</v>
      </c>
      <c r="D36" s="490">
        <f>'[30]Sch C'!F21</f>
        <v>1743</v>
      </c>
      <c r="E36" s="171">
        <f t="shared" si="4"/>
        <v>168114</v>
      </c>
      <c r="F36" s="171"/>
      <c r="G36" s="171">
        <f t="shared" si="5"/>
        <v>168114</v>
      </c>
      <c r="H36" s="172">
        <f t="shared" si="6"/>
        <v>2.2681388778706905E-2</v>
      </c>
      <c r="I36" s="337"/>
      <c r="J36" s="168"/>
      <c r="K36" s="168"/>
      <c r="M36" s="359">
        <f t="shared" si="7"/>
        <v>5.4368875521490247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490">
        <f>'[30]Sch C'!D22</f>
        <v>0</v>
      </c>
      <c r="D37" s="490">
        <f>'[30]Sch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490">
        <f>'[30]Sch C'!D23</f>
        <v>3916</v>
      </c>
      <c r="D38" s="490">
        <f>'[30]Sch C'!F23</f>
        <v>20673</v>
      </c>
      <c r="E38" s="171">
        <f t="shared" si="4"/>
        <v>24589</v>
      </c>
      <c r="F38" s="171"/>
      <c r="G38" s="171">
        <f t="shared" si="5"/>
        <v>24589</v>
      </c>
      <c r="H38" s="172">
        <f t="shared" si="6"/>
        <v>3.3174671275421684E-3</v>
      </c>
      <c r="I38" s="337"/>
      <c r="J38" s="168"/>
      <c r="K38" s="168"/>
      <c r="M38" s="359">
        <f t="shared" si="7"/>
        <v>0.7952200769703438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490">
        <f>'[30]Sch C'!D24</f>
        <v>119547</v>
      </c>
      <c r="D39" s="490">
        <f>'[30]Sch C'!F24</f>
        <v>0</v>
      </c>
      <c r="E39" s="171">
        <f t="shared" si="4"/>
        <v>119547</v>
      </c>
      <c r="F39" s="171"/>
      <c r="G39" s="171">
        <f t="shared" si="5"/>
        <v>119547</v>
      </c>
      <c r="H39" s="172">
        <f t="shared" si="6"/>
        <v>1.6128888637044352E-2</v>
      </c>
      <c r="I39" s="337"/>
      <c r="J39" s="168"/>
      <c r="K39" s="168"/>
      <c r="M39" s="359">
        <f t="shared" si="7"/>
        <v>3.8662074318424371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490">
        <f>'[30]Sch C'!D25</f>
        <v>0</v>
      </c>
      <c r="D40" s="490">
        <f>'[30]Sch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337"/>
      <c r="J40" s="168"/>
      <c r="K40" s="168"/>
      <c r="M40" s="359">
        <f t="shared" si="7"/>
        <v>0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490">
        <f>'[30]Sch C'!D26</f>
        <v>360805</v>
      </c>
      <c r="D41" s="490">
        <f>'[30]Sch C'!F26</f>
        <v>0</v>
      </c>
      <c r="E41" s="171">
        <f t="shared" si="4"/>
        <v>360805</v>
      </c>
      <c r="F41" s="171"/>
      <c r="G41" s="171">
        <f t="shared" si="5"/>
        <v>360805</v>
      </c>
      <c r="H41" s="172">
        <f t="shared" si="6"/>
        <v>4.867862568436504E-2</v>
      </c>
      <c r="I41" s="337"/>
      <c r="J41" s="168"/>
      <c r="K41" s="168"/>
      <c r="M41" s="359">
        <f t="shared" si="7"/>
        <v>11.668607095501439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490">
        <f>'[30]Sch C'!D27</f>
        <v>0</v>
      </c>
      <c r="D42" s="490">
        <f>'[30]Sch C'!F27</f>
        <v>0</v>
      </c>
      <c r="E42" s="171">
        <f t="shared" si="4"/>
        <v>0</v>
      </c>
      <c r="F42" s="171"/>
      <c r="G42" s="171">
        <f t="shared" si="5"/>
        <v>0</v>
      </c>
      <c r="H42" s="172">
        <f t="shared" si="6"/>
        <v>0</v>
      </c>
      <c r="I42" s="337"/>
      <c r="J42" s="168"/>
      <c r="K42" s="168"/>
      <c r="M42" s="359">
        <f t="shared" si="7"/>
        <v>0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490">
        <f>'[30]Sch C'!D28</f>
        <v>0</v>
      </c>
      <c r="D43" s="490">
        <f>'[30]Sch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490">
        <f>'[30]Sch C'!D29</f>
        <v>262243</v>
      </c>
      <c r="D44" s="490">
        <f>'[30]Sch C'!F29</f>
        <v>-262243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490">
        <f>'[30]Sch C'!D30</f>
        <v>500</v>
      </c>
      <c r="D45" s="490">
        <f>'[30]Sch C'!F30</f>
        <v>-500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490">
        <f>'[30]Sch C'!D31</f>
        <v>56523</v>
      </c>
      <c r="D46" s="490">
        <f>'[30]Sch C'!F31</f>
        <v>0</v>
      </c>
      <c r="E46" s="171">
        <f t="shared" si="4"/>
        <v>56523</v>
      </c>
      <c r="F46" s="171"/>
      <c r="G46" s="171">
        <f t="shared" si="5"/>
        <v>56523</v>
      </c>
      <c r="H46" s="172">
        <f t="shared" si="6"/>
        <v>7.6258975334525993E-3</v>
      </c>
      <c r="I46" s="337"/>
      <c r="J46" s="168"/>
      <c r="K46" s="168"/>
      <c r="M46" s="359">
        <f t="shared" si="7"/>
        <v>1.8279809837974192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490">
        <f>'[30]Sch C'!D32</f>
        <v>54068</v>
      </c>
      <c r="D47" s="490">
        <f>'[30]Sch C'!F32</f>
        <v>97</v>
      </c>
      <c r="E47" s="171">
        <f t="shared" si="4"/>
        <v>54165</v>
      </c>
      <c r="F47" s="171"/>
      <c r="G47" s="171">
        <f t="shared" si="5"/>
        <v>54165</v>
      </c>
      <c r="H47" s="172">
        <f t="shared" si="6"/>
        <v>7.3077639173338297E-3</v>
      </c>
      <c r="I47" s="337"/>
      <c r="J47" s="168"/>
      <c r="K47" s="168"/>
      <c r="M47" s="359">
        <f t="shared" si="7"/>
        <v>1.7517221305908606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490">
        <f>'[30]Sch C'!D33</f>
        <v>0</v>
      </c>
      <c r="D48" s="490">
        <f>'[30]Sch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490">
        <f>'[30]Sch C'!D34</f>
        <v>0</v>
      </c>
      <c r="D49" s="490">
        <f>'[30]Sch C'!F34</f>
        <v>0</v>
      </c>
      <c r="E49" s="171">
        <f t="shared" si="4"/>
        <v>0</v>
      </c>
      <c r="F49" s="171"/>
      <c r="G49" s="171">
        <f t="shared" si="5"/>
        <v>0</v>
      </c>
      <c r="H49" s="172">
        <f t="shared" si="6"/>
        <v>0</v>
      </c>
      <c r="I49" s="337"/>
      <c r="J49" s="168"/>
      <c r="K49" s="168"/>
      <c r="M49" s="359">
        <f t="shared" si="7"/>
        <v>0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490">
        <f>'[30]Sch C'!D35</f>
        <v>482</v>
      </c>
      <c r="D50" s="490">
        <f>'[30]Sch C'!F35</f>
        <v>-482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490">
        <f>'[30]Sch C'!D36</f>
        <v>35124</v>
      </c>
      <c r="D51" s="490">
        <f>'[30]Sch C'!F36</f>
        <v>0</v>
      </c>
      <c r="E51" s="171">
        <f t="shared" si="4"/>
        <v>35124</v>
      </c>
      <c r="F51" s="171"/>
      <c r="G51" s="171">
        <f t="shared" si="5"/>
        <v>35124</v>
      </c>
      <c r="H51" s="172">
        <f t="shared" si="6"/>
        <v>4.738814729667376E-3</v>
      </c>
      <c r="I51" s="337"/>
      <c r="J51" s="183">
        <v>7257</v>
      </c>
      <c r="K51" s="183">
        <v>7362</v>
      </c>
      <c r="M51" s="359">
        <f t="shared" si="7"/>
        <v>1.1359270398758126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490">
        <f>'[30]Sch C'!D37</f>
        <v>6393</v>
      </c>
      <c r="D52" s="490">
        <f>'[30]Sch C'!F37</f>
        <v>0</v>
      </c>
      <c r="E52" s="171">
        <f t="shared" si="4"/>
        <v>6393</v>
      </c>
      <c r="F52" s="171"/>
      <c r="G52" s="171">
        <f t="shared" si="5"/>
        <v>6393</v>
      </c>
      <c r="H52" s="172">
        <f t="shared" si="6"/>
        <v>8.625225648207362E-4</v>
      </c>
      <c r="I52" s="337"/>
      <c r="J52" s="168"/>
      <c r="K52" s="168"/>
      <c r="M52" s="359">
        <f t="shared" si="7"/>
        <v>0.20675269234500826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490">
        <f>'[30]Sch C'!D38</f>
        <v>0</v>
      </c>
      <c r="D53" s="490">
        <f>'[30]Sch C'!F38</f>
        <v>0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7"/>
      <c r="J53" s="168"/>
      <c r="K53" s="168"/>
      <c r="M53" s="359">
        <f t="shared" si="7"/>
        <v>0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490">
        <f>'[30]Sch C'!D39</f>
        <v>4022</v>
      </c>
      <c r="D54" s="490">
        <f>'[30]Sch C'!F39</f>
        <v>-4022</v>
      </c>
      <c r="E54" s="171">
        <f t="shared" si="4"/>
        <v>0</v>
      </c>
      <c r="F54" s="171"/>
      <c r="G54" s="171">
        <f t="shared" si="5"/>
        <v>0</v>
      </c>
      <c r="H54" s="172">
        <f t="shared" si="6"/>
        <v>0</v>
      </c>
      <c r="I54" s="337"/>
      <c r="J54" s="168"/>
      <c r="K54" s="168"/>
      <c r="M54" s="359">
        <f t="shared" si="7"/>
        <v>0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490">
        <f>'[30]Sch C'!D40</f>
        <v>0</v>
      </c>
      <c r="D55" s="490">
        <f>'[30]Sch C'!F40</f>
        <v>0</v>
      </c>
      <c r="E55" s="171">
        <f t="shared" si="4"/>
        <v>0</v>
      </c>
      <c r="F55" s="171"/>
      <c r="G55" s="171">
        <f t="shared" si="5"/>
        <v>0</v>
      </c>
      <c r="H55" s="172">
        <f t="shared" si="6"/>
        <v>0</v>
      </c>
      <c r="I55" s="337"/>
      <c r="J55" s="168"/>
      <c r="K55" s="168"/>
      <c r="M55" s="359">
        <f t="shared" si="7"/>
        <v>0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490">
        <f>'[30]Sch C'!D41</f>
        <v>0</v>
      </c>
      <c r="D56" s="490">
        <f>'[30]Sch C'!F41</f>
        <v>0</v>
      </c>
      <c r="E56" s="171">
        <f t="shared" si="4"/>
        <v>0</v>
      </c>
      <c r="F56" s="171"/>
      <c r="G56" s="171">
        <f t="shared" si="5"/>
        <v>0</v>
      </c>
      <c r="H56" s="172">
        <f t="shared" si="6"/>
        <v>0</v>
      </c>
      <c r="I56" s="337"/>
      <c r="J56" s="168"/>
      <c r="K56" s="168"/>
      <c r="M56" s="359">
        <f t="shared" si="7"/>
        <v>0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490">
        <f>'[30]Sch C'!D42</f>
        <v>11624</v>
      </c>
      <c r="D57" s="490">
        <f>'[30]Sch C'!F42</f>
        <v>0</v>
      </c>
      <c r="E57" s="171">
        <f t="shared" si="4"/>
        <v>11624</v>
      </c>
      <c r="F57" s="171"/>
      <c r="G57" s="171">
        <f t="shared" si="5"/>
        <v>11624</v>
      </c>
      <c r="H57" s="172">
        <f t="shared" si="6"/>
        <v>1.5682719057525788E-3</v>
      </c>
      <c r="I57" s="337"/>
      <c r="J57" s="168"/>
      <c r="K57" s="168"/>
      <c r="M57" s="359">
        <f t="shared" si="7"/>
        <v>0.37592574625658937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490">
        <f>'[30]Sch C'!D43</f>
        <v>16220</v>
      </c>
      <c r="D58" s="490">
        <f>'[30]Sch C'!F43</f>
        <v>0</v>
      </c>
      <c r="E58" s="171">
        <f t="shared" si="4"/>
        <v>16220</v>
      </c>
      <c r="F58" s="171"/>
      <c r="G58" s="171">
        <f t="shared" si="5"/>
        <v>16220</v>
      </c>
      <c r="H58" s="172">
        <f t="shared" si="6"/>
        <v>2.1883491320807665E-3</v>
      </c>
      <c r="I58" s="337"/>
      <c r="J58" s="168"/>
      <c r="K58" s="168"/>
      <c r="M58" s="359">
        <f t="shared" si="7"/>
        <v>0.52456259500016167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490">
        <f>'[30]Sch C'!D44</f>
        <v>0</v>
      </c>
      <c r="D59" s="490">
        <f>'[30]Sch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7"/>
      <c r="J59" s="168"/>
      <c r="K59" s="168"/>
      <c r="M59" s="359">
        <f t="shared" si="7"/>
        <v>0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490">
        <f>'[30]Sch C'!D45</f>
        <v>11902</v>
      </c>
      <c r="D60" s="490">
        <f>'[30]Sch C'!F45</f>
        <v>0</v>
      </c>
      <c r="E60" s="171">
        <f t="shared" si="4"/>
        <v>11902</v>
      </c>
      <c r="F60" s="171"/>
      <c r="G60" s="171">
        <f t="shared" si="5"/>
        <v>11902</v>
      </c>
      <c r="H60" s="172">
        <f t="shared" si="6"/>
        <v>1.6057787527759115E-3</v>
      </c>
      <c r="I60" s="337"/>
      <c r="J60" s="168"/>
      <c r="K60" s="168"/>
      <c r="M60" s="359">
        <f t="shared" si="7"/>
        <v>0.38491639985770187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490">
        <f>SUM(C25:C60)</f>
        <v>2002711</v>
      </c>
      <c r="D61" s="490">
        <f>SUM(D25:D60)</f>
        <v>-492041</v>
      </c>
      <c r="E61" s="171">
        <f t="shared" ref="E61:F61" si="8">SUM(E25:E60)</f>
        <v>1510670</v>
      </c>
      <c r="F61" s="171">
        <f t="shared" si="8"/>
        <v>0</v>
      </c>
      <c r="G61" s="171">
        <f>SUM(G25:G60)</f>
        <v>1510670</v>
      </c>
      <c r="H61" s="186">
        <f t="shared" si="6"/>
        <v>0.20381463522567519</v>
      </c>
      <c r="I61" s="339"/>
      <c r="J61" s="168"/>
      <c r="K61" s="168"/>
      <c r="M61" s="364">
        <f>G61/G$228</f>
        <v>48.855793797095828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I62" s="340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490">
        <f>'[30]Sch C'!D57</f>
        <v>1043891</v>
      </c>
      <c r="D64" s="490">
        <f>'[30]Sch C'!F57</f>
        <v>-1039818</v>
      </c>
      <c r="E64" s="171">
        <f t="shared" ref="E64:E78" si="9">C64+D64</f>
        <v>4073</v>
      </c>
      <c r="F64" s="171"/>
      <c r="G64" s="171">
        <f t="shared" ref="G64:G78" si="10">E64+F64</f>
        <v>4073</v>
      </c>
      <c r="H64" s="172">
        <f t="shared" ref="H64:H79" si="11">IF($G$208=0,0,G64/$G$208)</f>
        <v>5.4951578390659446E-4</v>
      </c>
      <c r="I64" s="337"/>
      <c r="J64" s="190"/>
      <c r="K64" s="168"/>
      <c r="M64" s="359">
        <f t="shared" ref="M64:M79" si="12">G64/G$228</f>
        <v>0.13172277740047217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490">
        <f>'[30]Sch C'!D58</f>
        <v>72326</v>
      </c>
      <c r="D65" s="490">
        <f>'[30]Sch C'!F58</f>
        <v>261490</v>
      </c>
      <c r="E65" s="171">
        <f t="shared" si="9"/>
        <v>333816</v>
      </c>
      <c r="F65" s="171"/>
      <c r="G65" s="171">
        <f t="shared" si="10"/>
        <v>333816</v>
      </c>
      <c r="H65" s="172">
        <f t="shared" si="11"/>
        <v>4.5037358438635829E-2</v>
      </c>
      <c r="I65" s="337"/>
      <c r="J65" s="190"/>
      <c r="K65" s="168"/>
      <c r="M65" s="359">
        <f t="shared" si="12"/>
        <v>10.795769865140196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490">
        <f>'[30]Sch C'!D59</f>
        <v>35590</v>
      </c>
      <c r="D66" s="490">
        <f>'[30]Sch C'!F59</f>
        <v>170653</v>
      </c>
      <c r="E66" s="171">
        <f t="shared" si="9"/>
        <v>206243</v>
      </c>
      <c r="F66" s="171"/>
      <c r="G66" s="171">
        <f t="shared" si="10"/>
        <v>206243</v>
      </c>
      <c r="H66" s="172">
        <f t="shared" si="11"/>
        <v>2.7825628239687639E-2</v>
      </c>
      <c r="I66" s="337"/>
      <c r="J66" s="190"/>
      <c r="K66" s="168"/>
      <c r="M66" s="359">
        <f t="shared" si="12"/>
        <v>6.6699977361663594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490">
        <f>'[30]Sch C'!D60</f>
        <v>38542</v>
      </c>
      <c r="D67" s="490">
        <f>'[30]Sch C'!F60</f>
        <v>0</v>
      </c>
      <c r="E67" s="171">
        <f t="shared" si="9"/>
        <v>38542</v>
      </c>
      <c r="F67" s="171"/>
      <c r="G67" s="171">
        <f t="shared" si="10"/>
        <v>38542</v>
      </c>
      <c r="H67" s="172">
        <f t="shared" si="11"/>
        <v>5.1999600646520901E-3</v>
      </c>
      <c r="I67" s="337"/>
      <c r="J67" s="193"/>
      <c r="K67" s="168"/>
      <c r="M67" s="359">
        <f t="shared" si="12"/>
        <v>1.2464668024966852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490">
        <f>'[30]Sch C'!D61</f>
        <v>0</v>
      </c>
      <c r="D68" s="490">
        <f>'[30]Sch C'!F61</f>
        <v>0</v>
      </c>
      <c r="E68" s="171">
        <f t="shared" si="9"/>
        <v>0</v>
      </c>
      <c r="F68" s="171"/>
      <c r="G68" s="171">
        <f t="shared" si="10"/>
        <v>0</v>
      </c>
      <c r="H68" s="172">
        <f t="shared" si="11"/>
        <v>0</v>
      </c>
      <c r="I68" s="337"/>
      <c r="J68" s="193"/>
      <c r="K68" s="168"/>
      <c r="M68" s="359">
        <f t="shared" si="12"/>
        <v>0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490">
        <f>'[30]Sch C'!D62</f>
        <v>0</v>
      </c>
      <c r="D69" s="490">
        <f>'[30]Sch C'!F62</f>
        <v>0</v>
      </c>
      <c r="E69" s="171">
        <f t="shared" si="9"/>
        <v>0</v>
      </c>
      <c r="F69" s="171"/>
      <c r="G69" s="171">
        <f t="shared" si="10"/>
        <v>0</v>
      </c>
      <c r="H69" s="172">
        <f t="shared" si="11"/>
        <v>0</v>
      </c>
      <c r="I69" s="337"/>
      <c r="J69" s="195"/>
      <c r="K69" s="168"/>
      <c r="M69" s="359">
        <f t="shared" si="12"/>
        <v>0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490">
        <f>'[30]Sch C'!D63</f>
        <v>0</v>
      </c>
      <c r="D70" s="490">
        <f>'[30]Sch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7"/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490">
        <f>'[30]Sch C'!D64</f>
        <v>2120</v>
      </c>
      <c r="D71" s="490">
        <f>'[30]Sch C'!F64</f>
        <v>0</v>
      </c>
      <c r="E71" s="171">
        <f t="shared" si="9"/>
        <v>2120</v>
      </c>
      <c r="F71" s="171"/>
      <c r="G71" s="171">
        <f t="shared" si="10"/>
        <v>2120</v>
      </c>
      <c r="H71" s="172">
        <f t="shared" si="11"/>
        <v>2.8602343773188811E-4</v>
      </c>
      <c r="I71" s="337"/>
      <c r="J71" s="195"/>
      <c r="K71" s="168"/>
      <c r="M71" s="359">
        <f t="shared" si="12"/>
        <v>6.8561818828627788E-2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490">
        <f>'[30]Sch C'!D65</f>
        <v>0</v>
      </c>
      <c r="D72" s="490">
        <f>'[30]Sch C'!F65</f>
        <v>0</v>
      </c>
      <c r="E72" s="171">
        <f t="shared" si="9"/>
        <v>0</v>
      </c>
      <c r="F72" s="171"/>
      <c r="G72" s="171">
        <f t="shared" si="10"/>
        <v>0</v>
      </c>
      <c r="H72" s="172">
        <f t="shared" si="11"/>
        <v>0</v>
      </c>
      <c r="I72" s="337"/>
      <c r="J72" s="195"/>
      <c r="K72" s="168"/>
      <c r="M72" s="359">
        <f t="shared" si="12"/>
        <v>0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490">
        <f>'[30]Sch C'!D66</f>
        <v>0</v>
      </c>
      <c r="D73" s="490">
        <f>'[30]Sch C'!F66</f>
        <v>0</v>
      </c>
      <c r="E73" s="171">
        <f t="shared" si="9"/>
        <v>0</v>
      </c>
      <c r="F73" s="171"/>
      <c r="G73" s="171">
        <f t="shared" si="10"/>
        <v>0</v>
      </c>
      <c r="H73" s="172">
        <f t="shared" si="11"/>
        <v>0</v>
      </c>
      <c r="I73" s="337"/>
      <c r="J73" s="195"/>
      <c r="K73" s="168"/>
      <c r="M73" s="359">
        <f t="shared" si="12"/>
        <v>0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490">
        <f>'[30]Sch C'!D67</f>
        <v>0</v>
      </c>
      <c r="D74" s="490">
        <f>'[30]Sch C'!F67</f>
        <v>64025</v>
      </c>
      <c r="E74" s="171">
        <f t="shared" si="9"/>
        <v>64025</v>
      </c>
      <c r="F74" s="171"/>
      <c r="G74" s="171">
        <f t="shared" si="10"/>
        <v>64025</v>
      </c>
      <c r="H74" s="172">
        <f t="shared" si="11"/>
        <v>8.6380427362189316E-3</v>
      </c>
      <c r="I74" s="337"/>
      <c r="J74" s="195"/>
      <c r="K74" s="168"/>
      <c r="M74" s="359">
        <f t="shared" si="12"/>
        <v>2.0705992691051387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490">
        <f>'[30]Sch C'!D68</f>
        <v>0</v>
      </c>
      <c r="D75" s="490">
        <f>'[30]Sch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490">
        <f>'[30]Sch C'!D69</f>
        <v>1992</v>
      </c>
      <c r="D76" s="490">
        <f>'[30]Sch C'!F69</f>
        <v>-1992</v>
      </c>
      <c r="E76" s="171">
        <f t="shared" si="9"/>
        <v>0</v>
      </c>
      <c r="F76" s="171"/>
      <c r="G76" s="171">
        <f t="shared" si="10"/>
        <v>0</v>
      </c>
      <c r="H76" s="172">
        <f t="shared" si="11"/>
        <v>0</v>
      </c>
      <c r="I76" s="337"/>
      <c r="J76" s="195"/>
      <c r="K76" s="168"/>
      <c r="M76" s="359">
        <f t="shared" si="12"/>
        <v>0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490">
        <f>'[30]Sch C'!D70</f>
        <v>0</v>
      </c>
      <c r="D77" s="490">
        <f>'[30]Sch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7"/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490">
        <f>'[30]Sch C'!D71</f>
        <v>0</v>
      </c>
      <c r="D78" s="490">
        <f>'[30]Sch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7"/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490">
        <f>SUM(C64:C78)</f>
        <v>1194461</v>
      </c>
      <c r="D79" s="490">
        <f>SUM(D64:D78)</f>
        <v>-545642</v>
      </c>
      <c r="E79" s="171">
        <f t="shared" ref="E79:F79" si="13">SUM(E64:E78)</f>
        <v>648819</v>
      </c>
      <c r="F79" s="171">
        <f t="shared" si="13"/>
        <v>0</v>
      </c>
      <c r="G79" s="171">
        <f>SUM(G64:G78)</f>
        <v>648819</v>
      </c>
      <c r="H79" s="172">
        <f t="shared" si="11"/>
        <v>8.7536528700832977E-2</v>
      </c>
      <c r="I79" s="337"/>
      <c r="J79" s="195"/>
      <c r="K79" s="168"/>
      <c r="M79" s="359">
        <f t="shared" si="12"/>
        <v>20.983118269137478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490">
        <f>'[30]Sch C'!D75</f>
        <v>46902</v>
      </c>
      <c r="D82" s="490">
        <f>'[30]Sch C'!F75</f>
        <v>0</v>
      </c>
      <c r="E82" s="171">
        <f t="shared" ref="E82:E92" si="14">C82+D82</f>
        <v>46902</v>
      </c>
      <c r="F82" s="171"/>
      <c r="G82" s="171">
        <f t="shared" ref="G82:G92" si="15">E82+F82</f>
        <v>46902</v>
      </c>
      <c r="H82" s="172">
        <f t="shared" ref="H82:H93" si="16">IF($G$208=0,0,G82/$G$208)</f>
        <v>6.3278638096702904E-3</v>
      </c>
      <c r="I82" s="337"/>
      <c r="J82" s="183">
        <v>2106</v>
      </c>
      <c r="K82" s="183">
        <v>2268</v>
      </c>
      <c r="M82" s="359">
        <f t="shared" ref="M82:M92" si="17">G82/G$228</f>
        <v>1.5168332201416512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490">
        <f>'[30]Sch C'!D76</f>
        <v>8537</v>
      </c>
      <c r="D83" s="490">
        <f>'[30]Sch C'!F76</f>
        <v>0</v>
      </c>
      <c r="E83" s="171">
        <f t="shared" si="14"/>
        <v>8537</v>
      </c>
      <c r="F83" s="171"/>
      <c r="G83" s="171">
        <f t="shared" si="15"/>
        <v>8537</v>
      </c>
      <c r="H83" s="172">
        <f t="shared" si="16"/>
        <v>1.1517840037344948E-3</v>
      </c>
      <c r="I83" s="337"/>
      <c r="J83" s="168"/>
      <c r="K83" s="168"/>
      <c r="M83" s="359">
        <f t="shared" si="17"/>
        <v>0.27609068270754505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490">
        <f>'[30]Sch C'!D77</f>
        <v>28140</v>
      </c>
      <c r="D84" s="490">
        <f>'[30]Sch C'!F77</f>
        <v>480</v>
      </c>
      <c r="E84" s="171">
        <f t="shared" si="14"/>
        <v>28620</v>
      </c>
      <c r="F84" s="171"/>
      <c r="G84" s="171">
        <f t="shared" si="15"/>
        <v>28620</v>
      </c>
      <c r="H84" s="172">
        <f t="shared" si="16"/>
        <v>3.8613164093804896E-3</v>
      </c>
      <c r="I84" s="337"/>
      <c r="J84" s="168"/>
      <c r="K84" s="168"/>
      <c r="M84" s="359">
        <f t="shared" si="17"/>
        <v>0.92558455418647523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490">
        <f>'[30]Sch C'!D78</f>
        <v>13707</v>
      </c>
      <c r="D85" s="490">
        <f>'[30]Sch C'!F78</f>
        <v>636</v>
      </c>
      <c r="E85" s="171">
        <f t="shared" si="14"/>
        <v>14343</v>
      </c>
      <c r="F85" s="171"/>
      <c r="G85" s="171">
        <f t="shared" si="15"/>
        <v>14343</v>
      </c>
      <c r="H85" s="172">
        <f t="shared" si="16"/>
        <v>1.9351104563153166E-3</v>
      </c>
      <c r="I85" s="337"/>
      <c r="J85" s="168"/>
      <c r="K85" s="168"/>
      <c r="M85" s="359">
        <f t="shared" si="17"/>
        <v>0.4638595129523625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490">
        <f>'[30]Sch C'!D79</f>
        <v>9534</v>
      </c>
      <c r="D86" s="490">
        <f>'[30]Sch C'!F79</f>
        <v>0</v>
      </c>
      <c r="E86" s="171">
        <f t="shared" si="14"/>
        <v>9534</v>
      </c>
      <c r="F86" s="171"/>
      <c r="G86" s="171">
        <f>E86+F86</f>
        <v>9534</v>
      </c>
      <c r="H86" s="172">
        <f t="shared" si="16"/>
        <v>1.286295969498029E-3</v>
      </c>
      <c r="I86" s="337"/>
      <c r="J86" s="168"/>
      <c r="K86" s="168"/>
      <c r="M86" s="359">
        <f t="shared" si="17"/>
        <v>0.3083341418453478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490">
        <f>'[30]Sch C'!D80</f>
        <v>7985</v>
      </c>
      <c r="D87" s="490">
        <f>'[30]Sch C'!F80</f>
        <v>0</v>
      </c>
      <c r="E87" s="171">
        <f t="shared" si="14"/>
        <v>7985</v>
      </c>
      <c r="F87" s="171"/>
      <c r="G87" s="171">
        <f t="shared" si="15"/>
        <v>7985</v>
      </c>
      <c r="H87" s="172">
        <f t="shared" si="16"/>
        <v>1.0773099765514747E-3</v>
      </c>
      <c r="I87" s="337"/>
      <c r="J87" s="168"/>
      <c r="K87" s="168"/>
      <c r="M87" s="359">
        <f t="shared" si="17"/>
        <v>0.2582387374276382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490">
        <f>'[30]Sch C'!D81</f>
        <v>23331</v>
      </c>
      <c r="D88" s="490">
        <f>'[30]Sch C'!F81</f>
        <v>0</v>
      </c>
      <c r="E88" s="171">
        <f t="shared" si="14"/>
        <v>23331</v>
      </c>
      <c r="F88" s="171"/>
      <c r="G88" s="171">
        <f t="shared" si="15"/>
        <v>23331</v>
      </c>
      <c r="H88" s="172">
        <f t="shared" si="16"/>
        <v>3.1477418989257931E-3</v>
      </c>
      <c r="I88" s="337"/>
      <c r="J88" s="168"/>
      <c r="K88" s="168"/>
      <c r="M88" s="359">
        <f t="shared" si="17"/>
        <v>0.75453575240128068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490">
        <f>'[30]Sch C'!D82</f>
        <v>0</v>
      </c>
      <c r="D89" s="490">
        <f>'[30]Sch C'!F82</f>
        <v>0</v>
      </c>
      <c r="E89" s="171">
        <f t="shared" si="14"/>
        <v>0</v>
      </c>
      <c r="F89" s="171"/>
      <c r="G89" s="171">
        <f t="shared" si="15"/>
        <v>0</v>
      </c>
      <c r="H89" s="172">
        <f t="shared" si="16"/>
        <v>0</v>
      </c>
      <c r="I89" s="337"/>
      <c r="J89" s="168"/>
      <c r="K89" s="168"/>
      <c r="M89" s="359">
        <f t="shared" si="17"/>
        <v>0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490">
        <f>'[30]Sch C'!D83</f>
        <v>2348</v>
      </c>
      <c r="D90" s="490">
        <f>'[30]Sch C'!F83</f>
        <v>0</v>
      </c>
      <c r="E90" s="171">
        <f t="shared" si="14"/>
        <v>2348</v>
      </c>
      <c r="F90" s="171"/>
      <c r="G90" s="171">
        <f t="shared" si="15"/>
        <v>2348</v>
      </c>
      <c r="H90" s="172">
        <f t="shared" si="16"/>
        <v>3.1678444895965718E-4</v>
      </c>
      <c r="I90" s="337"/>
      <c r="J90" s="168"/>
      <c r="K90" s="168"/>
      <c r="M90" s="359">
        <f t="shared" si="17"/>
        <v>7.5935448400763231E-2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490">
        <f>'[30]Sch C'!D84</f>
        <v>140344</v>
      </c>
      <c r="D91" s="490">
        <f>'[30]Sch C'!F84</f>
        <v>0</v>
      </c>
      <c r="E91" s="171">
        <f t="shared" si="14"/>
        <v>140344</v>
      </c>
      <c r="F91" s="171"/>
      <c r="G91" s="171">
        <f t="shared" si="15"/>
        <v>140344</v>
      </c>
      <c r="H91" s="172">
        <f t="shared" si="16"/>
        <v>1.8934751577850992E-2</v>
      </c>
      <c r="I91" s="337"/>
      <c r="J91" s="168"/>
      <c r="K91" s="168"/>
      <c r="M91" s="359">
        <f t="shared" si="17"/>
        <v>4.5387924064551601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490">
        <f>'[30]Sch C'!D85</f>
        <v>0</v>
      </c>
      <c r="D92" s="490">
        <f>'[30]Sch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7"/>
      <c r="J92" s="168"/>
      <c r="K92" s="168"/>
      <c r="M92" s="359">
        <f t="shared" si="17"/>
        <v>0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490">
        <f>SUM(C82:C92)</f>
        <v>280828</v>
      </c>
      <c r="D93" s="490">
        <f>SUM(D82:D92)</f>
        <v>1116</v>
      </c>
      <c r="E93" s="171">
        <f t="shared" ref="E93:F93" si="18">SUM(E82:E92)</f>
        <v>281944</v>
      </c>
      <c r="F93" s="171">
        <f t="shared" si="18"/>
        <v>0</v>
      </c>
      <c r="G93" s="171">
        <f>SUM(G82:G92)</f>
        <v>281944</v>
      </c>
      <c r="H93" s="172">
        <f t="shared" si="16"/>
        <v>3.8038958550886535E-2</v>
      </c>
      <c r="I93" s="337"/>
      <c r="J93" s="168"/>
      <c r="K93" s="168"/>
      <c r="M93" s="364">
        <f>G93/G$228</f>
        <v>9.1182044565182245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490">
        <f>'[30]Sch C'!D89</f>
        <v>243434</v>
      </c>
      <c r="D96" s="490">
        <f>'[30]Sch C'!F89</f>
        <v>0</v>
      </c>
      <c r="E96" s="171">
        <f t="shared" ref="E96:E101" si="19">C96+D96</f>
        <v>243434</v>
      </c>
      <c r="F96" s="171"/>
      <c r="G96" s="171">
        <f t="shared" ref="G96:G101" si="20">E96+F96</f>
        <v>243434</v>
      </c>
      <c r="H96" s="172">
        <f t="shared" ref="H96:H102" si="21">IF($G$208=0,0,G96/$G$208)</f>
        <v>3.2843315821143609E-2</v>
      </c>
      <c r="I96" s="337"/>
      <c r="J96" s="183">
        <v>18776</v>
      </c>
      <c r="K96" s="183">
        <v>19762</v>
      </c>
      <c r="M96" s="364">
        <f t="shared" ref="M96:M101" si="22">G96/G$228</f>
        <v>7.872772549400084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490">
        <f>'[30]Sch C'!D90</f>
        <v>44309</v>
      </c>
      <c r="D97" s="490">
        <f>'[30]Sch C'!F90</f>
        <v>0</v>
      </c>
      <c r="E97" s="171">
        <f t="shared" si="19"/>
        <v>44309</v>
      </c>
      <c r="F97" s="171"/>
      <c r="G97" s="171">
        <f t="shared" si="20"/>
        <v>44309</v>
      </c>
      <c r="H97" s="172">
        <f t="shared" si="21"/>
        <v>5.9780247653123727E-3</v>
      </c>
      <c r="I97" s="337"/>
      <c r="J97" s="168"/>
      <c r="K97" s="168"/>
      <c r="M97" s="364">
        <f t="shared" si="22"/>
        <v>1.4329743539989004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490">
        <f>'[30]Sch C'!D91</f>
        <v>12081</v>
      </c>
      <c r="D98" s="490">
        <f>'[30]Sch C'!F91</f>
        <v>7098</v>
      </c>
      <c r="E98" s="171">
        <f t="shared" si="19"/>
        <v>19179</v>
      </c>
      <c r="F98" s="171"/>
      <c r="G98" s="171">
        <f t="shared" si="20"/>
        <v>19179</v>
      </c>
      <c r="H98" s="172">
        <f t="shared" si="21"/>
        <v>2.5875676944622085E-3</v>
      </c>
      <c r="I98" s="337"/>
      <c r="J98" s="168"/>
      <c r="K98" s="168"/>
      <c r="M98" s="364">
        <f t="shared" si="22"/>
        <v>0.62025807703502478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490">
        <f>'[30]Sch C'!D92</f>
        <v>229506</v>
      </c>
      <c r="D99" s="490">
        <f>'[30]Sch C'!F92</f>
        <v>0</v>
      </c>
      <c r="E99" s="171">
        <f t="shared" si="19"/>
        <v>229506</v>
      </c>
      <c r="F99" s="171"/>
      <c r="G99" s="171">
        <f t="shared" si="20"/>
        <v>229506</v>
      </c>
      <c r="H99" s="172">
        <f t="shared" si="21"/>
        <v>3.0964195801931469E-2</v>
      </c>
      <c r="I99" s="337"/>
      <c r="J99" s="168"/>
      <c r="K99" s="168"/>
      <c r="M99" s="364">
        <f t="shared" si="22"/>
        <v>7.4223343358882312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490">
        <f>'[30]Sch C'!D93</f>
        <v>25080</v>
      </c>
      <c r="D100" s="490">
        <f>'[30]Sch C'!F93</f>
        <v>0</v>
      </c>
      <c r="E100" s="171">
        <f t="shared" si="19"/>
        <v>25080</v>
      </c>
      <c r="F100" s="171"/>
      <c r="G100" s="171">
        <f t="shared" si="20"/>
        <v>25080</v>
      </c>
      <c r="H100" s="172">
        <f t="shared" si="21"/>
        <v>3.383711235054601E-3</v>
      </c>
      <c r="I100" s="337"/>
      <c r="J100" s="168"/>
      <c r="K100" s="168"/>
      <c r="M100" s="364">
        <f t="shared" si="22"/>
        <v>0.8110992529348986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490">
        <f>'[30]Sch C'!D94</f>
        <v>950</v>
      </c>
      <c r="D101" s="490">
        <f>'[30]Sch C'!F94</f>
        <v>0</v>
      </c>
      <c r="E101" s="171">
        <f t="shared" si="19"/>
        <v>950</v>
      </c>
      <c r="F101" s="171"/>
      <c r="G101" s="171">
        <f t="shared" si="20"/>
        <v>950</v>
      </c>
      <c r="H101" s="172">
        <f t="shared" si="21"/>
        <v>1.2817088011570459E-4</v>
      </c>
      <c r="I101" s="337"/>
      <c r="J101" s="168"/>
      <c r="K101" s="168"/>
      <c r="M101" s="364">
        <f t="shared" si="22"/>
        <v>3.072345655056434E-2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490">
        <f>SUM(C96:C101)</f>
        <v>555360</v>
      </c>
      <c r="D102" s="490">
        <f>SUM(D96:D101)</f>
        <v>7098</v>
      </c>
      <c r="E102" s="171">
        <f t="shared" ref="E102:F102" si="23">SUM(E96:E101)</f>
        <v>562458</v>
      </c>
      <c r="F102" s="171">
        <f t="shared" si="23"/>
        <v>0</v>
      </c>
      <c r="G102" s="171">
        <f>SUM(G96:G101)</f>
        <v>562458</v>
      </c>
      <c r="H102" s="172">
        <f t="shared" si="21"/>
        <v>7.5884986198019963E-2</v>
      </c>
      <c r="I102" s="337"/>
      <c r="J102" s="168"/>
      <c r="K102" s="168"/>
      <c r="M102" s="364">
        <f>G102/G$228</f>
        <v>18.190162025807705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490">
        <f>'[30]Sch C'!D98</f>
        <v>51326</v>
      </c>
      <c r="D105" s="490">
        <f>'[30]Sch C'!F98</f>
        <v>0</v>
      </c>
      <c r="E105" s="171">
        <f t="shared" ref="E105:E110" si="24">C105+D105</f>
        <v>51326</v>
      </c>
      <c r="F105" s="171"/>
      <c r="G105" s="171">
        <f t="shared" ref="G105:G110" si="25">E105+F105</f>
        <v>51326</v>
      </c>
      <c r="H105" s="172">
        <f t="shared" ref="H105:H111" si="26">IF($G$208=0,0,G105/$G$208)</f>
        <v>6.9247353608617402E-3</v>
      </c>
      <c r="I105" s="337"/>
      <c r="J105" s="183">
        <v>4705</v>
      </c>
      <c r="K105" s="183">
        <v>5088</v>
      </c>
      <c r="M105" s="364">
        <f t="shared" ref="M105:M110" si="27">G105/G$228</f>
        <v>1.6599075062255426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490">
        <f>'[30]Sch C'!D99</f>
        <v>9342</v>
      </c>
      <c r="D106" s="490">
        <f>'[30]Sch C'!F99</f>
        <v>0</v>
      </c>
      <c r="E106" s="171">
        <f t="shared" si="24"/>
        <v>9342</v>
      </c>
      <c r="F106" s="171"/>
      <c r="G106" s="171">
        <f t="shared" si="25"/>
        <v>9342</v>
      </c>
      <c r="H106" s="172">
        <f t="shared" si="26"/>
        <v>1.2603919600430655E-3</v>
      </c>
      <c r="I106" s="337"/>
      <c r="J106" s="168"/>
      <c r="K106" s="168"/>
      <c r="M106" s="364">
        <f t="shared" si="27"/>
        <v>0.30212476957407586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490">
        <f>'[30]Sch C'!D100</f>
        <v>9499</v>
      </c>
      <c r="D107" s="490">
        <f>'[30]Sch C'!F100</f>
        <v>0</v>
      </c>
      <c r="E107" s="171">
        <f t="shared" si="24"/>
        <v>9499</v>
      </c>
      <c r="F107" s="171"/>
      <c r="G107" s="171">
        <f t="shared" si="25"/>
        <v>9499</v>
      </c>
      <c r="H107" s="172">
        <f t="shared" si="26"/>
        <v>1.2815738844411345E-3</v>
      </c>
      <c r="I107" s="337"/>
      <c r="J107" s="168"/>
      <c r="K107" s="168"/>
      <c r="M107" s="364">
        <f t="shared" si="27"/>
        <v>0.30720222502506389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490">
        <f>'[30]Sch C'!D101</f>
        <v>0</v>
      </c>
      <c r="D108" s="490">
        <f>'[30]Sch C'!F101</f>
        <v>0</v>
      </c>
      <c r="E108" s="171">
        <f t="shared" si="24"/>
        <v>0</v>
      </c>
      <c r="F108" s="171"/>
      <c r="G108" s="171">
        <f t="shared" si="25"/>
        <v>0</v>
      </c>
      <c r="H108" s="172">
        <f t="shared" si="26"/>
        <v>0</v>
      </c>
      <c r="I108" s="337"/>
      <c r="J108" s="168"/>
      <c r="K108" s="168"/>
      <c r="M108" s="364">
        <f t="shared" si="27"/>
        <v>0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490">
        <f>'[30]Sch C'!D102</f>
        <v>7580</v>
      </c>
      <c r="D109" s="490">
        <f>'[30]Sch C'!F102</f>
        <v>0</v>
      </c>
      <c r="E109" s="171">
        <f t="shared" si="24"/>
        <v>7580</v>
      </c>
      <c r="F109" s="171"/>
      <c r="G109" s="171">
        <f t="shared" si="25"/>
        <v>7580</v>
      </c>
      <c r="H109" s="172">
        <f t="shared" si="26"/>
        <v>1.0226687066074113E-3</v>
      </c>
      <c r="I109" s="337"/>
      <c r="J109" s="168"/>
      <c r="K109" s="168"/>
      <c r="M109" s="364">
        <f t="shared" si="27"/>
        <v>0.24514084279292389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490">
        <f>'[30]Sch C'!D103</f>
        <v>0</v>
      </c>
      <c r="D110" s="490">
        <f>'[30]Sch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7"/>
      <c r="J110" s="168"/>
      <c r="K110" s="168"/>
      <c r="M110" s="364">
        <f t="shared" si="27"/>
        <v>0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490">
        <f>SUM(C105:C110)</f>
        <v>77747</v>
      </c>
      <c r="D111" s="490">
        <f>SUM(D105:D110)</f>
        <v>0</v>
      </c>
      <c r="E111" s="171">
        <f t="shared" ref="E111:F111" si="28">SUM(E105:E110)</f>
        <v>77747</v>
      </c>
      <c r="F111" s="171">
        <f t="shared" si="28"/>
        <v>0</v>
      </c>
      <c r="G111" s="171">
        <f>SUM(G105:G110)</f>
        <v>77747</v>
      </c>
      <c r="H111" s="172">
        <f t="shared" si="26"/>
        <v>1.0489369911953351E-2</v>
      </c>
      <c r="I111" s="337"/>
      <c r="J111" s="168"/>
      <c r="K111" s="168"/>
      <c r="M111" s="364">
        <f>G111/G$228</f>
        <v>2.5143753436176062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490">
        <f>'[30]Sch C'!D115</f>
        <v>96047</v>
      </c>
      <c r="D114" s="490">
        <f>'[30]Sch C'!F115</f>
        <v>0</v>
      </c>
      <c r="E114" s="171">
        <f t="shared" ref="E114:E118" si="29">C114+D114</f>
        <v>96047</v>
      </c>
      <c r="F114" s="171"/>
      <c r="G114" s="171">
        <f>E114+F114</f>
        <v>96047</v>
      </c>
      <c r="H114" s="172">
        <f t="shared" ref="H114:H119" si="30">IF($G$208=0,0,G114/$G$208)</f>
        <v>1.2958345813129555E-2</v>
      </c>
      <c r="I114" s="337"/>
      <c r="J114" s="183">
        <v>9818</v>
      </c>
      <c r="K114" s="183">
        <v>10198</v>
      </c>
      <c r="M114" s="364">
        <f t="shared" ref="M114:M119" si="31">G114/G$228</f>
        <v>3.106206138223214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490">
        <f>'[30]Sch C'!D116</f>
        <v>17482</v>
      </c>
      <c r="D115" s="490">
        <f>'[30]Sch C'!F116</f>
        <v>0</v>
      </c>
      <c r="E115" s="171">
        <f t="shared" si="29"/>
        <v>17482</v>
      </c>
      <c r="F115" s="171"/>
      <c r="G115" s="171">
        <f>E115+F115</f>
        <v>17482</v>
      </c>
      <c r="H115" s="172">
        <f t="shared" si="30"/>
        <v>2.3586140275607867E-3</v>
      </c>
      <c r="I115" s="337"/>
      <c r="J115" s="168"/>
      <c r="K115" s="168"/>
      <c r="M115" s="364">
        <f t="shared" si="31"/>
        <v>0.56537628149154295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490">
        <f>'[30]Sch C'!D117</f>
        <v>23811</v>
      </c>
      <c r="D116" s="490">
        <f>'[30]Sch C'!F117</f>
        <v>0</v>
      </c>
      <c r="E116" s="171">
        <f t="shared" si="29"/>
        <v>23811</v>
      </c>
      <c r="F116" s="171"/>
      <c r="G116" s="171">
        <f>E116+F116</f>
        <v>23811</v>
      </c>
      <c r="H116" s="172">
        <f t="shared" si="30"/>
        <v>3.2125019225632016E-3</v>
      </c>
      <c r="I116" s="337"/>
      <c r="J116" s="168"/>
      <c r="K116" s="168"/>
      <c r="M116" s="364">
        <f t="shared" si="31"/>
        <v>0.77005918307946053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490">
        <f>'[30]Sch C'!D118</f>
        <v>0</v>
      </c>
      <c r="D117" s="490">
        <f>'[30]Sch C'!F118</f>
        <v>0</v>
      </c>
      <c r="E117" s="171">
        <f t="shared" si="29"/>
        <v>0</v>
      </c>
      <c r="F117" s="171"/>
      <c r="G117" s="171">
        <f>E117+F117</f>
        <v>0</v>
      </c>
      <c r="H117" s="172">
        <f t="shared" si="30"/>
        <v>0</v>
      </c>
      <c r="I117" s="337"/>
      <c r="J117" s="168"/>
      <c r="K117" s="168"/>
      <c r="M117" s="364">
        <f t="shared" si="31"/>
        <v>0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490">
        <f>'[30]Sch C'!D119</f>
        <v>0</v>
      </c>
      <c r="D118" s="490">
        <f>'[30]Sch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337"/>
      <c r="J118" s="168"/>
      <c r="K118" s="168"/>
      <c r="M118" s="364">
        <f t="shared" si="31"/>
        <v>0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490">
        <f>SUM(C114:C118)</f>
        <v>137340</v>
      </c>
      <c r="D119" s="490">
        <f>SUM(D114:D118)</f>
        <v>0</v>
      </c>
      <c r="E119" s="171">
        <f t="shared" ref="E119:F119" si="32">SUM(E114:E118)</f>
        <v>137340</v>
      </c>
      <c r="F119" s="171">
        <f t="shared" si="32"/>
        <v>0</v>
      </c>
      <c r="G119" s="171">
        <f>SUM(G114:G118)</f>
        <v>137340</v>
      </c>
      <c r="H119" s="172">
        <f t="shared" si="30"/>
        <v>1.8529461763253544E-2</v>
      </c>
      <c r="I119" s="337"/>
      <c r="J119" s="168"/>
      <c r="K119" s="168"/>
      <c r="M119" s="364">
        <f t="shared" si="31"/>
        <v>4.4416416027942178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1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490">
        <f>'[30]Sch C'!D124</f>
        <v>0</v>
      </c>
      <c r="D123" s="490">
        <f>'[30]Sch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7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0.77002560279620991</v>
      </c>
    </row>
    <row r="124" spans="1:14" s="167" customFormat="1">
      <c r="B124" s="163" t="s">
        <v>194</v>
      </c>
      <c r="C124" s="490">
        <f>'[30]Sch C'!D125</f>
        <v>279082</v>
      </c>
      <c r="D124" s="490">
        <f>'[30]Sch C'!F125</f>
        <v>51097</v>
      </c>
      <c r="E124" s="171">
        <f t="shared" si="33"/>
        <v>330179</v>
      </c>
      <c r="F124" s="171"/>
      <c r="G124" s="171">
        <f>E124+F124</f>
        <v>330179</v>
      </c>
      <c r="H124" s="172">
        <f>IF($G$208=0,0,G124/$G$208)</f>
        <v>4.4546666342866546E-2</v>
      </c>
      <c r="I124" s="337"/>
      <c r="J124" s="183">
        <v>5223</v>
      </c>
      <c r="K124" s="183">
        <v>5550</v>
      </c>
      <c r="M124" s="364">
        <f t="shared" si="34"/>
        <v>10.678147537272404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490">
        <f>'[30]Sch C'!D126</f>
        <v>0</v>
      </c>
      <c r="D125" s="490">
        <f>'[30]Sch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7"/>
      <c r="J125" s="183">
        <v>0</v>
      </c>
      <c r="K125" s="183">
        <v>0</v>
      </c>
      <c r="M125" s="364">
        <f t="shared" si="34"/>
        <v>0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490">
        <f>'[30]Sch C'!D127</f>
        <v>0</v>
      </c>
      <c r="D126" s="490">
        <f>'[30]Sch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7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490">
        <f>'[30]Sch C'!D128</f>
        <v>49813</v>
      </c>
      <c r="D127" s="490">
        <f>'[30]Sch C'!F128</f>
        <v>0</v>
      </c>
      <c r="E127" s="171">
        <f t="shared" si="33"/>
        <v>49813</v>
      </c>
      <c r="F127" s="171"/>
      <c r="G127" s="171">
        <f>E127+F127</f>
        <v>49813</v>
      </c>
      <c r="H127" s="172">
        <f>IF($G$208=0,0,G127/$G$208)</f>
        <v>6.7206063696879917E-3</v>
      </c>
      <c r="I127" s="337"/>
      <c r="J127" s="183">
        <v>4514</v>
      </c>
      <c r="K127" s="183">
        <v>4692</v>
      </c>
      <c r="M127" s="364">
        <f t="shared" si="34"/>
        <v>1.6109763591086963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205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490">
        <f>'[30]Sch C'!D130</f>
        <v>0</v>
      </c>
      <c r="D129" s="490">
        <f>'[30]Sch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7"/>
      <c r="J129" s="204"/>
      <c r="K129" s="204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490">
        <f>'[30]Sch C'!D131</f>
        <v>50797</v>
      </c>
      <c r="D130" s="490">
        <f>'[30]Sch C'!F131</f>
        <v>7301</v>
      </c>
      <c r="E130" s="171">
        <f t="shared" si="35"/>
        <v>58098</v>
      </c>
      <c r="F130" s="171"/>
      <c r="G130" s="171">
        <f>E130+F130</f>
        <v>58098</v>
      </c>
      <c r="H130" s="172">
        <f>IF($G$208=0,0,G130/$G$208)</f>
        <v>7.8383913610128465E-3</v>
      </c>
      <c r="I130" s="337"/>
      <c r="J130" s="204"/>
      <c r="K130" s="204"/>
      <c r="M130" s="364">
        <f t="shared" si="34"/>
        <v>1.8789172407101971</v>
      </c>
      <c r="N130" s="359">
        <f>SUMMARY!J133</f>
        <v>1.0792348507966931</v>
      </c>
    </row>
    <row r="131" spans="1:14" s="167" customFormat="1">
      <c r="B131" s="163" t="s">
        <v>195</v>
      </c>
      <c r="C131" s="490">
        <f>'[30]Sch C'!D132</f>
        <v>0</v>
      </c>
      <c r="D131" s="490">
        <f>'[30]Sch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7"/>
      <c r="J131" s="168"/>
      <c r="K131" s="168"/>
      <c r="M131" s="364">
        <f t="shared" si="34"/>
        <v>0</v>
      </c>
      <c r="N131" s="359">
        <f>SUMMARY!J134</f>
        <v>8.2765628075518377E-2</v>
      </c>
    </row>
    <row r="132" spans="1:14" s="167" customFormat="1">
      <c r="B132" s="163" t="s">
        <v>196</v>
      </c>
      <c r="C132" s="490">
        <f>'[30]Sch C'!D133</f>
        <v>0</v>
      </c>
      <c r="D132" s="490">
        <f>'[30]Sch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490">
        <f>'[30]Sch C'!D134</f>
        <v>9067</v>
      </c>
      <c r="D133" s="490">
        <f>'[30]Sch C'!F134</f>
        <v>0</v>
      </c>
      <c r="E133" s="171">
        <f t="shared" si="35"/>
        <v>9067</v>
      </c>
      <c r="F133" s="171"/>
      <c r="G133" s="171">
        <f>E133+F133</f>
        <v>9067</v>
      </c>
      <c r="H133" s="172">
        <f>IF($G$208=0,0,G133/$G$208)</f>
        <v>1.2232898631674668E-3</v>
      </c>
      <c r="I133" s="337"/>
      <c r="J133" s="168"/>
      <c r="K133" s="168"/>
      <c r="M133" s="364">
        <f t="shared" si="34"/>
        <v>0.29323113741470197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490">
        <f>'[30]Sch C'!D136</f>
        <v>677802</v>
      </c>
      <c r="D135" s="490">
        <f>'[30]Sch C'!F136</f>
        <v>0</v>
      </c>
      <c r="E135" s="171">
        <f t="shared" ref="E135:E138" si="36">C135+D135</f>
        <v>677802</v>
      </c>
      <c r="F135" s="171"/>
      <c r="G135" s="171">
        <f>E135+F135</f>
        <v>677802</v>
      </c>
      <c r="H135" s="172">
        <f>IF($G$208=0,0,G135/$G$208)</f>
        <v>9.1446819878089253E-2</v>
      </c>
      <c r="I135" s="337"/>
      <c r="J135" s="183">
        <v>27671</v>
      </c>
      <c r="K135" s="183">
        <v>28769</v>
      </c>
      <c r="M135" s="364">
        <f t="shared" si="34"/>
        <v>21.920442417774328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490">
        <f>'[30]Sch C'!D137</f>
        <v>305308</v>
      </c>
      <c r="D136" s="490">
        <f>'[30]Sch C'!F137</f>
        <v>0</v>
      </c>
      <c r="E136" s="171">
        <f t="shared" si="36"/>
        <v>305308</v>
      </c>
      <c r="F136" s="171"/>
      <c r="G136" s="171">
        <f>E136+F136</f>
        <v>305308</v>
      </c>
      <c r="H136" s="172">
        <f>IF($G$208=0,0,G136/$G$208)</f>
        <v>4.1191152701437403E-2</v>
      </c>
      <c r="I136" s="337"/>
      <c r="J136" s="183">
        <v>13395</v>
      </c>
      <c r="K136" s="183">
        <v>13638</v>
      </c>
      <c r="M136" s="364">
        <f t="shared" si="34"/>
        <v>9.8738074447786293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490">
        <f>'[30]Sch C'!D138</f>
        <v>701803</v>
      </c>
      <c r="D137" s="490">
        <f>'[30]Sch C'!F138</f>
        <v>0</v>
      </c>
      <c r="E137" s="171">
        <f t="shared" si="36"/>
        <v>701803</v>
      </c>
      <c r="F137" s="171"/>
      <c r="G137" s="171">
        <f>E137+F137</f>
        <v>701803</v>
      </c>
      <c r="H137" s="172">
        <f>IF($G$208=0,0,G137/$G$208)</f>
        <v>9.4684955976675603E-2</v>
      </c>
      <c r="I137" s="337"/>
      <c r="J137" s="183">
        <v>66897</v>
      </c>
      <c r="K137" s="183">
        <v>68889</v>
      </c>
      <c r="M137" s="364">
        <f t="shared" si="34"/>
        <v>22.696646292163901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490">
        <f>'[30]Sch C'!D139</f>
        <v>0</v>
      </c>
      <c r="D138" s="490">
        <f>'[30]Sch C'!F139</f>
        <v>0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7"/>
      <c r="J138" s="183">
        <v>0</v>
      </c>
      <c r="K138" s="183">
        <v>0</v>
      </c>
      <c r="M138" s="364">
        <f t="shared" si="34"/>
        <v>0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7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490">
        <f>'[30]Sch C'!D141</f>
        <v>123371</v>
      </c>
      <c r="D140" s="490">
        <f>'[30]Sch C'!F141</f>
        <v>0</v>
      </c>
      <c r="E140" s="171">
        <f t="shared" ref="E140:E143" si="37">C140+D140</f>
        <v>123371</v>
      </c>
      <c r="F140" s="171"/>
      <c r="G140" s="171">
        <f>E140+F140</f>
        <v>123371</v>
      </c>
      <c r="H140" s="172">
        <f>IF($G$208=0,0,G140/$G$208)</f>
        <v>1.6644810158689041E-2</v>
      </c>
      <c r="I140" s="337"/>
      <c r="J140" s="168"/>
      <c r="K140" s="168"/>
      <c r="M140" s="364">
        <f t="shared" si="34"/>
        <v>3.9898774295786037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490">
        <f>'[30]Sch C'!D142</f>
        <v>55571</v>
      </c>
      <c r="D141" s="490">
        <f>'[30]Sch C'!F142</f>
        <v>0</v>
      </c>
      <c r="E141" s="171">
        <f t="shared" si="37"/>
        <v>55571</v>
      </c>
      <c r="F141" s="171"/>
      <c r="G141" s="171">
        <f>E141+F141</f>
        <v>55571</v>
      </c>
      <c r="H141" s="172">
        <f>IF($G$208=0,0,G141/$G$208)</f>
        <v>7.4974568199050722E-3</v>
      </c>
      <c r="I141" s="337"/>
      <c r="J141" s="168"/>
      <c r="K141" s="168"/>
      <c r="M141" s="364">
        <f t="shared" si="34"/>
        <v>1.7971928462856959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490">
        <f>'[30]Sch C'!D143</f>
        <v>127740</v>
      </c>
      <c r="D142" s="490">
        <f>'[30]Sch C'!F143</f>
        <v>0</v>
      </c>
      <c r="E142" s="171">
        <f t="shared" si="37"/>
        <v>127740</v>
      </c>
      <c r="F142" s="171"/>
      <c r="G142" s="171">
        <f>E142+F142</f>
        <v>127740</v>
      </c>
      <c r="H142" s="172">
        <f>IF($G$208=0,0,G142/$G$208)</f>
        <v>1.723426129050537E-2</v>
      </c>
      <c r="I142" s="337"/>
      <c r="J142" s="168"/>
      <c r="K142" s="168"/>
      <c r="M142" s="364">
        <f t="shared" si="34"/>
        <v>4.1311729892306204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490">
        <f>'[30]Sch C'!D144</f>
        <v>0</v>
      </c>
      <c r="D143" s="490">
        <f>'[30]Sch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7"/>
      <c r="J143" s="168"/>
      <c r="K143" s="168"/>
      <c r="M143" s="364">
        <f t="shared" si="34"/>
        <v>0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7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490">
        <f>'[30]Sch C'!D146</f>
        <v>20600</v>
      </c>
      <c r="D145" s="490">
        <f>'[30]Sch C'!F146</f>
        <v>0</v>
      </c>
      <c r="E145" s="171">
        <f t="shared" ref="E145:E153" si="38">C145+D145</f>
        <v>20600</v>
      </c>
      <c r="F145" s="171"/>
      <c r="G145" s="171">
        <f t="shared" ref="G145:G153" si="39">E145+F145</f>
        <v>20600</v>
      </c>
      <c r="H145" s="172">
        <f t="shared" ref="H145:H153" si="40">IF($G$208=0,0,G145/$G$208)</f>
        <v>2.7792843477721205E-3</v>
      </c>
      <c r="I145" s="337"/>
      <c r="J145" s="183">
        <v>275</v>
      </c>
      <c r="K145" s="183">
        <v>275</v>
      </c>
      <c r="M145" s="364">
        <f t="shared" si="34"/>
        <v>0.66621389993855307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490">
        <f>'[30]Sch C'!D147</f>
        <v>0</v>
      </c>
      <c r="D146" s="490">
        <f>'[30]Sch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337"/>
      <c r="J146" s="183">
        <v>0</v>
      </c>
      <c r="K146" s="183">
        <v>0</v>
      </c>
      <c r="M146" s="364">
        <f t="shared" si="34"/>
        <v>0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490">
        <f>'[30]Sch C'!D148</f>
        <v>0</v>
      </c>
      <c r="D147" s="490">
        <f>'[30]Sch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7"/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490">
        <f>'[30]Sch C'!D149</f>
        <v>0</v>
      </c>
      <c r="D148" s="490">
        <f>'[30]Sch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7"/>
      <c r="J148" s="183">
        <v>0</v>
      </c>
      <c r="K148" s="183">
        <v>0</v>
      </c>
      <c r="M148" s="364">
        <f t="shared" si="34"/>
        <v>0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490">
        <f>'[30]Sch C'!D150</f>
        <v>11774</v>
      </c>
      <c r="D149" s="490">
        <f>'[30]Sch C'!F150</f>
        <v>0</v>
      </c>
      <c r="E149" s="171">
        <f t="shared" si="38"/>
        <v>11774</v>
      </c>
      <c r="F149" s="171"/>
      <c r="G149" s="171">
        <f t="shared" si="39"/>
        <v>11774</v>
      </c>
      <c r="H149" s="172">
        <f t="shared" si="40"/>
        <v>1.5885094131392692E-3</v>
      </c>
      <c r="I149" s="337"/>
      <c r="J149" s="183">
        <v>235</v>
      </c>
      <c r="K149" s="183">
        <v>235</v>
      </c>
      <c r="M149" s="364">
        <f t="shared" si="34"/>
        <v>0.38077681834352056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490">
        <f>'[30]Sch C'!D151</f>
        <v>186504</v>
      </c>
      <c r="D150" s="490">
        <f>'[30]Sch C'!F151</f>
        <v>0</v>
      </c>
      <c r="E150" s="171">
        <f t="shared" si="38"/>
        <v>186504</v>
      </c>
      <c r="F150" s="171"/>
      <c r="G150" s="171">
        <f t="shared" si="39"/>
        <v>186504</v>
      </c>
      <c r="H150" s="172">
        <f t="shared" si="40"/>
        <v>2.5162507184315123E-2</v>
      </c>
      <c r="I150" s="337"/>
      <c r="J150" s="168"/>
      <c r="K150" s="168"/>
      <c r="M150" s="364">
        <f t="shared" si="34"/>
        <v>6.0316289900067916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490">
        <f>'[30]Sch C'!D152</f>
        <v>1308</v>
      </c>
      <c r="D151" s="490">
        <f>'[30]Sch C'!F152</f>
        <v>0</v>
      </c>
      <c r="E151" s="171">
        <f t="shared" si="38"/>
        <v>1308</v>
      </c>
      <c r="F151" s="171"/>
      <c r="G151" s="171">
        <f t="shared" si="39"/>
        <v>1308</v>
      </c>
      <c r="H151" s="172">
        <f t="shared" si="40"/>
        <v>1.7647106441193852E-4</v>
      </c>
      <c r="I151" s="337"/>
      <c r="J151" s="168"/>
      <c r="K151" s="168"/>
      <c r="M151" s="364">
        <f t="shared" si="34"/>
        <v>4.2301348598040169E-2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490">
        <f>'[30]Sch C'!D153</f>
        <v>0</v>
      </c>
      <c r="D152" s="490">
        <f>'[30]Sch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7"/>
      <c r="J152" s="168"/>
      <c r="K152" s="168"/>
      <c r="M152" s="364">
        <f t="shared" si="34"/>
        <v>0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490">
        <f>'[30]Sch C'!D154</f>
        <v>0</v>
      </c>
      <c r="D153" s="490">
        <f>'[30]Sch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210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490">
        <f>'[30]Sch C'!D156</f>
        <v>0</v>
      </c>
      <c r="D155" s="490">
        <f>'[30]Sch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490">
        <f>'[30]Sch C'!D157</f>
        <v>0</v>
      </c>
      <c r="D156" s="490">
        <f>'[30]Sch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490">
        <f>'[30]Sch C'!D158</f>
        <v>0</v>
      </c>
      <c r="D157" s="490">
        <f>'[30]Sch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7"/>
      <c r="J157" s="168"/>
      <c r="K157" s="168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490">
        <f>'[30]Sch C'!D159</f>
        <v>0</v>
      </c>
      <c r="D158" s="490">
        <f>'[30]Sch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490">
        <f>'[30]Sch C'!D160</f>
        <v>0</v>
      </c>
      <c r="D159" s="490">
        <f>'[30]Sch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7"/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490">
        <f>'[30]Sch C'!D161</f>
        <v>0</v>
      </c>
      <c r="D160" s="490">
        <f>'[30]Sch C'!F161</f>
        <v>0</v>
      </c>
      <c r="E160" s="171">
        <f t="shared" si="41"/>
        <v>0</v>
      </c>
      <c r="F160" s="171"/>
      <c r="G160" s="171">
        <f t="shared" si="42"/>
        <v>0</v>
      </c>
      <c r="H160" s="172">
        <f t="shared" si="43"/>
        <v>0</v>
      </c>
      <c r="I160" s="337"/>
      <c r="J160" s="168"/>
      <c r="K160" s="168"/>
      <c r="M160" s="364">
        <f t="shared" si="34"/>
        <v>0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490">
        <f>SUM(C123:C160)</f>
        <v>2600540</v>
      </c>
      <c r="D161" s="490">
        <f>SUM(D123:D160)</f>
        <v>58398</v>
      </c>
      <c r="E161" s="171">
        <f t="shared" ref="E161:F161" si="44">SUM(E123:E160)</f>
        <v>2658938</v>
      </c>
      <c r="F161" s="171">
        <f t="shared" si="44"/>
        <v>0</v>
      </c>
      <c r="G161" s="171">
        <f>SUM(G123:G160)</f>
        <v>2658938</v>
      </c>
      <c r="H161" s="172">
        <f t="shared" si="43"/>
        <v>0.35873518277167504</v>
      </c>
      <c r="I161" s="337"/>
      <c r="J161" s="168"/>
      <c r="K161" s="168"/>
      <c r="M161" s="364">
        <f>G161/G$228</f>
        <v>85.991332751204681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337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7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490">
        <f>'[30]Sch C'!D175</f>
        <v>0</v>
      </c>
      <c r="D164" s="490">
        <f>'[30]Sch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490">
        <f>'[30]Sch C'!D176</f>
        <v>0</v>
      </c>
      <c r="D165" s="490">
        <f>'[30]Sch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490">
        <f>'[30]Sch C'!D177</f>
        <v>0</v>
      </c>
      <c r="D166" s="490">
        <f>'[30]Sch C'!F177</f>
        <v>0</v>
      </c>
      <c r="E166" s="171">
        <f t="shared" si="45"/>
        <v>0</v>
      </c>
      <c r="F166" s="216"/>
      <c r="G166" s="171">
        <f t="shared" si="46"/>
        <v>0</v>
      </c>
      <c r="H166" s="172">
        <f t="shared" si="47"/>
        <v>0</v>
      </c>
      <c r="I166" s="343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490">
        <f>'[30]Sch C'!D178</f>
        <v>0</v>
      </c>
      <c r="D167" s="490">
        <f>'[30]Sch C'!F178</f>
        <v>0</v>
      </c>
      <c r="E167" s="171">
        <f t="shared" si="45"/>
        <v>0</v>
      </c>
      <c r="F167" s="216"/>
      <c r="G167" s="171">
        <f t="shared" si="46"/>
        <v>0</v>
      </c>
      <c r="H167" s="172">
        <f t="shared" si="47"/>
        <v>0</v>
      </c>
      <c r="I167" s="344"/>
      <c r="J167" s="222"/>
      <c r="K167" s="222"/>
      <c r="L167" s="218"/>
      <c r="M167" s="364">
        <f t="shared" si="48"/>
        <v>0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490">
        <f>'[30]Sch C'!D179</f>
        <v>0</v>
      </c>
      <c r="D168" s="490">
        <f>'[30]Sch C'!F179</f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343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490">
        <f>'[30]Sch C'!D180</f>
        <v>0</v>
      </c>
      <c r="D169" s="490">
        <f>'[30]Sch C'!F180</f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344"/>
      <c r="J169" s="222"/>
      <c r="K169" s="222"/>
      <c r="L169" s="218"/>
      <c r="M169" s="364">
        <f t="shared" si="48"/>
        <v>0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490">
        <f>'[30]Sch C'!D181</f>
        <v>0</v>
      </c>
      <c r="D170" s="490">
        <f>'[30]Sch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3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490">
        <f>'[30]Sch C'!D182</f>
        <v>0</v>
      </c>
      <c r="D171" s="490">
        <f>'[30]Sch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490">
        <f>'[30]Sch C'!D183</f>
        <v>0</v>
      </c>
      <c r="D172" s="490">
        <f>'[30]Sch C'!F183</f>
        <v>0</v>
      </c>
      <c r="E172" s="171">
        <f t="shared" si="45"/>
        <v>0</v>
      </c>
      <c r="F172" s="216"/>
      <c r="G172" s="171">
        <f t="shared" si="46"/>
        <v>0</v>
      </c>
      <c r="H172" s="172">
        <f t="shared" si="47"/>
        <v>0</v>
      </c>
      <c r="I172" s="343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490">
        <f>'[30]Sch C'!D184</f>
        <v>0</v>
      </c>
      <c r="D173" s="490">
        <f>'[30]Sch C'!F184</f>
        <v>0</v>
      </c>
      <c r="E173" s="171">
        <f t="shared" si="45"/>
        <v>0</v>
      </c>
      <c r="F173" s="216"/>
      <c r="G173" s="171">
        <f t="shared" si="46"/>
        <v>0</v>
      </c>
      <c r="H173" s="172">
        <f t="shared" si="47"/>
        <v>0</v>
      </c>
      <c r="I173" s="344"/>
      <c r="J173" s="222"/>
      <c r="K173" s="222"/>
      <c r="L173" s="218"/>
      <c r="M173" s="364">
        <f t="shared" si="48"/>
        <v>0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490">
        <f>'[30]Sch C'!D185</f>
        <v>0</v>
      </c>
      <c r="D174" s="490">
        <f>'[30]Sch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3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490">
        <f>'[30]Sch C'!D186</f>
        <v>0</v>
      </c>
      <c r="D175" s="490">
        <f>'[30]Sch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490">
        <f>'[30]Sch C'!D187</f>
        <v>0</v>
      </c>
      <c r="D176" s="490">
        <f>'[30]Sch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490">
        <f>'[30]Sch C'!D188</f>
        <v>1265</v>
      </c>
      <c r="D177" s="490">
        <f>'[30]Sch C'!F188</f>
        <v>0</v>
      </c>
      <c r="E177" s="171">
        <f t="shared" si="45"/>
        <v>1265</v>
      </c>
      <c r="F177" s="216"/>
      <c r="G177" s="171">
        <f t="shared" si="46"/>
        <v>1265</v>
      </c>
      <c r="H177" s="172">
        <f t="shared" si="47"/>
        <v>1.7066964562775398E-4</v>
      </c>
      <c r="I177" s="337"/>
      <c r="J177" s="223"/>
      <c r="K177" s="218"/>
      <c r="L177" s="220"/>
      <c r="M177" s="364">
        <f t="shared" si="48"/>
        <v>4.0910707933119884E-2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490">
        <f>'[30]Sch C'!D189</f>
        <v>203</v>
      </c>
      <c r="D178" s="490">
        <f>'[30]Sch C'!F189</f>
        <v>0</v>
      </c>
      <c r="E178" s="171">
        <f t="shared" si="45"/>
        <v>203</v>
      </c>
      <c r="F178" s="216"/>
      <c r="G178" s="171">
        <f t="shared" si="46"/>
        <v>203</v>
      </c>
      <c r="H178" s="172">
        <f t="shared" si="47"/>
        <v>2.7388093329987398E-5</v>
      </c>
      <c r="I178" s="337"/>
      <c r="J178" s="223"/>
      <c r="K178" s="218"/>
      <c r="L178" s="220"/>
      <c r="M178" s="364">
        <f t="shared" si="48"/>
        <v>6.5651175576469066E-3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490">
        <f>'[30]Sch C'!D190</f>
        <v>210</v>
      </c>
      <c r="D179" s="490">
        <f>'[30]Sch C'!F190</f>
        <v>0</v>
      </c>
      <c r="E179" s="171">
        <f t="shared" si="45"/>
        <v>210</v>
      </c>
      <c r="F179" s="216"/>
      <c r="G179" s="171">
        <f t="shared" si="46"/>
        <v>210</v>
      </c>
      <c r="H179" s="172">
        <f t="shared" si="47"/>
        <v>2.8332510341366276E-5</v>
      </c>
      <c r="I179" s="337"/>
      <c r="J179" s="223"/>
      <c r="K179" s="218"/>
      <c r="L179" s="220"/>
      <c r="M179" s="364">
        <f t="shared" si="48"/>
        <v>6.7915009217036967E-3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490">
        <f>'[30]Sch C'!D191</f>
        <v>0</v>
      </c>
      <c r="D180" s="490">
        <f>'[30]Sch C'!F191</f>
        <v>0</v>
      </c>
      <c r="E180" s="171">
        <f t="shared" si="45"/>
        <v>0</v>
      </c>
      <c r="F180" s="216"/>
      <c r="G180" s="171">
        <f t="shared" si="46"/>
        <v>0</v>
      </c>
      <c r="H180" s="172">
        <f t="shared" si="47"/>
        <v>0</v>
      </c>
      <c r="I180" s="337"/>
      <c r="J180" s="223"/>
      <c r="K180" s="218"/>
      <c r="L180" s="220"/>
      <c r="M180" s="364">
        <f t="shared" si="48"/>
        <v>0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490">
        <f>'[30]Sch C'!D192</f>
        <v>0</v>
      </c>
      <c r="D181" s="490">
        <f>'[30]Sch C'!F192</f>
        <v>0</v>
      </c>
      <c r="E181" s="171">
        <f t="shared" si="45"/>
        <v>0</v>
      </c>
      <c r="F181" s="216"/>
      <c r="G181" s="171">
        <f t="shared" si="46"/>
        <v>0</v>
      </c>
      <c r="H181" s="172">
        <f t="shared" si="47"/>
        <v>0</v>
      </c>
      <c r="I181" s="337"/>
      <c r="J181" s="223"/>
      <c r="K181" s="218"/>
      <c r="L181" s="220"/>
      <c r="M181" s="364">
        <f t="shared" si="48"/>
        <v>0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490">
        <f>'[30]Sch C'!D193</f>
        <v>0</v>
      </c>
      <c r="D182" s="490">
        <f>'[30]Sch C'!F193</f>
        <v>0</v>
      </c>
      <c r="E182" s="171">
        <f t="shared" si="45"/>
        <v>0</v>
      </c>
      <c r="F182" s="216"/>
      <c r="G182" s="171">
        <f t="shared" si="46"/>
        <v>0</v>
      </c>
      <c r="H182" s="172">
        <f t="shared" si="47"/>
        <v>0</v>
      </c>
      <c r="I182" s="337"/>
      <c r="J182" s="223"/>
      <c r="K182" s="218"/>
      <c r="L182" s="220"/>
      <c r="M182" s="364">
        <f t="shared" si="48"/>
        <v>0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490">
        <f>'[30]Sch C'!D194</f>
        <v>429229</v>
      </c>
      <c r="D183" s="490">
        <f>'[30]Sch C'!F194</f>
        <v>-10047</v>
      </c>
      <c r="E183" s="171">
        <f t="shared" si="45"/>
        <v>419182</v>
      </c>
      <c r="F183" s="216"/>
      <c r="G183" s="171">
        <f t="shared" si="46"/>
        <v>419182</v>
      </c>
      <c r="H183" s="172">
        <f t="shared" si="47"/>
        <v>5.6554658809117135E-2</v>
      </c>
      <c r="I183" s="337"/>
      <c r="J183" s="223"/>
      <c r="K183" s="218"/>
      <c r="M183" s="364">
        <f t="shared" si="48"/>
        <v>13.556547330293329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490">
        <f>'[30]Sch C'!D195</f>
        <v>87334</v>
      </c>
      <c r="D184" s="490">
        <f>'[30]Sch C'!F195</f>
        <v>-2044</v>
      </c>
      <c r="E184" s="171">
        <f t="shared" si="45"/>
        <v>85290</v>
      </c>
      <c r="F184" s="216"/>
      <c r="G184" s="171">
        <f t="shared" si="46"/>
        <v>85290</v>
      </c>
      <c r="H184" s="172">
        <f t="shared" si="47"/>
        <v>1.1507046700072045E-2</v>
      </c>
      <c r="I184" s="337"/>
      <c r="J184" s="223"/>
      <c r="K184" s="218"/>
      <c r="M184" s="364">
        <f t="shared" si="48"/>
        <v>2.758319588629087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490">
        <f>'[30]Sch C'!D196</f>
        <v>0</v>
      </c>
      <c r="D185" s="490">
        <f>'[30]Sch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490">
        <f>'[30]Sch C'!D197</f>
        <v>379381</v>
      </c>
      <c r="D186" s="490">
        <f>'[30]Sch C'!F197</f>
        <v>-8880</v>
      </c>
      <c r="E186" s="171">
        <f t="shared" si="45"/>
        <v>370501</v>
      </c>
      <c r="F186" s="216"/>
      <c r="G186" s="171">
        <f t="shared" si="46"/>
        <v>370501</v>
      </c>
      <c r="H186" s="172">
        <f t="shared" si="47"/>
        <v>4.9986778161840696E-2</v>
      </c>
      <c r="I186" s="337"/>
      <c r="J186" s="223"/>
      <c r="K186" s="218"/>
      <c r="M186" s="364">
        <f t="shared" si="48"/>
        <v>11.982180395200672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490">
        <f>'[30]Sch C'!D198</f>
        <v>57560</v>
      </c>
      <c r="D187" s="490">
        <f>'[30]Sch C'!F198</f>
        <v>0</v>
      </c>
      <c r="E187" s="171">
        <f t="shared" si="45"/>
        <v>57560</v>
      </c>
      <c r="F187" s="216"/>
      <c r="G187" s="171">
        <f t="shared" si="46"/>
        <v>57560</v>
      </c>
      <c r="H187" s="172">
        <f t="shared" si="47"/>
        <v>7.7658061678525844E-3</v>
      </c>
      <c r="I187" s="337"/>
      <c r="J187" s="223"/>
      <c r="K187" s="218"/>
      <c r="M187" s="364">
        <f t="shared" si="48"/>
        <v>1.8615180621584038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490">
        <f>'[30]Sch C'!D199</f>
        <v>0</v>
      </c>
      <c r="D188" s="490">
        <f>'[30]Sch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7"/>
      <c r="J188" s="223"/>
      <c r="K188" s="218"/>
      <c r="M188" s="364">
        <f t="shared" si="48"/>
        <v>0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490">
        <f>'[30]Sch C'!D200</f>
        <v>0</v>
      </c>
      <c r="D189" s="490">
        <f>'[30]Sch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7"/>
      <c r="J189" s="223"/>
      <c r="K189" s="218"/>
      <c r="M189" s="364">
        <f t="shared" si="48"/>
        <v>0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490">
        <f>'[30]Sch C'!D201</f>
        <v>7758</v>
      </c>
      <c r="D190" s="490">
        <f>'[30]Sch C'!F201</f>
        <v>0</v>
      </c>
      <c r="E190" s="171">
        <f t="shared" si="45"/>
        <v>7758</v>
      </c>
      <c r="F190" s="216"/>
      <c r="G190" s="171">
        <f t="shared" si="46"/>
        <v>7758</v>
      </c>
      <c r="H190" s="172">
        <f t="shared" si="47"/>
        <v>1.046683882039617E-3</v>
      </c>
      <c r="I190" s="337"/>
      <c r="J190" s="223"/>
      <c r="K190" s="218"/>
      <c r="M190" s="364">
        <f t="shared" si="48"/>
        <v>0.2508974483360823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490">
        <f>'[30]Sch C'!D202</f>
        <v>0</v>
      </c>
      <c r="D191" s="490">
        <f>'[30]Sch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490">
        <f>'[30]Sch C'!D203</f>
        <v>11796</v>
      </c>
      <c r="D192" s="490">
        <f>'[30]Sch C'!F203</f>
        <v>0</v>
      </c>
      <c r="E192" s="171">
        <f t="shared" si="45"/>
        <v>11796</v>
      </c>
      <c r="F192" s="216"/>
      <c r="G192" s="171">
        <f t="shared" si="46"/>
        <v>11796</v>
      </c>
      <c r="H192" s="172">
        <f t="shared" si="47"/>
        <v>1.5914775808893171E-3</v>
      </c>
      <c r="I192" s="337"/>
      <c r="J192" s="223"/>
      <c r="K192" s="218"/>
      <c r="M192" s="364">
        <f t="shared" si="48"/>
        <v>0.3814883089162705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490">
        <f>'[30]Sch C'!D204</f>
        <v>0</v>
      </c>
      <c r="D193" s="490">
        <f>'[30]Sch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490">
        <f>'[30]Sch C'!D205</f>
        <v>362622</v>
      </c>
      <c r="D194" s="490">
        <f>'[30]Sch C'!F205</f>
        <v>0</v>
      </c>
      <c r="E194" s="171">
        <f t="shared" si="45"/>
        <v>362622</v>
      </c>
      <c r="F194" s="216"/>
      <c r="G194" s="171">
        <f t="shared" si="46"/>
        <v>362622</v>
      </c>
      <c r="H194" s="172">
        <f t="shared" si="47"/>
        <v>4.8923769357175816E-2</v>
      </c>
      <c r="I194" s="337"/>
      <c r="J194" s="223"/>
      <c r="K194" s="218"/>
      <c r="M194" s="364">
        <f t="shared" si="48"/>
        <v>11.727369748714466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490">
        <f>'[30]Sch C'!D206</f>
        <v>14501</v>
      </c>
      <c r="D195" s="490">
        <f>'[30]Sch C'!F206</f>
        <v>0</v>
      </c>
      <c r="E195" s="171">
        <f t="shared" si="45"/>
        <v>14501</v>
      </c>
      <c r="F195" s="216"/>
      <c r="G195" s="171">
        <f t="shared" si="46"/>
        <v>14501</v>
      </c>
      <c r="H195" s="172">
        <f t="shared" si="47"/>
        <v>1.9564272974292971E-3</v>
      </c>
      <c r="I195" s="337"/>
      <c r="J195" s="223"/>
      <c r="K195" s="218"/>
      <c r="M195" s="364">
        <f t="shared" si="48"/>
        <v>0.46896930888393001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490">
        <f>'[30]Sch C'!D207</f>
        <v>37268</v>
      </c>
      <c r="D196" s="490">
        <f>'[30]Sch C'!F207</f>
        <v>0</v>
      </c>
      <c r="E196" s="171">
        <f t="shared" si="45"/>
        <v>37268</v>
      </c>
      <c r="F196" s="216"/>
      <c r="G196" s="171">
        <f t="shared" si="46"/>
        <v>37268</v>
      </c>
      <c r="H196" s="172">
        <f t="shared" si="47"/>
        <v>5.0280761685811345E-3</v>
      </c>
      <c r="I196" s="337"/>
      <c r="J196" s="223"/>
      <c r="K196" s="218"/>
      <c r="M196" s="364">
        <f t="shared" si="48"/>
        <v>1.2052650302383494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490">
        <f>SUM(C164:C196)</f>
        <v>1389127</v>
      </c>
      <c r="D197" s="490">
        <f>SUM(D164:D196)</f>
        <v>-20971</v>
      </c>
      <c r="E197" s="171">
        <f t="shared" ref="E197:F197" si="49">SUM(E164:E196)</f>
        <v>1368156</v>
      </c>
      <c r="F197" s="171">
        <f t="shared" si="49"/>
        <v>0</v>
      </c>
      <c r="G197" s="171">
        <f>SUM(G164:G196)</f>
        <v>1368156</v>
      </c>
      <c r="H197" s="172">
        <f>IF($G$208=0,0,G197/$G$208)</f>
        <v>0.18458711437429676</v>
      </c>
      <c r="I197" s="337"/>
      <c r="J197" s="168"/>
      <c r="K197" s="168"/>
      <c r="M197" s="364">
        <f>G197/G$228</f>
        <v>44.246822547783061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165"/>
      <c r="G198" s="165"/>
      <c r="H198" s="198"/>
      <c r="I198" s="341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1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490">
        <f>'[30]Sch C'!D211</f>
        <v>123225</v>
      </c>
      <c r="D200" s="490">
        <f>'[30]Sch C'!F211</f>
        <v>0</v>
      </c>
      <c r="E200" s="171">
        <f t="shared" ref="E200:E205" si="50">C200+D200</f>
        <v>123225</v>
      </c>
      <c r="F200" s="171"/>
      <c r="G200" s="171">
        <f t="shared" ref="G200:G205" si="51">E200+F200</f>
        <v>123225</v>
      </c>
      <c r="H200" s="172">
        <f t="shared" ref="H200:H206" si="52">IF($G$208=0,0,G200/$G$208)</f>
        <v>1.6625112318165994E-2</v>
      </c>
      <c r="I200" s="337"/>
      <c r="J200" s="183">
        <v>7723</v>
      </c>
      <c r="K200" s="183">
        <v>8217</v>
      </c>
      <c r="M200" s="364">
        <f t="shared" ref="M200:M205" si="53">G200/G$228</f>
        <v>3.9851557194139904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490">
        <f>'[30]Sch C'!D212</f>
        <v>22429</v>
      </c>
      <c r="D201" s="490">
        <f>'[30]Sch C'!F212</f>
        <v>0</v>
      </c>
      <c r="E201" s="171">
        <f t="shared" si="50"/>
        <v>22429</v>
      </c>
      <c r="F201" s="171"/>
      <c r="G201" s="171">
        <f t="shared" si="51"/>
        <v>22429</v>
      </c>
      <c r="H201" s="172">
        <f t="shared" si="52"/>
        <v>3.0260470211738292E-3</v>
      </c>
      <c r="I201" s="337"/>
      <c r="J201" s="168"/>
      <c r="K201" s="168"/>
      <c r="M201" s="364">
        <f t="shared" si="53"/>
        <v>0.72536463891853431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490">
        <f>'[30]Sch C'!D213</f>
        <v>8194</v>
      </c>
      <c r="D202" s="490">
        <f>'[30]Sch C'!F213</f>
        <v>0</v>
      </c>
      <c r="E202" s="171">
        <f t="shared" si="50"/>
        <v>8194</v>
      </c>
      <c r="F202" s="171"/>
      <c r="G202" s="171">
        <f t="shared" si="51"/>
        <v>8194</v>
      </c>
      <c r="H202" s="172">
        <f t="shared" si="52"/>
        <v>1.1055075701769297E-3</v>
      </c>
      <c r="I202" s="337"/>
      <c r="J202" s="168"/>
      <c r="K202" s="168"/>
      <c r="M202" s="364">
        <f t="shared" si="53"/>
        <v>0.26499789786876232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490">
        <f>'[30]Sch C'!D214</f>
        <v>0</v>
      </c>
      <c r="D203" s="490">
        <f>'[30]Sch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>
        <f t="shared" si="53"/>
        <v>0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490">
        <f>'[30]Sch C'!D215</f>
        <v>0</v>
      </c>
      <c r="D204" s="490">
        <f>'[30]Sch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490">
        <f>'[30]Sch C'!D216</f>
        <v>12060</v>
      </c>
      <c r="D205" s="490">
        <f>'[30]Sch C'!F216</f>
        <v>0</v>
      </c>
      <c r="E205" s="171">
        <f t="shared" si="50"/>
        <v>12060</v>
      </c>
      <c r="F205" s="171"/>
      <c r="G205" s="171">
        <f t="shared" si="51"/>
        <v>12060</v>
      </c>
      <c r="H205" s="172">
        <f t="shared" si="52"/>
        <v>1.6270955938898918E-3</v>
      </c>
      <c r="I205" s="337"/>
      <c r="J205" s="168"/>
      <c r="K205" s="168"/>
      <c r="M205" s="364">
        <f t="shared" si="53"/>
        <v>0.39002619578926945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490">
        <f>SUM(C200:C205)</f>
        <v>165908</v>
      </c>
      <c r="D206" s="490">
        <f>SUM(D200:D205)</f>
        <v>0</v>
      </c>
      <c r="E206" s="171">
        <f t="shared" ref="E206:F206" si="54">SUM(E200:E205)</f>
        <v>165908</v>
      </c>
      <c r="F206" s="171">
        <f t="shared" si="54"/>
        <v>0</v>
      </c>
      <c r="G206" s="171">
        <f>SUM(G200:G205)</f>
        <v>165908</v>
      </c>
      <c r="H206" s="172">
        <f t="shared" si="52"/>
        <v>2.2383762503406648E-2</v>
      </c>
      <c r="I206" s="337"/>
      <c r="J206" s="168"/>
      <c r="K206" s="168"/>
      <c r="M206" s="364">
        <f>G206/G$228</f>
        <v>5.3655444519905569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490">
        <f>SUM(C25:C206)/2</f>
        <v>8404022</v>
      </c>
      <c r="D208" s="490">
        <f>SUM(D25:D206)/2</f>
        <v>-992042</v>
      </c>
      <c r="E208" s="171">
        <f t="shared" ref="E208:F208" si="55">SUM(E25:E206)/2</f>
        <v>7411980</v>
      </c>
      <c r="F208" s="171">
        <f t="shared" si="55"/>
        <v>0</v>
      </c>
      <c r="G208" s="171">
        <f>SUM(G25:G206)/2</f>
        <v>7411980</v>
      </c>
      <c r="H208" s="172">
        <f>IF($G$208=0,0,G208/$G$208)</f>
        <v>1</v>
      </c>
      <c r="I208" s="337"/>
      <c r="J208" s="183">
        <f>SUM(J25:J200)</f>
        <v>182065</v>
      </c>
      <c r="K208" s="183">
        <f>SUM(K25:K200)</f>
        <v>189247</v>
      </c>
      <c r="M208" s="364">
        <f>G208/G$228</f>
        <v>239.70699524594934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490">
        <f>'[30]Sch C'!D221</f>
        <v>8404022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490">
        <f>C208-C211</f>
        <v>0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619"/>
      <c r="D213" s="232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490">
        <f>C21-C208</f>
        <v>-592725</v>
      </c>
      <c r="D215" s="490">
        <f>D21-D208</f>
        <v>990244</v>
      </c>
      <c r="E215" s="171">
        <f t="shared" ref="E215:F215" si="56">E21-E208</f>
        <v>397519</v>
      </c>
      <c r="F215" s="171">
        <f t="shared" si="56"/>
        <v>0</v>
      </c>
      <c r="G215" s="171">
        <f>G21-G208</f>
        <v>397519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491">
        <f>'[30]Sch D'!C9</f>
        <v>17306</v>
      </c>
      <c r="D219" s="491"/>
      <c r="E219" s="235">
        <f t="shared" ref="E219:G227" si="57">C219+D219</f>
        <v>17306</v>
      </c>
      <c r="F219" s="234"/>
      <c r="G219" s="235">
        <f t="shared" si="57"/>
        <v>17306</v>
      </c>
      <c r="H219" s="172">
        <f t="shared" ref="H219:H228" si="58">IF($G$228=0,0,G219/$G$228)</f>
        <v>0.55968435690954366</v>
      </c>
      <c r="I219" s="337"/>
      <c r="J219" s="168"/>
      <c r="K219" s="168"/>
    </row>
    <row r="220" spans="1:14">
      <c r="A220" s="163"/>
      <c r="B220" s="170" t="s">
        <v>217</v>
      </c>
      <c r="C220" s="491">
        <f>'[30]Sch D'!D9</f>
        <v>0</v>
      </c>
      <c r="D220" s="491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7"/>
      <c r="J220" s="168"/>
      <c r="K220" s="168"/>
    </row>
    <row r="221" spans="1:14">
      <c r="A221" s="163"/>
      <c r="B221" s="170" t="s">
        <v>72</v>
      </c>
      <c r="C221" s="491">
        <f>'[30]Sch D'!E9</f>
        <v>5924</v>
      </c>
      <c r="D221" s="491"/>
      <c r="E221" s="235">
        <f t="shared" si="59"/>
        <v>5924</v>
      </c>
      <c r="F221" s="234"/>
      <c r="G221" s="235">
        <f t="shared" si="57"/>
        <v>5924</v>
      </c>
      <c r="H221" s="172">
        <f t="shared" si="58"/>
        <v>0.19158500695320332</v>
      </c>
      <c r="I221" s="337"/>
      <c r="J221" s="168"/>
      <c r="K221" s="168"/>
    </row>
    <row r="222" spans="1:14">
      <c r="A222" s="163"/>
      <c r="B222" s="202" t="s">
        <v>334</v>
      </c>
      <c r="C222" s="491">
        <f>'[30]Sch D'!F9</f>
        <v>1635</v>
      </c>
      <c r="D222" s="491"/>
      <c r="E222" s="235">
        <f>C222+D222</f>
        <v>1635</v>
      </c>
      <c r="F222" s="234"/>
      <c r="G222" s="235">
        <f>E222+F222</f>
        <v>1635</v>
      </c>
      <c r="H222" s="172">
        <f t="shared" si="58"/>
        <v>5.2876685747550209E-2</v>
      </c>
      <c r="I222" s="337"/>
      <c r="J222" s="168"/>
      <c r="K222" s="168"/>
    </row>
    <row r="223" spans="1:14">
      <c r="A223" s="163"/>
      <c r="B223" s="170" t="s">
        <v>73</v>
      </c>
      <c r="C223" s="491">
        <f>'[30]Sch D'!G9</f>
        <v>0</v>
      </c>
      <c r="D223" s="491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7"/>
      <c r="J223" s="168"/>
      <c r="K223" s="168"/>
    </row>
    <row r="224" spans="1:14">
      <c r="A224" s="163"/>
      <c r="B224" s="170" t="s">
        <v>74</v>
      </c>
      <c r="C224" s="491">
        <f>'[30]Sch D'!H9</f>
        <v>3166</v>
      </c>
      <c r="D224" s="491"/>
      <c r="E224" s="235">
        <f t="shared" si="59"/>
        <v>3166</v>
      </c>
      <c r="F224" s="234"/>
      <c r="G224" s="235">
        <f t="shared" si="57"/>
        <v>3166</v>
      </c>
      <c r="H224" s="172">
        <f t="shared" si="58"/>
        <v>0.10238996151482811</v>
      </c>
      <c r="I224" s="337"/>
      <c r="J224" s="168"/>
      <c r="K224" s="168"/>
    </row>
    <row r="225" spans="1:11">
      <c r="A225" s="163"/>
      <c r="B225" s="170" t="s">
        <v>236</v>
      </c>
      <c r="C225" s="491">
        <f>'[30]Sch D'!I9</f>
        <v>1849</v>
      </c>
      <c r="D225" s="491"/>
      <c r="E225" s="235">
        <f t="shared" si="59"/>
        <v>1849</v>
      </c>
      <c r="F225" s="234"/>
      <c r="G225" s="235">
        <f t="shared" si="57"/>
        <v>1849</v>
      </c>
      <c r="H225" s="172">
        <f t="shared" si="58"/>
        <v>5.9797548591572068E-2</v>
      </c>
      <c r="I225" s="337"/>
      <c r="J225" s="168"/>
      <c r="K225" s="168"/>
    </row>
    <row r="226" spans="1:11">
      <c r="A226" s="163"/>
      <c r="B226" s="170" t="s">
        <v>235</v>
      </c>
      <c r="C226" s="491">
        <f>'[30]Sch D'!J9</f>
        <v>854</v>
      </c>
      <c r="D226" s="491"/>
      <c r="E226" s="235">
        <f>C226+D226</f>
        <v>854</v>
      </c>
      <c r="F226" s="234"/>
      <c r="G226" s="235">
        <f>E226+F226</f>
        <v>854</v>
      </c>
      <c r="H226" s="172">
        <f t="shared" si="58"/>
        <v>2.7618770414928367E-2</v>
      </c>
      <c r="I226" s="337"/>
      <c r="J226" s="168"/>
      <c r="K226" s="168"/>
    </row>
    <row r="227" spans="1:11">
      <c r="A227" s="163"/>
      <c r="B227" s="170" t="s">
        <v>179</v>
      </c>
      <c r="C227" s="491">
        <f>'[30]Sch D'!K9</f>
        <v>187</v>
      </c>
      <c r="D227" s="491"/>
      <c r="E227" s="235">
        <f t="shared" si="59"/>
        <v>187</v>
      </c>
      <c r="F227" s="234"/>
      <c r="G227" s="235">
        <f t="shared" si="57"/>
        <v>187</v>
      </c>
      <c r="H227" s="172">
        <f t="shared" si="58"/>
        <v>6.0476698683742443E-3</v>
      </c>
      <c r="I227" s="337"/>
      <c r="J227" s="168"/>
      <c r="K227" s="168"/>
    </row>
    <row r="228" spans="1:11" ht="13.5" thickBot="1">
      <c r="A228" s="163"/>
      <c r="B228" s="236" t="s">
        <v>75</v>
      </c>
      <c r="C228" s="491">
        <f>SUM(C219:C227)</f>
        <v>30921</v>
      </c>
      <c r="D228" s="491">
        <f>SUM(D219:D227)</f>
        <v>0</v>
      </c>
      <c r="E228" s="237">
        <f>SUM(E219:E227)</f>
        <v>30921</v>
      </c>
      <c r="F228" s="237">
        <f>SUM(F219:F227)</f>
        <v>0</v>
      </c>
      <c r="G228" s="237">
        <f>SUM(G219:G227)</f>
        <v>30921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620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619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492">
        <f>'[30]Sch D'!N22</f>
        <v>180</v>
      </c>
      <c r="D231" s="526"/>
      <c r="E231" s="235">
        <f>C231+D231</f>
        <v>180</v>
      </c>
      <c r="F231" s="235"/>
      <c r="G231" s="235">
        <f>E231+F231</f>
        <v>180</v>
      </c>
      <c r="H231" s="167"/>
      <c r="J231" s="168"/>
      <c r="K231" s="168"/>
    </row>
    <row r="232" spans="1:11">
      <c r="A232" s="163"/>
      <c r="B232" s="202" t="s">
        <v>290</v>
      </c>
      <c r="C232" s="492">
        <f>'[30]Sch D'!N24</f>
        <v>156</v>
      </c>
      <c r="D232" s="526"/>
      <c r="E232" s="235">
        <f>C232+D232</f>
        <v>156</v>
      </c>
      <c r="F232" s="235"/>
      <c r="G232" s="235">
        <f>E232+F232</f>
        <v>156</v>
      </c>
      <c r="H232" s="167" t="s">
        <v>406</v>
      </c>
      <c r="J232" s="168"/>
      <c r="K232" s="168"/>
    </row>
    <row r="233" spans="1:11">
      <c r="A233" s="163"/>
      <c r="B233" s="202" t="s">
        <v>76</v>
      </c>
      <c r="C233" s="492">
        <f>$C$4-$C$3+1</f>
        <v>365</v>
      </c>
      <c r="D233" s="489"/>
      <c r="E233" s="235">
        <f>C233+D233</f>
        <v>365</v>
      </c>
      <c r="F233" s="240"/>
      <c r="G233" s="235">
        <f>E233+F233</f>
        <v>365</v>
      </c>
      <c r="H233" s="167" t="s">
        <v>407</v>
      </c>
      <c r="J233" s="168"/>
      <c r="K233" s="168"/>
    </row>
    <row r="234" spans="1:11">
      <c r="A234" s="163"/>
      <c r="B234" s="241"/>
      <c r="C234" s="621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492">
        <f>'[30]Sch D'!N28</f>
        <v>65700</v>
      </c>
      <c r="D235" s="489"/>
      <c r="E235" s="234">
        <f>E231*E233</f>
        <v>65700</v>
      </c>
      <c r="F235" s="240"/>
      <c r="G235" s="234">
        <f>G231*G233</f>
        <v>65700</v>
      </c>
      <c r="H235" s="167"/>
      <c r="J235" s="168"/>
      <c r="K235" s="168"/>
    </row>
    <row r="236" spans="1:11" ht="26">
      <c r="A236" s="163"/>
      <c r="B236" s="244" t="s">
        <v>336</v>
      </c>
      <c r="C236" s="493">
        <f>'[30]Sch D'!N30</f>
        <v>0.47063926940639267</v>
      </c>
      <c r="D236" s="240"/>
      <c r="E236" s="245">
        <f>E228/E235</f>
        <v>0.47063926940639267</v>
      </c>
      <c r="F236" s="246"/>
      <c r="G236" s="245">
        <f>G228/G235</f>
        <v>0.47063926940639267</v>
      </c>
      <c r="H236" s="167"/>
      <c r="J236" s="168"/>
      <c r="K236" s="168"/>
    </row>
    <row r="237" spans="1:11" ht="26">
      <c r="A237" s="163"/>
      <c r="B237" s="244" t="s">
        <v>337</v>
      </c>
      <c r="C237" s="493">
        <f>'[30]Sch D'!N32</f>
        <v>0.26340943683409435</v>
      </c>
      <c r="D237" s="240"/>
      <c r="E237" s="245">
        <f>(E219+E220)/E235</f>
        <v>0.26340943683409435</v>
      </c>
      <c r="F237" s="246"/>
      <c r="G237" s="245">
        <f>(G219+G220)/G235</f>
        <v>0.26340943683409435</v>
      </c>
      <c r="H237" s="167"/>
      <c r="J237" s="168"/>
      <c r="K237" s="168"/>
    </row>
    <row r="238" spans="1:11" ht="26">
      <c r="A238" s="163"/>
      <c r="B238" s="244" t="s">
        <v>338</v>
      </c>
      <c r="C238" s="493">
        <f>'[30]Sch D'!N34</f>
        <v>0.55968435690954366</v>
      </c>
      <c r="D238" s="240"/>
      <c r="E238" s="245">
        <f>(E237/E236)</f>
        <v>0.55968435690954366</v>
      </c>
      <c r="F238" s="246"/>
      <c r="G238" s="245">
        <f>(G237/G236)</f>
        <v>0.55968435690954366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490">
        <f>'[30]Sch B'!C85</f>
        <v>167.36601307189542</v>
      </c>
    </row>
    <row r="242" spans="2:7">
      <c r="F242" s="142" t="s">
        <v>341</v>
      </c>
      <c r="G242" s="490">
        <f>'[30]Sch B'!E85</f>
        <v>167.36591478696741</v>
      </c>
    </row>
    <row r="243" spans="2:7">
      <c r="F243" s="142" t="s">
        <v>342</v>
      </c>
      <c r="G243" s="490">
        <f>'[30]Sch B'!G85</f>
        <v>167.36624569460389</v>
      </c>
    </row>
    <row r="244" spans="2:7">
      <c r="F244" s="142" t="s">
        <v>343</v>
      </c>
      <c r="G244" s="490">
        <f>'[30]Sch B'!I85</f>
        <v>167.36608863198458</v>
      </c>
    </row>
    <row r="245" spans="2:7">
      <c r="F245" s="142"/>
    </row>
  </sheetData>
  <customSheetViews>
    <customSheetView guid="{8B6AA640-12E9-11D5-ABB1-E7A21A3D4A14}" showRuler="0">
      <pageMargins left="0.75" right="0.75" top="1" bottom="1" header="0.5" footer="0.5"/>
      <headerFooter alignWithMargins="0"/>
    </customSheetView>
    <customSheetView guid="{00D6F160-3E2B-11D5-8BE5-C1A1C12816BD}" showPageBreaks="1" showRuler="0">
      <selection activeCell="T16" sqref="T16"/>
      <pageMargins left="0" right="0" top="0" bottom="1" header="0.5" footer="0.5"/>
      <printOptions horizontalCentered="1"/>
      <pageSetup scale="70" orientation="portrait" horizontalDpi="300" verticalDpi="300" r:id="rId1"/>
      <headerFooter alignWithMargins="0"/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2"/>
  <headerFooter alignWithMargins="0">
    <oddFooter>&amp;R&amp;D
&amp;T
&amp;F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9">
    <tabColor rgb="FFE28CAB"/>
  </sheetPr>
  <dimension ref="A1:Q245"/>
  <sheetViews>
    <sheetView showGridLines="0" zoomScale="90" zoomScaleNormal="90" workbookViewId="0">
      <pane xSplit="2" topLeftCell="C1" activePane="topRight" state="frozen"/>
      <selection activeCell="N1" sqref="N1"/>
      <selection pane="topRight"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478"/>
      <c r="E1" s="478"/>
      <c r="F1" s="478"/>
      <c r="G1" s="478"/>
      <c r="H1" s="478"/>
      <c r="I1" s="479"/>
    </row>
    <row r="2" spans="1:14" ht="23">
      <c r="B2" s="143" t="s">
        <v>189</v>
      </c>
      <c r="C2" s="247" t="s">
        <v>383</v>
      </c>
      <c r="D2" s="247"/>
      <c r="E2" s="144"/>
    </row>
    <row r="3" spans="1:14">
      <c r="A3" s="145"/>
      <c r="B3" s="140" t="s">
        <v>79</v>
      </c>
      <c r="C3" s="495">
        <v>41821</v>
      </c>
      <c r="D3" s="144"/>
      <c r="E3" s="147"/>
    </row>
    <row r="4" spans="1:14">
      <c r="A4" s="145"/>
      <c r="B4" s="148" t="s">
        <v>80</v>
      </c>
      <c r="C4" s="495">
        <v>42185</v>
      </c>
      <c r="D4" s="144"/>
      <c r="E4" s="149"/>
      <c r="G4" s="150"/>
    </row>
    <row r="5" spans="1:14">
      <c r="A5" s="145"/>
      <c r="B5" s="148"/>
      <c r="C5" s="151"/>
      <c r="D5" s="144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144"/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490">
        <f>'[31]Sch B'!E10</f>
        <v>2175172</v>
      </c>
      <c r="D11" s="490">
        <f>'[31]Sch B'!G10</f>
        <v>0</v>
      </c>
      <c r="E11" s="171">
        <f>C11+D11</f>
        <v>2175172</v>
      </c>
      <c r="F11" s="171"/>
      <c r="G11" s="171">
        <f t="shared" ref="G11:G20" si="0">E11+F11</f>
        <v>2175172</v>
      </c>
      <c r="H11" s="172">
        <f t="shared" ref="H11:H21" si="1">IF($G$21=0,0,G11/$G$21)</f>
        <v>0.31079115885501873</v>
      </c>
      <c r="I11" s="337"/>
      <c r="J11" s="368" t="s">
        <v>344</v>
      </c>
      <c r="K11" s="369">
        <f>G21</f>
        <v>6998822</v>
      </c>
      <c r="M11" s="359">
        <f>IFERROR(G11/G219,0)</f>
        <v>188.66961575158297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490">
        <f>'[31]Sch B'!E15</f>
        <v>183196</v>
      </c>
      <c r="D12" s="490">
        <f>'[31]Sch B'!G15</f>
        <v>0</v>
      </c>
      <c r="E12" s="171">
        <f t="shared" ref="E12:E20" si="2">C12+D12</f>
        <v>183196</v>
      </c>
      <c r="F12" s="171"/>
      <c r="G12" s="171">
        <f>E12+F12</f>
        <v>183196</v>
      </c>
      <c r="H12" s="172">
        <f t="shared" si="1"/>
        <v>2.6175262065530457E-2</v>
      </c>
      <c r="I12" s="337"/>
      <c r="J12" s="370" t="s">
        <v>345</v>
      </c>
      <c r="K12" s="371">
        <f>G208</f>
        <v>6067338</v>
      </c>
      <c r="M12" s="359">
        <f t="shared" ref="M12:M19" si="3">IFERROR(G12/G220,0)</f>
        <v>169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490">
        <f>'[31]Sch B'!E21</f>
        <v>2697981</v>
      </c>
      <c r="D13" s="490">
        <f>'[31]Sch B'!G21</f>
        <v>0</v>
      </c>
      <c r="E13" s="171">
        <f t="shared" si="2"/>
        <v>2697981</v>
      </c>
      <c r="F13" s="171"/>
      <c r="G13" s="171">
        <f t="shared" si="0"/>
        <v>2697981</v>
      </c>
      <c r="H13" s="172">
        <f t="shared" si="1"/>
        <v>0.38549072972565956</v>
      </c>
      <c r="I13" s="337"/>
      <c r="J13" s="370" t="s">
        <v>346</v>
      </c>
      <c r="K13" s="371">
        <f>G228</f>
        <v>26024</v>
      </c>
      <c r="M13" s="359">
        <f t="shared" si="3"/>
        <v>454.51162398921832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490">
        <f>'[31]Sch B'!E27</f>
        <v>550023</v>
      </c>
      <c r="D14" s="490">
        <f>'[31]Sch B'!G27</f>
        <v>0</v>
      </c>
      <c r="E14" s="171">
        <f t="shared" si="2"/>
        <v>550023</v>
      </c>
      <c r="F14" s="175"/>
      <c r="G14" s="175">
        <f>E14+F14</f>
        <v>550023</v>
      </c>
      <c r="H14" s="176">
        <f t="shared" si="1"/>
        <v>7.8587939513249522E-2</v>
      </c>
      <c r="I14" s="338"/>
      <c r="J14" s="370" t="s">
        <v>347</v>
      </c>
      <c r="K14" s="371">
        <f>G231</f>
        <v>120</v>
      </c>
      <c r="M14" s="359">
        <f t="shared" si="3"/>
        <v>396.27017291066284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490">
        <f>'[31]Sch B'!E32</f>
        <v>300882</v>
      </c>
      <c r="D15" s="490">
        <f>'[31]Sch B'!G32</f>
        <v>0</v>
      </c>
      <c r="E15" s="171">
        <f t="shared" si="2"/>
        <v>300882</v>
      </c>
      <c r="F15" s="171"/>
      <c r="G15" s="171">
        <f t="shared" si="0"/>
        <v>300882</v>
      </c>
      <c r="H15" s="172">
        <f t="shared" si="1"/>
        <v>4.2990377523531818E-2</v>
      </c>
      <c r="I15" s="337"/>
      <c r="J15" s="370" t="s">
        <v>348</v>
      </c>
      <c r="K15" s="371">
        <f>G235</f>
        <v>43800</v>
      </c>
      <c r="M15" s="359">
        <f t="shared" si="3"/>
        <v>234.33177570093457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490">
        <f>'[31]Sch B'!E37</f>
        <v>618887</v>
      </c>
      <c r="D16" s="490">
        <f>'[31]Sch B'!G37</f>
        <v>0</v>
      </c>
      <c r="E16" s="171">
        <f t="shared" si="2"/>
        <v>618887</v>
      </c>
      <c r="F16" s="171"/>
      <c r="G16" s="171">
        <f t="shared" si="0"/>
        <v>618887</v>
      </c>
      <c r="H16" s="172">
        <f t="shared" si="1"/>
        <v>8.8427309624391076E-2</v>
      </c>
      <c r="I16" s="337"/>
      <c r="J16" s="372"/>
      <c r="K16" s="371"/>
      <c r="M16" s="359">
        <f t="shared" si="3"/>
        <v>207.47133757961782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490">
        <f>'[31]Sch B'!E42</f>
        <v>131945</v>
      </c>
      <c r="D17" s="490">
        <f>'[31]Sch B'!G42</f>
        <v>0</v>
      </c>
      <c r="E17" s="171">
        <f t="shared" si="2"/>
        <v>131945</v>
      </c>
      <c r="F17" s="171"/>
      <c r="G17" s="171">
        <f>E17+F17</f>
        <v>131945</v>
      </c>
      <c r="H17" s="172">
        <f t="shared" si="1"/>
        <v>1.8852458313699076E-2</v>
      </c>
      <c r="I17" s="337"/>
      <c r="J17" s="370" t="s">
        <v>156</v>
      </c>
      <c r="K17" s="371">
        <f>J208</f>
        <v>154194</v>
      </c>
      <c r="M17" s="359">
        <f t="shared" si="3"/>
        <v>195.76409495548961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490">
        <f>'[31]Sch B'!E47</f>
        <v>0</v>
      </c>
      <c r="D18" s="490">
        <f>'[31]Sch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337"/>
      <c r="J18" s="373" t="s">
        <v>252</v>
      </c>
      <c r="K18" s="374">
        <f>K208</f>
        <v>163620</v>
      </c>
      <c r="M18" s="359">
        <f t="shared" si="3"/>
        <v>0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490">
        <f>'[31]Sch B'!E52</f>
        <v>250074</v>
      </c>
      <c r="D19" s="490">
        <f>'[31]Sch B'!G52</f>
        <v>0</v>
      </c>
      <c r="E19" s="171">
        <f t="shared" si="2"/>
        <v>250074</v>
      </c>
      <c r="F19" s="171"/>
      <c r="G19" s="171">
        <f t="shared" si="0"/>
        <v>250074</v>
      </c>
      <c r="H19" s="172">
        <f t="shared" si="1"/>
        <v>3.5730870137860346E-2</v>
      </c>
      <c r="I19" s="337"/>
      <c r="J19" s="168"/>
      <c r="K19" s="168"/>
      <c r="M19" s="359">
        <f t="shared" si="3"/>
        <v>463.9591836734694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490">
        <f>'[31]Sch B'!E67</f>
        <v>97533</v>
      </c>
      <c r="D20" s="490">
        <f>'[31]Sch B'!G67</f>
        <v>-6871</v>
      </c>
      <c r="E20" s="171">
        <f t="shared" si="2"/>
        <v>90662</v>
      </c>
      <c r="F20" s="171"/>
      <c r="G20" s="171">
        <f t="shared" si="0"/>
        <v>90662</v>
      </c>
      <c r="H20" s="172">
        <f t="shared" si="1"/>
        <v>1.2953894241059425E-2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490">
        <f>SUM(C11:C20)</f>
        <v>7005693</v>
      </c>
      <c r="D21" s="490">
        <f>SUM(D11:D20)</f>
        <v>-6871</v>
      </c>
      <c r="E21" s="171">
        <f>SUM(E11:E20)</f>
        <v>6998822</v>
      </c>
      <c r="F21" s="171">
        <f>SUM(F11:F20)</f>
        <v>0</v>
      </c>
      <c r="G21" s="171">
        <f>SUM(G11:G20)</f>
        <v>6998822</v>
      </c>
      <c r="H21" s="172">
        <f t="shared" si="1"/>
        <v>1</v>
      </c>
      <c r="I21" s="337"/>
      <c r="J21" s="168"/>
      <c r="K21" s="168"/>
      <c r="M21" s="359">
        <f>IFERROR(G21/G228,0)</f>
        <v>268.93721180448819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4">
      <c r="A24" s="181" t="s">
        <v>161</v>
      </c>
      <c r="B24" s="148" t="s">
        <v>12</v>
      </c>
      <c r="M24" s="363"/>
      <c r="N24" s="363"/>
    </row>
    <row r="25" spans="1:14" s="167" customFormat="1">
      <c r="A25" s="169" t="s">
        <v>83</v>
      </c>
      <c r="B25" s="170" t="s">
        <v>14</v>
      </c>
      <c r="C25" s="490">
        <f>'[31]Sch C'!D10</f>
        <v>172562</v>
      </c>
      <c r="D25" s="490">
        <f>'[31]Sch C'!F10</f>
        <v>0</v>
      </c>
      <c r="E25" s="171">
        <f t="shared" ref="E25:E60" si="4">C25+D25</f>
        <v>172562</v>
      </c>
      <c r="F25" s="171"/>
      <c r="G25" s="182">
        <f>E25+F25</f>
        <v>172562</v>
      </c>
      <c r="H25" s="172">
        <f>IF($G$208=0,0,G25/$G$208)</f>
        <v>2.8441138436658714E-2</v>
      </c>
      <c r="I25" s="337"/>
      <c r="J25" s="183">
        <v>1920</v>
      </c>
      <c r="K25" s="183">
        <v>2136</v>
      </c>
      <c r="M25" s="359">
        <f>G25/G$228</f>
        <v>6.6308791884414386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490">
        <f>'[31]Sch C'!D11</f>
        <v>24412</v>
      </c>
      <c r="D26" s="490">
        <f>'[31]Sch C'!F11</f>
        <v>0</v>
      </c>
      <c r="E26" s="171">
        <f t="shared" si="4"/>
        <v>24412</v>
      </c>
      <c r="F26" s="171"/>
      <c r="G26" s="171">
        <f t="shared" ref="G26:G60" si="5">E26+F26</f>
        <v>24412</v>
      </c>
      <c r="H26" s="184">
        <f t="shared" ref="H26:H61" si="6">IF($G$208=0,0,G26/$G$208)</f>
        <v>4.0235108049032379E-3</v>
      </c>
      <c r="I26" s="337"/>
      <c r="J26" s="183">
        <v>1088</v>
      </c>
      <c r="K26" s="183">
        <v>1204</v>
      </c>
      <c r="M26" s="359">
        <f t="shared" ref="M26:M60" si="7">G26/G$228</f>
        <v>0.93805717798954813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490">
        <f>'[31]Sch C'!D12</f>
        <v>220430</v>
      </c>
      <c r="D27" s="490">
        <f>'[31]Sch C'!F12</f>
        <v>205245</v>
      </c>
      <c r="E27" s="171">
        <f t="shared" si="4"/>
        <v>425675</v>
      </c>
      <c r="F27" s="171"/>
      <c r="G27" s="171">
        <f t="shared" si="5"/>
        <v>425675</v>
      </c>
      <c r="H27" s="172">
        <f t="shared" si="6"/>
        <v>7.0158445103931905E-2</v>
      </c>
      <c r="I27" s="337"/>
      <c r="J27" s="185">
        <v>9547</v>
      </c>
      <c r="K27" s="185">
        <v>10346</v>
      </c>
      <c r="M27" s="359">
        <f t="shared" si="7"/>
        <v>16.357016600061481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490">
        <f>'[31]Sch C'!D13</f>
        <v>70897</v>
      </c>
      <c r="D28" s="490">
        <f>'[31]Sch C'!F13</f>
        <v>29325</v>
      </c>
      <c r="E28" s="171">
        <f t="shared" si="4"/>
        <v>100222</v>
      </c>
      <c r="F28" s="171"/>
      <c r="G28" s="171">
        <f t="shared" si="5"/>
        <v>100222</v>
      </c>
      <c r="H28" s="172">
        <f t="shared" si="6"/>
        <v>1.6518281987916283E-2</v>
      </c>
      <c r="I28" s="337"/>
      <c r="J28" s="168"/>
      <c r="K28" s="168"/>
      <c r="M28" s="359">
        <f t="shared" si="7"/>
        <v>3.851137411620043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490">
        <f>'[31]Sch C'!D14</f>
        <v>0</v>
      </c>
      <c r="D29" s="490">
        <f>'[31]Sch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490">
        <f>'[31]Sch C'!D15</f>
        <v>399848</v>
      </c>
      <c r="D30" s="490">
        <f>'[31]Sch C'!F15</f>
        <v>-396784</v>
      </c>
      <c r="E30" s="171">
        <f t="shared" si="4"/>
        <v>3064</v>
      </c>
      <c r="F30" s="171"/>
      <c r="G30" s="171">
        <f t="shared" si="5"/>
        <v>3064</v>
      </c>
      <c r="H30" s="172">
        <f t="shared" si="6"/>
        <v>5.0499906219168931E-4</v>
      </c>
      <c r="I30" s="337"/>
      <c r="J30" s="168"/>
      <c r="K30" s="168"/>
      <c r="M30" s="359">
        <f t="shared" si="7"/>
        <v>0.11773747310175223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490">
        <f>'[31]Sch C'!D16</f>
        <v>0</v>
      </c>
      <c r="D31" s="490">
        <f>'[31]Sch C'!F16</f>
        <v>0</v>
      </c>
      <c r="E31" s="171">
        <f t="shared" si="4"/>
        <v>0</v>
      </c>
      <c r="F31" s="171"/>
      <c r="G31" s="171">
        <f t="shared" si="5"/>
        <v>0</v>
      </c>
      <c r="H31" s="172">
        <f t="shared" si="6"/>
        <v>0</v>
      </c>
      <c r="I31" s="337"/>
      <c r="J31" s="168"/>
      <c r="K31" s="168"/>
      <c r="M31" s="359">
        <f t="shared" si="7"/>
        <v>0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490">
        <f>'[31]Sch C'!D17</f>
        <v>33433</v>
      </c>
      <c r="D32" s="490">
        <f>'[31]Sch C'!F17</f>
        <v>-31950</v>
      </c>
      <c r="E32" s="171">
        <f t="shared" si="4"/>
        <v>1483</v>
      </c>
      <c r="F32" s="171"/>
      <c r="G32" s="171">
        <f t="shared" si="5"/>
        <v>1483</v>
      </c>
      <c r="H32" s="172">
        <f t="shared" si="6"/>
        <v>2.4442350170700891E-4</v>
      </c>
      <c r="I32" s="337"/>
      <c r="J32" s="168"/>
      <c r="K32" s="168"/>
      <c r="M32" s="359">
        <f t="shared" si="7"/>
        <v>5.6985859206885953E-2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490">
        <f>'[31]Sch C'!D18</f>
        <v>10880</v>
      </c>
      <c r="D33" s="490">
        <f>'[31]Sch C'!F18</f>
        <v>0</v>
      </c>
      <c r="E33" s="171">
        <f t="shared" si="4"/>
        <v>10880</v>
      </c>
      <c r="F33" s="171"/>
      <c r="G33" s="171">
        <f t="shared" si="5"/>
        <v>10880</v>
      </c>
      <c r="H33" s="172">
        <f t="shared" si="6"/>
        <v>1.7932081581741449E-3</v>
      </c>
      <c r="I33" s="337"/>
      <c r="J33" s="168"/>
      <c r="K33" s="168"/>
      <c r="M33" s="359">
        <f t="shared" si="7"/>
        <v>0.41807562250230557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490">
        <f>'[31]Sch C'!D19</f>
        <v>17676</v>
      </c>
      <c r="D34" s="490">
        <f>'[31]Sch C'!F19</f>
        <v>1523</v>
      </c>
      <c r="E34" s="171">
        <f t="shared" si="4"/>
        <v>19199</v>
      </c>
      <c r="F34" s="171"/>
      <c r="G34" s="171">
        <f t="shared" si="5"/>
        <v>19199</v>
      </c>
      <c r="H34" s="172">
        <f t="shared" si="6"/>
        <v>3.1643201680868942E-3</v>
      </c>
      <c r="I34" s="337"/>
      <c r="J34" s="168"/>
      <c r="K34" s="168"/>
      <c r="M34" s="359">
        <f t="shared" si="7"/>
        <v>0.73774208422994159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490">
        <f>'[31]Sch C'!D20</f>
        <v>15585</v>
      </c>
      <c r="D35" s="490">
        <f>'[31]Sch C'!F20</f>
        <v>5353</v>
      </c>
      <c r="E35" s="171">
        <f t="shared" si="4"/>
        <v>20938</v>
      </c>
      <c r="F35" s="171"/>
      <c r="G35" s="171">
        <f t="shared" si="5"/>
        <v>20938</v>
      </c>
      <c r="H35" s="172">
        <f t="shared" si="6"/>
        <v>3.4509368029274124E-3</v>
      </c>
      <c r="I35" s="337"/>
      <c r="J35" s="168"/>
      <c r="K35" s="168"/>
      <c r="M35" s="359">
        <f t="shared" si="7"/>
        <v>0.80456501690747007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490">
        <f>'[31]Sch C'!D21</f>
        <v>74635</v>
      </c>
      <c r="D36" s="490">
        <f>'[31]Sch C'!F21</f>
        <v>1425</v>
      </c>
      <c r="E36" s="171">
        <f t="shared" si="4"/>
        <v>76060</v>
      </c>
      <c r="F36" s="171"/>
      <c r="G36" s="171">
        <f t="shared" si="5"/>
        <v>76060</v>
      </c>
      <c r="H36" s="172">
        <f t="shared" si="6"/>
        <v>1.2535975414588738E-2</v>
      </c>
      <c r="I36" s="337"/>
      <c r="J36" s="168"/>
      <c r="K36" s="168"/>
      <c r="M36" s="359">
        <f t="shared" si="7"/>
        <v>2.9226867506916694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490">
        <f>'[31]Sch C'!D22</f>
        <v>0</v>
      </c>
      <c r="D37" s="490">
        <f>'[31]Sch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490">
        <f>'[31]Sch C'!D23</f>
        <v>9889</v>
      </c>
      <c r="D38" s="490">
        <f>'[31]Sch C'!F23</f>
        <v>15780</v>
      </c>
      <c r="E38" s="171">
        <f t="shared" si="4"/>
        <v>25669</v>
      </c>
      <c r="F38" s="171"/>
      <c r="G38" s="171">
        <f t="shared" si="5"/>
        <v>25669</v>
      </c>
      <c r="H38" s="172">
        <f t="shared" si="6"/>
        <v>4.2306856812658203E-3</v>
      </c>
      <c r="I38" s="337"/>
      <c r="J38" s="168"/>
      <c r="K38" s="168"/>
      <c r="M38" s="359">
        <f t="shared" si="7"/>
        <v>0.98635874577313254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490">
        <f>'[31]Sch C'!D24</f>
        <v>111644</v>
      </c>
      <c r="D39" s="490">
        <f>'[31]Sch C'!F24</f>
        <v>0</v>
      </c>
      <c r="E39" s="171">
        <f t="shared" si="4"/>
        <v>111644</v>
      </c>
      <c r="F39" s="171"/>
      <c r="G39" s="171">
        <f t="shared" si="5"/>
        <v>111644</v>
      </c>
      <c r="H39" s="172">
        <f t="shared" si="6"/>
        <v>1.840082092014653E-2</v>
      </c>
      <c r="I39" s="337"/>
      <c r="J39" s="168"/>
      <c r="K39" s="168"/>
      <c r="M39" s="359">
        <f t="shared" si="7"/>
        <v>4.2900399631109742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490">
        <f>'[31]Sch C'!D25</f>
        <v>0</v>
      </c>
      <c r="D40" s="490">
        <f>'[31]Sch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337"/>
      <c r="J40" s="168"/>
      <c r="K40" s="168"/>
      <c r="M40" s="359">
        <f t="shared" si="7"/>
        <v>0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490">
        <f>'[31]Sch C'!D26</f>
        <v>283751</v>
      </c>
      <c r="D41" s="490">
        <f>'[31]Sch C'!F26</f>
        <v>0</v>
      </c>
      <c r="E41" s="171">
        <f t="shared" si="4"/>
        <v>283751</v>
      </c>
      <c r="F41" s="171"/>
      <c r="G41" s="171">
        <f t="shared" si="5"/>
        <v>283751</v>
      </c>
      <c r="H41" s="172">
        <f t="shared" si="6"/>
        <v>4.6766967655337478E-2</v>
      </c>
      <c r="I41" s="337"/>
      <c r="J41" s="168"/>
      <c r="K41" s="168"/>
      <c r="M41" s="359">
        <f t="shared" si="7"/>
        <v>10.903435290501076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490">
        <f>'[31]Sch C'!D27</f>
        <v>0</v>
      </c>
      <c r="D42" s="490">
        <f>'[31]Sch C'!F27</f>
        <v>0</v>
      </c>
      <c r="E42" s="171">
        <f t="shared" si="4"/>
        <v>0</v>
      </c>
      <c r="F42" s="171"/>
      <c r="G42" s="171">
        <f t="shared" si="5"/>
        <v>0</v>
      </c>
      <c r="H42" s="172">
        <f t="shared" si="6"/>
        <v>0</v>
      </c>
      <c r="I42" s="337"/>
      <c r="J42" s="168"/>
      <c r="K42" s="168"/>
      <c r="M42" s="359">
        <f t="shared" si="7"/>
        <v>0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490">
        <f>'[31]Sch C'!D28</f>
        <v>0</v>
      </c>
      <c r="D43" s="490">
        <f>'[31]Sch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490">
        <f>'[31]Sch C'!D29</f>
        <v>244169</v>
      </c>
      <c r="D44" s="490">
        <f>'[31]Sch C'!F29</f>
        <v>-244169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490">
        <f>'[31]Sch C'!D30</f>
        <v>2806</v>
      </c>
      <c r="D45" s="490">
        <f>'[31]Sch C'!F30</f>
        <v>-2806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490">
        <f>'[31]Sch C'!D31</f>
        <v>55921</v>
      </c>
      <c r="D46" s="490">
        <f>'[31]Sch C'!F31</f>
        <v>0</v>
      </c>
      <c r="E46" s="171">
        <f t="shared" si="4"/>
        <v>55921</v>
      </c>
      <c r="F46" s="171"/>
      <c r="G46" s="171">
        <f t="shared" si="5"/>
        <v>55921</v>
      </c>
      <c r="H46" s="172">
        <f t="shared" si="6"/>
        <v>9.2167273357772386E-3</v>
      </c>
      <c r="I46" s="337"/>
      <c r="J46" s="168"/>
      <c r="K46" s="168"/>
      <c r="M46" s="359">
        <f t="shared" si="7"/>
        <v>2.1488241623117124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490">
        <f>'[31]Sch C'!D32</f>
        <v>41898</v>
      </c>
      <c r="D47" s="490">
        <f>'[31]Sch C'!F32</f>
        <v>79</v>
      </c>
      <c r="E47" s="171">
        <f t="shared" si="4"/>
        <v>41977</v>
      </c>
      <c r="F47" s="171"/>
      <c r="G47" s="171">
        <f t="shared" si="5"/>
        <v>41977</v>
      </c>
      <c r="H47" s="172">
        <f t="shared" si="6"/>
        <v>6.9185201154114044E-3</v>
      </c>
      <c r="I47" s="337"/>
      <c r="J47" s="168"/>
      <c r="K47" s="168"/>
      <c r="M47" s="359">
        <f t="shared" si="7"/>
        <v>1.6130110667076545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490">
        <f>'[31]Sch C'!D33</f>
        <v>0</v>
      </c>
      <c r="D48" s="490">
        <f>'[31]Sch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490">
        <f>'[31]Sch C'!D34</f>
        <v>0</v>
      </c>
      <c r="D49" s="490">
        <f>'[31]Sch C'!F34</f>
        <v>0</v>
      </c>
      <c r="E49" s="171">
        <f t="shared" si="4"/>
        <v>0</v>
      </c>
      <c r="F49" s="171"/>
      <c r="G49" s="171">
        <f t="shared" si="5"/>
        <v>0</v>
      </c>
      <c r="H49" s="172">
        <f t="shared" si="6"/>
        <v>0</v>
      </c>
      <c r="I49" s="337"/>
      <c r="J49" s="168"/>
      <c r="K49" s="168"/>
      <c r="M49" s="359">
        <f t="shared" si="7"/>
        <v>0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490">
        <f>'[31]Sch C'!D35</f>
        <v>0</v>
      </c>
      <c r="D50" s="490">
        <f>'[31]Sch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490">
        <f>'[31]Sch C'!D36</f>
        <v>41134</v>
      </c>
      <c r="D51" s="490">
        <f>'[31]Sch C'!F36</f>
        <v>0</v>
      </c>
      <c r="E51" s="171">
        <f t="shared" si="4"/>
        <v>41134</v>
      </c>
      <c r="F51" s="171"/>
      <c r="G51" s="171">
        <f t="shared" si="5"/>
        <v>41134</v>
      </c>
      <c r="H51" s="172">
        <f t="shared" si="6"/>
        <v>6.7795794465381684E-3</v>
      </c>
      <c r="I51" s="337"/>
      <c r="J51" s="183">
        <v>3512</v>
      </c>
      <c r="K51" s="183">
        <v>3591</v>
      </c>
      <c r="M51" s="359">
        <f t="shared" si="7"/>
        <v>1.5806178911773747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490">
        <f>'[31]Sch C'!D37</f>
        <v>6987</v>
      </c>
      <c r="D52" s="490">
        <f>'[31]Sch C'!F37</f>
        <v>0</v>
      </c>
      <c r="E52" s="171">
        <f t="shared" si="4"/>
        <v>6987</v>
      </c>
      <c r="F52" s="171"/>
      <c r="G52" s="171">
        <f t="shared" si="5"/>
        <v>6987</v>
      </c>
      <c r="H52" s="172">
        <f t="shared" si="6"/>
        <v>1.1515758640774586E-3</v>
      </c>
      <c r="I52" s="337"/>
      <c r="J52" s="168"/>
      <c r="K52" s="168"/>
      <c r="M52" s="359">
        <f t="shared" si="7"/>
        <v>0.26848293882569935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490">
        <f>'[31]Sch C'!D38</f>
        <v>0</v>
      </c>
      <c r="D53" s="490">
        <f>'[31]Sch C'!F38</f>
        <v>0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7"/>
      <c r="J53" s="168"/>
      <c r="K53" s="168"/>
      <c r="M53" s="359">
        <f t="shared" si="7"/>
        <v>0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490">
        <f>'[31]Sch C'!D39</f>
        <v>3277</v>
      </c>
      <c r="D54" s="490">
        <f>'[31]Sch C'!F39</f>
        <v>-3277</v>
      </c>
      <c r="E54" s="171">
        <f t="shared" si="4"/>
        <v>0</v>
      </c>
      <c r="F54" s="171"/>
      <c r="G54" s="171">
        <f t="shared" si="5"/>
        <v>0</v>
      </c>
      <c r="H54" s="172">
        <f t="shared" si="6"/>
        <v>0</v>
      </c>
      <c r="I54" s="337"/>
      <c r="J54" s="168"/>
      <c r="K54" s="168"/>
      <c r="M54" s="359">
        <f t="shared" si="7"/>
        <v>0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490">
        <f>'[31]Sch C'!D40</f>
        <v>0</v>
      </c>
      <c r="D55" s="490">
        <f>'[31]Sch C'!F40</f>
        <v>0</v>
      </c>
      <c r="E55" s="171">
        <f t="shared" si="4"/>
        <v>0</v>
      </c>
      <c r="F55" s="171"/>
      <c r="G55" s="171">
        <f t="shared" si="5"/>
        <v>0</v>
      </c>
      <c r="H55" s="172">
        <f t="shared" si="6"/>
        <v>0</v>
      </c>
      <c r="I55" s="337"/>
      <c r="J55" s="168"/>
      <c r="K55" s="168"/>
      <c r="M55" s="359">
        <f t="shared" si="7"/>
        <v>0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490">
        <f>'[31]Sch C'!D41</f>
        <v>0</v>
      </c>
      <c r="D56" s="490">
        <f>'[31]Sch C'!F41</f>
        <v>0</v>
      </c>
      <c r="E56" s="171">
        <f t="shared" si="4"/>
        <v>0</v>
      </c>
      <c r="F56" s="171"/>
      <c r="G56" s="171">
        <f t="shared" si="5"/>
        <v>0</v>
      </c>
      <c r="H56" s="172">
        <f t="shared" si="6"/>
        <v>0</v>
      </c>
      <c r="I56" s="337"/>
      <c r="J56" s="168"/>
      <c r="K56" s="168"/>
      <c r="M56" s="359">
        <f t="shared" si="7"/>
        <v>0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490">
        <f>'[31]Sch C'!D42</f>
        <v>12639</v>
      </c>
      <c r="D57" s="490">
        <f>'[31]Sch C'!F42</f>
        <v>0</v>
      </c>
      <c r="E57" s="171">
        <f t="shared" si="4"/>
        <v>12639</v>
      </c>
      <c r="F57" s="171"/>
      <c r="G57" s="171">
        <f t="shared" si="5"/>
        <v>12639</v>
      </c>
      <c r="H57" s="172">
        <f t="shared" si="6"/>
        <v>2.0831211315407187E-3</v>
      </c>
      <c r="I57" s="337"/>
      <c r="J57" s="168"/>
      <c r="K57" s="168"/>
      <c r="M57" s="359">
        <f t="shared" si="7"/>
        <v>0.48566707654472796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490">
        <f>'[31]Sch C'!D43</f>
        <v>8739</v>
      </c>
      <c r="D58" s="490">
        <f>'[31]Sch C'!F43</f>
        <v>0</v>
      </c>
      <c r="E58" s="171">
        <f t="shared" si="4"/>
        <v>8739</v>
      </c>
      <c r="F58" s="171"/>
      <c r="G58" s="171">
        <f t="shared" si="5"/>
        <v>8739</v>
      </c>
      <c r="H58" s="172">
        <f t="shared" si="6"/>
        <v>1.4403351189599129E-3</v>
      </c>
      <c r="I58" s="337"/>
      <c r="J58" s="168"/>
      <c r="K58" s="168"/>
      <c r="M58" s="359">
        <f t="shared" si="7"/>
        <v>0.33580541039040884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490">
        <f>'[31]Sch C'!D44</f>
        <v>0</v>
      </c>
      <c r="D59" s="490">
        <f>'[31]Sch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7"/>
      <c r="J59" s="168"/>
      <c r="K59" s="168"/>
      <c r="M59" s="359">
        <f t="shared" si="7"/>
        <v>0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490">
        <f>'[31]Sch C'!D45</f>
        <v>3338</v>
      </c>
      <c r="D60" s="490">
        <f>'[31]Sch C'!F45</f>
        <v>615</v>
      </c>
      <c r="E60" s="171">
        <f t="shared" si="4"/>
        <v>3953</v>
      </c>
      <c r="F60" s="171"/>
      <c r="G60" s="171">
        <f t="shared" si="5"/>
        <v>3953</v>
      </c>
      <c r="H60" s="172">
        <f t="shared" si="6"/>
        <v>6.5152130967485245E-4</v>
      </c>
      <c r="I60" s="337"/>
      <c r="J60" s="168"/>
      <c r="K60" s="168"/>
      <c r="M60" s="359">
        <f t="shared" si="7"/>
        <v>0.15189824777128805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490">
        <f>SUM(C25:C60)</f>
        <v>1866550</v>
      </c>
      <c r="D61" s="490">
        <f>SUM(D25:D60)</f>
        <v>-419641</v>
      </c>
      <c r="E61" s="171">
        <f t="shared" ref="E61:F61" si="8">SUM(E25:E60)</f>
        <v>1446909</v>
      </c>
      <c r="F61" s="171">
        <f t="shared" si="8"/>
        <v>0</v>
      </c>
      <c r="G61" s="171">
        <f>SUM(G25:G60)</f>
        <v>1446909</v>
      </c>
      <c r="H61" s="186">
        <f t="shared" si="6"/>
        <v>0.23847509401981562</v>
      </c>
      <c r="I61" s="339"/>
      <c r="J61" s="168"/>
      <c r="K61" s="168"/>
      <c r="M61" s="364">
        <f>G61/G$228</f>
        <v>55.599023977866587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I62" s="340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490">
        <f>'[31]Sch C'!D57</f>
        <v>756107</v>
      </c>
      <c r="D64" s="490">
        <f>'[31]Sch C'!F57</f>
        <v>-752777</v>
      </c>
      <c r="E64" s="171">
        <f t="shared" ref="E64:E78" si="9">C64+D64</f>
        <v>3330</v>
      </c>
      <c r="F64" s="171"/>
      <c r="G64" s="171">
        <f t="shared" ref="G64:G78" si="10">E64+F64</f>
        <v>3330</v>
      </c>
      <c r="H64" s="172">
        <f t="shared" ref="H64:H79" si="11">IF($G$208=0,0,G64/$G$208)</f>
        <v>5.4884036458822635E-4</v>
      </c>
      <c r="I64" s="337"/>
      <c r="J64" s="190"/>
      <c r="K64" s="168"/>
      <c r="M64" s="359">
        <f t="shared" ref="M64:M79" si="12">G64/G$228</f>
        <v>0.12795880725484168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490">
        <f>'[31]Sch C'!D58</f>
        <v>89386</v>
      </c>
      <c r="D65" s="490">
        <f>'[31]Sch C'!F58</f>
        <v>145225</v>
      </c>
      <c r="E65" s="171">
        <f t="shared" si="9"/>
        <v>234611</v>
      </c>
      <c r="F65" s="171"/>
      <c r="G65" s="171">
        <f t="shared" si="10"/>
        <v>234611</v>
      </c>
      <c r="H65" s="172">
        <f t="shared" si="11"/>
        <v>3.8667863896819331E-2</v>
      </c>
      <c r="I65" s="337"/>
      <c r="J65" s="190"/>
      <c r="K65" s="168"/>
      <c r="M65" s="359">
        <f t="shared" si="12"/>
        <v>9.0151782969566554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490">
        <f>'[31]Sch C'!D59</f>
        <v>181</v>
      </c>
      <c r="D66" s="490">
        <f>'[31]Sch C'!F59</f>
        <v>-181</v>
      </c>
      <c r="E66" s="171">
        <f t="shared" si="9"/>
        <v>0</v>
      </c>
      <c r="F66" s="171"/>
      <c r="G66" s="171">
        <f t="shared" si="10"/>
        <v>0</v>
      </c>
      <c r="H66" s="172">
        <f t="shared" si="11"/>
        <v>0</v>
      </c>
      <c r="I66" s="337"/>
      <c r="J66" s="190"/>
      <c r="K66" s="168"/>
      <c r="M66" s="359">
        <f t="shared" si="12"/>
        <v>0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490">
        <f>'[31]Sch C'!D60</f>
        <v>26098</v>
      </c>
      <c r="D67" s="490">
        <f>'[31]Sch C'!F60</f>
        <v>0</v>
      </c>
      <c r="E67" s="171">
        <f t="shared" si="9"/>
        <v>26098</v>
      </c>
      <c r="F67" s="171"/>
      <c r="G67" s="171">
        <f t="shared" si="10"/>
        <v>26098</v>
      </c>
      <c r="H67" s="172">
        <f t="shared" si="11"/>
        <v>4.3013921426497091E-3</v>
      </c>
      <c r="I67" s="337"/>
      <c r="J67" s="193"/>
      <c r="K67" s="168"/>
      <c r="M67" s="359">
        <f t="shared" si="12"/>
        <v>1.0028435290501077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490">
        <f>'[31]Sch C'!D61</f>
        <v>0</v>
      </c>
      <c r="D68" s="490">
        <f>'[31]Sch C'!F61</f>
        <v>0</v>
      </c>
      <c r="E68" s="171">
        <f t="shared" si="9"/>
        <v>0</v>
      </c>
      <c r="F68" s="171"/>
      <c r="G68" s="171">
        <f t="shared" si="10"/>
        <v>0</v>
      </c>
      <c r="H68" s="172">
        <f t="shared" si="11"/>
        <v>0</v>
      </c>
      <c r="I68" s="337"/>
      <c r="J68" s="193"/>
      <c r="K68" s="168"/>
      <c r="M68" s="359">
        <f t="shared" si="12"/>
        <v>0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490">
        <f>'[31]Sch C'!D62</f>
        <v>0</v>
      </c>
      <c r="D69" s="490">
        <f>'[31]Sch C'!F62</f>
        <v>0</v>
      </c>
      <c r="E69" s="171">
        <f t="shared" si="9"/>
        <v>0</v>
      </c>
      <c r="F69" s="171"/>
      <c r="G69" s="171">
        <f t="shared" si="10"/>
        <v>0</v>
      </c>
      <c r="H69" s="172">
        <f t="shared" si="11"/>
        <v>0</v>
      </c>
      <c r="I69" s="337"/>
      <c r="J69" s="195"/>
      <c r="K69" s="168"/>
      <c r="M69" s="359">
        <f t="shared" si="12"/>
        <v>0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490">
        <f>'[31]Sch C'!D63</f>
        <v>0</v>
      </c>
      <c r="D70" s="490">
        <f>'[31]Sch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7"/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490">
        <f>'[31]Sch C'!D64</f>
        <v>0</v>
      </c>
      <c r="D71" s="490">
        <f>'[31]Sch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490">
        <f>'[31]Sch C'!D65</f>
        <v>2932</v>
      </c>
      <c r="D72" s="490">
        <f>'[31]Sch C'!F65</f>
        <v>0</v>
      </c>
      <c r="E72" s="171">
        <f t="shared" si="9"/>
        <v>2932</v>
      </c>
      <c r="F72" s="171"/>
      <c r="G72" s="171">
        <f t="shared" si="10"/>
        <v>2932</v>
      </c>
      <c r="H72" s="172">
        <f t="shared" si="11"/>
        <v>4.8324322791972363E-4</v>
      </c>
      <c r="I72" s="337"/>
      <c r="J72" s="195"/>
      <c r="K72" s="168"/>
      <c r="M72" s="359">
        <f t="shared" si="12"/>
        <v>0.11266523209345219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490">
        <f>'[31]Sch C'!D66</f>
        <v>0</v>
      </c>
      <c r="D73" s="490">
        <f>'[31]Sch C'!F66</f>
        <v>0</v>
      </c>
      <c r="E73" s="171">
        <f t="shared" si="9"/>
        <v>0</v>
      </c>
      <c r="F73" s="171"/>
      <c r="G73" s="171">
        <f t="shared" si="10"/>
        <v>0</v>
      </c>
      <c r="H73" s="172">
        <f t="shared" si="11"/>
        <v>0</v>
      </c>
      <c r="I73" s="337"/>
      <c r="J73" s="195"/>
      <c r="K73" s="168"/>
      <c r="M73" s="359">
        <f t="shared" si="12"/>
        <v>0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490">
        <f>'[31]Sch C'!D67</f>
        <v>0</v>
      </c>
      <c r="D74" s="490">
        <f>'[31]Sch C'!F67</f>
        <v>31650</v>
      </c>
      <c r="E74" s="171">
        <f t="shared" si="9"/>
        <v>31650</v>
      </c>
      <c r="F74" s="171"/>
      <c r="G74" s="171">
        <f t="shared" si="10"/>
        <v>31650</v>
      </c>
      <c r="H74" s="172">
        <f t="shared" si="11"/>
        <v>5.2164557174826914E-3</v>
      </c>
      <c r="I74" s="337"/>
      <c r="J74" s="195"/>
      <c r="K74" s="168"/>
      <c r="M74" s="359">
        <f t="shared" si="12"/>
        <v>1.2161850599446664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490">
        <f>'[31]Sch C'!D68</f>
        <v>0</v>
      </c>
      <c r="D75" s="490">
        <f>'[31]Sch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490">
        <f>'[31]Sch C'!D69</f>
        <v>5329</v>
      </c>
      <c r="D76" s="490">
        <f>'[31]Sch C'!F69</f>
        <v>-5329</v>
      </c>
      <c r="E76" s="171">
        <f t="shared" si="9"/>
        <v>0</v>
      </c>
      <c r="F76" s="171"/>
      <c r="G76" s="171">
        <f t="shared" si="10"/>
        <v>0</v>
      </c>
      <c r="H76" s="172">
        <f t="shared" si="11"/>
        <v>0</v>
      </c>
      <c r="I76" s="337"/>
      <c r="J76" s="195"/>
      <c r="K76" s="168"/>
      <c r="M76" s="359">
        <f t="shared" si="12"/>
        <v>0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490">
        <f>'[31]Sch C'!D70</f>
        <v>0</v>
      </c>
      <c r="D77" s="490">
        <f>'[31]Sch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7"/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490">
        <f>'[31]Sch C'!D71</f>
        <v>0</v>
      </c>
      <c r="D78" s="490">
        <f>'[31]Sch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7"/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490">
        <f>SUM(C64:C78)</f>
        <v>880033</v>
      </c>
      <c r="D79" s="490">
        <f>SUM(D64:D78)</f>
        <v>-581412</v>
      </c>
      <c r="E79" s="171">
        <f t="shared" ref="E79:F79" si="13">SUM(E64:E78)</f>
        <v>298621</v>
      </c>
      <c r="F79" s="171">
        <f t="shared" si="13"/>
        <v>0</v>
      </c>
      <c r="G79" s="171">
        <f>SUM(G64:G78)</f>
        <v>298621</v>
      </c>
      <c r="H79" s="172">
        <f t="shared" si="11"/>
        <v>4.9217795349459678E-2</v>
      </c>
      <c r="I79" s="337"/>
      <c r="J79" s="195"/>
      <c r="K79" s="168"/>
      <c r="M79" s="359">
        <f t="shared" si="12"/>
        <v>11.474830925299724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490">
        <f>'[31]Sch C'!D75</f>
        <v>49778</v>
      </c>
      <c r="D82" s="490">
        <f>'[31]Sch C'!F75</f>
        <v>0</v>
      </c>
      <c r="E82" s="171">
        <f t="shared" ref="E82:E92" si="14">C82+D82</f>
        <v>49778</v>
      </c>
      <c r="F82" s="171"/>
      <c r="G82" s="171">
        <f t="shared" ref="G82:G92" si="15">E82+F82</f>
        <v>49778</v>
      </c>
      <c r="H82" s="172">
        <f t="shared" ref="H82:H93" si="16">IF($G$208=0,0,G82/$G$208)</f>
        <v>8.2042569574993177E-3</v>
      </c>
      <c r="I82" s="337"/>
      <c r="J82" s="183">
        <v>2494</v>
      </c>
      <c r="K82" s="183">
        <v>2695</v>
      </c>
      <c r="M82" s="359">
        <f t="shared" ref="M82:M92" si="17">G82/G$228</f>
        <v>1.9127728250845373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490">
        <f>'[31]Sch C'!D76</f>
        <v>8455</v>
      </c>
      <c r="D83" s="490">
        <f>'[31]Sch C'!F76</f>
        <v>0</v>
      </c>
      <c r="E83" s="171">
        <f t="shared" si="14"/>
        <v>8455</v>
      </c>
      <c r="F83" s="171"/>
      <c r="G83" s="171">
        <f t="shared" si="15"/>
        <v>8455</v>
      </c>
      <c r="H83" s="172">
        <f t="shared" si="16"/>
        <v>1.393527111889926E-3</v>
      </c>
      <c r="I83" s="337"/>
      <c r="J83" s="168"/>
      <c r="K83" s="168"/>
      <c r="M83" s="359">
        <f t="shared" si="17"/>
        <v>0.32489240700891486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490">
        <f>'[31]Sch C'!D77</f>
        <v>27363</v>
      </c>
      <c r="D84" s="490">
        <f>'[31]Sch C'!F77</f>
        <v>393</v>
      </c>
      <c r="E84" s="171">
        <f t="shared" si="14"/>
        <v>27756</v>
      </c>
      <c r="F84" s="171"/>
      <c r="G84" s="171">
        <f t="shared" si="15"/>
        <v>27756</v>
      </c>
      <c r="H84" s="172">
        <f t="shared" si="16"/>
        <v>4.5746586064597024E-3</v>
      </c>
      <c r="I84" s="337"/>
      <c r="J84" s="168"/>
      <c r="K84" s="168"/>
      <c r="M84" s="359">
        <f t="shared" si="17"/>
        <v>1.0665539501998156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490">
        <f>'[31]Sch C'!D78</f>
        <v>32532</v>
      </c>
      <c r="D85" s="490">
        <f>'[31]Sch C'!F78</f>
        <v>520</v>
      </c>
      <c r="E85" s="171">
        <f t="shared" si="14"/>
        <v>33052</v>
      </c>
      <c r="F85" s="171"/>
      <c r="G85" s="171">
        <f t="shared" si="15"/>
        <v>33052</v>
      </c>
      <c r="H85" s="172">
        <f t="shared" si="16"/>
        <v>5.4475290481591759E-3</v>
      </c>
      <c r="I85" s="337"/>
      <c r="J85" s="168"/>
      <c r="K85" s="168"/>
      <c r="M85" s="359">
        <f t="shared" si="17"/>
        <v>1.270058407623732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490">
        <f>'[31]Sch C'!D79</f>
        <v>12222</v>
      </c>
      <c r="D86" s="490">
        <f>'[31]Sch C'!F79</f>
        <v>0</v>
      </c>
      <c r="E86" s="171">
        <f t="shared" si="14"/>
        <v>12222</v>
      </c>
      <c r="F86" s="171"/>
      <c r="G86" s="171">
        <f>E86+F86</f>
        <v>12222</v>
      </c>
      <c r="H86" s="172">
        <f t="shared" si="16"/>
        <v>2.0143924732724632E-3</v>
      </c>
      <c r="I86" s="337"/>
      <c r="J86" s="168"/>
      <c r="K86" s="168"/>
      <c r="M86" s="359">
        <f t="shared" si="17"/>
        <v>0.4696434060866892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490">
        <f>'[31]Sch C'!D80</f>
        <v>6549</v>
      </c>
      <c r="D87" s="490">
        <f>'[31]Sch C'!F80</f>
        <v>0</v>
      </c>
      <c r="E87" s="171">
        <f t="shared" si="14"/>
        <v>6549</v>
      </c>
      <c r="F87" s="171"/>
      <c r="G87" s="171">
        <f t="shared" si="15"/>
        <v>6549</v>
      </c>
      <c r="H87" s="172">
        <f t="shared" si="16"/>
        <v>1.0793860503568451E-3</v>
      </c>
      <c r="I87" s="337"/>
      <c r="J87" s="168"/>
      <c r="K87" s="168"/>
      <c r="M87" s="359">
        <f t="shared" si="17"/>
        <v>0.251652320934522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490">
        <f>'[31]Sch C'!D81</f>
        <v>13324</v>
      </c>
      <c r="D88" s="490">
        <f>'[31]Sch C'!F81</f>
        <v>0</v>
      </c>
      <c r="E88" s="171">
        <f t="shared" si="14"/>
        <v>13324</v>
      </c>
      <c r="F88" s="171"/>
      <c r="G88" s="171">
        <f t="shared" si="15"/>
        <v>13324</v>
      </c>
      <c r="H88" s="172">
        <f t="shared" si="16"/>
        <v>2.1960207260581163E-3</v>
      </c>
      <c r="I88" s="337"/>
      <c r="J88" s="168"/>
      <c r="K88" s="168"/>
      <c r="M88" s="359">
        <f t="shared" si="17"/>
        <v>0.51198893329234552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490">
        <f>'[31]Sch C'!D82</f>
        <v>126</v>
      </c>
      <c r="D89" s="490">
        <f>'[31]Sch C'!F82</f>
        <v>0</v>
      </c>
      <c r="E89" s="171">
        <f t="shared" si="14"/>
        <v>126</v>
      </c>
      <c r="F89" s="171"/>
      <c r="G89" s="171">
        <f t="shared" si="15"/>
        <v>126</v>
      </c>
      <c r="H89" s="172">
        <f t="shared" si="16"/>
        <v>2.0766932714149104E-5</v>
      </c>
      <c r="I89" s="337"/>
      <c r="J89" s="168"/>
      <c r="K89" s="168"/>
      <c r="M89" s="359">
        <f t="shared" si="17"/>
        <v>4.8416845988318476E-3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490">
        <f>'[31]Sch C'!D83</f>
        <v>4963</v>
      </c>
      <c r="D90" s="490">
        <f>'[31]Sch C'!F83</f>
        <v>0</v>
      </c>
      <c r="E90" s="171">
        <f t="shared" si="14"/>
        <v>4963</v>
      </c>
      <c r="F90" s="171"/>
      <c r="G90" s="171">
        <f t="shared" si="15"/>
        <v>4963</v>
      </c>
      <c r="H90" s="172">
        <f t="shared" si="16"/>
        <v>8.1798640524065086E-4</v>
      </c>
      <c r="I90" s="337"/>
      <c r="J90" s="168"/>
      <c r="K90" s="168"/>
      <c r="M90" s="359">
        <f t="shared" si="17"/>
        <v>0.19070857669843222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490">
        <f>'[31]Sch C'!D84</f>
        <v>107612</v>
      </c>
      <c r="D91" s="490">
        <f>'[31]Sch C'!F84</f>
        <v>0</v>
      </c>
      <c r="E91" s="171">
        <f t="shared" si="14"/>
        <v>107612</v>
      </c>
      <c r="F91" s="171"/>
      <c r="G91" s="171">
        <f t="shared" si="15"/>
        <v>107612</v>
      </c>
      <c r="H91" s="172">
        <f t="shared" si="16"/>
        <v>1.7736279073293757E-2</v>
      </c>
      <c r="I91" s="337"/>
      <c r="J91" s="168"/>
      <c r="K91" s="168"/>
      <c r="M91" s="359">
        <f t="shared" si="17"/>
        <v>4.1351060559483557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490">
        <f>'[31]Sch C'!D85</f>
        <v>0</v>
      </c>
      <c r="D92" s="490">
        <f>'[31]Sch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7"/>
      <c r="J92" s="168"/>
      <c r="K92" s="168"/>
      <c r="M92" s="359">
        <f t="shared" si="17"/>
        <v>0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490">
        <f>SUM(C82:C92)</f>
        <v>262924</v>
      </c>
      <c r="D93" s="490">
        <f>SUM(D82:D92)</f>
        <v>913</v>
      </c>
      <c r="E93" s="171">
        <f t="shared" ref="E93:F93" si="18">SUM(E82:E92)</f>
        <v>263837</v>
      </c>
      <c r="F93" s="171">
        <f t="shared" si="18"/>
        <v>0</v>
      </c>
      <c r="G93" s="171">
        <f>SUM(G82:G92)</f>
        <v>263837</v>
      </c>
      <c r="H93" s="172">
        <f t="shared" si="16"/>
        <v>4.3484803384944107E-2</v>
      </c>
      <c r="I93" s="337"/>
      <c r="J93" s="168"/>
      <c r="K93" s="168"/>
      <c r="M93" s="364">
        <f>G93/G$228</f>
        <v>10.138218567476176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490">
        <f>'[31]Sch C'!D89</f>
        <v>209788</v>
      </c>
      <c r="D96" s="490">
        <f>'[31]Sch C'!F89</f>
        <v>0</v>
      </c>
      <c r="E96" s="171">
        <f t="shared" ref="E96:E101" si="19">C96+D96</f>
        <v>209788</v>
      </c>
      <c r="F96" s="171"/>
      <c r="G96" s="171">
        <f t="shared" ref="G96:G101" si="20">E96+F96</f>
        <v>209788</v>
      </c>
      <c r="H96" s="172">
        <f t="shared" ref="H96:H102" si="21">IF($G$208=0,0,G96/$G$208)</f>
        <v>3.4576613335205654E-2</v>
      </c>
      <c r="I96" s="337"/>
      <c r="J96" s="183">
        <v>17031</v>
      </c>
      <c r="K96" s="183">
        <v>18005</v>
      </c>
      <c r="M96" s="364">
        <f t="shared" ref="M96:M101" si="22">G96/G$228</f>
        <v>8.0613280049185363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490">
        <f>'[31]Sch C'!D90</f>
        <v>35633</v>
      </c>
      <c r="D97" s="490">
        <f>'[31]Sch C'!F90</f>
        <v>0</v>
      </c>
      <c r="E97" s="171">
        <f t="shared" si="19"/>
        <v>35633</v>
      </c>
      <c r="F97" s="171"/>
      <c r="G97" s="171">
        <f t="shared" si="20"/>
        <v>35633</v>
      </c>
      <c r="H97" s="172">
        <f t="shared" si="21"/>
        <v>5.8729215349466275E-3</v>
      </c>
      <c r="I97" s="337"/>
      <c r="J97" s="168"/>
      <c r="K97" s="168"/>
      <c r="M97" s="364">
        <f t="shared" si="22"/>
        <v>1.3692360897632954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490">
        <f>'[31]Sch C'!D91</f>
        <v>5955</v>
      </c>
      <c r="D98" s="490">
        <f>'[31]Sch C'!F91</f>
        <v>5804</v>
      </c>
      <c r="E98" s="171">
        <f t="shared" si="19"/>
        <v>11759</v>
      </c>
      <c r="F98" s="171"/>
      <c r="G98" s="171">
        <f t="shared" si="20"/>
        <v>11759</v>
      </c>
      <c r="H98" s="172">
        <f t="shared" si="21"/>
        <v>1.9380822363942803E-3</v>
      </c>
      <c r="I98" s="337"/>
      <c r="J98" s="168"/>
      <c r="K98" s="168"/>
      <c r="M98" s="364">
        <f t="shared" si="22"/>
        <v>0.45185213648939443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490">
        <f>'[31]Sch C'!D92</f>
        <v>171967</v>
      </c>
      <c r="D99" s="490">
        <f>'[31]Sch C'!F92</f>
        <v>0</v>
      </c>
      <c r="E99" s="171">
        <f t="shared" si="19"/>
        <v>171967</v>
      </c>
      <c r="F99" s="171"/>
      <c r="G99" s="171">
        <f t="shared" si="20"/>
        <v>171967</v>
      </c>
      <c r="H99" s="172">
        <f t="shared" si="21"/>
        <v>2.8343072365508565E-2</v>
      </c>
      <c r="I99" s="337"/>
      <c r="J99" s="168"/>
      <c r="K99" s="168"/>
      <c r="M99" s="364">
        <f t="shared" si="22"/>
        <v>6.6080156778358434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490">
        <f>'[31]Sch C'!D93</f>
        <v>17289</v>
      </c>
      <c r="D100" s="490">
        <f>'[31]Sch C'!F93</f>
        <v>0</v>
      </c>
      <c r="E100" s="171">
        <f t="shared" si="19"/>
        <v>17289</v>
      </c>
      <c r="F100" s="171"/>
      <c r="G100" s="171">
        <f t="shared" si="20"/>
        <v>17289</v>
      </c>
      <c r="H100" s="172">
        <f t="shared" si="21"/>
        <v>2.8495198388486021E-3</v>
      </c>
      <c r="I100" s="337"/>
      <c r="J100" s="168"/>
      <c r="K100" s="168"/>
      <c r="M100" s="364">
        <f t="shared" si="22"/>
        <v>0.66434829388256988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490">
        <f>'[31]Sch C'!D94</f>
        <v>2060</v>
      </c>
      <c r="D101" s="490">
        <f>'[31]Sch C'!F94</f>
        <v>0</v>
      </c>
      <c r="E101" s="171">
        <f t="shared" si="19"/>
        <v>2060</v>
      </c>
      <c r="F101" s="171"/>
      <c r="G101" s="171">
        <f t="shared" si="20"/>
        <v>2060</v>
      </c>
      <c r="H101" s="172">
        <f t="shared" si="21"/>
        <v>3.3952286818370758E-4</v>
      </c>
      <c r="I101" s="337"/>
      <c r="J101" s="168"/>
      <c r="K101" s="168"/>
      <c r="M101" s="364">
        <f t="shared" si="22"/>
        <v>7.9157700584076243E-2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490">
        <f>SUM(C96:C101)</f>
        <v>442692</v>
      </c>
      <c r="D102" s="490">
        <f>SUM(D96:D101)</f>
        <v>5804</v>
      </c>
      <c r="E102" s="171">
        <f t="shared" ref="E102:F102" si="23">SUM(E96:E101)</f>
        <v>448496</v>
      </c>
      <c r="F102" s="171">
        <f t="shared" si="23"/>
        <v>0</v>
      </c>
      <c r="G102" s="171">
        <f>SUM(G96:G101)</f>
        <v>448496</v>
      </c>
      <c r="H102" s="172">
        <f t="shared" si="21"/>
        <v>7.3919732179087441E-2</v>
      </c>
      <c r="I102" s="337"/>
      <c r="J102" s="168"/>
      <c r="K102" s="168"/>
      <c r="M102" s="364">
        <f>G102/G$228</f>
        <v>17.233937903473716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490">
        <f>'[31]Sch C'!D98</f>
        <v>56146</v>
      </c>
      <c r="D105" s="490">
        <f>'[31]Sch C'!F98</f>
        <v>0</v>
      </c>
      <c r="E105" s="171">
        <f t="shared" ref="E105:E110" si="24">C105+D105</f>
        <v>56146</v>
      </c>
      <c r="F105" s="171"/>
      <c r="G105" s="171">
        <f t="shared" ref="G105:G110" si="25">E105+F105</f>
        <v>56146</v>
      </c>
      <c r="H105" s="172">
        <f t="shared" ref="H105:H111" si="26">IF($G$208=0,0,G105/$G$208)</f>
        <v>9.2538111441953629E-3</v>
      </c>
      <c r="I105" s="337"/>
      <c r="J105" s="183">
        <v>5605</v>
      </c>
      <c r="K105" s="183">
        <v>5928</v>
      </c>
      <c r="M105" s="364">
        <f t="shared" ref="M105:M110" si="27">G105/G$228</f>
        <v>2.1574700276667693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490">
        <f>'[31]Sch C'!D99</f>
        <v>9537</v>
      </c>
      <c r="D106" s="490">
        <f>'[31]Sch C'!F99</f>
        <v>0</v>
      </c>
      <c r="E106" s="171">
        <f t="shared" si="24"/>
        <v>9537</v>
      </c>
      <c r="F106" s="171"/>
      <c r="G106" s="171">
        <f t="shared" si="25"/>
        <v>9537</v>
      </c>
      <c r="H106" s="172">
        <f t="shared" si="26"/>
        <v>1.5718590261495238E-3</v>
      </c>
      <c r="I106" s="337"/>
      <c r="J106" s="168"/>
      <c r="K106" s="168"/>
      <c r="M106" s="364">
        <f t="shared" si="27"/>
        <v>0.36646941284967721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490">
        <f>'[31]Sch C'!D100</f>
        <v>7885</v>
      </c>
      <c r="D107" s="490">
        <f>'[31]Sch C'!F100</f>
        <v>0</v>
      </c>
      <c r="E107" s="171">
        <f t="shared" si="24"/>
        <v>7885</v>
      </c>
      <c r="F107" s="171"/>
      <c r="G107" s="171">
        <f t="shared" si="25"/>
        <v>7885</v>
      </c>
      <c r="H107" s="172">
        <f t="shared" si="26"/>
        <v>1.2995814638973467E-3</v>
      </c>
      <c r="I107" s="337"/>
      <c r="J107" s="168"/>
      <c r="K107" s="168"/>
      <c r="M107" s="364">
        <f t="shared" si="27"/>
        <v>0.30298954810943746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490">
        <f>'[31]Sch C'!D101</f>
        <v>0</v>
      </c>
      <c r="D108" s="490">
        <f>'[31]Sch C'!F101</f>
        <v>0</v>
      </c>
      <c r="E108" s="171">
        <f t="shared" si="24"/>
        <v>0</v>
      </c>
      <c r="F108" s="171"/>
      <c r="G108" s="171">
        <f t="shared" si="25"/>
        <v>0</v>
      </c>
      <c r="H108" s="172">
        <f t="shared" si="26"/>
        <v>0</v>
      </c>
      <c r="I108" s="337"/>
      <c r="J108" s="168"/>
      <c r="K108" s="168"/>
      <c r="M108" s="364">
        <f t="shared" si="27"/>
        <v>0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490">
        <f>'[31]Sch C'!D102</f>
        <v>9002</v>
      </c>
      <c r="D109" s="490">
        <f>'[31]Sch C'!F102</f>
        <v>0</v>
      </c>
      <c r="E109" s="171">
        <f t="shared" si="24"/>
        <v>9002</v>
      </c>
      <c r="F109" s="171"/>
      <c r="G109" s="171">
        <f t="shared" si="25"/>
        <v>9002</v>
      </c>
      <c r="H109" s="172">
        <f t="shared" si="26"/>
        <v>1.4836819705775417E-3</v>
      </c>
      <c r="I109" s="337"/>
      <c r="J109" s="168"/>
      <c r="K109" s="168"/>
      <c r="M109" s="364">
        <f t="shared" si="27"/>
        <v>0.34591146633876424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490">
        <f>'[31]Sch C'!D103</f>
        <v>0</v>
      </c>
      <c r="D110" s="490">
        <f>'[31]Sch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7"/>
      <c r="J110" s="168"/>
      <c r="K110" s="168"/>
      <c r="M110" s="364">
        <f t="shared" si="27"/>
        <v>0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490">
        <f>SUM(C105:C110)</f>
        <v>82570</v>
      </c>
      <c r="D111" s="490">
        <f>SUM(D105:D110)</f>
        <v>0</v>
      </c>
      <c r="E111" s="171">
        <f t="shared" ref="E111:F111" si="28">SUM(E105:E110)</f>
        <v>82570</v>
      </c>
      <c r="F111" s="171">
        <f t="shared" si="28"/>
        <v>0</v>
      </c>
      <c r="G111" s="171">
        <f>SUM(G105:G110)</f>
        <v>82570</v>
      </c>
      <c r="H111" s="172">
        <f t="shared" si="26"/>
        <v>1.3608933604819774E-2</v>
      </c>
      <c r="I111" s="337"/>
      <c r="J111" s="168"/>
      <c r="K111" s="168"/>
      <c r="M111" s="364">
        <f>G111/G$228</f>
        <v>3.1728404549646481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490">
        <f>'[31]Sch C'!D115</f>
        <v>89756</v>
      </c>
      <c r="D114" s="490">
        <f>'[31]Sch C'!F115</f>
        <v>0</v>
      </c>
      <c r="E114" s="171">
        <f t="shared" ref="E114:E118" si="29">C114+D114</f>
        <v>89756</v>
      </c>
      <c r="F114" s="171"/>
      <c r="G114" s="171">
        <f>E114+F114</f>
        <v>89756</v>
      </c>
      <c r="H114" s="172">
        <f t="shared" ref="H114:H119" si="30">IF($G$208=0,0,G114/$G$208)</f>
        <v>1.4793308037231485E-2</v>
      </c>
      <c r="I114" s="337"/>
      <c r="J114" s="183">
        <v>8665</v>
      </c>
      <c r="K114" s="183">
        <v>9154</v>
      </c>
      <c r="M114" s="364">
        <f t="shared" ref="M114:M119" si="31">G114/G$228</f>
        <v>3.4489701813710423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490">
        <f>'[31]Sch C'!D116</f>
        <v>15245</v>
      </c>
      <c r="D115" s="490">
        <f>'[31]Sch C'!F116</f>
        <v>0</v>
      </c>
      <c r="E115" s="171">
        <f t="shared" si="29"/>
        <v>15245</v>
      </c>
      <c r="F115" s="171"/>
      <c r="G115" s="171">
        <f>E115+F115</f>
        <v>15245</v>
      </c>
      <c r="H115" s="172">
        <f t="shared" si="30"/>
        <v>2.512634041485739E-3</v>
      </c>
      <c r="I115" s="337"/>
      <c r="J115" s="168"/>
      <c r="K115" s="168"/>
      <c r="M115" s="364">
        <f t="shared" si="31"/>
        <v>0.5858054103904089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490">
        <f>'[31]Sch C'!D117</f>
        <v>22056</v>
      </c>
      <c r="D116" s="490">
        <f>'[31]Sch C'!F117</f>
        <v>0</v>
      </c>
      <c r="E116" s="171">
        <f t="shared" si="29"/>
        <v>22056</v>
      </c>
      <c r="F116" s="171"/>
      <c r="G116" s="171">
        <f>E116+F116</f>
        <v>22056</v>
      </c>
      <c r="H116" s="172">
        <f t="shared" si="30"/>
        <v>3.6352021265339098E-3</v>
      </c>
      <c r="I116" s="337"/>
      <c r="J116" s="168"/>
      <c r="K116" s="168"/>
      <c r="M116" s="364">
        <f t="shared" si="31"/>
        <v>0.84752536120504152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490">
        <f>'[31]Sch C'!D118</f>
        <v>0</v>
      </c>
      <c r="D117" s="490">
        <f>'[31]Sch C'!F118</f>
        <v>0</v>
      </c>
      <c r="E117" s="171">
        <f t="shared" si="29"/>
        <v>0</v>
      </c>
      <c r="F117" s="171"/>
      <c r="G117" s="171">
        <f>E117+F117</f>
        <v>0</v>
      </c>
      <c r="H117" s="172">
        <f t="shared" si="30"/>
        <v>0</v>
      </c>
      <c r="I117" s="337"/>
      <c r="J117" s="168"/>
      <c r="K117" s="168"/>
      <c r="M117" s="364">
        <f t="shared" si="31"/>
        <v>0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490">
        <f>'[31]Sch C'!D119</f>
        <v>0</v>
      </c>
      <c r="D118" s="490">
        <f>'[31]Sch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337"/>
      <c r="J118" s="168"/>
      <c r="K118" s="168"/>
      <c r="M118" s="364">
        <f t="shared" si="31"/>
        <v>0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490">
        <f>SUM(C114:C118)</f>
        <v>127057</v>
      </c>
      <c r="D119" s="490">
        <f>SUM(D114:D118)</f>
        <v>0</v>
      </c>
      <c r="E119" s="171">
        <f t="shared" ref="E119:F119" si="32">SUM(E114:E118)</f>
        <v>127057</v>
      </c>
      <c r="F119" s="171">
        <f t="shared" si="32"/>
        <v>0</v>
      </c>
      <c r="G119" s="171">
        <f>SUM(G114:G118)</f>
        <v>127057</v>
      </c>
      <c r="H119" s="172">
        <f t="shared" si="30"/>
        <v>2.0941144205251134E-2</v>
      </c>
      <c r="I119" s="337"/>
      <c r="J119" s="168"/>
      <c r="K119" s="168"/>
      <c r="M119" s="364">
        <f t="shared" si="31"/>
        <v>4.8823009529664922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1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490">
        <f>'[31]Sch C'!D124</f>
        <v>0</v>
      </c>
      <c r="D123" s="490">
        <f>'[31]Sch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7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0.77002560279620991</v>
      </c>
    </row>
    <row r="124" spans="1:14" s="167" customFormat="1">
      <c r="B124" s="163" t="s">
        <v>194</v>
      </c>
      <c r="C124" s="490">
        <f>'[31]Sch C'!D125</f>
        <v>244098</v>
      </c>
      <c r="D124" s="490">
        <f>'[31]Sch C'!F125</f>
        <v>41776</v>
      </c>
      <c r="E124" s="171">
        <f t="shared" si="33"/>
        <v>285874</v>
      </c>
      <c r="F124" s="171"/>
      <c r="G124" s="171">
        <f>E124+F124</f>
        <v>285874</v>
      </c>
      <c r="H124" s="172">
        <f>IF($G$208=0,0,G124/$G$208)</f>
        <v>4.7116873989878266E-2</v>
      </c>
      <c r="I124" s="337"/>
      <c r="J124" s="183">
        <v>6518</v>
      </c>
      <c r="K124" s="183">
        <v>7055</v>
      </c>
      <c r="M124" s="364">
        <f t="shared" si="34"/>
        <v>10.985013833384569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490">
        <f>'[31]Sch C'!D126</f>
        <v>0</v>
      </c>
      <c r="D125" s="490">
        <f>'[31]Sch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7"/>
      <c r="J125" s="183">
        <v>0</v>
      </c>
      <c r="K125" s="183">
        <v>0</v>
      </c>
      <c r="M125" s="364">
        <f t="shared" si="34"/>
        <v>0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490">
        <f>'[31]Sch C'!D127</f>
        <v>0</v>
      </c>
      <c r="D126" s="490">
        <f>'[31]Sch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7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490">
        <f>'[31]Sch C'!D128</f>
        <v>60137</v>
      </c>
      <c r="D127" s="490">
        <f>'[31]Sch C'!F128</f>
        <v>0</v>
      </c>
      <c r="E127" s="171">
        <f t="shared" si="33"/>
        <v>60137</v>
      </c>
      <c r="F127" s="171"/>
      <c r="G127" s="171">
        <f>E127+F127</f>
        <v>60137</v>
      </c>
      <c r="H127" s="172">
        <f>IF($G$208=0,0,G127/$G$208)</f>
        <v>9.9115954970697192E-3</v>
      </c>
      <c r="I127" s="337"/>
      <c r="J127" s="183">
        <v>4081</v>
      </c>
      <c r="K127" s="183">
        <v>4370</v>
      </c>
      <c r="M127" s="364">
        <f t="shared" si="34"/>
        <v>2.3108284660313556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205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490">
        <f>'[31]Sch C'!D130</f>
        <v>0</v>
      </c>
      <c r="D129" s="490">
        <f>'[31]Sch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7"/>
      <c r="J129" s="204"/>
      <c r="K129" s="204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490">
        <f>'[31]Sch C'!D131</f>
        <v>41461</v>
      </c>
      <c r="D130" s="490">
        <f>'[31]Sch C'!F131</f>
        <v>5969</v>
      </c>
      <c r="E130" s="171">
        <f t="shared" si="35"/>
        <v>47430</v>
      </c>
      <c r="F130" s="171"/>
      <c r="G130" s="171">
        <f>E130+F130</f>
        <v>47430</v>
      </c>
      <c r="H130" s="172">
        <f>IF($G$208=0,0,G130/$G$208)</f>
        <v>7.8172668145404123E-3</v>
      </c>
      <c r="I130" s="337"/>
      <c r="J130" s="204"/>
      <c r="K130" s="204"/>
      <c r="M130" s="364">
        <f t="shared" si="34"/>
        <v>1.8225484168459882</v>
      </c>
      <c r="N130" s="359">
        <f>SUMMARY!J133</f>
        <v>1.0792348507966931</v>
      </c>
    </row>
    <row r="131" spans="1:14" s="167" customFormat="1">
      <c r="B131" s="163" t="s">
        <v>195</v>
      </c>
      <c r="C131" s="490">
        <f>'[31]Sch C'!D132</f>
        <v>0</v>
      </c>
      <c r="D131" s="490">
        <f>'[31]Sch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7"/>
      <c r="J131" s="168"/>
      <c r="K131" s="168"/>
      <c r="M131" s="364">
        <f t="shared" si="34"/>
        <v>0</v>
      </c>
      <c r="N131" s="359">
        <f>SUMMARY!J134</f>
        <v>8.2765628075518377E-2</v>
      </c>
    </row>
    <row r="132" spans="1:14" s="167" customFormat="1">
      <c r="B132" s="163" t="s">
        <v>196</v>
      </c>
      <c r="C132" s="490">
        <f>'[31]Sch C'!D133</f>
        <v>0</v>
      </c>
      <c r="D132" s="490">
        <f>'[31]Sch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490">
        <f>'[31]Sch C'!D134</f>
        <v>10214</v>
      </c>
      <c r="D133" s="490">
        <f>'[31]Sch C'!F134</f>
        <v>0</v>
      </c>
      <c r="E133" s="171">
        <f t="shared" si="35"/>
        <v>10214</v>
      </c>
      <c r="F133" s="171"/>
      <c r="G133" s="171">
        <f>E133+F133</f>
        <v>10214</v>
      </c>
      <c r="H133" s="172">
        <f>IF($G$208=0,0,G133/$G$208)</f>
        <v>1.6834400852564996E-3</v>
      </c>
      <c r="I133" s="337"/>
      <c r="J133" s="168"/>
      <c r="K133" s="168"/>
      <c r="M133" s="364">
        <f t="shared" si="34"/>
        <v>0.3924838610513372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490">
        <f>'[31]Sch C'!D136</f>
        <v>464514</v>
      </c>
      <c r="D135" s="490">
        <f>'[31]Sch C'!F136</f>
        <v>0</v>
      </c>
      <c r="E135" s="171">
        <f t="shared" ref="E135:E138" si="36">C135+D135</f>
        <v>464514</v>
      </c>
      <c r="F135" s="171"/>
      <c r="G135" s="171">
        <f>E135+F135</f>
        <v>464514</v>
      </c>
      <c r="H135" s="172">
        <f>IF($G$208=0,0,G135/$G$208)</f>
        <v>7.6559769704605221E-2</v>
      </c>
      <c r="I135" s="337"/>
      <c r="J135" s="183">
        <v>17151</v>
      </c>
      <c r="K135" s="183">
        <v>18182</v>
      </c>
      <c r="M135" s="364">
        <f t="shared" si="34"/>
        <v>17.849446664617275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490">
        <f>'[31]Sch C'!D137</f>
        <v>182543</v>
      </c>
      <c r="D136" s="490">
        <f>'[31]Sch C'!F137</f>
        <v>0</v>
      </c>
      <c r="E136" s="171">
        <f t="shared" si="36"/>
        <v>182543</v>
      </c>
      <c r="F136" s="171"/>
      <c r="G136" s="171">
        <f>E136+F136</f>
        <v>182543</v>
      </c>
      <c r="H136" s="172">
        <f>IF($G$208=0,0,G136/$G$208)</f>
        <v>3.0086176178086666E-2</v>
      </c>
      <c r="I136" s="337"/>
      <c r="J136" s="183">
        <v>9412</v>
      </c>
      <c r="K136" s="183">
        <v>9806</v>
      </c>
      <c r="M136" s="364">
        <f t="shared" si="34"/>
        <v>7.0144097755917612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490">
        <f>'[31]Sch C'!D138</f>
        <v>631010</v>
      </c>
      <c r="D137" s="490">
        <f>'[31]Sch C'!F138</f>
        <v>0</v>
      </c>
      <c r="E137" s="171">
        <f t="shared" si="36"/>
        <v>631010</v>
      </c>
      <c r="F137" s="171"/>
      <c r="G137" s="171">
        <f>E137+F137</f>
        <v>631010</v>
      </c>
      <c r="H137" s="172">
        <f>IF($G$208=0,0,G137/$G$208)</f>
        <v>0.10400112866631132</v>
      </c>
      <c r="I137" s="337"/>
      <c r="J137" s="183">
        <v>59523</v>
      </c>
      <c r="K137" s="183">
        <v>62857</v>
      </c>
      <c r="M137" s="364">
        <f t="shared" si="34"/>
        <v>24.24723332308638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490">
        <f>'[31]Sch C'!D139</f>
        <v>0</v>
      </c>
      <c r="D138" s="490">
        <f>'[31]Sch C'!F139</f>
        <v>0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7"/>
      <c r="J138" s="183">
        <v>0</v>
      </c>
      <c r="K138" s="183">
        <v>0</v>
      </c>
      <c r="M138" s="364">
        <f t="shared" si="34"/>
        <v>0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7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490">
        <f>'[31]Sch C'!D141</f>
        <v>78899</v>
      </c>
      <c r="D140" s="490">
        <f>'[31]Sch C'!F141</f>
        <v>0</v>
      </c>
      <c r="E140" s="171">
        <f t="shared" ref="E140:E143" si="37">C140+D140</f>
        <v>78899</v>
      </c>
      <c r="F140" s="171"/>
      <c r="G140" s="171">
        <f>E140+F140</f>
        <v>78899</v>
      </c>
      <c r="H140" s="172">
        <f>IF($G$208=0,0,G140/$G$208)</f>
        <v>1.3003890668362304E-2</v>
      </c>
      <c r="I140" s="337"/>
      <c r="J140" s="168"/>
      <c r="K140" s="168"/>
      <c r="M140" s="364">
        <f t="shared" si="34"/>
        <v>3.0317783584383644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490">
        <f>'[31]Sch C'!D142</f>
        <v>31005</v>
      </c>
      <c r="D141" s="490">
        <f>'[31]Sch C'!F142</f>
        <v>0</v>
      </c>
      <c r="E141" s="171">
        <f t="shared" si="37"/>
        <v>31005</v>
      </c>
      <c r="F141" s="171"/>
      <c r="G141" s="171">
        <f>E141+F141</f>
        <v>31005</v>
      </c>
      <c r="H141" s="172">
        <f>IF($G$208=0,0,G141/$G$208)</f>
        <v>5.1101488000174049E-3</v>
      </c>
      <c r="I141" s="337"/>
      <c r="J141" s="168"/>
      <c r="K141" s="168"/>
      <c r="M141" s="364">
        <f t="shared" si="34"/>
        <v>1.1914002459268367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490">
        <f>'[31]Sch C'!D143</f>
        <v>107178</v>
      </c>
      <c r="D142" s="490">
        <f>'[31]Sch C'!F143</f>
        <v>0</v>
      </c>
      <c r="E142" s="171">
        <f t="shared" si="37"/>
        <v>107178</v>
      </c>
      <c r="F142" s="171"/>
      <c r="G142" s="171">
        <f>E142+F142</f>
        <v>107178</v>
      </c>
      <c r="H142" s="172">
        <f>IF($G$208=0,0,G142/$G$208)</f>
        <v>1.7664748527278354E-2</v>
      </c>
      <c r="I142" s="337"/>
      <c r="J142" s="168"/>
      <c r="K142" s="168"/>
      <c r="M142" s="364">
        <f t="shared" si="34"/>
        <v>4.1184291423301564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490">
        <f>'[31]Sch C'!D144</f>
        <v>0</v>
      </c>
      <c r="D143" s="490">
        <f>'[31]Sch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7"/>
      <c r="J143" s="168"/>
      <c r="K143" s="168"/>
      <c r="M143" s="364">
        <f t="shared" si="34"/>
        <v>0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7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490">
        <f>'[31]Sch C'!D146</f>
        <v>17200</v>
      </c>
      <c r="D145" s="490">
        <f>'[31]Sch C'!F146</f>
        <v>0</v>
      </c>
      <c r="E145" s="171">
        <f t="shared" ref="E145:E153" si="38">C145+D145</f>
        <v>17200</v>
      </c>
      <c r="F145" s="171"/>
      <c r="G145" s="171">
        <f t="shared" ref="G145:G153" si="39">E145+F145</f>
        <v>17200</v>
      </c>
      <c r="H145" s="172">
        <f t="shared" ref="H145:H153" si="40">IF($G$208=0,0,G145/$G$208)</f>
        <v>2.8348511324076554E-3</v>
      </c>
      <c r="I145" s="337"/>
      <c r="J145" s="183">
        <v>0</v>
      </c>
      <c r="K145" s="183">
        <v>0</v>
      </c>
      <c r="M145" s="364">
        <f t="shared" si="34"/>
        <v>0.66092837380879188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490">
        <f>'[31]Sch C'!D147</f>
        <v>0</v>
      </c>
      <c r="D146" s="490">
        <f>'[31]Sch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337"/>
      <c r="J146" s="183">
        <v>0</v>
      </c>
      <c r="K146" s="183">
        <v>0</v>
      </c>
      <c r="M146" s="364">
        <f t="shared" si="34"/>
        <v>0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490">
        <f>'[31]Sch C'!D148</f>
        <v>0</v>
      </c>
      <c r="D147" s="490">
        <f>'[31]Sch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7"/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490">
        <f>'[31]Sch C'!D149</f>
        <v>0</v>
      </c>
      <c r="D148" s="490">
        <f>'[31]Sch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7"/>
      <c r="J148" s="183">
        <v>0</v>
      </c>
      <c r="K148" s="183">
        <v>0</v>
      </c>
      <c r="M148" s="364">
        <f t="shared" si="34"/>
        <v>0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490">
        <f>'[31]Sch C'!D150</f>
        <v>5634</v>
      </c>
      <c r="D149" s="490">
        <f>'[31]Sch C'!F150</f>
        <v>0</v>
      </c>
      <c r="E149" s="171">
        <f t="shared" si="38"/>
        <v>5634</v>
      </c>
      <c r="F149" s="171"/>
      <c r="G149" s="171">
        <f t="shared" si="39"/>
        <v>5634</v>
      </c>
      <c r="H149" s="172">
        <f t="shared" si="40"/>
        <v>9.2857856278980998E-4</v>
      </c>
      <c r="I149" s="337"/>
      <c r="J149" s="183">
        <v>0</v>
      </c>
      <c r="K149" s="183">
        <v>0</v>
      </c>
      <c r="M149" s="364">
        <f t="shared" si="34"/>
        <v>0.21649246849062403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490">
        <f>'[31]Sch C'!D151</f>
        <v>126237</v>
      </c>
      <c r="D150" s="490">
        <f>'[31]Sch C'!F151</f>
        <v>0</v>
      </c>
      <c r="E150" s="171">
        <f t="shared" si="38"/>
        <v>126237</v>
      </c>
      <c r="F150" s="171"/>
      <c r="G150" s="171">
        <f t="shared" si="39"/>
        <v>126237</v>
      </c>
      <c r="H150" s="172">
        <f t="shared" si="40"/>
        <v>2.080599432568286E-2</v>
      </c>
      <c r="I150" s="337"/>
      <c r="J150" s="168"/>
      <c r="K150" s="168"/>
      <c r="M150" s="364">
        <f t="shared" si="34"/>
        <v>4.8507915770058405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490">
        <f>'[31]Sch C'!D152</f>
        <v>773</v>
      </c>
      <c r="D151" s="490">
        <f>'[31]Sch C'!F152</f>
        <v>0</v>
      </c>
      <c r="E151" s="171">
        <f t="shared" si="38"/>
        <v>773</v>
      </c>
      <c r="F151" s="171"/>
      <c r="G151" s="171">
        <f t="shared" si="39"/>
        <v>773</v>
      </c>
      <c r="H151" s="172">
        <f t="shared" si="40"/>
        <v>1.2740348403204174E-4</v>
      </c>
      <c r="I151" s="337"/>
      <c r="J151" s="168"/>
      <c r="K151" s="168"/>
      <c r="M151" s="364">
        <f t="shared" si="34"/>
        <v>2.9703350753150937E-2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490">
        <f>'[31]Sch C'!D153</f>
        <v>0</v>
      </c>
      <c r="D152" s="490">
        <f>'[31]Sch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7"/>
      <c r="J152" s="168"/>
      <c r="K152" s="168"/>
      <c r="M152" s="364">
        <f t="shared" si="34"/>
        <v>0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490">
        <f>'[31]Sch C'!D154</f>
        <v>0</v>
      </c>
      <c r="D153" s="490">
        <f>'[31]Sch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210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490">
        <f>'[31]Sch C'!D156</f>
        <v>0</v>
      </c>
      <c r="D155" s="490">
        <f>'[31]Sch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490">
        <f>'[31]Sch C'!D157</f>
        <v>0</v>
      </c>
      <c r="D156" s="490">
        <f>'[31]Sch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490">
        <f>'[31]Sch C'!D158</f>
        <v>0</v>
      </c>
      <c r="D157" s="490">
        <f>'[31]Sch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7"/>
      <c r="J157" s="168"/>
      <c r="K157" s="168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490">
        <f>'[31]Sch C'!D159</f>
        <v>0</v>
      </c>
      <c r="D158" s="490">
        <f>'[31]Sch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490">
        <f>'[31]Sch C'!D160</f>
        <v>0</v>
      </c>
      <c r="D159" s="490">
        <f>'[31]Sch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7"/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490">
        <f>'[31]Sch C'!D161</f>
        <v>5198</v>
      </c>
      <c r="D160" s="490">
        <f>'[31]Sch C'!F161</f>
        <v>0</v>
      </c>
      <c r="E160" s="171">
        <f t="shared" si="41"/>
        <v>5198</v>
      </c>
      <c r="F160" s="171"/>
      <c r="G160" s="171">
        <f t="shared" si="42"/>
        <v>5198</v>
      </c>
      <c r="H160" s="172">
        <f t="shared" si="43"/>
        <v>8.5671838292180193E-4</v>
      </c>
      <c r="I160" s="337"/>
      <c r="J160" s="168"/>
      <c r="K160" s="168"/>
      <c r="M160" s="364">
        <f t="shared" si="34"/>
        <v>0.19973870273593605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490">
        <f>SUM(C123:C160)</f>
        <v>2006101</v>
      </c>
      <c r="D161" s="490">
        <f>SUM(D123:D160)</f>
        <v>47745</v>
      </c>
      <c r="E161" s="171">
        <f t="shared" ref="E161:F161" si="44">SUM(E123:E160)</f>
        <v>2053846</v>
      </c>
      <c r="F161" s="171">
        <f t="shared" si="44"/>
        <v>0</v>
      </c>
      <c r="G161" s="171">
        <f>SUM(G123:G160)</f>
        <v>2053846</v>
      </c>
      <c r="H161" s="172">
        <f t="shared" si="43"/>
        <v>0.33850858481924034</v>
      </c>
      <c r="I161" s="337"/>
      <c r="J161" s="168"/>
      <c r="K161" s="168"/>
      <c r="M161" s="364">
        <f>G161/G$228</f>
        <v>78.921226560098376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337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7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490">
        <f>'[31]Sch C'!D175</f>
        <v>0</v>
      </c>
      <c r="D164" s="490">
        <f>'[31]Sch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490">
        <f>'[31]Sch C'!D176</f>
        <v>0</v>
      </c>
      <c r="D165" s="490">
        <f>'[31]Sch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490">
        <f>'[31]Sch C'!D177</f>
        <v>0</v>
      </c>
      <c r="D166" s="490">
        <f>'[31]Sch C'!F177</f>
        <v>0</v>
      </c>
      <c r="E166" s="171">
        <f t="shared" si="45"/>
        <v>0</v>
      </c>
      <c r="F166" s="216"/>
      <c r="G166" s="171">
        <f t="shared" si="46"/>
        <v>0</v>
      </c>
      <c r="H166" s="172">
        <f t="shared" si="47"/>
        <v>0</v>
      </c>
      <c r="I166" s="343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490">
        <f>'[31]Sch C'!D178</f>
        <v>0</v>
      </c>
      <c r="D167" s="490">
        <f>'[31]Sch C'!F178</f>
        <v>0</v>
      </c>
      <c r="E167" s="171">
        <f t="shared" si="45"/>
        <v>0</v>
      </c>
      <c r="F167" s="216"/>
      <c r="G167" s="171">
        <f t="shared" si="46"/>
        <v>0</v>
      </c>
      <c r="H167" s="172">
        <f t="shared" si="47"/>
        <v>0</v>
      </c>
      <c r="I167" s="344"/>
      <c r="J167" s="222"/>
      <c r="K167" s="222"/>
      <c r="L167" s="218"/>
      <c r="M167" s="364">
        <f t="shared" si="48"/>
        <v>0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490">
        <f>'[31]Sch C'!D179</f>
        <v>0</v>
      </c>
      <c r="D168" s="490">
        <f>'[31]Sch C'!F179</f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343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490">
        <f>'[31]Sch C'!D180</f>
        <v>0</v>
      </c>
      <c r="D169" s="490">
        <f>'[31]Sch C'!F180</f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344"/>
      <c r="J169" s="222"/>
      <c r="K169" s="222"/>
      <c r="L169" s="218"/>
      <c r="M169" s="364">
        <f t="shared" si="48"/>
        <v>0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490">
        <f>'[31]Sch C'!D181</f>
        <v>0</v>
      </c>
      <c r="D170" s="490">
        <f>'[31]Sch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3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490">
        <f>'[31]Sch C'!D182</f>
        <v>0</v>
      </c>
      <c r="D171" s="490">
        <f>'[31]Sch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490">
        <f>'[31]Sch C'!D183</f>
        <v>0</v>
      </c>
      <c r="D172" s="490">
        <f>'[31]Sch C'!F183</f>
        <v>0</v>
      </c>
      <c r="E172" s="171">
        <f t="shared" si="45"/>
        <v>0</v>
      </c>
      <c r="F172" s="216"/>
      <c r="G172" s="171">
        <f t="shared" si="46"/>
        <v>0</v>
      </c>
      <c r="H172" s="172">
        <f t="shared" si="47"/>
        <v>0</v>
      </c>
      <c r="I172" s="343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490">
        <f>'[31]Sch C'!D184</f>
        <v>0</v>
      </c>
      <c r="D173" s="490">
        <f>'[31]Sch C'!F184</f>
        <v>0</v>
      </c>
      <c r="E173" s="171">
        <f t="shared" si="45"/>
        <v>0</v>
      </c>
      <c r="F173" s="216"/>
      <c r="G173" s="171">
        <f t="shared" si="46"/>
        <v>0</v>
      </c>
      <c r="H173" s="172">
        <f t="shared" si="47"/>
        <v>0</v>
      </c>
      <c r="I173" s="344"/>
      <c r="J173" s="222"/>
      <c r="K173" s="222"/>
      <c r="L173" s="218"/>
      <c r="M173" s="364">
        <f t="shared" si="48"/>
        <v>0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490">
        <f>'[31]Sch C'!D185</f>
        <v>0</v>
      </c>
      <c r="D174" s="490">
        <f>'[31]Sch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3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490">
        <f>'[31]Sch C'!D186</f>
        <v>0</v>
      </c>
      <c r="D175" s="490">
        <f>'[31]Sch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490">
        <f>'[31]Sch C'!D187</f>
        <v>0</v>
      </c>
      <c r="D176" s="490">
        <f>'[31]Sch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490">
        <f>'[31]Sch C'!D188</f>
        <v>2918</v>
      </c>
      <c r="D177" s="490">
        <f>'[31]Sch C'!F188</f>
        <v>0</v>
      </c>
      <c r="E177" s="171">
        <f t="shared" si="45"/>
        <v>2918</v>
      </c>
      <c r="F177" s="216"/>
      <c r="G177" s="171">
        <f t="shared" si="46"/>
        <v>2918</v>
      </c>
      <c r="H177" s="172">
        <f t="shared" si="47"/>
        <v>4.809357909514848E-4</v>
      </c>
      <c r="I177" s="337"/>
      <c r="J177" s="223"/>
      <c r="K177" s="218"/>
      <c r="L177" s="220"/>
      <c r="M177" s="364">
        <f t="shared" si="48"/>
        <v>0.11212726713802644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490">
        <f>'[31]Sch C'!D189</f>
        <v>5014</v>
      </c>
      <c r="D178" s="490">
        <f>'[31]Sch C'!F189</f>
        <v>0</v>
      </c>
      <c r="E178" s="171">
        <f t="shared" si="45"/>
        <v>5014</v>
      </c>
      <c r="F178" s="216"/>
      <c r="G178" s="171">
        <f t="shared" si="46"/>
        <v>5014</v>
      </c>
      <c r="H178" s="172">
        <f t="shared" si="47"/>
        <v>8.2639206848209219E-4</v>
      </c>
      <c r="I178" s="337"/>
      <c r="J178" s="223"/>
      <c r="K178" s="218"/>
      <c r="L178" s="220"/>
      <c r="M178" s="364">
        <f t="shared" si="48"/>
        <v>0.19266830617891179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490">
        <f>'[31]Sch C'!D190</f>
        <v>0</v>
      </c>
      <c r="D179" s="490">
        <f>'[31]Sch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490">
        <f>'[31]Sch C'!D191</f>
        <v>684</v>
      </c>
      <c r="D180" s="490">
        <f>'[31]Sch C'!F191</f>
        <v>0</v>
      </c>
      <c r="E180" s="171">
        <f t="shared" si="45"/>
        <v>684</v>
      </c>
      <c r="F180" s="216"/>
      <c r="G180" s="171">
        <f t="shared" si="46"/>
        <v>684</v>
      </c>
      <c r="H180" s="172">
        <f t="shared" si="47"/>
        <v>1.1273477759109513E-4</v>
      </c>
      <c r="I180" s="337"/>
      <c r="J180" s="223"/>
      <c r="K180" s="218"/>
      <c r="L180" s="220"/>
      <c r="M180" s="364">
        <f t="shared" si="48"/>
        <v>2.6283430679372888E-2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490">
        <f>'[31]Sch C'!D192</f>
        <v>0</v>
      </c>
      <c r="D181" s="490">
        <f>'[31]Sch C'!F192</f>
        <v>0</v>
      </c>
      <c r="E181" s="171">
        <f t="shared" si="45"/>
        <v>0</v>
      </c>
      <c r="F181" s="216"/>
      <c r="G181" s="171">
        <f t="shared" si="46"/>
        <v>0</v>
      </c>
      <c r="H181" s="172">
        <f t="shared" si="47"/>
        <v>0</v>
      </c>
      <c r="I181" s="337"/>
      <c r="J181" s="223"/>
      <c r="K181" s="218"/>
      <c r="L181" s="220"/>
      <c r="M181" s="364">
        <f t="shared" si="48"/>
        <v>0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490">
        <f>'[31]Sch C'!D193</f>
        <v>0</v>
      </c>
      <c r="D182" s="490">
        <f>'[31]Sch C'!F193</f>
        <v>0</v>
      </c>
      <c r="E182" s="171">
        <f t="shared" si="45"/>
        <v>0</v>
      </c>
      <c r="F182" s="216"/>
      <c r="G182" s="171">
        <f t="shared" si="46"/>
        <v>0</v>
      </c>
      <c r="H182" s="172">
        <f t="shared" si="47"/>
        <v>0</v>
      </c>
      <c r="I182" s="337"/>
      <c r="J182" s="223"/>
      <c r="K182" s="218"/>
      <c r="L182" s="220"/>
      <c r="M182" s="364">
        <f t="shared" si="48"/>
        <v>0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490">
        <f>'[31]Sch C'!D194</f>
        <v>434672</v>
      </c>
      <c r="D183" s="490">
        <f>'[31]Sch C'!F194</f>
        <v>-20823</v>
      </c>
      <c r="E183" s="171">
        <f t="shared" si="45"/>
        <v>413849</v>
      </c>
      <c r="F183" s="216"/>
      <c r="G183" s="171">
        <f t="shared" si="46"/>
        <v>413849</v>
      </c>
      <c r="H183" s="172">
        <f t="shared" si="47"/>
        <v>6.8209320133475346E-2</v>
      </c>
      <c r="I183" s="337"/>
      <c r="J183" s="223"/>
      <c r="K183" s="218"/>
      <c r="M183" s="364">
        <f t="shared" si="48"/>
        <v>15.902589916999693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490">
        <f>'[31]Sch C'!D195</f>
        <v>85925</v>
      </c>
      <c r="D184" s="490">
        <f>'[31]Sch C'!F195</f>
        <v>-4116</v>
      </c>
      <c r="E184" s="171">
        <f t="shared" si="45"/>
        <v>81809</v>
      </c>
      <c r="F184" s="216"/>
      <c r="G184" s="171">
        <f t="shared" si="46"/>
        <v>81809</v>
      </c>
      <c r="H184" s="172">
        <f t="shared" si="47"/>
        <v>1.3483507923903366E-2</v>
      </c>
      <c r="I184" s="337"/>
      <c r="J184" s="223"/>
      <c r="K184" s="218"/>
      <c r="M184" s="364">
        <f t="shared" si="48"/>
        <v>3.1435982170304335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490">
        <f>'[31]Sch C'!D196</f>
        <v>0</v>
      </c>
      <c r="D185" s="490">
        <f>'[31]Sch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490">
        <f>'[31]Sch C'!D197</f>
        <v>274176</v>
      </c>
      <c r="D186" s="490">
        <f>'[31]Sch C'!F197</f>
        <v>-13134</v>
      </c>
      <c r="E186" s="171">
        <f t="shared" si="45"/>
        <v>261042</v>
      </c>
      <c r="F186" s="216"/>
      <c r="G186" s="171">
        <f t="shared" si="46"/>
        <v>261042</v>
      </c>
      <c r="H186" s="172">
        <f t="shared" si="47"/>
        <v>4.3024140075927864E-2</v>
      </c>
      <c r="I186" s="337"/>
      <c r="J186" s="223"/>
      <c r="K186" s="218"/>
      <c r="M186" s="364">
        <f t="shared" si="48"/>
        <v>10.030817706732247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490">
        <f>'[31]Sch C'!D198</f>
        <v>47832</v>
      </c>
      <c r="D187" s="490">
        <f>'[31]Sch C'!F198</f>
        <v>0</v>
      </c>
      <c r="E187" s="171">
        <f t="shared" si="45"/>
        <v>47832</v>
      </c>
      <c r="F187" s="216"/>
      <c r="G187" s="171">
        <f t="shared" si="46"/>
        <v>47832</v>
      </c>
      <c r="H187" s="172">
        <f t="shared" si="47"/>
        <v>7.8835232189141263E-3</v>
      </c>
      <c r="I187" s="337"/>
      <c r="J187" s="223"/>
      <c r="K187" s="218"/>
      <c r="M187" s="364">
        <f t="shared" si="48"/>
        <v>1.8379956962803565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490">
        <f>'[31]Sch C'!D199</f>
        <v>0</v>
      </c>
      <c r="D188" s="490">
        <f>'[31]Sch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7"/>
      <c r="J188" s="223"/>
      <c r="K188" s="218"/>
      <c r="M188" s="364">
        <f t="shared" si="48"/>
        <v>0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490">
        <f>'[31]Sch C'!D200</f>
        <v>0</v>
      </c>
      <c r="D189" s="490">
        <f>'[31]Sch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7"/>
      <c r="J189" s="223"/>
      <c r="K189" s="218"/>
      <c r="M189" s="364">
        <f t="shared" si="48"/>
        <v>0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490">
        <f>'[31]Sch C'!D201</f>
        <v>972</v>
      </c>
      <c r="D190" s="490">
        <f>'[31]Sch C'!F201</f>
        <v>0</v>
      </c>
      <c r="E190" s="171">
        <f t="shared" si="45"/>
        <v>972</v>
      </c>
      <c r="F190" s="216"/>
      <c r="G190" s="171">
        <f t="shared" si="46"/>
        <v>972</v>
      </c>
      <c r="H190" s="172">
        <f t="shared" si="47"/>
        <v>1.602020523662931E-4</v>
      </c>
      <c r="I190" s="337"/>
      <c r="J190" s="223"/>
      <c r="K190" s="218"/>
      <c r="M190" s="364">
        <f t="shared" si="48"/>
        <v>3.7350138333845678E-2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490">
        <f>'[31]Sch C'!D202</f>
        <v>0</v>
      </c>
      <c r="D191" s="490">
        <f>'[31]Sch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490">
        <f>'[31]Sch C'!D203</f>
        <v>8196</v>
      </c>
      <c r="D192" s="490">
        <f>'[31]Sch C'!F203</f>
        <v>0</v>
      </c>
      <c r="E192" s="171">
        <f t="shared" si="45"/>
        <v>8196</v>
      </c>
      <c r="F192" s="216"/>
      <c r="G192" s="171">
        <f t="shared" si="46"/>
        <v>8196</v>
      </c>
      <c r="H192" s="172">
        <f t="shared" si="47"/>
        <v>1.3508395279775084E-3</v>
      </c>
      <c r="I192" s="337"/>
      <c r="J192" s="223"/>
      <c r="K192" s="218"/>
      <c r="M192" s="364">
        <f t="shared" si="48"/>
        <v>0.31494005533353825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490">
        <f>'[31]Sch C'!D204</f>
        <v>0</v>
      </c>
      <c r="D193" s="490">
        <f>'[31]Sch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490">
        <f>'[31]Sch C'!D205</f>
        <v>344195</v>
      </c>
      <c r="D194" s="490">
        <f>'[31]Sch C'!F205</f>
        <v>0</v>
      </c>
      <c r="E194" s="171">
        <f t="shared" si="45"/>
        <v>344195</v>
      </c>
      <c r="F194" s="216"/>
      <c r="G194" s="171">
        <f t="shared" si="46"/>
        <v>344195</v>
      </c>
      <c r="H194" s="172">
        <f t="shared" si="47"/>
        <v>5.672916194878215E-2</v>
      </c>
      <c r="I194" s="337"/>
      <c r="J194" s="223"/>
      <c r="K194" s="218"/>
      <c r="M194" s="364">
        <f t="shared" si="48"/>
        <v>13.226060559483553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490">
        <f>'[31]Sch C'!D206</f>
        <v>3681</v>
      </c>
      <c r="D195" s="490">
        <f>'[31]Sch C'!F206</f>
        <v>0</v>
      </c>
      <c r="E195" s="171">
        <f t="shared" si="45"/>
        <v>3681</v>
      </c>
      <c r="F195" s="216"/>
      <c r="G195" s="171">
        <f t="shared" si="46"/>
        <v>3681</v>
      </c>
      <c r="H195" s="172">
        <f t="shared" si="47"/>
        <v>6.0669110572049889E-4</v>
      </c>
      <c r="I195" s="337"/>
      <c r="J195" s="223"/>
      <c r="K195" s="218"/>
      <c r="M195" s="364">
        <f t="shared" si="48"/>
        <v>0.14144635720873039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490">
        <f>'[31]Sch C'!D207</f>
        <v>12216</v>
      </c>
      <c r="D196" s="490">
        <f>'[31]Sch C'!F207</f>
        <v>0</v>
      </c>
      <c r="E196" s="171">
        <f t="shared" si="45"/>
        <v>12216</v>
      </c>
      <c r="F196" s="216"/>
      <c r="G196" s="171">
        <f t="shared" si="46"/>
        <v>12216</v>
      </c>
      <c r="H196" s="172">
        <f t="shared" si="47"/>
        <v>2.0134035717146465E-3</v>
      </c>
      <c r="I196" s="337"/>
      <c r="J196" s="223"/>
      <c r="K196" s="218"/>
      <c r="M196" s="364">
        <f t="shared" si="48"/>
        <v>0.46941284967722102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490">
        <f>SUM(C164:C196)</f>
        <v>1220481</v>
      </c>
      <c r="D197" s="490">
        <f>SUM(D164:D196)</f>
        <v>-38073</v>
      </c>
      <c r="E197" s="171">
        <f t="shared" ref="E197:F197" si="49">SUM(E164:E196)</f>
        <v>1182408</v>
      </c>
      <c r="F197" s="171">
        <f t="shared" si="49"/>
        <v>0</v>
      </c>
      <c r="G197" s="171">
        <f>SUM(G164:G196)</f>
        <v>1182408</v>
      </c>
      <c r="H197" s="172">
        <f>IF($G$208=0,0,G197/$G$208)</f>
        <v>0.19488085219580648</v>
      </c>
      <c r="I197" s="337"/>
      <c r="J197" s="168"/>
      <c r="K197" s="168"/>
      <c r="M197" s="364">
        <f>G197/G$228</f>
        <v>45.435290501075933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165"/>
      <c r="G198" s="165"/>
      <c r="H198" s="198"/>
      <c r="I198" s="341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1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490">
        <f>'[31]Sch C'!D211</f>
        <v>126483</v>
      </c>
      <c r="D200" s="490">
        <f>'[31]Sch C'!F211</f>
        <v>0</v>
      </c>
      <c r="E200" s="171">
        <f t="shared" ref="E200:E205" si="50">C200+D200</f>
        <v>126483</v>
      </c>
      <c r="F200" s="171"/>
      <c r="G200" s="171">
        <f t="shared" ref="G200:G205" si="51">E200+F200</f>
        <v>126483</v>
      </c>
      <c r="H200" s="172">
        <f t="shared" ref="H200:H206" si="52">IF($G$208=0,0,G200/$G$208)</f>
        <v>2.0846539289553344E-2</v>
      </c>
      <c r="I200" s="337"/>
      <c r="J200" s="183">
        <v>7647</v>
      </c>
      <c r="K200" s="183">
        <v>8291</v>
      </c>
      <c r="M200" s="364">
        <f t="shared" ref="M200:M205" si="53">G200/G$228</f>
        <v>4.8602443897940359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490">
        <f>'[31]Sch C'!D212</f>
        <v>21483</v>
      </c>
      <c r="D201" s="490">
        <f>'[31]Sch C'!F212</f>
        <v>0</v>
      </c>
      <c r="E201" s="171">
        <f t="shared" si="50"/>
        <v>21483</v>
      </c>
      <c r="F201" s="171"/>
      <c r="G201" s="171">
        <f t="shared" si="51"/>
        <v>21483</v>
      </c>
      <c r="H201" s="172">
        <f t="shared" si="52"/>
        <v>3.5407620277624224E-3</v>
      </c>
      <c r="I201" s="337"/>
      <c r="J201" s="168"/>
      <c r="K201" s="168"/>
      <c r="M201" s="364">
        <f t="shared" si="53"/>
        <v>0.82550722410082999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490">
        <f>'[31]Sch C'!D213</f>
        <v>1500</v>
      </c>
      <c r="D202" s="490">
        <f>'[31]Sch C'!F213</f>
        <v>0</v>
      </c>
      <c r="E202" s="171">
        <f t="shared" si="50"/>
        <v>1500</v>
      </c>
      <c r="F202" s="171"/>
      <c r="G202" s="171">
        <f t="shared" si="51"/>
        <v>1500</v>
      </c>
      <c r="H202" s="172">
        <f t="shared" si="52"/>
        <v>2.47225389454156E-4</v>
      </c>
      <c r="I202" s="337"/>
      <c r="J202" s="168"/>
      <c r="K202" s="168"/>
      <c r="M202" s="364">
        <f t="shared" si="53"/>
        <v>5.7639102367045801E-2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490">
        <f>'[31]Sch C'!D214</f>
        <v>0</v>
      </c>
      <c r="D203" s="490">
        <f>'[31]Sch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>
        <f t="shared" si="53"/>
        <v>0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490">
        <f>'[31]Sch C'!D215</f>
        <v>0</v>
      </c>
      <c r="D204" s="490">
        <f>'[31]Sch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490">
        <f>'[31]Sch C'!D216</f>
        <v>14128</v>
      </c>
      <c r="D205" s="490">
        <f>'[31]Sch C'!F216</f>
        <v>0</v>
      </c>
      <c r="E205" s="171">
        <f t="shared" si="50"/>
        <v>14128</v>
      </c>
      <c r="F205" s="171"/>
      <c r="G205" s="171">
        <f t="shared" si="51"/>
        <v>14128</v>
      </c>
      <c r="H205" s="172">
        <f t="shared" si="52"/>
        <v>2.3285335348055439E-3</v>
      </c>
      <c r="I205" s="337"/>
      <c r="J205" s="168"/>
      <c r="K205" s="168"/>
      <c r="M205" s="364">
        <f t="shared" si="53"/>
        <v>0.54288349216108212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490">
        <f>SUM(C200:C205)</f>
        <v>163594</v>
      </c>
      <c r="D206" s="490">
        <f>SUM(D200:D205)</f>
        <v>0</v>
      </c>
      <c r="E206" s="171">
        <f t="shared" ref="E206:F206" si="54">SUM(E200:E205)</f>
        <v>163594</v>
      </c>
      <c r="F206" s="171">
        <f t="shared" si="54"/>
        <v>0</v>
      </c>
      <c r="G206" s="171">
        <f>SUM(G200:G205)</f>
        <v>163594</v>
      </c>
      <c r="H206" s="172">
        <f t="shared" si="52"/>
        <v>2.6963060241575465E-2</v>
      </c>
      <c r="I206" s="337"/>
      <c r="J206" s="168"/>
      <c r="K206" s="168"/>
      <c r="M206" s="364">
        <f>G206/G$228</f>
        <v>6.2862742084229941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490">
        <f>SUM(C25:C206)/2</f>
        <v>7052002</v>
      </c>
      <c r="D208" s="490">
        <f>SUM(D25:D206)/2</f>
        <v>-984664</v>
      </c>
      <c r="E208" s="171">
        <f t="shared" ref="E208:F208" si="55">SUM(E25:E206)/2</f>
        <v>6067338</v>
      </c>
      <c r="F208" s="171">
        <f t="shared" si="55"/>
        <v>0</v>
      </c>
      <c r="G208" s="171">
        <f>SUM(G25:G206)/2</f>
        <v>6067338</v>
      </c>
      <c r="H208" s="172">
        <f>IF($G$208=0,0,G208/$G$208)</f>
        <v>1</v>
      </c>
      <c r="I208" s="337"/>
      <c r="J208" s="183">
        <f>SUM(J25:J200)</f>
        <v>154194</v>
      </c>
      <c r="K208" s="183">
        <f>SUM(K25:K200)</f>
        <v>163620</v>
      </c>
      <c r="M208" s="364">
        <f>G208/G$228</f>
        <v>233.14394405164464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490">
        <f>'[31]Sch C'!D221</f>
        <v>7052002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490">
        <f>C208-C211</f>
        <v>0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585"/>
      <c r="D213" s="232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490">
        <f>C21-C208</f>
        <v>-46309</v>
      </c>
      <c r="D215" s="490">
        <f>D21-D208</f>
        <v>977793</v>
      </c>
      <c r="E215" s="171">
        <f t="shared" ref="E215:F215" si="56">E21-E208</f>
        <v>931484</v>
      </c>
      <c r="F215" s="171">
        <f t="shared" si="56"/>
        <v>0</v>
      </c>
      <c r="G215" s="171">
        <f>G21-G208</f>
        <v>931484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491">
        <f>'[31]Sch D'!C9</f>
        <v>11529</v>
      </c>
      <c r="D219" s="491"/>
      <c r="E219" s="235">
        <f t="shared" ref="E219:G227" si="57">C219+D219</f>
        <v>11529</v>
      </c>
      <c r="F219" s="234"/>
      <c r="G219" s="235">
        <f t="shared" si="57"/>
        <v>11529</v>
      </c>
      <c r="H219" s="172">
        <f t="shared" ref="H219:H228" si="58">IF($G$228=0,0,G219/$G$228)</f>
        <v>0.44301414079311408</v>
      </c>
      <c r="I219" s="337"/>
      <c r="J219" s="168"/>
      <c r="K219" s="168"/>
    </row>
    <row r="220" spans="1:14">
      <c r="A220" s="163"/>
      <c r="B220" s="170" t="s">
        <v>217</v>
      </c>
      <c r="C220" s="491">
        <f>'[31]Sch D'!D9</f>
        <v>1084</v>
      </c>
      <c r="D220" s="491"/>
      <c r="E220" s="235">
        <f t="shared" ref="E220:E227" si="59">C220+D220</f>
        <v>1084</v>
      </c>
      <c r="F220" s="234"/>
      <c r="G220" s="235">
        <f t="shared" si="57"/>
        <v>1084</v>
      </c>
      <c r="H220" s="172">
        <f t="shared" si="58"/>
        <v>4.1653857977251768E-2</v>
      </c>
      <c r="I220" s="337"/>
      <c r="J220" s="168"/>
      <c r="K220" s="168"/>
    </row>
    <row r="221" spans="1:14">
      <c r="A221" s="163"/>
      <c r="B221" s="170" t="s">
        <v>72</v>
      </c>
      <c r="C221" s="491">
        <f>'[31]Sch D'!E9</f>
        <v>5936</v>
      </c>
      <c r="D221" s="491"/>
      <c r="E221" s="235">
        <f t="shared" si="59"/>
        <v>5936</v>
      </c>
      <c r="F221" s="234"/>
      <c r="G221" s="235">
        <f t="shared" si="57"/>
        <v>5936</v>
      </c>
      <c r="H221" s="172">
        <f t="shared" si="58"/>
        <v>0.22809714110052259</v>
      </c>
      <c r="I221" s="337"/>
      <c r="J221" s="168"/>
      <c r="K221" s="168"/>
    </row>
    <row r="222" spans="1:14">
      <c r="A222" s="163"/>
      <c r="B222" s="202" t="s">
        <v>334</v>
      </c>
      <c r="C222" s="491">
        <f>'[31]Sch D'!F9</f>
        <v>1388</v>
      </c>
      <c r="D222" s="491"/>
      <c r="E222" s="235">
        <f>C222+D222</f>
        <v>1388</v>
      </c>
      <c r="F222" s="234"/>
      <c r="G222" s="235">
        <f>E222+F222</f>
        <v>1388</v>
      </c>
      <c r="H222" s="172">
        <f t="shared" si="58"/>
        <v>5.3335382723639718E-2</v>
      </c>
      <c r="I222" s="337"/>
      <c r="J222" s="168"/>
      <c r="K222" s="168"/>
    </row>
    <row r="223" spans="1:14">
      <c r="A223" s="163"/>
      <c r="B223" s="170" t="s">
        <v>73</v>
      </c>
      <c r="C223" s="491">
        <f>'[31]Sch D'!G9</f>
        <v>1284</v>
      </c>
      <c r="D223" s="491"/>
      <c r="E223" s="235">
        <f t="shared" si="59"/>
        <v>1284</v>
      </c>
      <c r="F223" s="234"/>
      <c r="G223" s="235">
        <f t="shared" si="57"/>
        <v>1284</v>
      </c>
      <c r="H223" s="172">
        <f t="shared" si="58"/>
        <v>4.9339071626191208E-2</v>
      </c>
      <c r="I223" s="337"/>
      <c r="J223" s="168"/>
      <c r="K223" s="168"/>
    </row>
    <row r="224" spans="1:14">
      <c r="A224" s="163"/>
      <c r="B224" s="170" t="s">
        <v>74</v>
      </c>
      <c r="C224" s="491">
        <f>'[31]Sch D'!H9</f>
        <v>2983</v>
      </c>
      <c r="D224" s="491"/>
      <c r="E224" s="235">
        <f t="shared" si="59"/>
        <v>2983</v>
      </c>
      <c r="F224" s="234"/>
      <c r="G224" s="235">
        <f t="shared" si="57"/>
        <v>2983</v>
      </c>
      <c r="H224" s="172">
        <f t="shared" si="58"/>
        <v>0.11462496157393176</v>
      </c>
      <c r="I224" s="337"/>
      <c r="J224" s="168"/>
      <c r="K224" s="168"/>
    </row>
    <row r="225" spans="1:11">
      <c r="A225" s="163"/>
      <c r="B225" s="170" t="s">
        <v>236</v>
      </c>
      <c r="C225" s="491">
        <f>'[31]Sch D'!I9</f>
        <v>674</v>
      </c>
      <c r="D225" s="491"/>
      <c r="E225" s="235">
        <f t="shared" si="59"/>
        <v>674</v>
      </c>
      <c r="F225" s="234"/>
      <c r="G225" s="235">
        <f t="shared" si="57"/>
        <v>674</v>
      </c>
      <c r="H225" s="172">
        <f t="shared" si="58"/>
        <v>2.5899169996925913E-2</v>
      </c>
      <c r="I225" s="337"/>
      <c r="J225" s="168"/>
      <c r="K225" s="168"/>
    </row>
    <row r="226" spans="1:11">
      <c r="A226" s="163"/>
      <c r="B226" s="170" t="s">
        <v>235</v>
      </c>
      <c r="C226" s="491">
        <f>'[31]Sch D'!J9</f>
        <v>607</v>
      </c>
      <c r="D226" s="491"/>
      <c r="E226" s="235">
        <f>C226+D226</f>
        <v>607</v>
      </c>
      <c r="F226" s="234"/>
      <c r="G226" s="235">
        <f>E226+F226</f>
        <v>607</v>
      </c>
      <c r="H226" s="172">
        <f t="shared" si="58"/>
        <v>2.3324623424531201E-2</v>
      </c>
      <c r="I226" s="337"/>
      <c r="J226" s="168"/>
      <c r="K226" s="168"/>
    </row>
    <row r="227" spans="1:11">
      <c r="A227" s="163"/>
      <c r="B227" s="170" t="s">
        <v>179</v>
      </c>
      <c r="C227" s="491">
        <f>'[31]Sch D'!K9</f>
        <v>539</v>
      </c>
      <c r="D227" s="491"/>
      <c r="E227" s="235">
        <f t="shared" si="59"/>
        <v>539</v>
      </c>
      <c r="F227" s="234"/>
      <c r="G227" s="235">
        <f t="shared" si="57"/>
        <v>539</v>
      </c>
      <c r="H227" s="172">
        <f t="shared" si="58"/>
        <v>2.0711650783891793E-2</v>
      </c>
      <c r="I227" s="337"/>
      <c r="J227" s="168"/>
      <c r="K227" s="168"/>
    </row>
    <row r="228" spans="1:11" ht="13.5" thickBot="1">
      <c r="A228" s="163"/>
      <c r="B228" s="236" t="s">
        <v>75</v>
      </c>
      <c r="C228" s="491">
        <f>SUM(C219:C227)</f>
        <v>26024</v>
      </c>
      <c r="D228" s="491">
        <f>SUM(D219:D227)</f>
        <v>0</v>
      </c>
      <c r="E228" s="237">
        <f>SUM(E219:E227)</f>
        <v>26024</v>
      </c>
      <c r="F228" s="237">
        <f>SUM(F219:F227)</f>
        <v>0</v>
      </c>
      <c r="G228" s="237">
        <f>SUM(G219:G227)</f>
        <v>26024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586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585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492">
        <f>'[31]Sch D'!N22</f>
        <v>120</v>
      </c>
      <c r="D231" s="526"/>
      <c r="E231" s="235">
        <f>C231+D231</f>
        <v>120</v>
      </c>
      <c r="F231" s="235"/>
      <c r="G231" s="235">
        <f>E231+F231</f>
        <v>120</v>
      </c>
      <c r="H231" s="167"/>
      <c r="J231" s="168"/>
      <c r="K231" s="168"/>
    </row>
    <row r="232" spans="1:11">
      <c r="A232" s="163"/>
      <c r="B232" s="202" t="s">
        <v>290</v>
      </c>
      <c r="C232" s="492">
        <f>'[31]Sch D'!N24</f>
        <v>120</v>
      </c>
      <c r="D232" s="526"/>
      <c r="E232" s="235">
        <f>C232+D232</f>
        <v>120</v>
      </c>
      <c r="F232" s="235"/>
      <c r="G232" s="235">
        <f>E232+F232</f>
        <v>120</v>
      </c>
      <c r="H232" s="167"/>
      <c r="J232" s="168"/>
      <c r="K232" s="168"/>
    </row>
    <row r="233" spans="1:11">
      <c r="A233" s="163"/>
      <c r="B233" s="202" t="s">
        <v>76</v>
      </c>
      <c r="C233" s="492">
        <f>$C$4-$C$3+1</f>
        <v>365</v>
      </c>
      <c r="D233" s="489"/>
      <c r="E233" s="235">
        <f>C233+D233</f>
        <v>365</v>
      </c>
      <c r="F233" s="240"/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587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492">
        <f>'[31]Sch D'!N28</f>
        <v>43800</v>
      </c>
      <c r="D235" s="489"/>
      <c r="E235" s="234">
        <f>E231*E233</f>
        <v>43800</v>
      </c>
      <c r="F235" s="240"/>
      <c r="G235" s="234">
        <f>G231*G233</f>
        <v>43800</v>
      </c>
      <c r="H235" s="167"/>
      <c r="J235" s="168"/>
      <c r="K235" s="168"/>
    </row>
    <row r="236" spans="1:11" ht="26">
      <c r="A236" s="163"/>
      <c r="B236" s="244" t="s">
        <v>336</v>
      </c>
      <c r="C236" s="493">
        <f>'[31]Sch D'!N30</f>
        <v>0.59415525114155254</v>
      </c>
      <c r="D236" s="240"/>
      <c r="E236" s="245">
        <f>E228/E235</f>
        <v>0.59415525114155254</v>
      </c>
      <c r="F236" s="246"/>
      <c r="G236" s="245">
        <f>G228/G235</f>
        <v>0.59415525114155254</v>
      </c>
      <c r="H236" s="167"/>
      <c r="J236" s="168"/>
      <c r="K236" s="168"/>
    </row>
    <row r="237" spans="1:11" ht="26">
      <c r="A237" s="163"/>
      <c r="B237" s="244" t="s">
        <v>337</v>
      </c>
      <c r="C237" s="493">
        <f>'[31]Sch D'!N32</f>
        <v>0.28796803652968034</v>
      </c>
      <c r="D237" s="240"/>
      <c r="E237" s="245">
        <f>(E219+E220)/E235</f>
        <v>0.28796803652968034</v>
      </c>
      <c r="F237" s="246"/>
      <c r="G237" s="245">
        <f>(G219+G220)/G235</f>
        <v>0.28796803652968034</v>
      </c>
      <c r="H237" s="167"/>
      <c r="J237" s="168"/>
      <c r="K237" s="168"/>
    </row>
    <row r="238" spans="1:11" ht="26">
      <c r="A238" s="163"/>
      <c r="B238" s="244" t="s">
        <v>338</v>
      </c>
      <c r="C238" s="493">
        <f>'[31]Sch D'!N34</f>
        <v>0.48466799877036576</v>
      </c>
      <c r="D238" s="240"/>
      <c r="E238" s="245">
        <f>(E237/E236)</f>
        <v>0.48466799877036576</v>
      </c>
      <c r="F238" s="246"/>
      <c r="G238" s="245">
        <f>(G237/G236)</f>
        <v>0.48466799877036576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490">
        <f>'[31]Sch B'!C85</f>
        <v>207.47067238912732</v>
      </c>
    </row>
    <row r="242" spans="2:7">
      <c r="F242" s="142" t="s">
        <v>341</v>
      </c>
      <c r="G242" s="490">
        <f>'[31]Sch B'!E85</f>
        <v>207.47078651685393</v>
      </c>
    </row>
    <row r="243" spans="2:7">
      <c r="F243" s="142" t="s">
        <v>342</v>
      </c>
      <c r="G243" s="490">
        <f>'[31]Sch B'!G85</f>
        <v>207.47149460708783</v>
      </c>
    </row>
    <row r="244" spans="2:7">
      <c r="F244" s="142" t="s">
        <v>343</v>
      </c>
      <c r="G244" s="490">
        <f>'[31]Sch B'!I85</f>
        <v>207.47248322147652</v>
      </c>
    </row>
    <row r="245" spans="2:7">
      <c r="F245" s="142"/>
    </row>
  </sheetData>
  <customSheetViews>
    <customSheetView guid="{8B6AA640-12E9-11D5-ABB1-E7A21A3D4A14}" showGridLines="0" showRuler="0">
      <pageMargins left="0.75" right="0.75" top="1" bottom="1" header="0.5" footer="0.5"/>
      <headerFooter alignWithMargins="0"/>
    </customSheetView>
    <customSheetView guid="{00D6F160-3E2B-11D5-8BE5-C1A1C12816BD}" showPageBreaks="1" showGridLines="0" showRuler="0">
      <selection activeCell="T16" sqref="T16"/>
      <pageMargins left="0" right="0" top="0" bottom="1" header="0.5" footer="0.5"/>
      <printOptions horizontalCentered="1"/>
      <pageSetup scale="70" orientation="portrait" horizontalDpi="300" verticalDpi="300" r:id="rId1"/>
      <headerFooter alignWithMargins="0"/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2"/>
  <headerFooter alignWithMargins="0">
    <oddFooter>&amp;R&amp;D
&amp;T
&amp;F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40">
    <tabColor rgb="FFE28CAB"/>
  </sheetPr>
  <dimension ref="A1:Q245"/>
  <sheetViews>
    <sheetView showGridLines="0" zoomScale="89" zoomScaleNormal="89" workbookViewId="0">
      <pane xSplit="2" topLeftCell="C1" activePane="topRight" state="frozen"/>
      <selection activeCell="N1" sqref="N1"/>
      <selection pane="topRight"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9" style="140" bestFit="1" customWidth="1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478"/>
      <c r="E1" s="478"/>
      <c r="F1" s="478"/>
      <c r="G1" s="478"/>
      <c r="H1" s="478"/>
      <c r="I1" s="479"/>
    </row>
    <row r="2" spans="1:14" ht="23">
      <c r="B2" s="143" t="s">
        <v>189</v>
      </c>
      <c r="C2" s="247" t="s">
        <v>384</v>
      </c>
      <c r="D2" s="247"/>
      <c r="E2" s="144"/>
    </row>
    <row r="3" spans="1:14">
      <c r="A3" s="145"/>
      <c r="B3" s="140" t="s">
        <v>79</v>
      </c>
      <c r="C3" s="495">
        <v>41821</v>
      </c>
      <c r="D3" s="144"/>
      <c r="E3" s="147"/>
    </row>
    <row r="4" spans="1:14">
      <c r="A4" s="145"/>
      <c r="B4" s="148" t="s">
        <v>80</v>
      </c>
      <c r="C4" s="495">
        <v>42185</v>
      </c>
      <c r="D4" s="144"/>
      <c r="E4" s="149"/>
      <c r="G4" s="150"/>
    </row>
    <row r="5" spans="1:14">
      <c r="A5" s="145"/>
      <c r="B5" s="148"/>
      <c r="C5" s="151"/>
      <c r="D5" s="144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144"/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490">
        <f>'[32]Sch B'!E10</f>
        <v>1731203</v>
      </c>
      <c r="D11" s="490">
        <f>'[32]Sch B'!G10</f>
        <v>0</v>
      </c>
      <c r="E11" s="171">
        <f>C11+D11</f>
        <v>1731203</v>
      </c>
      <c r="F11" s="171"/>
      <c r="G11" s="171">
        <f t="shared" ref="G11:G20" si="0">E11+F11</f>
        <v>1731203</v>
      </c>
      <c r="H11" s="172">
        <f t="shared" ref="H11:H21" si="1">IF($G$21=0,0,G11/$G$21)</f>
        <v>0.2331937029188495</v>
      </c>
      <c r="I11" s="337"/>
      <c r="J11" s="368" t="s">
        <v>344</v>
      </c>
      <c r="K11" s="369">
        <f>G21</f>
        <v>7423884</v>
      </c>
      <c r="M11" s="359">
        <f>IFERROR(G11/G219,0)</f>
        <v>166.65412013862149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490">
        <f>'[32]Sch B'!E15</f>
        <v>0</v>
      </c>
      <c r="D12" s="490">
        <f>'[32]Sch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7"/>
      <c r="J12" s="370" t="s">
        <v>345</v>
      </c>
      <c r="K12" s="371">
        <f>G208</f>
        <v>7343447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490">
        <f>'[32]Sch B'!E21</f>
        <v>3021974</v>
      </c>
      <c r="D13" s="490">
        <f>'[32]Sch B'!G21</f>
        <v>0</v>
      </c>
      <c r="E13" s="171">
        <f t="shared" si="2"/>
        <v>3021974</v>
      </c>
      <c r="F13" s="171"/>
      <c r="G13" s="171">
        <f t="shared" si="0"/>
        <v>3021974</v>
      </c>
      <c r="H13" s="172">
        <f t="shared" si="1"/>
        <v>0.40706104782887231</v>
      </c>
      <c r="I13" s="337"/>
      <c r="J13" s="370" t="s">
        <v>346</v>
      </c>
      <c r="K13" s="371">
        <f>G228</f>
        <v>26236</v>
      </c>
      <c r="M13" s="359">
        <f t="shared" si="3"/>
        <v>518.17112482853224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490">
        <f>'[32]Sch B'!E27</f>
        <v>0</v>
      </c>
      <c r="D14" s="490">
        <f>'[32]Sch B'!G27</f>
        <v>857190</v>
      </c>
      <c r="E14" s="171">
        <f t="shared" si="2"/>
        <v>857190</v>
      </c>
      <c r="F14" s="175"/>
      <c r="G14" s="175">
        <f>E14+F14</f>
        <v>857190</v>
      </c>
      <c r="H14" s="176">
        <f t="shared" si="1"/>
        <v>0.11546381920838203</v>
      </c>
      <c r="I14" s="338"/>
      <c r="J14" s="370" t="s">
        <v>347</v>
      </c>
      <c r="K14" s="371">
        <f>G231</f>
        <v>120</v>
      </c>
      <c r="M14" s="359">
        <f t="shared" si="3"/>
        <v>385.60053981106614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490">
        <f>'[32]Sch B'!E32</f>
        <v>0</v>
      </c>
      <c r="D15" s="490">
        <f>'[32]Sch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7"/>
      <c r="J15" s="370" t="s">
        <v>348</v>
      </c>
      <c r="K15" s="371">
        <f>G235</f>
        <v>43800</v>
      </c>
      <c r="M15" s="359">
        <f t="shared" si="3"/>
        <v>0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490">
        <f>'[32]Sch B'!E37</f>
        <v>1130977</v>
      </c>
      <c r="D16" s="490">
        <f>'[32]Sch B'!G37</f>
        <v>0</v>
      </c>
      <c r="E16" s="171">
        <f t="shared" si="2"/>
        <v>1130977</v>
      </c>
      <c r="F16" s="171"/>
      <c r="G16" s="171">
        <f t="shared" si="0"/>
        <v>1130977</v>
      </c>
      <c r="H16" s="172">
        <f t="shared" si="1"/>
        <v>0.15234303229953486</v>
      </c>
      <c r="I16" s="337"/>
      <c r="J16" s="372"/>
      <c r="K16" s="371"/>
      <c r="M16" s="359">
        <f t="shared" si="3"/>
        <v>209.28515914137677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490">
        <f>'[32]Sch B'!E42</f>
        <v>72074</v>
      </c>
      <c r="D17" s="490">
        <f>'[32]Sch B'!G42</f>
        <v>165689</v>
      </c>
      <c r="E17" s="171">
        <f t="shared" si="2"/>
        <v>237763</v>
      </c>
      <c r="F17" s="171"/>
      <c r="G17" s="171">
        <f>E17+F17</f>
        <v>237763</v>
      </c>
      <c r="H17" s="172">
        <f t="shared" si="1"/>
        <v>3.202676658202095E-2</v>
      </c>
      <c r="I17" s="337"/>
      <c r="J17" s="370" t="s">
        <v>156</v>
      </c>
      <c r="K17" s="371">
        <f>J208</f>
        <v>182317.07214285716</v>
      </c>
      <c r="M17" s="359">
        <f t="shared" si="3"/>
        <v>171.67003610108304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490">
        <f>'[32]Sch B'!E47</f>
        <v>0</v>
      </c>
      <c r="D18" s="490">
        <f>'[32]Sch B'!G47</f>
        <v>1201</v>
      </c>
      <c r="E18" s="171">
        <f t="shared" si="2"/>
        <v>1201</v>
      </c>
      <c r="F18" s="171"/>
      <c r="G18" s="171">
        <f>E18+F18</f>
        <v>1201</v>
      </c>
      <c r="H18" s="172">
        <f t="shared" si="1"/>
        <v>1.617751570471737E-4</v>
      </c>
      <c r="I18" s="337"/>
      <c r="J18" s="373" t="s">
        <v>252</v>
      </c>
      <c r="K18" s="374">
        <f>K208</f>
        <v>197288.23714285716</v>
      </c>
      <c r="M18" s="359">
        <f t="shared" si="3"/>
        <v>171.57142857142858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490">
        <f>'[32]Sch B'!E52</f>
        <v>1408525</v>
      </c>
      <c r="D19" s="490">
        <f>'[32]Sch B'!G52</f>
        <v>-1024081</v>
      </c>
      <c r="E19" s="171">
        <f t="shared" si="2"/>
        <v>384444</v>
      </c>
      <c r="F19" s="171"/>
      <c r="G19" s="171">
        <f t="shared" si="0"/>
        <v>384444</v>
      </c>
      <c r="H19" s="172">
        <f t="shared" si="1"/>
        <v>5.1784753102284461E-2</v>
      </c>
      <c r="I19" s="337"/>
      <c r="J19" s="168"/>
      <c r="K19" s="168"/>
      <c r="M19" s="359">
        <f t="shared" si="3"/>
        <v>385.60080240722169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490">
        <f>'[32]Sch B'!E67</f>
        <v>-181478</v>
      </c>
      <c r="D20" s="490">
        <f>'[32]Sch B'!G67</f>
        <v>240610</v>
      </c>
      <c r="E20" s="171">
        <f t="shared" si="2"/>
        <v>59132</v>
      </c>
      <c r="F20" s="171"/>
      <c r="G20" s="171">
        <f t="shared" si="0"/>
        <v>59132</v>
      </c>
      <c r="H20" s="172">
        <f t="shared" si="1"/>
        <v>7.9651029030087216E-3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490">
        <f>SUM(C11:C20)</f>
        <v>7183275</v>
      </c>
      <c r="D21" s="490">
        <f>SUM(D11:D20)</f>
        <v>240609</v>
      </c>
      <c r="E21" s="171">
        <f>SUM(E11:E20)</f>
        <v>7423884</v>
      </c>
      <c r="F21" s="171">
        <f>SUM(F11:F20)</f>
        <v>0</v>
      </c>
      <c r="G21" s="171">
        <f>SUM(G11:G20)</f>
        <v>7423884</v>
      </c>
      <c r="H21" s="172">
        <f t="shared" si="1"/>
        <v>1</v>
      </c>
      <c r="I21" s="337"/>
      <c r="J21" s="168"/>
      <c r="K21" s="168"/>
      <c r="M21" s="359">
        <f>IFERROR(G21/G228,0)</f>
        <v>282.96554352797682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4">
      <c r="A24" s="181" t="s">
        <v>161</v>
      </c>
      <c r="B24" s="148" t="s">
        <v>12</v>
      </c>
      <c r="M24" s="363"/>
      <c r="N24" s="363"/>
    </row>
    <row r="25" spans="1:14" s="167" customFormat="1">
      <c r="A25" s="169" t="s">
        <v>83</v>
      </c>
      <c r="B25" s="170" t="s">
        <v>14</v>
      </c>
      <c r="C25" s="490">
        <f>'[32]Sch C'!D10</f>
        <v>126976</v>
      </c>
      <c r="D25" s="490">
        <f>'[32]Sch C'!F10</f>
        <v>-14396</v>
      </c>
      <c r="E25" s="171">
        <f t="shared" ref="E25:E60" si="4">C25+D25</f>
        <v>112580</v>
      </c>
      <c r="F25" s="171"/>
      <c r="G25" s="182">
        <f>E25+F25</f>
        <v>112580</v>
      </c>
      <c r="H25" s="172">
        <f>IF($G$208=0,0,G25/$G$208)</f>
        <v>1.5330675090322024E-2</v>
      </c>
      <c r="I25" s="337"/>
      <c r="J25" s="492">
        <v>2000</v>
      </c>
      <c r="K25" s="492">
        <v>2080</v>
      </c>
      <c r="M25" s="359">
        <f>G25/G$228</f>
        <v>4.2910504650099099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490">
        <f>'[32]Sch C'!D11</f>
        <v>0</v>
      </c>
      <c r="D26" s="490">
        <f>'[32]Sch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492">
        <v>0</v>
      </c>
      <c r="K26" s="492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490">
        <f>'[32]Sch C'!D12</f>
        <v>179306</v>
      </c>
      <c r="D27" s="490">
        <f>'[32]Sch C'!F12</f>
        <v>21733</v>
      </c>
      <c r="E27" s="171">
        <f t="shared" si="4"/>
        <v>201039</v>
      </c>
      <c r="F27" s="171"/>
      <c r="G27" s="171">
        <f t="shared" si="5"/>
        <v>201039</v>
      </c>
      <c r="H27" s="172">
        <f t="shared" si="6"/>
        <v>2.7376652953306532E-2</v>
      </c>
      <c r="I27" s="337"/>
      <c r="J27" s="492">
        <v>8354.2257142857143</v>
      </c>
      <c r="K27" s="492">
        <v>9160.511428571428</v>
      </c>
      <c r="M27" s="359">
        <f t="shared" si="7"/>
        <v>7.6627153529501451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490">
        <f>'[32]Sch C'!D13</f>
        <v>364923</v>
      </c>
      <c r="D28" s="490">
        <f>'[32]Sch C'!F13</f>
        <v>-339182</v>
      </c>
      <c r="E28" s="171">
        <f t="shared" si="4"/>
        <v>25741</v>
      </c>
      <c r="F28" s="171"/>
      <c r="G28" s="171">
        <f t="shared" si="5"/>
        <v>25741</v>
      </c>
      <c r="H28" s="172">
        <f t="shared" si="6"/>
        <v>3.5053020740804693E-3</v>
      </c>
      <c r="I28" s="337"/>
      <c r="J28" s="527"/>
      <c r="K28" s="527"/>
      <c r="M28" s="359">
        <f t="shared" si="7"/>
        <v>0.98113279463332825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490">
        <f>'[32]Sch C'!D14</f>
        <v>0</v>
      </c>
      <c r="D29" s="490">
        <f>'[32]Sch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7"/>
      <c r="J29" s="527"/>
      <c r="K29" s="527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490">
        <f>'[32]Sch C'!D15</f>
        <v>0</v>
      </c>
      <c r="D30" s="490">
        <f>'[32]Sch C'!F15</f>
        <v>232863</v>
      </c>
      <c r="E30" s="171">
        <f t="shared" si="4"/>
        <v>232863</v>
      </c>
      <c r="F30" s="171"/>
      <c r="G30" s="171">
        <f t="shared" si="5"/>
        <v>232863</v>
      </c>
      <c r="H30" s="172">
        <f t="shared" si="6"/>
        <v>3.1710312609323658E-2</v>
      </c>
      <c r="I30" s="337"/>
      <c r="J30" s="527"/>
      <c r="K30" s="527"/>
      <c r="M30" s="359">
        <f t="shared" si="7"/>
        <v>8.8757051379783505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490">
        <f>'[32]Sch C'!D16</f>
        <v>0</v>
      </c>
      <c r="D31" s="490">
        <f>'[32]Sch C'!F16</f>
        <v>0</v>
      </c>
      <c r="E31" s="171">
        <f t="shared" si="4"/>
        <v>0</v>
      </c>
      <c r="F31" s="171"/>
      <c r="G31" s="171">
        <f t="shared" si="5"/>
        <v>0</v>
      </c>
      <c r="H31" s="172">
        <f t="shared" si="6"/>
        <v>0</v>
      </c>
      <c r="I31" s="337"/>
      <c r="J31" s="527"/>
      <c r="K31" s="527"/>
      <c r="M31" s="359">
        <f t="shared" si="7"/>
        <v>0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490">
        <f>'[32]Sch C'!D17</f>
        <v>3218</v>
      </c>
      <c r="D32" s="490">
        <f>'[32]Sch C'!F17</f>
        <v>0</v>
      </c>
      <c r="E32" s="171">
        <f t="shared" si="4"/>
        <v>3218</v>
      </c>
      <c r="F32" s="171"/>
      <c r="G32" s="171">
        <f t="shared" si="5"/>
        <v>3218</v>
      </c>
      <c r="H32" s="172">
        <f t="shared" si="6"/>
        <v>4.3821382519680473E-4</v>
      </c>
      <c r="I32" s="337"/>
      <c r="J32" s="527"/>
      <c r="K32" s="527"/>
      <c r="M32" s="359">
        <f t="shared" si="7"/>
        <v>0.12265589266656503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490">
        <f>'[32]Sch C'!D18</f>
        <v>23101</v>
      </c>
      <c r="D33" s="490">
        <f>'[32]Sch C'!F18</f>
        <v>0</v>
      </c>
      <c r="E33" s="171">
        <f t="shared" si="4"/>
        <v>23101</v>
      </c>
      <c r="F33" s="171"/>
      <c r="G33" s="171">
        <f t="shared" si="5"/>
        <v>23101</v>
      </c>
      <c r="H33" s="172">
        <f t="shared" si="6"/>
        <v>3.1457978793882489E-3</v>
      </c>
      <c r="I33" s="337"/>
      <c r="J33" s="527"/>
      <c r="K33" s="527"/>
      <c r="M33" s="359">
        <f t="shared" si="7"/>
        <v>0.88050769934441231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490">
        <f>'[32]Sch C'!D19</f>
        <v>162927</v>
      </c>
      <c r="D34" s="490">
        <f>'[32]Sch C'!F19</f>
        <v>-145494</v>
      </c>
      <c r="E34" s="171">
        <f t="shared" si="4"/>
        <v>17433</v>
      </c>
      <c r="F34" s="171"/>
      <c r="G34" s="171">
        <f t="shared" si="5"/>
        <v>17433</v>
      </c>
      <c r="H34" s="172">
        <f t="shared" si="6"/>
        <v>2.3739532674505585E-3</v>
      </c>
      <c r="I34" s="337"/>
      <c r="J34" s="527"/>
      <c r="K34" s="527"/>
      <c r="M34" s="359">
        <f t="shared" si="7"/>
        <v>0.66446866900442136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490">
        <f>'[32]Sch C'!D20</f>
        <v>22350</v>
      </c>
      <c r="D35" s="490">
        <f>'[32]Sch C'!F20</f>
        <v>-100</v>
      </c>
      <c r="E35" s="171">
        <f t="shared" si="4"/>
        <v>22250</v>
      </c>
      <c r="F35" s="171"/>
      <c r="G35" s="171">
        <f t="shared" si="5"/>
        <v>22250</v>
      </c>
      <c r="H35" s="172">
        <f t="shared" si="6"/>
        <v>3.0299122469325374E-3</v>
      </c>
      <c r="I35" s="337"/>
      <c r="J35" s="527"/>
      <c r="K35" s="527"/>
      <c r="M35" s="359">
        <f t="shared" si="7"/>
        <v>0.84807135234029574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490">
        <f>'[32]Sch C'!D21</f>
        <v>3201</v>
      </c>
      <c r="D36" s="490">
        <f>'[32]Sch C'!F21</f>
        <v>405</v>
      </c>
      <c r="E36" s="171">
        <f t="shared" si="4"/>
        <v>3606</v>
      </c>
      <c r="F36" s="171"/>
      <c r="G36" s="171">
        <f t="shared" si="5"/>
        <v>3606</v>
      </c>
      <c r="H36" s="172">
        <f t="shared" si="6"/>
        <v>4.9105004775005525E-4</v>
      </c>
      <c r="I36" s="337"/>
      <c r="J36" s="527"/>
      <c r="K36" s="527"/>
      <c r="M36" s="359">
        <f t="shared" si="7"/>
        <v>0.1374447324287239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490">
        <f>'[32]Sch C'!D22</f>
        <v>0</v>
      </c>
      <c r="D37" s="490">
        <f>'[32]Sch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7"/>
      <c r="J37" s="527"/>
      <c r="K37" s="527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490">
        <f>'[32]Sch C'!D23</f>
        <v>16520</v>
      </c>
      <c r="D38" s="490">
        <f>'[32]Sch C'!F23</f>
        <v>-5596</v>
      </c>
      <c r="E38" s="171">
        <f t="shared" si="4"/>
        <v>10924</v>
      </c>
      <c r="F38" s="171"/>
      <c r="G38" s="171">
        <f t="shared" si="5"/>
        <v>10924</v>
      </c>
      <c r="H38" s="172">
        <f t="shared" si="6"/>
        <v>1.4875847813703837E-3</v>
      </c>
      <c r="I38" s="337"/>
      <c r="J38" s="527"/>
      <c r="K38" s="527"/>
      <c r="M38" s="359">
        <f t="shared" si="7"/>
        <v>0.41637444732428724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490">
        <f>'[32]Sch C'!D24</f>
        <v>0</v>
      </c>
      <c r="D39" s="490">
        <f>'[32]Sch C'!F24</f>
        <v>0</v>
      </c>
      <c r="E39" s="171">
        <f t="shared" si="4"/>
        <v>0</v>
      </c>
      <c r="F39" s="171"/>
      <c r="G39" s="171">
        <f t="shared" si="5"/>
        <v>0</v>
      </c>
      <c r="H39" s="172">
        <f t="shared" si="6"/>
        <v>0</v>
      </c>
      <c r="I39" s="337"/>
      <c r="J39" s="527"/>
      <c r="K39" s="527"/>
      <c r="M39" s="359">
        <f t="shared" si="7"/>
        <v>0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490">
        <f>'[32]Sch C'!D25</f>
        <v>0</v>
      </c>
      <c r="D40" s="490">
        <f>'[32]Sch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337"/>
      <c r="J40" s="527"/>
      <c r="K40" s="527"/>
      <c r="M40" s="359">
        <f t="shared" si="7"/>
        <v>0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490">
        <f>'[32]Sch C'!D26</f>
        <v>137458</v>
      </c>
      <c r="D41" s="490">
        <f>'[32]Sch C'!F26</f>
        <v>140558</v>
      </c>
      <c r="E41" s="171">
        <f t="shared" si="4"/>
        <v>278016</v>
      </c>
      <c r="F41" s="171"/>
      <c r="G41" s="171">
        <f t="shared" si="5"/>
        <v>278016</v>
      </c>
      <c r="H41" s="172">
        <f t="shared" si="6"/>
        <v>3.7859059921042527E-2</v>
      </c>
      <c r="I41" s="337"/>
      <c r="J41" s="527"/>
      <c r="K41" s="527"/>
      <c r="M41" s="359">
        <f t="shared" si="7"/>
        <v>10.59673730751639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490">
        <f>'[32]Sch C'!D27</f>
        <v>19237</v>
      </c>
      <c r="D42" s="490">
        <f>'[32]Sch C'!F27</f>
        <v>-19237</v>
      </c>
      <c r="E42" s="171">
        <f t="shared" si="4"/>
        <v>0</v>
      </c>
      <c r="F42" s="171"/>
      <c r="G42" s="171">
        <f t="shared" si="5"/>
        <v>0</v>
      </c>
      <c r="H42" s="172">
        <f t="shared" si="6"/>
        <v>0</v>
      </c>
      <c r="I42" s="337"/>
      <c r="J42" s="527"/>
      <c r="K42" s="527"/>
      <c r="M42" s="359">
        <f t="shared" si="7"/>
        <v>0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490">
        <f>'[32]Sch C'!D28</f>
        <v>0</v>
      </c>
      <c r="D43" s="490">
        <f>'[32]Sch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7"/>
      <c r="J43" s="527"/>
      <c r="K43" s="527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490">
        <f>'[32]Sch C'!D29</f>
        <v>0</v>
      </c>
      <c r="D44" s="490">
        <f>'[32]Sch C'!F29</f>
        <v>0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7"/>
      <c r="J44" s="527"/>
      <c r="K44" s="527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490">
        <f>'[32]Sch C'!D30</f>
        <v>0</v>
      </c>
      <c r="D45" s="490">
        <f>'[32]Sch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7"/>
      <c r="J45" s="527"/>
      <c r="K45" s="527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490">
        <f>'[32]Sch C'!D31</f>
        <v>44864</v>
      </c>
      <c r="D46" s="490">
        <f>'[32]Sch C'!F31</f>
        <v>-44864</v>
      </c>
      <c r="E46" s="171">
        <f t="shared" si="4"/>
        <v>0</v>
      </c>
      <c r="F46" s="171"/>
      <c r="G46" s="171">
        <f t="shared" si="5"/>
        <v>0</v>
      </c>
      <c r="H46" s="172">
        <f t="shared" si="6"/>
        <v>0</v>
      </c>
      <c r="I46" s="337"/>
      <c r="J46" s="527"/>
      <c r="K46" s="527"/>
      <c r="M46" s="359">
        <f t="shared" si="7"/>
        <v>0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490">
        <f>'[32]Sch C'!D32</f>
        <v>65172</v>
      </c>
      <c r="D47" s="490">
        <f>'[32]Sch C'!F32</f>
        <v>-4923</v>
      </c>
      <c r="E47" s="171">
        <f t="shared" si="4"/>
        <v>60249</v>
      </c>
      <c r="F47" s="171"/>
      <c r="G47" s="171">
        <f t="shared" si="5"/>
        <v>60249</v>
      </c>
      <c r="H47" s="172">
        <f t="shared" si="6"/>
        <v>8.2044576613680194E-3</v>
      </c>
      <c r="I47" s="337"/>
      <c r="J47" s="527"/>
      <c r="K47" s="527"/>
      <c r="M47" s="359">
        <f t="shared" si="7"/>
        <v>2.2964247598719316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490">
        <f>'[32]Sch C'!D33</f>
        <v>0</v>
      </c>
      <c r="D48" s="490">
        <f>'[32]Sch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7"/>
      <c r="J48" s="527"/>
      <c r="K48" s="527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490">
        <f>'[32]Sch C'!D34</f>
        <v>6436</v>
      </c>
      <c r="D49" s="490">
        <f>'[32]Sch C'!F34</f>
        <v>0</v>
      </c>
      <c r="E49" s="171">
        <f t="shared" si="4"/>
        <v>6436</v>
      </c>
      <c r="F49" s="171"/>
      <c r="G49" s="171">
        <f t="shared" si="5"/>
        <v>6436</v>
      </c>
      <c r="H49" s="172">
        <f t="shared" si="6"/>
        <v>8.7642765039360946E-4</v>
      </c>
      <c r="I49" s="337"/>
      <c r="J49" s="527"/>
      <c r="K49" s="527"/>
      <c r="M49" s="359">
        <f t="shared" si="7"/>
        <v>0.24531178533313006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490">
        <f>'[32]Sch C'!D35</f>
        <v>362</v>
      </c>
      <c r="D50" s="490">
        <f>'[32]Sch C'!F35</f>
        <v>-362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7"/>
      <c r="J50" s="527"/>
      <c r="K50" s="527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490">
        <f>'[32]Sch C'!D36</f>
        <v>0</v>
      </c>
      <c r="D51" s="490">
        <f>'[32]Sch C'!F36</f>
        <v>0</v>
      </c>
      <c r="E51" s="171">
        <f t="shared" si="4"/>
        <v>0</v>
      </c>
      <c r="F51" s="171"/>
      <c r="G51" s="171">
        <f t="shared" si="5"/>
        <v>0</v>
      </c>
      <c r="H51" s="172">
        <f t="shared" si="6"/>
        <v>0</v>
      </c>
      <c r="I51" s="337"/>
      <c r="J51" s="492">
        <v>0</v>
      </c>
      <c r="K51" s="492">
        <v>0</v>
      </c>
      <c r="M51" s="359">
        <f t="shared" si="7"/>
        <v>0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490">
        <f>'[32]Sch C'!D37</f>
        <v>0</v>
      </c>
      <c r="D52" s="490">
        <f>'[32]Sch C'!F37</f>
        <v>0</v>
      </c>
      <c r="E52" s="171">
        <f t="shared" si="4"/>
        <v>0</v>
      </c>
      <c r="F52" s="171"/>
      <c r="G52" s="171">
        <f t="shared" si="5"/>
        <v>0</v>
      </c>
      <c r="H52" s="172">
        <f t="shared" si="6"/>
        <v>0</v>
      </c>
      <c r="I52" s="337"/>
      <c r="J52" s="527"/>
      <c r="K52" s="527"/>
      <c r="M52" s="359">
        <f t="shared" si="7"/>
        <v>0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490">
        <f>'[32]Sch C'!D38</f>
        <v>464</v>
      </c>
      <c r="D53" s="490">
        <f>'[32]Sch C'!F38</f>
        <v>0</v>
      </c>
      <c r="E53" s="171">
        <f t="shared" si="4"/>
        <v>464</v>
      </c>
      <c r="F53" s="171"/>
      <c r="G53" s="171">
        <f t="shared" si="5"/>
        <v>464</v>
      </c>
      <c r="H53" s="172">
        <f t="shared" si="6"/>
        <v>6.3185585733784147E-5</v>
      </c>
      <c r="I53" s="337"/>
      <c r="J53" s="527"/>
      <c r="K53" s="527"/>
      <c r="M53" s="359">
        <f t="shared" si="7"/>
        <v>1.7685622808354933E-2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490">
        <f>'[32]Sch C'!D39</f>
        <v>6077</v>
      </c>
      <c r="D54" s="490">
        <f>'[32]Sch C'!F39</f>
        <v>0</v>
      </c>
      <c r="E54" s="171">
        <f t="shared" si="4"/>
        <v>6077</v>
      </c>
      <c r="F54" s="171"/>
      <c r="G54" s="171">
        <f t="shared" si="5"/>
        <v>6077</v>
      </c>
      <c r="H54" s="172">
        <f t="shared" si="6"/>
        <v>8.2754052694872043E-4</v>
      </c>
      <c r="I54" s="337"/>
      <c r="J54" s="527"/>
      <c r="K54" s="527"/>
      <c r="M54" s="359">
        <f t="shared" si="7"/>
        <v>0.23162829699649337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490">
        <f>'[32]Sch C'!D40</f>
        <v>141102</v>
      </c>
      <c r="D55" s="490">
        <f>'[32]Sch C'!F40</f>
        <v>-141102</v>
      </c>
      <c r="E55" s="171">
        <f t="shared" si="4"/>
        <v>0</v>
      </c>
      <c r="F55" s="171"/>
      <c r="G55" s="171">
        <f t="shared" si="5"/>
        <v>0</v>
      </c>
      <c r="H55" s="172">
        <f t="shared" si="6"/>
        <v>0</v>
      </c>
      <c r="I55" s="337"/>
      <c r="J55" s="527"/>
      <c r="K55" s="527"/>
      <c r="M55" s="359">
        <f t="shared" si="7"/>
        <v>0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490">
        <f>'[32]Sch C'!D41</f>
        <v>40282</v>
      </c>
      <c r="D56" s="490">
        <f>'[32]Sch C'!F41</f>
        <v>0</v>
      </c>
      <c r="E56" s="171">
        <f t="shared" si="4"/>
        <v>40282</v>
      </c>
      <c r="F56" s="171"/>
      <c r="G56" s="171">
        <f t="shared" si="5"/>
        <v>40282</v>
      </c>
      <c r="H56" s="172">
        <f t="shared" si="6"/>
        <v>5.4854348373454594E-3</v>
      </c>
      <c r="I56" s="337"/>
      <c r="J56" s="527"/>
      <c r="K56" s="527"/>
      <c r="M56" s="359">
        <f t="shared" si="7"/>
        <v>1.5353712456167099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490">
        <f>'[32]Sch C'!D42</f>
        <v>16616</v>
      </c>
      <c r="D57" s="490">
        <f>'[32]Sch C'!F42</f>
        <v>0</v>
      </c>
      <c r="E57" s="171">
        <f t="shared" si="4"/>
        <v>16616</v>
      </c>
      <c r="F57" s="171"/>
      <c r="G57" s="171">
        <f t="shared" si="5"/>
        <v>16616</v>
      </c>
      <c r="H57" s="172">
        <f t="shared" si="6"/>
        <v>2.262697613259822E-3</v>
      </c>
      <c r="I57" s="337"/>
      <c r="J57" s="527"/>
      <c r="K57" s="527"/>
      <c r="M57" s="359">
        <f t="shared" si="7"/>
        <v>0.63332825125781367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490">
        <f>'[32]Sch C'!D43</f>
        <v>732</v>
      </c>
      <c r="D58" s="490">
        <f>'[32]Sch C'!F43</f>
        <v>8876</v>
      </c>
      <c r="E58" s="171">
        <f t="shared" si="4"/>
        <v>9608</v>
      </c>
      <c r="F58" s="171"/>
      <c r="G58" s="171">
        <f t="shared" si="5"/>
        <v>9608</v>
      </c>
      <c r="H58" s="172">
        <f t="shared" si="6"/>
        <v>1.3083773873495649E-3</v>
      </c>
      <c r="I58" s="337"/>
      <c r="J58" s="527"/>
      <c r="K58" s="527"/>
      <c r="M58" s="359">
        <f t="shared" si="7"/>
        <v>0.36621436194541851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490">
        <f>'[32]Sch C'!D44</f>
        <v>2221</v>
      </c>
      <c r="D59" s="490">
        <f>'[32]Sch C'!F44</f>
        <v>0</v>
      </c>
      <c r="E59" s="171">
        <f t="shared" si="4"/>
        <v>2221</v>
      </c>
      <c r="F59" s="171"/>
      <c r="G59" s="171">
        <f t="shared" si="5"/>
        <v>2221</v>
      </c>
      <c r="H59" s="172">
        <f t="shared" si="6"/>
        <v>3.0244652136796247E-4</v>
      </c>
      <c r="I59" s="337"/>
      <c r="J59" s="527"/>
      <c r="K59" s="527"/>
      <c r="M59" s="359">
        <f t="shared" si="7"/>
        <v>8.4654672968440314E-2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490">
        <f>'[32]Sch C'!D45</f>
        <v>25593</v>
      </c>
      <c r="D60" s="490">
        <f>'[32]Sch C'!F45</f>
        <v>-3801</v>
      </c>
      <c r="E60" s="171">
        <f t="shared" si="4"/>
        <v>21792</v>
      </c>
      <c r="F60" s="171"/>
      <c r="G60" s="171">
        <f t="shared" si="5"/>
        <v>21792</v>
      </c>
      <c r="H60" s="172">
        <f t="shared" si="6"/>
        <v>2.9675437161866898E-3</v>
      </c>
      <c r="I60" s="337"/>
      <c r="J60" s="527"/>
      <c r="K60" s="527"/>
      <c r="M60" s="359">
        <f t="shared" si="7"/>
        <v>0.83061442293032473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490">
        <f>SUM(C25:C60)</f>
        <v>1409138</v>
      </c>
      <c r="D61" s="490">
        <f>SUM(D25:D60)</f>
        <v>-314622</v>
      </c>
      <c r="E61" s="171">
        <f t="shared" ref="E61:F61" si="8">SUM(E25:E60)</f>
        <v>1094516</v>
      </c>
      <c r="F61" s="171">
        <f t="shared" si="8"/>
        <v>0</v>
      </c>
      <c r="G61" s="171">
        <f>SUM(G25:G60)</f>
        <v>1094516</v>
      </c>
      <c r="H61" s="186">
        <f t="shared" si="6"/>
        <v>0.14904662619611744</v>
      </c>
      <c r="I61" s="339"/>
      <c r="J61" s="527"/>
      <c r="K61" s="527"/>
      <c r="M61" s="364">
        <f>G61/G$228</f>
        <v>41.718097270925448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I62" s="340"/>
      <c r="J62" s="527"/>
      <c r="K62" s="527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40"/>
      <c r="J63" s="527"/>
      <c r="K63" s="527"/>
      <c r="M63" s="359"/>
      <c r="N63" s="359"/>
    </row>
    <row r="64" spans="1:14" s="167" customFormat="1">
      <c r="A64" s="188">
        <v>230</v>
      </c>
      <c r="B64" s="189" t="s">
        <v>253</v>
      </c>
      <c r="C64" s="490">
        <f>'[32]Sch C'!D57</f>
        <v>249665</v>
      </c>
      <c r="D64" s="490">
        <f>'[32]Sch C'!F57</f>
        <v>-244985</v>
      </c>
      <c r="E64" s="171">
        <f t="shared" ref="E64:E78" si="9">C64+D64</f>
        <v>4680</v>
      </c>
      <c r="F64" s="171"/>
      <c r="G64" s="171">
        <f t="shared" ref="G64:G78" si="10">E64+F64</f>
        <v>4680</v>
      </c>
      <c r="H64" s="172">
        <f t="shared" ref="H64:H79" si="11">IF($G$208=0,0,G64/$G$208)</f>
        <v>6.3730289059075389E-4</v>
      </c>
      <c r="I64" s="337"/>
      <c r="J64" s="528"/>
      <c r="K64" s="527"/>
      <c r="M64" s="359">
        <f t="shared" ref="M64:M79" si="12">G64/G$228</f>
        <v>0.17838085073944199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490">
        <f>'[32]Sch C'!D58</f>
        <v>0</v>
      </c>
      <c r="D65" s="490">
        <f>'[32]Sch C'!F58</f>
        <v>365256</v>
      </c>
      <c r="E65" s="171">
        <f t="shared" si="9"/>
        <v>365256</v>
      </c>
      <c r="F65" s="171"/>
      <c r="G65" s="171">
        <f t="shared" si="10"/>
        <v>365256</v>
      </c>
      <c r="H65" s="172">
        <f t="shared" si="11"/>
        <v>4.9739039445644534E-2</v>
      </c>
      <c r="I65" s="337"/>
      <c r="J65" s="528"/>
      <c r="K65" s="527"/>
      <c r="M65" s="359">
        <f t="shared" si="12"/>
        <v>13.921939320018295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490">
        <f>'[32]Sch C'!D59</f>
        <v>0</v>
      </c>
      <c r="D66" s="490">
        <f>'[32]Sch C'!F59</f>
        <v>0</v>
      </c>
      <c r="E66" s="171">
        <f t="shared" si="9"/>
        <v>0</v>
      </c>
      <c r="F66" s="171"/>
      <c r="G66" s="171">
        <f t="shared" si="10"/>
        <v>0</v>
      </c>
      <c r="H66" s="172">
        <f t="shared" si="11"/>
        <v>0</v>
      </c>
      <c r="I66" s="337"/>
      <c r="J66" s="528"/>
      <c r="K66" s="527"/>
      <c r="M66" s="359">
        <f t="shared" si="12"/>
        <v>0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490">
        <f>'[32]Sch C'!D60</f>
        <v>26426</v>
      </c>
      <c r="D67" s="490">
        <f>'[32]Sch C'!F60</f>
        <v>0</v>
      </c>
      <c r="E67" s="171">
        <f t="shared" si="9"/>
        <v>26426</v>
      </c>
      <c r="F67" s="171"/>
      <c r="G67" s="171">
        <f t="shared" si="10"/>
        <v>26426</v>
      </c>
      <c r="H67" s="172">
        <f t="shared" si="11"/>
        <v>3.5985825185365946E-3</v>
      </c>
      <c r="I67" s="337"/>
      <c r="J67" s="529"/>
      <c r="K67" s="527"/>
      <c r="M67" s="359">
        <f t="shared" si="12"/>
        <v>1.0072419576154901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490">
        <f>'[32]Sch C'!D61</f>
        <v>14852</v>
      </c>
      <c r="D68" s="490">
        <f>'[32]Sch C'!F61</f>
        <v>0</v>
      </c>
      <c r="E68" s="171">
        <f t="shared" si="9"/>
        <v>14852</v>
      </c>
      <c r="F68" s="171"/>
      <c r="G68" s="171">
        <f t="shared" si="10"/>
        <v>14852</v>
      </c>
      <c r="H68" s="172">
        <f t="shared" si="11"/>
        <v>2.0224834468063838E-3</v>
      </c>
      <c r="I68" s="337"/>
      <c r="J68" s="529"/>
      <c r="K68" s="527"/>
      <c r="M68" s="359">
        <f t="shared" si="12"/>
        <v>0.56609239213294704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490">
        <f>'[32]Sch C'!D62</f>
        <v>-1501</v>
      </c>
      <c r="D69" s="490">
        <f>'[32]Sch C'!F62</f>
        <v>1501</v>
      </c>
      <c r="E69" s="171">
        <f t="shared" si="9"/>
        <v>0</v>
      </c>
      <c r="F69" s="171"/>
      <c r="G69" s="171">
        <f t="shared" si="10"/>
        <v>0</v>
      </c>
      <c r="H69" s="172">
        <f t="shared" si="11"/>
        <v>0</v>
      </c>
      <c r="I69" s="337"/>
      <c r="J69" s="530"/>
      <c r="K69" s="527"/>
      <c r="M69" s="359">
        <f t="shared" si="12"/>
        <v>0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490">
        <f>'[32]Sch C'!D63</f>
        <v>0</v>
      </c>
      <c r="D70" s="490">
        <f>'[32]Sch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7"/>
      <c r="J70" s="530"/>
      <c r="K70" s="527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490">
        <f>'[32]Sch C'!D64</f>
        <v>0</v>
      </c>
      <c r="D71" s="490">
        <f>'[32]Sch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7"/>
      <c r="J71" s="530"/>
      <c r="K71" s="527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490">
        <f>'[32]Sch C'!D65</f>
        <v>4104</v>
      </c>
      <c r="D72" s="490">
        <f>'[32]Sch C'!F65</f>
        <v>-3056</v>
      </c>
      <c r="E72" s="171">
        <f t="shared" si="9"/>
        <v>1048</v>
      </c>
      <c r="F72" s="171"/>
      <c r="G72" s="171">
        <f t="shared" si="10"/>
        <v>1048</v>
      </c>
      <c r="H72" s="172">
        <f t="shared" si="11"/>
        <v>1.4271227122630557E-4</v>
      </c>
      <c r="I72" s="337"/>
      <c r="J72" s="530"/>
      <c r="K72" s="527"/>
      <c r="M72" s="359">
        <f t="shared" si="12"/>
        <v>3.9945113584387862E-2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490">
        <f>'[32]Sch C'!D66</f>
        <v>3026</v>
      </c>
      <c r="D73" s="490">
        <f>'[32]Sch C'!F66</f>
        <v>0</v>
      </c>
      <c r="E73" s="171">
        <f t="shared" si="9"/>
        <v>3026</v>
      </c>
      <c r="F73" s="171"/>
      <c r="G73" s="171">
        <f t="shared" si="10"/>
        <v>3026</v>
      </c>
      <c r="H73" s="172">
        <f t="shared" si="11"/>
        <v>4.1206806558282506E-4</v>
      </c>
      <c r="I73" s="337"/>
      <c r="J73" s="530"/>
      <c r="K73" s="527"/>
      <c r="M73" s="359">
        <f t="shared" si="12"/>
        <v>0.11533770391828023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490">
        <f>'[32]Sch C'!D67</f>
        <v>91293</v>
      </c>
      <c r="D74" s="490">
        <f>'[32]Sch C'!F67</f>
        <v>40140</v>
      </c>
      <c r="E74" s="171">
        <f t="shared" si="9"/>
        <v>131433</v>
      </c>
      <c r="F74" s="171"/>
      <c r="G74" s="171">
        <f t="shared" si="10"/>
        <v>131433</v>
      </c>
      <c r="H74" s="172">
        <f t="shared" si="11"/>
        <v>1.7897998038250974E-2</v>
      </c>
      <c r="I74" s="337"/>
      <c r="J74" s="530"/>
      <c r="K74" s="527"/>
      <c r="M74" s="359">
        <f t="shared" si="12"/>
        <v>5.009643238298521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490">
        <f>'[32]Sch C'!D68</f>
        <v>703</v>
      </c>
      <c r="D75" s="490">
        <f>'[32]Sch C'!F68</f>
        <v>-89</v>
      </c>
      <c r="E75" s="171">
        <f t="shared" si="9"/>
        <v>614</v>
      </c>
      <c r="F75" s="171"/>
      <c r="G75" s="171">
        <f t="shared" si="10"/>
        <v>614</v>
      </c>
      <c r="H75" s="172">
        <f t="shared" si="11"/>
        <v>8.3611960432205753E-5</v>
      </c>
      <c r="I75" s="337"/>
      <c r="J75" s="530"/>
      <c r="K75" s="527"/>
      <c r="M75" s="359">
        <f t="shared" si="12"/>
        <v>2.3402957767952433E-2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490">
        <f>'[32]Sch C'!D69</f>
        <v>3294</v>
      </c>
      <c r="D76" s="490">
        <f>'[32]Sch C'!F69</f>
        <v>5328</v>
      </c>
      <c r="E76" s="171">
        <f t="shared" si="9"/>
        <v>8622</v>
      </c>
      <c r="F76" s="171"/>
      <c r="G76" s="171">
        <f t="shared" si="10"/>
        <v>8622</v>
      </c>
      <c r="H76" s="172">
        <f t="shared" si="11"/>
        <v>1.1741080176652736E-3</v>
      </c>
      <c r="I76" s="337"/>
      <c r="J76" s="530"/>
      <c r="K76" s="527"/>
      <c r="M76" s="359">
        <f t="shared" si="12"/>
        <v>0.32863241347766425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490">
        <f>'[32]Sch C'!D70</f>
        <v>-10</v>
      </c>
      <c r="D77" s="490">
        <f>'[32]Sch C'!F70</f>
        <v>10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7"/>
      <c r="J77" s="530"/>
      <c r="K77" s="527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490">
        <f>'[32]Sch C'!D71</f>
        <v>0</v>
      </c>
      <c r="D78" s="490">
        <f>'[32]Sch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7"/>
      <c r="J78" s="530"/>
      <c r="K78" s="527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490">
        <f>SUM(C64:C78)</f>
        <v>391852</v>
      </c>
      <c r="D79" s="490">
        <f>SUM(D64:D78)</f>
        <v>164105</v>
      </c>
      <c r="E79" s="171">
        <f t="shared" ref="E79:F79" si="13">SUM(E64:E78)</f>
        <v>555957</v>
      </c>
      <c r="F79" s="171">
        <f t="shared" si="13"/>
        <v>0</v>
      </c>
      <c r="G79" s="171">
        <f>SUM(G64:G78)</f>
        <v>555957</v>
      </c>
      <c r="H79" s="172">
        <f t="shared" si="11"/>
        <v>7.5707906654735854E-2</v>
      </c>
      <c r="I79" s="337"/>
      <c r="J79" s="530"/>
      <c r="K79" s="527"/>
      <c r="M79" s="359">
        <f t="shared" si="12"/>
        <v>21.190615947552981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I80" s="337"/>
      <c r="J80" s="527"/>
      <c r="K80" s="527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1"/>
      <c r="J81" s="527"/>
      <c r="K81" s="527"/>
      <c r="M81" s="359"/>
      <c r="N81" s="359"/>
    </row>
    <row r="82" spans="1:14" s="167" customFormat="1">
      <c r="A82" s="169" t="s">
        <v>85</v>
      </c>
      <c r="B82" s="148" t="s">
        <v>44</v>
      </c>
      <c r="C82" s="490">
        <f>'[32]Sch C'!D75</f>
        <v>135852</v>
      </c>
      <c r="D82" s="490">
        <f>'[32]Sch C'!F75</f>
        <v>12099</v>
      </c>
      <c r="E82" s="171">
        <f t="shared" ref="E82:E92" si="14">C82+D82</f>
        <v>147951</v>
      </c>
      <c r="F82" s="171"/>
      <c r="G82" s="171">
        <f t="shared" ref="G82:G92" si="15">E82+F82</f>
        <v>147951</v>
      </c>
      <c r="H82" s="172">
        <f t="shared" ref="H82:H93" si="16">IF($G$208=0,0,G82/$G$208)</f>
        <v>2.0147350420041159E-2</v>
      </c>
      <c r="I82" s="337"/>
      <c r="J82" s="492">
        <v>6730.5771428571425</v>
      </c>
      <c r="K82" s="492">
        <v>7573.2914285714278</v>
      </c>
      <c r="M82" s="359">
        <f t="shared" ref="M82:M92" si="17">G82/G$228</f>
        <v>5.6392361640493975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490">
        <f>'[32]Sch C'!D76</f>
        <v>10881</v>
      </c>
      <c r="D83" s="490">
        <f>'[32]Sch C'!F76</f>
        <v>0</v>
      </c>
      <c r="E83" s="171">
        <f t="shared" si="14"/>
        <v>10881</v>
      </c>
      <c r="F83" s="171"/>
      <c r="G83" s="171">
        <f t="shared" si="15"/>
        <v>10881</v>
      </c>
      <c r="H83" s="172">
        <f t="shared" si="16"/>
        <v>1.4817292206235027E-3</v>
      </c>
      <c r="I83" s="337"/>
      <c r="J83" s="527"/>
      <c r="K83" s="527"/>
      <c r="M83" s="359">
        <f t="shared" si="17"/>
        <v>0.41473547796920263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490">
        <f>'[32]Sch C'!D77</f>
        <v>16118</v>
      </c>
      <c r="D84" s="490">
        <f>'[32]Sch C'!F77</f>
        <v>-46</v>
      </c>
      <c r="E84" s="171">
        <f t="shared" si="14"/>
        <v>16072</v>
      </c>
      <c r="F84" s="171"/>
      <c r="G84" s="171">
        <f t="shared" si="15"/>
        <v>16072</v>
      </c>
      <c r="H84" s="172">
        <f t="shared" si="16"/>
        <v>2.188617961020213E-3</v>
      </c>
      <c r="I84" s="337"/>
      <c r="J84" s="527"/>
      <c r="K84" s="527"/>
      <c r="M84" s="359">
        <f t="shared" si="17"/>
        <v>0.61259338313767342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490">
        <f>'[32]Sch C'!D78</f>
        <v>0</v>
      </c>
      <c r="D85" s="490">
        <f>'[32]Sch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I85" s="337"/>
      <c r="J85" s="527"/>
      <c r="K85" s="527"/>
      <c r="M85" s="359">
        <f t="shared" si="17"/>
        <v>0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490">
        <f>'[32]Sch C'!D79</f>
        <v>23367</v>
      </c>
      <c r="D86" s="490">
        <f>'[32]Sch C'!F79</f>
        <v>36035</v>
      </c>
      <c r="E86" s="171">
        <f t="shared" si="14"/>
        <v>59402</v>
      </c>
      <c r="F86" s="171"/>
      <c r="G86" s="171">
        <f>E86+F86</f>
        <v>59402</v>
      </c>
      <c r="H86" s="172">
        <f t="shared" si="16"/>
        <v>8.089116732237599E-3</v>
      </c>
      <c r="I86" s="337"/>
      <c r="J86" s="527"/>
      <c r="K86" s="527"/>
      <c r="M86" s="359">
        <f t="shared" si="17"/>
        <v>2.2641408751334047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490">
        <f>'[32]Sch C'!D80</f>
        <v>58075</v>
      </c>
      <c r="D87" s="490">
        <f>'[32]Sch C'!F80</f>
        <v>-8876</v>
      </c>
      <c r="E87" s="171">
        <f t="shared" si="14"/>
        <v>49199</v>
      </c>
      <c r="F87" s="171"/>
      <c r="G87" s="171">
        <f t="shared" si="15"/>
        <v>49199</v>
      </c>
      <c r="H87" s="172">
        <f t="shared" si="16"/>
        <v>6.6997147252509616E-3</v>
      </c>
      <c r="I87" s="337"/>
      <c r="J87" s="527"/>
      <c r="K87" s="527"/>
      <c r="M87" s="359">
        <f t="shared" si="17"/>
        <v>1.8752477511815826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490">
        <f>'[32]Sch C'!D81</f>
        <v>0</v>
      </c>
      <c r="D88" s="490">
        <f>'[32]Sch C'!F81</f>
        <v>0</v>
      </c>
      <c r="E88" s="171">
        <f t="shared" si="14"/>
        <v>0</v>
      </c>
      <c r="F88" s="171"/>
      <c r="G88" s="171">
        <f t="shared" si="15"/>
        <v>0</v>
      </c>
      <c r="H88" s="172">
        <f t="shared" si="16"/>
        <v>0</v>
      </c>
      <c r="I88" s="337"/>
      <c r="J88" s="527"/>
      <c r="K88" s="527"/>
      <c r="M88" s="359">
        <f t="shared" si="17"/>
        <v>0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490">
        <f>'[32]Sch C'!D82</f>
        <v>39288</v>
      </c>
      <c r="D89" s="490">
        <f>'[32]Sch C'!F82</f>
        <v>3570</v>
      </c>
      <c r="E89" s="171">
        <f t="shared" si="14"/>
        <v>42858</v>
      </c>
      <c r="F89" s="171"/>
      <c r="G89" s="171">
        <f t="shared" si="15"/>
        <v>42858</v>
      </c>
      <c r="H89" s="172">
        <f t="shared" si="16"/>
        <v>5.8362237788330195E-3</v>
      </c>
      <c r="I89" s="337"/>
      <c r="J89" s="527"/>
      <c r="K89" s="527"/>
      <c r="M89" s="359">
        <f t="shared" si="17"/>
        <v>1.6335569446561975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490">
        <f>'[32]Sch C'!D83</f>
        <v>11670</v>
      </c>
      <c r="D90" s="490">
        <f>'[32]Sch C'!F83</f>
        <v>0</v>
      </c>
      <c r="E90" s="171">
        <f t="shared" si="14"/>
        <v>11670</v>
      </c>
      <c r="F90" s="171"/>
      <c r="G90" s="171">
        <f t="shared" si="15"/>
        <v>11670</v>
      </c>
      <c r="H90" s="172">
        <f t="shared" si="16"/>
        <v>1.5891719515372005E-3</v>
      </c>
      <c r="I90" s="337"/>
      <c r="J90" s="527"/>
      <c r="K90" s="527"/>
      <c r="M90" s="359">
        <f t="shared" si="17"/>
        <v>0.4448086598566855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490">
        <f>'[32]Sch C'!D84</f>
        <v>116204</v>
      </c>
      <c r="D91" s="490">
        <f>'[32]Sch C'!F84</f>
        <v>0</v>
      </c>
      <c r="E91" s="171">
        <f t="shared" si="14"/>
        <v>116204</v>
      </c>
      <c r="F91" s="171"/>
      <c r="G91" s="171">
        <f t="shared" si="15"/>
        <v>116204</v>
      </c>
      <c r="H91" s="172">
        <f t="shared" si="16"/>
        <v>1.582417630303589E-2</v>
      </c>
      <c r="I91" s="337"/>
      <c r="J91" s="527"/>
      <c r="K91" s="527"/>
      <c r="M91" s="359">
        <f t="shared" si="17"/>
        <v>4.429181277633786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490">
        <f>'[32]Sch C'!D85</f>
        <v>116</v>
      </c>
      <c r="D92" s="490">
        <f>'[32]Sch C'!F85</f>
        <v>0</v>
      </c>
      <c r="E92" s="171">
        <f t="shared" si="14"/>
        <v>116</v>
      </c>
      <c r="F92" s="171"/>
      <c r="G92" s="171">
        <f t="shared" si="15"/>
        <v>116</v>
      </c>
      <c r="H92" s="172">
        <f t="shared" si="16"/>
        <v>1.5796396433446037E-5</v>
      </c>
      <c r="I92" s="337"/>
      <c r="J92" s="527"/>
      <c r="K92" s="527"/>
      <c r="M92" s="359">
        <f t="shared" si="17"/>
        <v>4.4214057020887333E-3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490">
        <f>SUM(C82:C92)</f>
        <v>411571</v>
      </c>
      <c r="D93" s="490">
        <f>SUM(D82:D92)</f>
        <v>42782</v>
      </c>
      <c r="E93" s="171">
        <f t="shared" ref="E93:F93" si="18">SUM(E82:E92)</f>
        <v>454353</v>
      </c>
      <c r="F93" s="171">
        <f t="shared" si="18"/>
        <v>0</v>
      </c>
      <c r="G93" s="171">
        <f>SUM(G82:G92)</f>
        <v>454353</v>
      </c>
      <c r="H93" s="172">
        <f t="shared" si="16"/>
        <v>6.1871897489012992E-2</v>
      </c>
      <c r="I93" s="337"/>
      <c r="J93" s="527"/>
      <c r="K93" s="527"/>
      <c r="M93" s="364">
        <f>G93/G$228</f>
        <v>17.317921939320019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I94" s="341"/>
      <c r="J94" s="527"/>
      <c r="K94" s="527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1"/>
      <c r="J95" s="527"/>
      <c r="K95" s="527"/>
      <c r="M95" s="359"/>
      <c r="N95" s="359"/>
    </row>
    <row r="96" spans="1:14" s="167" customFormat="1">
      <c r="A96" s="169" t="s">
        <v>85</v>
      </c>
      <c r="B96" s="170" t="s">
        <v>44</v>
      </c>
      <c r="C96" s="490">
        <f>'[32]Sch C'!D89</f>
        <v>240592</v>
      </c>
      <c r="D96" s="490">
        <f>'[32]Sch C'!F89</f>
        <v>21426</v>
      </c>
      <c r="E96" s="171">
        <f t="shared" ref="E96:E101" si="19">C96+D96</f>
        <v>262018</v>
      </c>
      <c r="F96" s="171"/>
      <c r="G96" s="171">
        <f t="shared" ref="G96:G101" si="20">E96+F96</f>
        <v>262018</v>
      </c>
      <c r="H96" s="172">
        <f t="shared" ref="H96:H102" si="21">IF($G$208=0,0,G96/$G$208)</f>
        <v>3.5680518971540204E-2</v>
      </c>
      <c r="I96" s="337"/>
      <c r="J96" s="492">
        <v>16598.39</v>
      </c>
      <c r="K96" s="492">
        <v>17480.67571428571</v>
      </c>
      <c r="M96" s="364">
        <f t="shared" ref="M96:M101" si="22">G96/G$228</f>
        <v>9.9869644762921173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490">
        <f>'[32]Sch C'!D90</f>
        <v>20514</v>
      </c>
      <c r="D97" s="490">
        <f>'[32]Sch C'!F90</f>
        <v>0</v>
      </c>
      <c r="E97" s="171">
        <f t="shared" si="19"/>
        <v>20514</v>
      </c>
      <c r="F97" s="171"/>
      <c r="G97" s="171">
        <f t="shared" si="20"/>
        <v>20514</v>
      </c>
      <c r="H97" s="172">
        <f t="shared" si="21"/>
        <v>2.793511003756138E-3</v>
      </c>
      <c r="I97" s="337"/>
      <c r="J97" s="527"/>
      <c r="K97" s="527"/>
      <c r="M97" s="364">
        <f t="shared" si="22"/>
        <v>0.78190272907455405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490">
        <f>'[32]Sch C'!D91</f>
        <v>34726</v>
      </c>
      <c r="D98" s="490">
        <f>'[32]Sch C'!F91</f>
        <v>0</v>
      </c>
      <c r="E98" s="171">
        <f t="shared" si="19"/>
        <v>34726</v>
      </c>
      <c r="F98" s="171"/>
      <c r="G98" s="171">
        <f t="shared" si="20"/>
        <v>34726</v>
      </c>
      <c r="H98" s="172">
        <f t="shared" si="21"/>
        <v>4.7288419185159232E-3</v>
      </c>
      <c r="I98" s="337"/>
      <c r="J98" s="527"/>
      <c r="K98" s="527"/>
      <c r="M98" s="364">
        <f t="shared" si="22"/>
        <v>1.3236011587132184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490">
        <f>'[32]Sch C'!D92</f>
        <v>205846</v>
      </c>
      <c r="D99" s="490">
        <f>'[32]Sch C'!F92</f>
        <v>-5448</v>
      </c>
      <c r="E99" s="171">
        <f t="shared" si="19"/>
        <v>200398</v>
      </c>
      <c r="F99" s="171"/>
      <c r="G99" s="171">
        <f t="shared" si="20"/>
        <v>200398</v>
      </c>
      <c r="H99" s="172">
        <f t="shared" si="21"/>
        <v>2.7289364245428611E-2</v>
      </c>
      <c r="I99" s="337"/>
      <c r="J99" s="527"/>
      <c r="K99" s="527"/>
      <c r="M99" s="364">
        <f t="shared" si="22"/>
        <v>7.6382832748894645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490">
        <f>'[32]Sch C'!D93</f>
        <v>14464</v>
      </c>
      <c r="D100" s="490">
        <f>'[32]Sch C'!F93</f>
        <v>-152</v>
      </c>
      <c r="E100" s="171">
        <f t="shared" si="19"/>
        <v>14312</v>
      </c>
      <c r="F100" s="171"/>
      <c r="G100" s="171">
        <f t="shared" si="20"/>
        <v>14312</v>
      </c>
      <c r="H100" s="172">
        <f t="shared" si="21"/>
        <v>1.9489484978920662E-3</v>
      </c>
      <c r="I100" s="337"/>
      <c r="J100" s="527"/>
      <c r="K100" s="527"/>
      <c r="M100" s="364">
        <f t="shared" si="22"/>
        <v>0.54550998627839609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490">
        <f>'[32]Sch C'!D94</f>
        <v>0</v>
      </c>
      <c r="D101" s="490">
        <f>'[32]Sch C'!F94</f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I101" s="337"/>
      <c r="J101" s="527"/>
      <c r="K101" s="527"/>
      <c r="M101" s="364">
        <f t="shared" si="22"/>
        <v>0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490">
        <f>SUM(C96:C101)</f>
        <v>516142</v>
      </c>
      <c r="D102" s="490">
        <f>SUM(D96:D101)</f>
        <v>15826</v>
      </c>
      <c r="E102" s="171">
        <f t="shared" ref="E102:F102" si="23">SUM(E96:E101)</f>
        <v>531968</v>
      </c>
      <c r="F102" s="171">
        <f t="shared" si="23"/>
        <v>0</v>
      </c>
      <c r="G102" s="171">
        <f>SUM(G96:G101)</f>
        <v>531968</v>
      </c>
      <c r="H102" s="172">
        <f t="shared" si="21"/>
        <v>7.2441184637132949E-2</v>
      </c>
      <c r="I102" s="337"/>
      <c r="J102" s="527"/>
      <c r="K102" s="527"/>
      <c r="M102" s="364">
        <f>G102/G$228</f>
        <v>20.276261625247752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I103" s="341"/>
      <c r="J103" s="527"/>
      <c r="K103" s="527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1"/>
      <c r="J104" s="527"/>
      <c r="K104" s="527"/>
      <c r="M104" s="359"/>
      <c r="N104" s="359"/>
    </row>
    <row r="105" spans="1:14" s="167" customFormat="1">
      <c r="A105" s="169" t="s">
        <v>85</v>
      </c>
      <c r="B105" s="170" t="s">
        <v>44</v>
      </c>
      <c r="C105" s="490">
        <f>'[32]Sch C'!D98</f>
        <v>50990</v>
      </c>
      <c r="D105" s="490">
        <f>'[32]Sch C'!F98</f>
        <v>4541</v>
      </c>
      <c r="E105" s="171">
        <f t="shared" ref="E105:E110" si="24">C105+D105</f>
        <v>55531</v>
      </c>
      <c r="F105" s="171"/>
      <c r="G105" s="171">
        <f t="shared" ref="G105:G110" si="25">E105+F105</f>
        <v>55531</v>
      </c>
      <c r="H105" s="172">
        <f t="shared" ref="H105:H111" si="26">IF($G$208=0,0,G105/$G$208)</f>
        <v>7.5619800891869992E-3</v>
      </c>
      <c r="I105" s="337"/>
      <c r="J105" s="492">
        <v>3613.5607142857139</v>
      </c>
      <c r="K105" s="492">
        <v>4103.2749999999996</v>
      </c>
      <c r="M105" s="364">
        <f t="shared" ref="M105:M110" si="27">G105/G$228</f>
        <v>2.1165955176093916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490">
        <f>'[32]Sch C'!D99</f>
        <v>4010</v>
      </c>
      <c r="D106" s="490">
        <f>'[32]Sch C'!F99</f>
        <v>0</v>
      </c>
      <c r="E106" s="171">
        <f t="shared" si="24"/>
        <v>4010</v>
      </c>
      <c r="F106" s="171"/>
      <c r="G106" s="171">
        <f t="shared" si="25"/>
        <v>4010</v>
      </c>
      <c r="H106" s="172">
        <f t="shared" si="26"/>
        <v>5.4606508360447077E-4</v>
      </c>
      <c r="I106" s="337"/>
      <c r="J106" s="527"/>
      <c r="K106" s="527"/>
      <c r="M106" s="364">
        <f t="shared" si="27"/>
        <v>0.15284342125323983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490">
        <f>'[32]Sch C'!D100</f>
        <v>5044</v>
      </c>
      <c r="D107" s="490">
        <f>'[32]Sch C'!F100</f>
        <v>-42</v>
      </c>
      <c r="E107" s="171">
        <f t="shared" si="24"/>
        <v>5002</v>
      </c>
      <c r="F107" s="171"/>
      <c r="G107" s="171">
        <f t="shared" si="25"/>
        <v>5002</v>
      </c>
      <c r="H107" s="172">
        <f t="shared" si="26"/>
        <v>6.811515082766989E-4</v>
      </c>
      <c r="I107" s="337"/>
      <c r="J107" s="527"/>
      <c r="K107" s="527"/>
      <c r="M107" s="364">
        <f t="shared" si="27"/>
        <v>0.19065406311937796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490">
        <f>'[32]Sch C'!D101</f>
        <v>0</v>
      </c>
      <c r="D108" s="490">
        <f>'[32]Sch C'!F101</f>
        <v>0</v>
      </c>
      <c r="E108" s="171">
        <f t="shared" si="24"/>
        <v>0</v>
      </c>
      <c r="F108" s="171"/>
      <c r="G108" s="171">
        <f t="shared" si="25"/>
        <v>0</v>
      </c>
      <c r="H108" s="172">
        <f t="shared" si="26"/>
        <v>0</v>
      </c>
      <c r="I108" s="337"/>
      <c r="J108" s="527"/>
      <c r="K108" s="527"/>
      <c r="M108" s="364">
        <f t="shared" si="27"/>
        <v>0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490">
        <f>'[32]Sch C'!D102</f>
        <v>6765</v>
      </c>
      <c r="D109" s="490">
        <f>'[32]Sch C'!F102</f>
        <v>0</v>
      </c>
      <c r="E109" s="171">
        <f t="shared" si="24"/>
        <v>6765</v>
      </c>
      <c r="F109" s="171"/>
      <c r="G109" s="171">
        <f t="shared" si="25"/>
        <v>6765</v>
      </c>
      <c r="H109" s="172">
        <f t="shared" si="26"/>
        <v>9.2122949889881416E-4</v>
      </c>
      <c r="I109" s="337"/>
      <c r="J109" s="527"/>
      <c r="K109" s="527"/>
      <c r="M109" s="364">
        <f t="shared" si="27"/>
        <v>0.25785180667784724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490">
        <f>'[32]Sch C'!D103</f>
        <v>0</v>
      </c>
      <c r="D110" s="490">
        <f>'[32]Sch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7"/>
      <c r="J110" s="527"/>
      <c r="K110" s="527"/>
      <c r="M110" s="364">
        <f t="shared" si="27"/>
        <v>0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490">
        <f>SUM(C105:C110)</f>
        <v>66809</v>
      </c>
      <c r="D111" s="490">
        <f>SUM(D105:D110)</f>
        <v>4499</v>
      </c>
      <c r="E111" s="171">
        <f t="shared" ref="E111:F111" si="28">SUM(E105:E110)</f>
        <v>71308</v>
      </c>
      <c r="F111" s="171">
        <f t="shared" si="28"/>
        <v>0</v>
      </c>
      <c r="G111" s="171">
        <f>SUM(G105:G110)</f>
        <v>71308</v>
      </c>
      <c r="H111" s="172">
        <f t="shared" si="26"/>
        <v>9.7104261799669835E-3</v>
      </c>
      <c r="I111" s="337"/>
      <c r="J111" s="527"/>
      <c r="K111" s="527"/>
      <c r="M111" s="364">
        <f>G111/G$228</f>
        <v>2.7179448086598565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I112" s="341"/>
      <c r="J112" s="527"/>
      <c r="K112" s="527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1"/>
      <c r="J113" s="527"/>
      <c r="K113" s="527"/>
      <c r="M113" s="359"/>
      <c r="N113" s="359"/>
    </row>
    <row r="114" spans="1:14" s="167" customFormat="1">
      <c r="A114" s="169" t="s">
        <v>85</v>
      </c>
      <c r="B114" s="170" t="s">
        <v>44</v>
      </c>
      <c r="C114" s="490">
        <f>'[32]Sch C'!D115</f>
        <v>91835</v>
      </c>
      <c r="D114" s="490">
        <f>'[32]Sch C'!F115</f>
        <v>8179</v>
      </c>
      <c r="E114" s="171">
        <f t="shared" ref="E114:E118" si="29">C114+D114</f>
        <v>100014</v>
      </c>
      <c r="F114" s="171"/>
      <c r="G114" s="171">
        <f>E114+F114</f>
        <v>100014</v>
      </c>
      <c r="H114" s="172">
        <f t="shared" ref="H114:H119" si="30">IF($G$208=0,0,G114/$G$208)</f>
        <v>1.3619489593919586E-2</v>
      </c>
      <c r="I114" s="337"/>
      <c r="J114" s="492">
        <v>7728.6442857142865</v>
      </c>
      <c r="K114" s="492">
        <v>8547.2157142857159</v>
      </c>
      <c r="M114" s="364">
        <f t="shared" ref="M114:M119" si="31">G114/G$228</f>
        <v>3.8120902576612288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490">
        <f>'[32]Sch C'!D116</f>
        <v>6732</v>
      </c>
      <c r="D115" s="490">
        <f>'[32]Sch C'!F116</f>
        <v>0</v>
      </c>
      <c r="E115" s="171">
        <f t="shared" si="29"/>
        <v>6732</v>
      </c>
      <c r="F115" s="171"/>
      <c r="G115" s="171">
        <f>E115+F115</f>
        <v>6732</v>
      </c>
      <c r="H115" s="172">
        <f t="shared" si="30"/>
        <v>9.1673569646516138E-4</v>
      </c>
      <c r="I115" s="337"/>
      <c r="J115" s="527"/>
      <c r="K115" s="527"/>
      <c r="M115" s="364">
        <f t="shared" si="31"/>
        <v>0.2565939929867358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490">
        <f>'[32]Sch C'!D117</f>
        <v>20033</v>
      </c>
      <c r="D116" s="490">
        <f>'[32]Sch C'!F117</f>
        <v>-11</v>
      </c>
      <c r="E116" s="171">
        <f t="shared" si="29"/>
        <v>20022</v>
      </c>
      <c r="F116" s="171"/>
      <c r="G116" s="171">
        <f>E116+F116</f>
        <v>20022</v>
      </c>
      <c r="H116" s="172">
        <f t="shared" si="30"/>
        <v>2.726512494745315E-3</v>
      </c>
      <c r="I116" s="337"/>
      <c r="J116" s="527"/>
      <c r="K116" s="527"/>
      <c r="M116" s="364">
        <f t="shared" si="31"/>
        <v>0.76314987040707427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490">
        <f>'[32]Sch C'!D118</f>
        <v>4745</v>
      </c>
      <c r="D117" s="490">
        <f>'[32]Sch C'!F118</f>
        <v>0</v>
      </c>
      <c r="E117" s="171">
        <f t="shared" si="29"/>
        <v>4745</v>
      </c>
      <c r="F117" s="171"/>
      <c r="G117" s="171">
        <f>E117+F117</f>
        <v>4745</v>
      </c>
      <c r="H117" s="172">
        <f t="shared" si="30"/>
        <v>6.4615431962673656E-4</v>
      </c>
      <c r="I117" s="337"/>
      <c r="J117" s="527"/>
      <c r="K117" s="527"/>
      <c r="M117" s="364">
        <f t="shared" si="31"/>
        <v>0.18085836255526758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490">
        <f>'[32]Sch C'!D119</f>
        <v>0</v>
      </c>
      <c r="D118" s="490">
        <f>'[32]Sch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337"/>
      <c r="J118" s="527"/>
      <c r="K118" s="527"/>
      <c r="M118" s="364">
        <f t="shared" si="31"/>
        <v>0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490">
        <f>SUM(C114:C118)</f>
        <v>123345</v>
      </c>
      <c r="D119" s="490">
        <f>SUM(D114:D118)</f>
        <v>8168</v>
      </c>
      <c r="E119" s="171">
        <f t="shared" ref="E119:F119" si="32">SUM(E114:E118)</f>
        <v>131513</v>
      </c>
      <c r="F119" s="171">
        <f t="shared" si="32"/>
        <v>0</v>
      </c>
      <c r="G119" s="171">
        <f>SUM(G114:G118)</f>
        <v>131513</v>
      </c>
      <c r="H119" s="172">
        <f t="shared" si="30"/>
        <v>1.79088921047568E-2</v>
      </c>
      <c r="I119" s="337"/>
      <c r="J119" s="527"/>
      <c r="K119" s="527"/>
      <c r="M119" s="364">
        <f t="shared" si="31"/>
        <v>5.0126924836103068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1"/>
      <c r="J121" s="489"/>
      <c r="K121" s="489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1"/>
      <c r="J122" s="489"/>
      <c r="K122" s="489"/>
      <c r="M122" s="359"/>
      <c r="N122" s="359"/>
    </row>
    <row r="123" spans="1:14" s="167" customFormat="1">
      <c r="B123" s="163" t="s">
        <v>232</v>
      </c>
      <c r="C123" s="490">
        <f>'[32]Sch C'!D124</f>
        <v>0</v>
      </c>
      <c r="D123" s="490">
        <f>'[32]Sch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7"/>
      <c r="J123" s="492">
        <v>0</v>
      </c>
      <c r="K123" s="492">
        <v>0</v>
      </c>
      <c r="M123" s="364">
        <f t="shared" ref="M123:M160" si="34">G123/G$228</f>
        <v>0</v>
      </c>
      <c r="N123" s="359">
        <f>SUMMARY!J126</f>
        <v>0.77002560279620991</v>
      </c>
    </row>
    <row r="124" spans="1:14" s="167" customFormat="1">
      <c r="B124" s="163" t="s">
        <v>194</v>
      </c>
      <c r="C124" s="490">
        <f>'[32]Sch C'!D125</f>
        <v>0</v>
      </c>
      <c r="D124" s="490">
        <f>'[32]Sch C'!F125</f>
        <v>343932</v>
      </c>
      <c r="E124" s="171">
        <f t="shared" si="33"/>
        <v>343932</v>
      </c>
      <c r="F124" s="171"/>
      <c r="G124" s="171">
        <f>E124+F124</f>
        <v>343932</v>
      </c>
      <c r="H124" s="172">
        <f>IF($G$208=0,0,G124/$G$208)</f>
        <v>4.6835226018516918E-2</v>
      </c>
      <c r="I124" s="337"/>
      <c r="J124" s="492">
        <v>8723.4428571428562</v>
      </c>
      <c r="K124" s="492">
        <v>9600.3714285714268</v>
      </c>
      <c r="M124" s="364">
        <f t="shared" si="34"/>
        <v>13.109162982161916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490">
        <f>'[32]Sch C'!D126</f>
        <v>0</v>
      </c>
      <c r="D125" s="490">
        <f>'[32]Sch C'!F126</f>
        <v>63814</v>
      </c>
      <c r="E125" s="171">
        <f t="shared" si="33"/>
        <v>63814</v>
      </c>
      <c r="F125" s="171"/>
      <c r="G125" s="171">
        <f>E125+F125</f>
        <v>63814</v>
      </c>
      <c r="H125" s="172">
        <f>IF($G$208=0,0,G125/$G$208)</f>
        <v>8.6899245000338389E-3</v>
      </c>
      <c r="I125" s="337"/>
      <c r="J125" s="492">
        <v>2169.5</v>
      </c>
      <c r="K125" s="492">
        <v>2321.5</v>
      </c>
      <c r="M125" s="364">
        <f t="shared" si="34"/>
        <v>2.4323067540783656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490">
        <f>'[32]Sch C'!D127</f>
        <v>0</v>
      </c>
      <c r="D126" s="490">
        <f>'[32]Sch C'!F127</f>
        <v>43054</v>
      </c>
      <c r="E126" s="171">
        <f t="shared" si="33"/>
        <v>43054</v>
      </c>
      <c r="F126" s="171"/>
      <c r="G126" s="171">
        <f>E126+F126</f>
        <v>43054</v>
      </c>
      <c r="H126" s="172">
        <f>IF($G$208=0,0,G126/$G$208)</f>
        <v>5.86291424177229E-3</v>
      </c>
      <c r="I126" s="337"/>
      <c r="J126" s="492">
        <v>1896.82</v>
      </c>
      <c r="K126" s="492">
        <v>2162.8199999999997</v>
      </c>
      <c r="M126" s="364">
        <f t="shared" si="34"/>
        <v>1.6410275956700717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490">
        <f>'[32]Sch C'!D128</f>
        <v>527213</v>
      </c>
      <c r="D127" s="490">
        <f>'[32]Sch C'!F128</f>
        <v>-450988</v>
      </c>
      <c r="E127" s="171">
        <f t="shared" si="33"/>
        <v>76225</v>
      </c>
      <c r="F127" s="171"/>
      <c r="G127" s="171">
        <f>E127+F127</f>
        <v>76225</v>
      </c>
      <c r="H127" s="172">
        <f>IF($G$208=0,0,G127/$G$208)</f>
        <v>1.0380002742581242E-2</v>
      </c>
      <c r="I127" s="337"/>
      <c r="J127" s="492">
        <v>4596.7921428571435</v>
      </c>
      <c r="K127" s="492">
        <v>5329.2207142857151</v>
      </c>
      <c r="M127" s="364">
        <f t="shared" si="34"/>
        <v>2.9053590486354626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205"/>
      <c r="G128" s="205"/>
      <c r="H128" s="206"/>
      <c r="I128" s="342"/>
      <c r="J128" s="531"/>
      <c r="K128" s="531"/>
      <c r="M128" s="364"/>
      <c r="N128" s="359"/>
    </row>
    <row r="129" spans="1:14" s="167" customFormat="1">
      <c r="A129" s="169"/>
      <c r="B129" s="163" t="s">
        <v>232</v>
      </c>
      <c r="C129" s="490">
        <f>'[32]Sch C'!D130</f>
        <v>0</v>
      </c>
      <c r="D129" s="490">
        <f>'[32]Sch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7"/>
      <c r="J129" s="489"/>
      <c r="K129" s="489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490">
        <f>'[32]Sch C'!D131</f>
        <v>0</v>
      </c>
      <c r="D130" s="490">
        <f>'[32]Sch C'!F131</f>
        <v>58649</v>
      </c>
      <c r="E130" s="171">
        <f t="shared" si="35"/>
        <v>58649</v>
      </c>
      <c r="F130" s="171"/>
      <c r="G130" s="171">
        <f>E130+F130</f>
        <v>58649</v>
      </c>
      <c r="H130" s="172">
        <f>IF($G$208=0,0,G130/$G$208)</f>
        <v>7.9865763312515232E-3</v>
      </c>
      <c r="I130" s="337"/>
      <c r="J130" s="489"/>
      <c r="K130" s="489"/>
      <c r="M130" s="364">
        <f t="shared" si="34"/>
        <v>2.2354398536362252</v>
      </c>
      <c r="N130" s="359">
        <f>SUMMARY!J133</f>
        <v>1.0792348507966931</v>
      </c>
    </row>
    <row r="131" spans="1:14" s="167" customFormat="1">
      <c r="B131" s="163" t="s">
        <v>195</v>
      </c>
      <c r="C131" s="490">
        <f>'[32]Sch C'!D132</f>
        <v>0</v>
      </c>
      <c r="D131" s="490">
        <f>'[32]Sch C'!F132</f>
        <v>10914</v>
      </c>
      <c r="E131" s="171">
        <f t="shared" si="35"/>
        <v>10914</v>
      </c>
      <c r="F131" s="171"/>
      <c r="G131" s="171">
        <f>E131+F131</f>
        <v>10914</v>
      </c>
      <c r="H131" s="172">
        <f>IF($G$208=0,0,G131/$G$208)</f>
        <v>1.4862230230571556E-3</v>
      </c>
      <c r="I131" s="337"/>
      <c r="J131" s="527"/>
      <c r="K131" s="527"/>
      <c r="M131" s="364">
        <f t="shared" si="34"/>
        <v>0.41599329166031407</v>
      </c>
      <c r="N131" s="359">
        <f>SUMMARY!J134</f>
        <v>8.2765628075518377E-2</v>
      </c>
    </row>
    <row r="132" spans="1:14" s="167" customFormat="1">
      <c r="B132" s="163" t="s">
        <v>196</v>
      </c>
      <c r="C132" s="490">
        <f>'[32]Sch C'!D133</f>
        <v>0</v>
      </c>
      <c r="D132" s="490">
        <f>'[32]Sch C'!F133</f>
        <v>7341</v>
      </c>
      <c r="E132" s="171">
        <f t="shared" si="35"/>
        <v>7341</v>
      </c>
      <c r="F132" s="171"/>
      <c r="G132" s="171">
        <f>E132+F132</f>
        <v>7341</v>
      </c>
      <c r="H132" s="172">
        <f>IF($G$208=0,0,G132/$G$208)</f>
        <v>9.9966677774075306E-4</v>
      </c>
      <c r="I132" s="337"/>
      <c r="J132" s="527"/>
      <c r="K132" s="527"/>
      <c r="M132" s="364">
        <f t="shared" si="34"/>
        <v>0.27980637292270161</v>
      </c>
      <c r="N132" s="359">
        <f>SUMMARY!J135</f>
        <v>2.4827298902786038E-2</v>
      </c>
    </row>
    <row r="133" spans="1:14" s="167" customFormat="1">
      <c r="B133" s="163" t="s">
        <v>197</v>
      </c>
      <c r="C133" s="490">
        <f>'[32]Sch C'!D134</f>
        <v>43955</v>
      </c>
      <c r="D133" s="490">
        <f>'[32]Sch C'!F134</f>
        <v>-29952</v>
      </c>
      <c r="E133" s="171">
        <f t="shared" si="35"/>
        <v>14003</v>
      </c>
      <c r="F133" s="171"/>
      <c r="G133" s="171">
        <f>E133+F133</f>
        <v>14003</v>
      </c>
      <c r="H133" s="172">
        <f>IF($G$208=0,0,G133/$G$208)</f>
        <v>1.9068701660133176E-3</v>
      </c>
      <c r="I133" s="337"/>
      <c r="J133" s="527"/>
      <c r="K133" s="527"/>
      <c r="M133" s="364">
        <f t="shared" si="34"/>
        <v>0.53373227626162523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7"/>
      <c r="J134" s="489"/>
      <c r="K134" s="489"/>
      <c r="M134" s="364"/>
      <c r="N134" s="359"/>
    </row>
    <row r="135" spans="1:14" s="167" customFormat="1">
      <c r="A135" s="169"/>
      <c r="B135" s="163" t="s">
        <v>194</v>
      </c>
      <c r="C135" s="490">
        <f>'[32]Sch C'!D136</f>
        <v>0</v>
      </c>
      <c r="D135" s="490">
        <f>'[32]Sch C'!F136</f>
        <v>695427</v>
      </c>
      <c r="E135" s="171">
        <f t="shared" ref="E135:E138" si="36">C135+D135</f>
        <v>695427</v>
      </c>
      <c r="F135" s="171"/>
      <c r="G135" s="171">
        <f>E135+F135</f>
        <v>695427</v>
      </c>
      <c r="H135" s="172">
        <f>IF($G$208=0,0,G135/$G$208)</f>
        <v>9.470034984932825E-2</v>
      </c>
      <c r="I135" s="337"/>
      <c r="J135" s="492">
        <v>20216.456428571426</v>
      </c>
      <c r="K135" s="492">
        <v>21676.849285714285</v>
      </c>
      <c r="M135" s="364">
        <f t="shared" si="34"/>
        <v>26.506593992986737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490">
        <f>'[32]Sch C'!D137</f>
        <v>0</v>
      </c>
      <c r="D136" s="490">
        <f>'[32]Sch C'!F137</f>
        <v>310107</v>
      </c>
      <c r="E136" s="171">
        <f t="shared" si="36"/>
        <v>310107</v>
      </c>
      <c r="F136" s="171"/>
      <c r="G136" s="171">
        <f>E136+F136</f>
        <v>310107</v>
      </c>
      <c r="H136" s="172">
        <f>IF($G$208=0,0,G136/$G$208)</f>
        <v>4.2229078524022849E-2</v>
      </c>
      <c r="I136" s="337"/>
      <c r="J136" s="492">
        <v>10484.321428571428</v>
      </c>
      <c r="K136" s="492">
        <v>11205.749999999998</v>
      </c>
      <c r="M136" s="364">
        <f t="shared" si="34"/>
        <v>11.819903948772678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490">
        <f>'[32]Sch C'!D138</f>
        <v>0</v>
      </c>
      <c r="D137" s="490">
        <f>'[32]Sch C'!F138</f>
        <v>749849</v>
      </c>
      <c r="E137" s="171">
        <f t="shared" si="36"/>
        <v>749849</v>
      </c>
      <c r="F137" s="171"/>
      <c r="G137" s="171">
        <f>E137+F137</f>
        <v>749849</v>
      </c>
      <c r="H137" s="172">
        <f>IF($G$208=0,0,G137/$G$208)</f>
        <v>0.10211131094157826</v>
      </c>
      <c r="I137" s="337"/>
      <c r="J137" s="492">
        <v>61062.946428571428</v>
      </c>
      <c r="K137" s="492">
        <v>64834.66071428571</v>
      </c>
      <c r="M137" s="364">
        <f t="shared" si="34"/>
        <v>28.580919347461503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490">
        <f>'[32]Sch C'!D139</f>
        <v>1755195</v>
      </c>
      <c r="D138" s="490">
        <f>'[32]Sch C'!F139</f>
        <v>-1755195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7"/>
      <c r="J138" s="492">
        <v>0</v>
      </c>
      <c r="K138" s="492">
        <v>0</v>
      </c>
      <c r="M138" s="364">
        <f t="shared" si="34"/>
        <v>0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7"/>
      <c r="J139" s="532"/>
      <c r="K139" s="532"/>
      <c r="M139" s="364"/>
      <c r="N139" s="359"/>
    </row>
    <row r="140" spans="1:14" s="167" customFormat="1">
      <c r="A140" s="169"/>
      <c r="B140" s="163" t="s">
        <v>194</v>
      </c>
      <c r="C140" s="490">
        <f>'[32]Sch C'!D141</f>
        <v>0</v>
      </c>
      <c r="D140" s="490">
        <f>'[32]Sch C'!F141</f>
        <v>121681</v>
      </c>
      <c r="E140" s="171">
        <f t="shared" ref="E140:E143" si="37">C140+D140</f>
        <v>121681</v>
      </c>
      <c r="F140" s="171"/>
      <c r="G140" s="171">
        <f>E140+F140</f>
        <v>121681</v>
      </c>
      <c r="H140" s="172">
        <f>IF($G$208=0,0,G140/$G$208)</f>
        <v>1.6570011331190924E-2</v>
      </c>
      <c r="I140" s="337"/>
      <c r="J140" s="527"/>
      <c r="K140" s="527"/>
      <c r="M140" s="364">
        <f t="shared" si="34"/>
        <v>4.6379402347918894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490">
        <f>'[32]Sch C'!D142</f>
        <v>0</v>
      </c>
      <c r="D141" s="490">
        <f>'[32]Sch C'!F142</f>
        <v>54260</v>
      </c>
      <c r="E141" s="171">
        <f t="shared" si="37"/>
        <v>54260</v>
      </c>
      <c r="F141" s="171"/>
      <c r="G141" s="171">
        <f>E141+F141</f>
        <v>54260</v>
      </c>
      <c r="H141" s="172">
        <f>IF($G$208=0,0,G141/$G$208)</f>
        <v>7.3889006075757062E-3</v>
      </c>
      <c r="I141" s="337"/>
      <c r="J141" s="527"/>
      <c r="K141" s="527"/>
      <c r="M141" s="364">
        <f t="shared" si="34"/>
        <v>2.0681506327184023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490">
        <f>'[32]Sch C'!D143</f>
        <v>0</v>
      </c>
      <c r="D142" s="490">
        <f>'[32]Sch C'!F143</f>
        <v>131204</v>
      </c>
      <c r="E142" s="171">
        <f t="shared" si="37"/>
        <v>131204</v>
      </c>
      <c r="F142" s="171"/>
      <c r="G142" s="171">
        <f>E142+F142</f>
        <v>131204</v>
      </c>
      <c r="H142" s="172">
        <f>IF($G$208=0,0,G142/$G$208)</f>
        <v>1.7866813772878052E-2</v>
      </c>
      <c r="I142" s="337"/>
      <c r="J142" s="527"/>
      <c r="K142" s="527"/>
      <c r="M142" s="364">
        <f t="shared" si="34"/>
        <v>5.0009147735935358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490">
        <f>'[32]Sch C'!D144</f>
        <v>150815</v>
      </c>
      <c r="D143" s="490">
        <f>'[32]Sch C'!F144</f>
        <v>-150815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7"/>
      <c r="J143" s="527"/>
      <c r="K143" s="527"/>
      <c r="M143" s="364">
        <f t="shared" si="34"/>
        <v>0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7"/>
      <c r="J144" s="489"/>
      <c r="K144" s="489"/>
      <c r="M144" s="364"/>
      <c r="N144" s="359"/>
    </row>
    <row r="145" spans="1:14" s="167" customFormat="1">
      <c r="A145" s="169"/>
      <c r="B145" s="163" t="s">
        <v>232</v>
      </c>
      <c r="C145" s="490">
        <f>'[32]Sch C'!D146</f>
        <v>0</v>
      </c>
      <c r="D145" s="490">
        <f>'[32]Sch C'!F146</f>
        <v>38400</v>
      </c>
      <c r="E145" s="171">
        <f t="shared" ref="E145:E153" si="38">C145+D145</f>
        <v>38400</v>
      </c>
      <c r="F145" s="171"/>
      <c r="G145" s="171">
        <f t="shared" ref="G145:G153" si="39">E145+F145</f>
        <v>38400</v>
      </c>
      <c r="H145" s="172">
        <f t="shared" ref="H145:H153" si="40">IF($G$208=0,0,G145/$G$208)</f>
        <v>5.2291519227959295E-3</v>
      </c>
      <c r="I145" s="337"/>
      <c r="J145" s="492">
        <v>192</v>
      </c>
      <c r="K145" s="492">
        <v>192</v>
      </c>
      <c r="M145" s="364">
        <f t="shared" si="34"/>
        <v>1.4636377496569599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490">
        <f>'[32]Sch C'!D147</f>
        <v>0</v>
      </c>
      <c r="D146" s="490">
        <f>'[32]Sch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337"/>
      <c r="J146" s="492">
        <v>0</v>
      </c>
      <c r="K146" s="492">
        <v>0</v>
      </c>
      <c r="M146" s="364">
        <f t="shared" si="34"/>
        <v>0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490">
        <f>'[32]Sch C'!D148</f>
        <v>0</v>
      </c>
      <c r="D147" s="490">
        <f>'[32]Sch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7"/>
      <c r="J147" s="492">
        <v>0</v>
      </c>
      <c r="K147" s="492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490">
        <f>'[32]Sch C'!D149</f>
        <v>0</v>
      </c>
      <c r="D148" s="490">
        <f>'[32]Sch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7"/>
      <c r="J148" s="492">
        <v>0</v>
      </c>
      <c r="K148" s="492">
        <v>0</v>
      </c>
      <c r="M148" s="364">
        <f t="shared" si="34"/>
        <v>0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490">
        <f>'[32]Sch C'!D150</f>
        <v>38970</v>
      </c>
      <c r="D149" s="490">
        <f>'[32]Sch C'!F150</f>
        <v>-38430</v>
      </c>
      <c r="E149" s="171">
        <f t="shared" si="38"/>
        <v>540</v>
      </c>
      <c r="F149" s="171"/>
      <c r="G149" s="171">
        <f t="shared" si="39"/>
        <v>540</v>
      </c>
      <c r="H149" s="172">
        <f t="shared" si="40"/>
        <v>7.3534948914317759E-5</v>
      </c>
      <c r="I149" s="337"/>
      <c r="J149" s="492">
        <v>12</v>
      </c>
      <c r="K149" s="492">
        <v>12</v>
      </c>
      <c r="M149" s="364">
        <f t="shared" si="34"/>
        <v>2.0582405854550997E-2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490">
        <f>'[32]Sch C'!D151</f>
        <v>212036</v>
      </c>
      <c r="D150" s="490">
        <f>'[32]Sch C'!F151</f>
        <v>-876</v>
      </c>
      <c r="E150" s="171">
        <f t="shared" si="38"/>
        <v>211160</v>
      </c>
      <c r="F150" s="171"/>
      <c r="G150" s="171">
        <f t="shared" si="39"/>
        <v>211160</v>
      </c>
      <c r="H150" s="172">
        <f t="shared" si="40"/>
        <v>2.8754888542124699E-2</v>
      </c>
      <c r="I150" s="337"/>
      <c r="J150" s="527"/>
      <c r="K150" s="527"/>
      <c r="M150" s="364">
        <f t="shared" si="34"/>
        <v>8.0484830004573862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490">
        <f>'[32]Sch C'!D152</f>
        <v>5191</v>
      </c>
      <c r="D151" s="490">
        <f>'[32]Sch C'!F152</f>
        <v>0</v>
      </c>
      <c r="E151" s="171">
        <f t="shared" si="38"/>
        <v>5191</v>
      </c>
      <c r="F151" s="171"/>
      <c r="G151" s="171">
        <f t="shared" si="39"/>
        <v>5191</v>
      </c>
      <c r="H151" s="172">
        <f t="shared" si="40"/>
        <v>7.0688874039671011E-4</v>
      </c>
      <c r="I151" s="337"/>
      <c r="J151" s="527"/>
      <c r="K151" s="527"/>
      <c r="M151" s="364">
        <f t="shared" si="34"/>
        <v>0.19785790516847079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490">
        <f>'[32]Sch C'!D153</f>
        <v>0</v>
      </c>
      <c r="D152" s="490">
        <f>'[32]Sch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7"/>
      <c r="J152" s="527"/>
      <c r="K152" s="527"/>
      <c r="M152" s="364">
        <f t="shared" si="34"/>
        <v>0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490">
        <f>'[32]Sch C'!D154</f>
        <v>129</v>
      </c>
      <c r="D153" s="490">
        <f>'[32]Sch C'!F154</f>
        <v>0</v>
      </c>
      <c r="E153" s="171">
        <f t="shared" si="38"/>
        <v>129</v>
      </c>
      <c r="F153" s="171"/>
      <c r="G153" s="171">
        <f t="shared" si="39"/>
        <v>129</v>
      </c>
      <c r="H153" s="172">
        <f t="shared" si="40"/>
        <v>1.7566682240642575E-5</v>
      </c>
      <c r="I153" s="337"/>
      <c r="J153" s="527"/>
      <c r="K153" s="527"/>
      <c r="M153" s="364">
        <f t="shared" si="34"/>
        <v>4.9169080652538494E-3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210"/>
      <c r="G154" s="210"/>
      <c r="H154" s="211"/>
      <c r="I154" s="337"/>
      <c r="J154" s="527"/>
      <c r="K154" s="527"/>
      <c r="M154" s="364"/>
      <c r="N154" s="359"/>
    </row>
    <row r="155" spans="1:14" s="167" customFormat="1">
      <c r="A155" s="169">
        <v>440.1</v>
      </c>
      <c r="B155" s="163" t="s">
        <v>223</v>
      </c>
      <c r="C155" s="490">
        <f>'[32]Sch C'!D156</f>
        <v>0</v>
      </c>
      <c r="D155" s="490">
        <f>'[32]Sch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527"/>
      <c r="K155" s="527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490">
        <f>'[32]Sch C'!D157</f>
        <v>0</v>
      </c>
      <c r="D156" s="490">
        <f>'[32]Sch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7"/>
      <c r="J156" s="527"/>
      <c r="K156" s="527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490">
        <f>'[32]Sch C'!D158</f>
        <v>0</v>
      </c>
      <c r="D157" s="490">
        <f>'[32]Sch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7"/>
      <c r="J157" s="527"/>
      <c r="K157" s="527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490">
        <f>'[32]Sch C'!D159</f>
        <v>0</v>
      </c>
      <c r="D158" s="490">
        <f>'[32]Sch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7"/>
      <c r="J158" s="527"/>
      <c r="K158" s="527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490">
        <f>'[32]Sch C'!D160</f>
        <v>0</v>
      </c>
      <c r="D159" s="490">
        <f>'[32]Sch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7"/>
      <c r="J159" s="527"/>
      <c r="K159" s="527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490">
        <f>'[32]Sch C'!D161</f>
        <v>6952</v>
      </c>
      <c r="D160" s="490">
        <f>'[32]Sch C'!F161</f>
        <v>0</v>
      </c>
      <c r="E160" s="171">
        <f t="shared" si="41"/>
        <v>6952</v>
      </c>
      <c r="F160" s="171"/>
      <c r="G160" s="171">
        <f t="shared" si="42"/>
        <v>6952</v>
      </c>
      <c r="H160" s="172">
        <f t="shared" si="43"/>
        <v>9.466943793561797E-4</v>
      </c>
      <c r="I160" s="337"/>
      <c r="J160" s="527"/>
      <c r="K160" s="527"/>
      <c r="M160" s="364">
        <f t="shared" si="34"/>
        <v>0.26497941759414545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490">
        <f>SUM(C123:C160)</f>
        <v>2740456</v>
      </c>
      <c r="D161" s="490">
        <f>SUM(D123:D160)</f>
        <v>202376</v>
      </c>
      <c r="E161" s="171">
        <f t="shared" ref="E161:F161" si="44">SUM(E123:E160)</f>
        <v>2942832</v>
      </c>
      <c r="F161" s="171">
        <f t="shared" si="44"/>
        <v>0</v>
      </c>
      <c r="G161" s="171">
        <f>SUM(G123:G160)</f>
        <v>2942832</v>
      </c>
      <c r="H161" s="172">
        <f t="shared" si="43"/>
        <v>0.40074259404336954</v>
      </c>
      <c r="I161" s="337"/>
      <c r="J161" s="527"/>
      <c r="K161" s="527"/>
      <c r="M161" s="364">
        <f>G161/G$228</f>
        <v>112.16770849214819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337"/>
      <c r="J162" s="527"/>
      <c r="K162" s="527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7"/>
      <c r="J163" s="527"/>
      <c r="K163" s="527"/>
      <c r="M163" s="359"/>
      <c r="N163" s="359"/>
    </row>
    <row r="164" spans="1:17" s="221" customFormat="1">
      <c r="A164" s="215" t="s">
        <v>95</v>
      </c>
      <c r="B164" s="148" t="s">
        <v>102</v>
      </c>
      <c r="C164" s="490">
        <f>'[32]Sch C'!D175</f>
        <v>0</v>
      </c>
      <c r="D164" s="490">
        <f>'[32]Sch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492">
        <v>0</v>
      </c>
      <c r="K164" s="492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490">
        <f>'[32]Sch C'!D176</f>
        <v>0</v>
      </c>
      <c r="D165" s="490">
        <f>'[32]Sch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4"/>
      <c r="J165" s="533"/>
      <c r="K165" s="533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490">
        <f>'[32]Sch C'!D177</f>
        <v>359656</v>
      </c>
      <c r="D166" s="490">
        <f>'[32]Sch C'!F177</f>
        <v>30799</v>
      </c>
      <c r="E166" s="171">
        <f t="shared" si="45"/>
        <v>390455</v>
      </c>
      <c r="F166" s="216"/>
      <c r="G166" s="171">
        <f t="shared" si="46"/>
        <v>390455</v>
      </c>
      <c r="H166" s="172">
        <f t="shared" si="47"/>
        <v>5.3170534219148038E-2</v>
      </c>
      <c r="I166" s="343"/>
      <c r="J166" s="492">
        <v>10527.714285714286</v>
      </c>
      <c r="K166" s="492">
        <v>11874.013571428572</v>
      </c>
      <c r="L166" s="218"/>
      <c r="M166" s="364">
        <f t="shared" si="48"/>
        <v>14.882413477664278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490">
        <f>'[32]Sch C'!D178</f>
        <v>27782</v>
      </c>
      <c r="D167" s="490">
        <f>'[32]Sch C'!F178</f>
        <v>1130</v>
      </c>
      <c r="E167" s="171">
        <f t="shared" si="45"/>
        <v>28912</v>
      </c>
      <c r="F167" s="216"/>
      <c r="G167" s="171">
        <f t="shared" si="46"/>
        <v>28912</v>
      </c>
      <c r="H167" s="172">
        <f t="shared" si="47"/>
        <v>3.9371156352051018E-3</v>
      </c>
      <c r="I167" s="344"/>
      <c r="J167" s="533"/>
      <c r="K167" s="533"/>
      <c r="L167" s="218"/>
      <c r="M167" s="364">
        <f t="shared" si="48"/>
        <v>1.1019972556792195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490">
        <f>'[32]Sch C'!D179</f>
        <v>92404</v>
      </c>
      <c r="D168" s="490">
        <f>'[32]Sch C'!F179</f>
        <v>8229</v>
      </c>
      <c r="E168" s="171">
        <f t="shared" si="45"/>
        <v>100633</v>
      </c>
      <c r="F168" s="216"/>
      <c r="G168" s="171">
        <f t="shared" si="46"/>
        <v>100633</v>
      </c>
      <c r="H168" s="172">
        <f t="shared" si="47"/>
        <v>1.3703782433508406E-2</v>
      </c>
      <c r="I168" s="343"/>
      <c r="J168" s="492">
        <v>1931.6835714285712</v>
      </c>
      <c r="K168" s="492">
        <v>2065.2192857142854</v>
      </c>
      <c r="L168" s="218"/>
      <c r="M168" s="364">
        <f t="shared" si="48"/>
        <v>3.8356837932611678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490">
        <f>'[32]Sch C'!D180</f>
        <v>6802</v>
      </c>
      <c r="D169" s="490">
        <f>'[32]Sch C'!F180</f>
        <v>0</v>
      </c>
      <c r="E169" s="171">
        <f t="shared" si="45"/>
        <v>6802</v>
      </c>
      <c r="F169" s="216"/>
      <c r="G169" s="171">
        <f t="shared" si="46"/>
        <v>6802</v>
      </c>
      <c r="H169" s="172">
        <f t="shared" si="47"/>
        <v>9.2626800465775818E-4</v>
      </c>
      <c r="I169" s="344"/>
      <c r="J169" s="533"/>
      <c r="K169" s="533"/>
      <c r="L169" s="218"/>
      <c r="M169" s="364">
        <f t="shared" si="48"/>
        <v>0.25926208263454797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490">
        <f>'[32]Sch C'!D181</f>
        <v>0</v>
      </c>
      <c r="D170" s="490">
        <f>'[32]Sch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3"/>
      <c r="J170" s="492">
        <v>0</v>
      </c>
      <c r="K170" s="492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490">
        <f>'[32]Sch C'!D182</f>
        <v>0</v>
      </c>
      <c r="D171" s="490">
        <f>'[32]Sch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4"/>
      <c r="J171" s="533"/>
      <c r="K171" s="533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490">
        <f>'[32]Sch C'!D183</f>
        <v>366931</v>
      </c>
      <c r="D172" s="490">
        <f>'[32]Sch C'!F183</f>
        <v>30580</v>
      </c>
      <c r="E172" s="171">
        <f t="shared" si="45"/>
        <v>397511</v>
      </c>
      <c r="F172" s="216"/>
      <c r="G172" s="171">
        <f t="shared" si="46"/>
        <v>397511</v>
      </c>
      <c r="H172" s="172">
        <f t="shared" si="47"/>
        <v>5.4131390884961793E-2</v>
      </c>
      <c r="I172" s="343"/>
      <c r="J172" s="492">
        <v>8457.5021428571417</v>
      </c>
      <c r="K172" s="492">
        <v>9228.1535714285728</v>
      </c>
      <c r="L172" s="218"/>
      <c r="M172" s="364">
        <f t="shared" si="48"/>
        <v>15.151356914163744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490">
        <f>'[32]Sch C'!D184</f>
        <v>28203</v>
      </c>
      <c r="D173" s="490">
        <f>'[32]Sch C'!F184</f>
        <v>764</v>
      </c>
      <c r="E173" s="171">
        <f t="shared" si="45"/>
        <v>28967</v>
      </c>
      <c r="F173" s="216"/>
      <c r="G173" s="171">
        <f t="shared" si="46"/>
        <v>28967</v>
      </c>
      <c r="H173" s="172">
        <f t="shared" si="47"/>
        <v>3.9446053059278563E-3</v>
      </c>
      <c r="I173" s="344"/>
      <c r="J173" s="533"/>
      <c r="K173" s="533"/>
      <c r="L173" s="218"/>
      <c r="M173" s="364">
        <f t="shared" si="48"/>
        <v>1.1040936118310718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490">
        <f>'[32]Sch C'!D185</f>
        <v>0</v>
      </c>
      <c r="D174" s="490">
        <f>'[32]Sch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3"/>
      <c r="J174" s="492">
        <v>0</v>
      </c>
      <c r="K174" s="492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490">
        <f>'[32]Sch C'!D186</f>
        <v>0</v>
      </c>
      <c r="D175" s="490">
        <f>'[32]Sch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7"/>
      <c r="J175" s="534"/>
      <c r="K175" s="535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490">
        <f>'[32]Sch C'!D187</f>
        <v>0</v>
      </c>
      <c r="D176" s="490">
        <f>'[32]Sch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7"/>
      <c r="J176" s="534"/>
      <c r="K176" s="535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490">
        <f>'[32]Sch C'!D188</f>
        <v>14039</v>
      </c>
      <c r="D177" s="490">
        <f>'[32]Sch C'!F188</f>
        <v>0</v>
      </c>
      <c r="E177" s="171">
        <f t="shared" si="45"/>
        <v>14039</v>
      </c>
      <c r="F177" s="216"/>
      <c r="G177" s="171">
        <f t="shared" si="46"/>
        <v>14039</v>
      </c>
      <c r="H177" s="172">
        <f t="shared" si="47"/>
        <v>1.9117724959409389E-3</v>
      </c>
      <c r="I177" s="337"/>
      <c r="J177" s="534"/>
      <c r="K177" s="535"/>
      <c r="L177" s="220"/>
      <c r="M177" s="364">
        <f t="shared" si="48"/>
        <v>0.53510443665192864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490">
        <f>'[32]Sch C'!D189</f>
        <v>222</v>
      </c>
      <c r="D178" s="490">
        <f>'[32]Sch C'!F189</f>
        <v>0</v>
      </c>
      <c r="E178" s="171">
        <f t="shared" si="45"/>
        <v>222</v>
      </c>
      <c r="F178" s="216"/>
      <c r="G178" s="171">
        <f t="shared" si="46"/>
        <v>222</v>
      </c>
      <c r="H178" s="172">
        <f t="shared" si="47"/>
        <v>3.0231034553663969E-5</v>
      </c>
      <c r="I178" s="337"/>
      <c r="J178" s="534"/>
      <c r="K178" s="535"/>
      <c r="L178" s="220"/>
      <c r="M178" s="364">
        <f t="shared" si="48"/>
        <v>8.4616557402042991E-3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490">
        <f>'[32]Sch C'!D190</f>
        <v>0</v>
      </c>
      <c r="D179" s="490">
        <f>'[32]Sch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7"/>
      <c r="J179" s="534"/>
      <c r="K179" s="535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490">
        <f>'[32]Sch C'!D191</f>
        <v>2256</v>
      </c>
      <c r="D180" s="490">
        <f>'[32]Sch C'!F191</f>
        <v>0</v>
      </c>
      <c r="E180" s="171">
        <f t="shared" si="45"/>
        <v>2256</v>
      </c>
      <c r="F180" s="216"/>
      <c r="G180" s="171">
        <f t="shared" si="46"/>
        <v>2256</v>
      </c>
      <c r="H180" s="172">
        <f t="shared" si="47"/>
        <v>3.0721267546426087E-4</v>
      </c>
      <c r="I180" s="337"/>
      <c r="J180" s="534"/>
      <c r="K180" s="535"/>
      <c r="L180" s="220"/>
      <c r="M180" s="364">
        <f t="shared" si="48"/>
        <v>8.5988717792346389E-2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490">
        <f>'[32]Sch C'!D192</f>
        <v>392</v>
      </c>
      <c r="D181" s="490">
        <f>'[32]Sch C'!F192</f>
        <v>0</v>
      </c>
      <c r="E181" s="171">
        <f t="shared" si="45"/>
        <v>392</v>
      </c>
      <c r="F181" s="216"/>
      <c r="G181" s="171">
        <f t="shared" si="46"/>
        <v>392</v>
      </c>
      <c r="H181" s="172">
        <f t="shared" si="47"/>
        <v>5.3380925878541778E-5</v>
      </c>
      <c r="I181" s="337"/>
      <c r="J181" s="534"/>
      <c r="K181" s="535"/>
      <c r="L181" s="220"/>
      <c r="M181" s="364">
        <f t="shared" si="48"/>
        <v>1.4941302027748132E-2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490">
        <f>'[32]Sch C'!D193</f>
        <v>0</v>
      </c>
      <c r="D182" s="490">
        <f>'[32]Sch C'!F193</f>
        <v>0</v>
      </c>
      <c r="E182" s="171">
        <f t="shared" si="45"/>
        <v>0</v>
      </c>
      <c r="F182" s="216"/>
      <c r="G182" s="171">
        <f t="shared" si="46"/>
        <v>0</v>
      </c>
      <c r="H182" s="172">
        <f t="shared" si="47"/>
        <v>0</v>
      </c>
      <c r="I182" s="337"/>
      <c r="J182" s="534"/>
      <c r="K182" s="535"/>
      <c r="L182" s="220"/>
      <c r="M182" s="364">
        <f t="shared" si="48"/>
        <v>0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490">
        <f>'[32]Sch C'!D194</f>
        <v>-91</v>
      </c>
      <c r="D183" s="490">
        <f>'[32]Sch C'!F194</f>
        <v>0</v>
      </c>
      <c r="E183" s="171">
        <f t="shared" si="45"/>
        <v>-91</v>
      </c>
      <c r="F183" s="216"/>
      <c r="G183" s="171">
        <f t="shared" si="46"/>
        <v>-91</v>
      </c>
      <c r="H183" s="172">
        <f t="shared" si="47"/>
        <v>-1.2392000650375771E-5</v>
      </c>
      <c r="I183" s="337"/>
      <c r="J183" s="534"/>
      <c r="K183" s="535"/>
      <c r="M183" s="364">
        <f t="shared" si="48"/>
        <v>-3.4685165421558164E-3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490">
        <f>'[32]Sch C'!D195</f>
        <v>1926</v>
      </c>
      <c r="D184" s="490">
        <f>'[32]Sch C'!F195</f>
        <v>0</v>
      </c>
      <c r="E184" s="171">
        <f t="shared" si="45"/>
        <v>1926</v>
      </c>
      <c r="F184" s="216"/>
      <c r="G184" s="171">
        <f t="shared" si="46"/>
        <v>1926</v>
      </c>
      <c r="H184" s="172">
        <f t="shared" si="47"/>
        <v>2.6227465112773333E-4</v>
      </c>
      <c r="I184" s="337"/>
      <c r="J184" s="534"/>
      <c r="K184" s="535"/>
      <c r="M184" s="364">
        <f t="shared" si="48"/>
        <v>7.3410580881231896E-2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490">
        <f>'[32]Sch C'!D196</f>
        <v>0</v>
      </c>
      <c r="D185" s="490">
        <f>'[32]Sch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7"/>
      <c r="J185" s="534"/>
      <c r="K185" s="535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490">
        <f>'[32]Sch C'!D197</f>
        <v>0</v>
      </c>
      <c r="D186" s="490">
        <f>'[32]Sch C'!F197</f>
        <v>0</v>
      </c>
      <c r="E186" s="171">
        <f t="shared" si="45"/>
        <v>0</v>
      </c>
      <c r="F186" s="216"/>
      <c r="G186" s="171">
        <f t="shared" si="46"/>
        <v>0</v>
      </c>
      <c r="H186" s="172">
        <f t="shared" si="47"/>
        <v>0</v>
      </c>
      <c r="I186" s="337"/>
      <c r="J186" s="534"/>
      <c r="K186" s="535"/>
      <c r="M186" s="364">
        <f t="shared" si="48"/>
        <v>0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490">
        <f>'[32]Sch C'!D198</f>
        <v>43390</v>
      </c>
      <c r="D187" s="490">
        <f>'[32]Sch C'!F198</f>
        <v>0</v>
      </c>
      <c r="E187" s="171">
        <f t="shared" si="45"/>
        <v>43390</v>
      </c>
      <c r="F187" s="216"/>
      <c r="G187" s="171">
        <f t="shared" si="46"/>
        <v>43390</v>
      </c>
      <c r="H187" s="172">
        <f t="shared" si="47"/>
        <v>5.9086693210967543E-3</v>
      </c>
      <c r="I187" s="337"/>
      <c r="J187" s="534"/>
      <c r="K187" s="535"/>
      <c r="M187" s="364">
        <f t="shared" si="48"/>
        <v>1.6538344259795701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490">
        <f>'[32]Sch C'!D199</f>
        <v>0</v>
      </c>
      <c r="D188" s="490">
        <f>'[32]Sch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7"/>
      <c r="J188" s="534"/>
      <c r="K188" s="535"/>
      <c r="M188" s="364">
        <f t="shared" si="48"/>
        <v>0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490">
        <f>'[32]Sch C'!D200</f>
        <v>0</v>
      </c>
      <c r="D189" s="490">
        <f>'[32]Sch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7"/>
      <c r="J189" s="534"/>
      <c r="K189" s="535"/>
      <c r="M189" s="364">
        <f t="shared" si="48"/>
        <v>0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490">
        <f>'[32]Sch C'!D201</f>
        <v>0</v>
      </c>
      <c r="D190" s="490">
        <f>'[32]Sch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7"/>
      <c r="J190" s="534"/>
      <c r="K190" s="535"/>
      <c r="M190" s="364">
        <f t="shared" si="48"/>
        <v>0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490">
        <f>'[32]Sch C'!D202</f>
        <v>0</v>
      </c>
      <c r="D191" s="490">
        <f>'[32]Sch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7"/>
      <c r="J191" s="534"/>
      <c r="K191" s="535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490">
        <f>'[32]Sch C'!D203</f>
        <v>0</v>
      </c>
      <c r="D192" s="490">
        <f>'[32]Sch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7"/>
      <c r="J192" s="534"/>
      <c r="K192" s="535"/>
      <c r="M192" s="364">
        <f t="shared" si="48"/>
        <v>0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490">
        <f>'[32]Sch C'!D204</f>
        <v>0</v>
      </c>
      <c r="D193" s="490">
        <f>'[32]Sch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7"/>
      <c r="J193" s="534"/>
      <c r="K193" s="535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490">
        <f>'[32]Sch C'!D205</f>
        <v>321493</v>
      </c>
      <c r="D194" s="490">
        <f>'[32]Sch C'!F205</f>
        <v>0</v>
      </c>
      <c r="E194" s="171">
        <f t="shared" si="45"/>
        <v>321493</v>
      </c>
      <c r="F194" s="216"/>
      <c r="G194" s="171">
        <f t="shared" si="46"/>
        <v>321493</v>
      </c>
      <c r="H194" s="172">
        <f t="shared" si="47"/>
        <v>4.377957653946437E-2</v>
      </c>
      <c r="I194" s="337"/>
      <c r="J194" s="534"/>
      <c r="K194" s="535"/>
      <c r="M194" s="364">
        <f t="shared" si="48"/>
        <v>12.253887787772527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490">
        <f>'[32]Sch C'!D206</f>
        <v>31849</v>
      </c>
      <c r="D195" s="490">
        <f>'[32]Sch C'!F206</f>
        <v>0</v>
      </c>
      <c r="E195" s="171">
        <f t="shared" si="45"/>
        <v>31849</v>
      </c>
      <c r="F195" s="216"/>
      <c r="G195" s="171">
        <f t="shared" si="46"/>
        <v>31849</v>
      </c>
      <c r="H195" s="172">
        <f t="shared" si="47"/>
        <v>4.3370640518001968E-3</v>
      </c>
      <c r="I195" s="337"/>
      <c r="J195" s="534"/>
      <c r="K195" s="535"/>
      <c r="M195" s="364">
        <f t="shared" si="48"/>
        <v>1.2139426741881385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490">
        <f>'[32]Sch C'!D207</f>
        <v>16261</v>
      </c>
      <c r="D196" s="490">
        <f>'[32]Sch C'!F207</f>
        <v>0</v>
      </c>
      <c r="E196" s="171">
        <f t="shared" si="45"/>
        <v>16261</v>
      </c>
      <c r="F196" s="216"/>
      <c r="G196" s="171">
        <f t="shared" si="46"/>
        <v>16261</v>
      </c>
      <c r="H196" s="172">
        <f t="shared" si="47"/>
        <v>2.2143551931402242E-3</v>
      </c>
      <c r="I196" s="337"/>
      <c r="J196" s="534"/>
      <c r="K196" s="535"/>
      <c r="M196" s="364">
        <f t="shared" si="48"/>
        <v>0.61979722518676628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490">
        <f>SUM(C164:C196)</f>
        <v>1313515</v>
      </c>
      <c r="D197" s="490">
        <f>SUM(D164:D196)</f>
        <v>71502</v>
      </c>
      <c r="E197" s="171">
        <f t="shared" ref="E197:F197" si="49">SUM(E164:E196)</f>
        <v>1385017</v>
      </c>
      <c r="F197" s="171">
        <f t="shared" si="49"/>
        <v>0</v>
      </c>
      <c r="G197" s="171">
        <f>SUM(G164:G196)</f>
        <v>1385017</v>
      </c>
      <c r="H197" s="172">
        <f>IF($G$208=0,0,G197/$G$208)</f>
        <v>0.18860584137122527</v>
      </c>
      <c r="I197" s="337"/>
      <c r="J197" s="527"/>
      <c r="K197" s="527"/>
      <c r="M197" s="364">
        <f>G197/G$228</f>
        <v>52.790707424912334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165"/>
      <c r="G198" s="165"/>
      <c r="H198" s="198"/>
      <c r="I198" s="341"/>
      <c r="J198" s="527"/>
      <c r="K198" s="527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1"/>
      <c r="J199" s="527"/>
      <c r="K199" s="527"/>
      <c r="M199" s="359"/>
      <c r="N199" s="359"/>
    </row>
    <row r="200" spans="1:16" s="167" customFormat="1">
      <c r="A200" s="169" t="s">
        <v>85</v>
      </c>
      <c r="B200" s="170" t="s">
        <v>69</v>
      </c>
      <c r="C200" s="490">
        <f>'[32]Sch C'!D211</f>
        <v>131289</v>
      </c>
      <c r="D200" s="490">
        <f>'[32]Sch C'!F211</f>
        <v>11692</v>
      </c>
      <c r="E200" s="171">
        <f t="shared" ref="E200:E205" si="50">C200+D200</f>
        <v>142981</v>
      </c>
      <c r="F200" s="171"/>
      <c r="G200" s="171">
        <f t="shared" ref="G200:G205" si="51">E200+F200</f>
        <v>142981</v>
      </c>
      <c r="H200" s="172">
        <f t="shared" ref="H200:H206" si="52">IF($G$208=0,0,G200/$G$208)</f>
        <v>1.9470556538366792E-2</v>
      </c>
      <c r="I200" s="337"/>
      <c r="J200" s="492">
        <v>7020.494999999999</v>
      </c>
      <c r="K200" s="492">
        <v>7840.7092857142852</v>
      </c>
      <c r="M200" s="364">
        <f t="shared" ref="M200:M205" si="53">G200/G$228</f>
        <v>5.4498017990547343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490">
        <f>'[32]Sch C'!D212</f>
        <v>10610</v>
      </c>
      <c r="D201" s="490">
        <f>'[32]Sch C'!F212</f>
        <v>0</v>
      </c>
      <c r="E201" s="171">
        <f t="shared" si="50"/>
        <v>10610</v>
      </c>
      <c r="F201" s="171"/>
      <c r="G201" s="171">
        <f t="shared" si="51"/>
        <v>10610</v>
      </c>
      <c r="H201" s="172">
        <f t="shared" si="52"/>
        <v>1.4448255703350212E-3</v>
      </c>
      <c r="I201" s="337"/>
      <c r="J201" s="527"/>
      <c r="K201" s="527"/>
      <c r="M201" s="364">
        <f t="shared" si="53"/>
        <v>0.40440615947552983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490">
        <f>'[32]Sch C'!D213</f>
        <v>13568</v>
      </c>
      <c r="D202" s="490">
        <f>'[32]Sch C'!F213</f>
        <v>0</v>
      </c>
      <c r="E202" s="171">
        <f t="shared" si="50"/>
        <v>13568</v>
      </c>
      <c r="F202" s="171"/>
      <c r="G202" s="171">
        <f t="shared" si="51"/>
        <v>13568</v>
      </c>
      <c r="H202" s="172">
        <f t="shared" si="52"/>
        <v>1.8476336793878951E-3</v>
      </c>
      <c r="I202" s="337"/>
      <c r="J202" s="527"/>
      <c r="K202" s="527"/>
      <c r="M202" s="364">
        <f t="shared" si="53"/>
        <v>0.51715200487879254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490">
        <f>'[32]Sch C'!D214</f>
        <v>0</v>
      </c>
      <c r="D203" s="490">
        <f>'[32]Sch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7"/>
      <c r="J203" s="527"/>
      <c r="K203" s="527"/>
      <c r="M203" s="364">
        <f t="shared" si="53"/>
        <v>0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490">
        <f>'[32]Sch C'!D215</f>
        <v>0</v>
      </c>
      <c r="D204" s="490">
        <f>'[32]Sch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7"/>
      <c r="J204" s="527"/>
      <c r="K204" s="527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490">
        <f>'[32]Sch C'!D216</f>
        <v>8824</v>
      </c>
      <c r="D205" s="490">
        <f>'[32]Sch C'!F216</f>
        <v>0</v>
      </c>
      <c r="E205" s="171">
        <f t="shared" si="50"/>
        <v>8824</v>
      </c>
      <c r="F205" s="171"/>
      <c r="G205" s="171">
        <f t="shared" si="51"/>
        <v>8824</v>
      </c>
      <c r="H205" s="172">
        <f t="shared" si="52"/>
        <v>1.2016155355924812E-3</v>
      </c>
      <c r="I205" s="337"/>
      <c r="J205" s="527"/>
      <c r="K205" s="527"/>
      <c r="M205" s="364">
        <f t="shared" si="53"/>
        <v>0.33633175788992226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490">
        <f>SUM(C200:C205)</f>
        <v>164291</v>
      </c>
      <c r="D206" s="490">
        <f>SUM(D200:D205)</f>
        <v>11692</v>
      </c>
      <c r="E206" s="171">
        <f t="shared" ref="E206:F206" si="54">SUM(E200:E205)</f>
        <v>175983</v>
      </c>
      <c r="F206" s="171">
        <f t="shared" si="54"/>
        <v>0</v>
      </c>
      <c r="G206" s="171">
        <f>SUM(G200:G205)</f>
        <v>175983</v>
      </c>
      <c r="H206" s="172">
        <f t="shared" si="52"/>
        <v>2.3964631323682189E-2</v>
      </c>
      <c r="I206" s="337"/>
      <c r="J206" s="527"/>
      <c r="K206" s="527"/>
      <c r="M206" s="364">
        <f>G206/G$228</f>
        <v>6.7076917212989784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165"/>
      <c r="G207" s="165"/>
      <c r="H207" s="198"/>
      <c r="I207" s="341"/>
      <c r="J207" s="527"/>
      <c r="K207" s="527"/>
      <c r="M207" s="359"/>
      <c r="N207" s="359"/>
    </row>
    <row r="208" spans="1:16" s="167" customFormat="1">
      <c r="A208" s="227"/>
      <c r="B208" s="228" t="s">
        <v>145</v>
      </c>
      <c r="C208" s="490">
        <f>SUM(C25:C206)/2</f>
        <v>7137119</v>
      </c>
      <c r="D208" s="490">
        <f>SUM(D25:D206)/2</f>
        <v>206328</v>
      </c>
      <c r="E208" s="171">
        <f t="shared" ref="E208:F208" si="55">SUM(E25:E206)/2</f>
        <v>7343447</v>
      </c>
      <c r="F208" s="171">
        <f t="shared" si="55"/>
        <v>0</v>
      </c>
      <c r="G208" s="171">
        <f>SUM(G25:G206)/2</f>
        <v>7343447</v>
      </c>
      <c r="H208" s="172">
        <f>IF($G$208=0,0,G208/$G$208)</f>
        <v>1</v>
      </c>
      <c r="I208" s="337"/>
      <c r="J208" s="183">
        <f>SUM(J25:J200)</f>
        <v>182317.07214285716</v>
      </c>
      <c r="K208" s="183">
        <f>SUM(K25:K200)</f>
        <v>197288.23714285716</v>
      </c>
      <c r="M208" s="364">
        <f>G208/G$228</f>
        <v>279.89964171367586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490">
        <f>'[32]Sch C'!D221</f>
        <v>7137119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490">
        <f>C208-C211</f>
        <v>0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619"/>
      <c r="D213" s="232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490">
        <f>C21-C208</f>
        <v>46156</v>
      </c>
      <c r="D215" s="490">
        <f>D21-D208</f>
        <v>34281</v>
      </c>
      <c r="E215" s="171">
        <f t="shared" ref="E215:F215" si="56">E21-E208</f>
        <v>80437</v>
      </c>
      <c r="F215" s="171">
        <f t="shared" si="56"/>
        <v>0</v>
      </c>
      <c r="G215" s="171">
        <f>G21-G208</f>
        <v>80437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491">
        <f>'[32]Sch D'!C9</f>
        <v>10388</v>
      </c>
      <c r="D219" s="491"/>
      <c r="E219" s="235">
        <f t="shared" ref="E219:G227" si="57">C219+D219</f>
        <v>10388</v>
      </c>
      <c r="F219" s="234"/>
      <c r="G219" s="235">
        <f t="shared" si="57"/>
        <v>10388</v>
      </c>
      <c r="H219" s="172">
        <f t="shared" ref="H219:H228" si="58">IF($G$228=0,0,G219/$G$228)</f>
        <v>0.39594450373532553</v>
      </c>
      <c r="I219" s="337"/>
      <c r="J219" s="168"/>
      <c r="K219" s="168"/>
    </row>
    <row r="220" spans="1:14">
      <c r="A220" s="163"/>
      <c r="B220" s="170" t="s">
        <v>217</v>
      </c>
      <c r="C220" s="491">
        <f>'[32]Sch D'!D9</f>
        <v>0</v>
      </c>
      <c r="D220" s="491"/>
      <c r="E220" s="235">
        <f t="shared" si="57"/>
        <v>0</v>
      </c>
      <c r="F220" s="234"/>
      <c r="G220" s="235">
        <f t="shared" si="57"/>
        <v>0</v>
      </c>
      <c r="H220" s="172">
        <f t="shared" si="58"/>
        <v>0</v>
      </c>
      <c r="I220" s="337"/>
      <c r="J220" s="168"/>
      <c r="K220" s="168"/>
    </row>
    <row r="221" spans="1:14">
      <c r="A221" s="163"/>
      <c r="B221" s="170" t="s">
        <v>72</v>
      </c>
      <c r="C221" s="491">
        <f>'[32]Sch D'!E9</f>
        <v>5832</v>
      </c>
      <c r="D221" s="491"/>
      <c r="E221" s="235">
        <f t="shared" si="57"/>
        <v>5832</v>
      </c>
      <c r="F221" s="234"/>
      <c r="G221" s="235">
        <f t="shared" si="57"/>
        <v>5832</v>
      </c>
      <c r="H221" s="172">
        <f t="shared" si="58"/>
        <v>0.22228998322915078</v>
      </c>
      <c r="I221" s="337"/>
      <c r="J221" s="168"/>
      <c r="K221" s="168"/>
    </row>
    <row r="222" spans="1:14">
      <c r="A222" s="163"/>
      <c r="B222" s="202" t="s">
        <v>334</v>
      </c>
      <c r="C222" s="491">
        <f>'[32]Sch D'!F9</f>
        <v>2223</v>
      </c>
      <c r="D222" s="491"/>
      <c r="E222" s="235">
        <f t="shared" si="57"/>
        <v>2223</v>
      </c>
      <c r="F222" s="234"/>
      <c r="G222" s="235">
        <f>E222+F222</f>
        <v>2223</v>
      </c>
      <c r="H222" s="172">
        <f t="shared" si="58"/>
        <v>8.4730904101234947E-2</v>
      </c>
      <c r="I222" s="337"/>
      <c r="J222" s="168"/>
      <c r="K222" s="168"/>
    </row>
    <row r="223" spans="1:14">
      <c r="A223" s="163"/>
      <c r="B223" s="170" t="s">
        <v>73</v>
      </c>
      <c r="C223" s="491">
        <f>'[32]Sch D'!G9</f>
        <v>0</v>
      </c>
      <c r="D223" s="491"/>
      <c r="E223" s="235">
        <f t="shared" si="57"/>
        <v>0</v>
      </c>
      <c r="F223" s="234"/>
      <c r="G223" s="235">
        <f t="shared" si="57"/>
        <v>0</v>
      </c>
      <c r="H223" s="172">
        <f t="shared" si="58"/>
        <v>0</v>
      </c>
      <c r="I223" s="337"/>
      <c r="J223" s="168"/>
      <c r="K223" s="168"/>
    </row>
    <row r="224" spans="1:14">
      <c r="A224" s="163"/>
      <c r="B224" s="170" t="s">
        <v>74</v>
      </c>
      <c r="C224" s="491">
        <f>'[32]Sch D'!H9</f>
        <v>5404</v>
      </c>
      <c r="D224" s="491"/>
      <c r="E224" s="235">
        <f t="shared" si="57"/>
        <v>5404</v>
      </c>
      <c r="F224" s="234"/>
      <c r="G224" s="235">
        <f t="shared" si="57"/>
        <v>5404</v>
      </c>
      <c r="H224" s="172">
        <f t="shared" si="58"/>
        <v>0.20597652081109924</v>
      </c>
      <c r="I224" s="337"/>
      <c r="J224" s="168"/>
      <c r="K224" s="168"/>
    </row>
    <row r="225" spans="1:11">
      <c r="A225" s="163"/>
      <c r="B225" s="170" t="s">
        <v>236</v>
      </c>
      <c r="C225" s="491">
        <f>'[32]Sch D'!I9</f>
        <v>1385</v>
      </c>
      <c r="D225" s="491"/>
      <c r="E225" s="235">
        <f t="shared" si="57"/>
        <v>1385</v>
      </c>
      <c r="F225" s="234"/>
      <c r="G225" s="235">
        <f t="shared" si="57"/>
        <v>1385</v>
      </c>
      <c r="H225" s="172">
        <f t="shared" si="58"/>
        <v>5.2790059460283582E-2</v>
      </c>
      <c r="I225" s="337"/>
      <c r="J225" s="168"/>
      <c r="K225" s="168"/>
    </row>
    <row r="226" spans="1:11">
      <c r="A226" s="163"/>
      <c r="B226" s="170" t="s">
        <v>235</v>
      </c>
      <c r="C226" s="491">
        <f>'[32]Sch D'!J9</f>
        <v>7</v>
      </c>
      <c r="D226" s="491"/>
      <c r="E226" s="235">
        <f t="shared" si="57"/>
        <v>7</v>
      </c>
      <c r="F226" s="234"/>
      <c r="G226" s="235">
        <f>E226+F226</f>
        <v>7</v>
      </c>
      <c r="H226" s="172">
        <f t="shared" si="58"/>
        <v>2.6680896478121667E-4</v>
      </c>
      <c r="I226" s="337"/>
      <c r="J226" s="168"/>
      <c r="K226" s="168"/>
    </row>
    <row r="227" spans="1:11">
      <c r="A227" s="163"/>
      <c r="B227" s="170" t="s">
        <v>179</v>
      </c>
      <c r="C227" s="491">
        <f>'[32]Sch D'!K9</f>
        <v>997</v>
      </c>
      <c r="D227" s="491"/>
      <c r="E227" s="235">
        <f t="shared" si="57"/>
        <v>997</v>
      </c>
      <c r="F227" s="234"/>
      <c r="G227" s="235">
        <f t="shared" si="57"/>
        <v>997</v>
      </c>
      <c r="H227" s="172">
        <f t="shared" si="58"/>
        <v>3.8001219698124714E-2</v>
      </c>
      <c r="I227" s="337"/>
      <c r="J227" s="168"/>
      <c r="K227" s="168"/>
    </row>
    <row r="228" spans="1:11" ht="13.5" thickBot="1">
      <c r="A228" s="163"/>
      <c r="B228" s="236" t="s">
        <v>75</v>
      </c>
      <c r="C228" s="491">
        <f>SUM(C219:C227)</f>
        <v>26236</v>
      </c>
      <c r="D228" s="491">
        <f>SUM(D219:D227)</f>
        <v>0</v>
      </c>
      <c r="E228" s="237">
        <f t="shared" ref="E228:F228" si="59">SUM(E219:E227)</f>
        <v>26236</v>
      </c>
      <c r="F228" s="237">
        <f t="shared" si="59"/>
        <v>0</v>
      </c>
      <c r="G228" s="237">
        <f>SUM(G219:G227)</f>
        <v>26236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620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619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492">
        <f>'[32]Sch D'!N22</f>
        <v>120</v>
      </c>
      <c r="D231" s="526"/>
      <c r="E231" s="235">
        <f>C231+D231</f>
        <v>120</v>
      </c>
      <c r="F231" s="235"/>
      <c r="G231" s="235">
        <f>E231+F231</f>
        <v>120</v>
      </c>
      <c r="H231" s="167"/>
      <c r="J231" s="168"/>
      <c r="K231" s="168"/>
    </row>
    <row r="232" spans="1:11">
      <c r="A232" s="163"/>
      <c r="B232" s="202" t="s">
        <v>290</v>
      </c>
      <c r="C232" s="492">
        <f>'[32]Sch D'!N24</f>
        <v>120</v>
      </c>
      <c r="D232" s="526"/>
      <c r="E232" s="235">
        <f>C232+D232</f>
        <v>120</v>
      </c>
      <c r="F232" s="235"/>
      <c r="G232" s="235">
        <f>E232+F232</f>
        <v>120</v>
      </c>
      <c r="H232" s="167"/>
      <c r="J232" s="168"/>
      <c r="K232" s="168"/>
    </row>
    <row r="233" spans="1:11">
      <c r="A233" s="163"/>
      <c r="B233" s="202" t="s">
        <v>76</v>
      </c>
      <c r="C233" s="492">
        <f>$C$4-$C$3+1</f>
        <v>365</v>
      </c>
      <c r="D233" s="489"/>
      <c r="E233" s="235">
        <f>C233+D233</f>
        <v>365</v>
      </c>
      <c r="F233" s="240"/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621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492">
        <f>'[32]Sch D'!N28</f>
        <v>43800</v>
      </c>
      <c r="D235" s="489"/>
      <c r="E235" s="234">
        <f>E231*E233</f>
        <v>43800</v>
      </c>
      <c r="F235" s="240"/>
      <c r="G235" s="234">
        <f>G231*G233</f>
        <v>43800</v>
      </c>
      <c r="H235" s="167"/>
      <c r="J235" s="168"/>
      <c r="K235" s="168"/>
    </row>
    <row r="236" spans="1:11" ht="26">
      <c r="A236" s="163"/>
      <c r="B236" s="244" t="s">
        <v>336</v>
      </c>
      <c r="C236" s="493">
        <f>'[32]Sch D'!N30</f>
        <v>0.59899543378995435</v>
      </c>
      <c r="D236" s="240"/>
      <c r="E236" s="245">
        <f>E228/E235</f>
        <v>0.59899543378995435</v>
      </c>
      <c r="F236" s="246"/>
      <c r="G236" s="245">
        <f>G228/G235</f>
        <v>0.59899543378995435</v>
      </c>
      <c r="H236" s="167"/>
      <c r="J236" s="168"/>
      <c r="K236" s="168"/>
    </row>
    <row r="237" spans="1:11" ht="26">
      <c r="A237" s="163"/>
      <c r="B237" s="244" t="s">
        <v>337</v>
      </c>
      <c r="C237" s="493">
        <f>'[32]Sch D'!N32</f>
        <v>0.23716894977168951</v>
      </c>
      <c r="D237" s="240"/>
      <c r="E237" s="245">
        <f>(E219+E220)/E235</f>
        <v>0.23716894977168951</v>
      </c>
      <c r="F237" s="246"/>
      <c r="G237" s="245">
        <f>(G219+G220)/G235</f>
        <v>0.23716894977168951</v>
      </c>
      <c r="H237" s="167"/>
      <c r="J237" s="168"/>
      <c r="K237" s="168"/>
    </row>
    <row r="238" spans="1:11" ht="26">
      <c r="A238" s="163"/>
      <c r="B238" s="244" t="s">
        <v>338</v>
      </c>
      <c r="C238" s="493">
        <f>'[32]Sch D'!N34</f>
        <v>0.39594450373532553</v>
      </c>
      <c r="D238" s="240"/>
      <c r="E238" s="245">
        <f>(E237/E236)</f>
        <v>0.39594450373532553</v>
      </c>
      <c r="F238" s="246"/>
      <c r="G238" s="245">
        <f>(G237/G236)</f>
        <v>0.39594450373532553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490">
        <f>'[32]Sch B'!C85</f>
        <v>203.65742128935531</v>
      </c>
    </row>
    <row r="242" spans="2:7">
      <c r="F242" s="142" t="s">
        <v>341</v>
      </c>
      <c r="G242" s="490">
        <f>'[32]Sch B'!E85</f>
        <v>205.82068543451652</v>
      </c>
    </row>
    <row r="243" spans="2:7">
      <c r="F243" s="142" t="s">
        <v>342</v>
      </c>
      <c r="G243" s="490">
        <f>'[32]Sch B'!G85</f>
        <v>203.50039215686274</v>
      </c>
    </row>
    <row r="244" spans="2:7">
      <c r="F244" s="142" t="s">
        <v>343</v>
      </c>
      <c r="G244" s="490">
        <f>'[32]Sch B'!I85</f>
        <v>206.52351097178683</v>
      </c>
    </row>
    <row r="245" spans="2:7">
      <c r="F245" s="142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" right="0" top="0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25">
    <tabColor rgb="FFE28CAB"/>
  </sheetPr>
  <dimension ref="A1:N248"/>
  <sheetViews>
    <sheetView showGridLines="0" zoomScale="87" zoomScaleNormal="87" workbookViewId="0">
      <pane xSplit="2" ySplit="10" topLeftCell="C11" activePane="bottomRight" state="frozen"/>
      <selection activeCell="N1" sqref="N1"/>
      <selection pane="topRight" activeCell="N1" sqref="N1"/>
      <selection pane="bottomLeft" activeCell="N1" sqref="N1"/>
      <selection pane="bottomRight" activeCell="N1" sqref="N1"/>
    </sheetView>
  </sheetViews>
  <sheetFormatPr defaultColWidth="8.6640625" defaultRowHeight="13"/>
  <cols>
    <col min="1" max="1" width="8.58203125" style="142" customWidth="1"/>
    <col min="2" max="2" width="46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9" style="140" bestFit="1" customWidth="1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668" t="s">
        <v>676</v>
      </c>
      <c r="D1" s="478"/>
      <c r="E1" s="478"/>
      <c r="F1" s="478"/>
      <c r="G1" s="478"/>
      <c r="H1" s="478"/>
      <c r="I1" s="479"/>
    </row>
    <row r="2" spans="1:14" ht="23">
      <c r="B2" s="143" t="s">
        <v>189</v>
      </c>
      <c r="C2" s="247" t="s">
        <v>520</v>
      </c>
      <c r="D2" s="375"/>
    </row>
    <row r="3" spans="1:14" ht="15.5">
      <c r="A3" s="145"/>
      <c r="B3" s="140" t="s">
        <v>79</v>
      </c>
      <c r="C3" s="495">
        <v>41821</v>
      </c>
      <c r="D3" s="144"/>
      <c r="E3"/>
      <c r="F3" s="525"/>
    </row>
    <row r="4" spans="1:14" ht="15.5">
      <c r="A4" s="145"/>
      <c r="B4" s="148" t="s">
        <v>80</v>
      </c>
      <c r="C4" s="495">
        <v>42185</v>
      </c>
      <c r="D4" s="144"/>
      <c r="E4"/>
      <c r="F4" s="525"/>
      <c r="G4" s="150"/>
    </row>
    <row r="5" spans="1:14">
      <c r="A5" s="145"/>
      <c r="B5" s="148"/>
      <c r="C5" s="151"/>
      <c r="D5" s="144"/>
      <c r="F5" s="524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 ht="15.5">
      <c r="A9" s="145"/>
      <c r="C9" s="151"/>
      <c r="D9" s="144"/>
      <c r="F9"/>
      <c r="G9" s="144"/>
    </row>
    <row r="10" spans="1:14" s="167" customFormat="1" ht="16" thickBot="1">
      <c r="A10" s="163" t="s">
        <v>245</v>
      </c>
      <c r="B10" s="164" t="s">
        <v>246</v>
      </c>
      <c r="C10" s="165"/>
      <c r="D10" s="165"/>
      <c r="E10" s="165"/>
      <c r="F10"/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490">
        <f>'[33]Sch B'!E10</f>
        <v>1829764</v>
      </c>
      <c r="D11" s="490">
        <f>'[33]Sch B'!G10</f>
        <v>0</v>
      </c>
      <c r="E11" s="171">
        <f>C11+D11</f>
        <v>1829764</v>
      </c>
      <c r="F11" s="490"/>
      <c r="G11" s="171">
        <f t="shared" ref="G11:G20" si="0">E11+F11</f>
        <v>1829764</v>
      </c>
      <c r="H11" s="172">
        <f t="shared" ref="H11:H21" si="1">IF($G$21=0,0,G11/$G$21)</f>
        <v>0.80220859412128853</v>
      </c>
      <c r="I11" s="337"/>
      <c r="J11" s="368" t="s">
        <v>344</v>
      </c>
      <c r="K11" s="369">
        <f>G21</f>
        <v>2280908</v>
      </c>
      <c r="M11" s="359">
        <f>IFERROR(G11/G219,0)</f>
        <v>178.74025593435576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490">
        <f>'[33]Sch B'!E15</f>
        <v>0</v>
      </c>
      <c r="D12" s="490">
        <f>'[33]Sch B'!G15</f>
        <v>0</v>
      </c>
      <c r="E12" s="171">
        <f t="shared" ref="E12:E20" si="2">C12+D12</f>
        <v>0</v>
      </c>
      <c r="F12" s="490"/>
      <c r="G12" s="171">
        <f>E12+F12</f>
        <v>0</v>
      </c>
      <c r="H12" s="172">
        <f t="shared" si="1"/>
        <v>0</v>
      </c>
      <c r="I12" s="337"/>
      <c r="J12" s="370" t="s">
        <v>345</v>
      </c>
      <c r="K12" s="371">
        <f>G208</f>
        <v>1791506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490">
        <f>'[33]Sch B'!E21</f>
        <v>0</v>
      </c>
      <c r="D13" s="490">
        <f>'[33]Sch B'!G21</f>
        <v>0</v>
      </c>
      <c r="E13" s="171">
        <f t="shared" si="2"/>
        <v>0</v>
      </c>
      <c r="F13" s="490"/>
      <c r="G13" s="171">
        <f t="shared" si="0"/>
        <v>0</v>
      </c>
      <c r="H13" s="172">
        <f t="shared" si="1"/>
        <v>0</v>
      </c>
      <c r="I13" s="337"/>
      <c r="J13" s="370" t="s">
        <v>346</v>
      </c>
      <c r="K13" s="371">
        <f>G228</f>
        <v>12686</v>
      </c>
      <c r="M13" s="359">
        <f t="shared" si="3"/>
        <v>0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490">
        <f>'[33]Sch B'!E27</f>
        <v>0</v>
      </c>
      <c r="D14" s="490">
        <f>'[33]Sch B'!G27</f>
        <v>0</v>
      </c>
      <c r="E14" s="171">
        <f t="shared" si="2"/>
        <v>0</v>
      </c>
      <c r="F14" s="490"/>
      <c r="G14" s="175">
        <f>E14+F14</f>
        <v>0</v>
      </c>
      <c r="H14" s="176">
        <f t="shared" si="1"/>
        <v>0</v>
      </c>
      <c r="I14" s="338"/>
      <c r="J14" s="370" t="s">
        <v>347</v>
      </c>
      <c r="K14" s="371">
        <f>G231</f>
        <v>36</v>
      </c>
      <c r="M14" s="359">
        <f t="shared" si="3"/>
        <v>0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490">
        <f>'[33]Sch B'!E32</f>
        <v>0</v>
      </c>
      <c r="D15" s="490">
        <f>'[33]Sch B'!G32</f>
        <v>0</v>
      </c>
      <c r="E15" s="171">
        <f t="shared" si="2"/>
        <v>0</v>
      </c>
      <c r="F15" s="490"/>
      <c r="G15" s="171">
        <f t="shared" si="0"/>
        <v>0</v>
      </c>
      <c r="H15" s="172">
        <f t="shared" si="1"/>
        <v>0</v>
      </c>
      <c r="I15" s="337"/>
      <c r="J15" s="370" t="s">
        <v>348</v>
      </c>
      <c r="K15" s="371">
        <f>G235</f>
        <v>13140</v>
      </c>
      <c r="M15" s="359">
        <f t="shared" si="3"/>
        <v>0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490">
        <f>'[33]Sch B'!E37</f>
        <v>50961</v>
      </c>
      <c r="D16" s="490">
        <f>'[33]Sch B'!G37</f>
        <v>0</v>
      </c>
      <c r="E16" s="171">
        <f t="shared" si="2"/>
        <v>50961</v>
      </c>
      <c r="F16" s="490"/>
      <c r="G16" s="171">
        <f t="shared" si="0"/>
        <v>50961</v>
      </c>
      <c r="H16" s="172">
        <f t="shared" si="1"/>
        <v>2.2342418019490485E-2</v>
      </c>
      <c r="I16" s="337"/>
      <c r="J16" s="372"/>
      <c r="K16" s="371"/>
      <c r="M16" s="359">
        <f t="shared" si="3"/>
        <v>129.01518987341771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490">
        <f>'[33]Sch B'!E42</f>
        <v>355252</v>
      </c>
      <c r="D17" s="490">
        <f>'[33]Sch B'!G42</f>
        <v>0</v>
      </c>
      <c r="E17" s="171">
        <f t="shared" si="2"/>
        <v>355252</v>
      </c>
      <c r="F17" s="490"/>
      <c r="G17" s="171">
        <f>E17+F17</f>
        <v>355252</v>
      </c>
      <c r="H17" s="172">
        <f t="shared" si="1"/>
        <v>0.15575025384627525</v>
      </c>
      <c r="I17" s="337"/>
      <c r="J17" s="370" t="s">
        <v>156</v>
      </c>
      <c r="K17" s="371">
        <f>J208</f>
        <v>54963</v>
      </c>
      <c r="M17" s="359">
        <f t="shared" si="3"/>
        <v>172.95618305744887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490">
        <f>'[33]Sch B'!E47</f>
        <v>0</v>
      </c>
      <c r="D18" s="490">
        <f>'[33]Sch B'!G47</f>
        <v>0</v>
      </c>
      <c r="E18" s="171">
        <f t="shared" si="2"/>
        <v>0</v>
      </c>
      <c r="F18" s="490"/>
      <c r="G18" s="171">
        <f>E18+F18</f>
        <v>0</v>
      </c>
      <c r="H18" s="172">
        <f t="shared" si="1"/>
        <v>0</v>
      </c>
      <c r="I18" s="337"/>
      <c r="J18" s="373" t="s">
        <v>252</v>
      </c>
      <c r="K18" s="374">
        <f>K208</f>
        <v>56234</v>
      </c>
      <c r="M18" s="359">
        <f t="shared" si="3"/>
        <v>0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490">
        <f>'[33]Sch B'!E52</f>
        <v>0</v>
      </c>
      <c r="D19" s="490">
        <f>'[33]Sch B'!G52</f>
        <v>0</v>
      </c>
      <c r="E19" s="171">
        <f t="shared" si="2"/>
        <v>0</v>
      </c>
      <c r="F19" s="490"/>
      <c r="G19" s="171">
        <f t="shared" si="0"/>
        <v>0</v>
      </c>
      <c r="H19" s="172">
        <f t="shared" si="1"/>
        <v>0</v>
      </c>
      <c r="I19" s="337"/>
      <c r="J19" s="168"/>
      <c r="K19" s="168"/>
      <c r="M19" s="359">
        <f t="shared" si="3"/>
        <v>0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490">
        <f>'[33]Sch B'!E67</f>
        <v>44931</v>
      </c>
      <c r="D20" s="490">
        <f>'[33]Sch B'!G67</f>
        <v>0</v>
      </c>
      <c r="E20" s="171">
        <f t="shared" si="2"/>
        <v>44931</v>
      </c>
      <c r="F20" s="490"/>
      <c r="G20" s="171">
        <f t="shared" si="0"/>
        <v>44931</v>
      </c>
      <c r="H20" s="172">
        <f t="shared" si="1"/>
        <v>1.9698734012945723E-2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490">
        <f>SUM(C11:C20)</f>
        <v>2280908</v>
      </c>
      <c r="D21" s="490">
        <f>SUM(D11:D20)</f>
        <v>0</v>
      </c>
      <c r="E21" s="171">
        <f>SUM(E11:E20)</f>
        <v>2280908</v>
      </c>
      <c r="F21" s="171">
        <f>SUM(F11:F20)</f>
        <v>0</v>
      </c>
      <c r="G21" s="171">
        <f>SUM(G11:G20)</f>
        <v>2280908</v>
      </c>
      <c r="H21" s="172">
        <f t="shared" si="1"/>
        <v>1</v>
      </c>
      <c r="I21" s="337"/>
      <c r="J21" s="168"/>
      <c r="K21" s="168"/>
      <c r="M21" s="359">
        <f>IFERROR(G21/G228,0)</f>
        <v>179.79725681854012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4" ht="26.5">
      <c r="A23" s="180" t="s">
        <v>231</v>
      </c>
      <c r="B23" s="179" t="s">
        <v>222</v>
      </c>
      <c r="C23" s="151"/>
      <c r="D23" s="144"/>
      <c r="F23"/>
      <c r="G23" s="144"/>
      <c r="M23" s="363"/>
      <c r="N23" s="363"/>
    </row>
    <row r="24" spans="1:14" ht="15.5">
      <c r="A24" s="181" t="s">
        <v>161</v>
      </c>
      <c r="B24" s="148" t="s">
        <v>12</v>
      </c>
      <c r="F24"/>
      <c r="M24" s="363"/>
      <c r="N24" s="363"/>
    </row>
    <row r="25" spans="1:14" s="167" customFormat="1">
      <c r="A25" s="169" t="s">
        <v>83</v>
      </c>
      <c r="B25" s="170" t="s">
        <v>14</v>
      </c>
      <c r="C25" s="490">
        <f>'[33]Sch C'!D10</f>
        <v>130541</v>
      </c>
      <c r="D25" s="490">
        <f>'[33]Sch C'!F10</f>
        <v>0</v>
      </c>
      <c r="E25" s="171">
        <f t="shared" ref="E25:E60" si="4">C25+D25</f>
        <v>130541</v>
      </c>
      <c r="F25" s="490"/>
      <c r="G25" s="182">
        <f>E25+F25</f>
        <v>130541</v>
      </c>
      <c r="H25" s="172">
        <f>IF($G$208=0,0,G25/$G$208)</f>
        <v>7.2866627295694236E-2</v>
      </c>
      <c r="I25" s="337"/>
      <c r="J25" s="183">
        <v>2080</v>
      </c>
      <c r="K25" s="183">
        <v>2080</v>
      </c>
      <c r="M25" s="359">
        <f>G25/G$228</f>
        <v>10.290162383730095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490">
        <f>'[33]Sch C'!D11</f>
        <v>0</v>
      </c>
      <c r="D26" s="490">
        <f>'[33]Sch C'!F11</f>
        <v>0</v>
      </c>
      <c r="E26" s="171">
        <f t="shared" si="4"/>
        <v>0</v>
      </c>
      <c r="F26" s="490"/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490">
        <f>'[33]Sch C'!D12</f>
        <v>52644</v>
      </c>
      <c r="D27" s="490">
        <f>'[33]Sch C'!F12</f>
        <v>0</v>
      </c>
      <c r="E27" s="171">
        <f t="shared" si="4"/>
        <v>52644</v>
      </c>
      <c r="F27" s="490"/>
      <c r="G27" s="171">
        <f t="shared" si="5"/>
        <v>52644</v>
      </c>
      <c r="H27" s="172">
        <f t="shared" si="6"/>
        <v>2.9385332787051788E-2</v>
      </c>
      <c r="I27" s="337"/>
      <c r="J27" s="185">
        <v>3611</v>
      </c>
      <c r="K27" s="185">
        <v>3718</v>
      </c>
      <c r="M27" s="359">
        <f t="shared" si="7"/>
        <v>4.14977140154501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490">
        <f>'[33]Sch C'!D13</f>
        <v>8521</v>
      </c>
      <c r="D28" s="490">
        <f>'[33]Sch C'!F13</f>
        <v>0</v>
      </c>
      <c r="E28" s="171">
        <f t="shared" si="4"/>
        <v>8521</v>
      </c>
      <c r="F28" s="490"/>
      <c r="G28" s="171">
        <f t="shared" si="5"/>
        <v>8521</v>
      </c>
      <c r="H28" s="172">
        <f t="shared" si="6"/>
        <v>4.7563334981853261E-3</v>
      </c>
      <c r="I28" s="337"/>
      <c r="J28" s="168"/>
      <c r="K28" s="168"/>
      <c r="M28" s="359">
        <f t="shared" si="7"/>
        <v>0.67168532240264855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490">
        <f>'[33]Sch C'!D14</f>
        <v>0</v>
      </c>
      <c r="D29" s="490">
        <f>'[33]Sch C'!F14</f>
        <v>0</v>
      </c>
      <c r="E29" s="171">
        <f t="shared" si="4"/>
        <v>0</v>
      </c>
      <c r="F29" s="490"/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490">
        <f>'[33]Sch C'!D15</f>
        <v>0</v>
      </c>
      <c r="D30" s="490">
        <f>'[33]Sch C'!F15</f>
        <v>0</v>
      </c>
      <c r="E30" s="171">
        <f t="shared" si="4"/>
        <v>0</v>
      </c>
      <c r="F30" s="490"/>
      <c r="G30" s="171">
        <f t="shared" si="5"/>
        <v>0</v>
      </c>
      <c r="H30" s="172">
        <f t="shared" si="6"/>
        <v>0</v>
      </c>
      <c r="I30" s="337"/>
      <c r="J30" s="168"/>
      <c r="K30" s="168"/>
      <c r="M30" s="359">
        <f t="shared" si="7"/>
        <v>0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490">
        <f>'[33]Sch C'!D16</f>
        <v>0</v>
      </c>
      <c r="D31" s="490">
        <f>'[33]Sch C'!F16</f>
        <v>0</v>
      </c>
      <c r="E31" s="171">
        <f t="shared" si="4"/>
        <v>0</v>
      </c>
      <c r="F31" s="490"/>
      <c r="G31" s="171">
        <f t="shared" si="5"/>
        <v>0</v>
      </c>
      <c r="H31" s="172">
        <f t="shared" si="6"/>
        <v>0</v>
      </c>
      <c r="I31" s="337"/>
      <c r="J31" s="168"/>
      <c r="K31" s="168"/>
      <c r="M31" s="359">
        <f t="shared" si="7"/>
        <v>0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490">
        <f>'[33]Sch C'!D17</f>
        <v>2712</v>
      </c>
      <c r="D32" s="490">
        <f>'[33]Sch C'!F17</f>
        <v>-2712</v>
      </c>
      <c r="E32" s="171">
        <f t="shared" si="4"/>
        <v>0</v>
      </c>
      <c r="F32" s="490"/>
      <c r="G32" s="171">
        <f t="shared" si="5"/>
        <v>0</v>
      </c>
      <c r="H32" s="172">
        <f t="shared" si="6"/>
        <v>0</v>
      </c>
      <c r="I32" s="337"/>
      <c r="J32" s="168"/>
      <c r="K32" s="168"/>
      <c r="M32" s="359">
        <f t="shared" si="7"/>
        <v>0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490">
        <f>'[33]Sch C'!D18</f>
        <v>7400</v>
      </c>
      <c r="D33" s="490">
        <f>'[33]Sch C'!F18</f>
        <v>0</v>
      </c>
      <c r="E33" s="171">
        <f t="shared" si="4"/>
        <v>7400</v>
      </c>
      <c r="F33" s="490"/>
      <c r="G33" s="171">
        <f t="shared" si="5"/>
        <v>7400</v>
      </c>
      <c r="H33" s="172">
        <f t="shared" si="6"/>
        <v>4.1306029675591376E-3</v>
      </c>
      <c r="I33" s="337"/>
      <c r="J33" s="168"/>
      <c r="K33" s="168"/>
      <c r="M33" s="359">
        <f t="shared" si="7"/>
        <v>0.5833201954910926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490">
        <f>'[33]Sch C'!D19</f>
        <v>15324</v>
      </c>
      <c r="D34" s="490">
        <f>'[33]Sch C'!F19</f>
        <v>0</v>
      </c>
      <c r="E34" s="171">
        <f t="shared" si="4"/>
        <v>15324</v>
      </c>
      <c r="F34" s="490"/>
      <c r="G34" s="171">
        <f t="shared" si="5"/>
        <v>15324</v>
      </c>
      <c r="H34" s="172">
        <f t="shared" si="6"/>
        <v>8.5536972803886783E-3</v>
      </c>
      <c r="I34" s="337"/>
      <c r="J34" s="168"/>
      <c r="K34" s="168"/>
      <c r="M34" s="359">
        <f t="shared" si="7"/>
        <v>1.20794576698723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490">
        <f>'[33]Sch C'!D20</f>
        <v>11473</v>
      </c>
      <c r="D35" s="490">
        <f>'[33]Sch C'!F20</f>
        <v>0</v>
      </c>
      <c r="E35" s="171">
        <f t="shared" si="4"/>
        <v>11473</v>
      </c>
      <c r="F35" s="490"/>
      <c r="G35" s="171">
        <f t="shared" si="5"/>
        <v>11473</v>
      </c>
      <c r="H35" s="172">
        <f t="shared" si="6"/>
        <v>6.4041091684872951E-3</v>
      </c>
      <c r="I35" s="337"/>
      <c r="J35" s="168"/>
      <c r="K35" s="168"/>
      <c r="M35" s="359">
        <f t="shared" si="7"/>
        <v>0.90438278417152762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490">
        <f>'[33]Sch C'!D21</f>
        <v>13910</v>
      </c>
      <c r="D36" s="490">
        <f>'[33]Sch C'!F21</f>
        <v>0</v>
      </c>
      <c r="E36" s="171">
        <f t="shared" si="4"/>
        <v>13910</v>
      </c>
      <c r="F36" s="490"/>
      <c r="G36" s="171">
        <f t="shared" si="5"/>
        <v>13910</v>
      </c>
      <c r="H36" s="172">
        <f t="shared" si="6"/>
        <v>7.764417199830757E-3</v>
      </c>
      <c r="I36" s="337"/>
      <c r="J36" s="168"/>
      <c r="K36" s="168"/>
      <c r="M36" s="359">
        <f t="shared" si="7"/>
        <v>1.0964843134163644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490">
        <f>'[33]Sch C'!D22</f>
        <v>0</v>
      </c>
      <c r="D37" s="490">
        <f>'[33]Sch C'!F22</f>
        <v>0</v>
      </c>
      <c r="E37" s="171">
        <f t="shared" si="4"/>
        <v>0</v>
      </c>
      <c r="F37" s="490"/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490">
        <f>'[33]Sch C'!D23</f>
        <v>13768</v>
      </c>
      <c r="D38" s="490">
        <f>'[33]Sch C'!F23</f>
        <v>0</v>
      </c>
      <c r="E38" s="171">
        <f t="shared" si="4"/>
        <v>13768</v>
      </c>
      <c r="F38" s="490"/>
      <c r="G38" s="171">
        <f t="shared" si="5"/>
        <v>13768</v>
      </c>
      <c r="H38" s="172">
        <f t="shared" si="6"/>
        <v>7.6851542780208386E-3</v>
      </c>
      <c r="I38" s="337"/>
      <c r="J38" s="168"/>
      <c r="K38" s="168"/>
      <c r="M38" s="359">
        <f t="shared" si="7"/>
        <v>1.0852908718272112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490">
        <f>'[33]Sch C'!D24</f>
        <v>0</v>
      </c>
      <c r="D39" s="490">
        <f>'[33]Sch C'!F24</f>
        <v>0</v>
      </c>
      <c r="E39" s="171">
        <f t="shared" si="4"/>
        <v>0</v>
      </c>
      <c r="F39" s="490"/>
      <c r="G39" s="171">
        <f t="shared" si="5"/>
        <v>0</v>
      </c>
      <c r="H39" s="172">
        <f t="shared" si="6"/>
        <v>0</v>
      </c>
      <c r="I39" s="337"/>
      <c r="J39" s="168"/>
      <c r="K39" s="168"/>
      <c r="M39" s="359">
        <f t="shared" si="7"/>
        <v>0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490">
        <f>'[33]Sch C'!D25</f>
        <v>0</v>
      </c>
      <c r="D40" s="490">
        <f>'[33]Sch C'!F25</f>
        <v>0</v>
      </c>
      <c r="E40" s="171">
        <f t="shared" si="4"/>
        <v>0</v>
      </c>
      <c r="F40" s="490"/>
      <c r="G40" s="171">
        <f t="shared" si="5"/>
        <v>0</v>
      </c>
      <c r="H40" s="172">
        <f t="shared" si="6"/>
        <v>0</v>
      </c>
      <c r="I40" s="337"/>
      <c r="J40" s="168"/>
      <c r="K40" s="168"/>
      <c r="M40" s="359">
        <f t="shared" si="7"/>
        <v>0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490">
        <f>'[33]Sch C'!D26</f>
        <v>196859</v>
      </c>
      <c r="D41" s="490">
        <f>'[33]Sch C'!F26</f>
        <v>0</v>
      </c>
      <c r="E41" s="171">
        <f t="shared" si="4"/>
        <v>196859</v>
      </c>
      <c r="F41" s="490"/>
      <c r="G41" s="171">
        <f t="shared" si="5"/>
        <v>196859</v>
      </c>
      <c r="H41" s="172">
        <f t="shared" si="6"/>
        <v>0.10988464453928706</v>
      </c>
      <c r="I41" s="337"/>
      <c r="J41" s="168"/>
      <c r="K41" s="168"/>
      <c r="M41" s="359">
        <f t="shared" si="7"/>
        <v>15.517814914078512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490">
        <f>'[33]Sch C'!D27</f>
        <v>0</v>
      </c>
      <c r="D42" s="490">
        <f>'[33]Sch C'!F27</f>
        <v>0</v>
      </c>
      <c r="E42" s="171">
        <f t="shared" si="4"/>
        <v>0</v>
      </c>
      <c r="F42" s="490"/>
      <c r="G42" s="171">
        <f t="shared" si="5"/>
        <v>0</v>
      </c>
      <c r="H42" s="172">
        <f t="shared" si="6"/>
        <v>0</v>
      </c>
      <c r="I42" s="337"/>
      <c r="J42" s="168"/>
      <c r="K42" s="168"/>
      <c r="M42" s="359">
        <f t="shared" si="7"/>
        <v>0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490">
        <f>'[33]Sch C'!D28</f>
        <v>0</v>
      </c>
      <c r="D43" s="490">
        <f>'[33]Sch C'!F28</f>
        <v>0</v>
      </c>
      <c r="E43" s="171">
        <f t="shared" si="4"/>
        <v>0</v>
      </c>
      <c r="F43" s="490"/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490">
        <f>'[33]Sch C'!D29</f>
        <v>0</v>
      </c>
      <c r="D44" s="490">
        <f>'[33]Sch C'!F29</f>
        <v>0</v>
      </c>
      <c r="E44" s="171">
        <f t="shared" si="4"/>
        <v>0</v>
      </c>
      <c r="F44" s="490"/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490">
        <f>'[33]Sch C'!D30</f>
        <v>500</v>
      </c>
      <c r="D45" s="490">
        <f>'[33]Sch C'!F30</f>
        <v>-500</v>
      </c>
      <c r="E45" s="171">
        <f t="shared" si="4"/>
        <v>0</v>
      </c>
      <c r="F45" s="490"/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490">
        <f>'[33]Sch C'!D31</f>
        <v>22167</v>
      </c>
      <c r="D46" s="490">
        <f>'[33]Sch C'!F31</f>
        <v>0</v>
      </c>
      <c r="E46" s="171">
        <f t="shared" si="4"/>
        <v>22167</v>
      </c>
      <c r="F46" s="490"/>
      <c r="G46" s="171">
        <f t="shared" si="5"/>
        <v>22167</v>
      </c>
      <c r="H46" s="172">
        <f t="shared" si="6"/>
        <v>1.2373388646200459E-2</v>
      </c>
      <c r="I46" s="337"/>
      <c r="J46" s="168"/>
      <c r="K46" s="168"/>
      <c r="M46" s="359">
        <f t="shared" si="7"/>
        <v>1.7473592937096012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490">
        <f>'[33]Sch C'!D32</f>
        <v>20227</v>
      </c>
      <c r="D47" s="490">
        <f>'[33]Sch C'!F32</f>
        <v>0</v>
      </c>
      <c r="E47" s="171">
        <f t="shared" si="4"/>
        <v>20227</v>
      </c>
      <c r="F47" s="490"/>
      <c r="G47" s="171">
        <f t="shared" si="5"/>
        <v>20227</v>
      </c>
      <c r="H47" s="172">
        <f t="shared" si="6"/>
        <v>1.1290500841191712E-2</v>
      </c>
      <c r="I47" s="337"/>
      <c r="J47" s="168"/>
      <c r="K47" s="168"/>
      <c r="M47" s="359">
        <f t="shared" si="7"/>
        <v>1.5944348100268011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490">
        <f>'[33]Sch C'!D33</f>
        <v>0</v>
      </c>
      <c r="D48" s="490">
        <f>'[33]Sch C'!F33</f>
        <v>0</v>
      </c>
      <c r="E48" s="171">
        <f t="shared" si="4"/>
        <v>0</v>
      </c>
      <c r="F48" s="490"/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490">
        <f>'[33]Sch C'!D34</f>
        <v>0</v>
      </c>
      <c r="D49" s="490">
        <f>'[33]Sch C'!F34</f>
        <v>0</v>
      </c>
      <c r="E49" s="171">
        <f t="shared" si="4"/>
        <v>0</v>
      </c>
      <c r="F49" s="490"/>
      <c r="G49" s="171">
        <f t="shared" si="5"/>
        <v>0</v>
      </c>
      <c r="H49" s="172">
        <f t="shared" si="6"/>
        <v>0</v>
      </c>
      <c r="I49" s="337"/>
      <c r="J49" s="168"/>
      <c r="K49" s="168"/>
      <c r="M49" s="359">
        <f t="shared" si="7"/>
        <v>0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490">
        <f>'[33]Sch C'!D35</f>
        <v>0</v>
      </c>
      <c r="D50" s="490">
        <f>'[33]Sch C'!F35</f>
        <v>0</v>
      </c>
      <c r="E50" s="171">
        <f t="shared" si="4"/>
        <v>0</v>
      </c>
      <c r="F50" s="490"/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490">
        <f>'[33]Sch C'!D36</f>
        <v>0</v>
      </c>
      <c r="D51" s="490">
        <f>'[33]Sch C'!F36</f>
        <v>0</v>
      </c>
      <c r="E51" s="171">
        <f t="shared" si="4"/>
        <v>0</v>
      </c>
      <c r="F51" s="490"/>
      <c r="G51" s="171">
        <f t="shared" si="5"/>
        <v>0</v>
      </c>
      <c r="H51" s="172">
        <f t="shared" si="6"/>
        <v>0</v>
      </c>
      <c r="I51" s="337"/>
      <c r="J51" s="183">
        <v>0</v>
      </c>
      <c r="K51" s="183">
        <v>0</v>
      </c>
      <c r="M51" s="359">
        <f t="shared" si="7"/>
        <v>0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490">
        <f>'[33]Sch C'!D37</f>
        <v>0</v>
      </c>
      <c r="D52" s="490">
        <f>'[33]Sch C'!F37</f>
        <v>0</v>
      </c>
      <c r="E52" s="171">
        <f t="shared" si="4"/>
        <v>0</v>
      </c>
      <c r="F52" s="490"/>
      <c r="G52" s="171">
        <f t="shared" si="5"/>
        <v>0</v>
      </c>
      <c r="H52" s="172">
        <f t="shared" si="6"/>
        <v>0</v>
      </c>
      <c r="I52" s="337"/>
      <c r="J52" s="168"/>
      <c r="K52" s="168"/>
      <c r="M52" s="359">
        <f t="shared" si="7"/>
        <v>0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490">
        <f>'[33]Sch C'!D38</f>
        <v>0</v>
      </c>
      <c r="D53" s="490">
        <f>'[33]Sch C'!F38</f>
        <v>0</v>
      </c>
      <c r="E53" s="171">
        <f t="shared" si="4"/>
        <v>0</v>
      </c>
      <c r="F53" s="490"/>
      <c r="G53" s="171">
        <f t="shared" si="5"/>
        <v>0</v>
      </c>
      <c r="H53" s="172">
        <f t="shared" si="6"/>
        <v>0</v>
      </c>
      <c r="I53" s="337"/>
      <c r="J53" s="168"/>
      <c r="K53" s="168"/>
      <c r="M53" s="359">
        <f t="shared" si="7"/>
        <v>0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490">
        <f>'[33]Sch C'!D39</f>
        <v>776</v>
      </c>
      <c r="D54" s="490">
        <f>'[33]Sch C'!F39</f>
        <v>0</v>
      </c>
      <c r="E54" s="171">
        <f t="shared" si="4"/>
        <v>776</v>
      </c>
      <c r="F54" s="490"/>
      <c r="G54" s="171">
        <f t="shared" si="5"/>
        <v>776</v>
      </c>
      <c r="H54" s="172">
        <f t="shared" si="6"/>
        <v>4.3315512200349873E-4</v>
      </c>
      <c r="I54" s="337"/>
      <c r="J54" s="168"/>
      <c r="K54" s="168"/>
      <c r="M54" s="359">
        <f t="shared" si="7"/>
        <v>6.1169793473119974E-2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490">
        <f>'[33]Sch C'!D40</f>
        <v>3640</v>
      </c>
      <c r="D55" s="490">
        <f>'[33]Sch C'!F40</f>
        <v>0</v>
      </c>
      <c r="E55" s="171">
        <f t="shared" si="4"/>
        <v>3640</v>
      </c>
      <c r="F55" s="490"/>
      <c r="G55" s="171">
        <f t="shared" si="5"/>
        <v>3640</v>
      </c>
      <c r="H55" s="172">
        <f t="shared" si="6"/>
        <v>2.0318101083669272E-3</v>
      </c>
      <c r="I55" s="337"/>
      <c r="J55" s="168"/>
      <c r="K55" s="168"/>
      <c r="M55" s="359">
        <f t="shared" si="7"/>
        <v>0.28693047453886172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490">
        <f>'[33]Sch C'!D41</f>
        <v>44075</v>
      </c>
      <c r="D56" s="490">
        <f>'[33]Sch C'!F41</f>
        <v>0</v>
      </c>
      <c r="E56" s="171">
        <f t="shared" si="4"/>
        <v>44075</v>
      </c>
      <c r="F56" s="490"/>
      <c r="G56" s="171">
        <f t="shared" si="5"/>
        <v>44075</v>
      </c>
      <c r="H56" s="172">
        <f t="shared" si="6"/>
        <v>2.4602206188536348E-2</v>
      </c>
      <c r="I56" s="337"/>
      <c r="J56" s="168"/>
      <c r="K56" s="168"/>
      <c r="M56" s="359">
        <f t="shared" si="7"/>
        <v>3.4743023805770141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490">
        <f>'[33]Sch C'!D42</f>
        <v>0</v>
      </c>
      <c r="D57" s="490">
        <f>'[33]Sch C'!F42</f>
        <v>0</v>
      </c>
      <c r="E57" s="171">
        <f t="shared" si="4"/>
        <v>0</v>
      </c>
      <c r="F57" s="490"/>
      <c r="G57" s="171">
        <f t="shared" si="5"/>
        <v>0</v>
      </c>
      <c r="H57" s="172">
        <f t="shared" si="6"/>
        <v>0</v>
      </c>
      <c r="I57" s="337"/>
      <c r="J57" s="168"/>
      <c r="K57" s="168"/>
      <c r="M57" s="359">
        <f t="shared" si="7"/>
        <v>0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490">
        <f>'[33]Sch C'!D43</f>
        <v>6130</v>
      </c>
      <c r="D58" s="490">
        <f>'[33]Sch C'!F43</f>
        <v>-6130</v>
      </c>
      <c r="E58" s="171">
        <f t="shared" si="4"/>
        <v>0</v>
      </c>
      <c r="F58" s="490"/>
      <c r="G58" s="171">
        <f t="shared" si="5"/>
        <v>0</v>
      </c>
      <c r="H58" s="172">
        <f t="shared" si="6"/>
        <v>0</v>
      </c>
      <c r="I58" s="337"/>
      <c r="J58" s="168"/>
      <c r="K58" s="168"/>
      <c r="M58" s="359">
        <f t="shared" si="7"/>
        <v>0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490">
        <f>'[33]Sch C'!D44</f>
        <v>0</v>
      </c>
      <c r="D59" s="490">
        <f>'[33]Sch C'!F44</f>
        <v>0</v>
      </c>
      <c r="E59" s="171">
        <f t="shared" si="4"/>
        <v>0</v>
      </c>
      <c r="F59" s="490"/>
      <c r="G59" s="171">
        <f t="shared" si="5"/>
        <v>0</v>
      </c>
      <c r="H59" s="172">
        <f t="shared" si="6"/>
        <v>0</v>
      </c>
      <c r="I59" s="337"/>
      <c r="J59" s="168"/>
      <c r="K59" s="168"/>
      <c r="M59" s="359">
        <f t="shared" si="7"/>
        <v>0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490">
        <f>'[33]Sch C'!D45</f>
        <v>4906</v>
      </c>
      <c r="D60" s="490">
        <f>'[33]Sch C'!F45</f>
        <v>0</v>
      </c>
      <c r="E60" s="171">
        <f t="shared" si="4"/>
        <v>4906</v>
      </c>
      <c r="F60" s="490"/>
      <c r="G60" s="171">
        <f t="shared" si="5"/>
        <v>4906</v>
      </c>
      <c r="H60" s="172">
        <f t="shared" si="6"/>
        <v>2.738478129573666E-3</v>
      </c>
      <c r="I60" s="337"/>
      <c r="J60" s="168"/>
      <c r="K60" s="168"/>
      <c r="M60" s="359">
        <f t="shared" si="7"/>
        <v>0.38672552419990541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490">
        <f>SUM(C25:C60)</f>
        <v>555573</v>
      </c>
      <c r="D61" s="490">
        <f>SUM(D25:D60)</f>
        <v>-9342</v>
      </c>
      <c r="E61" s="171">
        <f t="shared" ref="E61:F61" si="8">SUM(E25:E60)</f>
        <v>546231</v>
      </c>
      <c r="F61" s="171">
        <f t="shared" si="8"/>
        <v>0</v>
      </c>
      <c r="G61" s="171">
        <f>SUM(G25:G60)</f>
        <v>546231</v>
      </c>
      <c r="H61" s="186">
        <f t="shared" si="6"/>
        <v>0.30490045805037774</v>
      </c>
      <c r="I61" s="339"/>
      <c r="J61" s="168"/>
      <c r="K61" s="168"/>
      <c r="M61" s="364">
        <f>G61/G$228</f>
        <v>43.057780230174998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I62" s="340"/>
      <c r="J62" s="168"/>
      <c r="K62" s="168"/>
      <c r="M62" s="359"/>
      <c r="N62" s="359"/>
    </row>
    <row r="63" spans="1:14" s="167" customFormat="1" ht="15.5">
      <c r="A63" s="169" t="s">
        <v>162</v>
      </c>
      <c r="B63" s="170" t="s">
        <v>178</v>
      </c>
      <c r="C63" s="165"/>
      <c r="D63" s="165"/>
      <c r="E63" s="165"/>
      <c r="F63"/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490">
        <f>'[33]Sch C'!D57</f>
        <v>111720</v>
      </c>
      <c r="D64" s="490">
        <f>'[33]Sch C'!F57</f>
        <v>0</v>
      </c>
      <c r="E64" s="171">
        <f t="shared" ref="E64:E78" si="9">C64+D64</f>
        <v>111720</v>
      </c>
      <c r="F64" s="490"/>
      <c r="G64" s="171">
        <f t="shared" ref="G64:G78" si="10">E64+F64</f>
        <v>111720</v>
      </c>
      <c r="H64" s="172">
        <f t="shared" ref="H64:H79" si="11">IF($G$208=0,0,G64/$G$208)</f>
        <v>6.2360941018338764E-2</v>
      </c>
      <c r="I64" s="337"/>
      <c r="J64" s="190"/>
      <c r="K64" s="168"/>
      <c r="M64" s="359">
        <f t="shared" ref="M64:M79" si="12">G64/G$228</f>
        <v>8.806558410846602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490">
        <f>'[33]Sch C'!D58</f>
        <v>0</v>
      </c>
      <c r="D65" s="490">
        <f>'[33]Sch C'!F58</f>
        <v>0</v>
      </c>
      <c r="E65" s="171">
        <f t="shared" si="9"/>
        <v>0</v>
      </c>
      <c r="F65" s="490"/>
      <c r="G65" s="171">
        <f t="shared" si="10"/>
        <v>0</v>
      </c>
      <c r="H65" s="172">
        <f t="shared" si="11"/>
        <v>0</v>
      </c>
      <c r="I65" s="337"/>
      <c r="J65" s="190"/>
      <c r="K65" s="168"/>
      <c r="M65" s="359">
        <f t="shared" si="12"/>
        <v>0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490">
        <f>'[33]Sch C'!D59</f>
        <v>0</v>
      </c>
      <c r="D66" s="490">
        <f>'[33]Sch C'!F59</f>
        <v>0</v>
      </c>
      <c r="E66" s="171">
        <f t="shared" si="9"/>
        <v>0</v>
      </c>
      <c r="F66" s="490"/>
      <c r="G66" s="171">
        <f t="shared" si="10"/>
        <v>0</v>
      </c>
      <c r="H66" s="172">
        <f t="shared" si="11"/>
        <v>0</v>
      </c>
      <c r="I66" s="337"/>
      <c r="J66" s="190"/>
      <c r="K66" s="168"/>
      <c r="M66" s="359">
        <f t="shared" si="12"/>
        <v>0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490">
        <f>'[33]Sch C'!D60</f>
        <v>10655</v>
      </c>
      <c r="D67" s="490">
        <f>'[33]Sch C'!F60</f>
        <v>0</v>
      </c>
      <c r="E67" s="171">
        <f t="shared" si="9"/>
        <v>10655</v>
      </c>
      <c r="F67" s="490"/>
      <c r="G67" s="171">
        <f t="shared" si="10"/>
        <v>10655</v>
      </c>
      <c r="H67" s="172">
        <f t="shared" si="11"/>
        <v>5.9475100836949473E-3</v>
      </c>
      <c r="I67" s="337"/>
      <c r="J67" s="193"/>
      <c r="K67" s="168"/>
      <c r="M67" s="359">
        <f t="shared" si="12"/>
        <v>0.83990225445372857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490">
        <f>'[33]Sch C'!D61</f>
        <v>0</v>
      </c>
      <c r="D68" s="490">
        <f>'[33]Sch C'!F61</f>
        <v>0</v>
      </c>
      <c r="E68" s="171">
        <f t="shared" si="9"/>
        <v>0</v>
      </c>
      <c r="F68" s="490"/>
      <c r="G68" s="171">
        <f t="shared" si="10"/>
        <v>0</v>
      </c>
      <c r="H68" s="172">
        <f t="shared" si="11"/>
        <v>0</v>
      </c>
      <c r="I68" s="337"/>
      <c r="J68" s="193"/>
      <c r="K68" s="168"/>
      <c r="M68" s="359">
        <f t="shared" si="12"/>
        <v>0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490">
        <f>'[33]Sch C'!D62</f>
        <v>0</v>
      </c>
      <c r="D69" s="490">
        <f>'[33]Sch C'!F62</f>
        <v>0</v>
      </c>
      <c r="E69" s="171">
        <f t="shared" si="9"/>
        <v>0</v>
      </c>
      <c r="F69" s="490"/>
      <c r="G69" s="171">
        <f t="shared" si="10"/>
        <v>0</v>
      </c>
      <c r="H69" s="172">
        <f t="shared" si="11"/>
        <v>0</v>
      </c>
      <c r="I69" s="337"/>
      <c r="J69" s="195"/>
      <c r="K69" s="168"/>
      <c r="M69" s="359">
        <f t="shared" si="12"/>
        <v>0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490">
        <f>'[33]Sch C'!D63</f>
        <v>0</v>
      </c>
      <c r="D70" s="490">
        <f>'[33]Sch C'!F63</f>
        <v>0</v>
      </c>
      <c r="E70" s="171">
        <f t="shared" si="9"/>
        <v>0</v>
      </c>
      <c r="F70" s="490"/>
      <c r="G70" s="171">
        <f t="shared" si="10"/>
        <v>0</v>
      </c>
      <c r="H70" s="172">
        <f t="shared" si="11"/>
        <v>0</v>
      </c>
      <c r="I70" s="337"/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490">
        <f>'[33]Sch C'!D64</f>
        <v>0</v>
      </c>
      <c r="D71" s="490">
        <f>'[33]Sch C'!F64</f>
        <v>0</v>
      </c>
      <c r="E71" s="171">
        <f t="shared" si="9"/>
        <v>0</v>
      </c>
      <c r="F71" s="490"/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490">
        <f>'[33]Sch C'!D65</f>
        <v>0</v>
      </c>
      <c r="D72" s="490">
        <f>'[33]Sch C'!F65</f>
        <v>0</v>
      </c>
      <c r="E72" s="171">
        <f t="shared" si="9"/>
        <v>0</v>
      </c>
      <c r="F72" s="490"/>
      <c r="G72" s="171">
        <f t="shared" si="10"/>
        <v>0</v>
      </c>
      <c r="H72" s="172">
        <f t="shared" si="11"/>
        <v>0</v>
      </c>
      <c r="I72" s="337"/>
      <c r="J72" s="195"/>
      <c r="K72" s="168"/>
      <c r="M72" s="359">
        <f t="shared" si="12"/>
        <v>0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490">
        <f>'[33]Sch C'!D66</f>
        <v>0</v>
      </c>
      <c r="D73" s="490">
        <f>'[33]Sch C'!F66</f>
        <v>0</v>
      </c>
      <c r="E73" s="171">
        <f t="shared" si="9"/>
        <v>0</v>
      </c>
      <c r="F73" s="490"/>
      <c r="G73" s="171">
        <f t="shared" si="10"/>
        <v>0</v>
      </c>
      <c r="H73" s="172">
        <f t="shared" si="11"/>
        <v>0</v>
      </c>
      <c r="I73" s="337"/>
      <c r="J73" s="195"/>
      <c r="K73" s="168"/>
      <c r="M73" s="359">
        <f t="shared" si="12"/>
        <v>0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490">
        <f>'[33]Sch C'!D67</f>
        <v>0</v>
      </c>
      <c r="D74" s="490">
        <f>'[33]Sch C'!F67</f>
        <v>0</v>
      </c>
      <c r="E74" s="171">
        <f t="shared" si="9"/>
        <v>0</v>
      </c>
      <c r="F74" s="490"/>
      <c r="G74" s="171">
        <f t="shared" si="10"/>
        <v>0</v>
      </c>
      <c r="H74" s="172">
        <f t="shared" si="11"/>
        <v>0</v>
      </c>
      <c r="I74" s="337"/>
      <c r="J74" s="195"/>
      <c r="K74" s="168"/>
      <c r="M74" s="359">
        <f t="shared" si="12"/>
        <v>0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490">
        <f>'[33]Sch C'!D68</f>
        <v>0</v>
      </c>
      <c r="D75" s="490">
        <f>'[33]Sch C'!F68</f>
        <v>0</v>
      </c>
      <c r="E75" s="171">
        <f t="shared" si="9"/>
        <v>0</v>
      </c>
      <c r="F75" s="490"/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490">
        <f>'[33]Sch C'!D69</f>
        <v>0</v>
      </c>
      <c r="D76" s="490">
        <f>'[33]Sch C'!F69</f>
        <v>0</v>
      </c>
      <c r="E76" s="171">
        <f t="shared" si="9"/>
        <v>0</v>
      </c>
      <c r="F76" s="490"/>
      <c r="G76" s="171">
        <f t="shared" si="10"/>
        <v>0</v>
      </c>
      <c r="H76" s="172">
        <f t="shared" si="11"/>
        <v>0</v>
      </c>
      <c r="I76" s="337"/>
      <c r="J76" s="195"/>
      <c r="K76" s="168"/>
      <c r="M76" s="359">
        <f t="shared" si="12"/>
        <v>0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490">
        <f>'[33]Sch C'!D70</f>
        <v>0</v>
      </c>
      <c r="D77" s="490">
        <f>'[33]Sch C'!F70</f>
        <v>0</v>
      </c>
      <c r="E77" s="171">
        <f t="shared" si="9"/>
        <v>0</v>
      </c>
      <c r="F77" s="490"/>
      <c r="G77" s="171">
        <f t="shared" si="10"/>
        <v>0</v>
      </c>
      <c r="H77" s="172">
        <f t="shared" si="11"/>
        <v>0</v>
      </c>
      <c r="I77" s="337"/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490">
        <f>'[33]Sch C'!D71</f>
        <v>0</v>
      </c>
      <c r="D78" s="490">
        <f>'[33]Sch C'!F71</f>
        <v>0</v>
      </c>
      <c r="E78" s="171">
        <f t="shared" si="9"/>
        <v>0</v>
      </c>
      <c r="F78" s="490"/>
      <c r="G78" s="171">
        <f t="shared" si="10"/>
        <v>0</v>
      </c>
      <c r="H78" s="172">
        <f t="shared" si="11"/>
        <v>0</v>
      </c>
      <c r="I78" s="337"/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490">
        <f>SUM(C64:C78)</f>
        <v>122375</v>
      </c>
      <c r="D79" s="490">
        <f>SUM(D64:D78)</f>
        <v>0</v>
      </c>
      <c r="E79" s="171">
        <f t="shared" ref="E79:F79" si="13">SUM(E64:E78)</f>
        <v>122375</v>
      </c>
      <c r="F79" s="171">
        <f t="shared" si="13"/>
        <v>0</v>
      </c>
      <c r="G79" s="171">
        <f>SUM(G64:G78)</f>
        <v>122375</v>
      </c>
      <c r="H79" s="172">
        <f t="shared" si="11"/>
        <v>6.8308451102033707E-2</v>
      </c>
      <c r="I79" s="337"/>
      <c r="J79" s="195"/>
      <c r="K79" s="168"/>
      <c r="M79" s="359">
        <f t="shared" si="12"/>
        <v>9.6464606653003315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490">
        <f>'[33]Sch C'!D75</f>
        <v>27678</v>
      </c>
      <c r="D82" s="490">
        <f>'[33]Sch C'!F75</f>
        <v>0</v>
      </c>
      <c r="E82" s="171">
        <f t="shared" ref="E82:E92" si="14">C82+D82</f>
        <v>27678</v>
      </c>
      <c r="F82" s="490"/>
      <c r="G82" s="171">
        <f t="shared" ref="G82:G92" si="15">E82+F82</f>
        <v>27678</v>
      </c>
      <c r="H82" s="172">
        <f t="shared" ref="H82:H93" si="16">IF($G$208=0,0,G82/$G$208)</f>
        <v>1.5449571477851596E-2</v>
      </c>
      <c r="I82" s="337"/>
      <c r="J82" s="183">
        <v>1895</v>
      </c>
      <c r="K82" s="183">
        <v>1895</v>
      </c>
      <c r="M82" s="359">
        <f t="shared" ref="M82:M92" si="17">G82/G$228</f>
        <v>2.1817751852435756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490">
        <f>'[33]Sch C'!D76</f>
        <v>2454</v>
      </c>
      <c r="D83" s="490">
        <f>'[33]Sch C'!F76</f>
        <v>0</v>
      </c>
      <c r="E83" s="171">
        <f t="shared" si="14"/>
        <v>2454</v>
      </c>
      <c r="F83" s="490"/>
      <c r="G83" s="171">
        <f t="shared" si="15"/>
        <v>2454</v>
      </c>
      <c r="H83" s="172">
        <f t="shared" si="16"/>
        <v>1.3697972543770436E-3</v>
      </c>
      <c r="I83" s="337"/>
      <c r="J83" s="168"/>
      <c r="K83" s="168"/>
      <c r="M83" s="359">
        <f t="shared" si="17"/>
        <v>0.19344158915339746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490">
        <f>'[33]Sch C'!D77</f>
        <v>4367</v>
      </c>
      <c r="D84" s="490">
        <f>'[33]Sch C'!F77</f>
        <v>0</v>
      </c>
      <c r="E84" s="171">
        <f t="shared" si="14"/>
        <v>4367</v>
      </c>
      <c r="F84" s="490"/>
      <c r="G84" s="171">
        <f t="shared" si="15"/>
        <v>4367</v>
      </c>
      <c r="H84" s="172">
        <f t="shared" si="16"/>
        <v>2.4376139404501018E-3</v>
      </c>
      <c r="I84" s="337"/>
      <c r="J84" s="168"/>
      <c r="K84" s="168"/>
      <c r="M84" s="359">
        <f t="shared" si="17"/>
        <v>0.34423774239318933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490">
        <f>'[33]Sch C'!D78</f>
        <v>0</v>
      </c>
      <c r="D85" s="490">
        <f>'[33]Sch C'!F78</f>
        <v>0</v>
      </c>
      <c r="E85" s="171">
        <f t="shared" si="14"/>
        <v>0</v>
      </c>
      <c r="F85" s="490"/>
      <c r="G85" s="171">
        <f t="shared" si="15"/>
        <v>0</v>
      </c>
      <c r="H85" s="172">
        <f t="shared" si="16"/>
        <v>0</v>
      </c>
      <c r="I85" s="337"/>
      <c r="J85" s="168"/>
      <c r="K85" s="168"/>
      <c r="M85" s="359">
        <f t="shared" si="17"/>
        <v>0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490">
        <f>'[33]Sch C'!D79</f>
        <v>464</v>
      </c>
      <c r="D86" s="490">
        <f>'[33]Sch C'!F79</f>
        <v>0</v>
      </c>
      <c r="E86" s="171">
        <f t="shared" si="14"/>
        <v>464</v>
      </c>
      <c r="F86" s="490"/>
      <c r="G86" s="171">
        <f>E86+F86</f>
        <v>464</v>
      </c>
      <c r="H86" s="172">
        <f t="shared" si="16"/>
        <v>2.5899996985776213E-4</v>
      </c>
      <c r="I86" s="337"/>
      <c r="J86" s="168"/>
      <c r="K86" s="168"/>
      <c r="M86" s="359">
        <f t="shared" si="17"/>
        <v>3.6575752798360395E-2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490">
        <f>'[33]Sch C'!D80</f>
        <v>19824</v>
      </c>
      <c r="D87" s="490">
        <f>'[33]Sch C'!F80</f>
        <v>0</v>
      </c>
      <c r="E87" s="171">
        <f t="shared" si="14"/>
        <v>19824</v>
      </c>
      <c r="F87" s="490"/>
      <c r="G87" s="171">
        <f t="shared" si="15"/>
        <v>19824</v>
      </c>
      <c r="H87" s="172">
        <f t="shared" si="16"/>
        <v>1.1065550436336802E-2</v>
      </c>
      <c r="I87" s="337"/>
      <c r="J87" s="168"/>
      <c r="K87" s="168"/>
      <c r="M87" s="359">
        <f t="shared" si="17"/>
        <v>1.5626675074885701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490">
        <f>'[33]Sch C'!D81</f>
        <v>102914</v>
      </c>
      <c r="D88" s="490">
        <f>'[33]Sch C'!F81</f>
        <v>-102914</v>
      </c>
      <c r="E88" s="171">
        <f t="shared" si="14"/>
        <v>0</v>
      </c>
      <c r="F88" s="490"/>
      <c r="G88" s="171">
        <f t="shared" si="15"/>
        <v>0</v>
      </c>
      <c r="H88" s="172">
        <f t="shared" si="16"/>
        <v>0</v>
      </c>
      <c r="I88" s="337"/>
      <c r="J88" s="168"/>
      <c r="K88" s="168"/>
      <c r="M88" s="359">
        <f t="shared" si="17"/>
        <v>0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490">
        <f>'[33]Sch C'!D82</f>
        <v>16835</v>
      </c>
      <c r="D89" s="490">
        <f>'[33]Sch C'!F82</f>
        <v>0</v>
      </c>
      <c r="E89" s="171">
        <f t="shared" si="14"/>
        <v>16835</v>
      </c>
      <c r="F89" s="490"/>
      <c r="G89" s="171">
        <f t="shared" si="15"/>
        <v>16835</v>
      </c>
      <c r="H89" s="172">
        <f t="shared" si="16"/>
        <v>9.3971217511970382E-3</v>
      </c>
      <c r="I89" s="337"/>
      <c r="J89" s="168"/>
      <c r="K89" s="168"/>
      <c r="M89" s="359">
        <f t="shared" si="17"/>
        <v>1.3270534447422355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490">
        <f>'[33]Sch C'!D83</f>
        <v>213</v>
      </c>
      <c r="D90" s="490">
        <f>'[33]Sch C'!F83</f>
        <v>0</v>
      </c>
      <c r="E90" s="171">
        <f t="shared" si="14"/>
        <v>213</v>
      </c>
      <c r="F90" s="490"/>
      <c r="G90" s="171">
        <f t="shared" si="15"/>
        <v>213</v>
      </c>
      <c r="H90" s="172">
        <f t="shared" si="16"/>
        <v>1.1889438271487787E-4</v>
      </c>
      <c r="I90" s="337"/>
      <c r="J90" s="168"/>
      <c r="K90" s="168"/>
      <c r="M90" s="359">
        <f t="shared" si="17"/>
        <v>1.6790162383730097E-2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490">
        <f>'[33]Sch C'!D84</f>
        <v>33615</v>
      </c>
      <c r="D91" s="490">
        <f>'[33]Sch C'!F84</f>
        <v>0</v>
      </c>
      <c r="E91" s="171">
        <f t="shared" si="14"/>
        <v>33615</v>
      </c>
      <c r="F91" s="490"/>
      <c r="G91" s="171">
        <f t="shared" si="15"/>
        <v>33615</v>
      </c>
      <c r="H91" s="172">
        <f t="shared" si="16"/>
        <v>1.8763543074932488E-2</v>
      </c>
      <c r="I91" s="337"/>
      <c r="J91" s="168"/>
      <c r="K91" s="168"/>
      <c r="M91" s="359">
        <f t="shared" si="17"/>
        <v>2.6497714015450105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490">
        <f>'[33]Sch C'!D85</f>
        <v>2251</v>
      </c>
      <c r="D92" s="490">
        <f>'[33]Sch C'!F85</f>
        <v>0</v>
      </c>
      <c r="E92" s="171">
        <f t="shared" si="14"/>
        <v>2251</v>
      </c>
      <c r="F92" s="490"/>
      <c r="G92" s="171">
        <f t="shared" si="15"/>
        <v>2251</v>
      </c>
      <c r="H92" s="172">
        <f t="shared" si="16"/>
        <v>1.2564847675642728E-3</v>
      </c>
      <c r="I92" s="337"/>
      <c r="J92" s="168"/>
      <c r="K92" s="168"/>
      <c r="M92" s="359">
        <f t="shared" si="17"/>
        <v>0.17743969730411477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490">
        <f>SUM(C82:C92)</f>
        <v>210615</v>
      </c>
      <c r="D93" s="490">
        <f>SUM(D82:D92)</f>
        <v>-102914</v>
      </c>
      <c r="E93" s="171">
        <f t="shared" ref="E93:F93" si="18">SUM(E82:E92)</f>
        <v>107701</v>
      </c>
      <c r="F93" s="171">
        <f t="shared" si="18"/>
        <v>0</v>
      </c>
      <c r="G93" s="171">
        <f>SUM(G82:G92)</f>
        <v>107701</v>
      </c>
      <c r="H93" s="172">
        <f t="shared" si="16"/>
        <v>6.0117577055281979E-2</v>
      </c>
      <c r="I93" s="337"/>
      <c r="J93" s="168"/>
      <c r="K93" s="168"/>
      <c r="M93" s="364">
        <f>G93/G$228</f>
        <v>8.4897524830521842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490">
        <f>'[33]Sch C'!D89</f>
        <v>101306</v>
      </c>
      <c r="D96" s="490">
        <f>'[33]Sch C'!F89</f>
        <v>0</v>
      </c>
      <c r="E96" s="171">
        <f t="shared" ref="E96:E101" si="19">C96+D96</f>
        <v>101306</v>
      </c>
      <c r="F96" s="490"/>
      <c r="G96" s="171">
        <f t="shared" ref="G96:G101" si="20">E96+F96</f>
        <v>101306</v>
      </c>
      <c r="H96" s="172">
        <f t="shared" ref="H96:H102" si="21">IF($G$208=0,0,G96/$G$208)</f>
        <v>5.6547954625884592E-2</v>
      </c>
      <c r="I96" s="337"/>
      <c r="J96" s="183">
        <v>7665</v>
      </c>
      <c r="K96" s="183">
        <v>7817</v>
      </c>
      <c r="M96" s="364">
        <f t="shared" ref="M96:M101" si="22">G96/G$228</f>
        <v>7.9856534762730567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490">
        <f>'[33]Sch C'!D90</f>
        <v>9074</v>
      </c>
      <c r="D97" s="490">
        <f>'[33]Sch C'!F90</f>
        <v>0</v>
      </c>
      <c r="E97" s="171">
        <f t="shared" si="19"/>
        <v>9074</v>
      </c>
      <c r="F97" s="490"/>
      <c r="G97" s="171">
        <f t="shared" si="20"/>
        <v>9074</v>
      </c>
      <c r="H97" s="172">
        <f t="shared" si="21"/>
        <v>5.0650123415718392E-3</v>
      </c>
      <c r="I97" s="337"/>
      <c r="J97" s="168"/>
      <c r="K97" s="168"/>
      <c r="M97" s="364">
        <f t="shared" si="22"/>
        <v>0.71527668295759106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490">
        <f>'[33]Sch C'!D91</f>
        <v>14321</v>
      </c>
      <c r="D98" s="490">
        <f>'[33]Sch C'!F91</f>
        <v>0</v>
      </c>
      <c r="E98" s="171">
        <f t="shared" si="19"/>
        <v>14321</v>
      </c>
      <c r="F98" s="490"/>
      <c r="G98" s="171">
        <f t="shared" si="20"/>
        <v>14321</v>
      </c>
      <c r="H98" s="172">
        <f t="shared" si="21"/>
        <v>7.9938331214073517E-3</v>
      </c>
      <c r="I98" s="337"/>
      <c r="J98" s="168"/>
      <c r="K98" s="168"/>
      <c r="M98" s="364">
        <f t="shared" si="22"/>
        <v>1.1288822323821535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490">
        <f>'[33]Sch C'!D92</f>
        <v>74215</v>
      </c>
      <c r="D99" s="490">
        <f>'[33]Sch C'!F92</f>
        <v>0</v>
      </c>
      <c r="E99" s="171">
        <f t="shared" si="19"/>
        <v>74215</v>
      </c>
      <c r="F99" s="490"/>
      <c r="G99" s="171">
        <f t="shared" si="20"/>
        <v>74215</v>
      </c>
      <c r="H99" s="172">
        <f t="shared" si="21"/>
        <v>4.1426040437486676E-2</v>
      </c>
      <c r="I99" s="337"/>
      <c r="J99" s="168"/>
      <c r="K99" s="168"/>
      <c r="M99" s="364">
        <f t="shared" si="22"/>
        <v>5.8501497714015454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490">
        <f>'[33]Sch C'!D93</f>
        <v>10160</v>
      </c>
      <c r="D100" s="490">
        <f>'[33]Sch C'!F93</f>
        <v>0</v>
      </c>
      <c r="E100" s="171">
        <f t="shared" si="19"/>
        <v>10160</v>
      </c>
      <c r="F100" s="490"/>
      <c r="G100" s="171">
        <f t="shared" si="20"/>
        <v>10160</v>
      </c>
      <c r="H100" s="172">
        <f t="shared" si="21"/>
        <v>5.6712062365406532E-3</v>
      </c>
      <c r="I100" s="337"/>
      <c r="J100" s="168"/>
      <c r="K100" s="168"/>
      <c r="M100" s="364">
        <f t="shared" si="22"/>
        <v>0.80088286299858114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490">
        <f>'[33]Sch C'!D94</f>
        <v>0</v>
      </c>
      <c r="D101" s="490">
        <f>'[33]Sch C'!F94</f>
        <v>0</v>
      </c>
      <c r="E101" s="171">
        <f t="shared" si="19"/>
        <v>0</v>
      </c>
      <c r="F101" s="490"/>
      <c r="G101" s="171">
        <f t="shared" si="20"/>
        <v>0</v>
      </c>
      <c r="H101" s="172">
        <f t="shared" si="21"/>
        <v>0</v>
      </c>
      <c r="I101" s="337"/>
      <c r="J101" s="168"/>
      <c r="K101" s="168"/>
      <c r="M101" s="364">
        <f t="shared" si="22"/>
        <v>0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490">
        <f>SUM(C96:C101)</f>
        <v>209076</v>
      </c>
      <c r="D102" s="490">
        <f>SUM(D96:D101)</f>
        <v>0</v>
      </c>
      <c r="E102" s="171">
        <f t="shared" ref="E102:F102" si="23">SUM(E96:E101)</f>
        <v>209076</v>
      </c>
      <c r="F102" s="171">
        <f t="shared" si="23"/>
        <v>0</v>
      </c>
      <c r="G102" s="171">
        <f>SUM(G96:G101)</f>
        <v>209076</v>
      </c>
      <c r="H102" s="172">
        <f t="shared" si="21"/>
        <v>0.1167040467628911</v>
      </c>
      <c r="I102" s="337"/>
      <c r="J102" s="168"/>
      <c r="K102" s="168"/>
      <c r="M102" s="364">
        <f>G102/G$228</f>
        <v>16.480845026012929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490">
        <f>'[33]Sch C'!D98</f>
        <v>5054</v>
      </c>
      <c r="D105" s="490">
        <f>'[33]Sch C'!F98</f>
        <v>0</v>
      </c>
      <c r="E105" s="171">
        <f t="shared" ref="E105:E110" si="24">C105+D105</f>
        <v>5054</v>
      </c>
      <c r="F105" s="490"/>
      <c r="G105" s="171">
        <f t="shared" ref="G105:G110" si="25">E105+F105</f>
        <v>5054</v>
      </c>
      <c r="H105" s="172">
        <f t="shared" ref="H105:H111" si="26">IF($G$208=0,0,G105/$G$208)</f>
        <v>2.8210901889248489E-3</v>
      </c>
      <c r="I105" s="337"/>
      <c r="J105" s="183">
        <v>914</v>
      </c>
      <c r="K105" s="183">
        <v>916</v>
      </c>
      <c r="M105" s="364">
        <f t="shared" ref="M105:M110" si="27">G105/G$228</f>
        <v>0.39839192810972723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490">
        <f>'[33]Sch C'!D99</f>
        <v>458</v>
      </c>
      <c r="D106" s="490">
        <f>'[33]Sch C'!F99</f>
        <v>0</v>
      </c>
      <c r="E106" s="171">
        <f t="shared" si="24"/>
        <v>458</v>
      </c>
      <c r="F106" s="490"/>
      <c r="G106" s="171">
        <f t="shared" si="25"/>
        <v>458</v>
      </c>
      <c r="H106" s="172">
        <f t="shared" si="26"/>
        <v>2.5565083231649796E-4</v>
      </c>
      <c r="I106" s="337"/>
      <c r="J106" s="168"/>
      <c r="K106" s="168"/>
      <c r="M106" s="364">
        <f t="shared" si="27"/>
        <v>3.6102790477691944E-2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490">
        <f>'[33]Sch C'!D100</f>
        <v>6447</v>
      </c>
      <c r="D107" s="490">
        <f>'[33]Sch C'!F100</f>
        <v>0</v>
      </c>
      <c r="E107" s="171">
        <f t="shared" si="24"/>
        <v>6447</v>
      </c>
      <c r="F107" s="490"/>
      <c r="G107" s="171">
        <f t="shared" si="25"/>
        <v>6447</v>
      </c>
      <c r="H107" s="172">
        <f t="shared" si="26"/>
        <v>3.5986482880883456E-3</v>
      </c>
      <c r="I107" s="337"/>
      <c r="J107" s="168"/>
      <c r="K107" s="168"/>
      <c r="M107" s="364">
        <f t="shared" si="27"/>
        <v>0.50819801355825323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490">
        <f>'[33]Sch C'!D101</f>
        <v>0</v>
      </c>
      <c r="D108" s="490">
        <f>'[33]Sch C'!F101</f>
        <v>0</v>
      </c>
      <c r="E108" s="171">
        <f t="shared" si="24"/>
        <v>0</v>
      </c>
      <c r="F108" s="490"/>
      <c r="G108" s="171">
        <f t="shared" si="25"/>
        <v>0</v>
      </c>
      <c r="H108" s="172">
        <f t="shared" si="26"/>
        <v>0</v>
      </c>
      <c r="I108" s="337"/>
      <c r="J108" s="168"/>
      <c r="K108" s="168"/>
      <c r="M108" s="364">
        <f t="shared" si="27"/>
        <v>0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490">
        <f>'[33]Sch C'!D102</f>
        <v>0</v>
      </c>
      <c r="D109" s="490">
        <f>'[33]Sch C'!F102</f>
        <v>0</v>
      </c>
      <c r="E109" s="171">
        <f t="shared" si="24"/>
        <v>0</v>
      </c>
      <c r="F109" s="490"/>
      <c r="G109" s="171">
        <f t="shared" si="25"/>
        <v>0</v>
      </c>
      <c r="H109" s="172">
        <f t="shared" si="26"/>
        <v>0</v>
      </c>
      <c r="I109" s="337"/>
      <c r="J109" s="168"/>
      <c r="K109" s="168"/>
      <c r="M109" s="364">
        <f t="shared" si="27"/>
        <v>0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490">
        <f>'[33]Sch C'!D103</f>
        <v>0</v>
      </c>
      <c r="D110" s="490">
        <f>'[33]Sch C'!F103</f>
        <v>0</v>
      </c>
      <c r="E110" s="171">
        <f t="shared" si="24"/>
        <v>0</v>
      </c>
      <c r="F110" s="490"/>
      <c r="G110" s="171">
        <f t="shared" si="25"/>
        <v>0</v>
      </c>
      <c r="H110" s="172">
        <f t="shared" si="26"/>
        <v>0</v>
      </c>
      <c r="I110" s="337"/>
      <c r="J110" s="168"/>
      <c r="K110" s="168"/>
      <c r="M110" s="364">
        <f t="shared" si="27"/>
        <v>0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490">
        <f>SUM(C105:C110)</f>
        <v>11959</v>
      </c>
      <c r="D111" s="490">
        <f>SUM(D105:D110)</f>
        <v>0</v>
      </c>
      <c r="E111" s="171">
        <f t="shared" ref="E111:F111" si="28">SUM(E105:E110)</f>
        <v>11959</v>
      </c>
      <c r="F111" s="171">
        <f t="shared" si="28"/>
        <v>0</v>
      </c>
      <c r="G111" s="171">
        <f>SUM(G105:G110)</f>
        <v>11959</v>
      </c>
      <c r="H111" s="172">
        <f t="shared" si="26"/>
        <v>6.6753893093296924E-3</v>
      </c>
      <c r="I111" s="337"/>
      <c r="J111" s="168"/>
      <c r="K111" s="168"/>
      <c r="M111" s="364">
        <f>G111/G$228</f>
        <v>0.9426927321456724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490">
        <f>'[33]Sch C'!D115</f>
        <v>47678</v>
      </c>
      <c r="D114" s="490">
        <f>'[33]Sch C'!F115</f>
        <v>0</v>
      </c>
      <c r="E114" s="171">
        <f t="shared" ref="E114:E118" si="29">C114+D114</f>
        <v>47678</v>
      </c>
      <c r="F114" s="490"/>
      <c r="G114" s="171">
        <f>E114+F114</f>
        <v>47678</v>
      </c>
      <c r="H114" s="172">
        <f t="shared" ref="H114:H119" si="30">IF($G$208=0,0,G114/$G$208)</f>
        <v>2.661336328206548E-2</v>
      </c>
      <c r="I114" s="337"/>
      <c r="J114" s="183">
        <v>4431</v>
      </c>
      <c r="K114" s="183">
        <v>4659</v>
      </c>
      <c r="M114" s="364">
        <f t="shared" ref="M114:M119" si="31">G114/G$228</f>
        <v>3.7583162541384203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490">
        <f>'[33]Sch C'!D116</f>
        <v>4203</v>
      </c>
      <c r="D115" s="490">
        <f>'[33]Sch C'!F116</f>
        <v>0</v>
      </c>
      <c r="E115" s="171">
        <f t="shared" si="29"/>
        <v>4203</v>
      </c>
      <c r="F115" s="490"/>
      <c r="G115" s="171">
        <f>E115+F115</f>
        <v>4203</v>
      </c>
      <c r="H115" s="172">
        <f t="shared" si="30"/>
        <v>2.3460708476555478E-3</v>
      </c>
      <c r="I115" s="337"/>
      <c r="J115" s="168"/>
      <c r="K115" s="168"/>
      <c r="M115" s="364">
        <f t="shared" si="31"/>
        <v>0.33131010562825164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490">
        <f>'[33]Sch C'!D117</f>
        <v>11700</v>
      </c>
      <c r="D116" s="490">
        <f>'[33]Sch C'!F117</f>
        <v>0</v>
      </c>
      <c r="E116" s="171">
        <f t="shared" si="29"/>
        <v>11700</v>
      </c>
      <c r="F116" s="490"/>
      <c r="G116" s="171">
        <f>E116+F116</f>
        <v>11700</v>
      </c>
      <c r="H116" s="172">
        <f t="shared" si="30"/>
        <v>6.5308182054651222E-3</v>
      </c>
      <c r="I116" s="337"/>
      <c r="J116" s="168"/>
      <c r="K116" s="168"/>
      <c r="M116" s="364">
        <f t="shared" si="31"/>
        <v>0.92227652530348414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490">
        <f>'[33]Sch C'!D118</f>
        <v>969</v>
      </c>
      <c r="D117" s="490">
        <f>'[33]Sch C'!F118</f>
        <v>0</v>
      </c>
      <c r="E117" s="171">
        <f t="shared" si="29"/>
        <v>969</v>
      </c>
      <c r="F117" s="490"/>
      <c r="G117" s="171">
        <f>E117+F117</f>
        <v>969</v>
      </c>
      <c r="H117" s="172">
        <f t="shared" si="30"/>
        <v>5.4088571291416277E-4</v>
      </c>
      <c r="I117" s="337"/>
      <c r="J117" s="168"/>
      <c r="K117" s="168"/>
      <c r="M117" s="364">
        <f t="shared" si="31"/>
        <v>7.6383414787955226E-2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490">
        <f>'[33]Sch C'!D119</f>
        <v>0</v>
      </c>
      <c r="D118" s="490">
        <f>'[33]Sch C'!F119</f>
        <v>0</v>
      </c>
      <c r="E118" s="171">
        <f t="shared" si="29"/>
        <v>0</v>
      </c>
      <c r="F118" s="490"/>
      <c r="G118" s="171">
        <f>E118+F118</f>
        <v>0</v>
      </c>
      <c r="H118" s="172">
        <f t="shared" si="30"/>
        <v>0</v>
      </c>
      <c r="I118" s="337"/>
      <c r="J118" s="168"/>
      <c r="K118" s="168"/>
      <c r="M118" s="364">
        <f t="shared" si="31"/>
        <v>0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490">
        <f>SUM(C114:C118)</f>
        <v>64550</v>
      </c>
      <c r="D119" s="490">
        <f>SUM(D114:D118)</f>
        <v>0</v>
      </c>
      <c r="E119" s="171">
        <f t="shared" ref="E119:F119" si="32">SUM(E114:E118)</f>
        <v>64550</v>
      </c>
      <c r="F119" s="171">
        <f t="shared" si="32"/>
        <v>0</v>
      </c>
      <c r="G119" s="171">
        <f>SUM(G114:G118)</f>
        <v>64550</v>
      </c>
      <c r="H119" s="172">
        <f t="shared" si="30"/>
        <v>3.6031138048100313E-2</v>
      </c>
      <c r="I119" s="337"/>
      <c r="J119" s="168"/>
      <c r="K119" s="168"/>
      <c r="M119" s="364">
        <f t="shared" si="31"/>
        <v>5.0882862998581109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1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490">
        <f>'[33]Sch C'!D124</f>
        <v>0</v>
      </c>
      <c r="D123" s="490">
        <f>'[33]Sch C'!F124</f>
        <v>0</v>
      </c>
      <c r="E123" s="171">
        <f t="shared" ref="E123:E127" si="33">C123+D123</f>
        <v>0</v>
      </c>
      <c r="F123" s="490"/>
      <c r="G123" s="171">
        <f>E123+F123</f>
        <v>0</v>
      </c>
      <c r="H123" s="172">
        <f>IF($G$208=0,0,G123/$G$208)</f>
        <v>0</v>
      </c>
      <c r="I123" s="337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0.77002560279620991</v>
      </c>
    </row>
    <row r="124" spans="1:14" s="167" customFormat="1">
      <c r="B124" s="163" t="s">
        <v>194</v>
      </c>
      <c r="C124" s="490">
        <f>'[33]Sch C'!D125</f>
        <v>87360</v>
      </c>
      <c r="D124" s="490">
        <f>'[33]Sch C'!F125</f>
        <v>0</v>
      </c>
      <c r="E124" s="171">
        <f t="shared" si="33"/>
        <v>87360</v>
      </c>
      <c r="F124" s="490"/>
      <c r="G124" s="171">
        <f>E124+F124</f>
        <v>87360</v>
      </c>
      <c r="H124" s="172">
        <f>IF($G$208=0,0,G124/$G$208)</f>
        <v>4.8763442600806249E-2</v>
      </c>
      <c r="I124" s="337"/>
      <c r="J124" s="183">
        <v>2080</v>
      </c>
      <c r="K124" s="183">
        <v>2080</v>
      </c>
      <c r="M124" s="364">
        <f t="shared" si="34"/>
        <v>6.8863313889326818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490">
        <f>'[33]Sch C'!D126</f>
        <v>0</v>
      </c>
      <c r="D125" s="490">
        <f>'[33]Sch C'!F126</f>
        <v>0</v>
      </c>
      <c r="E125" s="171">
        <f t="shared" si="33"/>
        <v>0</v>
      </c>
      <c r="F125" s="490"/>
      <c r="G125" s="171">
        <f>E125+F125</f>
        <v>0</v>
      </c>
      <c r="H125" s="172">
        <f>IF($G$208=0,0,G125/$G$208)</f>
        <v>0</v>
      </c>
      <c r="I125" s="337"/>
      <c r="J125" s="183">
        <v>0</v>
      </c>
      <c r="K125" s="183">
        <v>0</v>
      </c>
      <c r="M125" s="364">
        <f t="shared" si="34"/>
        <v>0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490">
        <f>'[33]Sch C'!D127</f>
        <v>0</v>
      </c>
      <c r="D126" s="490">
        <f>'[33]Sch C'!F127</f>
        <v>0</v>
      </c>
      <c r="E126" s="171">
        <f t="shared" si="33"/>
        <v>0</v>
      </c>
      <c r="F126" s="490"/>
      <c r="G126" s="171">
        <f>E126+F126</f>
        <v>0</v>
      </c>
      <c r="H126" s="172">
        <f>IF($G$208=0,0,G126/$G$208)</f>
        <v>0</v>
      </c>
      <c r="I126" s="337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490">
        <f>'[33]Sch C'!D128</f>
        <v>12887</v>
      </c>
      <c r="D127" s="490">
        <f>'[33]Sch C'!F128</f>
        <v>0</v>
      </c>
      <c r="E127" s="171">
        <f t="shared" si="33"/>
        <v>12887</v>
      </c>
      <c r="F127" s="490"/>
      <c r="G127" s="171">
        <f>E127+F127</f>
        <v>12887</v>
      </c>
      <c r="H127" s="172">
        <f>IF($G$208=0,0,G127/$G$208)</f>
        <v>7.1933892490452164E-3</v>
      </c>
      <c r="I127" s="337"/>
      <c r="J127" s="183">
        <v>805</v>
      </c>
      <c r="K127" s="183">
        <v>805</v>
      </c>
      <c r="M127" s="364">
        <f t="shared" si="34"/>
        <v>1.0158442377423933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580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490">
        <f>'[33]Sch C'!D130</f>
        <v>0</v>
      </c>
      <c r="D129" s="490">
        <f>'[33]Sch C'!F130</f>
        <v>0</v>
      </c>
      <c r="E129" s="171">
        <f t="shared" ref="E129:E133" si="35">C129+D129</f>
        <v>0</v>
      </c>
      <c r="F129" s="490"/>
      <c r="G129" s="171">
        <f>E129+F129</f>
        <v>0</v>
      </c>
      <c r="H129" s="172">
        <f>IF($G$208=0,0,G129/$G$208)</f>
        <v>0</v>
      </c>
      <c r="I129" s="337"/>
      <c r="J129" s="204"/>
      <c r="K129" s="204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490">
        <f>'[33]Sch C'!D131</f>
        <v>0</v>
      </c>
      <c r="D130" s="490">
        <f>'[33]Sch C'!F131</f>
        <v>0</v>
      </c>
      <c r="E130" s="171">
        <f t="shared" si="35"/>
        <v>0</v>
      </c>
      <c r="F130" s="490"/>
      <c r="G130" s="171">
        <f>E130+F130</f>
        <v>0</v>
      </c>
      <c r="H130" s="172">
        <f>IF($G$208=0,0,G130/$G$208)</f>
        <v>0</v>
      </c>
      <c r="I130" s="337"/>
      <c r="J130" s="204"/>
      <c r="K130" s="204"/>
      <c r="M130" s="364">
        <f t="shared" si="34"/>
        <v>0</v>
      </c>
      <c r="N130" s="359">
        <f>SUMMARY!J133</f>
        <v>1.0792348507966931</v>
      </c>
    </row>
    <row r="131" spans="1:14" s="167" customFormat="1">
      <c r="B131" s="163" t="s">
        <v>195</v>
      </c>
      <c r="C131" s="490">
        <f>'[33]Sch C'!D132</f>
        <v>0</v>
      </c>
      <c r="D131" s="490">
        <f>'[33]Sch C'!F132</f>
        <v>0</v>
      </c>
      <c r="E131" s="171">
        <f t="shared" si="35"/>
        <v>0</v>
      </c>
      <c r="F131" s="490"/>
      <c r="G131" s="171">
        <f>E131+F131</f>
        <v>0</v>
      </c>
      <c r="H131" s="172">
        <f>IF($G$208=0,0,G131/$G$208)</f>
        <v>0</v>
      </c>
      <c r="I131" s="337"/>
      <c r="J131" s="168"/>
      <c r="K131" s="168"/>
      <c r="M131" s="364">
        <f t="shared" si="34"/>
        <v>0</v>
      </c>
      <c r="N131" s="359">
        <f>SUMMARY!J134</f>
        <v>8.2765628075518377E-2</v>
      </c>
    </row>
    <row r="132" spans="1:14" s="167" customFormat="1">
      <c r="B132" s="163" t="s">
        <v>196</v>
      </c>
      <c r="C132" s="490">
        <f>'[33]Sch C'!D133</f>
        <v>0</v>
      </c>
      <c r="D132" s="490">
        <f>'[33]Sch C'!F133</f>
        <v>0</v>
      </c>
      <c r="E132" s="171">
        <f t="shared" si="35"/>
        <v>0</v>
      </c>
      <c r="F132" s="490"/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490">
        <f>'[33]Sch C'!D134</f>
        <v>0</v>
      </c>
      <c r="D133" s="490">
        <f>'[33]Sch C'!F134</f>
        <v>0</v>
      </c>
      <c r="E133" s="171">
        <f t="shared" si="35"/>
        <v>0</v>
      </c>
      <c r="F133" s="490"/>
      <c r="G133" s="171">
        <f>E133+F133</f>
        <v>0</v>
      </c>
      <c r="H133" s="172">
        <f>IF($G$208=0,0,G133/$G$208)</f>
        <v>0</v>
      </c>
      <c r="I133" s="337"/>
      <c r="J133" s="168"/>
      <c r="K133" s="168"/>
      <c r="M133" s="364">
        <f t="shared" si="34"/>
        <v>0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490">
        <f>'[33]Sch C'!D136</f>
        <v>108961</v>
      </c>
      <c r="D135" s="490">
        <f>'[33]Sch C'!F136</f>
        <v>0</v>
      </c>
      <c r="E135" s="171">
        <f t="shared" ref="E135:E138" si="36">C135+D135</f>
        <v>108961</v>
      </c>
      <c r="F135" s="490"/>
      <c r="G135" s="171">
        <f>E135+F135</f>
        <v>108961</v>
      </c>
      <c r="H135" s="172">
        <f>IF($G$208=0,0,G135/$G$208)</f>
        <v>6.0820895938947454E-2</v>
      </c>
      <c r="I135" s="337"/>
      <c r="J135" s="183">
        <v>4370</v>
      </c>
      <c r="K135" s="183">
        <v>4474</v>
      </c>
      <c r="M135" s="364">
        <f t="shared" si="34"/>
        <v>8.5890745703925582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490">
        <f>'[33]Sch C'!D137</f>
        <v>123551</v>
      </c>
      <c r="D136" s="490">
        <f>'[33]Sch C'!F137</f>
        <v>0</v>
      </c>
      <c r="E136" s="171">
        <f t="shared" si="36"/>
        <v>123551</v>
      </c>
      <c r="F136" s="490"/>
      <c r="G136" s="171">
        <f>E136+F136</f>
        <v>123551</v>
      </c>
      <c r="H136" s="172">
        <f>IF($G$208=0,0,G136/$G$208)</f>
        <v>6.8964882060121482E-2</v>
      </c>
      <c r="I136" s="337"/>
      <c r="J136" s="183">
        <v>4893</v>
      </c>
      <c r="K136" s="183">
        <v>4965</v>
      </c>
      <c r="M136" s="364">
        <f t="shared" si="34"/>
        <v>9.7391612801513485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490">
        <f>'[33]Sch C'!D138</f>
        <v>201314</v>
      </c>
      <c r="D137" s="490">
        <f>'[33]Sch C'!F138</f>
        <v>0</v>
      </c>
      <c r="E137" s="171">
        <f t="shared" si="36"/>
        <v>201314</v>
      </c>
      <c r="F137" s="490"/>
      <c r="G137" s="171">
        <f>E137+F137</f>
        <v>201314</v>
      </c>
      <c r="H137" s="172">
        <f>IF($G$208=0,0,G137/$G$208)</f>
        <v>0.11237137916367571</v>
      </c>
      <c r="I137" s="337"/>
      <c r="J137" s="183">
        <v>19104</v>
      </c>
      <c r="K137" s="183">
        <v>19572</v>
      </c>
      <c r="M137" s="364">
        <f t="shared" si="34"/>
        <v>15.868989437174838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490">
        <f>'[33]Sch C'!D139</f>
        <v>0</v>
      </c>
      <c r="D138" s="490">
        <f>'[33]Sch C'!F139</f>
        <v>0</v>
      </c>
      <c r="E138" s="171">
        <f t="shared" si="36"/>
        <v>0</v>
      </c>
      <c r="F138" s="490"/>
      <c r="G138" s="171">
        <f>E138+F138</f>
        <v>0</v>
      </c>
      <c r="H138" s="172">
        <f>IF($G$208=0,0,G138/$G$208)</f>
        <v>0</v>
      </c>
      <c r="I138" s="337"/>
      <c r="J138" s="183">
        <v>0</v>
      </c>
      <c r="K138" s="183">
        <v>0</v>
      </c>
      <c r="M138" s="364">
        <f t="shared" si="34"/>
        <v>0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7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490">
        <f>'[33]Sch C'!D141</f>
        <v>23163</v>
      </c>
      <c r="D140" s="490">
        <f>'[33]Sch C'!F141</f>
        <v>0</v>
      </c>
      <c r="E140" s="171">
        <f t="shared" ref="E140:E143" si="37">C140+D140</f>
        <v>23163</v>
      </c>
      <c r="F140" s="490"/>
      <c r="G140" s="171">
        <f>E140+F140</f>
        <v>23163</v>
      </c>
      <c r="H140" s="172">
        <f>IF($G$208=0,0,G140/$G$208)</f>
        <v>1.2929345478050311E-2</v>
      </c>
      <c r="I140" s="337"/>
      <c r="J140" s="168"/>
      <c r="K140" s="168"/>
      <c r="M140" s="364">
        <f t="shared" si="34"/>
        <v>1.8258710389405644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490">
        <f>'[33]Sch C'!D142</f>
        <v>0</v>
      </c>
      <c r="D141" s="490">
        <f>'[33]Sch C'!F142</f>
        <v>0</v>
      </c>
      <c r="E141" s="171">
        <f t="shared" si="37"/>
        <v>0</v>
      </c>
      <c r="F141" s="490"/>
      <c r="G141" s="171">
        <f>E141+F141</f>
        <v>0</v>
      </c>
      <c r="H141" s="172">
        <f>IF($G$208=0,0,G141/$G$208)</f>
        <v>0</v>
      </c>
      <c r="I141" s="337"/>
      <c r="J141" s="168"/>
      <c r="K141" s="168"/>
      <c r="M141" s="364">
        <f t="shared" si="34"/>
        <v>0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490">
        <f>'[33]Sch C'!D143</f>
        <v>17952</v>
      </c>
      <c r="D142" s="490">
        <f>'[33]Sch C'!F143</f>
        <v>0</v>
      </c>
      <c r="E142" s="171">
        <f t="shared" si="37"/>
        <v>17952</v>
      </c>
      <c r="F142" s="490"/>
      <c r="G142" s="171">
        <f>E142+F142</f>
        <v>17952</v>
      </c>
      <c r="H142" s="172">
        <f>IF($G$208=0,0,G142/$G$208)</f>
        <v>1.0020619523462383E-2</v>
      </c>
      <c r="I142" s="337"/>
      <c r="J142" s="168"/>
      <c r="K142" s="168"/>
      <c r="M142" s="364">
        <f t="shared" si="34"/>
        <v>1.4151032634400127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490">
        <f>'[33]Sch C'!D144</f>
        <v>0</v>
      </c>
      <c r="D143" s="490">
        <f>'[33]Sch C'!F144</f>
        <v>0</v>
      </c>
      <c r="E143" s="171">
        <f t="shared" si="37"/>
        <v>0</v>
      </c>
      <c r="F143" s="490"/>
      <c r="G143" s="171">
        <f>E143+F143</f>
        <v>0</v>
      </c>
      <c r="H143" s="172">
        <f>IF($G$208=0,0,G143/$G$208)</f>
        <v>0</v>
      </c>
      <c r="I143" s="337"/>
      <c r="J143" s="168"/>
      <c r="K143" s="168"/>
      <c r="M143" s="364">
        <f t="shared" si="34"/>
        <v>0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7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490">
        <f>'[33]Sch C'!D146</f>
        <v>5500</v>
      </c>
      <c r="D145" s="490">
        <f>'[33]Sch C'!F146</f>
        <v>0</v>
      </c>
      <c r="E145" s="171">
        <f t="shared" ref="E145:E153" si="38">C145+D145</f>
        <v>5500</v>
      </c>
      <c r="F145" s="490"/>
      <c r="G145" s="171">
        <f t="shared" ref="G145:G153" si="39">E145+F145</f>
        <v>5500</v>
      </c>
      <c r="H145" s="172">
        <f t="shared" ref="H145:H153" si="40">IF($G$208=0,0,G145/$G$208)</f>
        <v>3.0700427461588181E-3</v>
      </c>
      <c r="I145" s="337"/>
      <c r="J145" s="183">
        <v>209</v>
      </c>
      <c r="K145" s="183">
        <v>209</v>
      </c>
      <c r="M145" s="364">
        <f t="shared" si="34"/>
        <v>0.43354879394608231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490">
        <f>'[33]Sch C'!D147</f>
        <v>0</v>
      </c>
      <c r="D146" s="490">
        <f>'[33]Sch C'!F147</f>
        <v>0</v>
      </c>
      <c r="E146" s="171">
        <f t="shared" si="38"/>
        <v>0</v>
      </c>
      <c r="F146" s="490"/>
      <c r="G146" s="171">
        <f t="shared" si="39"/>
        <v>0</v>
      </c>
      <c r="H146" s="172">
        <f t="shared" si="40"/>
        <v>0</v>
      </c>
      <c r="I146" s="337"/>
      <c r="J146" s="183">
        <v>0</v>
      </c>
      <c r="K146" s="183">
        <v>0</v>
      </c>
      <c r="M146" s="364">
        <f t="shared" si="34"/>
        <v>0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490">
        <f>'[33]Sch C'!D148</f>
        <v>0</v>
      </c>
      <c r="D147" s="490">
        <f>'[33]Sch C'!F148</f>
        <v>0</v>
      </c>
      <c r="E147" s="171">
        <f t="shared" si="38"/>
        <v>0</v>
      </c>
      <c r="F147" s="490"/>
      <c r="G147" s="171">
        <f t="shared" si="39"/>
        <v>0</v>
      </c>
      <c r="H147" s="172">
        <f t="shared" si="40"/>
        <v>0</v>
      </c>
      <c r="I147" s="337"/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490">
        <f>'[33]Sch C'!D149</f>
        <v>1963</v>
      </c>
      <c r="D148" s="490">
        <f>'[33]Sch C'!F149</f>
        <v>0</v>
      </c>
      <c r="E148" s="171">
        <f t="shared" si="38"/>
        <v>1963</v>
      </c>
      <c r="F148" s="490"/>
      <c r="G148" s="171">
        <f t="shared" si="39"/>
        <v>1963</v>
      </c>
      <c r="H148" s="172">
        <f t="shared" si="40"/>
        <v>1.0957261655835928E-3</v>
      </c>
      <c r="I148" s="337"/>
      <c r="J148" s="183">
        <v>160</v>
      </c>
      <c r="K148" s="183">
        <v>160</v>
      </c>
      <c r="M148" s="364">
        <f t="shared" si="34"/>
        <v>0.15473750591202901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490">
        <f>'[33]Sch C'!D150</f>
        <v>2264</v>
      </c>
      <c r="D149" s="490">
        <f>'[33]Sch C'!F150</f>
        <v>0</v>
      </c>
      <c r="E149" s="171">
        <f t="shared" si="38"/>
        <v>2264</v>
      </c>
      <c r="F149" s="490"/>
      <c r="G149" s="171">
        <f t="shared" si="39"/>
        <v>2264</v>
      </c>
      <c r="H149" s="172">
        <f t="shared" si="40"/>
        <v>1.2637412322370118E-3</v>
      </c>
      <c r="I149" s="337"/>
      <c r="J149" s="183">
        <v>0</v>
      </c>
      <c r="K149" s="183">
        <v>0</v>
      </c>
      <c r="M149" s="364">
        <f t="shared" si="34"/>
        <v>0.17846444899889641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490">
        <f>'[33]Sch C'!D151</f>
        <v>35697</v>
      </c>
      <c r="D150" s="490">
        <f>'[33]Sch C'!F151</f>
        <v>0</v>
      </c>
      <c r="E150" s="171">
        <f t="shared" si="38"/>
        <v>35697</v>
      </c>
      <c r="F150" s="490"/>
      <c r="G150" s="171">
        <f t="shared" si="39"/>
        <v>35697</v>
      </c>
      <c r="H150" s="172">
        <f t="shared" si="40"/>
        <v>1.9925693801751153E-2</v>
      </c>
      <c r="I150" s="337"/>
      <c r="J150" s="168"/>
      <c r="K150" s="168"/>
      <c r="M150" s="364">
        <f t="shared" si="34"/>
        <v>2.8138893268169638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490">
        <f>'[33]Sch C'!D152</f>
        <v>2020</v>
      </c>
      <c r="D151" s="490">
        <f>'[33]Sch C'!F152</f>
        <v>0</v>
      </c>
      <c r="E151" s="171">
        <f t="shared" si="38"/>
        <v>2020</v>
      </c>
      <c r="F151" s="490"/>
      <c r="G151" s="171">
        <f t="shared" si="39"/>
        <v>2020</v>
      </c>
      <c r="H151" s="172">
        <f t="shared" si="40"/>
        <v>1.1275429722256024E-3</v>
      </c>
      <c r="I151" s="337"/>
      <c r="J151" s="168"/>
      <c r="K151" s="168"/>
      <c r="M151" s="364">
        <f t="shared" si="34"/>
        <v>0.15923064795837932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490">
        <f>'[33]Sch C'!D153</f>
        <v>0</v>
      </c>
      <c r="D152" s="490">
        <f>'[33]Sch C'!F153</f>
        <v>0</v>
      </c>
      <c r="E152" s="171">
        <f t="shared" si="38"/>
        <v>0</v>
      </c>
      <c r="F152" s="490"/>
      <c r="G152" s="171">
        <f t="shared" si="39"/>
        <v>0</v>
      </c>
      <c r="H152" s="172">
        <f t="shared" si="40"/>
        <v>0</v>
      </c>
      <c r="I152" s="337"/>
      <c r="J152" s="168"/>
      <c r="K152" s="168"/>
      <c r="M152" s="364">
        <f t="shared" si="34"/>
        <v>0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490">
        <f>'[33]Sch C'!D154</f>
        <v>0</v>
      </c>
      <c r="D153" s="490">
        <f>'[33]Sch C'!F154</f>
        <v>0</v>
      </c>
      <c r="E153" s="171">
        <f t="shared" si="38"/>
        <v>0</v>
      </c>
      <c r="F153" s="490"/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210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490">
        <f>'[33]Sch C'!D156</f>
        <v>0</v>
      </c>
      <c r="D155" s="490">
        <f>'[33]Sch C'!F156</f>
        <v>0</v>
      </c>
      <c r="E155" s="171">
        <f t="shared" ref="E155:E160" si="41">C155+D155</f>
        <v>0</v>
      </c>
      <c r="F155" s="490"/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490">
        <f>'[33]Sch C'!D157</f>
        <v>0</v>
      </c>
      <c r="D156" s="490">
        <f>'[33]Sch C'!F157</f>
        <v>0</v>
      </c>
      <c r="E156" s="171">
        <f t="shared" si="41"/>
        <v>0</v>
      </c>
      <c r="F156" s="490"/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490">
        <f>'[33]Sch C'!D158</f>
        <v>0</v>
      </c>
      <c r="D157" s="490">
        <f>'[33]Sch C'!F158</f>
        <v>0</v>
      </c>
      <c r="E157" s="171">
        <f t="shared" si="41"/>
        <v>0</v>
      </c>
      <c r="F157" s="490"/>
      <c r="G157" s="171">
        <f t="shared" si="42"/>
        <v>0</v>
      </c>
      <c r="H157" s="172">
        <f t="shared" si="43"/>
        <v>0</v>
      </c>
      <c r="I157" s="337"/>
      <c r="J157" s="168"/>
      <c r="K157" s="168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490">
        <f>'[33]Sch C'!D159</f>
        <v>0</v>
      </c>
      <c r="D158" s="490">
        <f>'[33]Sch C'!F159</f>
        <v>0</v>
      </c>
      <c r="E158" s="171">
        <f t="shared" si="41"/>
        <v>0</v>
      </c>
      <c r="F158" s="490"/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490">
        <f>'[33]Sch C'!D160</f>
        <v>0</v>
      </c>
      <c r="D159" s="490">
        <f>'[33]Sch C'!F160</f>
        <v>0</v>
      </c>
      <c r="E159" s="171">
        <f t="shared" si="41"/>
        <v>0</v>
      </c>
      <c r="F159" s="490"/>
      <c r="G159" s="171">
        <f t="shared" si="42"/>
        <v>0</v>
      </c>
      <c r="H159" s="172">
        <f>IF($G$208=0,0,G159/$G$208)</f>
        <v>0</v>
      </c>
      <c r="I159" s="337"/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490">
        <f>'[33]Sch C'!D161</f>
        <v>2809</v>
      </c>
      <c r="D160" s="490">
        <f>'[33]Sch C'!F161</f>
        <v>0</v>
      </c>
      <c r="E160" s="171">
        <f t="shared" si="41"/>
        <v>2809</v>
      </c>
      <c r="F160" s="490"/>
      <c r="G160" s="171">
        <f t="shared" si="42"/>
        <v>2809</v>
      </c>
      <c r="H160" s="172">
        <f t="shared" si="43"/>
        <v>1.56795455890184E-3</v>
      </c>
      <c r="I160" s="337"/>
      <c r="J160" s="168"/>
      <c r="K160" s="168"/>
      <c r="M160" s="364">
        <f t="shared" si="34"/>
        <v>0.22142519312628095</v>
      </c>
      <c r="N160" s="359">
        <f>SUMMARY!J163</f>
        <v>0.61572967423063263</v>
      </c>
    </row>
    <row r="161" spans="1:14" s="167" customFormat="1">
      <c r="A161" s="169"/>
      <c r="B161" s="170" t="s">
        <v>233</v>
      </c>
      <c r="C161" s="490">
        <f>SUM(C123:C160)</f>
        <v>625441</v>
      </c>
      <c r="D161" s="490">
        <f>SUM(D123:D160)</f>
        <v>0</v>
      </c>
      <c r="E161" s="171">
        <f t="shared" ref="E161:F161" si="44">SUM(E123:E160)</f>
        <v>625441</v>
      </c>
      <c r="F161" s="171">
        <f t="shared" si="44"/>
        <v>0</v>
      </c>
      <c r="G161" s="171">
        <f>SUM(G123:G160)</f>
        <v>625441</v>
      </c>
      <c r="H161" s="172">
        <f t="shared" si="43"/>
        <v>0.34911465549096682</v>
      </c>
      <c r="I161" s="337"/>
      <c r="J161" s="168"/>
      <c r="K161" s="168"/>
      <c r="M161" s="364">
        <f>G161/G$228</f>
        <v>49.301671133533027</v>
      </c>
      <c r="N161" s="359">
        <f>SUMMARY!J164</f>
        <v>98.597321527877028</v>
      </c>
    </row>
    <row r="162" spans="1:14" s="167" customFormat="1">
      <c r="A162" s="169"/>
      <c r="B162" s="170"/>
      <c r="C162" s="196"/>
      <c r="D162" s="196"/>
      <c r="E162" s="196"/>
      <c r="F162" s="196"/>
      <c r="G162" s="196"/>
      <c r="H162" s="197"/>
      <c r="I162" s="337"/>
      <c r="J162" s="168"/>
      <c r="K162" s="168"/>
      <c r="M162" s="359"/>
      <c r="N162" s="359"/>
    </row>
    <row r="163" spans="1:14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7"/>
      <c r="J163" s="168"/>
      <c r="K163" s="168"/>
      <c r="M163" s="359"/>
      <c r="N163" s="359"/>
    </row>
    <row r="164" spans="1:14" s="221" customFormat="1">
      <c r="A164" s="215" t="s">
        <v>95</v>
      </c>
      <c r="B164" s="148" t="s">
        <v>102</v>
      </c>
      <c r="C164" s="490">
        <f>'[33]Sch C'!D175</f>
        <v>0</v>
      </c>
      <c r="D164" s="490">
        <f>'[33]Sch C'!F175</f>
        <v>0</v>
      </c>
      <c r="E164" s="171">
        <f t="shared" ref="E164:E196" si="45">C164+D164</f>
        <v>0</v>
      </c>
      <c r="F164" s="490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>
        <v>0</v>
      </c>
      <c r="K164" s="217">
        <v>0</v>
      </c>
      <c r="M164" s="364">
        <f>G164/G$228</f>
        <v>0</v>
      </c>
      <c r="N164" s="359">
        <f>SUMMARY!J167</f>
        <v>0</v>
      </c>
    </row>
    <row r="165" spans="1:14" s="221" customFormat="1">
      <c r="A165" s="215" t="s">
        <v>123</v>
      </c>
      <c r="B165" s="148" t="s">
        <v>103</v>
      </c>
      <c r="C165" s="490">
        <f>'[33]Sch C'!D176</f>
        <v>0</v>
      </c>
      <c r="D165" s="490">
        <f>'[33]Sch C'!F176</f>
        <v>0</v>
      </c>
      <c r="E165" s="171">
        <f t="shared" si="45"/>
        <v>0</v>
      </c>
      <c r="F165" s="490"/>
      <c r="G165" s="171">
        <f t="shared" si="46"/>
        <v>0</v>
      </c>
      <c r="H165" s="172">
        <f t="shared" si="47"/>
        <v>0</v>
      </c>
      <c r="I165" s="344"/>
      <c r="J165" s="222"/>
      <c r="K165" s="222"/>
      <c r="M165" s="364">
        <f t="shared" ref="M165:M196" si="48">G165/G$228</f>
        <v>0</v>
      </c>
      <c r="N165" s="359">
        <f>SUMMARY!J168</f>
        <v>0</v>
      </c>
    </row>
    <row r="166" spans="1:14" s="221" customFormat="1">
      <c r="A166" s="215" t="s">
        <v>124</v>
      </c>
      <c r="B166" s="148" t="s">
        <v>104</v>
      </c>
      <c r="C166" s="490">
        <f>'[33]Sch C'!D177</f>
        <v>0</v>
      </c>
      <c r="D166" s="490">
        <f>'[33]Sch C'!F177</f>
        <v>0</v>
      </c>
      <c r="E166" s="171">
        <f t="shared" si="45"/>
        <v>0</v>
      </c>
      <c r="F166" s="490"/>
      <c r="G166" s="171">
        <f t="shared" si="46"/>
        <v>0</v>
      </c>
      <c r="H166" s="172">
        <f t="shared" si="47"/>
        <v>0</v>
      </c>
      <c r="I166" s="343"/>
      <c r="J166" s="217">
        <v>0</v>
      </c>
      <c r="K166" s="217">
        <v>0</v>
      </c>
      <c r="M166" s="364">
        <f t="shared" si="48"/>
        <v>0</v>
      </c>
      <c r="N166" s="359">
        <f>SUMMARY!J169</f>
        <v>4.5899160973212085</v>
      </c>
    </row>
    <row r="167" spans="1:14" s="221" customFormat="1">
      <c r="A167" s="215" t="s">
        <v>157</v>
      </c>
      <c r="B167" s="148" t="s">
        <v>105</v>
      </c>
      <c r="C167" s="490">
        <f>'[33]Sch C'!D178</f>
        <v>0</v>
      </c>
      <c r="D167" s="490">
        <f>'[33]Sch C'!F178</f>
        <v>0</v>
      </c>
      <c r="E167" s="171">
        <f t="shared" si="45"/>
        <v>0</v>
      </c>
      <c r="F167" s="490"/>
      <c r="G167" s="171">
        <f t="shared" si="46"/>
        <v>0</v>
      </c>
      <c r="H167" s="172">
        <f t="shared" si="47"/>
        <v>0</v>
      </c>
      <c r="I167" s="344"/>
      <c r="J167" s="222"/>
      <c r="K167" s="222"/>
      <c r="M167" s="364">
        <f t="shared" si="48"/>
        <v>0</v>
      </c>
      <c r="N167" s="359">
        <f>SUMMARY!J170</f>
        <v>0.83466769369350857</v>
      </c>
    </row>
    <row r="168" spans="1:14" s="221" customFormat="1">
      <c r="A168" s="215" t="s">
        <v>158</v>
      </c>
      <c r="B168" s="148" t="s">
        <v>316</v>
      </c>
      <c r="C168" s="490">
        <f>'[33]Sch C'!D179</f>
        <v>0</v>
      </c>
      <c r="D168" s="490">
        <f>'[33]Sch C'!F179</f>
        <v>0</v>
      </c>
      <c r="E168" s="171">
        <f t="shared" si="45"/>
        <v>0</v>
      </c>
      <c r="F168" s="490"/>
      <c r="G168" s="171">
        <f t="shared" si="46"/>
        <v>0</v>
      </c>
      <c r="H168" s="172">
        <f t="shared" si="47"/>
        <v>0</v>
      </c>
      <c r="I168" s="343"/>
      <c r="J168" s="217">
        <v>0</v>
      </c>
      <c r="K168" s="217">
        <v>0</v>
      </c>
      <c r="M168" s="364">
        <f t="shared" si="48"/>
        <v>0</v>
      </c>
      <c r="N168" s="359">
        <f>SUMMARY!J171</f>
        <v>0.77161464733349716</v>
      </c>
    </row>
    <row r="169" spans="1:14" s="221" customFormat="1">
      <c r="A169" s="215" t="s">
        <v>86</v>
      </c>
      <c r="B169" s="148" t="s">
        <v>317</v>
      </c>
      <c r="C169" s="490">
        <f>'[33]Sch C'!D180</f>
        <v>0</v>
      </c>
      <c r="D169" s="490">
        <f>'[33]Sch C'!F180</f>
        <v>0</v>
      </c>
      <c r="E169" s="171">
        <f t="shared" si="45"/>
        <v>0</v>
      </c>
      <c r="F169" s="490"/>
      <c r="G169" s="171">
        <f t="shared" si="46"/>
        <v>0</v>
      </c>
      <c r="H169" s="172">
        <f t="shared" si="47"/>
        <v>0</v>
      </c>
      <c r="I169" s="344"/>
      <c r="J169" s="222"/>
      <c r="K169" s="222"/>
      <c r="M169" s="364">
        <f t="shared" si="48"/>
        <v>0</v>
      </c>
      <c r="N169" s="359">
        <f>SUMMARY!J172</f>
        <v>0.13394964091641409</v>
      </c>
    </row>
    <row r="170" spans="1:14" s="221" customFormat="1">
      <c r="A170" s="215" t="s">
        <v>96</v>
      </c>
      <c r="B170" s="148" t="s">
        <v>318</v>
      </c>
      <c r="C170" s="490">
        <f>'[33]Sch C'!D181</f>
        <v>0</v>
      </c>
      <c r="D170" s="490">
        <f>'[33]Sch C'!F181</f>
        <v>0</v>
      </c>
      <c r="E170" s="171">
        <f t="shared" si="45"/>
        <v>0</v>
      </c>
      <c r="F170" s="490"/>
      <c r="G170" s="171">
        <f t="shared" si="46"/>
        <v>0</v>
      </c>
      <c r="H170" s="172">
        <f t="shared" si="47"/>
        <v>0</v>
      </c>
      <c r="I170" s="343"/>
      <c r="J170" s="217">
        <v>0</v>
      </c>
      <c r="K170" s="217">
        <v>0</v>
      </c>
      <c r="M170" s="364">
        <f t="shared" si="48"/>
        <v>0</v>
      </c>
      <c r="N170" s="359">
        <f>SUMMARY!J173</f>
        <v>0</v>
      </c>
    </row>
    <row r="171" spans="1:14" s="221" customFormat="1">
      <c r="A171" s="215" t="s">
        <v>125</v>
      </c>
      <c r="B171" s="148" t="s">
        <v>109</v>
      </c>
      <c r="C171" s="490">
        <f>'[33]Sch C'!D182</f>
        <v>0</v>
      </c>
      <c r="D171" s="490">
        <f>'[33]Sch C'!F182</f>
        <v>0</v>
      </c>
      <c r="E171" s="171">
        <f t="shared" si="45"/>
        <v>0</v>
      </c>
      <c r="F171" s="490"/>
      <c r="G171" s="171">
        <f t="shared" si="46"/>
        <v>0</v>
      </c>
      <c r="H171" s="172">
        <f t="shared" si="47"/>
        <v>0</v>
      </c>
      <c r="I171" s="344"/>
      <c r="J171" s="222"/>
      <c r="K171" s="222"/>
      <c r="M171" s="364">
        <f t="shared" si="48"/>
        <v>0</v>
      </c>
      <c r="N171" s="359">
        <f>SUMMARY!J174</f>
        <v>0</v>
      </c>
    </row>
    <row r="172" spans="1:14" s="221" customFormat="1">
      <c r="A172" s="215" t="s">
        <v>126</v>
      </c>
      <c r="B172" s="148" t="s">
        <v>319</v>
      </c>
      <c r="C172" s="490">
        <f>'[33]Sch C'!D183</f>
        <v>0</v>
      </c>
      <c r="D172" s="490">
        <f>'[33]Sch C'!F183</f>
        <v>0</v>
      </c>
      <c r="E172" s="171">
        <f t="shared" si="45"/>
        <v>0</v>
      </c>
      <c r="F172" s="490"/>
      <c r="G172" s="171">
        <f t="shared" si="46"/>
        <v>0</v>
      </c>
      <c r="H172" s="172">
        <f t="shared" si="47"/>
        <v>0</v>
      </c>
      <c r="I172" s="343"/>
      <c r="J172" s="217">
        <v>0</v>
      </c>
      <c r="K172" s="217">
        <v>0</v>
      </c>
      <c r="M172" s="364">
        <f t="shared" si="48"/>
        <v>0</v>
      </c>
      <c r="N172" s="359">
        <f>SUMMARY!J175</f>
        <v>2.5941162939297122</v>
      </c>
    </row>
    <row r="173" spans="1:14" s="221" customFormat="1">
      <c r="A173" s="215" t="s">
        <v>127</v>
      </c>
      <c r="B173" s="148" t="s">
        <v>111</v>
      </c>
      <c r="C173" s="490">
        <f>'[33]Sch C'!D184</f>
        <v>0</v>
      </c>
      <c r="D173" s="490">
        <f>'[33]Sch C'!F184</f>
        <v>0</v>
      </c>
      <c r="E173" s="171">
        <f t="shared" si="45"/>
        <v>0</v>
      </c>
      <c r="F173" s="490"/>
      <c r="G173" s="171">
        <f t="shared" si="46"/>
        <v>0</v>
      </c>
      <c r="H173" s="172">
        <f t="shared" si="47"/>
        <v>0</v>
      </c>
      <c r="I173" s="344"/>
      <c r="J173" s="222"/>
      <c r="K173" s="222"/>
      <c r="M173" s="364">
        <f t="shared" si="48"/>
        <v>0</v>
      </c>
      <c r="N173" s="359">
        <f>SUMMARY!J176</f>
        <v>0.43431776693811036</v>
      </c>
    </row>
    <row r="174" spans="1:14" s="221" customFormat="1">
      <c r="A174" s="215" t="s">
        <v>128</v>
      </c>
      <c r="B174" s="148" t="s">
        <v>320</v>
      </c>
      <c r="C174" s="490">
        <f>'[33]Sch C'!D185</f>
        <v>0</v>
      </c>
      <c r="D174" s="490">
        <f>'[33]Sch C'!F185</f>
        <v>0</v>
      </c>
      <c r="E174" s="171">
        <f t="shared" si="45"/>
        <v>0</v>
      </c>
      <c r="F174" s="490"/>
      <c r="G174" s="171">
        <f t="shared" si="46"/>
        <v>0</v>
      </c>
      <c r="H174" s="172">
        <f t="shared" si="47"/>
        <v>0</v>
      </c>
      <c r="I174" s="343"/>
      <c r="J174" s="217">
        <v>0</v>
      </c>
      <c r="K174" s="217">
        <v>0</v>
      </c>
      <c r="M174" s="364">
        <f t="shared" si="48"/>
        <v>0</v>
      </c>
      <c r="N174" s="359">
        <f>SUMMARY!J177</f>
        <v>2.3603943092760983E-3</v>
      </c>
    </row>
    <row r="175" spans="1:14" s="221" customFormat="1">
      <c r="A175" s="215" t="s">
        <v>129</v>
      </c>
      <c r="B175" s="148" t="s">
        <v>321</v>
      </c>
      <c r="C175" s="490">
        <f>'[33]Sch C'!D186</f>
        <v>0</v>
      </c>
      <c r="D175" s="490">
        <f>'[33]Sch C'!F186</f>
        <v>0</v>
      </c>
      <c r="E175" s="171">
        <f t="shared" si="45"/>
        <v>0</v>
      </c>
      <c r="F175" s="490"/>
      <c r="G175" s="171">
        <f t="shared" si="46"/>
        <v>0</v>
      </c>
      <c r="H175" s="172">
        <f t="shared" si="47"/>
        <v>0</v>
      </c>
      <c r="I175" s="337"/>
      <c r="J175" s="223"/>
      <c r="K175" s="218"/>
      <c r="M175" s="364">
        <f t="shared" si="48"/>
        <v>0</v>
      </c>
      <c r="N175" s="359">
        <f>SUMMARY!J178</f>
        <v>0</v>
      </c>
    </row>
    <row r="176" spans="1:14" s="221" customFormat="1">
      <c r="A176" s="224" t="s">
        <v>293</v>
      </c>
      <c r="B176" s="148" t="s">
        <v>154</v>
      </c>
      <c r="C176" s="490">
        <f>'[33]Sch C'!D187</f>
        <v>0</v>
      </c>
      <c r="D176" s="490">
        <f>'[33]Sch C'!F187</f>
        <v>0</v>
      </c>
      <c r="E176" s="171">
        <f t="shared" si="45"/>
        <v>0</v>
      </c>
      <c r="F176" s="490"/>
      <c r="G176" s="171">
        <f t="shared" si="46"/>
        <v>0</v>
      </c>
      <c r="H176" s="172">
        <f t="shared" si="47"/>
        <v>0</v>
      </c>
      <c r="I176" s="337"/>
      <c r="J176" s="223"/>
      <c r="K176" s="218"/>
      <c r="M176" s="364">
        <f t="shared" si="48"/>
        <v>0</v>
      </c>
      <c r="N176" s="359">
        <f>SUMMARY!J179</f>
        <v>0</v>
      </c>
    </row>
    <row r="177" spans="1:14" s="221" customFormat="1">
      <c r="A177" s="224" t="s">
        <v>294</v>
      </c>
      <c r="B177" s="148" t="s">
        <v>322</v>
      </c>
      <c r="C177" s="490">
        <f>'[33]Sch C'!D188</f>
        <v>0</v>
      </c>
      <c r="D177" s="490">
        <f>'[33]Sch C'!F188</f>
        <v>0</v>
      </c>
      <c r="E177" s="171">
        <f t="shared" si="45"/>
        <v>0</v>
      </c>
      <c r="F177" s="490"/>
      <c r="G177" s="171">
        <f t="shared" si="46"/>
        <v>0</v>
      </c>
      <c r="H177" s="172">
        <f t="shared" si="47"/>
        <v>0</v>
      </c>
      <c r="I177" s="337"/>
      <c r="J177" s="223"/>
      <c r="K177" s="218"/>
      <c r="M177" s="364">
        <f t="shared" si="48"/>
        <v>0</v>
      </c>
      <c r="N177" s="359">
        <f>SUMMARY!J180</f>
        <v>9.0641762922913108E-2</v>
      </c>
    </row>
    <row r="178" spans="1:14" s="221" customFormat="1">
      <c r="A178" s="224" t="s">
        <v>295</v>
      </c>
      <c r="B178" s="148" t="s">
        <v>323</v>
      </c>
      <c r="C178" s="490">
        <f>'[33]Sch C'!D189</f>
        <v>0</v>
      </c>
      <c r="D178" s="490">
        <f>'[33]Sch C'!F189</f>
        <v>0</v>
      </c>
      <c r="E178" s="171">
        <f t="shared" si="45"/>
        <v>0</v>
      </c>
      <c r="F178" s="490"/>
      <c r="G178" s="171">
        <f t="shared" si="46"/>
        <v>0</v>
      </c>
      <c r="H178" s="172">
        <f t="shared" si="47"/>
        <v>0</v>
      </c>
      <c r="I178" s="337"/>
      <c r="J178" s="223"/>
      <c r="K178" s="218"/>
      <c r="M178" s="364">
        <f t="shared" si="48"/>
        <v>0</v>
      </c>
      <c r="N178" s="359">
        <f>SUMMARY!J181</f>
        <v>1.778645585866033E-2</v>
      </c>
    </row>
    <row r="179" spans="1:14" s="221" customFormat="1">
      <c r="A179" s="224" t="s">
        <v>296</v>
      </c>
      <c r="B179" s="148" t="s">
        <v>324</v>
      </c>
      <c r="C179" s="490">
        <f>'[33]Sch C'!D190</f>
        <v>0</v>
      </c>
      <c r="D179" s="490">
        <f>'[33]Sch C'!F190</f>
        <v>0</v>
      </c>
      <c r="E179" s="171">
        <f t="shared" si="45"/>
        <v>0</v>
      </c>
      <c r="F179" s="490"/>
      <c r="G179" s="171">
        <f t="shared" si="46"/>
        <v>0</v>
      </c>
      <c r="H179" s="172">
        <f t="shared" si="47"/>
        <v>0</v>
      </c>
      <c r="I179" s="337"/>
      <c r="J179" s="223"/>
      <c r="K179" s="218"/>
      <c r="M179" s="364">
        <f t="shared" si="48"/>
        <v>0</v>
      </c>
      <c r="N179" s="359">
        <f>SUMMARY!J182</f>
        <v>1.1468829360203163E-4</v>
      </c>
    </row>
    <row r="180" spans="1:14" s="221" customFormat="1">
      <c r="A180" s="224" t="s">
        <v>297</v>
      </c>
      <c r="B180" s="148" t="s">
        <v>325</v>
      </c>
      <c r="C180" s="490">
        <f>'[33]Sch C'!D191</f>
        <v>0</v>
      </c>
      <c r="D180" s="490">
        <f>'[33]Sch C'!F191</f>
        <v>0</v>
      </c>
      <c r="E180" s="171">
        <f t="shared" si="45"/>
        <v>0</v>
      </c>
      <c r="F180" s="490"/>
      <c r="G180" s="171">
        <f t="shared" si="46"/>
        <v>0</v>
      </c>
      <c r="H180" s="172">
        <f t="shared" si="47"/>
        <v>0</v>
      </c>
      <c r="I180" s="337"/>
      <c r="J180" s="223"/>
      <c r="K180" s="218"/>
      <c r="M180" s="364">
        <f t="shared" si="48"/>
        <v>0</v>
      </c>
      <c r="N180" s="359">
        <f>SUMMARY!J183</f>
        <v>1.8462734496600307E-2</v>
      </c>
    </row>
    <row r="181" spans="1:14" s="221" customFormat="1">
      <c r="A181" s="224" t="s">
        <v>298</v>
      </c>
      <c r="B181" s="148" t="s">
        <v>117</v>
      </c>
      <c r="C181" s="490">
        <f>'[33]Sch C'!D192</f>
        <v>0</v>
      </c>
      <c r="D181" s="490">
        <f>'[33]Sch C'!F192</f>
        <v>0</v>
      </c>
      <c r="E181" s="171">
        <f t="shared" si="45"/>
        <v>0</v>
      </c>
      <c r="F181" s="490"/>
      <c r="G181" s="171">
        <f t="shared" si="46"/>
        <v>0</v>
      </c>
      <c r="H181" s="172">
        <f t="shared" si="47"/>
        <v>0</v>
      </c>
      <c r="I181" s="337"/>
      <c r="J181" s="223"/>
      <c r="K181" s="218"/>
      <c r="M181" s="364">
        <f t="shared" si="48"/>
        <v>0</v>
      </c>
      <c r="N181" s="359">
        <f>SUMMARY!J184</f>
        <v>0.21032919363206901</v>
      </c>
    </row>
    <row r="182" spans="1:14" s="221" customFormat="1">
      <c r="A182" s="224" t="s">
        <v>132</v>
      </c>
      <c r="B182" s="148" t="s">
        <v>118</v>
      </c>
      <c r="C182" s="490">
        <f>'[33]Sch C'!D193</f>
        <v>0</v>
      </c>
      <c r="D182" s="490">
        <f>'[33]Sch C'!F193</f>
        <v>0</v>
      </c>
      <c r="E182" s="171">
        <f t="shared" si="45"/>
        <v>0</v>
      </c>
      <c r="F182" s="490"/>
      <c r="G182" s="171">
        <f t="shared" si="46"/>
        <v>0</v>
      </c>
      <c r="H182" s="172">
        <f t="shared" si="47"/>
        <v>0</v>
      </c>
      <c r="I182" s="337"/>
      <c r="J182" s="223"/>
      <c r="K182" s="218"/>
      <c r="M182" s="364">
        <f t="shared" si="48"/>
        <v>0</v>
      </c>
      <c r="N182" s="359">
        <f>SUMMARY!J185</f>
        <v>4.5937156276453409E-2</v>
      </c>
    </row>
    <row r="183" spans="1:14" s="221" customFormat="1">
      <c r="A183" s="224" t="s">
        <v>133</v>
      </c>
      <c r="B183" s="148" t="s">
        <v>119</v>
      </c>
      <c r="C183" s="490">
        <f>'[33]Sch C'!D194</f>
        <v>16989</v>
      </c>
      <c r="D183" s="490">
        <f>'[33]Sch C'!F194</f>
        <v>0</v>
      </c>
      <c r="E183" s="171">
        <f t="shared" si="45"/>
        <v>16989</v>
      </c>
      <c r="F183" s="490"/>
      <c r="G183" s="171">
        <f t="shared" si="46"/>
        <v>16989</v>
      </c>
      <c r="H183" s="172">
        <f t="shared" si="47"/>
        <v>9.483082948089484E-3</v>
      </c>
      <c r="I183" s="337"/>
      <c r="J183" s="223"/>
      <c r="K183" s="218"/>
      <c r="M183" s="364">
        <f t="shared" si="48"/>
        <v>1.3391928109727258</v>
      </c>
      <c r="N183" s="359">
        <f>SUMMARY!J186</f>
        <v>7.3129851396739571</v>
      </c>
    </row>
    <row r="184" spans="1:14" s="221" customFormat="1">
      <c r="A184" s="224" t="s">
        <v>134</v>
      </c>
      <c r="B184" s="148" t="s">
        <v>326</v>
      </c>
      <c r="C184" s="490">
        <f>'[33]Sch C'!D195</f>
        <v>2338</v>
      </c>
      <c r="D184" s="490">
        <f>'[33]Sch C'!F195</f>
        <v>0</v>
      </c>
      <c r="E184" s="171">
        <f t="shared" si="45"/>
        <v>2338</v>
      </c>
      <c r="F184" s="490"/>
      <c r="G184" s="171">
        <f t="shared" si="46"/>
        <v>2338</v>
      </c>
      <c r="H184" s="172">
        <f t="shared" si="47"/>
        <v>1.3050472619126031E-3</v>
      </c>
      <c r="I184" s="337"/>
      <c r="J184" s="223"/>
      <c r="K184" s="218"/>
      <c r="M184" s="364">
        <f t="shared" si="48"/>
        <v>0.18429765095380735</v>
      </c>
      <c r="N184" s="359">
        <f>SUMMARY!J187</f>
        <v>1.617871871330657</v>
      </c>
    </row>
    <row r="185" spans="1:14" s="221" customFormat="1">
      <c r="A185" s="224" t="s">
        <v>135</v>
      </c>
      <c r="B185" s="148" t="s">
        <v>327</v>
      </c>
      <c r="C185" s="490">
        <f>'[33]Sch C'!D196</f>
        <v>0</v>
      </c>
      <c r="D185" s="490">
        <f>'[33]Sch C'!F196</f>
        <v>0</v>
      </c>
      <c r="E185" s="171">
        <f t="shared" si="45"/>
        <v>0</v>
      </c>
      <c r="F185" s="490"/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</row>
    <row r="186" spans="1:14" s="221" customFormat="1">
      <c r="A186" s="224" t="s">
        <v>136</v>
      </c>
      <c r="B186" s="148" t="s">
        <v>328</v>
      </c>
      <c r="C186" s="490">
        <f>'[33]Sch C'!D197</f>
        <v>1482</v>
      </c>
      <c r="D186" s="490">
        <f>'[33]Sch C'!F197</f>
        <v>0</v>
      </c>
      <c r="E186" s="171">
        <f t="shared" si="45"/>
        <v>1482</v>
      </c>
      <c r="F186" s="490"/>
      <c r="G186" s="171">
        <f t="shared" si="46"/>
        <v>1482</v>
      </c>
      <c r="H186" s="172">
        <f t="shared" si="47"/>
        <v>8.2723697269224887E-4</v>
      </c>
      <c r="I186" s="337"/>
      <c r="J186" s="223"/>
      <c r="K186" s="218"/>
      <c r="M186" s="364">
        <f t="shared" si="48"/>
        <v>0.11682169320510799</v>
      </c>
      <c r="N186" s="359">
        <f>SUMMARY!J189</f>
        <v>5.0698778515059661</v>
      </c>
    </row>
    <row r="187" spans="1:14" s="221" customFormat="1">
      <c r="A187" s="224" t="s">
        <v>137</v>
      </c>
      <c r="B187" s="148" t="s">
        <v>122</v>
      </c>
      <c r="C187" s="490">
        <f>'[33]Sch C'!D198</f>
        <v>228</v>
      </c>
      <c r="D187" s="490">
        <f>'[33]Sch C'!F198</f>
        <v>0</v>
      </c>
      <c r="E187" s="171">
        <f t="shared" si="45"/>
        <v>228</v>
      </c>
      <c r="F187" s="490"/>
      <c r="G187" s="171">
        <f t="shared" si="46"/>
        <v>228</v>
      </c>
      <c r="H187" s="172">
        <f t="shared" si="47"/>
        <v>1.2726722656803828E-4</v>
      </c>
      <c r="I187" s="337"/>
      <c r="J187" s="223"/>
      <c r="K187" s="218"/>
      <c r="M187" s="364">
        <f t="shared" si="48"/>
        <v>1.797256818540123E-2</v>
      </c>
      <c r="N187" s="359">
        <f>SUMMARY!J190</f>
        <v>1.3048000054613476</v>
      </c>
    </row>
    <row r="188" spans="1:14" s="221" customFormat="1">
      <c r="A188" s="224" t="s">
        <v>275</v>
      </c>
      <c r="B188" s="148" t="s">
        <v>329</v>
      </c>
      <c r="C188" s="490">
        <f>'[33]Sch C'!D199</f>
        <v>0</v>
      </c>
      <c r="D188" s="490">
        <f>'[33]Sch C'!F199</f>
        <v>0</v>
      </c>
      <c r="E188" s="171">
        <f t="shared" si="45"/>
        <v>0</v>
      </c>
      <c r="F188" s="490"/>
      <c r="G188" s="171">
        <f t="shared" si="46"/>
        <v>0</v>
      </c>
      <c r="H188" s="172">
        <f t="shared" si="47"/>
        <v>0</v>
      </c>
      <c r="I188" s="337"/>
      <c r="J188" s="223"/>
      <c r="K188" s="218"/>
      <c r="M188" s="364">
        <f t="shared" si="48"/>
        <v>0</v>
      </c>
      <c r="N188" s="359">
        <f>SUMMARY!J191</f>
        <v>0.39995945495753804</v>
      </c>
    </row>
    <row r="189" spans="1:14" s="221" customFormat="1">
      <c r="A189" s="224" t="s">
        <v>277</v>
      </c>
      <c r="B189" s="148" t="s">
        <v>278</v>
      </c>
      <c r="C189" s="490">
        <f>'[33]Sch C'!D200</f>
        <v>0</v>
      </c>
      <c r="D189" s="490">
        <f>'[33]Sch C'!F200</f>
        <v>0</v>
      </c>
      <c r="E189" s="171">
        <f t="shared" si="45"/>
        <v>0</v>
      </c>
      <c r="F189" s="490"/>
      <c r="G189" s="171">
        <f t="shared" si="46"/>
        <v>0</v>
      </c>
      <c r="H189" s="172">
        <f t="shared" si="47"/>
        <v>0</v>
      </c>
      <c r="I189" s="337"/>
      <c r="J189" s="223"/>
      <c r="K189" s="218"/>
      <c r="M189" s="364">
        <f t="shared" si="48"/>
        <v>0</v>
      </c>
      <c r="N189" s="359">
        <f>SUMMARY!J192</f>
        <v>5.0800032768083883E-3</v>
      </c>
    </row>
    <row r="190" spans="1:14" s="221" customFormat="1">
      <c r="A190" s="225" t="s">
        <v>279</v>
      </c>
      <c r="B190" s="226" t="s">
        <v>280</v>
      </c>
      <c r="C190" s="490">
        <f>'[33]Sch C'!D201</f>
        <v>0</v>
      </c>
      <c r="D190" s="490">
        <f>'[33]Sch C'!F201</f>
        <v>0</v>
      </c>
      <c r="E190" s="171">
        <f t="shared" si="45"/>
        <v>0</v>
      </c>
      <c r="F190" s="490"/>
      <c r="G190" s="171">
        <f t="shared" si="46"/>
        <v>0</v>
      </c>
      <c r="H190" s="172">
        <f t="shared" si="47"/>
        <v>0</v>
      </c>
      <c r="I190" s="337"/>
      <c r="J190" s="223"/>
      <c r="K190" s="218"/>
      <c r="M190" s="364">
        <f t="shared" si="48"/>
        <v>0</v>
      </c>
      <c r="N190" s="359">
        <f>SUMMARY!J193</f>
        <v>-2.2159984708227519E-2</v>
      </c>
    </row>
    <row r="191" spans="1:14" s="221" customFormat="1">
      <c r="A191" s="225" t="s">
        <v>281</v>
      </c>
      <c r="B191" s="226" t="s">
        <v>282</v>
      </c>
      <c r="C191" s="490">
        <f>'[33]Sch C'!D202</f>
        <v>0</v>
      </c>
      <c r="D191" s="490">
        <f>'[33]Sch C'!F202</f>
        <v>0</v>
      </c>
      <c r="E191" s="171">
        <f t="shared" si="45"/>
        <v>0</v>
      </c>
      <c r="F191" s="490"/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>
        <f t="shared" si="48"/>
        <v>0</v>
      </c>
      <c r="N191" s="359">
        <f>SUMMARY!J194</f>
        <v>4.7598918653231749E-4</v>
      </c>
    </row>
    <row r="192" spans="1:14" s="221" customFormat="1">
      <c r="A192" s="225" t="s">
        <v>283</v>
      </c>
      <c r="B192" s="226" t="s">
        <v>330</v>
      </c>
      <c r="C192" s="490">
        <f>'[33]Sch C'!D203</f>
        <v>0</v>
      </c>
      <c r="D192" s="490">
        <f>'[33]Sch C'!F203</f>
        <v>0</v>
      </c>
      <c r="E192" s="171">
        <f t="shared" si="45"/>
        <v>0</v>
      </c>
      <c r="F192" s="490"/>
      <c r="G192" s="171">
        <f t="shared" si="46"/>
        <v>0</v>
      </c>
      <c r="H192" s="172">
        <f t="shared" si="47"/>
        <v>0</v>
      </c>
      <c r="I192" s="337"/>
      <c r="J192" s="223"/>
      <c r="K192" s="218"/>
      <c r="M192" s="364">
        <f t="shared" si="48"/>
        <v>0</v>
      </c>
      <c r="N192" s="359">
        <f>SUMMARY!J195</f>
        <v>9.9736102236421709E-2</v>
      </c>
    </row>
    <row r="193" spans="1:14" s="221" customFormat="1">
      <c r="A193" s="225" t="s">
        <v>285</v>
      </c>
      <c r="B193" s="226" t="s">
        <v>331</v>
      </c>
      <c r="C193" s="490">
        <f>'[33]Sch C'!D204</f>
        <v>0</v>
      </c>
      <c r="D193" s="490">
        <f>'[33]Sch C'!F204</f>
        <v>0</v>
      </c>
      <c r="E193" s="171">
        <f t="shared" si="45"/>
        <v>0</v>
      </c>
      <c r="F193" s="490"/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>
        <f t="shared" si="48"/>
        <v>0</v>
      </c>
      <c r="N193" s="359">
        <f>SUMMARY!J196</f>
        <v>1.4186941918571311E-2</v>
      </c>
    </row>
    <row r="194" spans="1:14" s="221" customFormat="1">
      <c r="A194" s="224" t="s">
        <v>138</v>
      </c>
      <c r="B194" s="148" t="s">
        <v>332</v>
      </c>
      <c r="C194" s="490">
        <f>'[33]Sch C'!D205</f>
        <v>2286</v>
      </c>
      <c r="D194" s="490">
        <f>'[33]Sch C'!F205</f>
        <v>0</v>
      </c>
      <c r="E194" s="171">
        <f t="shared" si="45"/>
        <v>2286</v>
      </c>
      <c r="F194" s="490"/>
      <c r="G194" s="171">
        <f t="shared" si="46"/>
        <v>2286</v>
      </c>
      <c r="H194" s="172">
        <f t="shared" si="47"/>
        <v>1.2760214032216471E-3</v>
      </c>
      <c r="I194" s="337"/>
      <c r="J194" s="223"/>
      <c r="K194" s="218"/>
      <c r="M194" s="364">
        <f t="shared" si="48"/>
        <v>0.18019864417468076</v>
      </c>
      <c r="N194" s="359">
        <f>SUMMARY!J197</f>
        <v>9.4205484776494348</v>
      </c>
    </row>
    <row r="195" spans="1:14" s="221" customFormat="1">
      <c r="A195" s="224" t="s">
        <v>139</v>
      </c>
      <c r="B195" s="148" t="s">
        <v>67</v>
      </c>
      <c r="C195" s="490">
        <f>'[33]Sch C'!D206</f>
        <v>0</v>
      </c>
      <c r="D195" s="490">
        <f>'[33]Sch C'!F206</f>
        <v>0</v>
      </c>
      <c r="E195" s="171">
        <f t="shared" si="45"/>
        <v>0</v>
      </c>
      <c r="F195" s="490"/>
      <c r="G195" s="171">
        <f t="shared" si="46"/>
        <v>0</v>
      </c>
      <c r="H195" s="172">
        <f t="shared" si="47"/>
        <v>0</v>
      </c>
      <c r="I195" s="337"/>
      <c r="J195" s="223"/>
      <c r="K195" s="218"/>
      <c r="M195" s="364">
        <f t="shared" si="48"/>
        <v>0</v>
      </c>
      <c r="N195" s="359">
        <f>SUMMARY!J198</f>
        <v>0.51514733622784747</v>
      </c>
    </row>
    <row r="196" spans="1:14" s="221" customFormat="1">
      <c r="A196" s="225" t="s">
        <v>143</v>
      </c>
      <c r="B196" s="194" t="s">
        <v>333</v>
      </c>
      <c r="C196" s="490">
        <f>'[33]Sch C'!D207</f>
        <v>0</v>
      </c>
      <c r="D196" s="490">
        <f>'[33]Sch C'!F207</f>
        <v>0</v>
      </c>
      <c r="E196" s="171">
        <f t="shared" si="45"/>
        <v>0</v>
      </c>
      <c r="F196" s="490"/>
      <c r="G196" s="171">
        <f t="shared" si="46"/>
        <v>0</v>
      </c>
      <c r="H196" s="172">
        <f t="shared" si="47"/>
        <v>0</v>
      </c>
      <c r="I196" s="337"/>
      <c r="J196" s="223"/>
      <c r="K196" s="218"/>
      <c r="M196" s="364">
        <f t="shared" si="48"/>
        <v>0</v>
      </c>
      <c r="N196" s="359">
        <f>SUMMARY!J199</f>
        <v>0.43468466925335936</v>
      </c>
    </row>
    <row r="197" spans="1:14" s="167" customFormat="1">
      <c r="A197" s="163"/>
      <c r="B197" s="212" t="s">
        <v>130</v>
      </c>
      <c r="C197" s="490">
        <f>SUM(C164:C196)</f>
        <v>23323</v>
      </c>
      <c r="D197" s="490">
        <f>SUM(D164:D196)</f>
        <v>0</v>
      </c>
      <c r="E197" s="171">
        <f t="shared" ref="E197:F197" si="49">SUM(E164:E196)</f>
        <v>23323</v>
      </c>
      <c r="F197" s="171">
        <f t="shared" si="49"/>
        <v>0</v>
      </c>
      <c r="G197" s="171">
        <f>SUM(G164:G196)</f>
        <v>23323</v>
      </c>
      <c r="H197" s="172">
        <f>IF($G$208=0,0,G197/$G$208)</f>
        <v>1.3018655812484022E-2</v>
      </c>
      <c r="I197" s="337"/>
      <c r="J197" s="168"/>
      <c r="K197" s="168"/>
      <c r="M197" s="364">
        <f>G197/G$228</f>
        <v>1.8384833674917231</v>
      </c>
      <c r="N197" s="359">
        <f>SUMMARY!J200</f>
        <v>35.91740838389223</v>
      </c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341"/>
      <c r="J198" s="168"/>
      <c r="K198" s="168"/>
      <c r="M198" s="359"/>
      <c r="N198" s="359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1"/>
      <c r="J199" s="168"/>
      <c r="K199" s="168"/>
      <c r="M199" s="359"/>
      <c r="N199" s="359"/>
    </row>
    <row r="200" spans="1:14" s="167" customFormat="1">
      <c r="A200" s="169" t="s">
        <v>85</v>
      </c>
      <c r="B200" s="170" t="s">
        <v>69</v>
      </c>
      <c r="C200" s="490">
        <f>'[33]Sch C'!D211</f>
        <v>62399</v>
      </c>
      <c r="D200" s="490">
        <f>'[33]Sch C'!F211</f>
        <v>0</v>
      </c>
      <c r="E200" s="171">
        <f t="shared" ref="E200:E205" si="50">C200+D200</f>
        <v>62399</v>
      </c>
      <c r="F200" s="490"/>
      <c r="G200" s="171">
        <f t="shared" ref="G200:G205" si="51">E200+F200</f>
        <v>62399</v>
      </c>
      <c r="H200" s="172">
        <f t="shared" ref="H200:H206" si="52">IF($G$208=0,0,G200/$G$208)</f>
        <v>3.4830472239557111E-2</v>
      </c>
      <c r="I200" s="337"/>
      <c r="J200" s="183">
        <v>2746</v>
      </c>
      <c r="K200" s="183">
        <v>2884</v>
      </c>
      <c r="M200" s="364">
        <f t="shared" ref="M200:M205" si="53">G200/G$228</f>
        <v>4.9187293078984711</v>
      </c>
      <c r="N200" s="359">
        <f>SUMMARY!J203</f>
        <v>4.8433639387236838</v>
      </c>
    </row>
    <row r="201" spans="1:14" s="167" customFormat="1">
      <c r="A201" s="169" t="s">
        <v>86</v>
      </c>
      <c r="B201" s="170" t="s">
        <v>45</v>
      </c>
      <c r="C201" s="490">
        <f>'[33]Sch C'!D212</f>
        <v>5545</v>
      </c>
      <c r="D201" s="490">
        <f>'[33]Sch C'!F212</f>
        <v>0</v>
      </c>
      <c r="E201" s="171">
        <f t="shared" si="50"/>
        <v>5545</v>
      </c>
      <c r="F201" s="490"/>
      <c r="G201" s="171">
        <f t="shared" si="51"/>
        <v>5545</v>
      </c>
      <c r="H201" s="172">
        <f t="shared" si="52"/>
        <v>3.0951612777182997E-3</v>
      </c>
      <c r="I201" s="337"/>
      <c r="J201" s="168"/>
      <c r="K201" s="168"/>
      <c r="M201" s="364">
        <f t="shared" si="53"/>
        <v>0.43709601135109571</v>
      </c>
      <c r="N201" s="359">
        <f>SUMMARY!J204</f>
        <v>0.96144674193499036</v>
      </c>
    </row>
    <row r="202" spans="1:14" s="167" customFormat="1">
      <c r="A202" s="169" t="s">
        <v>140</v>
      </c>
      <c r="B202" s="170" t="s">
        <v>54</v>
      </c>
      <c r="C202" s="490">
        <f>'[33]Sch C'!D213</f>
        <v>10456</v>
      </c>
      <c r="D202" s="490">
        <f>'[33]Sch C'!F213</f>
        <v>0</v>
      </c>
      <c r="E202" s="171">
        <f t="shared" si="50"/>
        <v>10456</v>
      </c>
      <c r="F202" s="490"/>
      <c r="G202" s="171">
        <f t="shared" si="51"/>
        <v>10456</v>
      </c>
      <c r="H202" s="172">
        <f t="shared" si="52"/>
        <v>5.8364303552430191E-3</v>
      </c>
      <c r="I202" s="337"/>
      <c r="J202" s="168"/>
      <c r="K202" s="168"/>
      <c r="M202" s="364">
        <f t="shared" si="53"/>
        <v>0.82421567081822478</v>
      </c>
      <c r="N202" s="359">
        <f>SUMMARY!J205</f>
        <v>0.5247184566232489</v>
      </c>
    </row>
    <row r="203" spans="1:14" s="167" customFormat="1">
      <c r="A203" s="169" t="s">
        <v>141</v>
      </c>
      <c r="B203" s="170" t="s">
        <v>70</v>
      </c>
      <c r="C203" s="490">
        <f>'[33]Sch C'!D214</f>
        <v>0</v>
      </c>
      <c r="D203" s="490">
        <f>'[33]Sch C'!F214</f>
        <v>0</v>
      </c>
      <c r="E203" s="171">
        <f t="shared" si="50"/>
        <v>0</v>
      </c>
      <c r="F203" s="490"/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>
        <f t="shared" si="53"/>
        <v>0</v>
      </c>
      <c r="N203" s="359">
        <f>SUMMARY!J206</f>
        <v>1.4027039130553507E-2</v>
      </c>
    </row>
    <row r="204" spans="1:14" s="167" customFormat="1">
      <c r="A204" s="169" t="s">
        <v>142</v>
      </c>
      <c r="B204" s="202" t="s">
        <v>71</v>
      </c>
      <c r="C204" s="490">
        <f>'[33]Sch C'!D215</f>
        <v>0</v>
      </c>
      <c r="D204" s="490">
        <f>'[33]Sch C'!F215</f>
        <v>0</v>
      </c>
      <c r="E204" s="171">
        <f t="shared" si="50"/>
        <v>0</v>
      </c>
      <c r="F204" s="490"/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</row>
    <row r="205" spans="1:14" s="167" customFormat="1">
      <c r="A205" s="169" t="s">
        <v>143</v>
      </c>
      <c r="B205" s="170" t="s">
        <v>312</v>
      </c>
      <c r="C205" s="490">
        <f>'[33]Sch C'!D216</f>
        <v>2450</v>
      </c>
      <c r="D205" s="490">
        <f>'[33]Sch C'!F216</f>
        <v>0</v>
      </c>
      <c r="E205" s="171">
        <f t="shared" si="50"/>
        <v>2450</v>
      </c>
      <c r="F205" s="490"/>
      <c r="G205" s="171">
        <f t="shared" si="51"/>
        <v>2450</v>
      </c>
      <c r="H205" s="172">
        <f t="shared" si="52"/>
        <v>1.3675644960162009E-3</v>
      </c>
      <c r="I205" s="337"/>
      <c r="J205" s="168"/>
      <c r="K205" s="168"/>
      <c r="M205" s="364">
        <f t="shared" si="53"/>
        <v>0.19312628093961848</v>
      </c>
      <c r="N205" s="359">
        <f>SUMMARY!J208</f>
        <v>0.36483307391933595</v>
      </c>
    </row>
    <row r="206" spans="1:14" s="167" customFormat="1">
      <c r="A206" s="163"/>
      <c r="B206" s="170" t="s">
        <v>144</v>
      </c>
      <c r="C206" s="490">
        <f>SUM(C200:C205)</f>
        <v>80850</v>
      </c>
      <c r="D206" s="490">
        <f>SUM(D200:D205)</f>
        <v>0</v>
      </c>
      <c r="E206" s="171">
        <f t="shared" ref="E206:F206" si="54">SUM(E200:E205)</f>
        <v>80850</v>
      </c>
      <c r="F206" s="171">
        <f t="shared" si="54"/>
        <v>0</v>
      </c>
      <c r="G206" s="171">
        <f>SUM(G200:G205)</f>
        <v>80850</v>
      </c>
      <c r="H206" s="172">
        <f t="shared" si="52"/>
        <v>4.5129628368534631E-2</v>
      </c>
      <c r="I206" s="337"/>
      <c r="J206" s="168"/>
      <c r="K206" s="168"/>
      <c r="M206" s="364">
        <f>G206/G$228</f>
        <v>6.3731672710074099</v>
      </c>
      <c r="N206" s="359">
        <f>SUMMARY!J209</f>
        <v>6.7083892503318125</v>
      </c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14" s="167" customFormat="1">
      <c r="A208" s="227"/>
      <c r="B208" s="228" t="s">
        <v>145</v>
      </c>
      <c r="C208" s="490">
        <f>SUM(C25:C206)/2</f>
        <v>1903762</v>
      </c>
      <c r="D208" s="490">
        <f>SUM(D25:D206)/2</f>
        <v>-112256</v>
      </c>
      <c r="E208" s="171">
        <f t="shared" ref="E208:F208" si="55">SUM(E25:E206)/2</f>
        <v>1791506</v>
      </c>
      <c r="F208" s="171">
        <f t="shared" si="55"/>
        <v>0</v>
      </c>
      <c r="G208" s="171">
        <f>SUM(G25:G206)/2</f>
        <v>1791506</v>
      </c>
      <c r="H208" s="172">
        <f>IF($G$208=0,0,G208/$G$208)</f>
        <v>1</v>
      </c>
      <c r="I208" s="337"/>
      <c r="J208" s="183">
        <f>SUM(J25:J200)</f>
        <v>54963</v>
      </c>
      <c r="K208" s="183">
        <f>SUM(K25:K200)</f>
        <v>56234</v>
      </c>
      <c r="M208" s="364">
        <f>G208/G$228</f>
        <v>141.21913920857639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490">
        <f>'[33]Sch C'!D221</f>
        <v>1903762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490">
        <f>C208-C211</f>
        <v>0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585"/>
      <c r="D213" s="232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490">
        <f>C21-C208</f>
        <v>377146</v>
      </c>
      <c r="D215" s="490">
        <f>D21-D208</f>
        <v>112256</v>
      </c>
      <c r="E215" s="171">
        <f t="shared" ref="E215:F215" si="56">E21-E208</f>
        <v>489402</v>
      </c>
      <c r="F215" s="171">
        <f t="shared" si="56"/>
        <v>0</v>
      </c>
      <c r="G215" s="171">
        <f>G21-G208</f>
        <v>489402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491">
        <f>'[33]Sch D'!C9</f>
        <v>10237</v>
      </c>
      <c r="D219" s="491"/>
      <c r="E219" s="235">
        <f t="shared" ref="E219:G227" si="57">C219+D219</f>
        <v>10237</v>
      </c>
      <c r="F219" s="491"/>
      <c r="G219" s="235">
        <f t="shared" si="57"/>
        <v>10237</v>
      </c>
      <c r="H219" s="172">
        <f t="shared" ref="H219:H228" si="58">IF($G$228=0,0,G219/$G$228)</f>
        <v>0.80695254611382627</v>
      </c>
      <c r="I219" s="337"/>
      <c r="J219" s="168"/>
      <c r="K219" s="168"/>
    </row>
    <row r="220" spans="1:14">
      <c r="A220" s="163"/>
      <c r="B220" s="170" t="s">
        <v>217</v>
      </c>
      <c r="C220" s="491">
        <f>'[33]Sch D'!D9</f>
        <v>0</v>
      </c>
      <c r="D220" s="491"/>
      <c r="E220" s="183">
        <f t="shared" ref="E220:E227" si="59">C220+D220</f>
        <v>0</v>
      </c>
      <c r="F220" s="491"/>
      <c r="G220" s="235">
        <f t="shared" si="57"/>
        <v>0</v>
      </c>
      <c r="H220" s="172">
        <f t="shared" si="58"/>
        <v>0</v>
      </c>
      <c r="I220" s="337"/>
      <c r="J220" s="168"/>
      <c r="K220" s="168"/>
    </row>
    <row r="221" spans="1:14">
      <c r="A221" s="163"/>
      <c r="B221" s="170" t="s">
        <v>72</v>
      </c>
      <c r="C221" s="491">
        <f>'[33]Sch D'!E9</f>
        <v>0</v>
      </c>
      <c r="D221" s="491"/>
      <c r="E221" s="183">
        <f t="shared" si="59"/>
        <v>0</v>
      </c>
      <c r="F221" s="491"/>
      <c r="G221" s="235">
        <f t="shared" si="57"/>
        <v>0</v>
      </c>
      <c r="H221" s="172">
        <f t="shared" si="58"/>
        <v>0</v>
      </c>
      <c r="I221" s="337"/>
      <c r="J221" s="168"/>
      <c r="K221" s="168"/>
    </row>
    <row r="222" spans="1:14">
      <c r="A222" s="163"/>
      <c r="B222" s="202" t="s">
        <v>334</v>
      </c>
      <c r="C222" s="491">
        <f>'[33]Sch D'!F9</f>
        <v>0</v>
      </c>
      <c r="D222" s="491"/>
      <c r="E222" s="183">
        <f t="shared" si="59"/>
        <v>0</v>
      </c>
      <c r="F222" s="491"/>
      <c r="G222" s="235">
        <f>E222+F222</f>
        <v>0</v>
      </c>
      <c r="H222" s="172">
        <f t="shared" si="58"/>
        <v>0</v>
      </c>
      <c r="I222" s="337"/>
      <c r="J222" s="168"/>
      <c r="K222" s="168"/>
    </row>
    <row r="223" spans="1:14">
      <c r="A223" s="163"/>
      <c r="B223" s="170" t="s">
        <v>73</v>
      </c>
      <c r="C223" s="491">
        <f>'[33]Sch D'!G9</f>
        <v>0</v>
      </c>
      <c r="D223" s="491"/>
      <c r="E223" s="183">
        <f t="shared" si="59"/>
        <v>0</v>
      </c>
      <c r="F223" s="491"/>
      <c r="G223" s="235">
        <f t="shared" si="57"/>
        <v>0</v>
      </c>
      <c r="H223" s="172">
        <f t="shared" si="58"/>
        <v>0</v>
      </c>
      <c r="I223" s="337"/>
      <c r="J223" s="168"/>
      <c r="K223" s="168"/>
    </row>
    <row r="224" spans="1:14">
      <c r="A224" s="163"/>
      <c r="B224" s="170" t="s">
        <v>74</v>
      </c>
      <c r="C224" s="491">
        <f>'[33]Sch D'!H9</f>
        <v>395</v>
      </c>
      <c r="D224" s="491"/>
      <c r="E224" s="183">
        <f t="shared" si="59"/>
        <v>395</v>
      </c>
      <c r="F224" s="491"/>
      <c r="G224" s="235">
        <f t="shared" si="57"/>
        <v>395</v>
      </c>
      <c r="H224" s="172">
        <f t="shared" si="58"/>
        <v>3.1136686110673183E-2</v>
      </c>
      <c r="I224" s="337"/>
      <c r="J224" s="168"/>
      <c r="K224" s="168"/>
    </row>
    <row r="225" spans="1:11">
      <c r="A225" s="163"/>
      <c r="B225" s="170" t="s">
        <v>236</v>
      </c>
      <c r="C225" s="491">
        <f>'[33]Sch D'!I9</f>
        <v>2054</v>
      </c>
      <c r="D225" s="491"/>
      <c r="E225" s="183">
        <f t="shared" si="59"/>
        <v>2054</v>
      </c>
      <c r="F225" s="491"/>
      <c r="G225" s="235">
        <f t="shared" si="57"/>
        <v>2054</v>
      </c>
      <c r="H225" s="172">
        <f t="shared" si="58"/>
        <v>0.16191076777550056</v>
      </c>
      <c r="I225" s="337"/>
      <c r="J225" s="168"/>
      <c r="K225" s="168"/>
    </row>
    <row r="226" spans="1:11">
      <c r="A226" s="163"/>
      <c r="B226" s="170" t="s">
        <v>235</v>
      </c>
      <c r="C226" s="491">
        <f>'[33]Sch D'!J9</f>
        <v>0</v>
      </c>
      <c r="D226" s="491"/>
      <c r="E226" s="183">
        <f t="shared" si="59"/>
        <v>0</v>
      </c>
      <c r="F226" s="491"/>
      <c r="G226" s="235">
        <f>E226+F226</f>
        <v>0</v>
      </c>
      <c r="H226" s="172">
        <f t="shared" si="58"/>
        <v>0</v>
      </c>
      <c r="I226" s="337"/>
      <c r="J226" s="168"/>
      <c r="K226" s="168"/>
    </row>
    <row r="227" spans="1:11">
      <c r="A227" s="163"/>
      <c r="B227" s="170" t="s">
        <v>179</v>
      </c>
      <c r="C227" s="491">
        <f>'[33]Sch D'!K9</f>
        <v>0</v>
      </c>
      <c r="D227" s="491"/>
      <c r="E227" s="183">
        <f t="shared" si="59"/>
        <v>0</v>
      </c>
      <c r="F227" s="491"/>
      <c r="G227" s="235">
        <f t="shared" si="57"/>
        <v>0</v>
      </c>
      <c r="H227" s="172">
        <f t="shared" si="58"/>
        <v>0</v>
      </c>
      <c r="I227" s="337"/>
      <c r="J227" s="168"/>
      <c r="K227" s="168"/>
    </row>
    <row r="228" spans="1:11" ht="13.5" thickBot="1">
      <c r="A228" s="163"/>
      <c r="B228" s="236" t="s">
        <v>75</v>
      </c>
      <c r="C228" s="491">
        <f>SUM(C219:C227)</f>
        <v>12686</v>
      </c>
      <c r="D228" s="491">
        <f>SUM(D219:D227)</f>
        <v>0</v>
      </c>
      <c r="E228" s="237">
        <f>SUM(E219:E227)</f>
        <v>12686</v>
      </c>
      <c r="F228" s="237">
        <f>SUM(F219:F227)</f>
        <v>0</v>
      </c>
      <c r="G228" s="237">
        <f>SUM(G219:G227)</f>
        <v>12686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586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585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492">
        <f>'[33]Sch D'!N22</f>
        <v>36</v>
      </c>
      <c r="D231" s="526"/>
      <c r="E231" s="235">
        <f>C231+D231</f>
        <v>36</v>
      </c>
      <c r="F231" s="235"/>
      <c r="G231" s="235">
        <f>E231+F231</f>
        <v>36</v>
      </c>
      <c r="H231" s="167"/>
      <c r="J231" s="168"/>
      <c r="K231" s="168"/>
    </row>
    <row r="232" spans="1:11">
      <c r="A232" s="163"/>
      <c r="B232" s="202" t="s">
        <v>290</v>
      </c>
      <c r="C232" s="492">
        <f>'[33]Sch D'!N24</f>
        <v>36</v>
      </c>
      <c r="D232" s="526"/>
      <c r="E232" s="235">
        <f>C232+D232</f>
        <v>36</v>
      </c>
      <c r="F232" s="235"/>
      <c r="G232" s="235">
        <f>E232+F232</f>
        <v>36</v>
      </c>
      <c r="H232" s="167"/>
      <c r="J232" s="168"/>
      <c r="K232" s="168"/>
    </row>
    <row r="233" spans="1:11">
      <c r="A233" s="163"/>
      <c r="B233" s="202" t="s">
        <v>76</v>
      </c>
      <c r="C233" s="492">
        <f>$C$4-$C$3+1</f>
        <v>365</v>
      </c>
      <c r="D233" s="489"/>
      <c r="E233" s="235">
        <f>C233+D233</f>
        <v>365</v>
      </c>
      <c r="F233" s="593"/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587"/>
      <c r="D234" s="240"/>
      <c r="E234" s="243"/>
      <c r="F234" s="592"/>
      <c r="G234" s="243"/>
      <c r="H234" s="167"/>
      <c r="J234" s="168"/>
      <c r="K234" s="168"/>
    </row>
    <row r="235" spans="1:11" ht="26">
      <c r="A235" s="163"/>
      <c r="B235" s="244" t="s">
        <v>335</v>
      </c>
      <c r="C235" s="492">
        <f>'[33]Sch D'!N28</f>
        <v>13140</v>
      </c>
      <c r="D235" s="489"/>
      <c r="E235" s="234">
        <f>E231*E233</f>
        <v>13140</v>
      </c>
      <c r="F235" s="594"/>
      <c r="G235" s="234">
        <f>G231*G233</f>
        <v>13140</v>
      </c>
      <c r="H235" s="167"/>
      <c r="J235" s="168"/>
      <c r="K235" s="168"/>
    </row>
    <row r="236" spans="1:11" ht="26">
      <c r="A236" s="163"/>
      <c r="B236" s="244" t="s">
        <v>336</v>
      </c>
      <c r="C236" s="493">
        <f>'[33]Sch D'!N30</f>
        <v>0.96544901065449007</v>
      </c>
      <c r="D236" s="240"/>
      <c r="E236" s="245">
        <f>E228/E235</f>
        <v>0.96544901065449007</v>
      </c>
      <c r="F236" s="595"/>
      <c r="G236" s="245">
        <f>G228/G235</f>
        <v>0.96544901065449007</v>
      </c>
      <c r="H236" s="167"/>
      <c r="J236" s="168"/>
      <c r="K236" s="168"/>
    </row>
    <row r="237" spans="1:11" ht="26">
      <c r="A237" s="163"/>
      <c r="B237" s="244" t="s">
        <v>337</v>
      </c>
      <c r="C237" s="493">
        <f>'[33]Sch D'!N32</f>
        <v>0.77907153729071532</v>
      </c>
      <c r="D237" s="240"/>
      <c r="E237" s="245">
        <f>(E219+E220)/E235</f>
        <v>0.77907153729071532</v>
      </c>
      <c r="F237" s="595"/>
      <c r="G237" s="245">
        <f>(G219+G220)/G235</f>
        <v>0.77907153729071532</v>
      </c>
      <c r="H237" s="167"/>
      <c r="J237" s="168"/>
      <c r="K237" s="168"/>
    </row>
    <row r="238" spans="1:11" ht="26">
      <c r="A238" s="163"/>
      <c r="B238" s="244" t="s">
        <v>338</v>
      </c>
      <c r="C238" s="493">
        <f>'[33]Sch D'!N34</f>
        <v>0.80695254611382627</v>
      </c>
      <c r="D238" s="240"/>
      <c r="E238" s="245">
        <f>(E237/E236)</f>
        <v>0.80695254611382627</v>
      </c>
      <c r="F238" s="595"/>
      <c r="G238" s="245">
        <f>(G237/G236)</f>
        <v>0.80695254611382627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490">
        <f>'[33]Sch B'!C85</f>
        <v>37.842105263157897</v>
      </c>
    </row>
    <row r="242" spans="2:7">
      <c r="F242" s="142" t="s">
        <v>341</v>
      </c>
      <c r="G242" s="490">
        <f>'[33]Sch B'!E85</f>
        <v>240.45045045045046</v>
      </c>
    </row>
    <row r="243" spans="2:7">
      <c r="F243" s="142" t="s">
        <v>342</v>
      </c>
      <c r="G243" s="490">
        <f>'[33]Sch B'!G85</f>
        <v>182.52272727272728</v>
      </c>
    </row>
    <row r="244" spans="2:7">
      <c r="F244" s="142" t="s">
        <v>343</v>
      </c>
      <c r="G244" s="490">
        <f>'[33]Sch B'!I85</f>
        <v>87.206896551724142</v>
      </c>
    </row>
    <row r="245" spans="2:7">
      <c r="B245" s="537" t="s">
        <v>524</v>
      </c>
      <c r="F245" s="142"/>
    </row>
    <row r="246" spans="2:7">
      <c r="B246" s="465" t="s">
        <v>525</v>
      </c>
    </row>
    <row r="247" spans="2:7">
      <c r="B247" s="140" t="s">
        <v>526</v>
      </c>
    </row>
    <row r="248" spans="2:7">
      <c r="B248" s="140" t="s">
        <v>527</v>
      </c>
    </row>
  </sheetData>
  <customSheetViews>
    <customSheetView guid="{8B6AA640-12E9-11D5-ABB1-E7A21A3D4A14}" showPageBreaks="1" showGridLines="0" printArea="1" showRuler="0">
      <pageMargins left="0.75" right="0.75" top="1" bottom="1" header="0.5" footer="0.5"/>
      <printOptions horizontalCentered="1"/>
      <pageSetup scale="70" orientation="portrait" r:id="rId1"/>
      <headerFooter alignWithMargins="0">
        <oddFooter>&amp;RLVT
&amp;D
&amp;T
&amp;F</oddFooter>
      </headerFooter>
    </customSheetView>
    <customSheetView guid="{00D6F160-3E2B-11D5-8BE5-C1A1C12816BD}" showPageBreaks="1" showGridLines="0" printArea="1" showRuler="0">
      <selection activeCell="A5" sqref="A5"/>
      <pageMargins left="0" right="0" top="0" bottom="1" header="0.5" footer="0.5"/>
      <printOptions horizontalCentered="1"/>
      <pageSetup scale="70" orientation="portrait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r:id="rId3"/>
  <headerFooter alignWithMargins="0">
    <oddFooter>&amp;R&amp;D
&amp;T
&amp;F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41">
    <tabColor rgb="FFE28CAB"/>
  </sheetPr>
  <dimension ref="A1:Q245"/>
  <sheetViews>
    <sheetView showGridLines="0" zoomScale="90" zoomScaleNormal="90" workbookViewId="0">
      <pane xSplit="2" topLeftCell="C1" activePane="topRight" state="frozen"/>
      <selection activeCell="N1" sqref="N1"/>
      <selection pane="topRight"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478"/>
      <c r="E1" s="478"/>
      <c r="F1" s="478"/>
      <c r="G1" s="478"/>
      <c r="H1" s="478"/>
      <c r="I1" s="479"/>
    </row>
    <row r="2" spans="1:14" ht="23">
      <c r="B2" s="143" t="s">
        <v>189</v>
      </c>
      <c r="C2" s="247" t="s">
        <v>547</v>
      </c>
      <c r="D2" s="144"/>
      <c r="E2" s="144"/>
    </row>
    <row r="3" spans="1:14">
      <c r="A3" s="145"/>
      <c r="B3" s="140" t="s">
        <v>79</v>
      </c>
      <c r="C3" s="495">
        <v>41821</v>
      </c>
      <c r="D3" s="144"/>
      <c r="E3" s="147"/>
      <c r="F3" s="597" t="s">
        <v>548</v>
      </c>
    </row>
    <row r="4" spans="1:14">
      <c r="A4" s="145"/>
      <c r="B4" s="148" t="s">
        <v>80</v>
      </c>
      <c r="C4" s="495">
        <v>42185</v>
      </c>
      <c r="D4" s="144"/>
      <c r="E4" s="149"/>
      <c r="F4" s="597" t="s">
        <v>551</v>
      </c>
      <c r="G4" s="150"/>
    </row>
    <row r="5" spans="1:14">
      <c r="A5" s="145"/>
      <c r="B5" s="148"/>
      <c r="C5" s="151"/>
      <c r="D5" s="144"/>
      <c r="F5" s="597" t="s">
        <v>549</v>
      </c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589" t="s">
        <v>552</v>
      </c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598" t="s">
        <v>550</v>
      </c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490">
        <f>'[34]Sch B'!E10</f>
        <v>1032048</v>
      </c>
      <c r="D11" s="490">
        <f>'[34]Sch B'!G10</f>
        <v>0</v>
      </c>
      <c r="E11" s="171">
        <f>C11+D11</f>
        <v>1032048</v>
      </c>
      <c r="F11" s="490">
        <v>861606</v>
      </c>
      <c r="G11" s="171">
        <f t="shared" ref="G11:G20" si="0">E11+F11</f>
        <v>1893654</v>
      </c>
      <c r="H11" s="172">
        <f t="shared" ref="H11:H21" si="1">IF($G$21=0,0,G11/$G$21)</f>
        <v>0.30775689069091205</v>
      </c>
      <c r="I11" s="337"/>
      <c r="J11" s="368" t="s">
        <v>344</v>
      </c>
      <c r="K11" s="369">
        <f>G21</f>
        <v>6153084</v>
      </c>
      <c r="M11" s="359">
        <f>IFERROR(G11/G219,0)</f>
        <v>179.34027843545789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490">
        <f>'[34]Sch B'!E15</f>
        <v>0</v>
      </c>
      <c r="D12" s="490">
        <f>'[34]Sch B'!G15</f>
        <v>0</v>
      </c>
      <c r="E12" s="171">
        <f t="shared" ref="E12:E20" si="2">C12+D12</f>
        <v>0</v>
      </c>
      <c r="F12" s="490">
        <v>0</v>
      </c>
      <c r="G12" s="171">
        <f>E12+F12</f>
        <v>0</v>
      </c>
      <c r="H12" s="172">
        <f t="shared" si="1"/>
        <v>0</v>
      </c>
      <c r="I12" s="337"/>
      <c r="J12" s="370" t="s">
        <v>345</v>
      </c>
      <c r="K12" s="371">
        <f>G208</f>
        <v>5723730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490">
        <f>'[34]Sch B'!E21</f>
        <v>996385</v>
      </c>
      <c r="D13" s="490">
        <f>'[34]Sch B'!G21</f>
        <v>0</v>
      </c>
      <c r="E13" s="171">
        <f t="shared" si="2"/>
        <v>996385</v>
      </c>
      <c r="F13" s="490">
        <v>1190866</v>
      </c>
      <c r="G13" s="171">
        <f t="shared" si="0"/>
        <v>2187251</v>
      </c>
      <c r="H13" s="172">
        <f t="shared" si="1"/>
        <v>0.35547231274593361</v>
      </c>
      <c r="I13" s="337"/>
      <c r="J13" s="370" t="s">
        <v>346</v>
      </c>
      <c r="K13" s="371">
        <f>G228</f>
        <v>23284</v>
      </c>
      <c r="M13" s="359">
        <f t="shared" si="3"/>
        <v>429.71532416502947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490">
        <f>'[34]Sch B'!E27</f>
        <v>281918</v>
      </c>
      <c r="D14" s="490">
        <f>'[34]Sch B'!G27</f>
        <v>0</v>
      </c>
      <c r="E14" s="171">
        <f t="shared" si="2"/>
        <v>281918</v>
      </c>
      <c r="F14" s="490">
        <v>276317</v>
      </c>
      <c r="G14" s="175">
        <f>E14+F14</f>
        <v>558235</v>
      </c>
      <c r="H14" s="176">
        <f t="shared" si="1"/>
        <v>9.0724423719877711E-2</v>
      </c>
      <c r="I14" s="338"/>
      <c r="J14" s="370" t="s">
        <v>347</v>
      </c>
      <c r="K14" s="371">
        <f>G231</f>
        <v>120</v>
      </c>
      <c r="M14" s="359">
        <f t="shared" si="3"/>
        <v>280.94363361852038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490">
        <f>'[34]Sch B'!E32</f>
        <v>0</v>
      </c>
      <c r="D15" s="490">
        <f>'[34]Sch B'!G32</f>
        <v>0</v>
      </c>
      <c r="E15" s="171">
        <f t="shared" si="2"/>
        <v>0</v>
      </c>
      <c r="F15" s="490">
        <v>0</v>
      </c>
      <c r="G15" s="171">
        <f t="shared" si="0"/>
        <v>0</v>
      </c>
      <c r="H15" s="172">
        <f t="shared" si="1"/>
        <v>0</v>
      </c>
      <c r="I15" s="337"/>
      <c r="J15" s="370" t="s">
        <v>348</v>
      </c>
      <c r="K15" s="371">
        <f>G235</f>
        <v>43800</v>
      </c>
      <c r="M15" s="359">
        <f t="shared" si="3"/>
        <v>0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490">
        <f>'[34]Sch B'!E37</f>
        <v>353646</v>
      </c>
      <c r="D16" s="490">
        <f>'[34]Sch B'!G37</f>
        <v>0</v>
      </c>
      <c r="E16" s="171">
        <f t="shared" si="2"/>
        <v>353646</v>
      </c>
      <c r="F16" s="490">
        <v>401639</v>
      </c>
      <c r="G16" s="171">
        <f t="shared" si="0"/>
        <v>755285</v>
      </c>
      <c r="H16" s="172">
        <f t="shared" si="1"/>
        <v>0.12274901496550347</v>
      </c>
      <c r="I16" s="337"/>
      <c r="J16" s="372"/>
      <c r="K16" s="371"/>
      <c r="M16" s="359">
        <f t="shared" si="3"/>
        <v>219.62343704565279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490">
        <f>'[34]Sch B'!E42</f>
        <v>135753</v>
      </c>
      <c r="D17" s="490">
        <f>'[34]Sch B'!G42</f>
        <v>0</v>
      </c>
      <c r="E17" s="171">
        <f t="shared" si="2"/>
        <v>135753</v>
      </c>
      <c r="F17" s="490">
        <v>0</v>
      </c>
      <c r="G17" s="171">
        <f>E17+F17</f>
        <v>135753</v>
      </c>
      <c r="H17" s="172">
        <f t="shared" si="1"/>
        <v>2.2062594952384853E-2</v>
      </c>
      <c r="I17" s="337"/>
      <c r="J17" s="370" t="s">
        <v>156</v>
      </c>
      <c r="K17" s="371">
        <f>J208</f>
        <v>138961</v>
      </c>
      <c r="M17" s="359">
        <f t="shared" si="3"/>
        <v>167.59629629629629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490">
        <f>'[34]Sch B'!E47</f>
        <v>69623</v>
      </c>
      <c r="D18" s="490">
        <f>'[34]Sch B'!G47</f>
        <v>0</v>
      </c>
      <c r="E18" s="171">
        <f t="shared" si="2"/>
        <v>69623</v>
      </c>
      <c r="F18" s="490">
        <v>140419</v>
      </c>
      <c r="G18" s="171">
        <f>E18+F18</f>
        <v>210042</v>
      </c>
      <c r="H18" s="172">
        <f t="shared" si="1"/>
        <v>3.4136052750133102E-2</v>
      </c>
      <c r="I18" s="337"/>
      <c r="J18" s="373" t="s">
        <v>252</v>
      </c>
      <c r="K18" s="374">
        <f>K208</f>
        <v>146157</v>
      </c>
      <c r="M18" s="359">
        <f t="shared" si="3"/>
        <v>150.1372408863474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490">
        <f>'[34]Sch B'!E52</f>
        <v>0</v>
      </c>
      <c r="D19" s="490">
        <f>'[34]Sch B'!G52</f>
        <v>0</v>
      </c>
      <c r="E19" s="171">
        <f t="shared" si="2"/>
        <v>0</v>
      </c>
      <c r="F19" s="490">
        <v>0</v>
      </c>
      <c r="G19" s="171">
        <f t="shared" si="0"/>
        <v>0</v>
      </c>
      <c r="H19" s="172">
        <f t="shared" si="1"/>
        <v>0</v>
      </c>
      <c r="I19" s="337"/>
      <c r="J19" s="168"/>
      <c r="K19" s="168"/>
      <c r="M19" s="359">
        <f t="shared" si="3"/>
        <v>0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490">
        <f>'[34]Sch B'!E67</f>
        <v>419841</v>
      </c>
      <c r="D20" s="490">
        <f>'[34]Sch B'!G67</f>
        <v>0</v>
      </c>
      <c r="E20" s="171">
        <f t="shared" si="2"/>
        <v>419841</v>
      </c>
      <c r="F20" s="496">
        <f>520-7497</f>
        <v>-6977</v>
      </c>
      <c r="G20" s="171">
        <f t="shared" si="0"/>
        <v>412864</v>
      </c>
      <c r="H20" s="172">
        <f t="shared" si="1"/>
        <v>6.7098710175255205E-2</v>
      </c>
      <c r="I20" s="337"/>
      <c r="J20" s="637" t="s">
        <v>658</v>
      </c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490">
        <f>SUM(C11:C20)</f>
        <v>3289214</v>
      </c>
      <c r="D21" s="490">
        <f>SUM(D11:D20)</f>
        <v>0</v>
      </c>
      <c r="E21" s="171">
        <f>SUM(E11:E20)</f>
        <v>3289214</v>
      </c>
      <c r="F21" s="171">
        <f>SUM(F11:F20)</f>
        <v>2863870</v>
      </c>
      <c r="G21" s="171">
        <f>SUM(G11:G20)</f>
        <v>6153084</v>
      </c>
      <c r="H21" s="172">
        <f t="shared" si="1"/>
        <v>1</v>
      </c>
      <c r="I21" s="337"/>
      <c r="J21" s="168"/>
      <c r="K21" s="168"/>
      <c r="M21" s="359">
        <f>IFERROR(G21/G228,0)</f>
        <v>264.2623260608143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4" ht="28.25" customHeight="1">
      <c r="A23" s="180" t="s">
        <v>231</v>
      </c>
      <c r="B23" s="179" t="s">
        <v>222</v>
      </c>
      <c r="C23" s="151"/>
      <c r="D23" s="144"/>
      <c r="F23" s="590" t="s">
        <v>684</v>
      </c>
      <c r="G23" s="144"/>
      <c r="M23" s="363"/>
      <c r="N23" s="363"/>
    </row>
    <row r="24" spans="1:14">
      <c r="A24" s="181" t="s">
        <v>161</v>
      </c>
      <c r="B24" s="148" t="s">
        <v>12</v>
      </c>
      <c r="F24" s="598" t="s">
        <v>685</v>
      </c>
      <c r="M24" s="363"/>
      <c r="N24" s="363"/>
    </row>
    <row r="25" spans="1:14" s="167" customFormat="1">
      <c r="A25" s="169" t="s">
        <v>83</v>
      </c>
      <c r="B25" s="170" t="s">
        <v>14</v>
      </c>
      <c r="C25" s="490">
        <f>'[34]Sch C'!D10</f>
        <v>48000</v>
      </c>
      <c r="D25" s="490">
        <f>'[34]Sch C'!F10</f>
        <v>0</v>
      </c>
      <c r="E25" s="171">
        <f t="shared" ref="E25:E60" si="4">C25+D25</f>
        <v>48000</v>
      </c>
      <c r="F25" s="490">
        <v>44000</v>
      </c>
      <c r="G25" s="182">
        <f>E25+F25</f>
        <v>92000</v>
      </c>
      <c r="H25" s="172">
        <f>IF($G$208=0,0,G25/$G$208)</f>
        <v>1.6073434630913756E-2</v>
      </c>
      <c r="I25" s="337"/>
      <c r="J25" s="183">
        <f>535+945</f>
        <v>1480</v>
      </c>
      <c r="K25" s="183">
        <f>607+953</f>
        <v>1560</v>
      </c>
      <c r="M25" s="359">
        <f>G25/G$228</f>
        <v>3.9512111321078853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490">
        <f>'[34]Sch C'!D11</f>
        <v>0</v>
      </c>
      <c r="D26" s="490">
        <f>'[34]Sch C'!F11</f>
        <v>0</v>
      </c>
      <c r="E26" s="171">
        <f t="shared" si="4"/>
        <v>0</v>
      </c>
      <c r="F26" s="490">
        <v>0</v>
      </c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490">
        <f>'[34]Sch C'!D12</f>
        <v>342394</v>
      </c>
      <c r="D27" s="490">
        <f>'[34]Sch C'!F12</f>
        <v>0</v>
      </c>
      <c r="E27" s="171">
        <f t="shared" si="4"/>
        <v>342394</v>
      </c>
      <c r="F27" s="490">
        <v>53418</v>
      </c>
      <c r="G27" s="171">
        <f t="shared" si="5"/>
        <v>395812</v>
      </c>
      <c r="H27" s="172">
        <f t="shared" si="6"/>
        <v>6.9152807697078655E-2</v>
      </c>
      <c r="I27" s="337"/>
      <c r="J27" s="185">
        <f>3503+2755</f>
        <v>6258</v>
      </c>
      <c r="K27" s="185">
        <f>4017+2886</f>
        <v>6903</v>
      </c>
      <c r="M27" s="359">
        <f t="shared" si="7"/>
        <v>16.999312832846591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490">
        <f>'[34]Sch C'!D13</f>
        <v>136579</v>
      </c>
      <c r="D28" s="490">
        <f>'[34]Sch C'!F13</f>
        <v>-78660</v>
      </c>
      <c r="E28" s="171">
        <f t="shared" si="4"/>
        <v>57919</v>
      </c>
      <c r="F28" s="490">
        <v>15163</v>
      </c>
      <c r="G28" s="171">
        <f t="shared" si="5"/>
        <v>73082</v>
      </c>
      <c r="H28" s="172">
        <f t="shared" si="6"/>
        <v>1.2768247279309123E-2</v>
      </c>
      <c r="I28" s="337"/>
      <c r="J28" s="168"/>
      <c r="K28" s="168"/>
      <c r="M28" s="359">
        <f t="shared" si="7"/>
        <v>3.1387218690946574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490">
        <f>'[34]Sch C'!D14</f>
        <v>0</v>
      </c>
      <c r="D29" s="490">
        <f>'[34]Sch C'!F14</f>
        <v>0</v>
      </c>
      <c r="E29" s="171">
        <f t="shared" si="4"/>
        <v>0</v>
      </c>
      <c r="F29" s="490">
        <v>0</v>
      </c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490">
        <f>'[34]Sch C'!D15</f>
        <v>0</v>
      </c>
      <c r="D30" s="490">
        <f>'[34]Sch C'!F15</f>
        <v>0</v>
      </c>
      <c r="E30" s="171">
        <f t="shared" si="4"/>
        <v>0</v>
      </c>
      <c r="F30" s="490">
        <v>0</v>
      </c>
      <c r="G30" s="171">
        <f t="shared" si="5"/>
        <v>0</v>
      </c>
      <c r="H30" s="172">
        <f t="shared" si="6"/>
        <v>0</v>
      </c>
      <c r="I30" s="337"/>
      <c r="J30" s="168"/>
      <c r="K30" s="168"/>
      <c r="M30" s="359">
        <f t="shared" si="7"/>
        <v>0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490">
        <f>'[34]Sch C'!D16</f>
        <v>0</v>
      </c>
      <c r="D31" s="490">
        <f>'[34]Sch C'!F16</f>
        <v>0</v>
      </c>
      <c r="E31" s="171">
        <f t="shared" si="4"/>
        <v>0</v>
      </c>
      <c r="F31" s="490">
        <v>143791</v>
      </c>
      <c r="G31" s="171">
        <f t="shared" si="5"/>
        <v>143791</v>
      </c>
      <c r="H31" s="172">
        <f t="shared" si="6"/>
        <v>2.5121904771888262E-2</v>
      </c>
      <c r="I31" s="337"/>
      <c r="J31" s="168"/>
      <c r="K31" s="168"/>
      <c r="M31" s="359">
        <f t="shared" si="7"/>
        <v>6.1755282597491838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490">
        <f>'[34]Sch C'!D17</f>
        <v>0</v>
      </c>
      <c r="D32" s="490">
        <f>'[34]Sch C'!F17</f>
        <v>0</v>
      </c>
      <c r="E32" s="171">
        <f t="shared" si="4"/>
        <v>0</v>
      </c>
      <c r="F32" s="490">
        <v>2486</v>
      </c>
      <c r="G32" s="171">
        <f t="shared" si="5"/>
        <v>2486</v>
      </c>
      <c r="H32" s="172">
        <f t="shared" si="6"/>
        <v>4.3433215752664781E-4</v>
      </c>
      <c r="I32" s="337"/>
      <c r="J32" s="168"/>
      <c r="K32" s="168"/>
      <c r="M32" s="359">
        <f t="shared" si="7"/>
        <v>0.10676859646108916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490">
        <f>'[34]Sch C'!D18</f>
        <v>0</v>
      </c>
      <c r="D33" s="490">
        <f>'[34]Sch C'!F18</f>
        <v>0</v>
      </c>
      <c r="E33" s="171">
        <f t="shared" si="4"/>
        <v>0</v>
      </c>
      <c r="F33" s="490">
        <v>6029</v>
      </c>
      <c r="G33" s="171">
        <f t="shared" si="5"/>
        <v>6029</v>
      </c>
      <c r="H33" s="172">
        <f t="shared" si="6"/>
        <v>1.0533341020628156E-3</v>
      </c>
      <c r="I33" s="337"/>
      <c r="J33" s="168"/>
      <c r="K33" s="168"/>
      <c r="M33" s="359">
        <f t="shared" si="7"/>
        <v>0.25893317299433088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490">
        <f>'[34]Sch C'!D19</f>
        <v>5181</v>
      </c>
      <c r="D34" s="490">
        <f>'[34]Sch C'!F19</f>
        <v>0</v>
      </c>
      <c r="E34" s="171">
        <f t="shared" si="4"/>
        <v>5181</v>
      </c>
      <c r="F34" s="490">
        <v>18559</v>
      </c>
      <c r="G34" s="171">
        <f t="shared" si="5"/>
        <v>23740</v>
      </c>
      <c r="H34" s="172">
        <f t="shared" si="6"/>
        <v>4.147644979759702E-3</v>
      </c>
      <c r="I34" s="337"/>
      <c r="J34" s="168"/>
      <c r="K34" s="168"/>
      <c r="M34" s="359">
        <f t="shared" si="7"/>
        <v>1.0195842638721868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490">
        <f>'[34]Sch C'!D20</f>
        <v>6028</v>
      </c>
      <c r="D35" s="490">
        <f>'[34]Sch C'!F20</f>
        <v>0</v>
      </c>
      <c r="E35" s="171">
        <f t="shared" si="4"/>
        <v>6028</v>
      </c>
      <c r="F35" s="490">
        <v>5066</v>
      </c>
      <c r="G35" s="171">
        <f t="shared" si="5"/>
        <v>11094</v>
      </c>
      <c r="H35" s="172">
        <f t="shared" si="6"/>
        <v>1.9382465629930133E-3</v>
      </c>
      <c r="I35" s="337"/>
      <c r="J35" s="168"/>
      <c r="K35" s="168"/>
      <c r="M35" s="359">
        <f t="shared" si="7"/>
        <v>0.47646452499570519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490">
        <f>'[34]Sch C'!D21</f>
        <v>2520</v>
      </c>
      <c r="D36" s="490">
        <f>'[34]Sch C'!F21</f>
        <v>0</v>
      </c>
      <c r="E36" s="171">
        <f t="shared" si="4"/>
        <v>2520</v>
      </c>
      <c r="F36" s="490">
        <v>27107</v>
      </c>
      <c r="G36" s="171">
        <f t="shared" si="5"/>
        <v>29627</v>
      </c>
      <c r="H36" s="172">
        <f t="shared" si="6"/>
        <v>5.1761700848921947E-3</v>
      </c>
      <c r="I36" s="337"/>
      <c r="J36" s="168"/>
      <c r="K36" s="168"/>
      <c r="M36" s="359">
        <f t="shared" si="7"/>
        <v>1.2724188283800035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490">
        <f>'[34]Sch C'!D22</f>
        <v>0</v>
      </c>
      <c r="D37" s="490">
        <f>'[34]Sch C'!F22</f>
        <v>0</v>
      </c>
      <c r="E37" s="171">
        <f t="shared" si="4"/>
        <v>0</v>
      </c>
      <c r="F37" s="490">
        <v>0</v>
      </c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490">
        <f>'[34]Sch C'!D23</f>
        <v>2845</v>
      </c>
      <c r="D38" s="490">
        <f>'[34]Sch C'!F23</f>
        <v>0</v>
      </c>
      <c r="E38" s="171">
        <f t="shared" si="4"/>
        <v>2845</v>
      </c>
      <c r="F38" s="496">
        <f>7622+26402</f>
        <v>34024</v>
      </c>
      <c r="G38" s="171">
        <f t="shared" si="5"/>
        <v>36869</v>
      </c>
      <c r="H38" s="172">
        <f t="shared" si="6"/>
        <v>6.441428928338688E-3</v>
      </c>
      <c r="I38" s="337"/>
      <c r="J38" s="168"/>
      <c r="K38" s="168"/>
      <c r="M38" s="359">
        <f t="shared" si="7"/>
        <v>1.5834478611922349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490">
        <f>'[34]Sch C'!D24</f>
        <v>0</v>
      </c>
      <c r="D39" s="490">
        <f>'[34]Sch C'!F24</f>
        <v>0</v>
      </c>
      <c r="E39" s="171">
        <f t="shared" si="4"/>
        <v>0</v>
      </c>
      <c r="F39" s="490">
        <v>66</v>
      </c>
      <c r="G39" s="171">
        <f t="shared" si="5"/>
        <v>66</v>
      </c>
      <c r="H39" s="172">
        <f t="shared" si="6"/>
        <v>1.1530942235220739E-5</v>
      </c>
      <c r="I39" s="337"/>
      <c r="J39" s="168"/>
      <c r="K39" s="168"/>
      <c r="M39" s="359">
        <f t="shared" si="7"/>
        <v>2.8345645078165262E-3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490">
        <f>'[34]Sch C'!D25</f>
        <v>0</v>
      </c>
      <c r="D40" s="490">
        <f>'[34]Sch C'!F25</f>
        <v>0</v>
      </c>
      <c r="E40" s="171">
        <f t="shared" si="4"/>
        <v>0</v>
      </c>
      <c r="F40" s="490">
        <v>0</v>
      </c>
      <c r="G40" s="171">
        <f t="shared" si="5"/>
        <v>0</v>
      </c>
      <c r="H40" s="172">
        <f t="shared" si="6"/>
        <v>0</v>
      </c>
      <c r="I40" s="337"/>
      <c r="J40" s="168"/>
      <c r="K40" s="168"/>
      <c r="M40" s="359">
        <f t="shared" si="7"/>
        <v>0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490">
        <f>'[34]Sch C'!D26</f>
        <v>127897</v>
      </c>
      <c r="D41" s="490">
        <f>'[34]Sch C'!F26</f>
        <v>0</v>
      </c>
      <c r="E41" s="171">
        <f t="shared" si="4"/>
        <v>127897</v>
      </c>
      <c r="F41" s="490">
        <v>122429</v>
      </c>
      <c r="G41" s="171">
        <f t="shared" si="5"/>
        <v>250326</v>
      </c>
      <c r="H41" s="172">
        <f t="shared" si="6"/>
        <v>4.3734767363240404E-2</v>
      </c>
      <c r="I41" s="337"/>
      <c r="J41" s="168"/>
      <c r="K41" s="168"/>
      <c r="M41" s="359">
        <f t="shared" si="7"/>
        <v>10.750987802783026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490">
        <f>'[34]Sch C'!D27</f>
        <v>0</v>
      </c>
      <c r="D42" s="490">
        <f>'[34]Sch C'!F27</f>
        <v>0</v>
      </c>
      <c r="E42" s="171">
        <f t="shared" si="4"/>
        <v>0</v>
      </c>
      <c r="F42" s="490">
        <v>43335</v>
      </c>
      <c r="G42" s="171">
        <f t="shared" si="5"/>
        <v>43335</v>
      </c>
      <c r="H42" s="172">
        <f t="shared" si="6"/>
        <v>7.5711118448983442E-3</v>
      </c>
      <c r="I42" s="337"/>
      <c r="J42" s="168"/>
      <c r="K42" s="168"/>
      <c r="M42" s="359">
        <f t="shared" si="7"/>
        <v>1.8611492870640782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490">
        <f>'[34]Sch C'!D28</f>
        <v>0</v>
      </c>
      <c r="D43" s="490">
        <f>'[34]Sch C'!F28</f>
        <v>0</v>
      </c>
      <c r="E43" s="171">
        <f t="shared" si="4"/>
        <v>0</v>
      </c>
      <c r="F43" s="490">
        <v>0</v>
      </c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490">
        <f>'[34]Sch C'!D29</f>
        <v>0</v>
      </c>
      <c r="D44" s="490">
        <f>'[34]Sch C'!F29</f>
        <v>0</v>
      </c>
      <c r="E44" s="171">
        <f t="shared" si="4"/>
        <v>0</v>
      </c>
      <c r="F44" s="490">
        <v>0</v>
      </c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490">
        <f>'[34]Sch C'!D30</f>
        <v>0</v>
      </c>
      <c r="D45" s="490">
        <f>'[34]Sch C'!F30</f>
        <v>0</v>
      </c>
      <c r="E45" s="171">
        <f t="shared" si="4"/>
        <v>0</v>
      </c>
      <c r="F45" s="490">
        <v>0</v>
      </c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490">
        <f>'[34]Sch C'!D31</f>
        <v>17829</v>
      </c>
      <c r="D46" s="490">
        <f>'[34]Sch C'!F31</f>
        <v>0</v>
      </c>
      <c r="E46" s="171">
        <f t="shared" si="4"/>
        <v>17829</v>
      </c>
      <c r="F46" s="490">
        <v>746</v>
      </c>
      <c r="G46" s="171">
        <f t="shared" si="5"/>
        <v>18575</v>
      </c>
      <c r="H46" s="172">
        <f t="shared" si="6"/>
        <v>3.2452613942306851E-3</v>
      </c>
      <c r="I46" s="337"/>
      <c r="J46" s="168"/>
      <c r="K46" s="168"/>
      <c r="M46" s="359">
        <f t="shared" si="7"/>
        <v>0.79775811716199962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490">
        <f>'[34]Sch C'!D32</f>
        <v>36321</v>
      </c>
      <c r="D47" s="490">
        <f>'[34]Sch C'!F32</f>
        <v>0</v>
      </c>
      <c r="E47" s="171">
        <f t="shared" si="4"/>
        <v>36321</v>
      </c>
      <c r="F47" s="490">
        <v>0</v>
      </c>
      <c r="G47" s="171">
        <f t="shared" si="5"/>
        <v>36321</v>
      </c>
      <c r="H47" s="172">
        <f t="shared" si="6"/>
        <v>6.3456871655371587E-3</v>
      </c>
      <c r="I47" s="337"/>
      <c r="J47" s="168"/>
      <c r="K47" s="168"/>
      <c r="M47" s="359">
        <f t="shared" si="7"/>
        <v>1.5599123861879403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490">
        <f>'[34]Sch C'!D33</f>
        <v>0</v>
      </c>
      <c r="D48" s="490">
        <f>'[34]Sch C'!F33</f>
        <v>0</v>
      </c>
      <c r="E48" s="171">
        <f t="shared" si="4"/>
        <v>0</v>
      </c>
      <c r="F48" s="490">
        <v>0</v>
      </c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490">
        <f>'[34]Sch C'!D34</f>
        <v>85</v>
      </c>
      <c r="D49" s="490">
        <f>'[34]Sch C'!F34</f>
        <v>0</v>
      </c>
      <c r="E49" s="171">
        <f t="shared" si="4"/>
        <v>85</v>
      </c>
      <c r="F49" s="490">
        <v>0</v>
      </c>
      <c r="G49" s="171">
        <f t="shared" si="5"/>
        <v>85</v>
      </c>
      <c r="H49" s="172">
        <f t="shared" si="6"/>
        <v>1.4850455908996406E-5</v>
      </c>
      <c r="I49" s="337"/>
      <c r="J49" s="168"/>
      <c r="K49" s="168"/>
      <c r="M49" s="359">
        <f t="shared" si="7"/>
        <v>3.6505755024909808E-3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490">
        <f>'[34]Sch C'!D35</f>
        <v>0</v>
      </c>
      <c r="D50" s="490">
        <f>'[34]Sch C'!F35</f>
        <v>0</v>
      </c>
      <c r="E50" s="171">
        <f t="shared" si="4"/>
        <v>0</v>
      </c>
      <c r="F50" s="490">
        <v>0</v>
      </c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490">
        <f>'[34]Sch C'!D36</f>
        <v>16118</v>
      </c>
      <c r="D51" s="490">
        <f>'[34]Sch C'!F36</f>
        <v>0</v>
      </c>
      <c r="E51" s="171">
        <f t="shared" si="4"/>
        <v>16118</v>
      </c>
      <c r="F51" s="490">
        <v>0</v>
      </c>
      <c r="G51" s="171">
        <f t="shared" si="5"/>
        <v>16118</v>
      </c>
      <c r="H51" s="172">
        <f t="shared" si="6"/>
        <v>2.8159958628376949E-3</v>
      </c>
      <c r="I51" s="337"/>
      <c r="J51" s="183">
        <f>1315+0</f>
        <v>1315</v>
      </c>
      <c r="K51" s="183">
        <f>1428+0</f>
        <v>1428</v>
      </c>
      <c r="M51" s="359">
        <f t="shared" si="7"/>
        <v>0.69223501116646624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490">
        <f>'[34]Sch C'!D37</f>
        <v>0</v>
      </c>
      <c r="D52" s="490">
        <f>'[34]Sch C'!F37</f>
        <v>0</v>
      </c>
      <c r="E52" s="171">
        <f t="shared" si="4"/>
        <v>0</v>
      </c>
      <c r="F52" s="490">
        <v>0</v>
      </c>
      <c r="G52" s="171">
        <f t="shared" si="5"/>
        <v>0</v>
      </c>
      <c r="H52" s="172">
        <f t="shared" si="6"/>
        <v>0</v>
      </c>
      <c r="I52" s="337"/>
      <c r="J52" s="168"/>
      <c r="K52" s="168"/>
      <c r="M52" s="359">
        <f t="shared" si="7"/>
        <v>0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490">
        <f>'[34]Sch C'!D38</f>
        <v>0</v>
      </c>
      <c r="D53" s="490">
        <f>'[34]Sch C'!F38</f>
        <v>0</v>
      </c>
      <c r="E53" s="171">
        <f t="shared" si="4"/>
        <v>0</v>
      </c>
      <c r="F53" s="490">
        <v>311</v>
      </c>
      <c r="G53" s="171">
        <f t="shared" si="5"/>
        <v>311</v>
      </c>
      <c r="H53" s="172">
        <f t="shared" si="6"/>
        <v>5.433519750232803E-5</v>
      </c>
      <c r="I53" s="337"/>
      <c r="J53" s="168"/>
      <c r="K53" s="168"/>
      <c r="M53" s="359">
        <f t="shared" si="7"/>
        <v>1.3356811544408178E-2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490">
        <f>'[34]Sch C'!D39</f>
        <v>113307</v>
      </c>
      <c r="D54" s="490">
        <f>'[34]Sch C'!F39</f>
        <v>0</v>
      </c>
      <c r="E54" s="171">
        <f t="shared" si="4"/>
        <v>113307</v>
      </c>
      <c r="F54" s="490">
        <v>0</v>
      </c>
      <c r="G54" s="171">
        <f t="shared" si="5"/>
        <v>113307</v>
      </c>
      <c r="H54" s="172">
        <f t="shared" si="6"/>
        <v>1.9796007149184187E-2</v>
      </c>
      <c r="I54" s="337"/>
      <c r="J54" s="168"/>
      <c r="K54" s="168"/>
      <c r="M54" s="359">
        <f t="shared" si="7"/>
        <v>4.8663030407146541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490">
        <f>'[34]Sch C'!D40</f>
        <v>0</v>
      </c>
      <c r="D55" s="490">
        <f>'[34]Sch C'!F40</f>
        <v>0</v>
      </c>
      <c r="E55" s="171">
        <f t="shared" si="4"/>
        <v>0</v>
      </c>
      <c r="F55" s="496">
        <f>14639-1723</f>
        <v>12916</v>
      </c>
      <c r="G55" s="171">
        <f t="shared" si="5"/>
        <v>12916</v>
      </c>
      <c r="H55" s="172">
        <f t="shared" si="6"/>
        <v>2.256570453183501E-3</v>
      </c>
      <c r="I55" s="337"/>
      <c r="J55" s="168"/>
      <c r="K55" s="168"/>
      <c r="M55" s="359">
        <f t="shared" si="7"/>
        <v>0.55471568459027654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490">
        <f>'[34]Sch C'!D41</f>
        <v>4104</v>
      </c>
      <c r="D56" s="490">
        <f>'[34]Sch C'!F41</f>
        <v>0</v>
      </c>
      <c r="E56" s="171">
        <f t="shared" si="4"/>
        <v>4104</v>
      </c>
      <c r="F56" s="496">
        <f>22993+1723+4454</f>
        <v>29170</v>
      </c>
      <c r="G56" s="171">
        <f t="shared" si="5"/>
        <v>33274</v>
      </c>
      <c r="H56" s="172">
        <f t="shared" si="6"/>
        <v>5.8133419990111347E-3</v>
      </c>
      <c r="I56" s="337"/>
      <c r="J56" s="168"/>
      <c r="K56" s="168"/>
      <c r="M56" s="359">
        <f t="shared" si="7"/>
        <v>1.4290499914104107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490">
        <f>'[34]Sch C'!D42</f>
        <v>0</v>
      </c>
      <c r="D57" s="490">
        <f>'[34]Sch C'!F42</f>
        <v>0</v>
      </c>
      <c r="E57" s="171">
        <f t="shared" si="4"/>
        <v>0</v>
      </c>
      <c r="F57" s="496">
        <f>110+833</f>
        <v>943</v>
      </c>
      <c r="G57" s="171">
        <f t="shared" si="5"/>
        <v>943</v>
      </c>
      <c r="H57" s="172">
        <f t="shared" si="6"/>
        <v>1.6475270496686602E-4</v>
      </c>
      <c r="I57" s="337"/>
      <c r="J57" s="168"/>
      <c r="K57" s="168"/>
      <c r="M57" s="359">
        <f t="shared" si="7"/>
        <v>4.0499914104105826E-2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490">
        <f>'[34]Sch C'!D43</f>
        <v>0</v>
      </c>
      <c r="D58" s="490">
        <f>'[34]Sch C'!F43</f>
        <v>0</v>
      </c>
      <c r="E58" s="171">
        <f t="shared" si="4"/>
        <v>0</v>
      </c>
      <c r="F58" s="490">
        <v>0</v>
      </c>
      <c r="G58" s="171">
        <f t="shared" si="5"/>
        <v>0</v>
      </c>
      <c r="H58" s="172">
        <f t="shared" si="6"/>
        <v>0</v>
      </c>
      <c r="I58" s="337"/>
      <c r="J58" s="168"/>
      <c r="K58" s="168"/>
      <c r="M58" s="359">
        <f t="shared" si="7"/>
        <v>0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490">
        <f>'[34]Sch C'!D44</f>
        <v>1829</v>
      </c>
      <c r="D59" s="490">
        <f>'[34]Sch C'!F44</f>
        <v>0</v>
      </c>
      <c r="E59" s="171">
        <f t="shared" si="4"/>
        <v>1829</v>
      </c>
      <c r="F59" s="490">
        <v>0</v>
      </c>
      <c r="G59" s="171">
        <f t="shared" si="5"/>
        <v>1829</v>
      </c>
      <c r="H59" s="172">
        <f t="shared" si="6"/>
        <v>3.1954686891240501E-4</v>
      </c>
      <c r="I59" s="337"/>
      <c r="J59" s="168"/>
      <c r="K59" s="168"/>
      <c r="M59" s="359">
        <f t="shared" si="7"/>
        <v>7.8551795224188287E-2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490">
        <f>'[34]Sch C'!D45</f>
        <v>220744</v>
      </c>
      <c r="D60" s="490">
        <f>'[34]Sch C'!F45</f>
        <v>0</v>
      </c>
      <c r="E60" s="171">
        <f t="shared" si="4"/>
        <v>220744</v>
      </c>
      <c r="F60" s="496">
        <v>7497</v>
      </c>
      <c r="G60" s="171">
        <f t="shared" si="5"/>
        <v>228241</v>
      </c>
      <c r="H60" s="172">
        <f t="shared" si="6"/>
        <v>3.9876269495591164E-2</v>
      </c>
      <c r="I60" s="337"/>
      <c r="J60" s="637" t="s">
        <v>659</v>
      </c>
      <c r="K60" s="168"/>
      <c r="M60" s="359">
        <f t="shared" si="7"/>
        <v>9.8024823913416945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490">
        <f>SUM(C25:C60)</f>
        <v>1081781</v>
      </c>
      <c r="D61" s="490">
        <f>SUM(D25:D60)</f>
        <v>-78660</v>
      </c>
      <c r="E61" s="171">
        <f t="shared" ref="E61:F61" si="8">SUM(E25:E60)</f>
        <v>1003121</v>
      </c>
      <c r="F61" s="171">
        <f t="shared" si="8"/>
        <v>567056</v>
      </c>
      <c r="G61" s="171">
        <f>SUM(G25:G60)</f>
        <v>1570177</v>
      </c>
      <c r="H61" s="186">
        <f t="shared" si="6"/>
        <v>0.27432758009200292</v>
      </c>
      <c r="I61" s="339"/>
      <c r="J61" s="637" t="s">
        <v>660</v>
      </c>
      <c r="K61" s="168"/>
      <c r="M61" s="364">
        <f>G61/G$228</f>
        <v>67.435878714997429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I62" s="340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490">
        <f>'[34]Sch C'!D57</f>
        <v>292800</v>
      </c>
      <c r="D64" s="490">
        <f>'[34]Sch C'!F57</f>
        <v>0</v>
      </c>
      <c r="E64" s="171">
        <f t="shared" ref="E64:E78" si="9">C64+D64</f>
        <v>292800</v>
      </c>
      <c r="F64" s="490">
        <v>293760</v>
      </c>
      <c r="G64" s="171">
        <f t="shared" ref="G64:G78" si="10">E64+F64</f>
        <v>586560</v>
      </c>
      <c r="H64" s="172">
        <f t="shared" ref="H64:H79" si="11">IF($G$208=0,0,G64/$G$208)</f>
        <v>0.10247862844683449</v>
      </c>
      <c r="I64" s="337"/>
      <c r="J64" s="190"/>
      <c r="K64" s="168"/>
      <c r="M64" s="359">
        <f t="shared" ref="M64:M79" si="12">G64/G$228</f>
        <v>25.191547844013055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490">
        <f>'[34]Sch C'!D58</f>
        <v>0</v>
      </c>
      <c r="D65" s="490">
        <f>'[34]Sch C'!F58</f>
        <v>0</v>
      </c>
      <c r="E65" s="171">
        <f t="shared" si="9"/>
        <v>0</v>
      </c>
      <c r="F65" s="490">
        <v>8214</v>
      </c>
      <c r="G65" s="171">
        <f t="shared" si="10"/>
        <v>8214</v>
      </c>
      <c r="H65" s="172">
        <f t="shared" si="11"/>
        <v>1.4350781745470175E-3</v>
      </c>
      <c r="I65" s="337"/>
      <c r="J65" s="190"/>
      <c r="K65" s="168"/>
      <c r="M65" s="359">
        <f t="shared" si="12"/>
        <v>0.35277443738189312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490">
        <f>'[34]Sch C'!D59</f>
        <v>0</v>
      </c>
      <c r="D66" s="490">
        <f>'[34]Sch C'!F59</f>
        <v>0</v>
      </c>
      <c r="E66" s="171">
        <f t="shared" si="9"/>
        <v>0</v>
      </c>
      <c r="F66" s="490">
        <v>0</v>
      </c>
      <c r="G66" s="171">
        <f t="shared" si="10"/>
        <v>0</v>
      </c>
      <c r="H66" s="172">
        <f t="shared" si="11"/>
        <v>0</v>
      </c>
      <c r="I66" s="337"/>
      <c r="J66" s="190"/>
      <c r="K66" s="168"/>
      <c r="M66" s="359">
        <f t="shared" si="12"/>
        <v>0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490">
        <f>'[34]Sch C'!D60</f>
        <v>13000</v>
      </c>
      <c r="D67" s="490">
        <f>'[34]Sch C'!F60</f>
        <v>0</v>
      </c>
      <c r="E67" s="171">
        <f t="shared" si="9"/>
        <v>13000</v>
      </c>
      <c r="F67" s="490">
        <v>0</v>
      </c>
      <c r="G67" s="171">
        <f t="shared" si="10"/>
        <v>13000</v>
      </c>
      <c r="H67" s="172">
        <f t="shared" si="11"/>
        <v>2.2712461978465093E-3</v>
      </c>
      <c r="I67" s="337"/>
      <c r="J67" s="193"/>
      <c r="K67" s="168"/>
      <c r="M67" s="359">
        <f t="shared" si="12"/>
        <v>0.55832331214567943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490">
        <f>'[34]Sch C'!D61</f>
        <v>10968</v>
      </c>
      <c r="D68" s="490">
        <f>'[34]Sch C'!F61</f>
        <v>0</v>
      </c>
      <c r="E68" s="171">
        <f t="shared" si="9"/>
        <v>10968</v>
      </c>
      <c r="F68" s="490">
        <v>2742</v>
      </c>
      <c r="G68" s="171">
        <f t="shared" si="10"/>
        <v>13710</v>
      </c>
      <c r="H68" s="172">
        <f t="shared" si="11"/>
        <v>2.3952911824981263E-3</v>
      </c>
      <c r="I68" s="337"/>
      <c r="J68" s="193"/>
      <c r="K68" s="168"/>
      <c r="M68" s="359">
        <f t="shared" si="12"/>
        <v>0.58881635457825121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490">
        <f>'[34]Sch C'!D62</f>
        <v>0</v>
      </c>
      <c r="D69" s="490">
        <f>'[34]Sch C'!F62</f>
        <v>0</v>
      </c>
      <c r="E69" s="171">
        <f t="shared" si="9"/>
        <v>0</v>
      </c>
      <c r="F69" s="496">
        <f>3936-3936</f>
        <v>0</v>
      </c>
      <c r="G69" s="171">
        <f t="shared" si="10"/>
        <v>0</v>
      </c>
      <c r="H69" s="172">
        <f t="shared" si="11"/>
        <v>0</v>
      </c>
      <c r="I69" s="337"/>
      <c r="J69" s="195"/>
      <c r="K69" s="168"/>
      <c r="M69" s="359">
        <f t="shared" si="12"/>
        <v>0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490">
        <f>'[34]Sch C'!D63</f>
        <v>0</v>
      </c>
      <c r="D70" s="490">
        <f>'[34]Sch C'!F63</f>
        <v>0</v>
      </c>
      <c r="E70" s="171">
        <f t="shared" si="9"/>
        <v>0</v>
      </c>
      <c r="F70" s="490">
        <v>0</v>
      </c>
      <c r="G70" s="171">
        <f t="shared" si="10"/>
        <v>0</v>
      </c>
      <c r="H70" s="172">
        <f t="shared" si="11"/>
        <v>0</v>
      </c>
      <c r="I70" s="337"/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490">
        <f>'[34]Sch C'!D64</f>
        <v>0</v>
      </c>
      <c r="D71" s="490">
        <f>'[34]Sch C'!F64</f>
        <v>0</v>
      </c>
      <c r="E71" s="171">
        <f t="shared" si="9"/>
        <v>0</v>
      </c>
      <c r="F71" s="490">
        <v>0</v>
      </c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490">
        <f>'[34]Sch C'!D65</f>
        <v>0</v>
      </c>
      <c r="D72" s="490">
        <f>'[34]Sch C'!F65</f>
        <v>0</v>
      </c>
      <c r="E72" s="171">
        <f t="shared" si="9"/>
        <v>0</v>
      </c>
      <c r="F72" s="490">
        <v>0</v>
      </c>
      <c r="G72" s="171">
        <f t="shared" si="10"/>
        <v>0</v>
      </c>
      <c r="H72" s="172">
        <f t="shared" si="11"/>
        <v>0</v>
      </c>
      <c r="I72" s="337"/>
      <c r="J72" s="195"/>
      <c r="K72" s="168"/>
      <c r="M72" s="359">
        <f t="shared" si="12"/>
        <v>0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490">
        <f>'[34]Sch C'!D66</f>
        <v>0</v>
      </c>
      <c r="D73" s="490">
        <f>'[34]Sch C'!F66</f>
        <v>0</v>
      </c>
      <c r="E73" s="171">
        <f t="shared" si="9"/>
        <v>0</v>
      </c>
      <c r="F73" s="490">
        <v>23055</v>
      </c>
      <c r="G73" s="171">
        <f t="shared" si="10"/>
        <v>23055</v>
      </c>
      <c r="H73" s="172">
        <f t="shared" si="11"/>
        <v>4.0279677762577902E-3</v>
      </c>
      <c r="I73" s="337"/>
      <c r="J73" s="195"/>
      <c r="K73" s="168"/>
      <c r="M73" s="359">
        <f t="shared" si="12"/>
        <v>0.99016492011681845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490">
        <f>'[34]Sch C'!D67</f>
        <v>5314</v>
      </c>
      <c r="D74" s="490">
        <f>'[34]Sch C'!F67</f>
        <v>0</v>
      </c>
      <c r="E74" s="171">
        <f t="shared" si="9"/>
        <v>5314</v>
      </c>
      <c r="F74" s="496">
        <f>3488+4377</f>
        <v>7865</v>
      </c>
      <c r="G74" s="171">
        <f t="shared" si="10"/>
        <v>13179</v>
      </c>
      <c r="H74" s="172">
        <f t="shared" si="11"/>
        <v>2.3025195108783958E-3</v>
      </c>
      <c r="I74" s="337"/>
      <c r="J74" s="195"/>
      <c r="K74" s="168"/>
      <c r="M74" s="359">
        <f t="shared" si="12"/>
        <v>0.56601099467445459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490">
        <f>'[34]Sch C'!D68</f>
        <v>0</v>
      </c>
      <c r="D75" s="490">
        <f>'[34]Sch C'!F68</f>
        <v>0</v>
      </c>
      <c r="E75" s="171">
        <f t="shared" si="9"/>
        <v>0</v>
      </c>
      <c r="F75" s="490">
        <v>0</v>
      </c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490">
        <f>'[34]Sch C'!D69</f>
        <v>0</v>
      </c>
      <c r="D76" s="490">
        <f>'[34]Sch C'!F69</f>
        <v>0</v>
      </c>
      <c r="E76" s="171">
        <f t="shared" si="9"/>
        <v>0</v>
      </c>
      <c r="F76" s="490">
        <v>1851</v>
      </c>
      <c r="G76" s="171">
        <f t="shared" si="10"/>
        <v>1851</v>
      </c>
      <c r="H76" s="172">
        <f t="shared" si="11"/>
        <v>3.2339051632414528E-4</v>
      </c>
      <c r="I76" s="337"/>
      <c r="J76" s="195"/>
      <c r="K76" s="168"/>
      <c r="M76" s="359">
        <f t="shared" si="12"/>
        <v>7.9496650060127128E-2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490">
        <f>'[34]Sch C'!D70</f>
        <v>0</v>
      </c>
      <c r="D77" s="490">
        <f>'[34]Sch C'!F70</f>
        <v>0</v>
      </c>
      <c r="E77" s="171">
        <f t="shared" si="9"/>
        <v>0</v>
      </c>
      <c r="F77" s="490">
        <v>0</v>
      </c>
      <c r="G77" s="171">
        <f t="shared" si="10"/>
        <v>0</v>
      </c>
      <c r="H77" s="172">
        <f t="shared" si="11"/>
        <v>0</v>
      </c>
      <c r="I77" s="337"/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490">
        <f>'[34]Sch C'!D71</f>
        <v>0</v>
      </c>
      <c r="D78" s="490">
        <f>'[34]Sch C'!F71</f>
        <v>0</v>
      </c>
      <c r="E78" s="171">
        <f t="shared" si="9"/>
        <v>0</v>
      </c>
      <c r="F78" s="490">
        <v>0</v>
      </c>
      <c r="G78" s="171">
        <f t="shared" si="10"/>
        <v>0</v>
      </c>
      <c r="H78" s="172">
        <f t="shared" si="11"/>
        <v>0</v>
      </c>
      <c r="I78" s="337"/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490">
        <f>SUM(C64:C78)</f>
        <v>322082</v>
      </c>
      <c r="D79" s="490">
        <f>SUM(D64:D78)</f>
        <v>0</v>
      </c>
      <c r="E79" s="171">
        <f t="shared" ref="E79:F79" si="13">SUM(E64:E78)</f>
        <v>322082</v>
      </c>
      <c r="F79" s="171">
        <f t="shared" si="13"/>
        <v>337487</v>
      </c>
      <c r="G79" s="171">
        <f>SUM(G64:G78)</f>
        <v>659569</v>
      </c>
      <c r="H79" s="172">
        <f t="shared" si="11"/>
        <v>0.11523412180518648</v>
      </c>
      <c r="I79" s="337"/>
      <c r="J79" s="195"/>
      <c r="K79" s="168"/>
      <c r="M79" s="359">
        <f t="shared" si="12"/>
        <v>28.327134512970279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490">
        <f>'[34]Sch C'!D75</f>
        <v>25495</v>
      </c>
      <c r="D82" s="490">
        <f>'[34]Sch C'!F75</f>
        <v>0</v>
      </c>
      <c r="E82" s="171">
        <f t="shared" ref="E82:E92" si="14">C82+D82</f>
        <v>25495</v>
      </c>
      <c r="F82" s="490">
        <v>21013</v>
      </c>
      <c r="G82" s="171">
        <f t="shared" ref="G82:G92" si="15">E82+F82</f>
        <v>46508</v>
      </c>
      <c r="H82" s="172">
        <f t="shared" ref="H82:H93" si="16">IF($G$208=0,0,G82/$G$208)</f>
        <v>8.1254706284188804E-3</v>
      </c>
      <c r="I82" s="337"/>
      <c r="J82" s="183">
        <f>1568+1373</f>
        <v>2941</v>
      </c>
      <c r="K82" s="183">
        <f>1620+1423</f>
        <v>3043</v>
      </c>
      <c r="M82" s="359">
        <f t="shared" ref="M82:M92" si="17">G82/G$228</f>
        <v>1.9974231231747122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490">
        <f>'[34]Sch C'!D76</f>
        <v>0</v>
      </c>
      <c r="D83" s="490">
        <f>'[34]Sch C'!F76</f>
        <v>3632</v>
      </c>
      <c r="E83" s="171">
        <f t="shared" si="14"/>
        <v>3632</v>
      </c>
      <c r="F83" s="490">
        <v>2250</v>
      </c>
      <c r="G83" s="171">
        <f t="shared" si="15"/>
        <v>5882</v>
      </c>
      <c r="H83" s="172">
        <f t="shared" si="16"/>
        <v>1.0276515489025513E-3</v>
      </c>
      <c r="I83" s="337"/>
      <c r="J83" s="168"/>
      <c r="K83" s="168"/>
      <c r="M83" s="359">
        <f t="shared" si="17"/>
        <v>0.25261982477237588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490">
        <f>'[34]Sch C'!D77</f>
        <v>0</v>
      </c>
      <c r="D84" s="490">
        <f>'[34]Sch C'!F77</f>
        <v>0</v>
      </c>
      <c r="E84" s="171">
        <f t="shared" si="14"/>
        <v>0</v>
      </c>
      <c r="F84" s="490">
        <v>3057</v>
      </c>
      <c r="G84" s="171">
        <f t="shared" si="15"/>
        <v>3057</v>
      </c>
      <c r="H84" s="172">
        <f t="shared" si="16"/>
        <v>5.34092278985906E-4</v>
      </c>
      <c r="I84" s="337"/>
      <c r="J84" s="168"/>
      <c r="K84" s="168"/>
      <c r="M84" s="359">
        <f t="shared" si="17"/>
        <v>0.13129187424841093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490">
        <f>'[34]Sch C'!D78</f>
        <v>0</v>
      </c>
      <c r="D85" s="490">
        <f>'[34]Sch C'!F78</f>
        <v>0</v>
      </c>
      <c r="E85" s="171">
        <f t="shared" si="14"/>
        <v>0</v>
      </c>
      <c r="F85" s="490">
        <v>0</v>
      </c>
      <c r="G85" s="171">
        <f t="shared" si="15"/>
        <v>0</v>
      </c>
      <c r="H85" s="172">
        <f t="shared" si="16"/>
        <v>0</v>
      </c>
      <c r="I85" s="337"/>
      <c r="J85" s="168"/>
      <c r="K85" s="168"/>
      <c r="M85" s="359">
        <f t="shared" si="17"/>
        <v>0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490">
        <f>'[34]Sch C'!D79</f>
        <v>0</v>
      </c>
      <c r="D86" s="490">
        <f>'[34]Sch C'!F79</f>
        <v>0</v>
      </c>
      <c r="E86" s="171">
        <f t="shared" si="14"/>
        <v>0</v>
      </c>
      <c r="F86" s="490">
        <v>13161</v>
      </c>
      <c r="G86" s="171">
        <f>E86+F86</f>
        <v>13161</v>
      </c>
      <c r="H86" s="172">
        <f t="shared" si="16"/>
        <v>2.2993747084506084E-3</v>
      </c>
      <c r="I86" s="337"/>
      <c r="J86" s="168"/>
      <c r="K86" s="168"/>
      <c r="M86" s="359">
        <f t="shared" si="17"/>
        <v>0.5652379316268682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490">
        <f>'[34]Sch C'!D80</f>
        <v>0</v>
      </c>
      <c r="D87" s="490">
        <f>'[34]Sch C'!F80</f>
        <v>0</v>
      </c>
      <c r="E87" s="171">
        <f t="shared" si="14"/>
        <v>0</v>
      </c>
      <c r="F87" s="490">
        <v>13120</v>
      </c>
      <c r="G87" s="171">
        <f t="shared" si="15"/>
        <v>13120</v>
      </c>
      <c r="H87" s="172">
        <f t="shared" si="16"/>
        <v>2.2922115473650922E-3</v>
      </c>
      <c r="I87" s="337"/>
      <c r="J87" s="168"/>
      <c r="K87" s="168"/>
      <c r="M87" s="359">
        <f t="shared" si="17"/>
        <v>0.56347706579625489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490">
        <f>'[34]Sch C'!D81</f>
        <v>5973</v>
      </c>
      <c r="D88" s="490">
        <f>'[34]Sch C'!F81</f>
        <v>0</v>
      </c>
      <c r="E88" s="171">
        <f t="shared" si="14"/>
        <v>5973</v>
      </c>
      <c r="F88" s="490">
        <v>1300</v>
      </c>
      <c r="G88" s="171">
        <f t="shared" si="15"/>
        <v>7273</v>
      </c>
      <c r="H88" s="172">
        <f t="shared" si="16"/>
        <v>1.2706748920721278E-3</v>
      </c>
      <c r="I88" s="337"/>
      <c r="J88" s="168"/>
      <c r="K88" s="168"/>
      <c r="M88" s="359">
        <f t="shared" si="17"/>
        <v>0.31236041917196355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490">
        <f>'[34]Sch C'!D82</f>
        <v>15944</v>
      </c>
      <c r="D89" s="490">
        <f>'[34]Sch C'!F82</f>
        <v>0</v>
      </c>
      <c r="E89" s="171">
        <f t="shared" si="14"/>
        <v>15944</v>
      </c>
      <c r="F89" s="490">
        <v>11081</v>
      </c>
      <c r="G89" s="171">
        <f t="shared" si="15"/>
        <v>27025</v>
      </c>
      <c r="H89" s="172">
        <f t="shared" si="16"/>
        <v>4.721571422830916E-3</v>
      </c>
      <c r="I89" s="337"/>
      <c r="J89" s="168"/>
      <c r="K89" s="168"/>
      <c r="M89" s="359">
        <f t="shared" si="17"/>
        <v>1.1606682700566913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490">
        <f>'[34]Sch C'!D83</f>
        <v>3757</v>
      </c>
      <c r="D90" s="490">
        <f>'[34]Sch C'!F83</f>
        <v>0</v>
      </c>
      <c r="E90" s="171">
        <f t="shared" si="14"/>
        <v>3757</v>
      </c>
      <c r="F90" s="490">
        <v>0</v>
      </c>
      <c r="G90" s="171">
        <f t="shared" si="15"/>
        <v>3757</v>
      </c>
      <c r="H90" s="172">
        <f t="shared" si="16"/>
        <v>6.5639015117764112E-4</v>
      </c>
      <c r="I90" s="337"/>
      <c r="J90" s="168"/>
      <c r="K90" s="168"/>
      <c r="M90" s="359">
        <f t="shared" si="17"/>
        <v>0.16135543721010134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490">
        <f>'[34]Sch C'!D84</f>
        <v>62001</v>
      </c>
      <c r="D91" s="490">
        <f>'[34]Sch C'!F84</f>
        <v>0</v>
      </c>
      <c r="E91" s="171">
        <f t="shared" si="14"/>
        <v>62001</v>
      </c>
      <c r="F91" s="490">
        <v>52330</v>
      </c>
      <c r="G91" s="171">
        <f t="shared" si="15"/>
        <v>114331</v>
      </c>
      <c r="H91" s="172">
        <f t="shared" si="16"/>
        <v>1.9974911465076097E-2</v>
      </c>
      <c r="I91" s="337"/>
      <c r="J91" s="168"/>
      <c r="K91" s="168"/>
      <c r="M91" s="359">
        <f t="shared" si="17"/>
        <v>4.9102817385328983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490">
        <f>'[34]Sch C'!D85</f>
        <v>59</v>
      </c>
      <c r="D92" s="490">
        <f>'[34]Sch C'!F85</f>
        <v>0</v>
      </c>
      <c r="E92" s="171">
        <f t="shared" si="14"/>
        <v>59</v>
      </c>
      <c r="F92" s="490">
        <v>0</v>
      </c>
      <c r="G92" s="171">
        <f t="shared" si="15"/>
        <v>59</v>
      </c>
      <c r="H92" s="172">
        <f t="shared" si="16"/>
        <v>1.0307963513303388E-5</v>
      </c>
      <c r="I92" s="337"/>
      <c r="J92" s="168"/>
      <c r="K92" s="168"/>
      <c r="M92" s="359">
        <f t="shared" si="17"/>
        <v>2.5339288781996219E-3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490">
        <f>SUM(C82:C92)</f>
        <v>113229</v>
      </c>
      <c r="D93" s="490">
        <f>SUM(D82:D92)</f>
        <v>3632</v>
      </c>
      <c r="E93" s="171">
        <f t="shared" ref="E93:F93" si="18">SUM(E82:E92)</f>
        <v>116861</v>
      </c>
      <c r="F93" s="171">
        <f t="shared" si="18"/>
        <v>117312</v>
      </c>
      <c r="G93" s="171">
        <f>SUM(G82:G92)</f>
        <v>234173</v>
      </c>
      <c r="H93" s="172">
        <f t="shared" si="16"/>
        <v>4.0912656606793121E-2</v>
      </c>
      <c r="I93" s="337"/>
      <c r="J93" s="168"/>
      <c r="K93" s="168"/>
      <c r="M93" s="364">
        <f>G93/G$228</f>
        <v>10.057249613468477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490">
        <f>'[34]Sch C'!D89</f>
        <v>66306</v>
      </c>
      <c r="D96" s="490">
        <f>'[34]Sch C'!F89</f>
        <v>-14587</v>
      </c>
      <c r="E96" s="171">
        <f t="shared" ref="E96:E101" si="19">C96+D96</f>
        <v>51719</v>
      </c>
      <c r="F96" s="490">
        <v>98388</v>
      </c>
      <c r="G96" s="171">
        <f t="shared" ref="G96:G101" si="20">E96+F96</f>
        <v>150107</v>
      </c>
      <c r="H96" s="172">
        <f t="shared" ref="H96:H102" si="21">IF($G$208=0,0,G96/$G$208)</f>
        <v>2.622538100154969E-2</v>
      </c>
      <c r="I96" s="337"/>
      <c r="J96" s="183">
        <f>7153+8337</f>
        <v>15490</v>
      </c>
      <c r="K96" s="183">
        <f>7514+8573</f>
        <v>16087</v>
      </c>
      <c r="M96" s="364">
        <f t="shared" ref="M96:M101" si="22">G96/G$228</f>
        <v>6.4467874935578076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490">
        <f>'[34]Sch C'!D90</f>
        <v>0</v>
      </c>
      <c r="D97" s="490">
        <f>'[34]Sch C'!F90</f>
        <v>7405</v>
      </c>
      <c r="E97" s="171">
        <f t="shared" si="19"/>
        <v>7405</v>
      </c>
      <c r="F97" s="490">
        <v>16674</v>
      </c>
      <c r="G97" s="171">
        <f t="shared" si="20"/>
        <v>24079</v>
      </c>
      <c r="H97" s="172">
        <f t="shared" si="21"/>
        <v>4.2068720921496997E-3</v>
      </c>
      <c r="I97" s="337"/>
      <c r="J97" s="168"/>
      <c r="K97" s="168"/>
      <c r="M97" s="364">
        <f t="shared" si="22"/>
        <v>1.0341436179350627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490">
        <f>'[34]Sch C'!D91</f>
        <v>0</v>
      </c>
      <c r="D98" s="490">
        <f>'[34]Sch C'!F91</f>
        <v>0</v>
      </c>
      <c r="E98" s="171">
        <f t="shared" si="19"/>
        <v>0</v>
      </c>
      <c r="F98" s="490">
        <v>5131</v>
      </c>
      <c r="G98" s="171">
        <f t="shared" si="20"/>
        <v>5131</v>
      </c>
      <c r="H98" s="172">
        <f t="shared" si="21"/>
        <v>8.9644340316541839E-4</v>
      </c>
      <c r="I98" s="337"/>
      <c r="J98" s="168"/>
      <c r="K98" s="168"/>
      <c r="M98" s="364">
        <f t="shared" si="22"/>
        <v>0.22036591650919085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490">
        <f>'[34]Sch C'!D92</f>
        <v>91269</v>
      </c>
      <c r="D99" s="490">
        <f>'[34]Sch C'!F92</f>
        <v>0</v>
      </c>
      <c r="E99" s="171">
        <f t="shared" si="19"/>
        <v>91269</v>
      </c>
      <c r="F99" s="490">
        <v>93908</v>
      </c>
      <c r="G99" s="171">
        <f t="shared" si="20"/>
        <v>185177</v>
      </c>
      <c r="H99" s="172">
        <f t="shared" si="21"/>
        <v>3.2352504398355617E-2</v>
      </c>
      <c r="I99" s="337"/>
      <c r="J99" s="168"/>
      <c r="K99" s="168"/>
      <c r="M99" s="364">
        <f t="shared" si="22"/>
        <v>7.9529719979384987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490">
        <f>'[34]Sch C'!D93</f>
        <v>1619</v>
      </c>
      <c r="D100" s="490">
        <f>'[34]Sch C'!F93</f>
        <v>0</v>
      </c>
      <c r="E100" s="171">
        <f t="shared" si="19"/>
        <v>1619</v>
      </c>
      <c r="F100" s="490">
        <v>10068</v>
      </c>
      <c r="G100" s="171">
        <f t="shared" si="20"/>
        <v>11687</v>
      </c>
      <c r="H100" s="172">
        <f t="shared" si="21"/>
        <v>2.041850331864012E-3</v>
      </c>
      <c r="I100" s="337"/>
      <c r="J100" s="168"/>
      <c r="K100" s="168"/>
      <c r="M100" s="364">
        <f t="shared" si="22"/>
        <v>0.50193265761896577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490">
        <f>'[34]Sch C'!D94</f>
        <v>35145</v>
      </c>
      <c r="D101" s="490">
        <f>'[34]Sch C'!F94</f>
        <v>0</v>
      </c>
      <c r="E101" s="171">
        <f t="shared" si="19"/>
        <v>35145</v>
      </c>
      <c r="F101" s="490">
        <v>438</v>
      </c>
      <c r="G101" s="171">
        <f t="shared" si="20"/>
        <v>35583</v>
      </c>
      <c r="H101" s="172">
        <f t="shared" si="21"/>
        <v>6.2167502659978722E-3</v>
      </c>
      <c r="I101" s="337"/>
      <c r="J101" s="168"/>
      <c r="K101" s="168"/>
      <c r="M101" s="364">
        <f t="shared" si="22"/>
        <v>1.5282168012369008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490">
        <f>SUM(C96:C101)</f>
        <v>194339</v>
      </c>
      <c r="D102" s="490">
        <f>SUM(D96:D101)</f>
        <v>-7182</v>
      </c>
      <c r="E102" s="171">
        <f t="shared" ref="E102:F102" si="23">SUM(E96:E101)</f>
        <v>187157</v>
      </c>
      <c r="F102" s="171">
        <f t="shared" si="23"/>
        <v>224607</v>
      </c>
      <c r="G102" s="171">
        <f>SUM(G96:G101)</f>
        <v>411764</v>
      </c>
      <c r="H102" s="172">
        <f t="shared" si="21"/>
        <v>7.1939801493082309E-2</v>
      </c>
      <c r="I102" s="337"/>
      <c r="J102" s="168"/>
      <c r="K102" s="168"/>
      <c r="M102" s="364">
        <f>G102/G$228</f>
        <v>17.684418484796428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490">
        <f>'[34]Sch C'!D98</f>
        <v>0</v>
      </c>
      <c r="D105" s="490">
        <f>'[34]Sch C'!F98</f>
        <v>14587</v>
      </c>
      <c r="E105" s="171">
        <f t="shared" ref="E105:E110" si="24">C105+D105</f>
        <v>14587</v>
      </c>
      <c r="F105" s="490">
        <v>11228</v>
      </c>
      <c r="G105" s="171">
        <f t="shared" ref="G105:G110" si="25">E105+F105</f>
        <v>25815</v>
      </c>
      <c r="H105" s="172">
        <f t="shared" ref="H105:H111" si="26">IF($G$208=0,0,G105/$G$208)</f>
        <v>4.5101708151852023E-3</v>
      </c>
      <c r="I105" s="337"/>
      <c r="J105" s="183">
        <f>2017+1291</f>
        <v>3308</v>
      </c>
      <c r="K105" s="183">
        <f>2119+1348</f>
        <v>3467</v>
      </c>
      <c r="M105" s="364">
        <f t="shared" ref="M105:M110" si="27">G105/G$228</f>
        <v>1.1087012540800549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490">
        <f>'[34]Sch C'!D99</f>
        <v>0</v>
      </c>
      <c r="D106" s="490">
        <f>'[34]Sch C'!F99</f>
        <v>2042</v>
      </c>
      <c r="E106" s="171">
        <f t="shared" si="24"/>
        <v>2042</v>
      </c>
      <c r="F106" s="490">
        <v>1135</v>
      </c>
      <c r="G106" s="171">
        <f t="shared" si="25"/>
        <v>3177</v>
      </c>
      <c r="H106" s="172">
        <f t="shared" si="26"/>
        <v>5.550576285044892E-4</v>
      </c>
      <c r="I106" s="337"/>
      <c r="J106" s="168"/>
      <c r="K106" s="168"/>
      <c r="M106" s="364">
        <f t="shared" si="27"/>
        <v>0.13644562789898643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490">
        <f>'[34]Sch C'!D100</f>
        <v>2662</v>
      </c>
      <c r="D107" s="490">
        <f>'[34]Sch C'!F100</f>
        <v>0</v>
      </c>
      <c r="E107" s="171">
        <f t="shared" si="24"/>
        <v>2662</v>
      </c>
      <c r="F107" s="490">
        <v>2402</v>
      </c>
      <c r="G107" s="171">
        <f t="shared" si="25"/>
        <v>5064</v>
      </c>
      <c r="H107" s="172">
        <f t="shared" si="26"/>
        <v>8.8473774968420937E-4</v>
      </c>
      <c r="I107" s="337"/>
      <c r="J107" s="168"/>
      <c r="K107" s="168"/>
      <c r="M107" s="364">
        <f t="shared" si="27"/>
        <v>0.21748840405428621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490">
        <f>'[34]Sch C'!D101</f>
        <v>0</v>
      </c>
      <c r="D108" s="490">
        <f>'[34]Sch C'!F101</f>
        <v>0</v>
      </c>
      <c r="E108" s="171">
        <f t="shared" si="24"/>
        <v>0</v>
      </c>
      <c r="F108" s="490">
        <v>0</v>
      </c>
      <c r="G108" s="171">
        <f t="shared" si="25"/>
        <v>0</v>
      </c>
      <c r="H108" s="172">
        <f t="shared" si="26"/>
        <v>0</v>
      </c>
      <c r="I108" s="337"/>
      <c r="J108" s="168"/>
      <c r="K108" s="168"/>
      <c r="M108" s="364">
        <f t="shared" si="27"/>
        <v>0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490">
        <f>'[34]Sch C'!D102</f>
        <v>5504</v>
      </c>
      <c r="D109" s="490">
        <f>'[34]Sch C'!F102</f>
        <v>0</v>
      </c>
      <c r="E109" s="171">
        <f t="shared" si="24"/>
        <v>5504</v>
      </c>
      <c r="F109" s="490">
        <v>8396</v>
      </c>
      <c r="G109" s="171">
        <f t="shared" si="25"/>
        <v>13900</v>
      </c>
      <c r="H109" s="172">
        <f t="shared" si="26"/>
        <v>2.4284863192358831E-3</v>
      </c>
      <c r="I109" s="337"/>
      <c r="J109" s="168"/>
      <c r="K109" s="168"/>
      <c r="M109" s="364">
        <f t="shared" si="27"/>
        <v>0.59697646452499575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490">
        <f>'[34]Sch C'!D103</f>
        <v>0</v>
      </c>
      <c r="D110" s="490">
        <f>'[34]Sch C'!F103</f>
        <v>0</v>
      </c>
      <c r="E110" s="171">
        <f t="shared" si="24"/>
        <v>0</v>
      </c>
      <c r="F110" s="490">
        <v>853</v>
      </c>
      <c r="G110" s="171">
        <f t="shared" si="25"/>
        <v>853</v>
      </c>
      <c r="H110" s="172">
        <f t="shared" si="26"/>
        <v>1.4902869282792865E-4</v>
      </c>
      <c r="I110" s="337"/>
      <c r="J110" s="168"/>
      <c r="K110" s="168"/>
      <c r="M110" s="364">
        <f t="shared" si="27"/>
        <v>3.6634598866174199E-2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490">
        <f>SUM(C105:C110)</f>
        <v>8166</v>
      </c>
      <c r="D111" s="490">
        <f>SUM(D105:D110)</f>
        <v>16629</v>
      </c>
      <c r="E111" s="171">
        <f t="shared" ref="E111:F111" si="28">SUM(E105:E110)</f>
        <v>24795</v>
      </c>
      <c r="F111" s="171">
        <f t="shared" si="28"/>
        <v>24014</v>
      </c>
      <c r="G111" s="171">
        <f>SUM(G105:G110)</f>
        <v>48809</v>
      </c>
      <c r="H111" s="172">
        <f t="shared" si="26"/>
        <v>8.5274812054377137E-3</v>
      </c>
      <c r="I111" s="337"/>
      <c r="J111" s="168"/>
      <c r="K111" s="168"/>
      <c r="M111" s="364">
        <f>G111/G$228</f>
        <v>2.0962463494244976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490">
        <f>'[34]Sch C'!D115</f>
        <v>64541</v>
      </c>
      <c r="D114" s="490">
        <f>'[34]Sch C'!F115</f>
        <v>0</v>
      </c>
      <c r="E114" s="171">
        <f t="shared" ref="E114:E118" si="29">C114+D114</f>
        <v>64541</v>
      </c>
      <c r="F114" s="490">
        <v>72094</v>
      </c>
      <c r="G114" s="171">
        <f>E114+F114</f>
        <v>136635</v>
      </c>
      <c r="H114" s="172">
        <f t="shared" ref="H114:H119" si="30">IF($G$208=0,0,G114/$G$208)</f>
        <v>2.3871671095596753E-2</v>
      </c>
      <c r="I114" s="337"/>
      <c r="J114" s="183">
        <f>9419+6658</f>
        <v>16077</v>
      </c>
      <c r="K114" s="183">
        <f>10141+7048</f>
        <v>17189</v>
      </c>
      <c r="M114" s="364">
        <f t="shared" ref="M114:M119" si="31">G114/G$228</f>
        <v>5.8681927503865312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490">
        <f>'[34]Sch C'!D116</f>
        <v>0</v>
      </c>
      <c r="D115" s="490">
        <f>'[34]Sch C'!F116</f>
        <v>9196</v>
      </c>
      <c r="E115" s="171">
        <f t="shared" si="29"/>
        <v>9196</v>
      </c>
      <c r="F115" s="490">
        <v>14073</v>
      </c>
      <c r="G115" s="171">
        <f>E115+F115</f>
        <v>23269</v>
      </c>
      <c r="H115" s="172">
        <f t="shared" si="30"/>
        <v>4.0653559828992634E-3</v>
      </c>
      <c r="I115" s="337"/>
      <c r="J115" s="168"/>
      <c r="K115" s="168"/>
      <c r="M115" s="364">
        <f t="shared" si="31"/>
        <v>0.99935578079367804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490">
        <f>'[34]Sch C'!D117</f>
        <v>12054</v>
      </c>
      <c r="D116" s="490">
        <f>'[34]Sch C'!F117</f>
        <v>0</v>
      </c>
      <c r="E116" s="171">
        <f t="shared" si="29"/>
        <v>12054</v>
      </c>
      <c r="F116" s="490">
        <v>6376</v>
      </c>
      <c r="G116" s="171">
        <f>E116+F116</f>
        <v>18430</v>
      </c>
      <c r="H116" s="172">
        <f t="shared" si="30"/>
        <v>3.2199282635623971E-3</v>
      </c>
      <c r="I116" s="337"/>
      <c r="J116" s="168"/>
      <c r="K116" s="168"/>
      <c r="M116" s="364">
        <f t="shared" si="31"/>
        <v>0.79153066483422096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490">
        <f>'[34]Sch C'!D118</f>
        <v>0</v>
      </c>
      <c r="D117" s="490">
        <f>'[34]Sch C'!F118</f>
        <v>0</v>
      </c>
      <c r="E117" s="171">
        <f t="shared" si="29"/>
        <v>0</v>
      </c>
      <c r="F117" s="490">
        <v>50</v>
      </c>
      <c r="G117" s="171">
        <f>E117+F117</f>
        <v>50</v>
      </c>
      <c r="H117" s="172">
        <f t="shared" si="30"/>
        <v>8.735562299409651E-6</v>
      </c>
      <c r="I117" s="337"/>
      <c r="J117" s="168"/>
      <c r="K117" s="168"/>
      <c r="M117" s="364">
        <f t="shared" si="31"/>
        <v>2.1473973544064596E-3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490">
        <f>'[34]Sch C'!D119</f>
        <v>0</v>
      </c>
      <c r="D118" s="490">
        <f>'[34]Sch C'!F119</f>
        <v>0</v>
      </c>
      <c r="E118" s="171">
        <f t="shared" si="29"/>
        <v>0</v>
      </c>
      <c r="F118" s="490">
        <v>459</v>
      </c>
      <c r="G118" s="171">
        <f>E118+F118</f>
        <v>459</v>
      </c>
      <c r="H118" s="172">
        <f t="shared" si="30"/>
        <v>8.0192461908580592E-5</v>
      </c>
      <c r="I118" s="337"/>
      <c r="J118" s="168"/>
      <c r="K118" s="168"/>
      <c r="M118" s="364">
        <f t="shared" si="31"/>
        <v>1.9713107713451299E-2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490">
        <f>SUM(C114:C118)</f>
        <v>76595</v>
      </c>
      <c r="D119" s="490">
        <f>SUM(D114:D118)</f>
        <v>9196</v>
      </c>
      <c r="E119" s="171">
        <f t="shared" ref="E119:F119" si="32">SUM(E114:E118)</f>
        <v>85791</v>
      </c>
      <c r="F119" s="171">
        <f t="shared" si="32"/>
        <v>93052</v>
      </c>
      <c r="G119" s="171">
        <f>SUM(G114:G118)</f>
        <v>178843</v>
      </c>
      <c r="H119" s="172">
        <f t="shared" si="30"/>
        <v>3.1245883366266405E-2</v>
      </c>
      <c r="I119" s="337"/>
      <c r="J119" s="168"/>
      <c r="K119" s="168"/>
      <c r="M119" s="364">
        <f t="shared" si="31"/>
        <v>7.6809397010822886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1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490">
        <f>'[34]Sch C'!D124</f>
        <v>21506</v>
      </c>
      <c r="D123" s="490">
        <f>'[34]Sch C'!F124</f>
        <v>0</v>
      </c>
      <c r="E123" s="171">
        <f t="shared" ref="E123:E127" si="33">C123+D123</f>
        <v>21506</v>
      </c>
      <c r="F123" s="496">
        <v>55852</v>
      </c>
      <c r="G123" s="171">
        <f>E123+F123</f>
        <v>77358</v>
      </c>
      <c r="H123" s="172">
        <f>IF($G$208=0,0,G123/$G$208)</f>
        <v>1.3515312567154636E-2</v>
      </c>
      <c r="I123" s="337"/>
      <c r="J123" s="183">
        <f>885+0</f>
        <v>885</v>
      </c>
      <c r="K123" s="183">
        <f>1040+0</f>
        <v>1040</v>
      </c>
      <c r="M123" s="364">
        <f t="shared" ref="M123:M160" si="34">G123/G$228</f>
        <v>3.3223672908434976</v>
      </c>
      <c r="N123" s="359">
        <f>SUMMARY!J126</f>
        <v>0.77002560279620991</v>
      </c>
    </row>
    <row r="124" spans="1:14" s="167" customFormat="1">
      <c r="B124" s="163" t="s">
        <v>194</v>
      </c>
      <c r="C124" s="490">
        <f>'[34]Sch C'!D125</f>
        <v>70720</v>
      </c>
      <c r="D124" s="490">
        <f>'[34]Sch C'!F125</f>
        <v>0</v>
      </c>
      <c r="E124" s="171">
        <f t="shared" si="33"/>
        <v>70720</v>
      </c>
      <c r="F124" s="496">
        <v>33280</v>
      </c>
      <c r="G124" s="171">
        <f>E124+F124</f>
        <v>104000</v>
      </c>
      <c r="H124" s="172">
        <f>IF($G$208=0,0,G124/$G$208)</f>
        <v>1.8169969582772075E-2</v>
      </c>
      <c r="I124" s="337"/>
      <c r="J124" s="183">
        <f>877+0</f>
        <v>877</v>
      </c>
      <c r="K124" s="183">
        <f>1040+0</f>
        <v>1040</v>
      </c>
      <c r="M124" s="364">
        <f t="shared" si="34"/>
        <v>4.4665864971654354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490">
        <f>'[34]Sch C'!D126</f>
        <v>0</v>
      </c>
      <c r="D125" s="490">
        <f>'[34]Sch C'!F126</f>
        <v>0</v>
      </c>
      <c r="E125" s="171">
        <f t="shared" si="33"/>
        <v>0</v>
      </c>
      <c r="F125" s="490">
        <v>0</v>
      </c>
      <c r="G125" s="171">
        <f>E125+F125</f>
        <v>0</v>
      </c>
      <c r="H125" s="172">
        <f>IF($G$208=0,0,G125/$G$208)</f>
        <v>0</v>
      </c>
      <c r="I125" s="337"/>
      <c r="J125" s="183">
        <v>0</v>
      </c>
      <c r="K125" s="183">
        <v>0</v>
      </c>
      <c r="M125" s="364">
        <f t="shared" si="34"/>
        <v>0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490">
        <f>'[34]Sch C'!D127</f>
        <v>0</v>
      </c>
      <c r="D126" s="490">
        <f>'[34]Sch C'!F127</f>
        <v>0</v>
      </c>
      <c r="E126" s="171">
        <f t="shared" si="33"/>
        <v>0</v>
      </c>
      <c r="F126" s="496">
        <v>7527</v>
      </c>
      <c r="G126" s="171">
        <f>E126+F126</f>
        <v>7527</v>
      </c>
      <c r="H126" s="172">
        <f>IF($G$208=0,0,G126/$G$208)</f>
        <v>1.3150515485531287E-3</v>
      </c>
      <c r="I126" s="337"/>
      <c r="J126" s="183">
        <v>0</v>
      </c>
      <c r="K126" s="183">
        <v>0</v>
      </c>
      <c r="M126" s="364">
        <f t="shared" si="34"/>
        <v>0.32326919773234841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490">
        <f>'[34]Sch C'!D128</f>
        <v>17218</v>
      </c>
      <c r="D127" s="490">
        <f>'[34]Sch C'!F128</f>
        <v>0</v>
      </c>
      <c r="E127" s="171">
        <f t="shared" si="33"/>
        <v>17218</v>
      </c>
      <c r="F127" s="496">
        <f>129640+1473-96659</f>
        <v>34454</v>
      </c>
      <c r="G127" s="171">
        <f>E127+F127</f>
        <v>51672</v>
      </c>
      <c r="H127" s="172">
        <f>IF($G$208=0,0,G127/$G$208)</f>
        <v>9.0276795027019099E-3</v>
      </c>
      <c r="I127" s="337"/>
      <c r="J127" s="183">
        <f>1278+4481</f>
        <v>5759</v>
      </c>
      <c r="K127" s="183">
        <f>1395+4616</f>
        <v>6011</v>
      </c>
      <c r="M127" s="364">
        <f t="shared" si="34"/>
        <v>2.2192063219378113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580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490">
        <f>'[34]Sch C'!D130</f>
        <v>0</v>
      </c>
      <c r="D129" s="490">
        <f>'[34]Sch C'!F130</f>
        <v>8487</v>
      </c>
      <c r="E129" s="171">
        <f t="shared" ref="E129:E133" si="35">C129+D129</f>
        <v>8487</v>
      </c>
      <c r="F129" s="496">
        <v>15386</v>
      </c>
      <c r="G129" s="171">
        <f>E129+F129</f>
        <v>23873</v>
      </c>
      <c r="H129" s="172">
        <f>IF($G$208=0,0,G129/$G$208)</f>
        <v>4.1708815754761316E-3</v>
      </c>
      <c r="I129" s="337"/>
      <c r="J129" s="204"/>
      <c r="K129" s="204"/>
      <c r="M129" s="364">
        <f t="shared" si="34"/>
        <v>1.0252963408349081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490">
        <f>'[34]Sch C'!D131</f>
        <v>0</v>
      </c>
      <c r="D130" s="490">
        <f>'[34]Sch C'!F131</f>
        <v>0</v>
      </c>
      <c r="E130" s="171">
        <f t="shared" si="35"/>
        <v>0</v>
      </c>
      <c r="F130" s="496">
        <v>9168</v>
      </c>
      <c r="G130" s="171">
        <f>E130+F130</f>
        <v>9168</v>
      </c>
      <c r="H130" s="172">
        <f>IF($G$208=0,0,G130/$G$208)</f>
        <v>1.6017527032197536E-3</v>
      </c>
      <c r="I130" s="337"/>
      <c r="J130" s="204"/>
      <c r="K130" s="204"/>
      <c r="M130" s="364">
        <f t="shared" si="34"/>
        <v>0.39374677890396836</v>
      </c>
      <c r="N130" s="359">
        <f>SUMMARY!J133</f>
        <v>1.0792348507966931</v>
      </c>
    </row>
    <row r="131" spans="1:14" s="167" customFormat="1">
      <c r="B131" s="163" t="s">
        <v>195</v>
      </c>
      <c r="C131" s="490">
        <f>'[34]Sch C'!D132</f>
        <v>0</v>
      </c>
      <c r="D131" s="490">
        <f>'[34]Sch C'!F132</f>
        <v>0</v>
      </c>
      <c r="E131" s="171">
        <f t="shared" si="35"/>
        <v>0</v>
      </c>
      <c r="F131" s="490">
        <v>0</v>
      </c>
      <c r="G131" s="171">
        <f>E131+F131</f>
        <v>0</v>
      </c>
      <c r="H131" s="172">
        <f>IF($G$208=0,0,G131/$G$208)</f>
        <v>0</v>
      </c>
      <c r="I131" s="337"/>
      <c r="J131" s="168"/>
      <c r="K131" s="168"/>
      <c r="M131" s="364">
        <f t="shared" si="34"/>
        <v>0</v>
      </c>
      <c r="N131" s="359">
        <f>SUMMARY!J134</f>
        <v>8.2765628075518377E-2</v>
      </c>
    </row>
    <row r="132" spans="1:14" s="167" customFormat="1">
      <c r="B132" s="163" t="s">
        <v>196</v>
      </c>
      <c r="C132" s="490">
        <f>'[34]Sch C'!D133</f>
        <v>0</v>
      </c>
      <c r="D132" s="490">
        <f>'[34]Sch C'!F133</f>
        <v>0</v>
      </c>
      <c r="E132" s="171">
        <f t="shared" si="35"/>
        <v>0</v>
      </c>
      <c r="F132" s="496">
        <v>2074</v>
      </c>
      <c r="G132" s="171">
        <f>E132+F132</f>
        <v>2074</v>
      </c>
      <c r="H132" s="172">
        <f>IF($G$208=0,0,G132/$G$208)</f>
        <v>3.6235112417951234E-4</v>
      </c>
      <c r="I132" s="337"/>
      <c r="J132" s="168"/>
      <c r="K132" s="168"/>
      <c r="M132" s="364">
        <f t="shared" si="34"/>
        <v>8.9074042260779931E-2</v>
      </c>
      <c r="N132" s="359">
        <f>SUMMARY!J135</f>
        <v>2.4827298902786038E-2</v>
      </c>
    </row>
    <row r="133" spans="1:14" s="167" customFormat="1">
      <c r="B133" s="163" t="s">
        <v>197</v>
      </c>
      <c r="C133" s="490">
        <f>'[34]Sch C'!D134</f>
        <v>0</v>
      </c>
      <c r="D133" s="490">
        <f>'[34]Sch C'!F134</f>
        <v>0</v>
      </c>
      <c r="E133" s="171">
        <f t="shared" si="35"/>
        <v>0</v>
      </c>
      <c r="F133" s="496">
        <f>35714+818-26628</f>
        <v>9904</v>
      </c>
      <c r="G133" s="171">
        <f>E133+F133</f>
        <v>9904</v>
      </c>
      <c r="H133" s="172">
        <f>IF($G$208=0,0,G133/$G$208)</f>
        <v>1.7303401802670636E-3</v>
      </c>
      <c r="I133" s="337"/>
      <c r="J133" s="168"/>
      <c r="K133" s="168"/>
      <c r="M133" s="364">
        <f t="shared" si="34"/>
        <v>0.42535646796083149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490">
        <f>'[34]Sch C'!D136</f>
        <v>53573</v>
      </c>
      <c r="D135" s="490">
        <f>'[34]Sch C'!F136</f>
        <v>0</v>
      </c>
      <c r="E135" s="171">
        <f t="shared" ref="E135:E138" si="36">C135+D135</f>
        <v>53573</v>
      </c>
      <c r="F135" s="490">
        <v>135391</v>
      </c>
      <c r="G135" s="171">
        <f>E135+F135</f>
        <v>188964</v>
      </c>
      <c r="H135" s="172">
        <f>IF($G$208=0,0,G135/$G$208)</f>
        <v>3.3014135886912904E-2</v>
      </c>
      <c r="I135" s="337"/>
      <c r="J135" s="183">
        <f>7869+8619</f>
        <v>16488</v>
      </c>
      <c r="K135" s="183">
        <f>8265+9025</f>
        <v>17290</v>
      </c>
      <c r="M135" s="364">
        <f t="shared" si="34"/>
        <v>8.1156158735612429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490">
        <f>'[34]Sch C'!D137</f>
        <v>115431</v>
      </c>
      <c r="D136" s="490">
        <f>'[34]Sch C'!F137</f>
        <v>0</v>
      </c>
      <c r="E136" s="171">
        <f t="shared" si="36"/>
        <v>115431</v>
      </c>
      <c r="F136" s="490">
        <v>149691</v>
      </c>
      <c r="G136" s="171">
        <f>E136+F136</f>
        <v>265122</v>
      </c>
      <c r="H136" s="172">
        <f>IF($G$208=0,0,G136/$G$208)</f>
        <v>4.6319794958881708E-2</v>
      </c>
      <c r="I136" s="337"/>
      <c r="J136" s="183">
        <f>7901+6131</f>
        <v>14032</v>
      </c>
      <c r="K136" s="183">
        <f>8275+6347</f>
        <v>14622</v>
      </c>
      <c r="M136" s="364">
        <f t="shared" si="34"/>
        <v>11.386445627898986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490">
        <f>'[34]Sch C'!D138</f>
        <v>161933</v>
      </c>
      <c r="D137" s="490">
        <f>'[34]Sch C'!F138</f>
        <v>0</v>
      </c>
      <c r="E137" s="171">
        <f t="shared" si="36"/>
        <v>161933</v>
      </c>
      <c r="F137" s="490">
        <v>305038</v>
      </c>
      <c r="G137" s="171">
        <f>E137+F137</f>
        <v>466971</v>
      </c>
      <c r="H137" s="172">
        <f>IF($G$208=0,0,G137/$G$208)</f>
        <v>8.1585085250352476E-2</v>
      </c>
      <c r="I137" s="337"/>
      <c r="J137" s="183">
        <f>24555+24090</f>
        <v>48645</v>
      </c>
      <c r="K137" s="183">
        <f>25865+25006</f>
        <v>50871</v>
      </c>
      <c r="M137" s="364">
        <f t="shared" si="34"/>
        <v>20.055445799690776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490">
        <f>'[34]Sch C'!D139</f>
        <v>22808</v>
      </c>
      <c r="D138" s="490">
        <f>'[34]Sch C'!F139</f>
        <v>0</v>
      </c>
      <c r="E138" s="171">
        <f t="shared" si="36"/>
        <v>22808</v>
      </c>
      <c r="F138" s="490">
        <v>0</v>
      </c>
      <c r="G138" s="171">
        <f>E138+F138</f>
        <v>22808</v>
      </c>
      <c r="H138" s="172">
        <f>IF($G$208=0,0,G138/$G$208)</f>
        <v>3.9848140984987063E-3</v>
      </c>
      <c r="I138" s="337"/>
      <c r="J138" s="183">
        <v>0</v>
      </c>
      <c r="K138" s="183">
        <v>0</v>
      </c>
      <c r="M138" s="364">
        <f t="shared" si="34"/>
        <v>0.9795567771860505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7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490">
        <f>'[34]Sch C'!D141</f>
        <v>0</v>
      </c>
      <c r="D140" s="490">
        <f>'[34]Sch C'!F141</f>
        <v>50401</v>
      </c>
      <c r="E140" s="171">
        <f t="shared" ref="E140:E143" si="37">C140+D140</f>
        <v>50401</v>
      </c>
      <c r="F140" s="490">
        <v>25433</v>
      </c>
      <c r="G140" s="171">
        <f>E140+F140</f>
        <v>75834</v>
      </c>
      <c r="H140" s="172">
        <f>IF($G$208=0,0,G140/$G$208)</f>
        <v>1.3249052628268629E-2</v>
      </c>
      <c r="I140" s="337"/>
      <c r="J140" s="168"/>
      <c r="K140" s="168"/>
      <c r="M140" s="364">
        <f t="shared" si="34"/>
        <v>3.2569146194811887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490">
        <f>'[34]Sch C'!D142</f>
        <v>0</v>
      </c>
      <c r="D141" s="490">
        <f>'[34]Sch C'!F142</f>
        <v>0</v>
      </c>
      <c r="E141" s="171">
        <f t="shared" si="37"/>
        <v>0</v>
      </c>
      <c r="F141" s="490">
        <v>28064</v>
      </c>
      <c r="G141" s="171">
        <f>E141+F141</f>
        <v>28064</v>
      </c>
      <c r="H141" s="172">
        <f>IF($G$208=0,0,G141/$G$208)</f>
        <v>4.9030964074126488E-3</v>
      </c>
      <c r="I141" s="337"/>
      <c r="J141" s="168"/>
      <c r="K141" s="168"/>
      <c r="M141" s="364">
        <f t="shared" si="34"/>
        <v>1.2052911870812575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490">
        <f>'[34]Sch C'!D143</f>
        <v>0</v>
      </c>
      <c r="D142" s="490">
        <f>'[34]Sch C'!F143</f>
        <v>0</v>
      </c>
      <c r="E142" s="171">
        <f t="shared" si="37"/>
        <v>0</v>
      </c>
      <c r="F142" s="490">
        <v>57303</v>
      </c>
      <c r="G142" s="171">
        <f>E142+F142</f>
        <v>57303</v>
      </c>
      <c r="H142" s="172">
        <f>IF($G$208=0,0,G142/$G$208)</f>
        <v>1.0011478528861424E-2</v>
      </c>
      <c r="I142" s="337"/>
      <c r="J142" s="168"/>
      <c r="K142" s="168"/>
      <c r="M142" s="364">
        <f t="shared" si="34"/>
        <v>2.461046211991067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490">
        <f>'[34]Sch C'!D144</f>
        <v>0</v>
      </c>
      <c r="D143" s="490">
        <f>'[34]Sch C'!F144</f>
        <v>0</v>
      </c>
      <c r="E143" s="171">
        <f t="shared" si="37"/>
        <v>0</v>
      </c>
      <c r="F143" s="490">
        <v>0</v>
      </c>
      <c r="G143" s="171">
        <f>E143+F143</f>
        <v>0</v>
      </c>
      <c r="H143" s="172">
        <f>IF($G$208=0,0,G143/$G$208)</f>
        <v>0</v>
      </c>
      <c r="I143" s="337"/>
      <c r="J143" s="168"/>
      <c r="K143" s="168"/>
      <c r="M143" s="364">
        <f t="shared" si="34"/>
        <v>0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7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490">
        <f>'[34]Sch C'!D146</f>
        <v>0</v>
      </c>
      <c r="D145" s="490">
        <f>'[34]Sch C'!F146</f>
        <v>0</v>
      </c>
      <c r="E145" s="171">
        <f t="shared" ref="E145:E153" si="38">C145+D145</f>
        <v>0</v>
      </c>
      <c r="F145" s="490">
        <v>25597</v>
      </c>
      <c r="G145" s="171">
        <f t="shared" ref="G145:G153" si="39">E145+F145</f>
        <v>25597</v>
      </c>
      <c r="H145" s="172">
        <f t="shared" ref="H145:H153" si="40">IF($G$208=0,0,G145/$G$208)</f>
        <v>4.472083763559777E-3</v>
      </c>
      <c r="I145" s="337"/>
      <c r="J145" s="183">
        <v>0</v>
      </c>
      <c r="K145" s="183">
        <v>0</v>
      </c>
      <c r="M145" s="364">
        <f t="shared" si="34"/>
        <v>1.0993386016148428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490">
        <f>'[34]Sch C'!D147</f>
        <v>0</v>
      </c>
      <c r="D146" s="490">
        <f>'[34]Sch C'!F147</f>
        <v>0</v>
      </c>
      <c r="E146" s="171">
        <f t="shared" si="38"/>
        <v>0</v>
      </c>
      <c r="F146" s="490">
        <v>0</v>
      </c>
      <c r="G146" s="171">
        <f t="shared" si="39"/>
        <v>0</v>
      </c>
      <c r="H146" s="172">
        <f t="shared" si="40"/>
        <v>0</v>
      </c>
      <c r="I146" s="337"/>
      <c r="J146" s="183">
        <v>0</v>
      </c>
      <c r="K146" s="183">
        <v>0</v>
      </c>
      <c r="M146" s="364">
        <f t="shared" si="34"/>
        <v>0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490">
        <f>'[34]Sch C'!D148</f>
        <v>0</v>
      </c>
      <c r="D147" s="490">
        <f>'[34]Sch C'!F148</f>
        <v>0</v>
      </c>
      <c r="E147" s="171">
        <f t="shared" si="38"/>
        <v>0</v>
      </c>
      <c r="F147" s="490">
        <v>0</v>
      </c>
      <c r="G147" s="171">
        <f t="shared" si="39"/>
        <v>0</v>
      </c>
      <c r="H147" s="172">
        <f t="shared" si="40"/>
        <v>0</v>
      </c>
      <c r="I147" s="337"/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490">
        <f>'[34]Sch C'!D149</f>
        <v>0</v>
      </c>
      <c r="D148" s="490">
        <f>'[34]Sch C'!F149</f>
        <v>0</v>
      </c>
      <c r="E148" s="171">
        <f t="shared" si="38"/>
        <v>0</v>
      </c>
      <c r="F148" s="490">
        <v>0</v>
      </c>
      <c r="G148" s="171">
        <f t="shared" si="39"/>
        <v>0</v>
      </c>
      <c r="H148" s="172">
        <f t="shared" si="40"/>
        <v>0</v>
      </c>
      <c r="I148" s="337"/>
      <c r="J148" s="183">
        <v>0</v>
      </c>
      <c r="K148" s="183">
        <v>0</v>
      </c>
      <c r="M148" s="364">
        <f t="shared" si="34"/>
        <v>0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490">
        <f>'[34]Sch C'!D150</f>
        <v>0</v>
      </c>
      <c r="D149" s="490">
        <f>'[34]Sch C'!F150</f>
        <v>0</v>
      </c>
      <c r="E149" s="171">
        <f t="shared" si="38"/>
        <v>0</v>
      </c>
      <c r="F149" s="496">
        <f>350+4797</f>
        <v>5147</v>
      </c>
      <c r="G149" s="171">
        <f t="shared" si="39"/>
        <v>5147</v>
      </c>
      <c r="H149" s="172">
        <f t="shared" si="40"/>
        <v>8.9923878310122949E-4</v>
      </c>
      <c r="I149" s="337"/>
      <c r="J149" s="183">
        <v>0</v>
      </c>
      <c r="K149" s="183">
        <v>0</v>
      </c>
      <c r="M149" s="364">
        <f t="shared" si="34"/>
        <v>0.22105308366260093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490">
        <f>'[34]Sch C'!D151</f>
        <v>20519</v>
      </c>
      <c r="D150" s="490">
        <f>'[34]Sch C'!F151</f>
        <v>0</v>
      </c>
      <c r="E150" s="171">
        <f t="shared" si="38"/>
        <v>20519</v>
      </c>
      <c r="F150" s="490">
        <v>65902</v>
      </c>
      <c r="G150" s="171">
        <f t="shared" si="39"/>
        <v>86421</v>
      </c>
      <c r="H150" s="172">
        <f t="shared" si="40"/>
        <v>1.5098720589545629E-2</v>
      </c>
      <c r="I150" s="337"/>
      <c r="J150" s="168"/>
      <c r="K150" s="168"/>
      <c r="M150" s="364">
        <f t="shared" si="34"/>
        <v>3.7116045353032123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490">
        <f>'[34]Sch C'!D152</f>
        <v>40484</v>
      </c>
      <c r="D151" s="490">
        <f>'[34]Sch C'!F152</f>
        <v>0</v>
      </c>
      <c r="E151" s="171">
        <f t="shared" si="38"/>
        <v>40484</v>
      </c>
      <c r="F151" s="490">
        <v>522</v>
      </c>
      <c r="G151" s="171">
        <f t="shared" si="39"/>
        <v>41006</v>
      </c>
      <c r="H151" s="172">
        <f t="shared" si="40"/>
        <v>7.1642093529918427E-3</v>
      </c>
      <c r="I151" s="337"/>
      <c r="J151" s="168"/>
      <c r="K151" s="168"/>
      <c r="M151" s="364">
        <f t="shared" si="34"/>
        <v>1.7611235182958254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490">
        <f>'[34]Sch C'!D153</f>
        <v>6003</v>
      </c>
      <c r="D152" s="490">
        <f>'[34]Sch C'!F153</f>
        <v>0</v>
      </c>
      <c r="E152" s="171">
        <f t="shared" si="38"/>
        <v>6003</v>
      </c>
      <c r="F152" s="490">
        <v>0</v>
      </c>
      <c r="G152" s="171">
        <f t="shared" si="39"/>
        <v>6003</v>
      </c>
      <c r="H152" s="172">
        <f t="shared" si="40"/>
        <v>1.0487916096671226E-3</v>
      </c>
      <c r="I152" s="337"/>
      <c r="J152" s="168"/>
      <c r="K152" s="168"/>
      <c r="M152" s="364">
        <f t="shared" si="34"/>
        <v>0.25781652637003949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490">
        <f>'[34]Sch C'!D154</f>
        <v>0</v>
      </c>
      <c r="D153" s="490">
        <f>'[34]Sch C'!F154</f>
        <v>0</v>
      </c>
      <c r="E153" s="171">
        <f t="shared" si="38"/>
        <v>0</v>
      </c>
      <c r="F153" s="490">
        <v>0</v>
      </c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572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490">
        <f>'[34]Sch C'!D156</f>
        <v>0</v>
      </c>
      <c r="D155" s="490">
        <f>'[34]Sch C'!F156</f>
        <v>0</v>
      </c>
      <c r="E155" s="171">
        <f t="shared" ref="E155:E160" si="41">C155+D155</f>
        <v>0</v>
      </c>
      <c r="F155" s="490">
        <v>0</v>
      </c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490">
        <f>'[34]Sch C'!D157</f>
        <v>0</v>
      </c>
      <c r="D156" s="490">
        <f>'[34]Sch C'!F157</f>
        <v>0</v>
      </c>
      <c r="E156" s="171">
        <f t="shared" si="41"/>
        <v>0</v>
      </c>
      <c r="F156" s="490">
        <v>97</v>
      </c>
      <c r="G156" s="171">
        <f t="shared" si="42"/>
        <v>97</v>
      </c>
      <c r="H156" s="172">
        <f t="shared" si="43"/>
        <v>1.6946990860854724E-5</v>
      </c>
      <c r="I156" s="337"/>
      <c r="J156" s="168"/>
      <c r="K156" s="168"/>
      <c r="M156" s="364">
        <f t="shared" si="34"/>
        <v>4.1659508675485311E-3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490">
        <f>'[34]Sch C'!D158</f>
        <v>0</v>
      </c>
      <c r="D157" s="490">
        <f>'[34]Sch C'!F158</f>
        <v>0</v>
      </c>
      <c r="E157" s="171">
        <f t="shared" si="41"/>
        <v>0</v>
      </c>
      <c r="F157" s="490">
        <v>0</v>
      </c>
      <c r="G157" s="171">
        <f t="shared" si="42"/>
        <v>0</v>
      </c>
      <c r="H157" s="172">
        <f t="shared" si="43"/>
        <v>0</v>
      </c>
      <c r="I157" s="337"/>
      <c r="J157" s="168"/>
      <c r="K157" s="168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490">
        <f>'[34]Sch C'!D159</f>
        <v>0</v>
      </c>
      <c r="D158" s="490">
        <f>'[34]Sch C'!F159</f>
        <v>0</v>
      </c>
      <c r="E158" s="171">
        <f t="shared" si="41"/>
        <v>0</v>
      </c>
      <c r="F158" s="490">
        <v>0</v>
      </c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490">
        <f>'[34]Sch C'!D160</f>
        <v>0</v>
      </c>
      <c r="D159" s="490">
        <f>'[34]Sch C'!F160</f>
        <v>0</v>
      </c>
      <c r="E159" s="171">
        <f t="shared" si="41"/>
        <v>0</v>
      </c>
      <c r="F159" s="490">
        <v>0</v>
      </c>
      <c r="G159" s="171">
        <f t="shared" si="42"/>
        <v>0</v>
      </c>
      <c r="H159" s="172">
        <f>IF($G$208=0,0,G159/$G$208)</f>
        <v>0</v>
      </c>
      <c r="I159" s="337"/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490">
        <f>'[34]Sch C'!D161</f>
        <v>0</v>
      </c>
      <c r="D160" s="490">
        <f>'[34]Sch C'!F161</f>
        <v>0</v>
      </c>
      <c r="E160" s="171">
        <f t="shared" si="41"/>
        <v>0</v>
      </c>
      <c r="F160" s="496">
        <f>40405-38778</f>
        <v>1627</v>
      </c>
      <c r="G160" s="171">
        <f t="shared" si="42"/>
        <v>1627</v>
      </c>
      <c r="H160" s="172">
        <f t="shared" si="43"/>
        <v>2.8425519722279004E-4</v>
      </c>
      <c r="I160" s="337"/>
      <c r="J160" s="168"/>
      <c r="K160" s="168"/>
      <c r="M160" s="364">
        <f t="shared" si="34"/>
        <v>6.9876309912386192E-2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490">
        <f>SUM(C123:C160)</f>
        <v>530195</v>
      </c>
      <c r="D161" s="490">
        <f>SUM(D123:D160)</f>
        <v>58888</v>
      </c>
      <c r="E161" s="171">
        <f t="shared" ref="E161:F161" si="44">SUM(E123:E160)</f>
        <v>589083</v>
      </c>
      <c r="F161" s="171">
        <f t="shared" si="44"/>
        <v>967457</v>
      </c>
      <c r="G161" s="171">
        <f>SUM(G123:G160)</f>
        <v>1556540</v>
      </c>
      <c r="H161" s="172">
        <f t="shared" si="43"/>
        <v>0.27194504283046195</v>
      </c>
      <c r="I161" s="337"/>
      <c r="J161" s="168"/>
      <c r="K161" s="168"/>
      <c r="M161" s="364">
        <f>G161/G$228</f>
        <v>66.850197560556609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337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7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490">
        <f>'[34]Sch C'!D175</f>
        <v>0</v>
      </c>
      <c r="D164" s="490">
        <f>'[34]Sch C'!F175</f>
        <v>0</v>
      </c>
      <c r="E164" s="171">
        <f t="shared" ref="E164:E196" si="45">C164+D164</f>
        <v>0</v>
      </c>
      <c r="F164" s="490">
        <v>0</v>
      </c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490">
        <f>'[34]Sch C'!D176</f>
        <v>0</v>
      </c>
      <c r="D165" s="490">
        <f>'[34]Sch C'!F176</f>
        <v>0</v>
      </c>
      <c r="E165" s="171">
        <f t="shared" si="45"/>
        <v>0</v>
      </c>
      <c r="F165" s="490">
        <v>0</v>
      </c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490">
        <f>'[34]Sch C'!D177</f>
        <v>0</v>
      </c>
      <c r="D166" s="490">
        <f>'[34]Sch C'!F177</f>
        <v>0</v>
      </c>
      <c r="E166" s="171">
        <f t="shared" si="45"/>
        <v>0</v>
      </c>
      <c r="F166" s="490">
        <v>0</v>
      </c>
      <c r="G166" s="171">
        <f t="shared" si="46"/>
        <v>0</v>
      </c>
      <c r="H166" s="172">
        <f t="shared" si="47"/>
        <v>0</v>
      </c>
      <c r="I166" s="343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490">
        <f>'[34]Sch C'!D178</f>
        <v>0</v>
      </c>
      <c r="D167" s="490">
        <f>'[34]Sch C'!F178</f>
        <v>0</v>
      </c>
      <c r="E167" s="171">
        <f t="shared" si="45"/>
        <v>0</v>
      </c>
      <c r="F167" s="490">
        <v>0</v>
      </c>
      <c r="G167" s="171">
        <f t="shared" si="46"/>
        <v>0</v>
      </c>
      <c r="H167" s="172">
        <f t="shared" si="47"/>
        <v>0</v>
      </c>
      <c r="I167" s="344"/>
      <c r="J167" s="222"/>
      <c r="K167" s="222"/>
      <c r="L167" s="218"/>
      <c r="M167" s="364">
        <f t="shared" si="48"/>
        <v>0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490">
        <f>'[34]Sch C'!D179</f>
        <v>0</v>
      </c>
      <c r="D168" s="490">
        <f>'[34]Sch C'!F179</f>
        <v>0</v>
      </c>
      <c r="E168" s="171">
        <f t="shared" si="45"/>
        <v>0</v>
      </c>
      <c r="F168" s="490">
        <v>0</v>
      </c>
      <c r="G168" s="171">
        <f t="shared" si="46"/>
        <v>0</v>
      </c>
      <c r="H168" s="172">
        <f t="shared" si="47"/>
        <v>0</v>
      </c>
      <c r="I168" s="343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490">
        <f>'[34]Sch C'!D180</f>
        <v>0</v>
      </c>
      <c r="D169" s="490">
        <f>'[34]Sch C'!F180</f>
        <v>0</v>
      </c>
      <c r="E169" s="171">
        <f t="shared" si="45"/>
        <v>0</v>
      </c>
      <c r="F169" s="490">
        <v>0</v>
      </c>
      <c r="G169" s="171">
        <f t="shared" si="46"/>
        <v>0</v>
      </c>
      <c r="H169" s="172">
        <f t="shared" si="47"/>
        <v>0</v>
      </c>
      <c r="I169" s="344"/>
      <c r="J169" s="222"/>
      <c r="K169" s="222"/>
      <c r="L169" s="218"/>
      <c r="M169" s="364">
        <f t="shared" si="48"/>
        <v>0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490">
        <f>'[34]Sch C'!D181</f>
        <v>0</v>
      </c>
      <c r="D170" s="490">
        <f>'[34]Sch C'!F181</f>
        <v>0</v>
      </c>
      <c r="E170" s="171">
        <f t="shared" si="45"/>
        <v>0</v>
      </c>
      <c r="F170" s="490">
        <v>0</v>
      </c>
      <c r="G170" s="171">
        <f t="shared" si="46"/>
        <v>0</v>
      </c>
      <c r="H170" s="172">
        <f t="shared" si="47"/>
        <v>0</v>
      </c>
      <c r="I170" s="343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490">
        <f>'[34]Sch C'!D182</f>
        <v>0</v>
      </c>
      <c r="D171" s="490">
        <f>'[34]Sch C'!F182</f>
        <v>0</v>
      </c>
      <c r="E171" s="171">
        <f t="shared" si="45"/>
        <v>0</v>
      </c>
      <c r="F171" s="490">
        <v>0</v>
      </c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490">
        <f>'[34]Sch C'!D183</f>
        <v>0</v>
      </c>
      <c r="D172" s="490">
        <f>'[34]Sch C'!F183</f>
        <v>0</v>
      </c>
      <c r="E172" s="171">
        <f t="shared" si="45"/>
        <v>0</v>
      </c>
      <c r="F172" s="490">
        <v>0</v>
      </c>
      <c r="G172" s="171">
        <f t="shared" si="46"/>
        <v>0</v>
      </c>
      <c r="H172" s="172">
        <f t="shared" si="47"/>
        <v>0</v>
      </c>
      <c r="I172" s="343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490">
        <f>'[34]Sch C'!D184</f>
        <v>0</v>
      </c>
      <c r="D173" s="490">
        <f>'[34]Sch C'!F184</f>
        <v>0</v>
      </c>
      <c r="E173" s="171">
        <f t="shared" si="45"/>
        <v>0</v>
      </c>
      <c r="F173" s="490">
        <v>0</v>
      </c>
      <c r="G173" s="171">
        <f t="shared" si="46"/>
        <v>0</v>
      </c>
      <c r="H173" s="172">
        <f t="shared" si="47"/>
        <v>0</v>
      </c>
      <c r="I173" s="344"/>
      <c r="J173" s="222"/>
      <c r="K173" s="222"/>
      <c r="L173" s="218"/>
      <c r="M173" s="364">
        <f t="shared" si="48"/>
        <v>0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490">
        <f>'[34]Sch C'!D185</f>
        <v>0</v>
      </c>
      <c r="D174" s="490">
        <f>'[34]Sch C'!F185</f>
        <v>0</v>
      </c>
      <c r="E174" s="171">
        <f t="shared" si="45"/>
        <v>0</v>
      </c>
      <c r="F174" s="490">
        <v>0</v>
      </c>
      <c r="G174" s="171">
        <f t="shared" si="46"/>
        <v>0</v>
      </c>
      <c r="H174" s="172">
        <f t="shared" si="47"/>
        <v>0</v>
      </c>
      <c r="I174" s="343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490">
        <f>'[34]Sch C'!D186</f>
        <v>0</v>
      </c>
      <c r="D175" s="490">
        <f>'[34]Sch C'!F186</f>
        <v>0</v>
      </c>
      <c r="E175" s="171">
        <f t="shared" si="45"/>
        <v>0</v>
      </c>
      <c r="F175" s="490">
        <v>0</v>
      </c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490">
        <f>'[34]Sch C'!D187</f>
        <v>0</v>
      </c>
      <c r="D176" s="490">
        <f>'[34]Sch C'!F187</f>
        <v>0</v>
      </c>
      <c r="E176" s="171">
        <f t="shared" si="45"/>
        <v>0</v>
      </c>
      <c r="F176" s="490">
        <v>0</v>
      </c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490">
        <f>'[34]Sch C'!D188</f>
        <v>0</v>
      </c>
      <c r="D177" s="490">
        <f>'[34]Sch C'!F188</f>
        <v>0</v>
      </c>
      <c r="E177" s="171">
        <f t="shared" si="45"/>
        <v>0</v>
      </c>
      <c r="F177" s="490">
        <v>0</v>
      </c>
      <c r="G177" s="171">
        <f t="shared" si="46"/>
        <v>0</v>
      </c>
      <c r="H177" s="172">
        <f t="shared" si="47"/>
        <v>0</v>
      </c>
      <c r="I177" s="337"/>
      <c r="J177" s="223"/>
      <c r="K177" s="218"/>
      <c r="L177" s="220"/>
      <c r="M177" s="364">
        <f t="shared" si="48"/>
        <v>0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490">
        <f>'[34]Sch C'!D189</f>
        <v>0</v>
      </c>
      <c r="D178" s="490">
        <f>'[34]Sch C'!F189</f>
        <v>0</v>
      </c>
      <c r="E178" s="171">
        <f t="shared" si="45"/>
        <v>0</v>
      </c>
      <c r="F178" s="490">
        <v>0</v>
      </c>
      <c r="G178" s="171">
        <f t="shared" si="46"/>
        <v>0</v>
      </c>
      <c r="H178" s="172">
        <f t="shared" si="47"/>
        <v>0</v>
      </c>
      <c r="I178" s="337"/>
      <c r="J178" s="223"/>
      <c r="K178" s="218"/>
      <c r="L178" s="220"/>
      <c r="M178" s="364">
        <f t="shared" si="48"/>
        <v>0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490">
        <f>'[34]Sch C'!D190</f>
        <v>0</v>
      </c>
      <c r="D179" s="490">
        <f>'[34]Sch C'!F190</f>
        <v>0</v>
      </c>
      <c r="E179" s="171">
        <f t="shared" si="45"/>
        <v>0</v>
      </c>
      <c r="F179" s="490">
        <v>0</v>
      </c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490">
        <f>'[34]Sch C'!D191</f>
        <v>0</v>
      </c>
      <c r="D180" s="490">
        <f>'[34]Sch C'!F191</f>
        <v>0</v>
      </c>
      <c r="E180" s="171">
        <f t="shared" si="45"/>
        <v>0</v>
      </c>
      <c r="F180" s="490">
        <v>0</v>
      </c>
      <c r="G180" s="171">
        <f t="shared" si="46"/>
        <v>0</v>
      </c>
      <c r="H180" s="172">
        <f t="shared" si="47"/>
        <v>0</v>
      </c>
      <c r="I180" s="337"/>
      <c r="J180" s="223"/>
      <c r="K180" s="218"/>
      <c r="L180" s="220"/>
      <c r="M180" s="364">
        <f t="shared" si="48"/>
        <v>0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490">
        <f>'[34]Sch C'!D192</f>
        <v>0</v>
      </c>
      <c r="D181" s="490">
        <f>'[34]Sch C'!F192</f>
        <v>0</v>
      </c>
      <c r="E181" s="171">
        <f t="shared" si="45"/>
        <v>0</v>
      </c>
      <c r="F181" s="490">
        <v>0</v>
      </c>
      <c r="G181" s="171">
        <f t="shared" si="46"/>
        <v>0</v>
      </c>
      <c r="H181" s="172">
        <f t="shared" si="47"/>
        <v>0</v>
      </c>
      <c r="I181" s="337"/>
      <c r="J181" s="223"/>
      <c r="K181" s="218"/>
      <c r="L181" s="220"/>
      <c r="M181" s="364">
        <f t="shared" si="48"/>
        <v>0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490">
        <f>'[34]Sch C'!D193</f>
        <v>0</v>
      </c>
      <c r="D182" s="490">
        <f>'[34]Sch C'!F193</f>
        <v>0</v>
      </c>
      <c r="E182" s="171">
        <f t="shared" si="45"/>
        <v>0</v>
      </c>
      <c r="F182" s="490">
        <v>0</v>
      </c>
      <c r="G182" s="171">
        <f t="shared" si="46"/>
        <v>0</v>
      </c>
      <c r="H182" s="172">
        <f t="shared" si="47"/>
        <v>0</v>
      </c>
      <c r="I182" s="337"/>
      <c r="J182" s="223"/>
      <c r="K182" s="218"/>
      <c r="L182" s="220"/>
      <c r="M182" s="364">
        <f t="shared" si="48"/>
        <v>0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490">
        <f>'[34]Sch C'!D194</f>
        <v>183503</v>
      </c>
      <c r="D183" s="490">
        <f>'[34]Sch C'!F194</f>
        <v>0</v>
      </c>
      <c r="E183" s="171">
        <f t="shared" si="45"/>
        <v>183503</v>
      </c>
      <c r="F183" s="490">
        <v>132737</v>
      </c>
      <c r="G183" s="171">
        <f t="shared" si="46"/>
        <v>316240</v>
      </c>
      <c r="H183" s="172">
        <f t="shared" si="47"/>
        <v>5.5250684431306159E-2</v>
      </c>
      <c r="I183" s="337"/>
      <c r="J183" s="223"/>
      <c r="K183" s="218"/>
      <c r="M183" s="364">
        <f t="shared" si="48"/>
        <v>13.581858787149974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490">
        <f>'[34]Sch C'!D195</f>
        <v>773</v>
      </c>
      <c r="D184" s="490">
        <f>'[34]Sch C'!F195</f>
        <v>0</v>
      </c>
      <c r="E184" s="171">
        <f t="shared" si="45"/>
        <v>773</v>
      </c>
      <c r="F184" s="490">
        <v>18526</v>
      </c>
      <c r="G184" s="171">
        <f t="shared" si="46"/>
        <v>19299</v>
      </c>
      <c r="H184" s="172">
        <f t="shared" si="47"/>
        <v>3.3717523363261371E-3</v>
      </c>
      <c r="I184" s="337"/>
      <c r="J184" s="223"/>
      <c r="K184" s="218"/>
      <c r="M184" s="364">
        <f t="shared" si="48"/>
        <v>0.82885243085380522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490">
        <f>'[34]Sch C'!D196</f>
        <v>0</v>
      </c>
      <c r="D185" s="490">
        <f>'[34]Sch C'!F196</f>
        <v>0</v>
      </c>
      <c r="E185" s="171">
        <f t="shared" si="45"/>
        <v>0</v>
      </c>
      <c r="F185" s="490">
        <v>0</v>
      </c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490">
        <f>'[34]Sch C'!D197</f>
        <v>152494</v>
      </c>
      <c r="D186" s="490">
        <f>'[34]Sch C'!F197</f>
        <v>0</v>
      </c>
      <c r="E186" s="171">
        <f t="shared" si="45"/>
        <v>152494</v>
      </c>
      <c r="F186" s="490">
        <v>102968</v>
      </c>
      <c r="G186" s="171">
        <f t="shared" si="46"/>
        <v>255462</v>
      </c>
      <c r="H186" s="172">
        <f t="shared" si="47"/>
        <v>4.4632084322635761E-2</v>
      </c>
      <c r="I186" s="337"/>
      <c r="J186" s="223"/>
      <c r="K186" s="218"/>
      <c r="M186" s="364">
        <f t="shared" si="48"/>
        <v>10.971568459027658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490">
        <f>'[34]Sch C'!D198</f>
        <v>12320</v>
      </c>
      <c r="D187" s="490">
        <f>'[34]Sch C'!F198</f>
        <v>0</v>
      </c>
      <c r="E187" s="171">
        <f t="shared" si="45"/>
        <v>12320</v>
      </c>
      <c r="F187" s="490">
        <v>11360</v>
      </c>
      <c r="G187" s="171">
        <f t="shared" si="46"/>
        <v>23680</v>
      </c>
      <c r="H187" s="172">
        <f t="shared" si="47"/>
        <v>4.137162305000411E-3</v>
      </c>
      <c r="I187" s="337"/>
      <c r="J187" s="223"/>
      <c r="K187" s="218"/>
      <c r="M187" s="364">
        <f t="shared" si="48"/>
        <v>1.0170073870468992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490">
        <f>'[34]Sch C'!D199</f>
        <v>0</v>
      </c>
      <c r="D188" s="490">
        <f>'[34]Sch C'!F199</f>
        <v>0</v>
      </c>
      <c r="E188" s="171">
        <f t="shared" si="45"/>
        <v>0</v>
      </c>
      <c r="F188" s="490">
        <v>0</v>
      </c>
      <c r="G188" s="171">
        <f t="shared" si="46"/>
        <v>0</v>
      </c>
      <c r="H188" s="172">
        <f t="shared" si="47"/>
        <v>0</v>
      </c>
      <c r="I188" s="337"/>
      <c r="J188" s="223"/>
      <c r="K188" s="218"/>
      <c r="M188" s="364">
        <f t="shared" si="48"/>
        <v>0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490">
        <f>'[34]Sch C'!D200</f>
        <v>0</v>
      </c>
      <c r="D189" s="490">
        <f>'[34]Sch C'!F200</f>
        <v>0</v>
      </c>
      <c r="E189" s="171">
        <f t="shared" si="45"/>
        <v>0</v>
      </c>
      <c r="F189" s="490">
        <v>0</v>
      </c>
      <c r="G189" s="171">
        <f t="shared" si="46"/>
        <v>0</v>
      </c>
      <c r="H189" s="172">
        <f t="shared" si="47"/>
        <v>0</v>
      </c>
      <c r="I189" s="337"/>
      <c r="J189" s="223"/>
      <c r="K189" s="218"/>
      <c r="M189" s="364">
        <f t="shared" si="48"/>
        <v>0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490">
        <f>'[34]Sch C'!D201</f>
        <v>0</v>
      </c>
      <c r="D190" s="490">
        <f>'[34]Sch C'!F201</f>
        <v>0</v>
      </c>
      <c r="E190" s="171">
        <f t="shared" si="45"/>
        <v>0</v>
      </c>
      <c r="F190" s="490">
        <v>0</v>
      </c>
      <c r="G190" s="171">
        <f t="shared" si="46"/>
        <v>0</v>
      </c>
      <c r="H190" s="172">
        <f t="shared" si="47"/>
        <v>0</v>
      </c>
      <c r="I190" s="337"/>
      <c r="J190" s="223"/>
      <c r="K190" s="218"/>
      <c r="M190" s="364">
        <f t="shared" si="48"/>
        <v>0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490">
        <f>'[34]Sch C'!D202</f>
        <v>0</v>
      </c>
      <c r="D191" s="490">
        <f>'[34]Sch C'!F202</f>
        <v>0</v>
      </c>
      <c r="E191" s="171">
        <f t="shared" si="45"/>
        <v>0</v>
      </c>
      <c r="F191" s="490">
        <v>0</v>
      </c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490">
        <f>'[34]Sch C'!D203</f>
        <v>0</v>
      </c>
      <c r="D192" s="490">
        <f>'[34]Sch C'!F203</f>
        <v>0</v>
      </c>
      <c r="E192" s="171">
        <f t="shared" si="45"/>
        <v>0</v>
      </c>
      <c r="F192" s="490">
        <v>0</v>
      </c>
      <c r="G192" s="171">
        <f t="shared" si="46"/>
        <v>0</v>
      </c>
      <c r="H192" s="172">
        <f t="shared" si="47"/>
        <v>0</v>
      </c>
      <c r="I192" s="337"/>
      <c r="J192" s="223"/>
      <c r="K192" s="218"/>
      <c r="M192" s="364">
        <f t="shared" si="48"/>
        <v>0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490">
        <f>'[34]Sch C'!D204</f>
        <v>0</v>
      </c>
      <c r="D193" s="490">
        <f>'[34]Sch C'!F204</f>
        <v>0</v>
      </c>
      <c r="E193" s="171">
        <f t="shared" si="45"/>
        <v>0</v>
      </c>
      <c r="F193" s="490">
        <v>0</v>
      </c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490">
        <f>'[34]Sch C'!D205</f>
        <v>132355</v>
      </c>
      <c r="D194" s="490">
        <f>'[34]Sch C'!F205</f>
        <v>0</v>
      </c>
      <c r="E194" s="171">
        <f t="shared" si="45"/>
        <v>132355</v>
      </c>
      <c r="F194" s="490">
        <v>183993</v>
      </c>
      <c r="G194" s="171">
        <f t="shared" si="46"/>
        <v>316348</v>
      </c>
      <c r="H194" s="172">
        <f t="shared" si="47"/>
        <v>5.5269553245872884E-2</v>
      </c>
      <c r="I194" s="337"/>
      <c r="J194" s="223"/>
      <c r="K194" s="218"/>
      <c r="M194" s="364">
        <f t="shared" si="48"/>
        <v>13.586497165435492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490">
        <f>'[34]Sch C'!D206</f>
        <v>0</v>
      </c>
      <c r="D195" s="490">
        <f>'[34]Sch C'!F206</f>
        <v>0</v>
      </c>
      <c r="E195" s="171">
        <f t="shared" si="45"/>
        <v>0</v>
      </c>
      <c r="F195" s="490">
        <v>7038</v>
      </c>
      <c r="G195" s="171">
        <f t="shared" si="46"/>
        <v>7038</v>
      </c>
      <c r="H195" s="172">
        <f t="shared" si="47"/>
        <v>1.2296177492649024E-3</v>
      </c>
      <c r="I195" s="337"/>
      <c r="J195" s="223"/>
      <c r="K195" s="218"/>
      <c r="M195" s="364">
        <f t="shared" si="48"/>
        <v>0.30226765160625324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490">
        <f>'[34]Sch C'!D207</f>
        <v>23993</v>
      </c>
      <c r="D196" s="490">
        <f>'[34]Sch C'!F207</f>
        <v>0</v>
      </c>
      <c r="E196" s="171">
        <f t="shared" si="45"/>
        <v>23993</v>
      </c>
      <c r="F196" s="490">
        <v>897</v>
      </c>
      <c r="G196" s="171">
        <f t="shared" si="46"/>
        <v>24890</v>
      </c>
      <c r="H196" s="172">
        <f t="shared" si="47"/>
        <v>4.3485629126461239E-3</v>
      </c>
      <c r="I196" s="337"/>
      <c r="J196" s="223"/>
      <c r="K196" s="218"/>
      <c r="M196" s="364">
        <f t="shared" si="48"/>
        <v>1.0689744030235355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490">
        <f>SUM(C164:C196)</f>
        <v>505438</v>
      </c>
      <c r="D197" s="490">
        <f>SUM(D164:D196)</f>
        <v>0</v>
      </c>
      <c r="E197" s="171">
        <f t="shared" ref="E197:F197" si="49">SUM(E164:E196)</f>
        <v>505438</v>
      </c>
      <c r="F197" s="171">
        <f t="shared" si="49"/>
        <v>457519</v>
      </c>
      <c r="G197" s="171">
        <f>SUM(G164:G196)</f>
        <v>962957</v>
      </c>
      <c r="H197" s="172">
        <f>IF($G$208=0,0,G197/$G$208)</f>
        <v>0.16823941730305239</v>
      </c>
      <c r="I197" s="337"/>
      <c r="J197" s="168"/>
      <c r="K197" s="168"/>
      <c r="M197" s="364">
        <f>G197/G$228</f>
        <v>41.357026284143615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165"/>
      <c r="G198" s="165"/>
      <c r="H198" s="198"/>
      <c r="I198" s="341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1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490">
        <f>'[34]Sch C'!D211</f>
        <v>41993</v>
      </c>
      <c r="D200" s="490">
        <f>'[34]Sch C'!F211</f>
        <v>0</v>
      </c>
      <c r="E200" s="171">
        <f t="shared" ref="E200:E205" si="50">C200+D200</f>
        <v>41993</v>
      </c>
      <c r="F200" s="490">
        <v>39210</v>
      </c>
      <c r="G200" s="171">
        <f t="shared" ref="G200:G205" si="51">E200+F200</f>
        <v>81203</v>
      </c>
      <c r="H200" s="172">
        <f t="shared" ref="H200:H206" si="52">IF($G$208=0,0,G200/$G$208)</f>
        <v>1.4187077307979237E-2</v>
      </c>
      <c r="I200" s="337"/>
      <c r="J200" s="183">
        <f>3606+1800</f>
        <v>5406</v>
      </c>
      <c r="K200" s="183">
        <f>3728+1878</f>
        <v>5606</v>
      </c>
      <c r="M200" s="364">
        <f t="shared" ref="M200:M205" si="53">G200/G$228</f>
        <v>3.4875021473973544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490">
        <f>'[34]Sch C'!D212</f>
        <v>0</v>
      </c>
      <c r="D201" s="490">
        <f>'[34]Sch C'!F212</f>
        <v>5983</v>
      </c>
      <c r="E201" s="171">
        <f t="shared" si="50"/>
        <v>5983</v>
      </c>
      <c r="F201" s="490">
        <v>7422</v>
      </c>
      <c r="G201" s="171">
        <f t="shared" si="51"/>
        <v>13405</v>
      </c>
      <c r="H201" s="172">
        <f t="shared" si="52"/>
        <v>2.3420042524717275E-3</v>
      </c>
      <c r="I201" s="337"/>
      <c r="J201" s="168"/>
      <c r="K201" s="168"/>
      <c r="M201" s="364">
        <f t="shared" si="53"/>
        <v>0.57571723071637171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490">
        <f>'[34]Sch C'!D213</f>
        <v>0</v>
      </c>
      <c r="D202" s="490">
        <f>'[34]Sch C'!F213</f>
        <v>0</v>
      </c>
      <c r="E202" s="171">
        <f t="shared" si="50"/>
        <v>0</v>
      </c>
      <c r="F202" s="490">
        <v>1372</v>
      </c>
      <c r="G202" s="171">
        <f t="shared" si="51"/>
        <v>1372</v>
      </c>
      <c r="H202" s="172">
        <f t="shared" si="52"/>
        <v>2.3970382949580081E-4</v>
      </c>
      <c r="I202" s="337"/>
      <c r="J202" s="168"/>
      <c r="K202" s="168"/>
      <c r="M202" s="364">
        <f t="shared" si="53"/>
        <v>5.8924583404913244E-2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490">
        <f>'[34]Sch C'!D214</f>
        <v>0</v>
      </c>
      <c r="D203" s="490">
        <f>'[34]Sch C'!F214</f>
        <v>0</v>
      </c>
      <c r="E203" s="171">
        <f t="shared" si="50"/>
        <v>0</v>
      </c>
      <c r="F203" s="490">
        <v>0</v>
      </c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>
        <f t="shared" si="53"/>
        <v>0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490">
        <f>'[34]Sch C'!D215</f>
        <v>0</v>
      </c>
      <c r="D204" s="490">
        <f>'[34]Sch C'!F215</f>
        <v>0</v>
      </c>
      <c r="E204" s="171">
        <f t="shared" si="50"/>
        <v>0</v>
      </c>
      <c r="F204" s="490">
        <v>0</v>
      </c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490">
        <f>'[34]Sch C'!D216</f>
        <v>3056</v>
      </c>
      <c r="D205" s="490">
        <f>'[34]Sch C'!F216</f>
        <v>0</v>
      </c>
      <c r="E205" s="171">
        <f t="shared" si="50"/>
        <v>3056</v>
      </c>
      <c r="F205" s="490">
        <v>1862</v>
      </c>
      <c r="G205" s="171">
        <f t="shared" si="51"/>
        <v>4918</v>
      </c>
      <c r="H205" s="172">
        <f t="shared" si="52"/>
        <v>8.5922990776993321E-4</v>
      </c>
      <c r="I205" s="337"/>
      <c r="J205" s="168"/>
      <c r="K205" s="168"/>
      <c r="M205" s="364">
        <f t="shared" si="53"/>
        <v>0.21121800377941935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490">
        <f>SUM(C200:C205)</f>
        <v>45049</v>
      </c>
      <c r="D206" s="490">
        <f>SUM(D200:D205)</f>
        <v>5983</v>
      </c>
      <c r="E206" s="171">
        <f t="shared" ref="E206:F206" si="54">SUM(E200:E205)</f>
        <v>51032</v>
      </c>
      <c r="F206" s="171">
        <f t="shared" si="54"/>
        <v>49866</v>
      </c>
      <c r="G206" s="171">
        <f>SUM(G200:G205)</f>
        <v>100898</v>
      </c>
      <c r="H206" s="172">
        <f t="shared" si="52"/>
        <v>1.7628015297716699E-2</v>
      </c>
      <c r="I206" s="337"/>
      <c r="J206" s="168"/>
      <c r="K206" s="168"/>
      <c r="M206" s="364">
        <f>G206/G$228</f>
        <v>4.3333619652980584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490">
        <f>SUM(C25:C206)/2</f>
        <v>2876874</v>
      </c>
      <c r="D208" s="490">
        <f>SUM(D25:D206)/2</f>
        <v>8486</v>
      </c>
      <c r="E208" s="171">
        <f t="shared" ref="E208:F208" si="55">SUM(E25:E206)/2</f>
        <v>2885360</v>
      </c>
      <c r="F208" s="171">
        <f t="shared" si="55"/>
        <v>2838370</v>
      </c>
      <c r="G208" s="171">
        <f>SUM(G25:G206)/2</f>
        <v>5723730</v>
      </c>
      <c r="H208" s="172">
        <f>IF($G$208=0,0,G208/$G$208)</f>
        <v>1</v>
      </c>
      <c r="I208" s="337"/>
      <c r="J208" s="183">
        <f>SUM(J25:J200)</f>
        <v>138961</v>
      </c>
      <c r="K208" s="183">
        <f>SUM(K25:K200)</f>
        <v>146157</v>
      </c>
      <c r="M208" s="364">
        <f>G208/G$228</f>
        <v>245.82245318673768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514" t="s">
        <v>587</v>
      </c>
      <c r="J210" s="168"/>
      <c r="K210" s="168"/>
    </row>
    <row r="211" spans="1:14" s="167" customFormat="1" ht="15.5">
      <c r="A211" s="163"/>
      <c r="B211" s="228" t="s">
        <v>181</v>
      </c>
      <c r="C211" s="490">
        <f>'[34]Sch C'!D221</f>
        <v>2876874</v>
      </c>
      <c r="D211" s="196"/>
      <c r="E211" s="165"/>
      <c r="F211"/>
      <c r="G211"/>
      <c r="I211" s="514" t="s">
        <v>588</v>
      </c>
      <c r="J211" s="168">
        <v>72481</v>
      </c>
      <c r="K211" s="168">
        <v>77054</v>
      </c>
    </row>
    <row r="212" spans="1:14" s="167" customFormat="1" ht="15.5">
      <c r="A212" s="163"/>
      <c r="B212" s="170" t="s">
        <v>147</v>
      </c>
      <c r="C212" s="490">
        <f>C208-C211</f>
        <v>0</v>
      </c>
      <c r="D212" s="229"/>
      <c r="E212" s="165"/>
      <c r="F212"/>
      <c r="G212"/>
      <c r="I212" s="514" t="s">
        <v>589</v>
      </c>
      <c r="J212" s="168">
        <v>66480</v>
      </c>
      <c r="K212" s="168">
        <v>69103</v>
      </c>
    </row>
    <row r="213" spans="1:14" s="167" customFormat="1">
      <c r="A213" s="163"/>
      <c r="B213" s="230"/>
      <c r="C213" s="619"/>
      <c r="D213" s="232"/>
      <c r="E213" s="232"/>
      <c r="F213" s="232"/>
      <c r="G213" s="232"/>
      <c r="H213" s="166"/>
      <c r="I213" s="336"/>
      <c r="J213" s="406">
        <f>J211+J212</f>
        <v>138961</v>
      </c>
      <c r="K213" s="406">
        <f>K211+K212</f>
        <v>146157</v>
      </c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490">
        <f>C21-C208</f>
        <v>412340</v>
      </c>
      <c r="D215" s="490">
        <f>D21-D208</f>
        <v>-8486</v>
      </c>
      <c r="E215" s="171">
        <f t="shared" ref="E215:F215" si="56">E21-E208</f>
        <v>403854</v>
      </c>
      <c r="F215" s="171">
        <f t="shared" si="56"/>
        <v>25500</v>
      </c>
      <c r="G215" s="171">
        <f>G21-G208</f>
        <v>429354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491">
        <f>'[34]Sch D'!C9</f>
        <v>5363</v>
      </c>
      <c r="D219" s="491"/>
      <c r="E219" s="235">
        <f t="shared" ref="E219:G227" si="57">C219+D219</f>
        <v>5363</v>
      </c>
      <c r="F219" s="491">
        <v>5196</v>
      </c>
      <c r="G219" s="235">
        <f t="shared" si="57"/>
        <v>10559</v>
      </c>
      <c r="H219" s="172">
        <f t="shared" ref="H219:H228" si="58">IF($G$228=0,0,G219/$G$228)</f>
        <v>0.4534873733035561</v>
      </c>
      <c r="I219" s="337"/>
      <c r="J219" s="168"/>
      <c r="K219" s="168"/>
    </row>
    <row r="220" spans="1:14">
      <c r="A220" s="163"/>
      <c r="B220" s="170" t="s">
        <v>217</v>
      </c>
      <c r="C220" s="491">
        <f>'[34]Sch D'!D9</f>
        <v>0</v>
      </c>
      <c r="D220" s="491"/>
      <c r="E220" s="235">
        <f t="shared" ref="E220:E227" si="59">C220+D220</f>
        <v>0</v>
      </c>
      <c r="F220" s="491">
        <v>0</v>
      </c>
      <c r="G220" s="235">
        <f t="shared" si="57"/>
        <v>0</v>
      </c>
      <c r="H220" s="172">
        <f t="shared" si="58"/>
        <v>0</v>
      </c>
      <c r="I220" s="337"/>
      <c r="J220" s="168"/>
      <c r="K220" s="168"/>
    </row>
    <row r="221" spans="1:14">
      <c r="A221" s="163"/>
      <c r="B221" s="170" t="s">
        <v>72</v>
      </c>
      <c r="C221" s="491">
        <f>'[34]Sch D'!E9</f>
        <v>2525</v>
      </c>
      <c r="D221" s="491"/>
      <c r="E221" s="235">
        <f t="shared" si="59"/>
        <v>2525</v>
      </c>
      <c r="F221" s="491">
        <v>2565</v>
      </c>
      <c r="G221" s="235">
        <f t="shared" si="57"/>
        <v>5090</v>
      </c>
      <c r="H221" s="172">
        <f t="shared" si="58"/>
        <v>0.21860505067857755</v>
      </c>
      <c r="I221" s="337"/>
      <c r="J221" s="168"/>
      <c r="K221" s="168"/>
    </row>
    <row r="222" spans="1:14">
      <c r="A222" s="163"/>
      <c r="B222" s="202" t="s">
        <v>334</v>
      </c>
      <c r="C222" s="491">
        <f>'[34]Sch D'!F9</f>
        <v>1056</v>
      </c>
      <c r="D222" s="491"/>
      <c r="E222" s="235">
        <f>C222+D222</f>
        <v>1056</v>
      </c>
      <c r="F222" s="491">
        <v>931</v>
      </c>
      <c r="G222" s="235">
        <f>E222+F222</f>
        <v>1987</v>
      </c>
      <c r="H222" s="172">
        <f t="shared" si="58"/>
        <v>8.53375708641127E-2</v>
      </c>
      <c r="I222" s="337"/>
      <c r="J222" s="168"/>
      <c r="K222" s="168"/>
    </row>
    <row r="223" spans="1:14">
      <c r="A223" s="163"/>
      <c r="B223" s="170" t="s">
        <v>73</v>
      </c>
      <c r="C223" s="491">
        <f>'[34]Sch D'!G9</f>
        <v>0</v>
      </c>
      <c r="D223" s="491"/>
      <c r="E223" s="235">
        <f t="shared" si="59"/>
        <v>0</v>
      </c>
      <c r="F223" s="491">
        <v>0</v>
      </c>
      <c r="G223" s="235">
        <f t="shared" si="57"/>
        <v>0</v>
      </c>
      <c r="H223" s="172">
        <f t="shared" si="58"/>
        <v>0</v>
      </c>
      <c r="I223" s="337"/>
      <c r="J223" s="168"/>
      <c r="K223" s="168"/>
    </row>
    <row r="224" spans="1:14">
      <c r="A224" s="163"/>
      <c r="B224" s="170" t="s">
        <v>74</v>
      </c>
      <c r="C224" s="491">
        <f>'[34]Sch D'!H9</f>
        <v>1585</v>
      </c>
      <c r="D224" s="491"/>
      <c r="E224" s="235">
        <f t="shared" si="59"/>
        <v>1585</v>
      </c>
      <c r="F224" s="491">
        <v>1854</v>
      </c>
      <c r="G224" s="235">
        <f t="shared" si="57"/>
        <v>3439</v>
      </c>
      <c r="H224" s="172">
        <f t="shared" si="58"/>
        <v>0.14769799003607628</v>
      </c>
      <c r="I224" s="337"/>
      <c r="J224" s="168"/>
      <c r="K224" s="168"/>
    </row>
    <row r="225" spans="1:11">
      <c r="A225" s="163"/>
      <c r="B225" s="170" t="s">
        <v>236</v>
      </c>
      <c r="C225" s="491">
        <f>'[34]Sch D'!I9</f>
        <v>810</v>
      </c>
      <c r="D225" s="491"/>
      <c r="E225" s="235">
        <f t="shared" si="59"/>
        <v>810</v>
      </c>
      <c r="F225" s="491">
        <v>0</v>
      </c>
      <c r="G225" s="235">
        <f t="shared" si="57"/>
        <v>810</v>
      </c>
      <c r="H225" s="172">
        <f t="shared" si="58"/>
        <v>3.4787837141384642E-2</v>
      </c>
      <c r="I225" s="337"/>
      <c r="J225" s="168"/>
      <c r="K225" s="168"/>
    </row>
    <row r="226" spans="1:11">
      <c r="A226" s="163"/>
      <c r="B226" s="170" t="s">
        <v>235</v>
      </c>
      <c r="C226" s="491">
        <f>'[34]Sch D'!J9</f>
        <v>547</v>
      </c>
      <c r="D226" s="491"/>
      <c r="E226" s="235">
        <f>C226+D226</f>
        <v>547</v>
      </c>
      <c r="F226" s="491">
        <v>852</v>
      </c>
      <c r="G226" s="235">
        <f>E226+F226</f>
        <v>1399</v>
      </c>
      <c r="H226" s="172">
        <f t="shared" si="58"/>
        <v>6.0084177976292737E-2</v>
      </c>
      <c r="I226" s="337"/>
      <c r="J226" s="168"/>
      <c r="K226" s="168"/>
    </row>
    <row r="227" spans="1:11">
      <c r="A227" s="163"/>
      <c r="B227" s="170" t="s">
        <v>179</v>
      </c>
      <c r="C227" s="491">
        <f>'[34]Sch D'!K9</f>
        <v>0</v>
      </c>
      <c r="D227" s="491"/>
      <c r="E227" s="235">
        <f t="shared" si="59"/>
        <v>0</v>
      </c>
      <c r="F227" s="491">
        <v>0</v>
      </c>
      <c r="G227" s="235">
        <f t="shared" si="57"/>
        <v>0</v>
      </c>
      <c r="H227" s="172">
        <f t="shared" si="58"/>
        <v>0</v>
      </c>
      <c r="I227" s="337"/>
      <c r="J227" s="168"/>
      <c r="K227" s="168"/>
    </row>
    <row r="228" spans="1:11" ht="13.5" thickBot="1">
      <c r="A228" s="163"/>
      <c r="B228" s="236" t="s">
        <v>75</v>
      </c>
      <c r="C228" s="491">
        <f>SUM(C219:C227)</f>
        <v>11886</v>
      </c>
      <c r="D228" s="491">
        <f>SUM(D219:D227)</f>
        <v>0</v>
      </c>
      <c r="E228" s="237">
        <f>SUM(E219:E227)</f>
        <v>11886</v>
      </c>
      <c r="F228" s="237">
        <f>SUM(F219:F227)</f>
        <v>11398</v>
      </c>
      <c r="G228" s="237">
        <f>SUM(G219:G227)</f>
        <v>23284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620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619"/>
      <c r="D230" s="232"/>
      <c r="E230" s="232"/>
      <c r="F230" s="520" t="s">
        <v>586</v>
      </c>
      <c r="G230" s="232"/>
      <c r="H230" s="167"/>
      <c r="J230" s="168"/>
      <c r="K230" s="168"/>
    </row>
    <row r="231" spans="1:11">
      <c r="A231" s="163"/>
      <c r="B231" s="202" t="s">
        <v>219</v>
      </c>
      <c r="C231" s="492">
        <f>'[34]Sch D'!N22</f>
        <v>118</v>
      </c>
      <c r="D231" s="526"/>
      <c r="E231" s="235">
        <f>C231+D231</f>
        <v>118</v>
      </c>
      <c r="F231" s="660">
        <v>2</v>
      </c>
      <c r="G231" s="235">
        <f>E231+F231</f>
        <v>120</v>
      </c>
      <c r="H231" s="522" t="s">
        <v>661</v>
      </c>
      <c r="J231" s="168"/>
      <c r="K231" s="168"/>
    </row>
    <row r="232" spans="1:11">
      <c r="A232" s="163"/>
      <c r="B232" s="202" t="s">
        <v>290</v>
      </c>
      <c r="C232" s="492">
        <f>'[34]Sch D'!N24</f>
        <v>118</v>
      </c>
      <c r="D232" s="526"/>
      <c r="E232" s="235">
        <f>C232+D232</f>
        <v>118</v>
      </c>
      <c r="F232" s="492">
        <v>2</v>
      </c>
      <c r="G232" s="235">
        <f>E232+F232</f>
        <v>120</v>
      </c>
      <c r="H232" s="167"/>
      <c r="J232" s="168"/>
      <c r="K232" s="168"/>
    </row>
    <row r="233" spans="1:11">
      <c r="A233" s="163"/>
      <c r="B233" s="202" t="s">
        <v>76</v>
      </c>
      <c r="C233" s="492">
        <f>$C$4-$C$3+1</f>
        <v>365</v>
      </c>
      <c r="D233" s="489"/>
      <c r="E233" s="235">
        <f>C233+D233</f>
        <v>365</v>
      </c>
      <c r="F233" s="240"/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621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492">
        <f>'[34]Sch D'!N28</f>
        <v>21712</v>
      </c>
      <c r="D235" s="489"/>
      <c r="E235" s="234">
        <f>E231*E233</f>
        <v>43070</v>
      </c>
      <c r="F235" s="489">
        <v>21720</v>
      </c>
      <c r="G235" s="234">
        <f>G231*G233</f>
        <v>43800</v>
      </c>
      <c r="H235" s="167"/>
      <c r="J235" s="168"/>
      <c r="K235" s="168"/>
    </row>
    <row r="236" spans="1:11" ht="26">
      <c r="A236" s="163"/>
      <c r="B236" s="244" t="s">
        <v>336</v>
      </c>
      <c r="C236" s="493">
        <f>'[34]Sch D'!N30</f>
        <v>0.54743920412675018</v>
      </c>
      <c r="D236" s="240"/>
      <c r="E236" s="245">
        <f>E228/E235</f>
        <v>0.27596935221732066</v>
      </c>
      <c r="F236" s="246">
        <v>0.52476979742173113</v>
      </c>
      <c r="G236" s="245">
        <f>G228/G235</f>
        <v>0.53159817351598171</v>
      </c>
      <c r="H236" s="167"/>
      <c r="J236" s="168"/>
      <c r="K236" s="168"/>
    </row>
    <row r="237" spans="1:11" ht="26">
      <c r="A237" s="163"/>
      <c r="B237" s="244" t="s">
        <v>337</v>
      </c>
      <c r="C237" s="493">
        <f>'[34]Sch D'!N32</f>
        <v>0.24700626381724392</v>
      </c>
      <c r="D237" s="240"/>
      <c r="E237" s="245">
        <f>(E219+E220)/E235</f>
        <v>0.12451822614348734</v>
      </c>
      <c r="F237" s="246">
        <v>0.23922651933701658</v>
      </c>
      <c r="G237" s="245">
        <f>(G219+G220)/G235</f>
        <v>0.24107305936073059</v>
      </c>
      <c r="H237" s="167"/>
      <c r="J237" s="168"/>
      <c r="K237" s="168"/>
    </row>
    <row r="238" spans="1:11" ht="26">
      <c r="A238" s="163"/>
      <c r="B238" s="244" t="s">
        <v>338</v>
      </c>
      <c r="C238" s="493">
        <f>'[34]Sch D'!N34</f>
        <v>0.45120309607942116</v>
      </c>
      <c r="D238" s="240"/>
      <c r="E238" s="245">
        <f>(E237/E236)</f>
        <v>0.45120309607942111</v>
      </c>
      <c r="F238" s="246">
        <v>0.45586945078083874</v>
      </c>
      <c r="G238" s="245">
        <f>(G237/G236)</f>
        <v>0.4534873733035561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490">
        <f>'[34]Sch B'!C85</f>
        <v>223.12126537785588</v>
      </c>
    </row>
    <row r="242" spans="2:7">
      <c r="F242" s="142" t="s">
        <v>341</v>
      </c>
      <c r="G242" s="490">
        <f>'[34]Sch B'!E85</f>
        <v>223.12007874015748</v>
      </c>
    </row>
    <row r="243" spans="2:7">
      <c r="F243" s="142" t="s">
        <v>342</v>
      </c>
      <c r="G243" s="573">
        <f>'[35]Sch B'!G85</f>
        <v>235.53707627118644</v>
      </c>
    </row>
    <row r="244" spans="2:7">
      <c r="F244" s="142" t="s">
        <v>343</v>
      </c>
      <c r="G244" s="573">
        <f>'[35]Sch B'!I85</f>
        <v>197.02417582417581</v>
      </c>
    </row>
    <row r="245" spans="2:7">
      <c r="F245" s="142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" right="0" top="0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6">
    <tabColor rgb="FFE28CAB"/>
  </sheetPr>
  <dimension ref="A1:Q245"/>
  <sheetViews>
    <sheetView showGridLines="0" zoomScale="90" zoomScaleNormal="90" workbookViewId="0">
      <pane xSplit="2" ySplit="8" topLeftCell="C9" activePane="bottomRight" state="frozen"/>
      <selection activeCell="N1" sqref="N1"/>
      <selection pane="topRight" activeCell="N1" sqref="N1"/>
      <selection pane="bottomLeft" activeCell="N1" sqref="N1"/>
      <selection pane="bottomRight"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47.4" customHeight="1">
      <c r="A1" s="138" t="str">
        <f>'ALPINE VALLEY'!A1</f>
        <v>schedules revised 7/9/15</v>
      </c>
      <c r="B1" s="139" t="s">
        <v>304</v>
      </c>
      <c r="C1" s="669" t="s">
        <v>676</v>
      </c>
      <c r="D1" s="476"/>
      <c r="E1" s="476"/>
      <c r="F1" s="476"/>
      <c r="G1" s="476"/>
      <c r="H1" s="476"/>
      <c r="I1" s="476"/>
      <c r="J1" s="442"/>
    </row>
    <row r="2" spans="1:14" ht="23">
      <c r="B2" s="143" t="s">
        <v>189</v>
      </c>
      <c r="C2" s="139" t="s">
        <v>546</v>
      </c>
      <c r="D2" s="247"/>
      <c r="E2" s="596" t="s">
        <v>545</v>
      </c>
      <c r="H2" s="442"/>
      <c r="I2" s="442"/>
      <c r="J2" s="442"/>
    </row>
    <row r="3" spans="1:14" ht="15.5">
      <c r="A3" s="145"/>
      <c r="B3" s="140" t="s">
        <v>79</v>
      </c>
      <c r="C3" s="495">
        <v>42132</v>
      </c>
      <c r="D3" s="443"/>
      <c r="E3" s="147"/>
      <c r="H3" s="442"/>
      <c r="I3" s="442"/>
      <c r="J3" s="442"/>
    </row>
    <row r="4" spans="1:14" ht="15.5">
      <c r="A4" s="145"/>
      <c r="B4" s="148" t="s">
        <v>80</v>
      </c>
      <c r="C4" s="495">
        <v>42185</v>
      </c>
      <c r="D4" s="441"/>
      <c r="E4" s="149"/>
      <c r="G4" s="150"/>
      <c r="H4" s="442"/>
      <c r="I4" s="442"/>
      <c r="J4" s="442"/>
    </row>
    <row r="5" spans="1:14" ht="15.5">
      <c r="A5" s="145"/>
      <c r="B5" s="148"/>
      <c r="C5" s="151"/>
      <c r="D5" s="144"/>
      <c r="F5" s="500"/>
      <c r="H5" s="442"/>
      <c r="I5" s="442"/>
      <c r="J5" s="442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44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445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446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447"/>
      <c r="G9" s="144"/>
    </row>
    <row r="10" spans="1:14" s="167" customFormat="1" ht="16" thickBot="1">
      <c r="A10" s="163" t="s">
        <v>245</v>
      </c>
      <c r="B10" s="164" t="s">
        <v>246</v>
      </c>
      <c r="C10" s="165"/>
      <c r="D10" s="165"/>
      <c r="E10" s="499"/>
      <c r="F10"/>
      <c r="G10"/>
      <c r="H10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573">
        <f>'[36]Sch B'!E10</f>
        <v>297624</v>
      </c>
      <c r="D11" s="573">
        <f>'[36]Sch B'!G10</f>
        <v>0</v>
      </c>
      <c r="E11" s="171">
        <f>C11+D11</f>
        <v>297624</v>
      </c>
      <c r="F11" s="449"/>
      <c r="G11" s="171">
        <f t="shared" ref="G11:G20" si="0">E11+F11</f>
        <v>297624</v>
      </c>
      <c r="H11" s="172">
        <f t="shared" ref="H11:H21" si="1">IF($G$21=0,0,G11/$G$21)</f>
        <v>0.662390556354297</v>
      </c>
      <c r="I11" s="337"/>
      <c r="J11" s="368" t="s">
        <v>344</v>
      </c>
      <c r="K11" s="369">
        <f>G21</f>
        <v>449318</v>
      </c>
      <c r="M11" s="359">
        <f>IFERROR(G11/G219,0)</f>
        <v>190.05363984674329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573">
        <f>'[36]Sch B'!E15</f>
        <v>0</v>
      </c>
      <c r="D12" s="573">
        <f>'[36]Sch B'!G15</f>
        <v>0</v>
      </c>
      <c r="E12" s="171">
        <f t="shared" ref="E12:E20" si="2">C12+D12</f>
        <v>0</v>
      </c>
      <c r="F12" s="449"/>
      <c r="G12" s="171">
        <f>E12+F12</f>
        <v>0</v>
      </c>
      <c r="H12" s="172">
        <f t="shared" si="1"/>
        <v>0</v>
      </c>
      <c r="I12" s="337"/>
      <c r="J12" s="370" t="s">
        <v>345</v>
      </c>
      <c r="K12" s="371">
        <f>G208</f>
        <v>360927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573">
        <f>'[36]Sch B'!E21</f>
        <v>0</v>
      </c>
      <c r="D13" s="573">
        <f>'[36]Sch B'!G21</f>
        <v>0</v>
      </c>
      <c r="E13" s="171">
        <f t="shared" si="2"/>
        <v>0</v>
      </c>
      <c r="F13" s="449"/>
      <c r="G13" s="171">
        <f t="shared" si="0"/>
        <v>0</v>
      </c>
      <c r="H13" s="172">
        <f t="shared" si="1"/>
        <v>0</v>
      </c>
      <c r="I13" s="337"/>
      <c r="J13" s="370" t="s">
        <v>346</v>
      </c>
      <c r="K13" s="371">
        <f>G228</f>
        <v>2524</v>
      </c>
      <c r="M13" s="359">
        <f t="shared" si="3"/>
        <v>0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573">
        <f>'[36]Sch B'!E27</f>
        <v>0</v>
      </c>
      <c r="D14" s="573">
        <f>'[36]Sch B'!G27</f>
        <v>0</v>
      </c>
      <c r="E14" s="171">
        <f t="shared" si="2"/>
        <v>0</v>
      </c>
      <c r="F14" s="449"/>
      <c r="G14" s="175">
        <f>E14+F14</f>
        <v>0</v>
      </c>
      <c r="H14" s="176">
        <f t="shared" si="1"/>
        <v>0</v>
      </c>
      <c r="I14" s="338"/>
      <c r="J14" s="370" t="s">
        <v>347</v>
      </c>
      <c r="K14" s="371">
        <f>G231</f>
        <v>85</v>
      </c>
      <c r="M14" s="359">
        <f t="shared" si="3"/>
        <v>0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573">
        <f>'[36]Sch B'!E32</f>
        <v>0</v>
      </c>
      <c r="D15" s="573">
        <f>'[36]Sch B'!G32</f>
        <v>0</v>
      </c>
      <c r="E15" s="171">
        <f t="shared" si="2"/>
        <v>0</v>
      </c>
      <c r="F15" s="449"/>
      <c r="G15" s="171">
        <f t="shared" si="0"/>
        <v>0</v>
      </c>
      <c r="H15" s="172">
        <f t="shared" si="1"/>
        <v>0</v>
      </c>
      <c r="I15" s="337"/>
      <c r="J15" s="370" t="s">
        <v>348</v>
      </c>
      <c r="K15" s="371">
        <f>G235</f>
        <v>4590</v>
      </c>
      <c r="M15" s="359">
        <f t="shared" si="3"/>
        <v>0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573">
        <f>'[36]Sch B'!E37</f>
        <v>19480</v>
      </c>
      <c r="D16" s="573">
        <f>'[36]Sch B'!G37</f>
        <v>0</v>
      </c>
      <c r="E16" s="171">
        <f t="shared" si="2"/>
        <v>19480</v>
      </c>
      <c r="F16" s="449"/>
      <c r="G16" s="171">
        <f t="shared" si="0"/>
        <v>19480</v>
      </c>
      <c r="H16" s="172">
        <f t="shared" si="1"/>
        <v>4.3354595186482624E-2</v>
      </c>
      <c r="I16" s="337"/>
      <c r="J16" s="372"/>
      <c r="K16" s="371"/>
      <c r="M16" s="359">
        <f t="shared" si="3"/>
        <v>143.23529411764707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573">
        <f>'[36]Sch B'!E42</f>
        <v>132214</v>
      </c>
      <c r="D17" s="573">
        <f>'[36]Sch B'!G42</f>
        <v>0</v>
      </c>
      <c r="E17" s="171">
        <f t="shared" si="2"/>
        <v>132214</v>
      </c>
      <c r="F17" s="449"/>
      <c r="G17" s="171">
        <f>E17+F17</f>
        <v>132214</v>
      </c>
      <c r="H17" s="172">
        <f t="shared" si="1"/>
        <v>0.2942548484592204</v>
      </c>
      <c r="I17" s="337"/>
      <c r="J17" s="370" t="s">
        <v>156</v>
      </c>
      <c r="K17" s="371">
        <f>J208</f>
        <v>11154.17</v>
      </c>
      <c r="M17" s="359">
        <f t="shared" si="3"/>
        <v>160.84428223844282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573">
        <f>'[36]Sch B'!E47</f>
        <v>0</v>
      </c>
      <c r="D18" s="573">
        <f>'[36]Sch B'!G47</f>
        <v>0</v>
      </c>
      <c r="E18" s="171">
        <f t="shared" si="2"/>
        <v>0</v>
      </c>
      <c r="F18" s="449"/>
      <c r="G18" s="171">
        <f>E18+F18</f>
        <v>0</v>
      </c>
      <c r="H18" s="172">
        <f t="shared" si="1"/>
        <v>0</v>
      </c>
      <c r="I18" s="337"/>
      <c r="J18" s="373" t="s">
        <v>252</v>
      </c>
      <c r="K18" s="374">
        <f>K208</f>
        <v>11122.060000000001</v>
      </c>
      <c r="M18" s="359">
        <f t="shared" si="3"/>
        <v>0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573">
        <f>'[36]Sch B'!E52</f>
        <v>126005</v>
      </c>
      <c r="D19" s="573">
        <f>'[36]Sch B'!G52</f>
        <v>-126005</v>
      </c>
      <c r="E19" s="171">
        <f t="shared" si="2"/>
        <v>0</v>
      </c>
      <c r="F19" s="449"/>
      <c r="G19" s="171">
        <f t="shared" si="0"/>
        <v>0</v>
      </c>
      <c r="H19" s="172">
        <f t="shared" si="1"/>
        <v>0</v>
      </c>
      <c r="I19" s="337"/>
      <c r="J19" s="168"/>
      <c r="K19" s="168"/>
      <c r="M19" s="359">
        <f t="shared" si="3"/>
        <v>0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573">
        <f>'[36]Sch B'!E67</f>
        <v>0</v>
      </c>
      <c r="D20" s="573">
        <f>'[36]Sch B'!G67</f>
        <v>0</v>
      </c>
      <c r="E20" s="171">
        <f t="shared" si="2"/>
        <v>0</v>
      </c>
      <c r="F20" s="449"/>
      <c r="G20" s="171">
        <f t="shared" si="0"/>
        <v>0</v>
      </c>
      <c r="H20" s="172">
        <f t="shared" si="1"/>
        <v>0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573">
        <f>SUM(C11:C20)</f>
        <v>575323</v>
      </c>
      <c r="D21" s="573">
        <f>SUM(D11:D20)</f>
        <v>-126005</v>
      </c>
      <c r="E21" s="171">
        <f>SUM(E11:E20)</f>
        <v>449318</v>
      </c>
      <c r="F21" s="171">
        <f>SUM(F11:F20)</f>
        <v>0</v>
      </c>
      <c r="G21" s="171">
        <f>SUM(G11:G20)</f>
        <v>449318</v>
      </c>
      <c r="H21" s="172">
        <f t="shared" si="1"/>
        <v>1</v>
      </c>
      <c r="I21" s="337"/>
      <c r="J21" s="168"/>
      <c r="K21" s="168"/>
      <c r="M21" s="359">
        <f>IFERROR(G21/G228,0)</f>
        <v>178.01822503961967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450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450"/>
      <c r="G23" s="144"/>
      <c r="M23" s="363"/>
      <c r="N23" s="363"/>
    </row>
    <row r="24" spans="1:14">
      <c r="A24" s="181" t="s">
        <v>161</v>
      </c>
      <c r="B24" s="148" t="s">
        <v>12</v>
      </c>
      <c r="F24" s="450"/>
      <c r="M24" s="363"/>
      <c r="N24" s="363"/>
    </row>
    <row r="25" spans="1:14" s="167" customFormat="1">
      <c r="A25" s="169" t="s">
        <v>83</v>
      </c>
      <c r="B25" s="170" t="s">
        <v>14</v>
      </c>
      <c r="C25" s="573">
        <f>'[36]Sch C'!D10</f>
        <v>25589</v>
      </c>
      <c r="D25" s="573">
        <f>'[36]Sch C'!F10</f>
        <v>-5710</v>
      </c>
      <c r="E25" s="171">
        <f t="shared" ref="E25:E60" si="4">C25+D25</f>
        <v>19879</v>
      </c>
      <c r="F25" s="573"/>
      <c r="G25" s="182">
        <f>E25+F25</f>
        <v>19879</v>
      </c>
      <c r="H25" s="172">
        <f>IF($G$208=0,0,G25/$G$208)</f>
        <v>5.5077619574041288E-2</v>
      </c>
      <c r="I25" s="337"/>
      <c r="J25" s="183">
        <v>348</v>
      </c>
      <c r="K25" s="183">
        <v>348</v>
      </c>
      <c r="M25" s="359">
        <f>G25/G$228</f>
        <v>7.8759904912836767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573">
        <f>'[36]Sch C'!D11</f>
        <v>0</v>
      </c>
      <c r="D26" s="573">
        <f>'[36]Sch C'!F11</f>
        <v>0</v>
      </c>
      <c r="E26" s="171">
        <f t="shared" si="4"/>
        <v>0</v>
      </c>
      <c r="F26" s="573"/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573">
        <f>'[36]Sch C'!D12</f>
        <v>11997</v>
      </c>
      <c r="D27" s="573">
        <f>'[36]Sch C'!F12</f>
        <v>-2878</v>
      </c>
      <c r="E27" s="171">
        <f t="shared" si="4"/>
        <v>9119</v>
      </c>
      <c r="F27" s="573"/>
      <c r="G27" s="171">
        <f t="shared" si="5"/>
        <v>9119</v>
      </c>
      <c r="H27" s="172">
        <f t="shared" si="6"/>
        <v>2.5265496901035391E-2</v>
      </c>
      <c r="I27" s="337"/>
      <c r="J27" s="185">
        <v>1415</v>
      </c>
      <c r="K27" s="185">
        <v>1415</v>
      </c>
      <c r="M27" s="359">
        <f t="shared" si="7"/>
        <v>3.6129160063391441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573">
        <f>'[36]Sch C'!D13</f>
        <v>3051</v>
      </c>
      <c r="D28" s="573">
        <f>'[36]Sch C'!F13</f>
        <v>0</v>
      </c>
      <c r="E28" s="171">
        <f t="shared" si="4"/>
        <v>3051</v>
      </c>
      <c r="F28" s="573"/>
      <c r="G28" s="171">
        <f t="shared" si="5"/>
        <v>3051</v>
      </c>
      <c r="H28" s="172">
        <f t="shared" si="6"/>
        <v>8.4532329252175655E-3</v>
      </c>
      <c r="I28" s="337"/>
      <c r="J28" s="168"/>
      <c r="K28" s="168"/>
      <c r="M28" s="359">
        <f t="shared" si="7"/>
        <v>1.2087955625990492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573">
        <f>'[36]Sch C'!D14</f>
        <v>0</v>
      </c>
      <c r="D29" s="573">
        <f>'[36]Sch C'!F14</f>
        <v>0</v>
      </c>
      <c r="E29" s="171">
        <f t="shared" si="4"/>
        <v>0</v>
      </c>
      <c r="F29" s="573"/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573">
        <f>'[36]Sch C'!D15</f>
        <v>0</v>
      </c>
      <c r="D30" s="573">
        <f>'[36]Sch C'!F15</f>
        <v>0</v>
      </c>
      <c r="E30" s="171">
        <f t="shared" si="4"/>
        <v>0</v>
      </c>
      <c r="F30" s="573"/>
      <c r="G30" s="171">
        <f t="shared" si="5"/>
        <v>0</v>
      </c>
      <c r="H30" s="172">
        <f t="shared" si="6"/>
        <v>0</v>
      </c>
      <c r="I30" s="337"/>
      <c r="J30" s="168"/>
      <c r="K30" s="168"/>
      <c r="M30" s="359">
        <f t="shared" si="7"/>
        <v>0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573">
        <f>'[36]Sch C'!D16</f>
        <v>0</v>
      </c>
      <c r="D31" s="573">
        <f>'[36]Sch C'!F16</f>
        <v>0</v>
      </c>
      <c r="E31" s="171">
        <f t="shared" si="4"/>
        <v>0</v>
      </c>
      <c r="F31" s="573"/>
      <c r="G31" s="171">
        <f t="shared" si="5"/>
        <v>0</v>
      </c>
      <c r="H31" s="172">
        <f t="shared" si="6"/>
        <v>0</v>
      </c>
      <c r="I31" s="337"/>
      <c r="J31" s="168"/>
      <c r="K31" s="168"/>
      <c r="M31" s="359">
        <f t="shared" si="7"/>
        <v>0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573">
        <f>'[36]Sch C'!D17</f>
        <v>5064</v>
      </c>
      <c r="D32" s="573">
        <f>'[36]Sch C'!F17</f>
        <v>-5064</v>
      </c>
      <c r="E32" s="171">
        <f t="shared" si="4"/>
        <v>0</v>
      </c>
      <c r="F32" s="573"/>
      <c r="G32" s="171">
        <f t="shared" si="5"/>
        <v>0</v>
      </c>
      <c r="H32" s="172">
        <f t="shared" si="6"/>
        <v>0</v>
      </c>
      <c r="I32" s="337"/>
      <c r="J32" s="168"/>
      <c r="K32" s="168"/>
      <c r="M32" s="359">
        <f t="shared" si="7"/>
        <v>0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573">
        <f>'[36]Sch C'!D18</f>
        <v>1917</v>
      </c>
      <c r="D33" s="573">
        <f>'[36]Sch C'!F18</f>
        <v>0</v>
      </c>
      <c r="E33" s="171">
        <f t="shared" si="4"/>
        <v>1917</v>
      </c>
      <c r="F33" s="573"/>
      <c r="G33" s="171">
        <f t="shared" si="5"/>
        <v>1917</v>
      </c>
      <c r="H33" s="172">
        <f t="shared" si="6"/>
        <v>5.3113233423933374E-3</v>
      </c>
      <c r="I33" s="337"/>
      <c r="J33" s="168"/>
      <c r="K33" s="168"/>
      <c r="M33" s="359">
        <f t="shared" si="7"/>
        <v>0.75950871632329631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573">
        <f>'[36]Sch C'!D19</f>
        <v>6511</v>
      </c>
      <c r="D34" s="573">
        <f>'[36]Sch C'!F19</f>
        <v>0</v>
      </c>
      <c r="E34" s="171">
        <f t="shared" si="4"/>
        <v>6511</v>
      </c>
      <c r="F34" s="573"/>
      <c r="G34" s="171">
        <f t="shared" si="5"/>
        <v>6511</v>
      </c>
      <c r="H34" s="172">
        <f t="shared" si="6"/>
        <v>1.8039658989213884E-2</v>
      </c>
      <c r="I34" s="337"/>
      <c r="J34" s="168"/>
      <c r="K34" s="168"/>
      <c r="M34" s="359">
        <f t="shared" si="7"/>
        <v>2.5796354992076069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573">
        <f>'[36]Sch C'!D20</f>
        <v>2401</v>
      </c>
      <c r="D35" s="573">
        <f>'[36]Sch C'!F20</f>
        <v>0</v>
      </c>
      <c r="E35" s="171">
        <f t="shared" si="4"/>
        <v>2401</v>
      </c>
      <c r="F35" s="573"/>
      <c r="G35" s="171">
        <f t="shared" si="5"/>
        <v>2401</v>
      </c>
      <c r="H35" s="172">
        <f t="shared" si="6"/>
        <v>6.6523147340043828E-3</v>
      </c>
      <c r="I35" s="337"/>
      <c r="J35" s="168"/>
      <c r="K35" s="168"/>
      <c r="M35" s="359">
        <f t="shared" si="7"/>
        <v>0.95126782884310623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573">
        <f>'[36]Sch C'!D21</f>
        <v>2071</v>
      </c>
      <c r="D36" s="573">
        <f>'[36]Sch C'!F21</f>
        <v>0</v>
      </c>
      <c r="E36" s="171">
        <f t="shared" si="4"/>
        <v>2071</v>
      </c>
      <c r="F36" s="573"/>
      <c r="G36" s="171">
        <f t="shared" si="5"/>
        <v>2071</v>
      </c>
      <c r="H36" s="172">
        <f t="shared" si="6"/>
        <v>5.7380024215423061E-3</v>
      </c>
      <c r="I36" s="337"/>
      <c r="J36" s="168"/>
      <c r="K36" s="168"/>
      <c r="M36" s="359">
        <f t="shared" si="7"/>
        <v>0.82052297939778129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573">
        <f>'[36]Sch C'!D22</f>
        <v>0</v>
      </c>
      <c r="D37" s="573">
        <f>'[36]Sch C'!F22</f>
        <v>0</v>
      </c>
      <c r="E37" s="171">
        <f t="shared" si="4"/>
        <v>0</v>
      </c>
      <c r="F37" s="573"/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573">
        <f>'[36]Sch C'!D23</f>
        <v>2652</v>
      </c>
      <c r="D38" s="573">
        <f>'[36]Sch C'!F23</f>
        <v>0</v>
      </c>
      <c r="E38" s="171">
        <f t="shared" si="4"/>
        <v>2652</v>
      </c>
      <c r="F38" s="573"/>
      <c r="G38" s="171">
        <f t="shared" si="5"/>
        <v>2652</v>
      </c>
      <c r="H38" s="172">
        <f t="shared" si="6"/>
        <v>7.3477462201497808E-3</v>
      </c>
      <c r="I38" s="337"/>
      <c r="J38" s="168"/>
      <c r="K38" s="168"/>
      <c r="M38" s="359">
        <f t="shared" si="7"/>
        <v>1.0507131537242471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573">
        <f>'[36]Sch C'!D24</f>
        <v>0</v>
      </c>
      <c r="D39" s="573">
        <f>'[36]Sch C'!F24</f>
        <v>0</v>
      </c>
      <c r="E39" s="171">
        <f t="shared" si="4"/>
        <v>0</v>
      </c>
      <c r="F39" s="573"/>
      <c r="G39" s="171">
        <f t="shared" si="5"/>
        <v>0</v>
      </c>
      <c r="H39" s="172">
        <f t="shared" si="6"/>
        <v>0</v>
      </c>
      <c r="I39" s="337"/>
      <c r="J39" s="168"/>
      <c r="K39" s="168"/>
      <c r="M39" s="359">
        <f t="shared" si="7"/>
        <v>0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573">
        <f>'[36]Sch C'!D25</f>
        <v>0</v>
      </c>
      <c r="D40" s="573">
        <f>'[36]Sch C'!F25</f>
        <v>0</v>
      </c>
      <c r="E40" s="171">
        <f t="shared" si="4"/>
        <v>0</v>
      </c>
      <c r="F40" s="573"/>
      <c r="G40" s="171">
        <f t="shared" si="5"/>
        <v>0</v>
      </c>
      <c r="H40" s="172">
        <f t="shared" si="6"/>
        <v>0</v>
      </c>
      <c r="I40" s="337"/>
      <c r="J40" s="168"/>
      <c r="K40" s="168"/>
      <c r="M40" s="359">
        <f t="shared" si="7"/>
        <v>0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573">
        <f>'[36]Sch C'!D26</f>
        <v>44308</v>
      </c>
      <c r="D41" s="573">
        <f>'[36]Sch C'!F26</f>
        <v>0</v>
      </c>
      <c r="E41" s="171">
        <f t="shared" si="4"/>
        <v>44308</v>
      </c>
      <c r="F41" s="573"/>
      <c r="G41" s="171">
        <f t="shared" si="5"/>
        <v>44308</v>
      </c>
      <c r="H41" s="172">
        <f t="shared" si="6"/>
        <v>0.12276166648657484</v>
      </c>
      <c r="I41" s="337"/>
      <c r="J41" s="168"/>
      <c r="K41" s="168"/>
      <c r="M41" s="359">
        <f t="shared" si="7"/>
        <v>17.554675118858952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573">
        <f>'[36]Sch C'!D27</f>
        <v>0</v>
      </c>
      <c r="D42" s="573">
        <f>'[36]Sch C'!F27</f>
        <v>0</v>
      </c>
      <c r="E42" s="171">
        <f t="shared" si="4"/>
        <v>0</v>
      </c>
      <c r="F42" s="573"/>
      <c r="G42" s="171">
        <f t="shared" si="5"/>
        <v>0</v>
      </c>
      <c r="H42" s="172">
        <f t="shared" si="6"/>
        <v>0</v>
      </c>
      <c r="I42" s="337"/>
      <c r="J42" s="168"/>
      <c r="K42" s="168"/>
      <c r="M42" s="359">
        <f t="shared" si="7"/>
        <v>0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573">
        <f>'[36]Sch C'!D28</f>
        <v>0</v>
      </c>
      <c r="D43" s="573">
        <f>'[36]Sch C'!F28</f>
        <v>0</v>
      </c>
      <c r="E43" s="171">
        <f t="shared" si="4"/>
        <v>0</v>
      </c>
      <c r="F43" s="573"/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573">
        <f>'[36]Sch C'!D29</f>
        <v>0</v>
      </c>
      <c r="D44" s="573">
        <f>'[36]Sch C'!F29</f>
        <v>0</v>
      </c>
      <c r="E44" s="171">
        <f t="shared" si="4"/>
        <v>0</v>
      </c>
      <c r="F44" s="573"/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573">
        <f>'[36]Sch C'!D30</f>
        <v>0</v>
      </c>
      <c r="D45" s="573">
        <f>'[36]Sch C'!F30</f>
        <v>0</v>
      </c>
      <c r="E45" s="171">
        <f t="shared" si="4"/>
        <v>0</v>
      </c>
      <c r="F45" s="573"/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573">
        <f>'[36]Sch C'!D31</f>
        <v>7909</v>
      </c>
      <c r="D46" s="573">
        <f>'[36]Sch C'!F31</f>
        <v>0</v>
      </c>
      <c r="E46" s="171">
        <f t="shared" si="4"/>
        <v>7909</v>
      </c>
      <c r="F46" s="573"/>
      <c r="G46" s="171">
        <f t="shared" si="5"/>
        <v>7909</v>
      </c>
      <c r="H46" s="172">
        <f t="shared" si="6"/>
        <v>2.1913018422007775E-2</v>
      </c>
      <c r="I46" s="337"/>
      <c r="J46" s="168"/>
      <c r="K46" s="168"/>
      <c r="M46" s="359">
        <f t="shared" si="7"/>
        <v>3.1335182250396199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573">
        <f>'[36]Sch C'!D32</f>
        <v>4928</v>
      </c>
      <c r="D47" s="573">
        <f>'[36]Sch C'!F32</f>
        <v>0</v>
      </c>
      <c r="E47" s="171">
        <f t="shared" si="4"/>
        <v>4928</v>
      </c>
      <c r="F47" s="573"/>
      <c r="G47" s="171">
        <f t="shared" si="5"/>
        <v>4928</v>
      </c>
      <c r="H47" s="172">
        <f t="shared" si="6"/>
        <v>1.3653730532767014E-2</v>
      </c>
      <c r="I47" s="337"/>
      <c r="J47" s="168"/>
      <c r="K47" s="168"/>
      <c r="M47" s="359">
        <f t="shared" si="7"/>
        <v>1.9524564183835182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573">
        <f>'[36]Sch C'!D33</f>
        <v>0</v>
      </c>
      <c r="D48" s="573">
        <f>'[36]Sch C'!F33</f>
        <v>0</v>
      </c>
      <c r="E48" s="171">
        <f t="shared" si="4"/>
        <v>0</v>
      </c>
      <c r="F48" s="573"/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573">
        <f>'[36]Sch C'!D34</f>
        <v>0</v>
      </c>
      <c r="D49" s="573">
        <f>'[36]Sch C'!F34</f>
        <v>0</v>
      </c>
      <c r="E49" s="171">
        <f t="shared" si="4"/>
        <v>0</v>
      </c>
      <c r="F49" s="573"/>
      <c r="G49" s="171">
        <f t="shared" si="5"/>
        <v>0</v>
      </c>
      <c r="H49" s="172">
        <f t="shared" si="6"/>
        <v>0</v>
      </c>
      <c r="I49" s="337"/>
      <c r="J49" s="168"/>
      <c r="K49" s="168"/>
      <c r="M49" s="359">
        <f t="shared" si="7"/>
        <v>0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573">
        <f>'[36]Sch C'!D35</f>
        <v>0</v>
      </c>
      <c r="D50" s="573">
        <f>'[36]Sch C'!F35</f>
        <v>0</v>
      </c>
      <c r="E50" s="171">
        <f t="shared" si="4"/>
        <v>0</v>
      </c>
      <c r="F50" s="573"/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573">
        <f>'[36]Sch C'!D36</f>
        <v>0</v>
      </c>
      <c r="D51" s="573">
        <f>'[36]Sch C'!F36</f>
        <v>0</v>
      </c>
      <c r="E51" s="171">
        <f t="shared" si="4"/>
        <v>0</v>
      </c>
      <c r="F51" s="573"/>
      <c r="G51" s="171">
        <f t="shared" si="5"/>
        <v>0</v>
      </c>
      <c r="H51" s="172">
        <f t="shared" si="6"/>
        <v>0</v>
      </c>
      <c r="I51" s="337"/>
      <c r="J51" s="183">
        <v>0</v>
      </c>
      <c r="K51" s="183">
        <v>0</v>
      </c>
      <c r="M51" s="359">
        <f t="shared" si="7"/>
        <v>0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573">
        <f>'[36]Sch C'!D37</f>
        <v>0</v>
      </c>
      <c r="D52" s="573">
        <f>'[36]Sch C'!F37</f>
        <v>0</v>
      </c>
      <c r="E52" s="171">
        <f t="shared" si="4"/>
        <v>0</v>
      </c>
      <c r="F52" s="573"/>
      <c r="G52" s="171">
        <f t="shared" si="5"/>
        <v>0</v>
      </c>
      <c r="H52" s="172">
        <f t="shared" si="6"/>
        <v>0</v>
      </c>
      <c r="I52" s="337"/>
      <c r="J52" s="168"/>
      <c r="K52" s="168"/>
      <c r="M52" s="359">
        <f t="shared" si="7"/>
        <v>0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573">
        <f>'[36]Sch C'!D38</f>
        <v>0</v>
      </c>
      <c r="D53" s="573">
        <f>'[36]Sch C'!F38</f>
        <v>0</v>
      </c>
      <c r="E53" s="171">
        <f t="shared" si="4"/>
        <v>0</v>
      </c>
      <c r="F53" s="573"/>
      <c r="G53" s="171">
        <f t="shared" si="5"/>
        <v>0</v>
      </c>
      <c r="H53" s="172">
        <f t="shared" si="6"/>
        <v>0</v>
      </c>
      <c r="I53" s="337"/>
      <c r="J53" s="168"/>
      <c r="K53" s="168"/>
      <c r="M53" s="359">
        <f t="shared" si="7"/>
        <v>0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573">
        <f>'[36]Sch C'!D39</f>
        <v>60</v>
      </c>
      <c r="D54" s="573">
        <f>'[36]Sch C'!F39</f>
        <v>0</v>
      </c>
      <c r="E54" s="171">
        <f t="shared" si="4"/>
        <v>60</v>
      </c>
      <c r="F54" s="573"/>
      <c r="G54" s="171">
        <f t="shared" si="5"/>
        <v>60</v>
      </c>
      <c r="H54" s="172">
        <f t="shared" si="6"/>
        <v>1.6623860226583215E-4</v>
      </c>
      <c r="I54" s="337"/>
      <c r="J54" s="168"/>
      <c r="K54" s="168"/>
      <c r="M54" s="359">
        <f t="shared" si="7"/>
        <v>2.3771790808240888E-2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573">
        <f>'[36]Sch C'!D40</f>
        <v>129</v>
      </c>
      <c r="D55" s="573">
        <f>'[36]Sch C'!F40</f>
        <v>0</v>
      </c>
      <c r="E55" s="171">
        <f t="shared" si="4"/>
        <v>129</v>
      </c>
      <c r="F55" s="573"/>
      <c r="G55" s="171">
        <f t="shared" si="5"/>
        <v>129</v>
      </c>
      <c r="H55" s="172">
        <f t="shared" si="6"/>
        <v>3.5741299487153914E-4</v>
      </c>
      <c r="I55" s="337"/>
      <c r="J55" s="168"/>
      <c r="K55" s="168"/>
      <c r="M55" s="359">
        <f t="shared" si="7"/>
        <v>5.1109350237717906E-2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573">
        <f>'[36]Sch C'!D41</f>
        <v>3362</v>
      </c>
      <c r="D56" s="573">
        <f>'[36]Sch C'!F41</f>
        <v>0</v>
      </c>
      <c r="E56" s="171">
        <f t="shared" si="4"/>
        <v>3362</v>
      </c>
      <c r="F56" s="573"/>
      <c r="G56" s="171">
        <f t="shared" si="5"/>
        <v>3362</v>
      </c>
      <c r="H56" s="172">
        <f t="shared" si="6"/>
        <v>9.3149030136287954E-3</v>
      </c>
      <c r="I56" s="337"/>
      <c r="J56" s="168"/>
      <c r="K56" s="168"/>
      <c r="M56" s="359">
        <f t="shared" si="7"/>
        <v>1.332012678288431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573">
        <f>'[36]Sch C'!D42</f>
        <v>0</v>
      </c>
      <c r="D57" s="573">
        <f>'[36]Sch C'!F42</f>
        <v>0</v>
      </c>
      <c r="E57" s="171">
        <f t="shared" si="4"/>
        <v>0</v>
      </c>
      <c r="F57" s="573"/>
      <c r="G57" s="171">
        <f t="shared" si="5"/>
        <v>0</v>
      </c>
      <c r="H57" s="172">
        <f t="shared" si="6"/>
        <v>0</v>
      </c>
      <c r="I57" s="337"/>
      <c r="J57" s="168"/>
      <c r="K57" s="168"/>
      <c r="M57" s="359">
        <f t="shared" si="7"/>
        <v>0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573">
        <f>'[36]Sch C'!D43</f>
        <v>0</v>
      </c>
      <c r="D58" s="573">
        <f>'[36]Sch C'!F43</f>
        <v>0</v>
      </c>
      <c r="E58" s="171">
        <f t="shared" si="4"/>
        <v>0</v>
      </c>
      <c r="F58" s="573"/>
      <c r="G58" s="171">
        <f t="shared" si="5"/>
        <v>0</v>
      </c>
      <c r="H58" s="172">
        <f t="shared" si="6"/>
        <v>0</v>
      </c>
      <c r="I58" s="337"/>
      <c r="J58" s="168"/>
      <c r="K58" s="168"/>
      <c r="M58" s="359">
        <f t="shared" si="7"/>
        <v>0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573">
        <f>'[36]Sch C'!D44</f>
        <v>0</v>
      </c>
      <c r="D59" s="573">
        <f>'[36]Sch C'!F44</f>
        <v>0</v>
      </c>
      <c r="E59" s="171">
        <f t="shared" si="4"/>
        <v>0</v>
      </c>
      <c r="F59" s="573"/>
      <c r="G59" s="171">
        <f t="shared" si="5"/>
        <v>0</v>
      </c>
      <c r="H59" s="172">
        <f t="shared" si="6"/>
        <v>0</v>
      </c>
      <c r="I59" s="337"/>
      <c r="J59" s="168"/>
      <c r="K59" s="168"/>
      <c r="M59" s="359">
        <f t="shared" si="7"/>
        <v>0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573">
        <f>'[36]Sch C'!D45</f>
        <v>140</v>
      </c>
      <c r="D60" s="573">
        <f>'[36]Sch C'!F45</f>
        <v>0</v>
      </c>
      <c r="E60" s="171">
        <f t="shared" si="4"/>
        <v>140</v>
      </c>
      <c r="F60" s="573"/>
      <c r="G60" s="171">
        <f t="shared" si="5"/>
        <v>140</v>
      </c>
      <c r="H60" s="172">
        <f t="shared" si="6"/>
        <v>3.8789007195360833E-4</v>
      </c>
      <c r="I60" s="337"/>
      <c r="J60" s="168"/>
      <c r="K60" s="168"/>
      <c r="M60" s="359">
        <f t="shared" si="7"/>
        <v>5.5467511885895403E-2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573">
        <f>SUM(C25:C60)</f>
        <v>122089</v>
      </c>
      <c r="D61" s="573">
        <f>SUM(D25:D60)</f>
        <v>-13652</v>
      </c>
      <c r="E61" s="171">
        <f t="shared" ref="E61" si="8">SUM(E25:E60)</f>
        <v>108437</v>
      </c>
      <c r="F61" s="573">
        <f>SUM(F25:F60)</f>
        <v>0</v>
      </c>
      <c r="G61" s="171">
        <f>SUM(G25:G60)</f>
        <v>108437</v>
      </c>
      <c r="H61" s="186">
        <f t="shared" si="6"/>
        <v>0.30044025523166734</v>
      </c>
      <c r="I61" s="339"/>
      <c r="J61" s="168"/>
      <c r="K61" s="168"/>
      <c r="M61" s="364">
        <f>G61/G$228</f>
        <v>42.962361331220286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I62" s="340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573">
        <f>'[36]Sch C'!D57</f>
        <v>0</v>
      </c>
      <c r="D64" s="573">
        <f>'[36]Sch C'!F57</f>
        <v>0</v>
      </c>
      <c r="E64" s="171">
        <f t="shared" ref="E64:E78" si="9">C64+D64</f>
        <v>0</v>
      </c>
      <c r="F64" s="573"/>
      <c r="G64" s="171">
        <f t="shared" ref="G64:G78" si="10">E64+F64</f>
        <v>0</v>
      </c>
      <c r="H64" s="172">
        <f t="shared" ref="H64:H79" si="11">IF($G$208=0,0,G64/$G$208)</f>
        <v>0</v>
      </c>
      <c r="I64" s="337"/>
      <c r="J64" s="190"/>
      <c r="K64" s="168"/>
      <c r="M64" s="359">
        <f t="shared" ref="M64:M79" si="12">G64/G$228</f>
        <v>0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573">
        <f>'[36]Sch C'!D58</f>
        <v>0</v>
      </c>
      <c r="D65" s="573">
        <f>'[36]Sch C'!F58</f>
        <v>0</v>
      </c>
      <c r="E65" s="171">
        <f t="shared" si="9"/>
        <v>0</v>
      </c>
      <c r="F65" s="573"/>
      <c r="G65" s="171">
        <f t="shared" si="10"/>
        <v>0</v>
      </c>
      <c r="H65" s="172">
        <f t="shared" si="11"/>
        <v>0</v>
      </c>
      <c r="I65" s="337"/>
      <c r="J65" s="190"/>
      <c r="K65" s="168"/>
      <c r="M65" s="359">
        <f t="shared" si="12"/>
        <v>0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573">
        <f>'[36]Sch C'!D59</f>
        <v>0</v>
      </c>
      <c r="D66" s="573">
        <f>'[36]Sch C'!F59</f>
        <v>0</v>
      </c>
      <c r="E66" s="171">
        <f t="shared" si="9"/>
        <v>0</v>
      </c>
      <c r="F66" s="573"/>
      <c r="G66" s="171">
        <f t="shared" si="10"/>
        <v>0</v>
      </c>
      <c r="H66" s="172">
        <f t="shared" si="11"/>
        <v>0</v>
      </c>
      <c r="I66" s="337"/>
      <c r="J66" s="190"/>
      <c r="K66" s="168"/>
      <c r="M66" s="359">
        <f t="shared" si="12"/>
        <v>0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573">
        <f>'[36]Sch C'!D60</f>
        <v>0</v>
      </c>
      <c r="D67" s="573">
        <f>'[36]Sch C'!F60</f>
        <v>0</v>
      </c>
      <c r="E67" s="171">
        <f t="shared" si="9"/>
        <v>0</v>
      </c>
      <c r="F67" s="573"/>
      <c r="G67" s="171">
        <f t="shared" si="10"/>
        <v>0</v>
      </c>
      <c r="H67" s="172">
        <f t="shared" si="11"/>
        <v>0</v>
      </c>
      <c r="I67" s="337"/>
      <c r="J67" s="193"/>
      <c r="K67" s="168"/>
      <c r="M67" s="359">
        <f t="shared" si="12"/>
        <v>0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573">
        <f>'[36]Sch C'!D61</f>
        <v>0</v>
      </c>
      <c r="D68" s="573">
        <f>'[36]Sch C'!F61</f>
        <v>0</v>
      </c>
      <c r="E68" s="171">
        <f t="shared" si="9"/>
        <v>0</v>
      </c>
      <c r="F68" s="573"/>
      <c r="G68" s="171">
        <f t="shared" si="10"/>
        <v>0</v>
      </c>
      <c r="H68" s="172">
        <f t="shared" si="11"/>
        <v>0</v>
      </c>
      <c r="I68" s="337"/>
      <c r="J68" s="193"/>
      <c r="K68" s="168"/>
      <c r="M68" s="359">
        <f t="shared" si="12"/>
        <v>0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573">
        <f>'[36]Sch C'!D62</f>
        <v>0</v>
      </c>
      <c r="D69" s="573">
        <f>'[36]Sch C'!F62</f>
        <v>0</v>
      </c>
      <c r="E69" s="171">
        <f t="shared" si="9"/>
        <v>0</v>
      </c>
      <c r="F69" s="573"/>
      <c r="G69" s="171">
        <f t="shared" si="10"/>
        <v>0</v>
      </c>
      <c r="H69" s="172">
        <f t="shared" si="11"/>
        <v>0</v>
      </c>
      <c r="I69" s="337"/>
      <c r="J69" s="195"/>
      <c r="K69" s="168"/>
      <c r="M69" s="359">
        <f t="shared" si="12"/>
        <v>0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573">
        <f>'[36]Sch C'!D63</f>
        <v>0</v>
      </c>
      <c r="D70" s="573">
        <f>'[36]Sch C'!F63</f>
        <v>0</v>
      </c>
      <c r="E70" s="171">
        <f t="shared" si="9"/>
        <v>0</v>
      </c>
      <c r="F70" s="573"/>
      <c r="G70" s="171">
        <f t="shared" si="10"/>
        <v>0</v>
      </c>
      <c r="H70" s="172">
        <f t="shared" si="11"/>
        <v>0</v>
      </c>
      <c r="I70" s="337"/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573">
        <f>'[36]Sch C'!D64</f>
        <v>0</v>
      </c>
      <c r="D71" s="573">
        <f>'[36]Sch C'!F64</f>
        <v>0</v>
      </c>
      <c r="E71" s="171">
        <f t="shared" si="9"/>
        <v>0</v>
      </c>
      <c r="F71" s="573"/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573">
        <f>'[36]Sch C'!D65</f>
        <v>0</v>
      </c>
      <c r="D72" s="573">
        <f>'[36]Sch C'!F65</f>
        <v>0</v>
      </c>
      <c r="E72" s="171">
        <f t="shared" si="9"/>
        <v>0</v>
      </c>
      <c r="F72" s="573"/>
      <c r="G72" s="171">
        <f t="shared" si="10"/>
        <v>0</v>
      </c>
      <c r="H72" s="172">
        <f t="shared" si="11"/>
        <v>0</v>
      </c>
      <c r="I72" s="337"/>
      <c r="J72" s="195"/>
      <c r="K72" s="168"/>
      <c r="M72" s="359">
        <f t="shared" si="12"/>
        <v>0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573" t="str">
        <f>'[36]Sch C'!D66</f>
        <v xml:space="preserve">**No Lease expense charged for first  </v>
      </c>
      <c r="D73" s="573">
        <f>'[36]Sch C'!F66</f>
        <v>0</v>
      </c>
      <c r="E73" s="171">
        <f>SUM(C73:D73)</f>
        <v>0</v>
      </c>
      <c r="F73" s="573"/>
      <c r="G73" s="171">
        <f t="shared" si="10"/>
        <v>0</v>
      </c>
      <c r="H73" s="172">
        <f t="shared" si="11"/>
        <v>0</v>
      </c>
      <c r="I73" s="337"/>
      <c r="J73" s="195"/>
      <c r="K73" s="168"/>
      <c r="M73" s="359">
        <f t="shared" si="12"/>
        <v>0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573" t="str">
        <f>'[36]Sch C'!D67</f>
        <v xml:space="preserve">   90 days of operation.</v>
      </c>
      <c r="D74" s="573">
        <f>'[36]Sch C'!F67</f>
        <v>0</v>
      </c>
      <c r="E74" s="171">
        <f>SUM(C74:D74)</f>
        <v>0</v>
      </c>
      <c r="F74" s="573"/>
      <c r="G74" s="171">
        <f t="shared" si="10"/>
        <v>0</v>
      </c>
      <c r="H74" s="172">
        <f t="shared" si="11"/>
        <v>0</v>
      </c>
      <c r="I74" s="337"/>
      <c r="J74" s="195"/>
      <c r="K74" s="168"/>
      <c r="M74" s="359">
        <f t="shared" si="12"/>
        <v>0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573">
        <f>'[36]Sch C'!D68</f>
        <v>0</v>
      </c>
      <c r="D75" s="573">
        <f>'[36]Sch C'!F68</f>
        <v>0</v>
      </c>
      <c r="E75" s="171">
        <f t="shared" si="9"/>
        <v>0</v>
      </c>
      <c r="F75" s="573"/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573">
        <f>'[36]Sch C'!D69</f>
        <v>0</v>
      </c>
      <c r="D76" s="573">
        <f>'[36]Sch C'!F69</f>
        <v>0</v>
      </c>
      <c r="E76" s="171">
        <f t="shared" si="9"/>
        <v>0</v>
      </c>
      <c r="F76" s="573"/>
      <c r="G76" s="171">
        <f t="shared" si="10"/>
        <v>0</v>
      </c>
      <c r="H76" s="172">
        <f t="shared" si="11"/>
        <v>0</v>
      </c>
      <c r="I76" s="337"/>
      <c r="J76" s="195"/>
      <c r="K76" s="168"/>
      <c r="M76" s="359">
        <f t="shared" si="12"/>
        <v>0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573">
        <f>'[36]Sch C'!D70</f>
        <v>0</v>
      </c>
      <c r="D77" s="573">
        <f>'[36]Sch C'!F70</f>
        <v>0</v>
      </c>
      <c r="E77" s="171">
        <f t="shared" si="9"/>
        <v>0</v>
      </c>
      <c r="F77" s="573"/>
      <c r="G77" s="171">
        <f t="shared" si="10"/>
        <v>0</v>
      </c>
      <c r="H77" s="172">
        <f t="shared" si="11"/>
        <v>0</v>
      </c>
      <c r="I77" s="337"/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573">
        <f>'[36]Sch C'!D71</f>
        <v>0</v>
      </c>
      <c r="D78" s="573">
        <f>'[36]Sch C'!F71</f>
        <v>0</v>
      </c>
      <c r="E78" s="171">
        <f t="shared" si="9"/>
        <v>0</v>
      </c>
      <c r="F78" s="573"/>
      <c r="G78" s="171">
        <f t="shared" si="10"/>
        <v>0</v>
      </c>
      <c r="H78" s="172">
        <f t="shared" si="11"/>
        <v>0</v>
      </c>
      <c r="I78" s="337"/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573">
        <f>SUM(C64:C78)</f>
        <v>0</v>
      </c>
      <c r="D79" s="573">
        <f>SUM(D64:D78)</f>
        <v>0</v>
      </c>
      <c r="E79" s="171">
        <f t="shared" ref="E79" si="13">SUM(E64:E78)</f>
        <v>0</v>
      </c>
      <c r="F79" s="573">
        <f>SUM(F64:F78)</f>
        <v>0</v>
      </c>
      <c r="G79" s="171">
        <f>SUM(G64:G78)</f>
        <v>0</v>
      </c>
      <c r="H79" s="172">
        <f t="shared" si="11"/>
        <v>0</v>
      </c>
      <c r="I79" s="337"/>
      <c r="J79" s="195"/>
      <c r="K79" s="168"/>
      <c r="M79" s="359">
        <f t="shared" si="12"/>
        <v>0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573">
        <f>'[36]Sch C'!D75</f>
        <v>7341</v>
      </c>
      <c r="D82" s="573">
        <f>'[36]Sch C'!F75</f>
        <v>-2174</v>
      </c>
      <c r="E82" s="171">
        <f t="shared" ref="E82:E92" si="14">C82+D82</f>
        <v>5167</v>
      </c>
      <c r="F82" s="573"/>
      <c r="G82" s="171">
        <f t="shared" ref="G82:G92" si="15">E82+F82</f>
        <v>5167</v>
      </c>
      <c r="H82" s="172">
        <f t="shared" ref="H82:H93" si="16">IF($G$208=0,0,G82/$G$208)</f>
        <v>1.4315914298459246E-2</v>
      </c>
      <c r="I82" s="337"/>
      <c r="J82" s="183">
        <v>195.68</v>
      </c>
      <c r="K82" s="183">
        <v>195.68</v>
      </c>
      <c r="M82" s="359">
        <f t="shared" ref="M82:M92" si="17">G82/G$228</f>
        <v>2.0471473851030111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573">
        <f>'[36]Sch C'!D76</f>
        <v>725</v>
      </c>
      <c r="D83" s="573">
        <f>'[36]Sch C'!F76</f>
        <v>0</v>
      </c>
      <c r="E83" s="171">
        <f t="shared" si="14"/>
        <v>725</v>
      </c>
      <c r="F83" s="573"/>
      <c r="G83" s="171">
        <f t="shared" si="15"/>
        <v>725</v>
      </c>
      <c r="H83" s="172">
        <f t="shared" si="16"/>
        <v>2.0087164440454716E-3</v>
      </c>
      <c r="I83" s="337"/>
      <c r="J83" s="168"/>
      <c r="K83" s="168"/>
      <c r="M83" s="359">
        <f t="shared" si="17"/>
        <v>0.28724247226624405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573">
        <f>'[36]Sch C'!D77</f>
        <v>792</v>
      </c>
      <c r="D84" s="573">
        <f>'[36]Sch C'!F77</f>
        <v>0</v>
      </c>
      <c r="E84" s="171">
        <f t="shared" si="14"/>
        <v>792</v>
      </c>
      <c r="F84" s="573"/>
      <c r="G84" s="171">
        <f t="shared" si="15"/>
        <v>792</v>
      </c>
      <c r="H84" s="172">
        <f t="shared" si="16"/>
        <v>2.1943495499089842E-3</v>
      </c>
      <c r="I84" s="337"/>
      <c r="J84" s="168"/>
      <c r="K84" s="168"/>
      <c r="M84" s="359">
        <f t="shared" si="17"/>
        <v>0.31378763866877973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573">
        <f>'[36]Sch C'!D78</f>
        <v>94</v>
      </c>
      <c r="D85" s="573">
        <f>'[36]Sch C'!F78</f>
        <v>0</v>
      </c>
      <c r="E85" s="171">
        <f t="shared" si="14"/>
        <v>94</v>
      </c>
      <c r="F85" s="573"/>
      <c r="G85" s="171">
        <f t="shared" si="15"/>
        <v>94</v>
      </c>
      <c r="H85" s="172">
        <f t="shared" si="16"/>
        <v>2.6044047688313706E-4</v>
      </c>
      <c r="I85" s="337"/>
      <c r="J85" s="168"/>
      <c r="K85" s="168"/>
      <c r="M85" s="359">
        <f t="shared" si="17"/>
        <v>3.724247226624406E-2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573">
        <f>'[36]Sch C'!D79</f>
        <v>0</v>
      </c>
      <c r="D86" s="573">
        <f>'[36]Sch C'!F79</f>
        <v>0</v>
      </c>
      <c r="E86" s="171">
        <f t="shared" si="14"/>
        <v>0</v>
      </c>
      <c r="F86" s="573"/>
      <c r="G86" s="171">
        <f>E86+F86</f>
        <v>0</v>
      </c>
      <c r="H86" s="172">
        <f t="shared" si="16"/>
        <v>0</v>
      </c>
      <c r="I86" s="337"/>
      <c r="J86" s="168"/>
      <c r="K86" s="168"/>
      <c r="M86" s="359">
        <f t="shared" si="17"/>
        <v>0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573">
        <f>'[36]Sch C'!D80</f>
        <v>11933</v>
      </c>
      <c r="D87" s="573">
        <f>'[36]Sch C'!F80</f>
        <v>0</v>
      </c>
      <c r="E87" s="171">
        <f t="shared" si="14"/>
        <v>11933</v>
      </c>
      <c r="F87" s="573"/>
      <c r="G87" s="171">
        <f t="shared" si="15"/>
        <v>11933</v>
      </c>
      <c r="H87" s="172">
        <f t="shared" si="16"/>
        <v>3.3062087347302919E-2</v>
      </c>
      <c r="I87" s="337"/>
      <c r="J87" s="168"/>
      <c r="K87" s="168"/>
      <c r="M87" s="359">
        <f t="shared" si="17"/>
        <v>4.7278129952456416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573">
        <f>'[36]Sch C'!D81</f>
        <v>48333</v>
      </c>
      <c r="D88" s="573">
        <f>'[36]Sch C'!F81</f>
        <v>-48333</v>
      </c>
      <c r="E88" s="171">
        <f t="shared" si="14"/>
        <v>0</v>
      </c>
      <c r="F88" s="573"/>
      <c r="G88" s="171">
        <f t="shared" si="15"/>
        <v>0</v>
      </c>
      <c r="H88" s="172">
        <f t="shared" si="16"/>
        <v>0</v>
      </c>
      <c r="I88" s="337"/>
      <c r="J88" s="168"/>
      <c r="K88" s="168"/>
      <c r="M88" s="359">
        <f t="shared" si="17"/>
        <v>0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573">
        <f>'[36]Sch C'!D82</f>
        <v>607</v>
      </c>
      <c r="D89" s="573">
        <f>'[36]Sch C'!F82</f>
        <v>0</v>
      </c>
      <c r="E89" s="171">
        <f t="shared" si="14"/>
        <v>607</v>
      </c>
      <c r="F89" s="573"/>
      <c r="G89" s="171">
        <f t="shared" si="15"/>
        <v>607</v>
      </c>
      <c r="H89" s="172">
        <f t="shared" si="16"/>
        <v>1.681780526256002E-3</v>
      </c>
      <c r="I89" s="337"/>
      <c r="J89" s="168"/>
      <c r="K89" s="168"/>
      <c r="M89" s="359">
        <f t="shared" si="17"/>
        <v>0.24049128367670364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573">
        <f>'[36]Sch C'!D83</f>
        <v>310</v>
      </c>
      <c r="D90" s="573">
        <f>'[36]Sch C'!F83</f>
        <v>0</v>
      </c>
      <c r="E90" s="171">
        <f t="shared" si="14"/>
        <v>310</v>
      </c>
      <c r="F90" s="573"/>
      <c r="G90" s="171">
        <f t="shared" si="15"/>
        <v>310</v>
      </c>
      <c r="H90" s="172">
        <f t="shared" si="16"/>
        <v>8.5889944504013277E-4</v>
      </c>
      <c r="I90" s="337"/>
      <c r="J90" s="168"/>
      <c r="K90" s="168"/>
      <c r="M90" s="359">
        <f t="shared" si="17"/>
        <v>0.12282091917591126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573">
        <f>'[36]Sch C'!D84</f>
        <v>7516</v>
      </c>
      <c r="D91" s="573">
        <f>'[36]Sch C'!F84</f>
        <v>0</v>
      </c>
      <c r="E91" s="171">
        <f t="shared" si="14"/>
        <v>7516</v>
      </c>
      <c r="F91" s="573"/>
      <c r="G91" s="171">
        <f t="shared" si="15"/>
        <v>7516</v>
      </c>
      <c r="H91" s="172">
        <f t="shared" si="16"/>
        <v>2.0824155577166575E-2</v>
      </c>
      <c r="I91" s="337"/>
      <c r="J91" s="168"/>
      <c r="K91" s="168"/>
      <c r="M91" s="359">
        <f t="shared" si="17"/>
        <v>2.977812995245642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573">
        <f>'[36]Sch C'!D85</f>
        <v>582</v>
      </c>
      <c r="D92" s="573">
        <f>'[36]Sch C'!F85</f>
        <v>0</v>
      </c>
      <c r="E92" s="171">
        <f t="shared" si="14"/>
        <v>582</v>
      </c>
      <c r="F92" s="573"/>
      <c r="G92" s="171">
        <f t="shared" si="15"/>
        <v>582</v>
      </c>
      <c r="H92" s="172">
        <f t="shared" si="16"/>
        <v>1.6125144419785718E-3</v>
      </c>
      <c r="I92" s="337"/>
      <c r="J92" s="168"/>
      <c r="K92" s="168"/>
      <c r="M92" s="359">
        <f t="shared" si="17"/>
        <v>0.23058637083993661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573">
        <f>SUM(C82:C92)</f>
        <v>78233</v>
      </c>
      <c r="D93" s="573">
        <f>SUM(D82:D92)</f>
        <v>-50507</v>
      </c>
      <c r="E93" s="171">
        <f t="shared" ref="E93" si="18">SUM(E82:E92)</f>
        <v>27726</v>
      </c>
      <c r="F93" s="573">
        <f>SUM(F82:F92)</f>
        <v>0</v>
      </c>
      <c r="G93" s="171">
        <f>SUM(G82:G92)</f>
        <v>27726</v>
      </c>
      <c r="H93" s="172">
        <f t="shared" si="16"/>
        <v>7.6818858107041033E-2</v>
      </c>
      <c r="I93" s="337"/>
      <c r="J93" s="168"/>
      <c r="K93" s="168"/>
      <c r="M93" s="364">
        <f>G93/G$228</f>
        <v>10.984944532488115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573">
        <f>'[36]Sch C'!D89</f>
        <v>24096</v>
      </c>
      <c r="D96" s="573">
        <f>'[36]Sch C'!F89</f>
        <v>-7625</v>
      </c>
      <c r="E96" s="171">
        <f t="shared" ref="E96:E101" si="19">C96+D96</f>
        <v>16471</v>
      </c>
      <c r="F96" s="573"/>
      <c r="G96" s="171">
        <f t="shared" ref="G96:G101" si="20">E96+F96</f>
        <v>16471</v>
      </c>
      <c r="H96" s="172">
        <f t="shared" ref="H96:H102" si="21">IF($G$208=0,0,G96/$G$208)</f>
        <v>4.5635266965342022E-2</v>
      </c>
      <c r="I96" s="337"/>
      <c r="J96" s="183">
        <v>1285.6199999999999</v>
      </c>
      <c r="K96" s="183">
        <v>1285.6199999999999</v>
      </c>
      <c r="M96" s="364">
        <f t="shared" ref="M96:M101" si="22">G96/G$228</f>
        <v>6.5257527733755945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573">
        <f>'[36]Sch C'!D90</f>
        <v>2394</v>
      </c>
      <c r="D97" s="573">
        <f>'[36]Sch C'!F90</f>
        <v>0</v>
      </c>
      <c r="E97" s="171">
        <f t="shared" si="19"/>
        <v>2394</v>
      </c>
      <c r="F97" s="573"/>
      <c r="G97" s="171">
        <f t="shared" si="20"/>
        <v>2394</v>
      </c>
      <c r="H97" s="172">
        <f t="shared" si="21"/>
        <v>6.6329202304067029E-3</v>
      </c>
      <c r="I97" s="337"/>
      <c r="J97" s="168"/>
      <c r="K97" s="168"/>
      <c r="M97" s="364">
        <f t="shared" si="22"/>
        <v>0.94849445324881143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573">
        <f>'[36]Sch C'!D91</f>
        <v>800</v>
      </c>
      <c r="D98" s="573">
        <f>'[36]Sch C'!F91</f>
        <v>0</v>
      </c>
      <c r="E98" s="171">
        <f t="shared" si="19"/>
        <v>800</v>
      </c>
      <c r="F98" s="573"/>
      <c r="G98" s="171">
        <f t="shared" si="20"/>
        <v>800</v>
      </c>
      <c r="H98" s="172">
        <f t="shared" si="21"/>
        <v>2.2165146968777618E-3</v>
      </c>
      <c r="I98" s="337"/>
      <c r="J98" s="168"/>
      <c r="K98" s="168"/>
      <c r="M98" s="364">
        <f t="shared" si="22"/>
        <v>0.31695721077654515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573">
        <f>'[36]Sch C'!D92</f>
        <v>12488</v>
      </c>
      <c r="D99" s="573">
        <f>'[36]Sch C'!F92</f>
        <v>0</v>
      </c>
      <c r="E99" s="171">
        <f t="shared" si="19"/>
        <v>12488</v>
      </c>
      <c r="F99" s="573"/>
      <c r="G99" s="171">
        <f t="shared" si="20"/>
        <v>12488</v>
      </c>
      <c r="H99" s="172">
        <f t="shared" si="21"/>
        <v>3.4599794418261866E-2</v>
      </c>
      <c r="I99" s="337"/>
      <c r="J99" s="168"/>
      <c r="K99" s="168"/>
      <c r="M99" s="364">
        <f t="shared" si="22"/>
        <v>4.9477020602218698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573">
        <f>'[36]Sch C'!D93</f>
        <v>2005</v>
      </c>
      <c r="D100" s="573">
        <f>'[36]Sch C'!F93</f>
        <v>0</v>
      </c>
      <c r="E100" s="171">
        <f t="shared" si="19"/>
        <v>2005</v>
      </c>
      <c r="F100" s="573"/>
      <c r="G100" s="171">
        <f t="shared" si="20"/>
        <v>2005</v>
      </c>
      <c r="H100" s="172">
        <f t="shared" si="21"/>
        <v>5.5551399590498913E-3</v>
      </c>
      <c r="I100" s="337"/>
      <c r="J100" s="168"/>
      <c r="K100" s="168"/>
      <c r="M100" s="364">
        <f t="shared" si="22"/>
        <v>0.79437400950871628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573">
        <f>'[36]Sch C'!D94</f>
        <v>0</v>
      </c>
      <c r="D101" s="573">
        <f>'[36]Sch C'!F94</f>
        <v>0</v>
      </c>
      <c r="E101" s="171">
        <f t="shared" si="19"/>
        <v>0</v>
      </c>
      <c r="F101" s="573"/>
      <c r="G101" s="171">
        <f t="shared" si="20"/>
        <v>0</v>
      </c>
      <c r="H101" s="172">
        <f t="shared" si="21"/>
        <v>0</v>
      </c>
      <c r="I101" s="337"/>
      <c r="J101" s="168"/>
      <c r="K101" s="168"/>
      <c r="M101" s="364">
        <f t="shared" si="22"/>
        <v>0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573">
        <f>SUM(C96:C101)</f>
        <v>41783</v>
      </c>
      <c r="D102" s="573">
        <f>SUM(D96:D101)</f>
        <v>-7625</v>
      </c>
      <c r="E102" s="171">
        <f t="shared" ref="E102" si="23">SUM(E96:E101)</f>
        <v>34158</v>
      </c>
      <c r="F102" s="573">
        <f>SUM(F96:F101)</f>
        <v>0</v>
      </c>
      <c r="G102" s="171">
        <f>SUM(G96:G101)</f>
        <v>34158</v>
      </c>
      <c r="H102" s="172">
        <f t="shared" si="21"/>
        <v>9.4639636269938238E-2</v>
      </c>
      <c r="I102" s="337"/>
      <c r="J102" s="168"/>
      <c r="K102" s="168"/>
      <c r="M102" s="364">
        <f>G102/G$228</f>
        <v>13.533280507131538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573">
        <f>'[36]Sch C'!D98</f>
        <v>4364</v>
      </c>
      <c r="D105" s="573">
        <f>'[36]Sch C'!F98</f>
        <v>-1427</v>
      </c>
      <c r="E105" s="171">
        <f t="shared" ref="E105:E110" si="24">C105+D105</f>
        <v>2937</v>
      </c>
      <c r="F105" s="573"/>
      <c r="G105" s="171">
        <f t="shared" ref="G105:G110" si="25">E105+F105</f>
        <v>2937</v>
      </c>
      <c r="H105" s="172">
        <f t="shared" ref="H105:H111" si="26">IF($G$208=0,0,G105/$G$208)</f>
        <v>8.1373795809124832E-3</v>
      </c>
      <c r="I105" s="337"/>
      <c r="J105" s="183">
        <v>252.34</v>
      </c>
      <c r="K105" s="183">
        <v>252.34</v>
      </c>
      <c r="M105" s="364">
        <f t="shared" ref="M105:M110" si="27">G105/G$228</f>
        <v>1.1636291600633915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573">
        <f>'[36]Sch C'!D99</f>
        <v>431</v>
      </c>
      <c r="D106" s="573">
        <f>'[36]Sch C'!F99</f>
        <v>0</v>
      </c>
      <c r="E106" s="171">
        <f t="shared" si="24"/>
        <v>431</v>
      </c>
      <c r="F106" s="573"/>
      <c r="G106" s="171">
        <f t="shared" si="25"/>
        <v>431</v>
      </c>
      <c r="H106" s="172">
        <f t="shared" si="26"/>
        <v>1.1941472929428943E-3</v>
      </c>
      <c r="I106" s="337"/>
      <c r="J106" s="168"/>
      <c r="K106" s="168"/>
      <c r="M106" s="364">
        <f t="shared" si="27"/>
        <v>0.17076069730586371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573">
        <f>'[36]Sch C'!D100</f>
        <v>376</v>
      </c>
      <c r="D107" s="573">
        <f>'[36]Sch C'!F100</f>
        <v>0</v>
      </c>
      <c r="E107" s="171">
        <f t="shared" si="24"/>
        <v>376</v>
      </c>
      <c r="F107" s="573"/>
      <c r="G107" s="171">
        <f t="shared" si="25"/>
        <v>376</v>
      </c>
      <c r="H107" s="172">
        <f t="shared" si="26"/>
        <v>1.0417619075325482E-3</v>
      </c>
      <c r="I107" s="337"/>
      <c r="J107" s="168"/>
      <c r="K107" s="168"/>
      <c r="M107" s="364">
        <f t="shared" si="27"/>
        <v>0.14896988906497624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573">
        <f>'[36]Sch C'!D101</f>
        <v>0</v>
      </c>
      <c r="D108" s="573">
        <f>'[36]Sch C'!F101</f>
        <v>0</v>
      </c>
      <c r="E108" s="171">
        <f t="shared" si="24"/>
        <v>0</v>
      </c>
      <c r="F108" s="573"/>
      <c r="G108" s="171">
        <f t="shared" si="25"/>
        <v>0</v>
      </c>
      <c r="H108" s="172">
        <f t="shared" si="26"/>
        <v>0</v>
      </c>
      <c r="I108" s="337"/>
      <c r="J108" s="168"/>
      <c r="K108" s="168"/>
      <c r="M108" s="364">
        <f t="shared" si="27"/>
        <v>0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573">
        <f>'[36]Sch C'!D102</f>
        <v>168</v>
      </c>
      <c r="D109" s="573">
        <f>'[36]Sch C'!F102</f>
        <v>0</v>
      </c>
      <c r="E109" s="171">
        <f t="shared" si="24"/>
        <v>168</v>
      </c>
      <c r="F109" s="573"/>
      <c r="G109" s="171">
        <f t="shared" si="25"/>
        <v>168</v>
      </c>
      <c r="H109" s="172">
        <f t="shared" si="26"/>
        <v>4.6546808634433004E-4</v>
      </c>
      <c r="I109" s="337"/>
      <c r="J109" s="168"/>
      <c r="K109" s="168"/>
      <c r="M109" s="364">
        <f t="shared" si="27"/>
        <v>6.6561014263074481E-2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573">
        <f>'[36]Sch C'!D103</f>
        <v>0</v>
      </c>
      <c r="D110" s="573">
        <f>'[36]Sch C'!F103</f>
        <v>0</v>
      </c>
      <c r="E110" s="171">
        <f t="shared" si="24"/>
        <v>0</v>
      </c>
      <c r="F110" s="573"/>
      <c r="G110" s="171">
        <f t="shared" si="25"/>
        <v>0</v>
      </c>
      <c r="H110" s="172">
        <f t="shared" si="26"/>
        <v>0</v>
      </c>
      <c r="I110" s="337"/>
      <c r="J110" s="168"/>
      <c r="K110" s="168"/>
      <c r="M110" s="364">
        <f t="shared" si="27"/>
        <v>0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573">
        <f>SUM(C105:C110)</f>
        <v>5339</v>
      </c>
      <c r="D111" s="573">
        <f>SUM(D105:D110)</f>
        <v>-1427</v>
      </c>
      <c r="E111" s="171">
        <f t="shared" ref="E111" si="28">SUM(E105:E110)</f>
        <v>3912</v>
      </c>
      <c r="F111" s="573">
        <f>SUM(F105:F110)</f>
        <v>0</v>
      </c>
      <c r="G111" s="171">
        <f>SUM(G105:G110)</f>
        <v>3912</v>
      </c>
      <c r="H111" s="172">
        <f t="shared" si="26"/>
        <v>1.0838756867732256E-2</v>
      </c>
      <c r="I111" s="337"/>
      <c r="J111" s="168"/>
      <c r="K111" s="168"/>
      <c r="M111" s="364">
        <f>G111/G$228</f>
        <v>1.5499207606973058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573">
        <f>'[36]Sch C'!D115</f>
        <v>11663</v>
      </c>
      <c r="D114" s="573">
        <f>'[36]Sch C'!F115</f>
        <v>-4364</v>
      </c>
      <c r="E114" s="171">
        <f t="shared" ref="E114:E118" si="29">C114+D114</f>
        <v>7299</v>
      </c>
      <c r="F114" s="573"/>
      <c r="G114" s="171">
        <f>E114+F114</f>
        <v>7299</v>
      </c>
      <c r="H114" s="172">
        <f t="shared" ref="H114:H119" si="30">IF($G$208=0,0,G114/$G$208)</f>
        <v>2.0222925965638482E-2</v>
      </c>
      <c r="I114" s="337"/>
      <c r="J114" s="183">
        <v>710.16</v>
      </c>
      <c r="K114" s="183">
        <v>710.16</v>
      </c>
      <c r="M114" s="364">
        <f t="shared" ref="M114:M119" si="31">G114/G$228</f>
        <v>2.8918383518225039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573">
        <f>'[36]Sch C'!D116</f>
        <v>877</v>
      </c>
      <c r="D115" s="573">
        <f>'[36]Sch C'!F116</f>
        <v>0</v>
      </c>
      <c r="E115" s="171">
        <f t="shared" si="29"/>
        <v>877</v>
      </c>
      <c r="F115" s="573"/>
      <c r="G115" s="171">
        <f>E115+F115</f>
        <v>877</v>
      </c>
      <c r="H115" s="172">
        <f t="shared" si="30"/>
        <v>2.4298542364522466E-3</v>
      </c>
      <c r="I115" s="337"/>
      <c r="J115" s="168"/>
      <c r="K115" s="168"/>
      <c r="M115" s="364">
        <f t="shared" si="31"/>
        <v>0.34746434231378764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573">
        <f>'[36]Sch C'!D117</f>
        <v>1783</v>
      </c>
      <c r="D116" s="573">
        <f>'[36]Sch C'!F117</f>
        <v>0</v>
      </c>
      <c r="E116" s="171">
        <f t="shared" si="29"/>
        <v>1783</v>
      </c>
      <c r="F116" s="573"/>
      <c r="G116" s="171">
        <f>E116+F116</f>
        <v>1783</v>
      </c>
      <c r="H116" s="172">
        <f t="shared" si="30"/>
        <v>4.9400571306663123E-3</v>
      </c>
      <c r="I116" s="337"/>
      <c r="J116" s="168"/>
      <c r="K116" s="168"/>
      <c r="M116" s="364">
        <f t="shared" si="31"/>
        <v>0.70641838351822506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573">
        <f>'[36]Sch C'!D118</f>
        <v>0</v>
      </c>
      <c r="D117" s="573">
        <f>'[36]Sch C'!F118</f>
        <v>0</v>
      </c>
      <c r="E117" s="171">
        <f t="shared" si="29"/>
        <v>0</v>
      </c>
      <c r="F117" s="573"/>
      <c r="G117" s="171">
        <f>E117+F117</f>
        <v>0</v>
      </c>
      <c r="H117" s="172">
        <f t="shared" si="30"/>
        <v>0</v>
      </c>
      <c r="I117" s="337"/>
      <c r="J117" s="168"/>
      <c r="K117" s="168"/>
      <c r="M117" s="364">
        <f t="shared" si="31"/>
        <v>0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573">
        <f>'[36]Sch C'!D119</f>
        <v>0</v>
      </c>
      <c r="D118" s="573">
        <f>'[36]Sch C'!F119</f>
        <v>0</v>
      </c>
      <c r="E118" s="171">
        <f t="shared" si="29"/>
        <v>0</v>
      </c>
      <c r="F118" s="573"/>
      <c r="G118" s="171">
        <f>E118+F118</f>
        <v>0</v>
      </c>
      <c r="H118" s="172">
        <f t="shared" si="30"/>
        <v>0</v>
      </c>
      <c r="I118" s="337"/>
      <c r="J118" s="168"/>
      <c r="K118" s="168"/>
      <c r="M118" s="364">
        <f t="shared" si="31"/>
        <v>0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573">
        <f>SUM(C114:C118)</f>
        <v>14323</v>
      </c>
      <c r="D119" s="573">
        <f>SUM(D114:D118)</f>
        <v>-4364</v>
      </c>
      <c r="E119" s="171">
        <f t="shared" ref="E119" si="32">SUM(E114:E118)</f>
        <v>9959</v>
      </c>
      <c r="F119" s="573">
        <f>SUM(F114:F118)</f>
        <v>0</v>
      </c>
      <c r="G119" s="171">
        <f>SUM(G114:G118)</f>
        <v>9959</v>
      </c>
      <c r="H119" s="172">
        <f t="shared" si="30"/>
        <v>2.7592837332757039E-2</v>
      </c>
      <c r="I119" s="337"/>
      <c r="J119" s="168"/>
      <c r="K119" s="168"/>
      <c r="M119" s="364">
        <f t="shared" si="31"/>
        <v>3.9457210776545169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1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573">
        <f>'[36]Sch C'!D124</f>
        <v>0</v>
      </c>
      <c r="D123" s="573">
        <f>'[36]Sch C'!F124</f>
        <v>0</v>
      </c>
      <c r="E123" s="171">
        <f t="shared" ref="E123:E127" si="33">C123+D123</f>
        <v>0</v>
      </c>
      <c r="F123" s="573"/>
      <c r="G123" s="171">
        <f>E123+F123</f>
        <v>0</v>
      </c>
      <c r="H123" s="172">
        <f>IF($G$208=0,0,G123/$G$208)</f>
        <v>0</v>
      </c>
      <c r="I123" s="337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0.77002560279620991</v>
      </c>
    </row>
    <row r="124" spans="1:14" s="167" customFormat="1">
      <c r="B124" s="163" t="s">
        <v>194</v>
      </c>
      <c r="C124" s="573">
        <f>'[36]Sch C'!D125</f>
        <v>17121</v>
      </c>
      <c r="D124" s="573">
        <f>'[36]Sch C'!F125</f>
        <v>-10223</v>
      </c>
      <c r="E124" s="171">
        <f t="shared" si="33"/>
        <v>6898</v>
      </c>
      <c r="F124" s="573">
        <v>11365</v>
      </c>
      <c r="G124" s="171">
        <f>E124+F124</f>
        <v>18263</v>
      </c>
      <c r="H124" s="172">
        <f>IF($G$208=0,0,G124/$G$208)</f>
        <v>5.0600259886348212E-2</v>
      </c>
      <c r="I124" s="337"/>
      <c r="J124" s="183">
        <v>348</v>
      </c>
      <c r="K124" s="183">
        <v>348</v>
      </c>
      <c r="M124" s="364">
        <f t="shared" si="34"/>
        <v>7.2357369255150559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573">
        <f>'[36]Sch C'!D126</f>
        <v>0</v>
      </c>
      <c r="D125" s="573">
        <f>'[36]Sch C'!F126</f>
        <v>0</v>
      </c>
      <c r="E125" s="171">
        <f t="shared" si="33"/>
        <v>0</v>
      </c>
      <c r="F125" s="573"/>
      <c r="G125" s="171">
        <f>E125+F125</f>
        <v>0</v>
      </c>
      <c r="H125" s="172">
        <f>IF($G$208=0,0,G125/$G$208)</f>
        <v>0</v>
      </c>
      <c r="I125" s="337"/>
      <c r="J125" s="183">
        <v>0</v>
      </c>
      <c r="K125" s="183">
        <v>0</v>
      </c>
      <c r="M125" s="364">
        <f t="shared" si="34"/>
        <v>0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573">
        <f>'[36]Sch C'!D127</f>
        <v>0</v>
      </c>
      <c r="D126" s="573">
        <f>'[36]Sch C'!F127</f>
        <v>0</v>
      </c>
      <c r="E126" s="171">
        <f t="shared" si="33"/>
        <v>0</v>
      </c>
      <c r="F126" s="573"/>
      <c r="G126" s="171">
        <f>E126+F126</f>
        <v>0</v>
      </c>
      <c r="H126" s="172">
        <f>IF($G$208=0,0,G126/$G$208)</f>
        <v>0</v>
      </c>
      <c r="I126" s="337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573">
        <f>'[36]Sch C'!D128</f>
        <v>4104</v>
      </c>
      <c r="D127" s="573">
        <f>'[36]Sch C'!F128</f>
        <v>-2151</v>
      </c>
      <c r="E127" s="171">
        <f t="shared" si="33"/>
        <v>1953</v>
      </c>
      <c r="F127" s="573">
        <v>5133</v>
      </c>
      <c r="G127" s="171">
        <f>E127+F127</f>
        <v>7086</v>
      </c>
      <c r="H127" s="172">
        <f>IF($G$208=0,0,G127/$G$208)</f>
        <v>1.9632778927594775E-2</v>
      </c>
      <c r="I127" s="337"/>
      <c r="J127" s="183">
        <v>235</v>
      </c>
      <c r="K127" s="183">
        <v>235</v>
      </c>
      <c r="M127" s="364">
        <f t="shared" si="34"/>
        <v>2.807448494453249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573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573">
        <f>'[36]Sch C'!D130</f>
        <v>0</v>
      </c>
      <c r="D129" s="573">
        <f>'[36]Sch C'!F130</f>
        <v>0</v>
      </c>
      <c r="E129" s="171">
        <f t="shared" ref="E129:E133" si="35">C129+D129</f>
        <v>0</v>
      </c>
      <c r="F129" s="573"/>
      <c r="G129" s="171">
        <f>E129+F129</f>
        <v>0</v>
      </c>
      <c r="H129" s="172">
        <f>IF($G$208=0,0,G129/$G$208)</f>
        <v>0</v>
      </c>
      <c r="I129" s="337"/>
      <c r="J129" s="204"/>
      <c r="K129" s="204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471" t="s">
        <v>419</v>
      </c>
      <c r="C130" s="573">
        <f>'[36]Sch C'!D131</f>
        <v>0</v>
      </c>
      <c r="D130" s="573">
        <f>'[36]Sch C'!F131</f>
        <v>0</v>
      </c>
      <c r="E130" s="171">
        <f t="shared" si="35"/>
        <v>0</v>
      </c>
      <c r="F130" s="573"/>
      <c r="G130" s="171">
        <f>E130+F130</f>
        <v>0</v>
      </c>
      <c r="H130" s="172">
        <f>IF($G$208=0,0,G130/$G$208)</f>
        <v>0</v>
      </c>
      <c r="I130" s="337"/>
      <c r="J130" s="204"/>
      <c r="K130" s="204"/>
      <c r="M130" s="364">
        <f t="shared" si="34"/>
        <v>0</v>
      </c>
      <c r="N130" s="359">
        <f>SUMMARY!J133</f>
        <v>1.0792348507966931</v>
      </c>
    </row>
    <row r="131" spans="1:14" s="167" customFormat="1">
      <c r="B131" s="472" t="s">
        <v>420</v>
      </c>
      <c r="C131" s="573">
        <f>'[36]Sch C'!D132</f>
        <v>0</v>
      </c>
      <c r="D131" s="573">
        <f>'[36]Sch C'!F132</f>
        <v>0</v>
      </c>
      <c r="E131" s="171">
        <f t="shared" si="35"/>
        <v>0</v>
      </c>
      <c r="F131" s="573"/>
      <c r="G131" s="171">
        <f>E131+F131</f>
        <v>0</v>
      </c>
      <c r="H131" s="172">
        <f>IF($G$208=0,0,G131/$G$208)</f>
        <v>0</v>
      </c>
      <c r="I131" s="337"/>
      <c r="J131" s="168"/>
      <c r="K131" s="168"/>
      <c r="M131" s="364">
        <f t="shared" si="34"/>
        <v>0</v>
      </c>
      <c r="N131" s="359">
        <f>SUMMARY!J134</f>
        <v>8.2765628075518377E-2</v>
      </c>
    </row>
    <row r="132" spans="1:14" s="167" customFormat="1">
      <c r="B132" s="472" t="s">
        <v>421</v>
      </c>
      <c r="C132" s="573">
        <f>'[36]Sch C'!D133</f>
        <v>0</v>
      </c>
      <c r="D132" s="573">
        <f>'[36]Sch C'!F133</f>
        <v>0</v>
      </c>
      <c r="E132" s="171">
        <f t="shared" si="35"/>
        <v>0</v>
      </c>
      <c r="F132" s="573"/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573">
        <f>'[36]Sch C'!D134</f>
        <v>0</v>
      </c>
      <c r="D133" s="573">
        <f>'[36]Sch C'!F134</f>
        <v>0</v>
      </c>
      <c r="E133" s="171">
        <f t="shared" si="35"/>
        <v>0</v>
      </c>
      <c r="F133" s="573"/>
      <c r="G133" s="171">
        <f>E133+F133</f>
        <v>0</v>
      </c>
      <c r="H133" s="172">
        <f>IF($G$208=0,0,G133/$G$208)</f>
        <v>0</v>
      </c>
      <c r="I133" s="337"/>
      <c r="J133" s="168"/>
      <c r="K133" s="168"/>
      <c r="M133" s="364">
        <f t="shared" si="34"/>
        <v>0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467"/>
      <c r="F134" s="196"/>
      <c r="G134" s="467"/>
      <c r="H134" s="470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573">
        <f>'[36]Sch C'!D136</f>
        <v>39334</v>
      </c>
      <c r="D135" s="573">
        <f>'[36]Sch C'!F136</f>
        <v>-17351</v>
      </c>
      <c r="E135" s="171">
        <f t="shared" ref="E135:E138" si="36">C135+D135</f>
        <v>21983</v>
      </c>
      <c r="F135" s="573"/>
      <c r="G135" s="171">
        <f>E135+F135</f>
        <v>21983</v>
      </c>
      <c r="H135" s="172">
        <f>IF($G$208=0,0,G135/$G$208)</f>
        <v>6.0907053226829801E-2</v>
      </c>
      <c r="I135" s="337"/>
      <c r="J135" s="183">
        <v>904.11</v>
      </c>
      <c r="K135" s="183">
        <v>904</v>
      </c>
      <c r="M135" s="364">
        <f t="shared" si="34"/>
        <v>8.7095879556259899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573">
        <f>'[36]Sch C'!D137</f>
        <v>33503</v>
      </c>
      <c r="D136" s="573">
        <f>'[36]Sch C'!F137</f>
        <v>-13855</v>
      </c>
      <c r="E136" s="171">
        <f t="shared" si="36"/>
        <v>19648</v>
      </c>
      <c r="F136" s="573"/>
      <c r="G136" s="171">
        <f>E136+F136</f>
        <v>19648</v>
      </c>
      <c r="H136" s="172">
        <f>IF($G$208=0,0,G136/$G$208)</f>
        <v>5.4437600955317834E-2</v>
      </c>
      <c r="I136" s="337"/>
      <c r="J136" s="183">
        <v>813.51</v>
      </c>
      <c r="K136" s="183">
        <v>813.51</v>
      </c>
      <c r="M136" s="364">
        <f t="shared" si="34"/>
        <v>7.7844690966719492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573">
        <f>'[36]Sch C'!D138</f>
        <v>92459</v>
      </c>
      <c r="D137" s="573">
        <f>'[36]Sch C'!F138</f>
        <v>-35477</v>
      </c>
      <c r="E137" s="171">
        <f t="shared" si="36"/>
        <v>56982</v>
      </c>
      <c r="F137" s="573"/>
      <c r="G137" s="171">
        <f>E137+F137</f>
        <v>56982</v>
      </c>
      <c r="H137" s="172">
        <f>IF($G$208=0,0,G137/$G$208)</f>
        <v>0.15787680057186079</v>
      </c>
      <c r="I137" s="337"/>
      <c r="J137" s="183">
        <v>4379.75</v>
      </c>
      <c r="K137" s="183">
        <v>4379.75</v>
      </c>
      <c r="M137" s="364">
        <f t="shared" si="34"/>
        <v>22.576069730586372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573">
        <f>'[36]Sch C'!D139</f>
        <v>0</v>
      </c>
      <c r="D138" s="573">
        <f>'[36]Sch C'!F139</f>
        <v>0</v>
      </c>
      <c r="E138" s="171">
        <f t="shared" si="36"/>
        <v>0</v>
      </c>
      <c r="F138" s="573"/>
      <c r="G138" s="171">
        <f>E138+F138</f>
        <v>0</v>
      </c>
      <c r="H138" s="172">
        <f>IF($G$208=0,0,G138/$G$208)</f>
        <v>0</v>
      </c>
      <c r="I138" s="337"/>
      <c r="J138" s="183">
        <v>0</v>
      </c>
      <c r="K138" s="183">
        <v>0</v>
      </c>
      <c r="M138" s="364">
        <f t="shared" si="34"/>
        <v>0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7"/>
      <c r="J139" s="208"/>
      <c r="K139" s="208"/>
      <c r="M139" s="364"/>
      <c r="N139" s="359"/>
    </row>
    <row r="140" spans="1:14" s="167" customFormat="1">
      <c r="A140" s="169"/>
      <c r="B140" s="513" t="s">
        <v>448</v>
      </c>
      <c r="C140" s="573">
        <f>'[36]Sch C'!D141</f>
        <v>10767</v>
      </c>
      <c r="D140" s="573">
        <f>'[36]Sch C'!F141</f>
        <v>0</v>
      </c>
      <c r="E140" s="171">
        <f t="shared" ref="E140:E143" si="37">C140+D140</f>
        <v>10767</v>
      </c>
      <c r="F140" s="573"/>
      <c r="G140" s="171">
        <f>E140+F140</f>
        <v>10767</v>
      </c>
      <c r="H140" s="172">
        <f>IF($G$208=0,0,G140/$G$208)</f>
        <v>2.9831517176603581E-2</v>
      </c>
      <c r="I140" s="337"/>
      <c r="J140" s="168"/>
      <c r="K140" s="168"/>
      <c r="M140" s="364">
        <f t="shared" si="34"/>
        <v>4.2658478605388277</v>
      </c>
      <c r="N140" s="359">
        <f>SUMMARY!J143</f>
        <v>3.8870567805088321</v>
      </c>
    </row>
    <row r="141" spans="1:14" s="167" customFormat="1">
      <c r="A141" s="169"/>
      <c r="B141" s="514" t="s">
        <v>449</v>
      </c>
      <c r="C141" s="573">
        <f>'[36]Sch C'!D142</f>
        <v>0</v>
      </c>
      <c r="D141" s="573">
        <f>'[36]Sch C'!F142</f>
        <v>0</v>
      </c>
      <c r="E141" s="171">
        <f t="shared" si="37"/>
        <v>0</v>
      </c>
      <c r="F141" s="573"/>
      <c r="G141" s="171">
        <f>E141+F141</f>
        <v>0</v>
      </c>
      <c r="H141" s="172">
        <f>IF($G$208=0,0,G141/$G$208)</f>
        <v>0</v>
      </c>
      <c r="I141" s="337"/>
      <c r="J141" s="168"/>
      <c r="K141" s="168"/>
      <c r="M141" s="364">
        <f t="shared" si="34"/>
        <v>0</v>
      </c>
      <c r="N141" s="359">
        <f>SUMMARY!J144</f>
        <v>1.7548113884114069</v>
      </c>
    </row>
    <row r="142" spans="1:14" s="167" customFormat="1">
      <c r="A142" s="169"/>
      <c r="B142" s="514" t="s">
        <v>450</v>
      </c>
      <c r="C142" s="573">
        <f>'[36]Sch C'!D143</f>
        <v>9144</v>
      </c>
      <c r="D142" s="573">
        <f>'[36]Sch C'!F143</f>
        <v>0</v>
      </c>
      <c r="E142" s="171">
        <f t="shared" si="37"/>
        <v>9144</v>
      </c>
      <c r="F142" s="573"/>
      <c r="G142" s="171">
        <f>E142+F142</f>
        <v>9144</v>
      </c>
      <c r="H142" s="172">
        <f>IF($G$208=0,0,G142/$G$208)</f>
        <v>2.5334762985312821E-2</v>
      </c>
      <c r="I142" s="337"/>
      <c r="J142" s="168"/>
      <c r="K142" s="168"/>
      <c r="M142" s="364">
        <f t="shared" si="34"/>
        <v>3.6228209191759113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573">
        <f>'[36]Sch C'!D144</f>
        <v>0</v>
      </c>
      <c r="D143" s="573">
        <f>'[36]Sch C'!F144</f>
        <v>0</v>
      </c>
      <c r="E143" s="171">
        <f t="shared" si="37"/>
        <v>0</v>
      </c>
      <c r="F143" s="573"/>
      <c r="G143" s="171">
        <f>E143+F143</f>
        <v>0</v>
      </c>
      <c r="H143" s="172">
        <f>IF($G$208=0,0,G143/$G$208)</f>
        <v>0</v>
      </c>
      <c r="I143" s="337"/>
      <c r="J143" s="168"/>
      <c r="K143" s="168"/>
      <c r="M143" s="364">
        <f t="shared" si="34"/>
        <v>0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467"/>
      <c r="F144" s="196"/>
      <c r="G144" s="467"/>
      <c r="H144" s="470"/>
      <c r="I144" s="337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573">
        <f>'[36]Sch C'!D146</f>
        <v>1700</v>
      </c>
      <c r="D145" s="573">
        <f>'[36]Sch C'!F146</f>
        <v>0</v>
      </c>
      <c r="E145" s="171">
        <f t="shared" ref="E145:E153" si="38">C145+D145</f>
        <v>1700</v>
      </c>
      <c r="F145" s="573"/>
      <c r="G145" s="171">
        <f t="shared" ref="G145:G153" si="39">E145+F145</f>
        <v>1700</v>
      </c>
      <c r="H145" s="172">
        <f t="shared" ref="H145:H153" si="40">IF($G$208=0,0,G145/$G$208)</f>
        <v>4.7100937308652445E-3</v>
      </c>
      <c r="I145" s="337"/>
      <c r="J145" s="183">
        <v>32</v>
      </c>
      <c r="K145" s="183">
        <v>0</v>
      </c>
      <c r="M145" s="364">
        <f t="shared" si="34"/>
        <v>0.67353407290015843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573">
        <f>'[36]Sch C'!D147</f>
        <v>0</v>
      </c>
      <c r="D146" s="573">
        <f>'[36]Sch C'!F147</f>
        <v>0</v>
      </c>
      <c r="E146" s="171">
        <f t="shared" si="38"/>
        <v>0</v>
      </c>
      <c r="F146" s="573"/>
      <c r="G146" s="171">
        <f t="shared" si="39"/>
        <v>0</v>
      </c>
      <c r="H146" s="172">
        <f t="shared" si="40"/>
        <v>0</v>
      </c>
      <c r="I146" s="337"/>
      <c r="J146" s="183">
        <v>0</v>
      </c>
      <c r="K146" s="183">
        <v>0</v>
      </c>
      <c r="M146" s="364">
        <f t="shared" si="34"/>
        <v>0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573">
        <f>'[36]Sch C'!D148</f>
        <v>0</v>
      </c>
      <c r="D147" s="573">
        <f>'[36]Sch C'!F148</f>
        <v>0</v>
      </c>
      <c r="E147" s="171">
        <f t="shared" si="38"/>
        <v>0</v>
      </c>
      <c r="F147" s="573"/>
      <c r="G147" s="171">
        <f t="shared" si="39"/>
        <v>0</v>
      </c>
      <c r="H147" s="172">
        <f t="shared" si="40"/>
        <v>0</v>
      </c>
      <c r="I147" s="337"/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573">
        <f>'[36]Sch C'!D149</f>
        <v>0</v>
      </c>
      <c r="D148" s="573">
        <f>'[36]Sch C'!F149</f>
        <v>0</v>
      </c>
      <c r="E148" s="171">
        <f t="shared" si="38"/>
        <v>0</v>
      </c>
      <c r="F148" s="573"/>
      <c r="G148" s="171">
        <f t="shared" si="39"/>
        <v>0</v>
      </c>
      <c r="H148" s="172">
        <f t="shared" si="40"/>
        <v>0</v>
      </c>
      <c r="I148" s="337"/>
      <c r="J148" s="183">
        <v>0</v>
      </c>
      <c r="K148" s="183">
        <v>0</v>
      </c>
      <c r="M148" s="364">
        <f t="shared" si="34"/>
        <v>0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573">
        <f>'[36]Sch C'!D150</f>
        <v>16498</v>
      </c>
      <c r="D149" s="573">
        <f>'[36]Sch C'!F150</f>
        <v>0</v>
      </c>
      <c r="E149" s="171">
        <f t="shared" si="38"/>
        <v>16498</v>
      </c>
      <c r="F149" s="573">
        <v>-16498</v>
      </c>
      <c r="G149" s="171">
        <f t="shared" si="39"/>
        <v>0</v>
      </c>
      <c r="H149" s="172">
        <f t="shared" si="40"/>
        <v>0</v>
      </c>
      <c r="I149" s="337"/>
      <c r="J149" s="183">
        <v>0</v>
      </c>
      <c r="K149" s="183">
        <v>0</v>
      </c>
      <c r="M149" s="364">
        <f t="shared" si="34"/>
        <v>0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573">
        <f>'[36]Sch C'!D151</f>
        <v>7146</v>
      </c>
      <c r="D150" s="573">
        <f>'[36]Sch C'!F151</f>
        <v>0</v>
      </c>
      <c r="E150" s="171">
        <f t="shared" si="38"/>
        <v>7146</v>
      </c>
      <c r="F150" s="573"/>
      <c r="G150" s="171">
        <f t="shared" si="39"/>
        <v>7146</v>
      </c>
      <c r="H150" s="172">
        <f t="shared" si="40"/>
        <v>1.9799017529860609E-2</v>
      </c>
      <c r="I150" s="337"/>
      <c r="J150" s="168"/>
      <c r="K150" s="168"/>
      <c r="M150" s="364">
        <f t="shared" si="34"/>
        <v>2.8312202852614896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573">
        <f>'[36]Sch C'!D152</f>
        <v>432</v>
      </c>
      <c r="D151" s="573">
        <f>'[36]Sch C'!F152</f>
        <v>0</v>
      </c>
      <c r="E151" s="171">
        <f t="shared" si="38"/>
        <v>432</v>
      </c>
      <c r="F151" s="573"/>
      <c r="G151" s="171">
        <f t="shared" si="39"/>
        <v>432</v>
      </c>
      <c r="H151" s="172">
        <f t="shared" si="40"/>
        <v>1.1969179363139914E-3</v>
      </c>
      <c r="I151" s="337"/>
      <c r="J151" s="168"/>
      <c r="K151" s="168"/>
      <c r="M151" s="364">
        <f t="shared" si="34"/>
        <v>0.17115689381933438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573">
        <f>'[36]Sch C'!D153</f>
        <v>0</v>
      </c>
      <c r="D152" s="573">
        <f>'[36]Sch C'!F153</f>
        <v>0</v>
      </c>
      <c r="E152" s="171">
        <f t="shared" si="38"/>
        <v>0</v>
      </c>
      <c r="F152" s="573"/>
      <c r="G152" s="171">
        <f t="shared" si="39"/>
        <v>0</v>
      </c>
      <c r="H152" s="172">
        <f t="shared" si="40"/>
        <v>0</v>
      </c>
      <c r="I152" s="337"/>
      <c r="J152" s="168"/>
      <c r="K152" s="168"/>
      <c r="M152" s="364">
        <f t="shared" si="34"/>
        <v>0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573">
        <f>'[36]Sch C'!D154</f>
        <v>0</v>
      </c>
      <c r="D153" s="573">
        <f>'[36]Sch C'!F154</f>
        <v>0</v>
      </c>
      <c r="E153" s="171">
        <f t="shared" si="38"/>
        <v>0</v>
      </c>
      <c r="F153" s="573"/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572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573">
        <f>'[36]Sch C'!D156</f>
        <v>0</v>
      </c>
      <c r="D155" s="573">
        <f>'[36]Sch C'!F156</f>
        <v>0</v>
      </c>
      <c r="E155" s="171">
        <f t="shared" ref="E155:E160" si="41">C155+D155</f>
        <v>0</v>
      </c>
      <c r="F155" s="573"/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573">
        <f>'[36]Sch C'!D157</f>
        <v>0</v>
      </c>
      <c r="D156" s="573">
        <f>'[36]Sch C'!F157</f>
        <v>0</v>
      </c>
      <c r="E156" s="171">
        <f t="shared" si="41"/>
        <v>0</v>
      </c>
      <c r="F156" s="573"/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573">
        <f>'[36]Sch C'!D158</f>
        <v>0</v>
      </c>
      <c r="D157" s="573">
        <f>'[36]Sch C'!F158</f>
        <v>0</v>
      </c>
      <c r="E157" s="171">
        <f t="shared" si="41"/>
        <v>0</v>
      </c>
      <c r="F157" s="573"/>
      <c r="G157" s="171">
        <f t="shared" si="42"/>
        <v>0</v>
      </c>
      <c r="H157" s="172">
        <f t="shared" si="43"/>
        <v>0</v>
      </c>
      <c r="I157" s="337"/>
      <c r="J157" s="168"/>
      <c r="K157" s="168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573">
        <f>'[36]Sch C'!D159</f>
        <v>0</v>
      </c>
      <c r="D158" s="573">
        <f>'[36]Sch C'!F159</f>
        <v>0</v>
      </c>
      <c r="E158" s="171">
        <f t="shared" si="41"/>
        <v>0</v>
      </c>
      <c r="F158" s="573"/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573">
        <f>'[36]Sch C'!D160</f>
        <v>0</v>
      </c>
      <c r="D159" s="573">
        <f>'[36]Sch C'!F160</f>
        <v>0</v>
      </c>
      <c r="E159" s="171">
        <f t="shared" si="41"/>
        <v>0</v>
      </c>
      <c r="F159" s="573"/>
      <c r="G159" s="171">
        <f t="shared" si="42"/>
        <v>0</v>
      </c>
      <c r="H159" s="172">
        <f>IF($G$208=0,0,G159/$G$208)</f>
        <v>0</v>
      </c>
      <c r="I159" s="337"/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573">
        <f>'[36]Sch C'!D161</f>
        <v>1945</v>
      </c>
      <c r="D160" s="573">
        <f>'[36]Sch C'!F161</f>
        <v>0</v>
      </c>
      <c r="E160" s="171">
        <f t="shared" si="41"/>
        <v>1945</v>
      </c>
      <c r="F160" s="573"/>
      <c r="G160" s="171">
        <f t="shared" si="42"/>
        <v>1945</v>
      </c>
      <c r="H160" s="172">
        <f t="shared" si="43"/>
        <v>5.3889013567840587E-3</v>
      </c>
      <c r="I160" s="337"/>
      <c r="J160" s="168"/>
      <c r="K160" s="168"/>
      <c r="M160" s="364">
        <f t="shared" si="34"/>
        <v>0.77060221870047541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573">
        <f>SUM(C123:C160)</f>
        <v>234153</v>
      </c>
      <c r="D161" s="573">
        <f>SUM(D123:D160)</f>
        <v>-79057</v>
      </c>
      <c r="E161" s="171">
        <f t="shared" ref="E161" si="44">SUM(E123:E160)</f>
        <v>155096</v>
      </c>
      <c r="F161" s="573">
        <f>SUM(F123:F160)</f>
        <v>0</v>
      </c>
      <c r="G161" s="171">
        <f>SUM(G123:G160)</f>
        <v>155096</v>
      </c>
      <c r="H161" s="172">
        <f t="shared" si="43"/>
        <v>0.42971570428369171</v>
      </c>
      <c r="I161" s="337"/>
      <c r="J161" s="168"/>
      <c r="K161" s="168"/>
      <c r="M161" s="364">
        <f>G161/G$228</f>
        <v>61.448494453248813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337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7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573">
        <f>'[36]Sch C'!D175</f>
        <v>0</v>
      </c>
      <c r="D164" s="573">
        <f>'[36]Sch C'!F175</f>
        <v>0</v>
      </c>
      <c r="E164" s="171">
        <f t="shared" ref="E164:E196" si="45">C164+D164</f>
        <v>0</v>
      </c>
      <c r="F164" s="573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573">
        <f>'[36]Sch C'!D176</f>
        <v>0</v>
      </c>
      <c r="D165" s="573">
        <f>'[36]Sch C'!F176</f>
        <v>0</v>
      </c>
      <c r="E165" s="171">
        <f t="shared" si="45"/>
        <v>0</v>
      </c>
      <c r="F165" s="573"/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573">
        <f>'[36]Sch C'!D177</f>
        <v>15738</v>
      </c>
      <c r="D166" s="573">
        <f>'[36]Sch C'!F177</f>
        <v>-15738</v>
      </c>
      <c r="E166" s="171">
        <f t="shared" si="45"/>
        <v>0</v>
      </c>
      <c r="F166" s="573"/>
      <c r="G166" s="171">
        <f t="shared" si="46"/>
        <v>0</v>
      </c>
      <c r="H166" s="172">
        <f t="shared" si="47"/>
        <v>0</v>
      </c>
      <c r="I166" s="343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573">
        <f>'[36]Sch C'!D178</f>
        <v>0</v>
      </c>
      <c r="D167" s="573">
        <f>'[36]Sch C'!F178</f>
        <v>0</v>
      </c>
      <c r="E167" s="171">
        <f t="shared" si="45"/>
        <v>0</v>
      </c>
      <c r="F167" s="573"/>
      <c r="G167" s="171">
        <f t="shared" si="46"/>
        <v>0</v>
      </c>
      <c r="H167" s="172">
        <f t="shared" si="47"/>
        <v>0</v>
      </c>
      <c r="I167" s="344"/>
      <c r="J167" s="222"/>
      <c r="K167" s="222"/>
      <c r="L167" s="218"/>
      <c r="M167" s="364">
        <f t="shared" si="48"/>
        <v>0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573">
        <f>'[36]Sch C'!D179</f>
        <v>0</v>
      </c>
      <c r="D168" s="573">
        <f>'[36]Sch C'!F179</f>
        <v>0</v>
      </c>
      <c r="E168" s="171">
        <f t="shared" si="45"/>
        <v>0</v>
      </c>
      <c r="F168" s="573"/>
      <c r="G168" s="171">
        <f t="shared" si="46"/>
        <v>0</v>
      </c>
      <c r="H168" s="172">
        <f t="shared" si="47"/>
        <v>0</v>
      </c>
      <c r="I168" s="343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573">
        <f>'[36]Sch C'!D180</f>
        <v>0</v>
      </c>
      <c r="D169" s="573">
        <f>'[36]Sch C'!F180</f>
        <v>0</v>
      </c>
      <c r="E169" s="171">
        <f t="shared" si="45"/>
        <v>0</v>
      </c>
      <c r="F169" s="573"/>
      <c r="G169" s="171">
        <f t="shared" si="46"/>
        <v>0</v>
      </c>
      <c r="H169" s="172">
        <f t="shared" si="47"/>
        <v>0</v>
      </c>
      <c r="I169" s="344"/>
      <c r="J169" s="222"/>
      <c r="K169" s="222"/>
      <c r="L169" s="218"/>
      <c r="M169" s="364">
        <f t="shared" si="48"/>
        <v>0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573">
        <f>'[36]Sch C'!D181</f>
        <v>0</v>
      </c>
      <c r="D170" s="573">
        <f>'[36]Sch C'!F181</f>
        <v>0</v>
      </c>
      <c r="E170" s="171">
        <f t="shared" si="45"/>
        <v>0</v>
      </c>
      <c r="F170" s="573"/>
      <c r="G170" s="171">
        <f t="shared" si="46"/>
        <v>0</v>
      </c>
      <c r="H170" s="172">
        <f t="shared" si="47"/>
        <v>0</v>
      </c>
      <c r="I170" s="343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573">
        <f>'[36]Sch C'!D182</f>
        <v>0</v>
      </c>
      <c r="D171" s="573">
        <f>'[36]Sch C'!F182</f>
        <v>0</v>
      </c>
      <c r="E171" s="171">
        <f t="shared" si="45"/>
        <v>0</v>
      </c>
      <c r="F171" s="573"/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573">
        <f>'[36]Sch C'!D183</f>
        <v>0</v>
      </c>
      <c r="D172" s="573">
        <f>'[36]Sch C'!F183</f>
        <v>0</v>
      </c>
      <c r="E172" s="171">
        <f t="shared" si="45"/>
        <v>0</v>
      </c>
      <c r="F172" s="573"/>
      <c r="G172" s="171">
        <f t="shared" si="46"/>
        <v>0</v>
      </c>
      <c r="H172" s="172">
        <f t="shared" si="47"/>
        <v>0</v>
      </c>
      <c r="I172" s="343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573">
        <f>'[36]Sch C'!D184</f>
        <v>0</v>
      </c>
      <c r="D173" s="573">
        <f>'[36]Sch C'!F184</f>
        <v>0</v>
      </c>
      <c r="E173" s="171">
        <f t="shared" si="45"/>
        <v>0</v>
      </c>
      <c r="F173" s="573"/>
      <c r="G173" s="171">
        <f t="shared" si="46"/>
        <v>0</v>
      </c>
      <c r="H173" s="172">
        <f t="shared" si="47"/>
        <v>0</v>
      </c>
      <c r="I173" s="344"/>
      <c r="J173" s="222"/>
      <c r="K173" s="222"/>
      <c r="L173" s="218"/>
      <c r="M173" s="364">
        <f t="shared" si="48"/>
        <v>0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573">
        <f>'[36]Sch C'!D185</f>
        <v>0</v>
      </c>
      <c r="D174" s="573">
        <f>'[36]Sch C'!F185</f>
        <v>0</v>
      </c>
      <c r="E174" s="171">
        <f t="shared" si="45"/>
        <v>0</v>
      </c>
      <c r="F174" s="573"/>
      <c r="G174" s="171">
        <f t="shared" si="46"/>
        <v>0</v>
      </c>
      <c r="H174" s="172">
        <f t="shared" si="47"/>
        <v>0</v>
      </c>
      <c r="I174" s="343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573">
        <f>'[36]Sch C'!D186</f>
        <v>0</v>
      </c>
      <c r="D175" s="573">
        <f>'[36]Sch C'!F186</f>
        <v>0</v>
      </c>
      <c r="E175" s="171">
        <f t="shared" si="45"/>
        <v>0</v>
      </c>
      <c r="F175" s="573"/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573">
        <f>'[36]Sch C'!D187</f>
        <v>0</v>
      </c>
      <c r="D176" s="573">
        <f>'[36]Sch C'!F187</f>
        <v>0</v>
      </c>
      <c r="E176" s="171">
        <f t="shared" si="45"/>
        <v>0</v>
      </c>
      <c r="F176" s="573"/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573">
        <f>'[36]Sch C'!D188</f>
        <v>0</v>
      </c>
      <c r="D177" s="573">
        <f>'[36]Sch C'!F188</f>
        <v>0</v>
      </c>
      <c r="E177" s="171">
        <f t="shared" si="45"/>
        <v>0</v>
      </c>
      <c r="F177" s="573"/>
      <c r="G177" s="171">
        <f t="shared" si="46"/>
        <v>0</v>
      </c>
      <c r="H177" s="172">
        <f t="shared" si="47"/>
        <v>0</v>
      </c>
      <c r="I177" s="337"/>
      <c r="J177" s="223"/>
      <c r="K177" s="218"/>
      <c r="L177" s="220"/>
      <c r="M177" s="364">
        <f t="shared" si="48"/>
        <v>0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573">
        <f>'[36]Sch C'!D189</f>
        <v>0</v>
      </c>
      <c r="D178" s="573">
        <f>'[36]Sch C'!F189</f>
        <v>0</v>
      </c>
      <c r="E178" s="171">
        <f t="shared" si="45"/>
        <v>0</v>
      </c>
      <c r="F178" s="573"/>
      <c r="G178" s="171">
        <f t="shared" si="46"/>
        <v>0</v>
      </c>
      <c r="H178" s="172">
        <f t="shared" si="47"/>
        <v>0</v>
      </c>
      <c r="I178" s="337"/>
      <c r="J178" s="223"/>
      <c r="K178" s="218"/>
      <c r="L178" s="220"/>
      <c r="M178" s="364">
        <f t="shared" si="48"/>
        <v>0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573">
        <f>'[36]Sch C'!D190</f>
        <v>0</v>
      </c>
      <c r="D179" s="573">
        <f>'[36]Sch C'!F190</f>
        <v>0</v>
      </c>
      <c r="E179" s="171">
        <f t="shared" si="45"/>
        <v>0</v>
      </c>
      <c r="F179" s="573"/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573">
        <f>'[36]Sch C'!D191</f>
        <v>0</v>
      </c>
      <c r="D180" s="573">
        <f>'[36]Sch C'!F191</f>
        <v>0</v>
      </c>
      <c r="E180" s="171">
        <f t="shared" si="45"/>
        <v>0</v>
      </c>
      <c r="F180" s="573"/>
      <c r="G180" s="171">
        <f t="shared" si="46"/>
        <v>0</v>
      </c>
      <c r="H180" s="172">
        <f t="shared" si="47"/>
        <v>0</v>
      </c>
      <c r="I180" s="337"/>
      <c r="J180" s="223"/>
      <c r="K180" s="218"/>
      <c r="L180" s="220"/>
      <c r="M180" s="364">
        <f t="shared" si="48"/>
        <v>0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573">
        <f>'[36]Sch C'!D192</f>
        <v>0</v>
      </c>
      <c r="D181" s="573">
        <f>'[36]Sch C'!F192</f>
        <v>0</v>
      </c>
      <c r="E181" s="171">
        <f t="shared" si="45"/>
        <v>0</v>
      </c>
      <c r="F181" s="573"/>
      <c r="G181" s="171">
        <f t="shared" si="46"/>
        <v>0</v>
      </c>
      <c r="H181" s="172">
        <f t="shared" si="47"/>
        <v>0</v>
      </c>
      <c r="I181" s="337"/>
      <c r="J181" s="223"/>
      <c r="K181" s="218"/>
      <c r="L181" s="220"/>
      <c r="M181" s="364">
        <f t="shared" si="48"/>
        <v>0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573">
        <f>'[36]Sch C'!D193</f>
        <v>0</v>
      </c>
      <c r="D182" s="573">
        <f>'[36]Sch C'!F193</f>
        <v>0</v>
      </c>
      <c r="E182" s="171">
        <f t="shared" si="45"/>
        <v>0</v>
      </c>
      <c r="F182" s="573"/>
      <c r="G182" s="171">
        <f t="shared" si="46"/>
        <v>0</v>
      </c>
      <c r="H182" s="172">
        <f t="shared" si="47"/>
        <v>0</v>
      </c>
      <c r="I182" s="337"/>
      <c r="J182" s="223"/>
      <c r="K182" s="218"/>
      <c r="L182" s="220"/>
      <c r="M182" s="364">
        <f t="shared" si="48"/>
        <v>0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573">
        <f>'[36]Sch C'!D194</f>
        <v>2180</v>
      </c>
      <c r="D183" s="573">
        <f>'[36]Sch C'!F194</f>
        <v>0</v>
      </c>
      <c r="E183" s="171">
        <f t="shared" si="45"/>
        <v>2180</v>
      </c>
      <c r="F183" s="573"/>
      <c r="G183" s="171">
        <f t="shared" si="46"/>
        <v>2180</v>
      </c>
      <c r="H183" s="172">
        <f t="shared" si="47"/>
        <v>6.0400025489919015E-3</v>
      </c>
      <c r="I183" s="337"/>
      <c r="J183" s="223"/>
      <c r="K183" s="218"/>
      <c r="M183" s="364">
        <f t="shared" si="48"/>
        <v>0.86370839936608557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573">
        <f>'[36]Sch C'!D195</f>
        <v>0</v>
      </c>
      <c r="D184" s="573">
        <f>'[36]Sch C'!F195</f>
        <v>0</v>
      </c>
      <c r="E184" s="171">
        <f t="shared" si="45"/>
        <v>0</v>
      </c>
      <c r="F184" s="573"/>
      <c r="G184" s="171">
        <f t="shared" si="46"/>
        <v>0</v>
      </c>
      <c r="H184" s="172">
        <f t="shared" si="47"/>
        <v>0</v>
      </c>
      <c r="I184" s="337"/>
      <c r="J184" s="223"/>
      <c r="K184" s="218"/>
      <c r="M184" s="364">
        <f t="shared" si="48"/>
        <v>0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573">
        <f>'[36]Sch C'!D196</f>
        <v>0</v>
      </c>
      <c r="D185" s="573">
        <f>'[36]Sch C'!F196</f>
        <v>0</v>
      </c>
      <c r="E185" s="171">
        <f t="shared" si="45"/>
        <v>0</v>
      </c>
      <c r="F185" s="573"/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573">
        <f>'[36]Sch C'!D197</f>
        <v>1381</v>
      </c>
      <c r="D186" s="573">
        <f>'[36]Sch C'!F197</f>
        <v>0</v>
      </c>
      <c r="E186" s="171">
        <f t="shared" si="45"/>
        <v>1381</v>
      </c>
      <c r="F186" s="573"/>
      <c r="G186" s="171">
        <f t="shared" si="46"/>
        <v>1381</v>
      </c>
      <c r="H186" s="172">
        <f t="shared" si="47"/>
        <v>3.8262584954852365E-3</v>
      </c>
      <c r="I186" s="337"/>
      <c r="J186" s="223"/>
      <c r="K186" s="218"/>
      <c r="M186" s="364">
        <f t="shared" si="48"/>
        <v>0.54714738510301109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573">
        <f>'[36]Sch C'!D198</f>
        <v>259</v>
      </c>
      <c r="D187" s="573">
        <f>'[36]Sch C'!F198</f>
        <v>0</v>
      </c>
      <c r="E187" s="171">
        <f t="shared" si="45"/>
        <v>259</v>
      </c>
      <c r="F187" s="573"/>
      <c r="G187" s="171">
        <f t="shared" si="46"/>
        <v>259</v>
      </c>
      <c r="H187" s="172">
        <f t="shared" si="47"/>
        <v>7.1759663311417548E-4</v>
      </c>
      <c r="I187" s="337"/>
      <c r="J187" s="223"/>
      <c r="K187" s="218"/>
      <c r="M187" s="364">
        <f t="shared" si="48"/>
        <v>0.1026148969889065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573">
        <f>'[36]Sch C'!D199</f>
        <v>0</v>
      </c>
      <c r="D188" s="573">
        <f>'[36]Sch C'!F199</f>
        <v>0</v>
      </c>
      <c r="E188" s="171">
        <f t="shared" si="45"/>
        <v>0</v>
      </c>
      <c r="F188" s="573"/>
      <c r="G188" s="171">
        <f t="shared" si="46"/>
        <v>0</v>
      </c>
      <c r="H188" s="172">
        <f t="shared" si="47"/>
        <v>0</v>
      </c>
      <c r="I188" s="337"/>
      <c r="J188" s="223"/>
      <c r="K188" s="218"/>
      <c r="M188" s="364">
        <f t="shared" si="48"/>
        <v>0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573">
        <f>'[36]Sch C'!D200</f>
        <v>0</v>
      </c>
      <c r="D189" s="573">
        <f>'[36]Sch C'!F200</f>
        <v>0</v>
      </c>
      <c r="E189" s="171">
        <f t="shared" si="45"/>
        <v>0</v>
      </c>
      <c r="F189" s="573"/>
      <c r="G189" s="171">
        <f t="shared" si="46"/>
        <v>0</v>
      </c>
      <c r="H189" s="172">
        <f t="shared" si="47"/>
        <v>0</v>
      </c>
      <c r="I189" s="337"/>
      <c r="J189" s="223"/>
      <c r="K189" s="218"/>
      <c r="M189" s="364">
        <f t="shared" si="48"/>
        <v>0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573">
        <f>'[36]Sch C'!D201</f>
        <v>0</v>
      </c>
      <c r="D190" s="573">
        <f>'[36]Sch C'!F201</f>
        <v>0</v>
      </c>
      <c r="E190" s="171">
        <f t="shared" si="45"/>
        <v>0</v>
      </c>
      <c r="F190" s="573"/>
      <c r="G190" s="171">
        <f t="shared" si="46"/>
        <v>0</v>
      </c>
      <c r="H190" s="172">
        <f t="shared" si="47"/>
        <v>0</v>
      </c>
      <c r="I190" s="337"/>
      <c r="J190" s="223"/>
      <c r="K190" s="218"/>
      <c r="M190" s="364">
        <f t="shared" si="48"/>
        <v>0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573">
        <f>'[36]Sch C'!D202</f>
        <v>0</v>
      </c>
      <c r="D191" s="573">
        <f>'[36]Sch C'!F202</f>
        <v>0</v>
      </c>
      <c r="E191" s="171">
        <f t="shared" si="45"/>
        <v>0</v>
      </c>
      <c r="F191" s="573"/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573">
        <f>'[36]Sch C'!D203</f>
        <v>0</v>
      </c>
      <c r="D192" s="573">
        <f>'[36]Sch C'!F203</f>
        <v>0</v>
      </c>
      <c r="E192" s="171">
        <f t="shared" si="45"/>
        <v>0</v>
      </c>
      <c r="F192" s="573"/>
      <c r="G192" s="171">
        <f t="shared" si="46"/>
        <v>0</v>
      </c>
      <c r="H192" s="172">
        <f t="shared" si="47"/>
        <v>0</v>
      </c>
      <c r="I192" s="337"/>
      <c r="J192" s="223"/>
      <c r="K192" s="218"/>
      <c r="M192" s="364">
        <f t="shared" si="48"/>
        <v>0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573">
        <f>'[36]Sch C'!D204</f>
        <v>0</v>
      </c>
      <c r="D193" s="573">
        <f>'[36]Sch C'!F204</f>
        <v>0</v>
      </c>
      <c r="E193" s="171">
        <f t="shared" si="45"/>
        <v>0</v>
      </c>
      <c r="F193" s="573"/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573">
        <f>'[36]Sch C'!D205</f>
        <v>1553</v>
      </c>
      <c r="D194" s="573">
        <f>'[36]Sch C'!F205</f>
        <v>0</v>
      </c>
      <c r="E194" s="171">
        <f t="shared" si="45"/>
        <v>1553</v>
      </c>
      <c r="F194" s="573"/>
      <c r="G194" s="171">
        <f t="shared" si="46"/>
        <v>1553</v>
      </c>
      <c r="H194" s="172">
        <f t="shared" si="47"/>
        <v>4.3028091553139556E-3</v>
      </c>
      <c r="I194" s="337"/>
      <c r="J194" s="223"/>
      <c r="K194" s="218"/>
      <c r="M194" s="364">
        <f t="shared" si="48"/>
        <v>0.61529318541996836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573">
        <f>'[36]Sch C'!D206</f>
        <v>0</v>
      </c>
      <c r="D195" s="573">
        <f>'[36]Sch C'!F206</f>
        <v>0</v>
      </c>
      <c r="E195" s="171">
        <f t="shared" si="45"/>
        <v>0</v>
      </c>
      <c r="F195" s="573"/>
      <c r="G195" s="171">
        <f t="shared" si="46"/>
        <v>0</v>
      </c>
      <c r="H195" s="172">
        <f t="shared" si="47"/>
        <v>0</v>
      </c>
      <c r="I195" s="337"/>
      <c r="J195" s="223"/>
      <c r="K195" s="218"/>
      <c r="M195" s="364">
        <f t="shared" si="48"/>
        <v>0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573">
        <f>'[36]Sch C'!D207</f>
        <v>0</v>
      </c>
      <c r="D196" s="573">
        <f>'[36]Sch C'!F207</f>
        <v>0</v>
      </c>
      <c r="E196" s="171">
        <f t="shared" si="45"/>
        <v>0</v>
      </c>
      <c r="F196" s="573"/>
      <c r="G196" s="171">
        <f t="shared" si="46"/>
        <v>0</v>
      </c>
      <c r="H196" s="172">
        <f t="shared" si="47"/>
        <v>0</v>
      </c>
      <c r="I196" s="337"/>
      <c r="J196" s="223"/>
      <c r="K196" s="218"/>
      <c r="M196" s="364">
        <f t="shared" si="48"/>
        <v>0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573">
        <f>SUM(C164:C196)</f>
        <v>21111</v>
      </c>
      <c r="D197" s="573">
        <f>SUM(D164:D196)</f>
        <v>-15738</v>
      </c>
      <c r="E197" s="171">
        <f t="shared" ref="E197" si="49">SUM(E164:E196)</f>
        <v>5373</v>
      </c>
      <c r="F197" s="573">
        <f>SUM(F164:F196)</f>
        <v>0</v>
      </c>
      <c r="G197" s="171">
        <f>SUM(G164:G196)</f>
        <v>5373</v>
      </c>
      <c r="H197" s="172">
        <f>IF($G$208=0,0,G197/$G$208)</f>
        <v>1.4886666832905269E-2</v>
      </c>
      <c r="I197" s="337"/>
      <c r="J197" s="168"/>
      <c r="K197" s="168"/>
      <c r="M197" s="364">
        <f>G197/G$228</f>
        <v>2.1287638668779714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165"/>
      <c r="G198" s="165"/>
      <c r="H198" s="198"/>
      <c r="I198" s="341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1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573">
        <f>'[36]Sch C'!D211</f>
        <v>15781</v>
      </c>
      <c r="D200" s="573">
        <f>'[36]Sch C'!F211</f>
        <v>-3430</v>
      </c>
      <c r="E200" s="171">
        <f t="shared" ref="E200:E205" si="50">C200+D200</f>
        <v>12351</v>
      </c>
      <c r="F200" s="573"/>
      <c r="G200" s="171">
        <f t="shared" ref="G200:G205" si="51">E200+F200</f>
        <v>12351</v>
      </c>
      <c r="H200" s="172">
        <f t="shared" ref="H200:H206" si="52">IF($G$208=0,0,G200/$G$208)</f>
        <v>3.422021627642155E-2</v>
      </c>
      <c r="I200" s="337"/>
      <c r="J200" s="183">
        <v>235</v>
      </c>
      <c r="K200" s="183">
        <v>235</v>
      </c>
      <c r="M200" s="364">
        <f t="shared" ref="M200:M205" si="53">G200/G$228</f>
        <v>4.8934231378763871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573">
        <f>'[36]Sch C'!D212</f>
        <v>1549</v>
      </c>
      <c r="D201" s="573">
        <f>'[36]Sch C'!F212</f>
        <v>0</v>
      </c>
      <c r="E201" s="171">
        <f t="shared" si="50"/>
        <v>1549</v>
      </c>
      <c r="F201" s="573"/>
      <c r="G201" s="171">
        <f t="shared" si="51"/>
        <v>1549</v>
      </c>
      <c r="H201" s="172">
        <f t="shared" si="52"/>
        <v>4.2917265818295663E-3</v>
      </c>
      <c r="I201" s="337"/>
      <c r="J201" s="168"/>
      <c r="K201" s="168"/>
      <c r="M201" s="364">
        <f t="shared" si="53"/>
        <v>0.61370839936608557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573">
        <f>'[36]Sch C'!D213</f>
        <v>2097</v>
      </c>
      <c r="D202" s="573">
        <f>'[36]Sch C'!F213</f>
        <v>0</v>
      </c>
      <c r="E202" s="171">
        <f t="shared" si="50"/>
        <v>2097</v>
      </c>
      <c r="F202" s="573"/>
      <c r="G202" s="171">
        <f t="shared" si="51"/>
        <v>2097</v>
      </c>
      <c r="H202" s="172">
        <f t="shared" si="52"/>
        <v>5.8100391491908336E-3</v>
      </c>
      <c r="I202" s="337"/>
      <c r="J202" s="168"/>
      <c r="K202" s="168"/>
      <c r="M202" s="364">
        <f t="shared" si="53"/>
        <v>0.83082408874801905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573">
        <f>'[36]Sch C'!D214</f>
        <v>0</v>
      </c>
      <c r="D203" s="573">
        <f>'[36]Sch C'!F214</f>
        <v>0</v>
      </c>
      <c r="E203" s="171">
        <f t="shared" si="50"/>
        <v>0</v>
      </c>
      <c r="F203" s="573"/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>
        <f t="shared" si="53"/>
        <v>0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573">
        <f>'[36]Sch C'!D215</f>
        <v>0</v>
      </c>
      <c r="D204" s="573">
        <f>'[36]Sch C'!F215</f>
        <v>0</v>
      </c>
      <c r="E204" s="171">
        <f t="shared" si="50"/>
        <v>0</v>
      </c>
      <c r="F204" s="573"/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573">
        <f>'[36]Sch C'!D216</f>
        <v>269</v>
      </c>
      <c r="D205" s="573">
        <f>'[36]Sch C'!F216</f>
        <v>0</v>
      </c>
      <c r="E205" s="171">
        <f t="shared" si="50"/>
        <v>269</v>
      </c>
      <c r="F205" s="573"/>
      <c r="G205" s="171">
        <f t="shared" si="51"/>
        <v>269</v>
      </c>
      <c r="H205" s="172">
        <f t="shared" si="52"/>
        <v>7.4530306682514741E-4</v>
      </c>
      <c r="I205" s="337"/>
      <c r="J205" s="168"/>
      <c r="K205" s="168"/>
      <c r="M205" s="364">
        <f t="shared" si="53"/>
        <v>0.10657686212361331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573">
        <f>SUM(C200:C205)</f>
        <v>19696</v>
      </c>
      <c r="D206" s="573">
        <f>SUM(D200:D205)</f>
        <v>-3430</v>
      </c>
      <c r="E206" s="171">
        <f t="shared" ref="E206" si="54">SUM(E200:E205)</f>
        <v>16266</v>
      </c>
      <c r="F206" s="573">
        <f>SUM(F200:F205)</f>
        <v>0</v>
      </c>
      <c r="G206" s="171">
        <f>SUM(G200:G205)</f>
        <v>16266</v>
      </c>
      <c r="H206" s="172">
        <f t="shared" si="52"/>
        <v>4.5067285074267098E-2</v>
      </c>
      <c r="I206" s="337"/>
      <c r="J206" s="168"/>
      <c r="K206" s="168"/>
      <c r="M206" s="364">
        <f>G206/G$228</f>
        <v>6.4445324881141044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448"/>
      <c r="G207" s="165"/>
      <c r="H207" s="198"/>
      <c r="I207" s="341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573">
        <f>SUM(C25:C206)/2</f>
        <v>536727</v>
      </c>
      <c r="D208" s="573">
        <f>SUM(D25:D206)/2</f>
        <v>-175800</v>
      </c>
      <c r="E208" s="171">
        <f t="shared" ref="E208:F208" si="55">SUM(E25:E206)/2</f>
        <v>360927</v>
      </c>
      <c r="F208" s="171">
        <f t="shared" si="55"/>
        <v>0</v>
      </c>
      <c r="G208" s="171">
        <f>SUM(G25:G206)/2</f>
        <v>360927</v>
      </c>
      <c r="H208" s="172">
        <f>IF($G$208=0,0,G208/$G$208)</f>
        <v>1</v>
      </c>
      <c r="I208" s="337"/>
      <c r="J208" s="183">
        <f>SUM(J25:J200)</f>
        <v>11154.17</v>
      </c>
      <c r="K208" s="183">
        <f>SUM(K25:K200)</f>
        <v>11122.060000000001</v>
      </c>
      <c r="M208" s="364">
        <f>G208/G$228</f>
        <v>142.99801901743265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573">
        <f>'[36]Sch C'!D221</f>
        <v>536727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573">
        <f>C208-C211</f>
        <v>0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619"/>
      <c r="D213" s="232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573">
        <f>C21-C208</f>
        <v>38596</v>
      </c>
      <c r="D215" s="573">
        <f>D21-D208</f>
        <v>49795</v>
      </c>
      <c r="E215" s="171">
        <f t="shared" ref="E215:F215" si="56">E21-E208</f>
        <v>88391</v>
      </c>
      <c r="F215" s="171">
        <f t="shared" si="56"/>
        <v>0</v>
      </c>
      <c r="G215" s="171">
        <f>G21-G208</f>
        <v>88391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229"/>
      <c r="G217" s="229"/>
      <c r="H217" s="333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653">
        <f>'[36]Sch D'!C9</f>
        <v>1566</v>
      </c>
      <c r="D219" s="653"/>
      <c r="E219" s="235">
        <f t="shared" ref="E219:G227" si="57">C219+D219</f>
        <v>1566</v>
      </c>
      <c r="F219" s="468"/>
      <c r="G219" s="235">
        <f t="shared" si="57"/>
        <v>1566</v>
      </c>
      <c r="H219" s="172">
        <f t="shared" ref="H219:H228" si="58">IF($G$228=0,0,G219/$G$228)</f>
        <v>0.62044374009508718</v>
      </c>
      <c r="I219" s="337"/>
      <c r="J219" s="168"/>
      <c r="K219" s="168"/>
    </row>
    <row r="220" spans="1:14">
      <c r="A220" s="163"/>
      <c r="B220" s="170" t="s">
        <v>435</v>
      </c>
      <c r="C220" s="653">
        <f>'[36]Sch D'!D9</f>
        <v>0</v>
      </c>
      <c r="D220" s="653"/>
      <c r="E220" s="235">
        <f t="shared" ref="E220:E227" si="59">C220+D220</f>
        <v>0</v>
      </c>
      <c r="F220" s="468"/>
      <c r="G220" s="235">
        <f t="shared" si="57"/>
        <v>0</v>
      </c>
      <c r="H220" s="172">
        <f t="shared" si="58"/>
        <v>0</v>
      </c>
      <c r="I220" s="337"/>
      <c r="J220" s="168"/>
      <c r="K220" s="168"/>
    </row>
    <row r="221" spans="1:14">
      <c r="A221" s="163"/>
      <c r="B221" s="170" t="s">
        <v>72</v>
      </c>
      <c r="C221" s="653">
        <f>'[36]Sch D'!E9</f>
        <v>0</v>
      </c>
      <c r="D221" s="653"/>
      <c r="E221" s="235">
        <f t="shared" si="59"/>
        <v>0</v>
      </c>
      <c r="F221" s="468"/>
      <c r="G221" s="235">
        <f t="shared" si="57"/>
        <v>0</v>
      </c>
      <c r="H221" s="172">
        <f t="shared" si="58"/>
        <v>0</v>
      </c>
      <c r="I221" s="337"/>
      <c r="J221" s="168"/>
      <c r="K221" s="168"/>
    </row>
    <row r="222" spans="1:14">
      <c r="A222" s="163"/>
      <c r="B222" s="202" t="s">
        <v>334</v>
      </c>
      <c r="C222" s="653">
        <f>'[36]Sch D'!F9</f>
        <v>0</v>
      </c>
      <c r="D222" s="653"/>
      <c r="E222" s="235">
        <f>C222+D222</f>
        <v>0</v>
      </c>
      <c r="F222" s="468"/>
      <c r="G222" s="235">
        <f>E222+F222</f>
        <v>0</v>
      </c>
      <c r="H222" s="172">
        <f t="shared" si="58"/>
        <v>0</v>
      </c>
      <c r="I222" s="337"/>
      <c r="J222" s="168"/>
      <c r="K222" s="168"/>
    </row>
    <row r="223" spans="1:14">
      <c r="A223" s="163"/>
      <c r="B223" s="170" t="s">
        <v>73</v>
      </c>
      <c r="C223" s="653">
        <f>'[36]Sch D'!G9</f>
        <v>0</v>
      </c>
      <c r="D223" s="653"/>
      <c r="E223" s="235">
        <f t="shared" si="59"/>
        <v>0</v>
      </c>
      <c r="F223" s="468"/>
      <c r="G223" s="235">
        <f t="shared" si="57"/>
        <v>0</v>
      </c>
      <c r="H223" s="172">
        <f t="shared" si="58"/>
        <v>0</v>
      </c>
      <c r="I223" s="337"/>
      <c r="J223" s="168"/>
      <c r="K223" s="168"/>
    </row>
    <row r="224" spans="1:14">
      <c r="A224" s="163"/>
      <c r="B224" s="170" t="s">
        <v>74</v>
      </c>
      <c r="C224" s="653">
        <f>'[36]Sch D'!H9</f>
        <v>136</v>
      </c>
      <c r="D224" s="653"/>
      <c r="E224" s="235">
        <f t="shared" si="59"/>
        <v>136</v>
      </c>
      <c r="F224" s="468"/>
      <c r="G224" s="235">
        <f t="shared" si="57"/>
        <v>136</v>
      </c>
      <c r="H224" s="172">
        <f t="shared" si="58"/>
        <v>5.388272583201268E-2</v>
      </c>
      <c r="I224" s="337"/>
      <c r="J224" s="168"/>
      <c r="K224" s="168"/>
    </row>
    <row r="225" spans="1:11">
      <c r="A225" s="163"/>
      <c r="B225" s="170" t="s">
        <v>236</v>
      </c>
      <c r="C225" s="653">
        <f>'[36]Sch D'!I9</f>
        <v>822</v>
      </c>
      <c r="D225" s="653"/>
      <c r="E225" s="235">
        <f t="shared" si="59"/>
        <v>822</v>
      </c>
      <c r="F225" s="468"/>
      <c r="G225" s="235">
        <f t="shared" si="57"/>
        <v>822</v>
      </c>
      <c r="H225" s="172">
        <f t="shared" si="58"/>
        <v>0.32567353407290017</v>
      </c>
      <c r="I225" s="337"/>
      <c r="J225" s="168"/>
      <c r="K225" s="168"/>
    </row>
    <row r="226" spans="1:11">
      <c r="A226" s="163"/>
      <c r="B226" s="170" t="s">
        <v>235</v>
      </c>
      <c r="C226" s="653">
        <f>'[36]Sch D'!J9</f>
        <v>0</v>
      </c>
      <c r="D226" s="653"/>
      <c r="E226" s="235">
        <f>C226+D226</f>
        <v>0</v>
      </c>
      <c r="F226" s="468"/>
      <c r="G226" s="235">
        <f>E226+F226</f>
        <v>0</v>
      </c>
      <c r="H226" s="172">
        <f t="shared" si="58"/>
        <v>0</v>
      </c>
      <c r="I226" s="337"/>
      <c r="J226" s="168"/>
      <c r="K226" s="168"/>
    </row>
    <row r="227" spans="1:11">
      <c r="A227" s="163"/>
      <c r="B227" s="170" t="s">
        <v>436</v>
      </c>
      <c r="C227" s="653">
        <f>'[36]Sch D'!K9</f>
        <v>0</v>
      </c>
      <c r="D227" s="653"/>
      <c r="E227" s="235">
        <f t="shared" si="59"/>
        <v>0</v>
      </c>
      <c r="F227" s="468"/>
      <c r="G227" s="235">
        <f t="shared" si="57"/>
        <v>0</v>
      </c>
      <c r="H227" s="172">
        <f t="shared" si="58"/>
        <v>0</v>
      </c>
      <c r="I227" s="337"/>
      <c r="J227" s="168"/>
      <c r="K227" s="168"/>
    </row>
    <row r="228" spans="1:11" ht="13.5" thickBot="1">
      <c r="A228" s="163"/>
      <c r="B228" s="236" t="s">
        <v>75</v>
      </c>
      <c r="C228" s="653">
        <f>SUM(C219:C227)</f>
        <v>2524</v>
      </c>
      <c r="D228" s="653">
        <f>SUM(D219:D227)</f>
        <v>0</v>
      </c>
      <c r="E228" s="237">
        <f>SUM(E219:E227)</f>
        <v>2524</v>
      </c>
      <c r="F228" s="469">
        <f>SUM(F219:F227)</f>
        <v>0</v>
      </c>
      <c r="G228" s="237">
        <f>SUM(G219:G227)</f>
        <v>2524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466"/>
      <c r="C229" s="620"/>
      <c r="D229" s="239"/>
      <c r="E229" s="502"/>
      <c r="F229" s="501"/>
      <c r="G229" s="502"/>
      <c r="H229" s="167"/>
      <c r="J229" s="168"/>
      <c r="K229" s="168"/>
    </row>
    <row r="230" spans="1:11">
      <c r="A230" s="163"/>
      <c r="B230" s="233" t="s">
        <v>160</v>
      </c>
      <c r="C230" s="619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654">
        <f>'[36]Sch D'!N22</f>
        <v>85</v>
      </c>
      <c r="D231" s="574"/>
      <c r="E231" s="235">
        <f>C231+D231</f>
        <v>85</v>
      </c>
      <c r="F231" s="235"/>
      <c r="G231" s="235">
        <f>E231+F231</f>
        <v>85</v>
      </c>
      <c r="H231" s="167"/>
      <c r="J231" s="168"/>
      <c r="K231" s="168"/>
    </row>
    <row r="232" spans="1:11">
      <c r="A232" s="163"/>
      <c r="B232" s="202" t="s">
        <v>290</v>
      </c>
      <c r="C232" s="654">
        <f>'[36]Sch D'!N24</f>
        <v>85</v>
      </c>
      <c r="D232" s="574"/>
      <c r="E232" s="235">
        <f>C232+D232</f>
        <v>85</v>
      </c>
      <c r="F232" s="235"/>
      <c r="G232" s="235">
        <f>E232+F232</f>
        <v>85</v>
      </c>
      <c r="H232" s="167"/>
      <c r="J232" s="168"/>
      <c r="K232" s="168"/>
    </row>
    <row r="233" spans="1:11">
      <c r="A233" s="163"/>
      <c r="B233" s="202" t="s">
        <v>76</v>
      </c>
      <c r="C233" s="654">
        <f>$C$4-$C$3+1</f>
        <v>54</v>
      </c>
      <c r="D233" s="489"/>
      <c r="E233" s="235">
        <f>C233+D233</f>
        <v>54</v>
      </c>
      <c r="F233" s="240"/>
      <c r="G233" s="235">
        <f>E233+F233</f>
        <v>54</v>
      </c>
      <c r="H233" s="167"/>
      <c r="J233" s="168"/>
      <c r="K233" s="168"/>
    </row>
    <row r="234" spans="1:11">
      <c r="A234" s="163"/>
      <c r="B234" s="241"/>
      <c r="C234" s="621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654">
        <f>'[36]Sch D'!N28</f>
        <v>4590</v>
      </c>
      <c r="D235" s="489"/>
      <c r="E235" s="234">
        <f>E231*E233</f>
        <v>4590</v>
      </c>
      <c r="F235" s="240"/>
      <c r="G235" s="234">
        <f>G231*G233</f>
        <v>4590</v>
      </c>
      <c r="H235" s="167"/>
      <c r="J235" s="168"/>
      <c r="K235" s="168"/>
    </row>
    <row r="236" spans="1:11" ht="26">
      <c r="A236" s="163"/>
      <c r="B236" s="244" t="s">
        <v>336</v>
      </c>
      <c r="C236" s="655">
        <f>'[36]Sch D'!N30</f>
        <v>0.54989106753812633</v>
      </c>
      <c r="D236" s="240"/>
      <c r="E236" s="245">
        <f>E228/E235</f>
        <v>0.54989106753812633</v>
      </c>
      <c r="F236" s="246"/>
      <c r="G236" s="245">
        <f>G228/G235</f>
        <v>0.54989106753812633</v>
      </c>
      <c r="H236" s="167"/>
      <c r="J236" s="168"/>
      <c r="K236" s="168"/>
    </row>
    <row r="237" spans="1:11" ht="26">
      <c r="A237" s="163"/>
      <c r="B237" s="244" t="s">
        <v>337</v>
      </c>
      <c r="C237" s="655">
        <f>'[36]Sch D'!N32</f>
        <v>0.3411764705882353</v>
      </c>
      <c r="D237" s="240"/>
      <c r="E237" s="245">
        <f>(E219+E220)/E235</f>
        <v>0.3411764705882353</v>
      </c>
      <c r="F237" s="246"/>
      <c r="G237" s="245">
        <f>(G219+G220)/G235</f>
        <v>0.3411764705882353</v>
      </c>
      <c r="H237" s="167"/>
      <c r="J237" s="168"/>
      <c r="K237" s="168"/>
    </row>
    <row r="238" spans="1:11" ht="26">
      <c r="A238" s="163"/>
      <c r="B238" s="244" t="s">
        <v>338</v>
      </c>
      <c r="C238" s="655">
        <f>'[36]Sch D'!N34</f>
        <v>0.62044374009508718</v>
      </c>
      <c r="D238" s="240"/>
      <c r="E238" s="245">
        <f>(E237/E236)</f>
        <v>0.62044374009508718</v>
      </c>
      <c r="F238" s="246"/>
      <c r="G238" s="245">
        <f>(G237/G236)</f>
        <v>0.62044374009508718</v>
      </c>
      <c r="H238" s="167"/>
      <c r="J238" s="168"/>
      <c r="K238" s="168"/>
    </row>
    <row r="241" spans="2:8">
      <c r="B241" s="148" t="s">
        <v>339</v>
      </c>
      <c r="F241" s="142" t="s">
        <v>340</v>
      </c>
      <c r="G241" s="573" t="str">
        <f>'[36]Sch B'!C85</f>
        <v/>
      </c>
      <c r="H241" s="452"/>
    </row>
    <row r="242" spans="2:8">
      <c r="F242" s="142" t="s">
        <v>341</v>
      </c>
      <c r="G242" s="573" t="str">
        <f>'[36]Sch B'!E85</f>
        <v/>
      </c>
      <c r="H242" s="451"/>
    </row>
    <row r="243" spans="2:8">
      <c r="F243" s="142" t="s">
        <v>342</v>
      </c>
      <c r="G243" s="573" t="str">
        <f>'[36]Sch B'!G85</f>
        <v/>
      </c>
      <c r="H243" s="451"/>
    </row>
    <row r="244" spans="2:8">
      <c r="F244" s="142" t="s">
        <v>343</v>
      </c>
      <c r="G244" s="573">
        <f>'[36]Sch B'!I85</f>
        <v>143.23529411764707</v>
      </c>
      <c r="H244" s="465"/>
    </row>
    <row r="245" spans="2:8">
      <c r="F245" s="252"/>
      <c r="G245" s="150"/>
      <c r="H245" s="464"/>
    </row>
  </sheetData>
  <customSheetViews>
    <customSheetView guid="{8B6AA640-12E9-11D5-ABB1-E7A21A3D4A14}" showGridLines="0" showRuler="0">
      <selection activeCell="A21" sqref="A21"/>
      <pageMargins left="0.75" right="0.75" top="1" bottom="1" header="0.5" footer="0.5"/>
      <printOptions horizontalCentered="1"/>
      <pageSetup scale="70" orientation="portrait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" right="0" top="0" bottom="1" header="0.5" footer="0.5"/>
      <printOptions horizontalCentered="1"/>
      <pageSetup scale="70" orientation="portrait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r:id="rId3"/>
  <headerFooter alignWithMargins="0">
    <oddFooter>&amp;R&amp;D
&amp;T
&amp;F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2">
    <tabColor rgb="FFE28CAB"/>
  </sheetPr>
  <dimension ref="A1:Q245"/>
  <sheetViews>
    <sheetView showGridLines="0" zoomScale="90" zoomScaleNormal="90" workbookViewId="0">
      <selection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478"/>
      <c r="E1" s="478"/>
      <c r="F1" s="478"/>
      <c r="G1" s="478"/>
      <c r="H1" s="478"/>
      <c r="I1" s="479"/>
    </row>
    <row r="2" spans="1:14" ht="23">
      <c r="B2" s="143" t="s">
        <v>189</v>
      </c>
      <c r="C2" s="247" t="s">
        <v>465</v>
      </c>
      <c r="D2" s="247"/>
      <c r="E2" s="144"/>
    </row>
    <row r="3" spans="1:14">
      <c r="A3" s="145"/>
      <c r="B3" s="140" t="s">
        <v>79</v>
      </c>
      <c r="C3" s="495">
        <v>41821</v>
      </c>
      <c r="D3" s="144"/>
      <c r="E3" s="147"/>
    </row>
    <row r="4" spans="1:14">
      <c r="A4" s="145"/>
      <c r="B4" s="148" t="s">
        <v>80</v>
      </c>
      <c r="C4" s="495">
        <v>42185</v>
      </c>
      <c r="D4" s="144"/>
      <c r="E4" s="149"/>
      <c r="G4" s="150"/>
    </row>
    <row r="5" spans="1:14">
      <c r="A5" s="145"/>
      <c r="B5" s="148"/>
      <c r="C5" s="151"/>
      <c r="D5" s="144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144"/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490">
        <f>'[37]Sch B'!E10</f>
        <v>3188516</v>
      </c>
      <c r="D11" s="490">
        <f>'[37]Sch B'!G10</f>
        <v>0</v>
      </c>
      <c r="E11" s="171">
        <f>C11+D11</f>
        <v>3188516</v>
      </c>
      <c r="F11" s="171"/>
      <c r="G11" s="171">
        <f t="shared" ref="G11:G20" si="0">E11+F11</f>
        <v>3188516</v>
      </c>
      <c r="H11" s="172">
        <f t="shared" ref="H11:H21" si="1">IF($G$21=0,0,G11/$G$21)</f>
        <v>0.40252092852155441</v>
      </c>
      <c r="I11" s="337"/>
      <c r="J11" s="368" t="s">
        <v>344</v>
      </c>
      <c r="K11" s="369">
        <f>G21</f>
        <v>7921367</v>
      </c>
      <c r="M11" s="359">
        <f>IFERROR(G11/G219,0)</f>
        <v>163.98457107591031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490">
        <f>'[37]Sch B'!E15</f>
        <v>0</v>
      </c>
      <c r="D12" s="490">
        <f>'[37]Sch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7"/>
      <c r="J12" s="370" t="s">
        <v>345</v>
      </c>
      <c r="K12" s="371">
        <f>G208</f>
        <v>7990416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490">
        <f>'[37]Sch B'!E21</f>
        <v>2304584</v>
      </c>
      <c r="D13" s="490">
        <f>'[37]Sch B'!G21</f>
        <v>0</v>
      </c>
      <c r="E13" s="171">
        <f t="shared" si="2"/>
        <v>2304584</v>
      </c>
      <c r="F13" s="171"/>
      <c r="G13" s="171">
        <f t="shared" si="0"/>
        <v>2304584</v>
      </c>
      <c r="H13" s="172">
        <f t="shared" si="1"/>
        <v>0.29093261301994972</v>
      </c>
      <c r="I13" s="337"/>
      <c r="J13" s="370" t="s">
        <v>346</v>
      </c>
      <c r="K13" s="371">
        <f>G228</f>
        <v>33166</v>
      </c>
      <c r="M13" s="359">
        <f t="shared" si="3"/>
        <v>516.02866099417827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490">
        <f>'[37]Sch B'!E27</f>
        <v>962834</v>
      </c>
      <c r="D14" s="490">
        <f>'[37]Sch B'!G27</f>
        <v>0</v>
      </c>
      <c r="E14" s="171">
        <f t="shared" si="2"/>
        <v>962834</v>
      </c>
      <c r="F14" s="175"/>
      <c r="G14" s="175">
        <f>E14+F14</f>
        <v>962834</v>
      </c>
      <c r="H14" s="176">
        <f t="shared" si="1"/>
        <v>0.12154897001994731</v>
      </c>
      <c r="I14" s="338"/>
      <c r="J14" s="370" t="s">
        <v>347</v>
      </c>
      <c r="K14" s="371">
        <f>G231</f>
        <v>140</v>
      </c>
      <c r="M14" s="359">
        <f t="shared" si="3"/>
        <v>400.18038237738983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490">
        <f>'[37]Sch B'!E32</f>
        <v>0</v>
      </c>
      <c r="D15" s="490">
        <f>'[37]Sch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7"/>
      <c r="J15" s="370" t="s">
        <v>348</v>
      </c>
      <c r="K15" s="371">
        <f>G235</f>
        <v>51100</v>
      </c>
      <c r="M15" s="359">
        <f t="shared" si="3"/>
        <v>0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490">
        <f>'[37]Sch B'!E37</f>
        <v>638237</v>
      </c>
      <c r="D16" s="490">
        <f>'[37]Sch B'!G37</f>
        <v>-327823</v>
      </c>
      <c r="E16" s="171">
        <f t="shared" si="2"/>
        <v>310414</v>
      </c>
      <c r="F16" s="171"/>
      <c r="G16" s="171">
        <f t="shared" si="0"/>
        <v>310414</v>
      </c>
      <c r="H16" s="172">
        <f t="shared" si="1"/>
        <v>3.9186923166165635E-2</v>
      </c>
      <c r="I16" s="337"/>
      <c r="J16" s="372"/>
      <c r="K16" s="371"/>
      <c r="M16" s="359">
        <f t="shared" si="3"/>
        <v>256.75268817204301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490">
        <f>'[37]Sch B'!E42</f>
        <v>649352</v>
      </c>
      <c r="D17" s="490">
        <f>'[37]Sch B'!G42</f>
        <v>0</v>
      </c>
      <c r="E17" s="171">
        <f t="shared" si="2"/>
        <v>649352</v>
      </c>
      <c r="F17" s="171"/>
      <c r="G17" s="171">
        <f>E17+F17</f>
        <v>649352</v>
      </c>
      <c r="H17" s="172">
        <f t="shared" si="1"/>
        <v>8.1974739965967991E-2</v>
      </c>
      <c r="I17" s="337"/>
      <c r="J17" s="370" t="s">
        <v>156</v>
      </c>
      <c r="K17" s="371">
        <f>J208</f>
        <v>211156</v>
      </c>
      <c r="M17" s="359">
        <f t="shared" si="3"/>
        <v>182.24866685377492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490">
        <f>'[37]Sch B'!E47</f>
        <v>0</v>
      </c>
      <c r="D18" s="490">
        <f>'[37]Sch B'!G47</f>
        <v>327823</v>
      </c>
      <c r="E18" s="171">
        <f t="shared" si="2"/>
        <v>327823</v>
      </c>
      <c r="F18" s="171"/>
      <c r="G18" s="171">
        <f>E18+F18</f>
        <v>327823</v>
      </c>
      <c r="H18" s="172">
        <f t="shared" si="1"/>
        <v>4.1384649896918042E-2</v>
      </c>
      <c r="I18" s="337"/>
      <c r="J18" s="373" t="s">
        <v>252</v>
      </c>
      <c r="K18" s="374">
        <f>K208</f>
        <v>214791</v>
      </c>
      <c r="M18" s="359">
        <f t="shared" si="3"/>
        <v>190.59476744186045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490">
        <f>'[37]Sch B'!E52</f>
        <v>174485</v>
      </c>
      <c r="D19" s="490">
        <f>'[37]Sch B'!G52</f>
        <v>0</v>
      </c>
      <c r="E19" s="171">
        <f t="shared" si="2"/>
        <v>174485</v>
      </c>
      <c r="F19" s="171"/>
      <c r="G19" s="171">
        <f t="shared" si="0"/>
        <v>174485</v>
      </c>
      <c r="H19" s="172">
        <f t="shared" si="1"/>
        <v>2.2027132438125895E-2</v>
      </c>
      <c r="I19" s="337"/>
      <c r="J19" s="168"/>
      <c r="K19" s="168"/>
      <c r="M19" s="359">
        <f t="shared" si="3"/>
        <v>487.3882681564246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490">
        <f>'[37]Sch B'!E67</f>
        <v>3611</v>
      </c>
      <c r="D20" s="490">
        <f>'[37]Sch B'!G67</f>
        <v>-252</v>
      </c>
      <c r="E20" s="171">
        <f t="shared" si="2"/>
        <v>3359</v>
      </c>
      <c r="F20" s="171"/>
      <c r="G20" s="171">
        <f t="shared" si="0"/>
        <v>3359</v>
      </c>
      <c r="H20" s="172">
        <f t="shared" si="1"/>
        <v>4.2404297137097673E-4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490">
        <f>SUM(C11:C20)</f>
        <v>7921619</v>
      </c>
      <c r="D21" s="490">
        <f>SUM(D11:D20)</f>
        <v>-252</v>
      </c>
      <c r="E21" s="171">
        <f>SUM(E11:E20)</f>
        <v>7921367</v>
      </c>
      <c r="F21" s="171">
        <f>SUM(F11:F20)</f>
        <v>0</v>
      </c>
      <c r="G21" s="171">
        <f>SUM(G11:G20)</f>
        <v>7921367</v>
      </c>
      <c r="H21" s="172">
        <f t="shared" si="1"/>
        <v>1</v>
      </c>
      <c r="I21" s="337"/>
      <c r="J21" s="168"/>
      <c r="K21" s="168"/>
      <c r="M21" s="359">
        <f>IFERROR(G21/G228,0)</f>
        <v>238.83998673340167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4">
      <c r="A24" s="181" t="s">
        <v>161</v>
      </c>
      <c r="B24" s="148" t="s">
        <v>12</v>
      </c>
      <c r="M24" s="363"/>
      <c r="N24" s="363"/>
    </row>
    <row r="25" spans="1:14" s="167" customFormat="1">
      <c r="A25" s="169" t="s">
        <v>83</v>
      </c>
      <c r="B25" s="170" t="s">
        <v>14</v>
      </c>
      <c r="C25" s="490">
        <f>'[37]Sch C'!D10</f>
        <v>99436</v>
      </c>
      <c r="D25" s="490">
        <f>'[37]Sch C'!F10</f>
        <v>0</v>
      </c>
      <c r="E25" s="171">
        <f t="shared" ref="E25:E60" si="4">C25+D25</f>
        <v>99436</v>
      </c>
      <c r="F25" s="171"/>
      <c r="G25" s="182">
        <f>E25+F25</f>
        <v>99436</v>
      </c>
      <c r="H25" s="172">
        <f>IF($G$208=0,0,G25/$G$208)</f>
        <v>1.2444408401264715E-2</v>
      </c>
      <c r="I25" s="337"/>
      <c r="J25" s="183">
        <v>2080</v>
      </c>
      <c r="K25" s="183">
        <v>2080</v>
      </c>
      <c r="M25" s="359">
        <f>G25/G$228</f>
        <v>2.9981306156907674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490">
        <f>'[37]Sch C'!D11</f>
        <v>0</v>
      </c>
      <c r="D26" s="490">
        <f>'[37]Sch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490">
        <f>'[37]Sch C'!D12</f>
        <v>329429</v>
      </c>
      <c r="D27" s="490">
        <f>'[37]Sch C'!F12</f>
        <v>0</v>
      </c>
      <c r="E27" s="171">
        <f t="shared" si="4"/>
        <v>329429</v>
      </c>
      <c r="F27" s="171"/>
      <c r="G27" s="171">
        <f t="shared" si="5"/>
        <v>329429</v>
      </c>
      <c r="H27" s="172">
        <f t="shared" si="6"/>
        <v>4.1228016163363711E-2</v>
      </c>
      <c r="I27" s="337"/>
      <c r="J27" s="185">
        <v>11558</v>
      </c>
      <c r="K27" s="185">
        <v>12785</v>
      </c>
      <c r="M27" s="359">
        <f t="shared" si="7"/>
        <v>9.9327323162274617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490">
        <f>'[37]Sch C'!D13</f>
        <v>75553</v>
      </c>
      <c r="D28" s="490">
        <f>'[37]Sch C'!F13</f>
        <v>-3349</v>
      </c>
      <c r="E28" s="171">
        <f t="shared" si="4"/>
        <v>72204</v>
      </c>
      <c r="F28" s="171"/>
      <c r="G28" s="171">
        <f t="shared" si="5"/>
        <v>72204</v>
      </c>
      <c r="H28" s="172">
        <f t="shared" si="6"/>
        <v>9.0363255179705289E-3</v>
      </c>
      <c r="I28" s="337"/>
      <c r="J28" s="168"/>
      <c r="K28" s="168"/>
      <c r="M28" s="359">
        <f t="shared" si="7"/>
        <v>2.1770487849001992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490">
        <f>'[37]Sch C'!D14</f>
        <v>0</v>
      </c>
      <c r="D29" s="490">
        <f>'[37]Sch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490">
        <f>'[37]Sch C'!D15</f>
        <v>0</v>
      </c>
      <c r="D30" s="490">
        <f>'[37]Sch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7"/>
      <c r="J30" s="168"/>
      <c r="K30" s="168"/>
      <c r="M30" s="359">
        <f t="shared" si="7"/>
        <v>0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490">
        <f>'[37]Sch C'!D16</f>
        <v>237648</v>
      </c>
      <c r="D31" s="490">
        <f>'[37]Sch C'!F16</f>
        <v>44751</v>
      </c>
      <c r="E31" s="171">
        <f t="shared" si="4"/>
        <v>282399</v>
      </c>
      <c r="F31" s="171"/>
      <c r="G31" s="171">
        <f t="shared" si="5"/>
        <v>282399</v>
      </c>
      <c r="H31" s="172">
        <f t="shared" si="6"/>
        <v>3.5342214973538302E-2</v>
      </c>
      <c r="I31" s="337"/>
      <c r="J31" s="168"/>
      <c r="K31" s="168"/>
      <c r="M31" s="359">
        <f t="shared" si="7"/>
        <v>8.5147138635952473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490">
        <f>'[37]Sch C'!D17</f>
        <v>39189</v>
      </c>
      <c r="D32" s="490">
        <f>'[37]Sch C'!F17</f>
        <v>-7511</v>
      </c>
      <c r="E32" s="171">
        <f t="shared" si="4"/>
        <v>31678</v>
      </c>
      <c r="F32" s="171"/>
      <c r="G32" s="171">
        <f t="shared" si="5"/>
        <v>31678</v>
      </c>
      <c r="H32" s="172">
        <f t="shared" si="6"/>
        <v>3.9644994703654981E-3</v>
      </c>
      <c r="I32" s="337"/>
      <c r="J32" s="168"/>
      <c r="K32" s="168"/>
      <c r="M32" s="359">
        <f t="shared" si="7"/>
        <v>0.95513477657842372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490">
        <f>'[37]Sch C'!D18</f>
        <v>49298</v>
      </c>
      <c r="D33" s="490">
        <f>'[37]Sch C'!F18</f>
        <v>0</v>
      </c>
      <c r="E33" s="171">
        <f t="shared" si="4"/>
        <v>49298</v>
      </c>
      <c r="F33" s="171"/>
      <c r="G33" s="171">
        <f t="shared" si="5"/>
        <v>49298</v>
      </c>
      <c r="H33" s="172">
        <f t="shared" si="6"/>
        <v>6.169641230193772E-3</v>
      </c>
      <c r="I33" s="337"/>
      <c r="J33" s="168"/>
      <c r="K33" s="168"/>
      <c r="M33" s="359">
        <f t="shared" si="7"/>
        <v>1.486401736718326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490">
        <f>'[37]Sch C'!D19</f>
        <v>20364</v>
      </c>
      <c r="D34" s="490">
        <f>'[37]Sch C'!F19</f>
        <v>0</v>
      </c>
      <c r="E34" s="171">
        <f t="shared" si="4"/>
        <v>20364</v>
      </c>
      <c r="F34" s="171"/>
      <c r="G34" s="171">
        <f t="shared" si="5"/>
        <v>20364</v>
      </c>
      <c r="H34" s="172">
        <f t="shared" si="6"/>
        <v>2.5485531666936991E-3</v>
      </c>
      <c r="I34" s="337"/>
      <c r="J34" s="168"/>
      <c r="K34" s="168"/>
      <c r="M34" s="359">
        <f t="shared" si="7"/>
        <v>0.61400229150334684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490">
        <f>'[37]Sch C'!D20</f>
        <v>35268</v>
      </c>
      <c r="D35" s="490">
        <f>'[37]Sch C'!F20</f>
        <v>0</v>
      </c>
      <c r="E35" s="171">
        <f t="shared" si="4"/>
        <v>35268</v>
      </c>
      <c r="F35" s="171"/>
      <c r="G35" s="171">
        <f t="shared" si="5"/>
        <v>35268</v>
      </c>
      <c r="H35" s="172">
        <f t="shared" si="6"/>
        <v>4.4137877176857873E-3</v>
      </c>
      <c r="I35" s="337"/>
      <c r="J35" s="168"/>
      <c r="K35" s="168"/>
      <c r="M35" s="359">
        <f t="shared" si="7"/>
        <v>1.0633781583549418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490">
        <f>'[37]Sch C'!D21</f>
        <v>26701</v>
      </c>
      <c r="D36" s="490">
        <f>'[37]Sch C'!F21</f>
        <v>0</v>
      </c>
      <c r="E36" s="171">
        <f t="shared" si="4"/>
        <v>26701</v>
      </c>
      <c r="F36" s="171"/>
      <c r="G36" s="171">
        <f t="shared" si="5"/>
        <v>26701</v>
      </c>
      <c r="H36" s="172">
        <f t="shared" si="6"/>
        <v>3.3416282706682605E-3</v>
      </c>
      <c r="I36" s="337"/>
      <c r="J36" s="168"/>
      <c r="K36" s="168"/>
      <c r="M36" s="359">
        <f t="shared" si="7"/>
        <v>0.8050714587227884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490">
        <f>'[37]Sch C'!D22</f>
        <v>0</v>
      </c>
      <c r="D37" s="490">
        <f>'[37]Sch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490">
        <f>'[37]Sch C'!D23</f>
        <v>10286</v>
      </c>
      <c r="D38" s="490">
        <f>'[37]Sch C'!F23</f>
        <v>0</v>
      </c>
      <c r="E38" s="171">
        <f t="shared" si="4"/>
        <v>10286</v>
      </c>
      <c r="F38" s="171"/>
      <c r="G38" s="171">
        <f t="shared" si="5"/>
        <v>10286</v>
      </c>
      <c r="H38" s="172">
        <f t="shared" si="6"/>
        <v>1.2872921760268801E-3</v>
      </c>
      <c r="I38" s="337"/>
      <c r="J38" s="168"/>
      <c r="K38" s="168"/>
      <c r="M38" s="359">
        <f t="shared" si="7"/>
        <v>0.31013688717361154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490">
        <f>'[37]Sch C'!D24</f>
        <v>16455</v>
      </c>
      <c r="D39" s="490">
        <f>'[37]Sch C'!F24</f>
        <v>0</v>
      </c>
      <c r="E39" s="171">
        <f t="shared" si="4"/>
        <v>16455</v>
      </c>
      <c r="F39" s="171"/>
      <c r="G39" s="171">
        <f t="shared" si="5"/>
        <v>16455</v>
      </c>
      <c r="H39" s="172">
        <f t="shared" si="6"/>
        <v>2.0593420918260078E-3</v>
      </c>
      <c r="I39" s="337"/>
      <c r="J39" s="168"/>
      <c r="K39" s="168"/>
      <c r="M39" s="359">
        <f t="shared" si="7"/>
        <v>0.49614062594223002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490">
        <f>'[37]Sch C'!D25</f>
        <v>0</v>
      </c>
      <c r="D40" s="490">
        <f>'[37]Sch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337"/>
      <c r="J40" s="168"/>
      <c r="K40" s="168"/>
      <c r="M40" s="359">
        <f t="shared" si="7"/>
        <v>0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490">
        <f>'[37]Sch C'!D26</f>
        <v>404512</v>
      </c>
      <c r="D41" s="490">
        <f>'[37]Sch C'!F26</f>
        <v>0</v>
      </c>
      <c r="E41" s="171">
        <f t="shared" si="4"/>
        <v>404512</v>
      </c>
      <c r="F41" s="171"/>
      <c r="G41" s="171">
        <f t="shared" si="5"/>
        <v>404512</v>
      </c>
      <c r="H41" s="172">
        <f t="shared" si="6"/>
        <v>5.0624648328697779E-2</v>
      </c>
      <c r="I41" s="337"/>
      <c r="J41" s="168"/>
      <c r="K41" s="168"/>
      <c r="M41" s="359">
        <f t="shared" si="7"/>
        <v>12.19658686606766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490">
        <f>'[37]Sch C'!D27</f>
        <v>-294</v>
      </c>
      <c r="D42" s="490">
        <f>'[37]Sch C'!F27</f>
        <v>294</v>
      </c>
      <c r="E42" s="171">
        <f t="shared" si="4"/>
        <v>0</v>
      </c>
      <c r="F42" s="171"/>
      <c r="G42" s="171">
        <f t="shared" si="5"/>
        <v>0</v>
      </c>
      <c r="H42" s="172">
        <f t="shared" si="6"/>
        <v>0</v>
      </c>
      <c r="I42" s="337"/>
      <c r="J42" s="168"/>
      <c r="K42" s="168"/>
      <c r="M42" s="359">
        <f t="shared" si="7"/>
        <v>0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490">
        <f>'[37]Sch C'!D28</f>
        <v>0</v>
      </c>
      <c r="D43" s="490">
        <f>'[37]Sch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490">
        <f>'[37]Sch C'!D29</f>
        <v>240718</v>
      </c>
      <c r="D44" s="490">
        <f>'[37]Sch C'!F29</f>
        <v>-240718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490">
        <f>'[37]Sch C'!D30</f>
        <v>0</v>
      </c>
      <c r="D45" s="490">
        <f>'[37]Sch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490">
        <f>'[37]Sch C'!D31</f>
        <v>0</v>
      </c>
      <c r="D46" s="490">
        <f>'[37]Sch C'!F31</f>
        <v>39607</v>
      </c>
      <c r="E46" s="171">
        <f t="shared" si="4"/>
        <v>39607</v>
      </c>
      <c r="F46" s="171"/>
      <c r="G46" s="171">
        <f t="shared" si="5"/>
        <v>39607</v>
      </c>
      <c r="H46" s="172">
        <f t="shared" si="6"/>
        <v>4.9568132622882215E-3</v>
      </c>
      <c r="I46" s="337"/>
      <c r="J46" s="168"/>
      <c r="K46" s="168"/>
      <c r="M46" s="359">
        <f t="shared" si="7"/>
        <v>1.1942049086413797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490">
        <f>'[37]Sch C'!D32</f>
        <v>17119</v>
      </c>
      <c r="D47" s="490">
        <f>'[37]Sch C'!F32</f>
        <v>0</v>
      </c>
      <c r="E47" s="171">
        <f t="shared" si="4"/>
        <v>17119</v>
      </c>
      <c r="F47" s="171"/>
      <c r="G47" s="171">
        <f t="shared" si="5"/>
        <v>17119</v>
      </c>
      <c r="H47" s="172">
        <f t="shared" si="6"/>
        <v>2.142441645090819E-3</v>
      </c>
      <c r="I47" s="337"/>
      <c r="J47" s="168"/>
      <c r="K47" s="168"/>
      <c r="M47" s="359">
        <f t="shared" si="7"/>
        <v>0.5161611288669119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490">
        <f>'[37]Sch C'!D33</f>
        <v>0</v>
      </c>
      <c r="D48" s="490">
        <f>'[37]Sch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490">
        <f>'[37]Sch C'!D34</f>
        <v>0</v>
      </c>
      <c r="D49" s="490">
        <f>'[37]Sch C'!F34</f>
        <v>0</v>
      </c>
      <c r="E49" s="171">
        <f t="shared" si="4"/>
        <v>0</v>
      </c>
      <c r="F49" s="171"/>
      <c r="G49" s="171">
        <f t="shared" si="5"/>
        <v>0</v>
      </c>
      <c r="H49" s="172">
        <f t="shared" si="6"/>
        <v>0</v>
      </c>
      <c r="I49" s="337"/>
      <c r="J49" s="168"/>
      <c r="K49" s="168"/>
      <c r="M49" s="359">
        <f t="shared" si="7"/>
        <v>0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490">
        <f>'[37]Sch C'!D35</f>
        <v>41130</v>
      </c>
      <c r="D50" s="490">
        <f>'[37]Sch C'!F35</f>
        <v>-41130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490">
        <f>'[37]Sch C'!D36</f>
        <v>0</v>
      </c>
      <c r="D51" s="490">
        <f>'[37]Sch C'!F36</f>
        <v>0</v>
      </c>
      <c r="E51" s="171">
        <f t="shared" si="4"/>
        <v>0</v>
      </c>
      <c r="F51" s="171"/>
      <c r="G51" s="171">
        <f t="shared" si="5"/>
        <v>0</v>
      </c>
      <c r="H51" s="172">
        <f t="shared" si="6"/>
        <v>0</v>
      </c>
      <c r="I51" s="337"/>
      <c r="J51" s="183">
        <v>0</v>
      </c>
      <c r="K51" s="183">
        <v>0</v>
      </c>
      <c r="M51" s="359">
        <f t="shared" si="7"/>
        <v>0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490">
        <f>'[37]Sch C'!D37</f>
        <v>0</v>
      </c>
      <c r="D52" s="490">
        <f>'[37]Sch C'!F37</f>
        <v>0</v>
      </c>
      <c r="E52" s="171">
        <f t="shared" si="4"/>
        <v>0</v>
      </c>
      <c r="F52" s="171"/>
      <c r="G52" s="171">
        <f t="shared" si="5"/>
        <v>0</v>
      </c>
      <c r="H52" s="172">
        <f t="shared" si="6"/>
        <v>0</v>
      </c>
      <c r="I52" s="337"/>
      <c r="J52" s="168"/>
      <c r="K52" s="168"/>
      <c r="M52" s="359">
        <f t="shared" si="7"/>
        <v>0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490">
        <f>'[37]Sch C'!D38</f>
        <v>0</v>
      </c>
      <c r="D53" s="490">
        <f>'[37]Sch C'!F38</f>
        <v>0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7"/>
      <c r="J53" s="168"/>
      <c r="K53" s="168"/>
      <c r="M53" s="359">
        <f t="shared" si="7"/>
        <v>0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490">
        <f>'[37]Sch C'!D39</f>
        <v>1299</v>
      </c>
      <c r="D54" s="490">
        <f>'[37]Sch C'!F39</f>
        <v>0</v>
      </c>
      <c r="E54" s="171">
        <f t="shared" si="4"/>
        <v>1299</v>
      </c>
      <c r="F54" s="171"/>
      <c r="G54" s="171">
        <f t="shared" si="5"/>
        <v>1299</v>
      </c>
      <c r="H54" s="172">
        <f t="shared" si="6"/>
        <v>1.6256975857076777E-4</v>
      </c>
      <c r="I54" s="337"/>
      <c r="J54" s="168"/>
      <c r="K54" s="168"/>
      <c r="M54" s="359">
        <f t="shared" si="7"/>
        <v>3.9166616414400286E-2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490">
        <f>'[37]Sch C'!D40</f>
        <v>0</v>
      </c>
      <c r="D55" s="490">
        <f>'[37]Sch C'!F40</f>
        <v>0</v>
      </c>
      <c r="E55" s="171">
        <f t="shared" si="4"/>
        <v>0</v>
      </c>
      <c r="F55" s="171"/>
      <c r="G55" s="171">
        <f t="shared" si="5"/>
        <v>0</v>
      </c>
      <c r="H55" s="172">
        <f t="shared" si="6"/>
        <v>0</v>
      </c>
      <c r="I55" s="337"/>
      <c r="J55" s="168"/>
      <c r="K55" s="168"/>
      <c r="M55" s="359">
        <f t="shared" si="7"/>
        <v>0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490">
        <f>'[37]Sch C'!D41</f>
        <v>7124</v>
      </c>
      <c r="D56" s="490">
        <f>'[37]Sch C'!F41</f>
        <v>0</v>
      </c>
      <c r="E56" s="171">
        <f t="shared" si="4"/>
        <v>7124</v>
      </c>
      <c r="F56" s="171"/>
      <c r="G56" s="171">
        <f t="shared" si="5"/>
        <v>7124</v>
      </c>
      <c r="H56" s="172">
        <f t="shared" si="6"/>
        <v>8.9156809858210138E-4</v>
      </c>
      <c r="I56" s="337"/>
      <c r="J56" s="168"/>
      <c r="K56" s="168"/>
      <c r="M56" s="359">
        <f t="shared" si="7"/>
        <v>0.21479828740276186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490">
        <f>'[37]Sch C'!D42</f>
        <v>0</v>
      </c>
      <c r="D57" s="490">
        <f>'[37]Sch C'!F42</f>
        <v>0</v>
      </c>
      <c r="E57" s="171">
        <f t="shared" si="4"/>
        <v>0</v>
      </c>
      <c r="F57" s="171"/>
      <c r="G57" s="171">
        <f t="shared" si="5"/>
        <v>0</v>
      </c>
      <c r="H57" s="172">
        <f t="shared" si="6"/>
        <v>0</v>
      </c>
      <c r="I57" s="337"/>
      <c r="J57" s="168"/>
      <c r="K57" s="168"/>
      <c r="M57" s="359">
        <f t="shared" si="7"/>
        <v>0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490">
        <f>'[37]Sch C'!D43</f>
        <v>7193</v>
      </c>
      <c r="D58" s="490">
        <f>'[37]Sch C'!F43</f>
        <v>0</v>
      </c>
      <c r="E58" s="171">
        <f t="shared" si="4"/>
        <v>7193</v>
      </c>
      <c r="F58" s="171"/>
      <c r="G58" s="171">
        <f t="shared" si="5"/>
        <v>7193</v>
      </c>
      <c r="H58" s="172">
        <f t="shared" si="6"/>
        <v>9.0020344372558321E-4</v>
      </c>
      <c r="I58" s="337"/>
      <c r="J58" s="168"/>
      <c r="K58" s="168"/>
      <c r="M58" s="359">
        <f t="shared" si="7"/>
        <v>0.2168787312307785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490">
        <f>'[37]Sch C'!D44</f>
        <v>3109</v>
      </c>
      <c r="D59" s="490">
        <f>'[37]Sch C'!F44</f>
        <v>0</v>
      </c>
      <c r="E59" s="171">
        <f t="shared" si="4"/>
        <v>3109</v>
      </c>
      <c r="F59" s="171"/>
      <c r="G59" s="171">
        <f t="shared" si="5"/>
        <v>3109</v>
      </c>
      <c r="H59" s="172">
        <f t="shared" si="6"/>
        <v>3.8909113117514783E-4</v>
      </c>
      <c r="I59" s="337"/>
      <c r="J59" s="168"/>
      <c r="K59" s="168"/>
      <c r="M59" s="359">
        <f t="shared" si="7"/>
        <v>9.374057770005427E-2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490">
        <f>'[37]Sch C'!D45</f>
        <v>15212</v>
      </c>
      <c r="D60" s="490">
        <f>'[37]Sch C'!F45</f>
        <v>0</v>
      </c>
      <c r="E60" s="171">
        <f t="shared" si="4"/>
        <v>15212</v>
      </c>
      <c r="F60" s="171"/>
      <c r="G60" s="171">
        <f t="shared" si="5"/>
        <v>15212</v>
      </c>
      <c r="H60" s="172">
        <f t="shared" si="6"/>
        <v>1.9037807293137178E-3</v>
      </c>
      <c r="I60" s="337"/>
      <c r="J60" s="168"/>
      <c r="K60" s="168"/>
      <c r="M60" s="359">
        <f t="shared" si="7"/>
        <v>0.45866248567810408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490">
        <f>SUM(C25:C60)</f>
        <v>1676749</v>
      </c>
      <c r="D61" s="490">
        <f>SUM(D25:D60)</f>
        <v>-208056</v>
      </c>
      <c r="E61" s="171">
        <f t="shared" ref="E61:F61" si="8">SUM(E25:E60)</f>
        <v>1468693</v>
      </c>
      <c r="F61" s="171">
        <f t="shared" si="8"/>
        <v>0</v>
      </c>
      <c r="G61" s="171">
        <f>SUM(G25:G60)</f>
        <v>1468693</v>
      </c>
      <c r="H61" s="186">
        <f t="shared" si="6"/>
        <v>0.18380682557704128</v>
      </c>
      <c r="I61" s="339"/>
      <c r="J61" s="168"/>
      <c r="K61" s="168"/>
      <c r="M61" s="364">
        <f>G61/G$228</f>
        <v>44.283091117409398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I62" s="340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490">
        <f>'[37]Sch C'!D57</f>
        <v>0</v>
      </c>
      <c r="D64" s="490">
        <f>'[37]Sch C'!F57</f>
        <v>0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I64" s="337"/>
      <c r="J64" s="190"/>
      <c r="K64" s="168"/>
      <c r="M64" s="359">
        <f t="shared" ref="M64:M79" si="12">G64/G$228</f>
        <v>0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490">
        <f>'[37]Sch C'!D58</f>
        <v>177644</v>
      </c>
      <c r="D65" s="490">
        <f>'[37]Sch C'!F58</f>
        <v>98721</v>
      </c>
      <c r="E65" s="171">
        <f t="shared" si="9"/>
        <v>276365</v>
      </c>
      <c r="F65" s="171"/>
      <c r="G65" s="171">
        <f t="shared" si="10"/>
        <v>276365</v>
      </c>
      <c r="H65" s="172">
        <f t="shared" si="11"/>
        <v>3.4587060298237285E-2</v>
      </c>
      <c r="I65" s="337"/>
      <c r="J65" s="190"/>
      <c r="K65" s="168"/>
      <c r="M65" s="359">
        <f t="shared" si="12"/>
        <v>8.3327805584031847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490">
        <f>'[37]Sch C'!D59</f>
        <v>710198</v>
      </c>
      <c r="D66" s="490">
        <f>'[37]Sch C'!F59</f>
        <v>-567943</v>
      </c>
      <c r="E66" s="171">
        <f t="shared" si="9"/>
        <v>142255</v>
      </c>
      <c r="F66" s="171"/>
      <c r="G66" s="171">
        <f t="shared" si="10"/>
        <v>142255</v>
      </c>
      <c r="H66" s="172">
        <f t="shared" si="11"/>
        <v>1.7803203237478499E-2</v>
      </c>
      <c r="I66" s="337"/>
      <c r="J66" s="190"/>
      <c r="K66" s="168"/>
      <c r="M66" s="359">
        <f t="shared" si="12"/>
        <v>4.2891816920943135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490">
        <f>'[37]Sch C'!D60</f>
        <v>53881</v>
      </c>
      <c r="D67" s="490">
        <f>'[37]Sch C'!F60</f>
        <v>-690</v>
      </c>
      <c r="E67" s="171">
        <f t="shared" si="9"/>
        <v>53191</v>
      </c>
      <c r="F67" s="171"/>
      <c r="G67" s="171">
        <f t="shared" si="10"/>
        <v>53191</v>
      </c>
      <c r="H67" s="172">
        <f t="shared" si="11"/>
        <v>6.6568499061876131E-3</v>
      </c>
      <c r="I67" s="337"/>
      <c r="J67" s="193"/>
      <c r="K67" s="168"/>
      <c r="M67" s="359">
        <f t="shared" si="12"/>
        <v>1.6037809805222216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490">
        <f>'[37]Sch C'!D61</f>
        <v>4072</v>
      </c>
      <c r="D68" s="490">
        <f>'[37]Sch C'!F61</f>
        <v>0</v>
      </c>
      <c r="E68" s="171">
        <f t="shared" si="9"/>
        <v>4072</v>
      </c>
      <c r="F68" s="171"/>
      <c r="G68" s="171">
        <f t="shared" si="10"/>
        <v>4072</v>
      </c>
      <c r="H68" s="172">
        <f t="shared" si="11"/>
        <v>5.0961051339504725E-4</v>
      </c>
      <c r="I68" s="337"/>
      <c r="J68" s="193"/>
      <c r="K68" s="168"/>
      <c r="M68" s="359">
        <f t="shared" si="12"/>
        <v>0.1227763372128083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490">
        <f>'[37]Sch C'!D62</f>
        <v>0</v>
      </c>
      <c r="D69" s="490">
        <f>'[37]Sch C'!F62</f>
        <v>0</v>
      </c>
      <c r="E69" s="171">
        <f t="shared" si="9"/>
        <v>0</v>
      </c>
      <c r="F69" s="171"/>
      <c r="G69" s="171">
        <f t="shared" si="10"/>
        <v>0</v>
      </c>
      <c r="H69" s="172">
        <f t="shared" si="11"/>
        <v>0</v>
      </c>
      <c r="I69" s="337"/>
      <c r="J69" s="195"/>
      <c r="K69" s="168"/>
      <c r="M69" s="359">
        <f t="shared" si="12"/>
        <v>0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490">
        <f>'[37]Sch C'!D63</f>
        <v>0</v>
      </c>
      <c r="D70" s="490">
        <f>'[37]Sch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7"/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490">
        <f>'[37]Sch C'!D64</f>
        <v>0</v>
      </c>
      <c r="D71" s="490">
        <f>'[37]Sch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490">
        <f>'[37]Sch C'!D65</f>
        <v>0</v>
      </c>
      <c r="D72" s="490">
        <f>'[37]Sch C'!F65</f>
        <v>0</v>
      </c>
      <c r="E72" s="171">
        <f t="shared" si="9"/>
        <v>0</v>
      </c>
      <c r="F72" s="171"/>
      <c r="G72" s="171">
        <f t="shared" si="10"/>
        <v>0</v>
      </c>
      <c r="H72" s="172">
        <f t="shared" si="11"/>
        <v>0</v>
      </c>
      <c r="I72" s="337"/>
      <c r="J72" s="195"/>
      <c r="K72" s="168"/>
      <c r="M72" s="359">
        <f t="shared" si="12"/>
        <v>0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490">
        <f>'[37]Sch C'!D66</f>
        <v>0</v>
      </c>
      <c r="D73" s="490">
        <f>'[37]Sch C'!F66</f>
        <v>0</v>
      </c>
      <c r="E73" s="171">
        <f t="shared" si="9"/>
        <v>0</v>
      </c>
      <c r="F73" s="171"/>
      <c r="G73" s="171">
        <f t="shared" si="10"/>
        <v>0</v>
      </c>
      <c r="H73" s="172">
        <f t="shared" si="11"/>
        <v>0</v>
      </c>
      <c r="I73" s="337"/>
      <c r="J73" s="195"/>
      <c r="K73" s="168"/>
      <c r="M73" s="359">
        <f t="shared" si="12"/>
        <v>0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490">
        <f>'[37]Sch C'!D67</f>
        <v>108851</v>
      </c>
      <c r="D74" s="490">
        <f>'[37]Sch C'!F67</f>
        <v>31936</v>
      </c>
      <c r="E74" s="171">
        <f t="shared" si="9"/>
        <v>140787</v>
      </c>
      <c r="F74" s="171"/>
      <c r="G74" s="171">
        <f t="shared" si="10"/>
        <v>140787</v>
      </c>
      <c r="H74" s="172">
        <f t="shared" si="11"/>
        <v>1.761948314080268E-2</v>
      </c>
      <c r="I74" s="337"/>
      <c r="J74" s="195"/>
      <c r="K74" s="168"/>
      <c r="M74" s="359">
        <f t="shared" si="12"/>
        <v>4.2449194958692633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490">
        <f>'[37]Sch C'!D68</f>
        <v>0</v>
      </c>
      <c r="D75" s="490">
        <f>'[37]Sch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490">
        <f>'[37]Sch C'!D69</f>
        <v>8436</v>
      </c>
      <c r="D76" s="490">
        <f>'[37]Sch C'!F69</f>
        <v>-401</v>
      </c>
      <c r="E76" s="171">
        <f t="shared" si="9"/>
        <v>8035</v>
      </c>
      <c r="F76" s="171"/>
      <c r="G76" s="171">
        <f t="shared" si="10"/>
        <v>8035</v>
      </c>
      <c r="H76" s="172">
        <f t="shared" si="11"/>
        <v>1.0055796844619855E-3</v>
      </c>
      <c r="I76" s="337"/>
      <c r="J76" s="195"/>
      <c r="K76" s="168"/>
      <c r="M76" s="359">
        <f t="shared" si="12"/>
        <v>0.24226617620454682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490">
        <f>'[37]Sch C'!D70</f>
        <v>0</v>
      </c>
      <c r="D77" s="490">
        <f>'[37]Sch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7"/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490">
        <f>'[37]Sch C'!D71</f>
        <v>0</v>
      </c>
      <c r="D78" s="490">
        <f>'[37]Sch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7"/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490">
        <f>SUM(C64:C78)</f>
        <v>1063082</v>
      </c>
      <c r="D79" s="490">
        <f>SUM(D64:D78)</f>
        <v>-438377</v>
      </c>
      <c r="E79" s="171">
        <f t="shared" ref="E79:F79" si="13">SUM(E64:E78)</f>
        <v>624705</v>
      </c>
      <c r="F79" s="171">
        <f t="shared" si="13"/>
        <v>0</v>
      </c>
      <c r="G79" s="171">
        <f>SUM(G64:G78)</f>
        <v>624705</v>
      </c>
      <c r="H79" s="172">
        <f t="shared" si="11"/>
        <v>7.8181786780563117E-2</v>
      </c>
      <c r="I79" s="337"/>
      <c r="J79" s="195"/>
      <c r="K79" s="168"/>
      <c r="M79" s="359">
        <f t="shared" si="12"/>
        <v>18.835705240306339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490">
        <f>'[37]Sch C'!D75</f>
        <v>48638</v>
      </c>
      <c r="D82" s="490">
        <f>'[37]Sch C'!F75</f>
        <v>0</v>
      </c>
      <c r="E82" s="171">
        <f t="shared" ref="E82:E92" si="14">C82+D82</f>
        <v>48638</v>
      </c>
      <c r="F82" s="171"/>
      <c r="G82" s="171">
        <f t="shared" ref="G82:G92" si="15">E82+F82</f>
        <v>48638</v>
      </c>
      <c r="H82" s="172">
        <f t="shared" ref="H82:H93" si="16">IF($G$208=0,0,G82/$G$208)</f>
        <v>6.0870422766474237E-3</v>
      </c>
      <c r="I82" s="337"/>
      <c r="J82" s="183">
        <v>2189</v>
      </c>
      <c r="K82" s="183">
        <v>2203</v>
      </c>
      <c r="M82" s="359">
        <f t="shared" ref="M82:M92" si="17">G82/G$228</f>
        <v>1.4665018392329494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490">
        <f>'[37]Sch C'!D76</f>
        <v>10406</v>
      </c>
      <c r="D83" s="490">
        <f>'[37]Sch C'!F76</f>
        <v>-468</v>
      </c>
      <c r="E83" s="171">
        <f t="shared" si="14"/>
        <v>9938</v>
      </c>
      <c r="F83" s="171"/>
      <c r="G83" s="171">
        <f t="shared" si="15"/>
        <v>9938</v>
      </c>
      <c r="H83" s="172">
        <f t="shared" si="16"/>
        <v>1.2437400005206238E-3</v>
      </c>
      <c r="I83" s="337"/>
      <c r="J83" s="168"/>
      <c r="K83" s="168"/>
      <c r="M83" s="359">
        <f t="shared" si="17"/>
        <v>0.29964421395404933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490">
        <f>'[37]Sch C'!D77</f>
        <v>14161</v>
      </c>
      <c r="D84" s="490">
        <f>'[37]Sch C'!F77</f>
        <v>-252</v>
      </c>
      <c r="E84" s="171">
        <f t="shared" si="14"/>
        <v>13909</v>
      </c>
      <c r="F84" s="171"/>
      <c r="G84" s="171">
        <f t="shared" si="15"/>
        <v>13909</v>
      </c>
      <c r="H84" s="172">
        <f t="shared" si="16"/>
        <v>1.7407103710244873E-3</v>
      </c>
      <c r="I84" s="337"/>
      <c r="J84" s="168"/>
      <c r="K84" s="168"/>
      <c r="M84" s="359">
        <f t="shared" si="17"/>
        <v>0.41937526382439849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490">
        <f>'[37]Sch C'!D78</f>
        <v>51378</v>
      </c>
      <c r="D85" s="490">
        <f>'[37]Sch C'!F78</f>
        <v>0</v>
      </c>
      <c r="E85" s="171">
        <f t="shared" si="14"/>
        <v>51378</v>
      </c>
      <c r="F85" s="171"/>
      <c r="G85" s="171">
        <f t="shared" si="15"/>
        <v>51378</v>
      </c>
      <c r="H85" s="172">
        <f t="shared" si="16"/>
        <v>6.4299530837943859E-3</v>
      </c>
      <c r="I85" s="337"/>
      <c r="J85" s="168"/>
      <c r="K85" s="168"/>
      <c r="M85" s="359">
        <f t="shared" si="17"/>
        <v>1.5491165651570886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490">
        <f>'[37]Sch C'!D79</f>
        <v>0</v>
      </c>
      <c r="D86" s="490">
        <f>'[37]Sch C'!F79</f>
        <v>0</v>
      </c>
      <c r="E86" s="171">
        <f t="shared" si="14"/>
        <v>0</v>
      </c>
      <c r="F86" s="171"/>
      <c r="G86" s="171">
        <f>E86+F86</f>
        <v>0</v>
      </c>
      <c r="H86" s="172">
        <f t="shared" si="16"/>
        <v>0</v>
      </c>
      <c r="I86" s="337"/>
      <c r="J86" s="168"/>
      <c r="K86" s="168"/>
      <c r="M86" s="359">
        <f t="shared" si="17"/>
        <v>0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490">
        <f>'[37]Sch C'!D80</f>
        <v>62414</v>
      </c>
      <c r="D87" s="490">
        <f>'[37]Sch C'!F80</f>
        <v>0</v>
      </c>
      <c r="E87" s="171">
        <f t="shared" si="14"/>
        <v>62414</v>
      </c>
      <c r="F87" s="171"/>
      <c r="G87" s="171">
        <f t="shared" si="15"/>
        <v>62414</v>
      </c>
      <c r="H87" s="172">
        <f t="shared" si="16"/>
        <v>7.8111077070330253E-3</v>
      </c>
      <c r="I87" s="337"/>
      <c r="J87" s="168"/>
      <c r="K87" s="168"/>
      <c r="M87" s="359">
        <f t="shared" si="17"/>
        <v>1.8818669722004462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490">
        <f>'[37]Sch C'!D81</f>
        <v>0</v>
      </c>
      <c r="D88" s="490">
        <f>'[37]Sch C'!F81</f>
        <v>0</v>
      </c>
      <c r="E88" s="171">
        <f t="shared" si="14"/>
        <v>0</v>
      </c>
      <c r="F88" s="171"/>
      <c r="G88" s="171">
        <f t="shared" si="15"/>
        <v>0</v>
      </c>
      <c r="H88" s="172">
        <f t="shared" si="16"/>
        <v>0</v>
      </c>
      <c r="I88" s="337"/>
      <c r="J88" s="168"/>
      <c r="K88" s="168"/>
      <c r="M88" s="359">
        <f t="shared" si="17"/>
        <v>0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490">
        <f>'[37]Sch C'!D82</f>
        <v>35550</v>
      </c>
      <c r="D89" s="490">
        <f>'[37]Sch C'!F82</f>
        <v>0</v>
      </c>
      <c r="E89" s="171">
        <f t="shared" si="14"/>
        <v>35550</v>
      </c>
      <c r="F89" s="171"/>
      <c r="G89" s="171">
        <f t="shared" si="15"/>
        <v>35550</v>
      </c>
      <c r="H89" s="172">
        <f t="shared" si="16"/>
        <v>4.4490799978374089E-3</v>
      </c>
      <c r="I89" s="337"/>
      <c r="J89" s="168"/>
      <c r="K89" s="168"/>
      <c r="M89" s="359">
        <f t="shared" si="17"/>
        <v>1.0718808418259664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490">
        <f>'[37]Sch C'!D83</f>
        <v>0</v>
      </c>
      <c r="D90" s="490">
        <f>'[37]Sch C'!F83</f>
        <v>0</v>
      </c>
      <c r="E90" s="171">
        <f t="shared" si="14"/>
        <v>0</v>
      </c>
      <c r="F90" s="171"/>
      <c r="G90" s="171">
        <f t="shared" si="15"/>
        <v>0</v>
      </c>
      <c r="H90" s="172">
        <f t="shared" si="16"/>
        <v>0</v>
      </c>
      <c r="I90" s="337"/>
      <c r="J90" s="168"/>
      <c r="K90" s="168"/>
      <c r="M90" s="359">
        <f t="shared" si="17"/>
        <v>0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490">
        <f>'[37]Sch C'!D84</f>
        <v>156668</v>
      </c>
      <c r="D91" s="490">
        <f>'[37]Sch C'!F84</f>
        <v>0</v>
      </c>
      <c r="E91" s="171">
        <f t="shared" si="14"/>
        <v>156668</v>
      </c>
      <c r="F91" s="171"/>
      <c r="G91" s="171">
        <f t="shared" si="15"/>
        <v>156668</v>
      </c>
      <c r="H91" s="172">
        <f t="shared" si="16"/>
        <v>1.9606989173029291E-2</v>
      </c>
      <c r="I91" s="337"/>
      <c r="J91" s="168"/>
      <c r="K91" s="168"/>
      <c r="M91" s="359">
        <f t="shared" si="17"/>
        <v>4.7237532412711811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490">
        <f>'[37]Sch C'!D85</f>
        <v>0</v>
      </c>
      <c r="D92" s="490">
        <f>'[37]Sch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7"/>
      <c r="J92" s="168"/>
      <c r="K92" s="168"/>
      <c r="M92" s="359">
        <f t="shared" si="17"/>
        <v>0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490">
        <f>SUM(C82:C92)</f>
        <v>379215</v>
      </c>
      <c r="D93" s="490">
        <f>SUM(D82:D92)</f>
        <v>-720</v>
      </c>
      <c r="E93" s="171">
        <f t="shared" ref="E93:F93" si="18">SUM(E82:E92)</f>
        <v>378495</v>
      </c>
      <c r="F93" s="171">
        <f t="shared" si="18"/>
        <v>0</v>
      </c>
      <c r="G93" s="171">
        <f>SUM(G82:G92)</f>
        <v>378495</v>
      </c>
      <c r="H93" s="172">
        <f t="shared" si="16"/>
        <v>4.7368622609886647E-2</v>
      </c>
      <c r="I93" s="337"/>
      <c r="J93" s="168"/>
      <c r="K93" s="168"/>
      <c r="M93" s="364">
        <f>G93/G$228</f>
        <v>11.41213893746608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490">
        <f>'[37]Sch C'!D89</f>
        <v>290893</v>
      </c>
      <c r="D96" s="490">
        <f>'[37]Sch C'!F89</f>
        <v>0</v>
      </c>
      <c r="E96" s="171">
        <f t="shared" ref="E96:E101" si="19">C96+D96</f>
        <v>290893</v>
      </c>
      <c r="F96" s="171"/>
      <c r="G96" s="171">
        <f t="shared" ref="G96:G101" si="20">E96+F96</f>
        <v>290893</v>
      </c>
      <c r="H96" s="172">
        <f t="shared" ref="H96:H102" si="21">IF($G$208=0,0,G96/$G$208)</f>
        <v>3.640523847569388E-2</v>
      </c>
      <c r="I96" s="337"/>
      <c r="J96" s="183">
        <v>23017</v>
      </c>
      <c r="K96" s="183">
        <v>23127</v>
      </c>
      <c r="M96" s="364">
        <f t="shared" ref="M96:M101" si="22">G96/G$228</f>
        <v>8.7708195139600793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490">
        <f>'[37]Sch C'!D90</f>
        <v>62790</v>
      </c>
      <c r="D97" s="490">
        <f>'[37]Sch C'!F90</f>
        <v>-2801</v>
      </c>
      <c r="E97" s="171">
        <f t="shared" si="19"/>
        <v>59989</v>
      </c>
      <c r="F97" s="171"/>
      <c r="G97" s="171">
        <f t="shared" si="20"/>
        <v>59989</v>
      </c>
      <c r="H97" s="172">
        <f t="shared" si="21"/>
        <v>7.5076191277150027E-3</v>
      </c>
      <c r="I97" s="337"/>
      <c r="J97" s="168"/>
      <c r="K97" s="168"/>
      <c r="M97" s="364">
        <f t="shared" si="22"/>
        <v>1.8087499246216003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490">
        <f>'[37]Sch C'!D91</f>
        <v>0</v>
      </c>
      <c r="D98" s="490">
        <f>'[37]Sch C'!F91</f>
        <v>0</v>
      </c>
      <c r="E98" s="171">
        <f t="shared" si="19"/>
        <v>0</v>
      </c>
      <c r="F98" s="171"/>
      <c r="G98" s="171">
        <f t="shared" si="20"/>
        <v>0</v>
      </c>
      <c r="H98" s="172">
        <f t="shared" si="21"/>
        <v>0</v>
      </c>
      <c r="I98" s="337"/>
      <c r="J98" s="168"/>
      <c r="K98" s="168"/>
      <c r="M98" s="364">
        <f t="shared" si="22"/>
        <v>0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490">
        <f>'[37]Sch C'!D92</f>
        <v>267491</v>
      </c>
      <c r="D99" s="490">
        <f>'[37]Sch C'!F92</f>
        <v>0</v>
      </c>
      <c r="E99" s="171">
        <f t="shared" si="19"/>
        <v>267491</v>
      </c>
      <c r="F99" s="171"/>
      <c r="G99" s="171">
        <f t="shared" si="20"/>
        <v>267491</v>
      </c>
      <c r="H99" s="172">
        <f t="shared" si="21"/>
        <v>3.3476479822827747E-2</v>
      </c>
      <c r="I99" s="337"/>
      <c r="J99" s="168"/>
      <c r="K99" s="168"/>
      <c r="M99" s="364">
        <f t="shared" si="22"/>
        <v>8.0652173913043477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490">
        <f>'[37]Sch C'!D93</f>
        <v>23519</v>
      </c>
      <c r="D100" s="490">
        <f>'[37]Sch C'!F93</f>
        <v>0</v>
      </c>
      <c r="E100" s="171">
        <f t="shared" si="19"/>
        <v>23519</v>
      </c>
      <c r="F100" s="171"/>
      <c r="G100" s="171">
        <f t="shared" si="20"/>
        <v>23519</v>
      </c>
      <c r="H100" s="172">
        <f t="shared" si="21"/>
        <v>2.943401194631168E-3</v>
      </c>
      <c r="I100" s="337"/>
      <c r="J100" s="168"/>
      <c r="K100" s="168"/>
      <c r="M100" s="364">
        <f t="shared" si="22"/>
        <v>0.70912983175541222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490">
        <f>'[37]Sch C'!D94</f>
        <v>0</v>
      </c>
      <c r="D101" s="490">
        <f>'[37]Sch C'!F94</f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I101" s="337"/>
      <c r="J101" s="168"/>
      <c r="K101" s="168"/>
      <c r="M101" s="364">
        <f t="shared" si="22"/>
        <v>0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490">
        <f>SUM(C96:C101)</f>
        <v>644693</v>
      </c>
      <c r="D102" s="490">
        <f>SUM(D96:D101)</f>
        <v>-2801</v>
      </c>
      <c r="E102" s="171">
        <f t="shared" ref="E102:F102" si="23">SUM(E96:E101)</f>
        <v>641892</v>
      </c>
      <c r="F102" s="171">
        <f t="shared" si="23"/>
        <v>0</v>
      </c>
      <c r="G102" s="171">
        <f>SUM(G96:G101)</f>
        <v>641892</v>
      </c>
      <c r="H102" s="172">
        <f t="shared" si="21"/>
        <v>8.0332738620867802E-2</v>
      </c>
      <c r="I102" s="337"/>
      <c r="J102" s="168"/>
      <c r="K102" s="168"/>
      <c r="M102" s="364">
        <f>G102/G$228</f>
        <v>19.353916661641438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490">
        <f>'[37]Sch C'!D98</f>
        <v>33591</v>
      </c>
      <c r="D105" s="490">
        <f>'[37]Sch C'!F98</f>
        <v>0</v>
      </c>
      <c r="E105" s="171">
        <f t="shared" ref="E105:E110" si="24">C105+D105</f>
        <v>33591</v>
      </c>
      <c r="F105" s="171"/>
      <c r="G105" s="171">
        <f t="shared" ref="G105:G110" si="25">E105+F105</f>
        <v>33591</v>
      </c>
      <c r="H105" s="172">
        <f t="shared" ref="H105:H111" si="26">IF($G$208=0,0,G105/$G$208)</f>
        <v>4.2039112857202932E-3</v>
      </c>
      <c r="I105" s="337"/>
      <c r="J105" s="183">
        <v>3527</v>
      </c>
      <c r="K105" s="183">
        <v>3542</v>
      </c>
      <c r="M105" s="364">
        <f t="shared" ref="M105:M110" si="27">G105/G$228</f>
        <v>1.0128143279261894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490">
        <f>'[37]Sch C'!D99</f>
        <v>7279</v>
      </c>
      <c r="D106" s="490">
        <f>'[37]Sch C'!F99</f>
        <v>-324</v>
      </c>
      <c r="E106" s="171">
        <f t="shared" si="24"/>
        <v>6955</v>
      </c>
      <c r="F106" s="171"/>
      <c r="G106" s="171">
        <f t="shared" si="25"/>
        <v>6955</v>
      </c>
      <c r="H106" s="172">
        <f t="shared" si="26"/>
        <v>8.7041776047705151E-4</v>
      </c>
      <c r="I106" s="337"/>
      <c r="J106" s="168"/>
      <c r="K106" s="168"/>
      <c r="M106" s="364">
        <f t="shared" si="27"/>
        <v>0.2097027075921124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490">
        <f>'[37]Sch C'!D100</f>
        <v>4122</v>
      </c>
      <c r="D107" s="490">
        <f>'[37]Sch C'!F100</f>
        <v>0</v>
      </c>
      <c r="E107" s="171">
        <f t="shared" si="24"/>
        <v>4122</v>
      </c>
      <c r="F107" s="171"/>
      <c r="G107" s="171">
        <f t="shared" si="25"/>
        <v>4122</v>
      </c>
      <c r="H107" s="172">
        <f t="shared" si="26"/>
        <v>5.1586800987583122E-4</v>
      </c>
      <c r="I107" s="337"/>
      <c r="J107" s="168"/>
      <c r="K107" s="168"/>
      <c r="M107" s="364">
        <f t="shared" si="27"/>
        <v>0.1242839052041247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490">
        <f>'[37]Sch C'!D101</f>
        <v>0</v>
      </c>
      <c r="D108" s="490">
        <f>'[37]Sch C'!F101</f>
        <v>0</v>
      </c>
      <c r="E108" s="171">
        <f t="shared" si="24"/>
        <v>0</v>
      </c>
      <c r="F108" s="171"/>
      <c r="G108" s="171">
        <f t="shared" si="25"/>
        <v>0</v>
      </c>
      <c r="H108" s="172">
        <f t="shared" si="26"/>
        <v>0</v>
      </c>
      <c r="I108" s="337"/>
      <c r="J108" s="168"/>
      <c r="K108" s="168"/>
      <c r="M108" s="364">
        <f t="shared" si="27"/>
        <v>0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490">
        <f>'[37]Sch C'!D102</f>
        <v>12289</v>
      </c>
      <c r="D109" s="490">
        <f>'[37]Sch C'!F102</f>
        <v>0</v>
      </c>
      <c r="E109" s="171">
        <f t="shared" si="24"/>
        <v>12289</v>
      </c>
      <c r="F109" s="171"/>
      <c r="G109" s="171">
        <f t="shared" si="25"/>
        <v>12289</v>
      </c>
      <c r="H109" s="172">
        <f t="shared" si="26"/>
        <v>1.5379674850470864E-3</v>
      </c>
      <c r="I109" s="337"/>
      <c r="J109" s="168"/>
      <c r="K109" s="168"/>
      <c r="M109" s="364">
        <f t="shared" si="27"/>
        <v>0.37053006090574686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490">
        <f>'[37]Sch C'!D103</f>
        <v>0</v>
      </c>
      <c r="D110" s="490">
        <f>'[37]Sch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7"/>
      <c r="J110" s="168"/>
      <c r="K110" s="168"/>
      <c r="M110" s="364">
        <f t="shared" si="27"/>
        <v>0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490">
        <f>SUM(C105:C110)</f>
        <v>57281</v>
      </c>
      <c r="D111" s="490">
        <f>SUM(D105:D110)</f>
        <v>-324</v>
      </c>
      <c r="E111" s="171">
        <f t="shared" ref="E111:F111" si="28">SUM(E105:E110)</f>
        <v>56957</v>
      </c>
      <c r="F111" s="171">
        <f t="shared" si="28"/>
        <v>0</v>
      </c>
      <c r="G111" s="171">
        <f>SUM(G105:G110)</f>
        <v>56957</v>
      </c>
      <c r="H111" s="172">
        <f t="shared" si="26"/>
        <v>7.1281645411202616E-3</v>
      </c>
      <c r="I111" s="337"/>
      <c r="J111" s="168"/>
      <c r="K111" s="168"/>
      <c r="M111" s="364">
        <f>G111/G$228</f>
        <v>1.7173310016281735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490">
        <f>'[37]Sch C'!D115</f>
        <v>150403</v>
      </c>
      <c r="D114" s="490">
        <f>'[37]Sch C'!F115</f>
        <v>0</v>
      </c>
      <c r="E114" s="171">
        <f t="shared" ref="E114:E118" si="29">C114+D114</f>
        <v>150403</v>
      </c>
      <c r="F114" s="171"/>
      <c r="G114" s="171">
        <f>E114+F114</f>
        <v>150403</v>
      </c>
      <c r="H114" s="172">
        <f t="shared" ref="H114:H119" si="30">IF($G$208=0,0,G114/$G$208)</f>
        <v>1.8822924863987057E-2</v>
      </c>
      <c r="I114" s="337"/>
      <c r="J114" s="183">
        <v>13373</v>
      </c>
      <c r="K114" s="183">
        <v>13595</v>
      </c>
      <c r="M114" s="364">
        <f t="shared" ref="M114:M119" si="31">G114/G$228</f>
        <v>4.534854971959235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490">
        <f>'[37]Sch C'!D116</f>
        <v>32973</v>
      </c>
      <c r="D115" s="490">
        <f>'[37]Sch C'!F116</f>
        <v>-1449</v>
      </c>
      <c r="E115" s="171">
        <f t="shared" si="29"/>
        <v>31524</v>
      </c>
      <c r="F115" s="171"/>
      <c r="G115" s="171">
        <f>E115+F115</f>
        <v>31524</v>
      </c>
      <c r="H115" s="172">
        <f t="shared" si="30"/>
        <v>3.9452263812046829E-3</v>
      </c>
      <c r="I115" s="337"/>
      <c r="J115" s="168"/>
      <c r="K115" s="168"/>
      <c r="M115" s="364">
        <f t="shared" si="31"/>
        <v>0.95049146716516919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490">
        <f>'[37]Sch C'!D117</f>
        <v>21990</v>
      </c>
      <c r="D116" s="490">
        <f>'[37]Sch C'!F117</f>
        <v>0</v>
      </c>
      <c r="E116" s="171">
        <f t="shared" si="29"/>
        <v>21990</v>
      </c>
      <c r="F116" s="171"/>
      <c r="G116" s="171">
        <f>E116+F116</f>
        <v>21990</v>
      </c>
      <c r="H116" s="172">
        <f t="shared" si="30"/>
        <v>2.7520469522487939E-3</v>
      </c>
      <c r="I116" s="337"/>
      <c r="J116" s="168"/>
      <c r="K116" s="168"/>
      <c r="M116" s="364">
        <f t="shared" si="31"/>
        <v>0.66302840258095641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490">
        <f>'[37]Sch C'!D118</f>
        <v>0</v>
      </c>
      <c r="D117" s="490">
        <f>'[37]Sch C'!F118</f>
        <v>0</v>
      </c>
      <c r="E117" s="171">
        <f t="shared" si="29"/>
        <v>0</v>
      </c>
      <c r="F117" s="171"/>
      <c r="G117" s="171">
        <f>E117+F117</f>
        <v>0</v>
      </c>
      <c r="H117" s="172">
        <f t="shared" si="30"/>
        <v>0</v>
      </c>
      <c r="I117" s="337"/>
      <c r="J117" s="168"/>
      <c r="K117" s="168"/>
      <c r="M117" s="364">
        <f t="shared" si="31"/>
        <v>0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490">
        <f>'[37]Sch C'!D119</f>
        <v>0</v>
      </c>
      <c r="D118" s="490">
        <f>'[37]Sch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337"/>
      <c r="J118" s="168"/>
      <c r="K118" s="168"/>
      <c r="M118" s="364">
        <f t="shared" si="31"/>
        <v>0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490">
        <f>SUM(C114:C118)</f>
        <v>205366</v>
      </c>
      <c r="D119" s="490">
        <f>SUM(D114:D118)</f>
        <v>-1449</v>
      </c>
      <c r="E119" s="171">
        <f t="shared" ref="E119:F119" si="32">SUM(E114:E118)</f>
        <v>203917</v>
      </c>
      <c r="F119" s="171">
        <f t="shared" si="32"/>
        <v>0</v>
      </c>
      <c r="G119" s="171">
        <f>SUM(G114:G118)</f>
        <v>203917</v>
      </c>
      <c r="H119" s="172">
        <f t="shared" si="30"/>
        <v>2.5520198197440534E-2</v>
      </c>
      <c r="I119" s="337"/>
      <c r="J119" s="168"/>
      <c r="K119" s="168"/>
      <c r="M119" s="364">
        <f t="shared" si="31"/>
        <v>6.148374841705361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1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490">
        <f>'[37]Sch C'!D124</f>
        <v>0</v>
      </c>
      <c r="D123" s="490">
        <f>'[37]Sch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7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0.77002560279620991</v>
      </c>
    </row>
    <row r="124" spans="1:14" s="167" customFormat="1">
      <c r="B124" s="163" t="s">
        <v>194</v>
      </c>
      <c r="C124" s="490">
        <f>'[37]Sch C'!D125</f>
        <v>236378</v>
      </c>
      <c r="D124" s="490">
        <f>'[37]Sch C'!F125</f>
        <v>0</v>
      </c>
      <c r="E124" s="171">
        <f t="shared" si="33"/>
        <v>236378</v>
      </c>
      <c r="F124" s="171"/>
      <c r="G124" s="171">
        <f>E124+F124</f>
        <v>236378</v>
      </c>
      <c r="H124" s="172">
        <f>IF($G$208=0,0,G124/$G$208)</f>
        <v>2.9582690062695108E-2</v>
      </c>
      <c r="I124" s="337"/>
      <c r="J124" s="183">
        <v>5528</v>
      </c>
      <c r="K124" s="183">
        <v>5718</v>
      </c>
      <c r="M124" s="364">
        <f t="shared" si="34"/>
        <v>7.1271181330277997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490">
        <f>'[37]Sch C'!D126</f>
        <v>0</v>
      </c>
      <c r="D125" s="490">
        <f>'[37]Sch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7"/>
      <c r="J125" s="183">
        <v>0</v>
      </c>
      <c r="K125" s="183">
        <v>0</v>
      </c>
      <c r="M125" s="364">
        <f t="shared" si="34"/>
        <v>0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490">
        <f>'[37]Sch C'!D127</f>
        <v>0</v>
      </c>
      <c r="D126" s="490">
        <f>'[37]Sch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7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490">
        <f>'[37]Sch C'!D128</f>
        <v>48237</v>
      </c>
      <c r="D127" s="490">
        <f>'[37]Sch C'!F128</f>
        <v>0</v>
      </c>
      <c r="E127" s="171">
        <f t="shared" si="33"/>
        <v>48237</v>
      </c>
      <c r="F127" s="171"/>
      <c r="G127" s="171">
        <f>E127+F127</f>
        <v>48237</v>
      </c>
      <c r="H127" s="172">
        <f>IF($G$208=0,0,G127/$G$208)</f>
        <v>6.0368571548715362E-3</v>
      </c>
      <c r="I127" s="337"/>
      <c r="J127" s="183">
        <v>3361</v>
      </c>
      <c r="K127" s="183">
        <v>3357</v>
      </c>
      <c r="M127" s="364">
        <f t="shared" si="34"/>
        <v>1.4544111439425917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205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490">
        <f>'[37]Sch C'!D130</f>
        <v>0</v>
      </c>
      <c r="D129" s="490">
        <f>'[37]Sch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7"/>
      <c r="J129" s="204"/>
      <c r="K129" s="204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490">
        <f>'[37]Sch C'!D131</f>
        <v>0</v>
      </c>
      <c r="D130" s="490">
        <f>'[37]Sch C'!F131</f>
        <v>0</v>
      </c>
      <c r="E130" s="171">
        <f t="shared" si="35"/>
        <v>0</v>
      </c>
      <c r="F130" s="171"/>
      <c r="G130" s="171">
        <f>E130+F130</f>
        <v>0</v>
      </c>
      <c r="H130" s="172">
        <f>IF($G$208=0,0,G130/$G$208)</f>
        <v>0</v>
      </c>
      <c r="I130" s="337"/>
      <c r="J130" s="204"/>
      <c r="K130" s="204"/>
      <c r="M130" s="364">
        <f t="shared" si="34"/>
        <v>0</v>
      </c>
      <c r="N130" s="359">
        <f>SUMMARY!J133</f>
        <v>1.0792348507966931</v>
      </c>
    </row>
    <row r="131" spans="1:14" s="167" customFormat="1">
      <c r="B131" s="163" t="s">
        <v>195</v>
      </c>
      <c r="C131" s="490">
        <f>'[37]Sch C'!D132</f>
        <v>0</v>
      </c>
      <c r="D131" s="490">
        <f>'[37]Sch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7"/>
      <c r="J131" s="168"/>
      <c r="K131" s="168"/>
      <c r="M131" s="364">
        <f t="shared" si="34"/>
        <v>0</v>
      </c>
      <c r="N131" s="359">
        <f>SUMMARY!J134</f>
        <v>8.2765628075518377E-2</v>
      </c>
    </row>
    <row r="132" spans="1:14" s="167" customFormat="1">
      <c r="B132" s="163" t="s">
        <v>196</v>
      </c>
      <c r="C132" s="490">
        <f>'[37]Sch C'!D133</f>
        <v>0</v>
      </c>
      <c r="D132" s="490">
        <f>'[37]Sch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490">
        <f>'[37]Sch C'!D134</f>
        <v>10385</v>
      </c>
      <c r="D133" s="490">
        <f>'[37]Sch C'!F134</f>
        <v>-2741</v>
      </c>
      <c r="E133" s="171">
        <f t="shared" si="35"/>
        <v>7644</v>
      </c>
      <c r="F133" s="171"/>
      <c r="G133" s="171">
        <f>E133+F133</f>
        <v>7644</v>
      </c>
      <c r="H133" s="172">
        <f>IF($G$208=0,0,G133/$G$208)</f>
        <v>9.5664606198225474E-4</v>
      </c>
      <c r="I133" s="337"/>
      <c r="J133" s="168"/>
      <c r="K133" s="168"/>
      <c r="M133" s="364">
        <f t="shared" si="34"/>
        <v>0.23047699451245252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490">
        <f>'[37]Sch C'!D136</f>
        <v>944343</v>
      </c>
      <c r="D135" s="490">
        <f>'[37]Sch C'!F136</f>
        <v>18034</v>
      </c>
      <c r="E135" s="171">
        <f t="shared" ref="E135:E138" si="36">C135+D135</f>
        <v>962377</v>
      </c>
      <c r="F135" s="171"/>
      <c r="G135" s="171">
        <f>E135+F135</f>
        <v>962377</v>
      </c>
      <c r="H135" s="172">
        <f>IF($G$208=0,0,G135/$G$208)</f>
        <v>0.12044141381374887</v>
      </c>
      <c r="I135" s="337"/>
      <c r="J135" s="183">
        <v>31314</v>
      </c>
      <c r="K135" s="183">
        <v>31142</v>
      </c>
      <c r="M135" s="364">
        <f t="shared" si="34"/>
        <v>29.016975215582224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490">
        <f>'[37]Sch C'!D137</f>
        <v>236278</v>
      </c>
      <c r="D136" s="490">
        <f>'[37]Sch C'!F137</f>
        <v>4512</v>
      </c>
      <c r="E136" s="171">
        <f t="shared" si="36"/>
        <v>240790</v>
      </c>
      <c r="F136" s="171"/>
      <c r="G136" s="171">
        <f>E136+F136</f>
        <v>240790</v>
      </c>
      <c r="H136" s="172">
        <f>IF($G$208=0,0,G136/$G$208)</f>
        <v>3.0134851552159485E-2</v>
      </c>
      <c r="I136" s="337"/>
      <c r="J136" s="183">
        <v>9491</v>
      </c>
      <c r="K136" s="183">
        <v>9675</v>
      </c>
      <c r="M136" s="364">
        <f t="shared" si="34"/>
        <v>7.2601459325815592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490">
        <f>'[37]Sch C'!D138</f>
        <v>933058</v>
      </c>
      <c r="D137" s="490">
        <f>'[37]Sch C'!F138</f>
        <v>-22546</v>
      </c>
      <c r="E137" s="171">
        <f t="shared" si="36"/>
        <v>910512</v>
      </c>
      <c r="F137" s="171"/>
      <c r="G137" s="171">
        <f>E137+F137</f>
        <v>910512</v>
      </c>
      <c r="H137" s="172">
        <f>IF($G$208=0,0,G137/$G$208)</f>
        <v>0.11395051271423165</v>
      </c>
      <c r="I137" s="337"/>
      <c r="J137" s="183">
        <v>78908</v>
      </c>
      <c r="K137" s="183">
        <v>79785</v>
      </c>
      <c r="M137" s="364">
        <f t="shared" si="34"/>
        <v>27.453174938189711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490">
        <f>'[37]Sch C'!D139</f>
        <v>0</v>
      </c>
      <c r="D138" s="490">
        <f>'[37]Sch C'!F139</f>
        <v>0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7"/>
      <c r="J138" s="183">
        <v>0</v>
      </c>
      <c r="K138" s="183">
        <v>0</v>
      </c>
      <c r="M138" s="364">
        <f t="shared" si="34"/>
        <v>0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7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490">
        <f>'[37]Sch C'!D141</f>
        <v>0</v>
      </c>
      <c r="D140" s="490">
        <f>'[37]Sch C'!F141</f>
        <v>0</v>
      </c>
      <c r="E140" s="171">
        <f t="shared" ref="E140:E143" si="37">C140+D140</f>
        <v>0</v>
      </c>
      <c r="F140" s="171"/>
      <c r="G140" s="171">
        <f>E140+F140</f>
        <v>0</v>
      </c>
      <c r="H140" s="172">
        <f>IF($G$208=0,0,G140/$G$208)</f>
        <v>0</v>
      </c>
      <c r="I140" s="337"/>
      <c r="J140" s="168"/>
      <c r="K140" s="168"/>
      <c r="M140" s="364">
        <f t="shared" si="34"/>
        <v>0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490">
        <f>'[37]Sch C'!D142</f>
        <v>0</v>
      </c>
      <c r="D141" s="490">
        <f>'[37]Sch C'!F142</f>
        <v>0</v>
      </c>
      <c r="E141" s="171">
        <f t="shared" si="37"/>
        <v>0</v>
      </c>
      <c r="F141" s="171"/>
      <c r="G141" s="171">
        <f>E141+F141</f>
        <v>0</v>
      </c>
      <c r="H141" s="172">
        <f>IF($G$208=0,0,G141/$G$208)</f>
        <v>0</v>
      </c>
      <c r="I141" s="337"/>
      <c r="J141" s="168"/>
      <c r="K141" s="168"/>
      <c r="M141" s="364">
        <f t="shared" si="34"/>
        <v>0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490">
        <f>'[37]Sch C'!D143</f>
        <v>0</v>
      </c>
      <c r="D142" s="490">
        <f>'[37]Sch C'!F143</f>
        <v>0</v>
      </c>
      <c r="E142" s="171">
        <f t="shared" si="37"/>
        <v>0</v>
      </c>
      <c r="F142" s="171"/>
      <c r="G142" s="171">
        <f>E142+F142</f>
        <v>0</v>
      </c>
      <c r="H142" s="172">
        <f>IF($G$208=0,0,G142/$G$208)</f>
        <v>0</v>
      </c>
      <c r="I142" s="337"/>
      <c r="J142" s="168"/>
      <c r="K142" s="168"/>
      <c r="M142" s="364">
        <f t="shared" si="34"/>
        <v>0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490">
        <f>'[37]Sch C'!D144</f>
        <v>510494</v>
      </c>
      <c r="D143" s="490">
        <f>'[37]Sch C'!F144</f>
        <v>-20356</v>
      </c>
      <c r="E143" s="171">
        <f t="shared" si="37"/>
        <v>490138</v>
      </c>
      <c r="F143" s="171"/>
      <c r="G143" s="171">
        <f>E143+F143</f>
        <v>490138</v>
      </c>
      <c r="H143" s="172">
        <f>IF($G$208=0,0,G143/$G$208)</f>
        <v>6.1340736201969961E-2</v>
      </c>
      <c r="I143" s="337"/>
      <c r="J143" s="168"/>
      <c r="K143" s="168"/>
      <c r="M143" s="364">
        <f t="shared" si="34"/>
        <v>14.778327202556836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7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490">
        <f>'[37]Sch C'!D146</f>
        <v>29880</v>
      </c>
      <c r="D145" s="490">
        <f>'[37]Sch C'!F146</f>
        <v>0</v>
      </c>
      <c r="E145" s="171">
        <f t="shared" ref="E145:E153" si="38">C145+D145</f>
        <v>29880</v>
      </c>
      <c r="F145" s="171"/>
      <c r="G145" s="171">
        <f t="shared" ref="G145:G153" si="39">E145+F145</f>
        <v>29880</v>
      </c>
      <c r="H145" s="172">
        <f t="shared" ref="H145:H153" si="40">IF($G$208=0,0,G145/$G$208)</f>
        <v>3.7394798969165059E-3</v>
      </c>
      <c r="I145" s="337"/>
      <c r="J145" s="183">
        <v>0</v>
      </c>
      <c r="K145" s="183">
        <v>0</v>
      </c>
      <c r="M145" s="364">
        <f t="shared" si="34"/>
        <v>0.90092263161068564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490">
        <f>'[37]Sch C'!D147</f>
        <v>0</v>
      </c>
      <c r="D146" s="490">
        <f>'[37]Sch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337"/>
      <c r="J146" s="183">
        <v>0</v>
      </c>
      <c r="K146" s="183">
        <v>0</v>
      </c>
      <c r="M146" s="364">
        <f t="shared" si="34"/>
        <v>0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490">
        <f>'[37]Sch C'!D148</f>
        <v>0</v>
      </c>
      <c r="D147" s="490">
        <f>'[37]Sch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7"/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490">
        <f>'[37]Sch C'!D149</f>
        <v>0</v>
      </c>
      <c r="D148" s="490">
        <f>'[37]Sch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7"/>
      <c r="J148" s="183">
        <v>0</v>
      </c>
      <c r="K148" s="183">
        <v>0</v>
      </c>
      <c r="M148" s="364">
        <f t="shared" si="34"/>
        <v>0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490">
        <f>'[37]Sch C'!D150</f>
        <v>0</v>
      </c>
      <c r="D149" s="490">
        <f>'[37]Sch C'!F150</f>
        <v>0</v>
      </c>
      <c r="E149" s="171">
        <f t="shared" si="38"/>
        <v>0</v>
      </c>
      <c r="F149" s="171"/>
      <c r="G149" s="171">
        <f t="shared" si="39"/>
        <v>0</v>
      </c>
      <c r="H149" s="172">
        <f t="shared" si="40"/>
        <v>0</v>
      </c>
      <c r="I149" s="337"/>
      <c r="J149" s="183">
        <v>0</v>
      </c>
      <c r="K149" s="183">
        <v>0</v>
      </c>
      <c r="M149" s="364">
        <f t="shared" si="34"/>
        <v>0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490">
        <f>'[37]Sch C'!D151</f>
        <v>208502</v>
      </c>
      <c r="D150" s="490">
        <f>'[37]Sch C'!F151</f>
        <v>0</v>
      </c>
      <c r="E150" s="171">
        <f t="shared" si="38"/>
        <v>208502</v>
      </c>
      <c r="F150" s="171"/>
      <c r="G150" s="171">
        <f t="shared" si="39"/>
        <v>208502</v>
      </c>
      <c r="H150" s="172">
        <f t="shared" si="40"/>
        <v>2.6094010624728426E-2</v>
      </c>
      <c r="I150" s="337"/>
      <c r="J150" s="168"/>
      <c r="K150" s="168"/>
      <c r="M150" s="364">
        <f t="shared" si="34"/>
        <v>6.2866188265090752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490">
        <f>'[37]Sch C'!D152</f>
        <v>1563</v>
      </c>
      <c r="D151" s="490">
        <f>'[37]Sch C'!F152</f>
        <v>0</v>
      </c>
      <c r="E151" s="171">
        <f t="shared" si="38"/>
        <v>1563</v>
      </c>
      <c r="F151" s="171"/>
      <c r="G151" s="171">
        <f t="shared" si="39"/>
        <v>1563</v>
      </c>
      <c r="H151" s="172">
        <f t="shared" si="40"/>
        <v>1.9560933998930718E-4</v>
      </c>
      <c r="I151" s="337"/>
      <c r="J151" s="168"/>
      <c r="K151" s="168"/>
      <c r="M151" s="364">
        <f t="shared" si="34"/>
        <v>4.7126575408550926E-2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490">
        <f>'[37]Sch C'!D153</f>
        <v>0</v>
      </c>
      <c r="D152" s="490">
        <f>'[37]Sch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7"/>
      <c r="J152" s="168"/>
      <c r="K152" s="168"/>
      <c r="M152" s="364">
        <f t="shared" si="34"/>
        <v>0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490">
        <f>'[37]Sch C'!D154</f>
        <v>0</v>
      </c>
      <c r="D153" s="490">
        <f>'[37]Sch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210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490">
        <f>'[37]Sch C'!D156</f>
        <v>0</v>
      </c>
      <c r="D155" s="490">
        <f>'[37]Sch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490">
        <f>'[37]Sch C'!D157</f>
        <v>0</v>
      </c>
      <c r="D156" s="490">
        <f>'[37]Sch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490">
        <f>'[37]Sch C'!D158</f>
        <v>0</v>
      </c>
      <c r="D157" s="490">
        <f>'[37]Sch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7"/>
      <c r="J157" s="168"/>
      <c r="K157" s="168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490">
        <f>'[37]Sch C'!D159</f>
        <v>0</v>
      </c>
      <c r="D158" s="490">
        <f>'[37]Sch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490">
        <f>'[37]Sch C'!D160</f>
        <v>0</v>
      </c>
      <c r="D159" s="490">
        <f>'[37]Sch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7"/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490">
        <f>'[37]Sch C'!D161</f>
        <v>17002</v>
      </c>
      <c r="D160" s="490">
        <f>'[37]Sch C'!F161</f>
        <v>0</v>
      </c>
      <c r="E160" s="171">
        <f t="shared" si="41"/>
        <v>17002</v>
      </c>
      <c r="F160" s="171"/>
      <c r="G160" s="171">
        <f t="shared" si="42"/>
        <v>17002</v>
      </c>
      <c r="H160" s="172">
        <f t="shared" si="43"/>
        <v>2.1277991033257842E-3</v>
      </c>
      <c r="I160" s="337"/>
      <c r="J160" s="168"/>
      <c r="K160" s="168"/>
      <c r="M160" s="364">
        <f t="shared" si="34"/>
        <v>0.51263341976723154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490">
        <f>SUM(C123:C160)</f>
        <v>3176120</v>
      </c>
      <c r="D161" s="490">
        <f>SUM(D123:D160)</f>
        <v>-23097</v>
      </c>
      <c r="E161" s="171">
        <f t="shared" ref="E161:F161" si="44">SUM(E123:E160)</f>
        <v>3153023</v>
      </c>
      <c r="F161" s="171">
        <f t="shared" si="44"/>
        <v>0</v>
      </c>
      <c r="G161" s="171">
        <f>SUM(G123:G160)</f>
        <v>3153023</v>
      </c>
      <c r="H161" s="172">
        <f t="shared" si="43"/>
        <v>0.39460060652661888</v>
      </c>
      <c r="I161" s="337"/>
      <c r="J161" s="168"/>
      <c r="K161" s="168"/>
      <c r="M161" s="364">
        <f>G161/G$228</f>
        <v>95.067931013688721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337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7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490">
        <f>'[37]Sch C'!D175</f>
        <v>0</v>
      </c>
      <c r="D164" s="490">
        <f>'[37]Sch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490">
        <f>'[37]Sch C'!D176</f>
        <v>0</v>
      </c>
      <c r="D165" s="490">
        <f>'[37]Sch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490">
        <f>'[37]Sch C'!D177</f>
        <v>309985</v>
      </c>
      <c r="D166" s="490">
        <f>'[37]Sch C'!F177</f>
        <v>0</v>
      </c>
      <c r="E166" s="171">
        <f t="shared" si="45"/>
        <v>309985</v>
      </c>
      <c r="F166" s="216"/>
      <c r="G166" s="171">
        <f t="shared" si="46"/>
        <v>309985</v>
      </c>
      <c r="H166" s="172">
        <f t="shared" si="47"/>
        <v>3.8794600931916438E-2</v>
      </c>
      <c r="I166" s="343"/>
      <c r="J166" s="217">
        <v>7207</v>
      </c>
      <c r="K166" s="217">
        <v>7511</v>
      </c>
      <c r="L166" s="218"/>
      <c r="M166" s="364">
        <f t="shared" si="48"/>
        <v>9.3464692757643366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490">
        <f>'[37]Sch C'!D178</f>
        <v>65366</v>
      </c>
      <c r="D167" s="490">
        <f>'[37]Sch C'!F178</f>
        <v>-2847</v>
      </c>
      <c r="E167" s="171">
        <f t="shared" si="45"/>
        <v>62519</v>
      </c>
      <c r="F167" s="216"/>
      <c r="G167" s="171">
        <f t="shared" si="46"/>
        <v>62519</v>
      </c>
      <c r="H167" s="172">
        <f t="shared" si="47"/>
        <v>7.8242484496426727E-3</v>
      </c>
      <c r="I167" s="344"/>
      <c r="J167" s="222"/>
      <c r="K167" s="222"/>
      <c r="L167" s="218"/>
      <c r="M167" s="364">
        <f t="shared" si="48"/>
        <v>1.8850328649822108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490">
        <f>'[37]Sch C'!D179</f>
        <v>74494</v>
      </c>
      <c r="D168" s="490">
        <f>'[37]Sch C'!F179</f>
        <v>0</v>
      </c>
      <c r="E168" s="171">
        <f t="shared" si="45"/>
        <v>74494</v>
      </c>
      <c r="F168" s="216"/>
      <c r="G168" s="171">
        <f t="shared" si="46"/>
        <v>74494</v>
      </c>
      <c r="H168" s="172">
        <f t="shared" si="47"/>
        <v>9.322918856790435E-3</v>
      </c>
      <c r="I168" s="343"/>
      <c r="J168" s="217">
        <v>1736</v>
      </c>
      <c r="K168" s="217">
        <v>1771</v>
      </c>
      <c r="L168" s="218"/>
      <c r="M168" s="364">
        <f t="shared" si="48"/>
        <v>2.2460953989024905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490">
        <f>'[37]Sch C'!D180</f>
        <v>16234</v>
      </c>
      <c r="D169" s="490">
        <f>'[37]Sch C'!F180</f>
        <v>-717</v>
      </c>
      <c r="E169" s="171">
        <f t="shared" si="45"/>
        <v>15517</v>
      </c>
      <c r="F169" s="216"/>
      <c r="G169" s="171">
        <f t="shared" si="46"/>
        <v>15517</v>
      </c>
      <c r="H169" s="172">
        <f t="shared" si="47"/>
        <v>1.9419514578465E-3</v>
      </c>
      <c r="I169" s="344"/>
      <c r="J169" s="222"/>
      <c r="K169" s="222"/>
      <c r="L169" s="218"/>
      <c r="M169" s="364">
        <f t="shared" si="48"/>
        <v>0.46785865042513419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490">
        <f>'[37]Sch C'!D181</f>
        <v>0</v>
      </c>
      <c r="D170" s="490">
        <f>'[37]Sch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3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490">
        <f>'[37]Sch C'!D182</f>
        <v>0</v>
      </c>
      <c r="D171" s="490">
        <f>'[37]Sch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490">
        <f>'[37]Sch C'!D183</f>
        <v>231571</v>
      </c>
      <c r="D172" s="490">
        <f>'[37]Sch C'!F183</f>
        <v>0</v>
      </c>
      <c r="E172" s="171">
        <f t="shared" si="45"/>
        <v>231571</v>
      </c>
      <c r="F172" s="216"/>
      <c r="G172" s="171">
        <f t="shared" si="46"/>
        <v>231571</v>
      </c>
      <c r="H172" s="172">
        <f t="shared" si="47"/>
        <v>2.8981094351032535E-2</v>
      </c>
      <c r="I172" s="343"/>
      <c r="J172" s="217">
        <v>6164</v>
      </c>
      <c r="K172" s="217">
        <v>6674</v>
      </c>
      <c r="L172" s="218"/>
      <c r="M172" s="364">
        <f t="shared" si="48"/>
        <v>6.9821805463426401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490">
        <f>'[37]Sch C'!D184</f>
        <v>47952</v>
      </c>
      <c r="D173" s="490">
        <f>'[37]Sch C'!F184</f>
        <v>-2230</v>
      </c>
      <c r="E173" s="171">
        <f t="shared" si="45"/>
        <v>45722</v>
      </c>
      <c r="F173" s="216"/>
      <c r="G173" s="171">
        <f t="shared" si="46"/>
        <v>45722</v>
      </c>
      <c r="H173" s="172">
        <f t="shared" si="47"/>
        <v>5.7221050818881021E-3</v>
      </c>
      <c r="I173" s="344"/>
      <c r="J173" s="222"/>
      <c r="K173" s="222"/>
      <c r="L173" s="218"/>
      <c r="M173" s="364">
        <f t="shared" si="48"/>
        <v>1.3785804739793766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490">
        <f>'[37]Sch C'!D185</f>
        <v>0</v>
      </c>
      <c r="D174" s="490">
        <f>'[37]Sch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3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490">
        <f>'[37]Sch C'!D186</f>
        <v>0</v>
      </c>
      <c r="D175" s="490">
        <f>'[37]Sch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490">
        <f>'[37]Sch C'!D187</f>
        <v>0</v>
      </c>
      <c r="D176" s="490">
        <f>'[37]Sch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490">
        <f>'[37]Sch C'!D188</f>
        <v>19653</v>
      </c>
      <c r="D177" s="490">
        <f>'[37]Sch C'!F188</f>
        <v>0</v>
      </c>
      <c r="E177" s="171">
        <f t="shared" si="45"/>
        <v>19653</v>
      </c>
      <c r="F177" s="216"/>
      <c r="G177" s="171">
        <f t="shared" si="46"/>
        <v>19653</v>
      </c>
      <c r="H177" s="172">
        <f t="shared" si="47"/>
        <v>2.459571566736951E-3</v>
      </c>
      <c r="I177" s="337"/>
      <c r="J177" s="223"/>
      <c r="K177" s="218"/>
      <c r="L177" s="220"/>
      <c r="M177" s="364">
        <f t="shared" si="48"/>
        <v>0.5925646746668275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490">
        <f>'[37]Sch C'!D189</f>
        <v>68</v>
      </c>
      <c r="D178" s="490">
        <f>'[37]Sch C'!F189</f>
        <v>0</v>
      </c>
      <c r="E178" s="171">
        <f t="shared" si="45"/>
        <v>68</v>
      </c>
      <c r="F178" s="216"/>
      <c r="G178" s="171">
        <f t="shared" si="46"/>
        <v>68</v>
      </c>
      <c r="H178" s="172">
        <f t="shared" si="47"/>
        <v>8.5101952138662121E-6</v>
      </c>
      <c r="I178" s="337"/>
      <c r="J178" s="223"/>
      <c r="K178" s="218"/>
      <c r="L178" s="220"/>
      <c r="M178" s="364">
        <f t="shared" si="48"/>
        <v>2.0502924681903155E-3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490">
        <f>'[37]Sch C'!D190</f>
        <v>0</v>
      </c>
      <c r="D179" s="490">
        <f>'[37]Sch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490">
        <f>'[37]Sch C'!D191</f>
        <v>593</v>
      </c>
      <c r="D180" s="490">
        <f>'[37]Sch C'!F191</f>
        <v>0</v>
      </c>
      <c r="E180" s="171">
        <f t="shared" si="45"/>
        <v>593</v>
      </c>
      <c r="F180" s="216"/>
      <c r="G180" s="171">
        <f t="shared" si="46"/>
        <v>593</v>
      </c>
      <c r="H180" s="172">
        <f t="shared" si="47"/>
        <v>7.4213908262097994E-5</v>
      </c>
      <c r="I180" s="337"/>
      <c r="J180" s="223"/>
      <c r="K180" s="218"/>
      <c r="L180" s="220"/>
      <c r="M180" s="364">
        <f t="shared" si="48"/>
        <v>1.7879756377012602E-2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490">
        <f>'[37]Sch C'!D192</f>
        <v>0</v>
      </c>
      <c r="D181" s="490">
        <f>'[37]Sch C'!F192</f>
        <v>0</v>
      </c>
      <c r="E181" s="171">
        <f t="shared" si="45"/>
        <v>0</v>
      </c>
      <c r="F181" s="216"/>
      <c r="G181" s="171">
        <f t="shared" si="46"/>
        <v>0</v>
      </c>
      <c r="H181" s="172">
        <f t="shared" si="47"/>
        <v>0</v>
      </c>
      <c r="I181" s="337"/>
      <c r="J181" s="223"/>
      <c r="K181" s="218"/>
      <c r="L181" s="220"/>
      <c r="M181" s="364">
        <f t="shared" si="48"/>
        <v>0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490">
        <f>'[37]Sch C'!D193</f>
        <v>0</v>
      </c>
      <c r="D182" s="490">
        <f>'[37]Sch C'!F193</f>
        <v>0</v>
      </c>
      <c r="E182" s="171">
        <f t="shared" si="45"/>
        <v>0</v>
      </c>
      <c r="F182" s="216"/>
      <c r="G182" s="171">
        <f t="shared" si="46"/>
        <v>0</v>
      </c>
      <c r="H182" s="172">
        <f t="shared" si="47"/>
        <v>0</v>
      </c>
      <c r="I182" s="337"/>
      <c r="J182" s="223"/>
      <c r="K182" s="218"/>
      <c r="L182" s="220"/>
      <c r="M182" s="364">
        <f t="shared" si="48"/>
        <v>0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490">
        <f>'[37]Sch C'!D194</f>
        <v>36388</v>
      </c>
      <c r="D183" s="490">
        <f>'[37]Sch C'!F194</f>
        <v>0</v>
      </c>
      <c r="E183" s="171">
        <f t="shared" si="45"/>
        <v>36388</v>
      </c>
      <c r="F183" s="216"/>
      <c r="G183" s="171">
        <f t="shared" si="46"/>
        <v>36388</v>
      </c>
      <c r="H183" s="172">
        <f t="shared" si="47"/>
        <v>4.553955638855349E-3</v>
      </c>
      <c r="I183" s="337"/>
      <c r="J183" s="223"/>
      <c r="K183" s="218"/>
      <c r="M183" s="364">
        <f t="shared" si="48"/>
        <v>1.0971476813604293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490">
        <f>'[37]Sch C'!D195</f>
        <v>0</v>
      </c>
      <c r="D184" s="490">
        <f>'[37]Sch C'!F195</f>
        <v>0</v>
      </c>
      <c r="E184" s="171">
        <f t="shared" si="45"/>
        <v>0</v>
      </c>
      <c r="F184" s="216"/>
      <c r="G184" s="171">
        <f t="shared" si="46"/>
        <v>0</v>
      </c>
      <c r="H184" s="172">
        <f t="shared" si="47"/>
        <v>0</v>
      </c>
      <c r="I184" s="337"/>
      <c r="J184" s="223"/>
      <c r="K184" s="218"/>
      <c r="M184" s="364">
        <f t="shared" si="48"/>
        <v>0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490">
        <f>'[37]Sch C'!D196</f>
        <v>0</v>
      </c>
      <c r="D185" s="490">
        <f>'[37]Sch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490">
        <f>'[37]Sch C'!D197</f>
        <v>45386</v>
      </c>
      <c r="D186" s="490">
        <f>'[37]Sch C'!F197</f>
        <v>0</v>
      </c>
      <c r="E186" s="171">
        <f t="shared" si="45"/>
        <v>45386</v>
      </c>
      <c r="F186" s="216"/>
      <c r="G186" s="171">
        <f t="shared" si="46"/>
        <v>45386</v>
      </c>
      <c r="H186" s="172">
        <f t="shared" si="47"/>
        <v>5.680054705537234E-3</v>
      </c>
      <c r="I186" s="337"/>
      <c r="J186" s="223"/>
      <c r="K186" s="218"/>
      <c r="M186" s="364">
        <f t="shared" si="48"/>
        <v>1.3684496170777303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490">
        <f>'[37]Sch C'!D198</f>
        <v>41049</v>
      </c>
      <c r="D187" s="490">
        <f>'[37]Sch C'!F198</f>
        <v>0</v>
      </c>
      <c r="E187" s="171">
        <f t="shared" si="45"/>
        <v>41049</v>
      </c>
      <c r="F187" s="216"/>
      <c r="G187" s="171">
        <f t="shared" si="46"/>
        <v>41049</v>
      </c>
      <c r="H187" s="172">
        <f t="shared" si="47"/>
        <v>5.1372794607940312E-3</v>
      </c>
      <c r="I187" s="337"/>
      <c r="J187" s="223"/>
      <c r="K187" s="218"/>
      <c r="M187" s="364">
        <f t="shared" si="48"/>
        <v>1.2376831695109449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490">
        <f>'[37]Sch C'!D199</f>
        <v>3148</v>
      </c>
      <c r="D188" s="490">
        <f>'[37]Sch C'!F199</f>
        <v>0</v>
      </c>
      <c r="E188" s="171">
        <f t="shared" si="45"/>
        <v>3148</v>
      </c>
      <c r="F188" s="216"/>
      <c r="G188" s="171">
        <f t="shared" si="46"/>
        <v>3148</v>
      </c>
      <c r="H188" s="172">
        <f t="shared" si="47"/>
        <v>3.9397197843015933E-4</v>
      </c>
      <c r="I188" s="337"/>
      <c r="J188" s="223"/>
      <c r="K188" s="218"/>
      <c r="M188" s="364">
        <f t="shared" si="48"/>
        <v>9.4916480733281072E-2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490">
        <f>'[37]Sch C'!D200</f>
        <v>2468</v>
      </c>
      <c r="D189" s="490">
        <f>'[37]Sch C'!F200</f>
        <v>0</v>
      </c>
      <c r="E189" s="171">
        <f t="shared" si="45"/>
        <v>2468</v>
      </c>
      <c r="F189" s="216"/>
      <c r="G189" s="171">
        <f t="shared" si="46"/>
        <v>2468</v>
      </c>
      <c r="H189" s="172">
        <f t="shared" si="47"/>
        <v>3.0887002629149723E-4</v>
      </c>
      <c r="I189" s="337"/>
      <c r="J189" s="223"/>
      <c r="K189" s="218"/>
      <c r="M189" s="364">
        <f t="shared" si="48"/>
        <v>7.4413556051377922E-2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490">
        <f>'[37]Sch C'!D201</f>
        <v>0</v>
      </c>
      <c r="D190" s="490">
        <f>'[37]Sch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7"/>
      <c r="J190" s="223"/>
      <c r="K190" s="218"/>
      <c r="M190" s="364">
        <f t="shared" si="48"/>
        <v>0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490">
        <f>'[37]Sch C'!D202</f>
        <v>0</v>
      </c>
      <c r="D191" s="490">
        <f>'[37]Sch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490">
        <f>'[37]Sch C'!D203</f>
        <v>0</v>
      </c>
      <c r="D192" s="490">
        <f>'[37]Sch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7"/>
      <c r="J192" s="223"/>
      <c r="K192" s="218"/>
      <c r="M192" s="364">
        <f t="shared" si="48"/>
        <v>0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490">
        <f>'[37]Sch C'!D204</f>
        <v>0</v>
      </c>
      <c r="D193" s="490">
        <f>'[37]Sch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490">
        <f>'[37]Sch C'!D205</f>
        <v>276652</v>
      </c>
      <c r="D194" s="490">
        <f>'[37]Sch C'!F205</f>
        <v>0</v>
      </c>
      <c r="E194" s="171">
        <f t="shared" si="45"/>
        <v>276652</v>
      </c>
      <c r="F194" s="216"/>
      <c r="G194" s="171">
        <f t="shared" si="46"/>
        <v>276652</v>
      </c>
      <c r="H194" s="172">
        <f t="shared" si="47"/>
        <v>3.4622978328036985E-2</v>
      </c>
      <c r="I194" s="337"/>
      <c r="J194" s="223"/>
      <c r="K194" s="218"/>
      <c r="M194" s="364">
        <f t="shared" si="48"/>
        <v>8.3414339986733399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490">
        <f>'[37]Sch C'!D206</f>
        <v>3061</v>
      </c>
      <c r="D195" s="490">
        <f>'[37]Sch C'!F206</f>
        <v>0</v>
      </c>
      <c r="E195" s="171">
        <f t="shared" si="45"/>
        <v>3061</v>
      </c>
      <c r="F195" s="216"/>
      <c r="G195" s="171">
        <f t="shared" si="46"/>
        <v>3061</v>
      </c>
      <c r="H195" s="172">
        <f t="shared" si="47"/>
        <v>3.830839345535952E-4</v>
      </c>
      <c r="I195" s="337"/>
      <c r="J195" s="223"/>
      <c r="K195" s="218"/>
      <c r="M195" s="364">
        <f t="shared" si="48"/>
        <v>9.229331242839052E-2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490">
        <f>'[37]Sch C'!D207</f>
        <v>0</v>
      </c>
      <c r="D196" s="490">
        <f>'[37]Sch C'!F207</f>
        <v>0</v>
      </c>
      <c r="E196" s="171">
        <f t="shared" si="45"/>
        <v>0</v>
      </c>
      <c r="F196" s="216"/>
      <c r="G196" s="171">
        <f t="shared" si="46"/>
        <v>0</v>
      </c>
      <c r="H196" s="172">
        <f t="shared" si="47"/>
        <v>0</v>
      </c>
      <c r="I196" s="337"/>
      <c r="J196" s="223"/>
      <c r="K196" s="218"/>
      <c r="M196" s="364">
        <f t="shared" si="48"/>
        <v>0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490">
        <f>SUM(C164:C196)</f>
        <v>1174068</v>
      </c>
      <c r="D197" s="490">
        <f>SUM(D164:D196)</f>
        <v>-5794</v>
      </c>
      <c r="E197" s="171">
        <f t="shared" ref="E197:F197" si="49">SUM(E164:E196)</f>
        <v>1168274</v>
      </c>
      <c r="F197" s="171">
        <f t="shared" si="49"/>
        <v>0</v>
      </c>
      <c r="G197" s="171">
        <f>SUM(G164:G196)</f>
        <v>1168274</v>
      </c>
      <c r="H197" s="172">
        <f>IF($G$208=0,0,G197/$G$208)</f>
        <v>0.14620940887182846</v>
      </c>
      <c r="I197" s="337"/>
      <c r="J197" s="168"/>
      <c r="K197" s="168"/>
      <c r="M197" s="364">
        <f>G197/G$228</f>
        <v>35.225049749743711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165"/>
      <c r="G198" s="165"/>
      <c r="H198" s="198"/>
      <c r="I198" s="341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1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490">
        <f>'[37]Sch C'!D211</f>
        <v>241336</v>
      </c>
      <c r="D200" s="490">
        <f>'[37]Sch C'!F211</f>
        <v>0</v>
      </c>
      <c r="E200" s="171">
        <f t="shared" ref="E200:E205" si="50">C200+D200</f>
        <v>241336</v>
      </c>
      <c r="F200" s="171"/>
      <c r="G200" s="171">
        <f t="shared" ref="G200:G205" si="51">E200+F200</f>
        <v>241336</v>
      </c>
      <c r="H200" s="172">
        <f t="shared" ref="H200:H206" si="52">IF($G$208=0,0,G200/$G$208)</f>
        <v>3.0203183413729649E-2</v>
      </c>
      <c r="I200" s="337"/>
      <c r="J200" s="183">
        <v>11703</v>
      </c>
      <c r="K200" s="183">
        <v>11826</v>
      </c>
      <c r="M200" s="364">
        <f t="shared" ref="M200:M205" si="53">G200/G$228</f>
        <v>7.2766085750467342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490">
        <f>'[37]Sch C'!D212</f>
        <v>52002</v>
      </c>
      <c r="D201" s="490">
        <f>'[37]Sch C'!F212</f>
        <v>-2325</v>
      </c>
      <c r="E201" s="171">
        <f t="shared" si="50"/>
        <v>49677</v>
      </c>
      <c r="F201" s="171"/>
      <c r="G201" s="171">
        <f t="shared" si="51"/>
        <v>49677</v>
      </c>
      <c r="H201" s="172">
        <f t="shared" si="52"/>
        <v>6.2170730535181145E-3</v>
      </c>
      <c r="I201" s="337"/>
      <c r="J201" s="168"/>
      <c r="K201" s="168"/>
      <c r="M201" s="364">
        <f t="shared" si="53"/>
        <v>1.4978291020925043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490">
        <f>'[37]Sch C'!D213</f>
        <v>1140</v>
      </c>
      <c r="D202" s="490">
        <f>'[37]Sch C'!F213</f>
        <v>0</v>
      </c>
      <c r="E202" s="171">
        <f t="shared" si="50"/>
        <v>1140</v>
      </c>
      <c r="F202" s="171"/>
      <c r="G202" s="171">
        <f t="shared" si="51"/>
        <v>1140</v>
      </c>
      <c r="H202" s="172">
        <f t="shared" si="52"/>
        <v>1.4267091976187472E-4</v>
      </c>
      <c r="I202" s="337"/>
      <c r="J202" s="168"/>
      <c r="K202" s="168"/>
      <c r="M202" s="364">
        <f t="shared" si="53"/>
        <v>3.4372550202014109E-2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490">
        <f>'[37]Sch C'!D214</f>
        <v>0</v>
      </c>
      <c r="D203" s="490">
        <f>'[37]Sch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>
        <f t="shared" si="53"/>
        <v>0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490">
        <f>'[37]Sch C'!D215</f>
        <v>0</v>
      </c>
      <c r="D204" s="490">
        <f>'[37]Sch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490">
        <f>'[37]Sch C'!D216</f>
        <v>2307</v>
      </c>
      <c r="D205" s="490">
        <f>'[37]Sch C'!F216</f>
        <v>0</v>
      </c>
      <c r="E205" s="171">
        <f t="shared" si="50"/>
        <v>2307</v>
      </c>
      <c r="F205" s="171"/>
      <c r="G205" s="171">
        <f t="shared" si="51"/>
        <v>2307</v>
      </c>
      <c r="H205" s="172">
        <f t="shared" si="52"/>
        <v>2.8872088762337282E-4</v>
      </c>
      <c r="I205" s="337"/>
      <c r="J205" s="168"/>
      <c r="K205" s="168"/>
      <c r="M205" s="364">
        <f t="shared" si="53"/>
        <v>6.9559187119339089E-2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490">
        <f>SUM(C200:C205)</f>
        <v>296785</v>
      </c>
      <c r="D206" s="490">
        <f>SUM(D200:D205)</f>
        <v>-2325</v>
      </c>
      <c r="E206" s="171">
        <f t="shared" ref="E206:F206" si="54">SUM(E200:E205)</f>
        <v>294460</v>
      </c>
      <c r="F206" s="171">
        <f t="shared" si="54"/>
        <v>0</v>
      </c>
      <c r="G206" s="171">
        <f>SUM(G200:G205)</f>
        <v>294460</v>
      </c>
      <c r="H206" s="172">
        <f t="shared" si="52"/>
        <v>3.6851648274633012E-2</v>
      </c>
      <c r="I206" s="337"/>
      <c r="J206" s="168"/>
      <c r="K206" s="168"/>
      <c r="M206" s="364">
        <f>G206/G$228</f>
        <v>8.8783694144605914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490">
        <f>SUM(C25:C206)/2</f>
        <v>8673359</v>
      </c>
      <c r="D208" s="490">
        <f>SUM(D25:D206)/2</f>
        <v>-682943</v>
      </c>
      <c r="E208" s="171">
        <f t="shared" ref="E208:F208" si="55">SUM(E25:E206)/2</f>
        <v>7990416</v>
      </c>
      <c r="F208" s="171">
        <f t="shared" si="55"/>
        <v>0</v>
      </c>
      <c r="G208" s="171">
        <f>SUM(G25:G206)/2</f>
        <v>7990416</v>
      </c>
      <c r="H208" s="172">
        <f>IF($G$208=0,0,G208/$G$208)</f>
        <v>1</v>
      </c>
      <c r="I208" s="337"/>
      <c r="J208" s="183">
        <f>SUM(J25:J200)</f>
        <v>211156</v>
      </c>
      <c r="K208" s="183">
        <f>SUM(K25:K200)</f>
        <v>214791</v>
      </c>
      <c r="M208" s="364">
        <f>G208/G$228</f>
        <v>240.9219079780498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490">
        <f>'[37]Sch C'!D221</f>
        <v>8673359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490">
        <f>C208-C211</f>
        <v>0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619"/>
      <c r="D213" s="232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490">
        <f>C21-C208</f>
        <v>-751740</v>
      </c>
      <c r="D215" s="490">
        <f>D21-D208</f>
        <v>682691</v>
      </c>
      <c r="E215" s="171">
        <f t="shared" ref="E215:F215" si="56">E21-E208</f>
        <v>-69049</v>
      </c>
      <c r="F215" s="171">
        <f t="shared" si="56"/>
        <v>0</v>
      </c>
      <c r="G215" s="171">
        <f>G21-G208</f>
        <v>-69049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491">
        <f>'[37]Sch D'!C9</f>
        <v>19444</v>
      </c>
      <c r="D219" s="491"/>
      <c r="E219" s="235">
        <f t="shared" ref="E219:G227" si="57">C219+D219</f>
        <v>19444</v>
      </c>
      <c r="F219" s="234"/>
      <c r="G219" s="235">
        <f t="shared" si="57"/>
        <v>19444</v>
      </c>
      <c r="H219" s="172">
        <f t="shared" ref="H219:H228" si="58">IF($G$228=0,0,G219/$G$228)</f>
        <v>0.58626304046312494</v>
      </c>
      <c r="I219" s="337"/>
      <c r="J219" s="168"/>
      <c r="K219" s="168"/>
    </row>
    <row r="220" spans="1:14">
      <c r="A220" s="163"/>
      <c r="B220" s="170" t="s">
        <v>217</v>
      </c>
      <c r="C220" s="491">
        <f>'[37]Sch D'!D9</f>
        <v>0</v>
      </c>
      <c r="D220" s="491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7"/>
      <c r="J220" s="168"/>
      <c r="K220" s="168"/>
    </row>
    <row r="221" spans="1:14">
      <c r="A221" s="163"/>
      <c r="B221" s="170" t="s">
        <v>72</v>
      </c>
      <c r="C221" s="491">
        <f>'[37]Sch D'!E9</f>
        <v>4466</v>
      </c>
      <c r="D221" s="491"/>
      <c r="E221" s="235">
        <f t="shared" si="59"/>
        <v>4466</v>
      </c>
      <c r="F221" s="234"/>
      <c r="G221" s="235">
        <f t="shared" si="57"/>
        <v>4466</v>
      </c>
      <c r="H221" s="172">
        <f t="shared" si="58"/>
        <v>0.13465597298438159</v>
      </c>
      <c r="I221" s="337"/>
      <c r="J221" s="168"/>
      <c r="K221" s="168"/>
    </row>
    <row r="222" spans="1:14">
      <c r="A222" s="163"/>
      <c r="B222" s="202" t="s">
        <v>334</v>
      </c>
      <c r="C222" s="491">
        <f>'[37]Sch D'!F9</f>
        <v>2406</v>
      </c>
      <c r="D222" s="491"/>
      <c r="E222" s="235">
        <f>C222+D222</f>
        <v>2406</v>
      </c>
      <c r="F222" s="234"/>
      <c r="G222" s="235">
        <f>E222+F222</f>
        <v>2406</v>
      </c>
      <c r="H222" s="172">
        <f t="shared" si="58"/>
        <v>7.2544171742145572E-2</v>
      </c>
      <c r="I222" s="337"/>
      <c r="J222" s="168"/>
      <c r="K222" s="168"/>
    </row>
    <row r="223" spans="1:14">
      <c r="A223" s="163"/>
      <c r="B223" s="170" t="s">
        <v>73</v>
      </c>
      <c r="C223" s="491">
        <f>'[37]Sch D'!G9</f>
        <v>0</v>
      </c>
      <c r="D223" s="491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7"/>
      <c r="J223" s="168"/>
      <c r="K223" s="168"/>
    </row>
    <row r="224" spans="1:14">
      <c r="A224" s="163"/>
      <c r="B224" s="170" t="s">
        <v>74</v>
      </c>
      <c r="C224" s="491">
        <f>'[37]Sch D'!H9</f>
        <v>1209</v>
      </c>
      <c r="D224" s="491"/>
      <c r="E224" s="235">
        <f t="shared" si="59"/>
        <v>1209</v>
      </c>
      <c r="F224" s="234"/>
      <c r="G224" s="235">
        <f t="shared" si="57"/>
        <v>1209</v>
      </c>
      <c r="H224" s="172">
        <f t="shared" si="58"/>
        <v>3.6452994030030751E-2</v>
      </c>
      <c r="I224" s="337"/>
      <c r="J224" s="168"/>
      <c r="K224" s="168"/>
    </row>
    <row r="225" spans="1:11">
      <c r="A225" s="163"/>
      <c r="B225" s="170" t="s">
        <v>236</v>
      </c>
      <c r="C225" s="491">
        <f>'[37]Sch D'!I9</f>
        <v>3563</v>
      </c>
      <c r="D225" s="491"/>
      <c r="E225" s="235">
        <f t="shared" si="59"/>
        <v>3563</v>
      </c>
      <c r="F225" s="234"/>
      <c r="G225" s="235">
        <f t="shared" si="57"/>
        <v>3563</v>
      </c>
      <c r="H225" s="172">
        <f t="shared" si="58"/>
        <v>0.10742929506120726</v>
      </c>
      <c r="I225" s="337"/>
      <c r="J225" s="168"/>
      <c r="K225" s="168"/>
    </row>
    <row r="226" spans="1:11">
      <c r="A226" s="163"/>
      <c r="B226" s="170" t="s">
        <v>235</v>
      </c>
      <c r="C226" s="491">
        <f>'[37]Sch D'!J9</f>
        <v>1720</v>
      </c>
      <c r="D226" s="491"/>
      <c r="E226" s="235">
        <f>C226+D226</f>
        <v>1720</v>
      </c>
      <c r="F226" s="234"/>
      <c r="G226" s="235">
        <f>E226+F226</f>
        <v>1720</v>
      </c>
      <c r="H226" s="172">
        <f t="shared" si="58"/>
        <v>5.1860338901284449E-2</v>
      </c>
      <c r="I226" s="337"/>
      <c r="J226" s="168"/>
      <c r="K226" s="168"/>
    </row>
    <row r="227" spans="1:11">
      <c r="A227" s="163"/>
      <c r="B227" s="170" t="s">
        <v>179</v>
      </c>
      <c r="C227" s="491">
        <f>'[37]Sch D'!K9</f>
        <v>358</v>
      </c>
      <c r="D227" s="491"/>
      <c r="E227" s="235">
        <f t="shared" si="59"/>
        <v>358</v>
      </c>
      <c r="F227" s="234"/>
      <c r="G227" s="235">
        <f t="shared" si="57"/>
        <v>358</v>
      </c>
      <c r="H227" s="172">
        <f t="shared" si="58"/>
        <v>1.0794186817825483E-2</v>
      </c>
      <c r="I227" s="337"/>
      <c r="J227" s="168"/>
      <c r="K227" s="168"/>
    </row>
    <row r="228" spans="1:11" ht="13.5" thickBot="1">
      <c r="A228" s="163"/>
      <c r="B228" s="236" t="s">
        <v>75</v>
      </c>
      <c r="C228" s="491">
        <f>SUM(C219:C227)</f>
        <v>33166</v>
      </c>
      <c r="D228" s="491">
        <f>SUM(D219:D227)</f>
        <v>0</v>
      </c>
      <c r="E228" s="237">
        <f>SUM(E219:E227)</f>
        <v>33166</v>
      </c>
      <c r="F228" s="237">
        <f>SUM(F219:F227)</f>
        <v>0</v>
      </c>
      <c r="G228" s="237">
        <f>SUM(G219:G227)</f>
        <v>33166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620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619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492">
        <f>'[37]Sch D'!N22</f>
        <v>140</v>
      </c>
      <c r="D231" s="526"/>
      <c r="E231" s="235">
        <f>C231+D231</f>
        <v>140</v>
      </c>
      <c r="F231" s="235"/>
      <c r="G231" s="235">
        <f>E231+F231</f>
        <v>140</v>
      </c>
      <c r="H231" s="167"/>
      <c r="J231" s="168"/>
      <c r="K231" s="168"/>
    </row>
    <row r="232" spans="1:11">
      <c r="A232" s="163"/>
      <c r="B232" s="202" t="s">
        <v>290</v>
      </c>
      <c r="C232" s="492">
        <f>'[37]Sch D'!N24</f>
        <v>140</v>
      </c>
      <c r="D232" s="526"/>
      <c r="E232" s="235">
        <f>C232+D232</f>
        <v>140</v>
      </c>
      <c r="F232" s="235"/>
      <c r="G232" s="235">
        <f>E232+F232</f>
        <v>140</v>
      </c>
      <c r="H232" s="167"/>
      <c r="J232" s="168"/>
      <c r="K232" s="168"/>
    </row>
    <row r="233" spans="1:11">
      <c r="A233" s="163"/>
      <c r="B233" s="202" t="s">
        <v>76</v>
      </c>
      <c r="C233" s="492">
        <f>$C$4-$C$3+1</f>
        <v>365</v>
      </c>
      <c r="D233" s="489"/>
      <c r="E233" s="235">
        <f>C233+D233</f>
        <v>365</v>
      </c>
      <c r="F233" s="240"/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621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492">
        <f>'[37]Sch D'!N28</f>
        <v>51100</v>
      </c>
      <c r="D235" s="489"/>
      <c r="E235" s="234">
        <f>E231*E233</f>
        <v>51100</v>
      </c>
      <c r="F235" s="240"/>
      <c r="G235" s="234">
        <f>G231*G233</f>
        <v>51100</v>
      </c>
      <c r="H235" s="167"/>
      <c r="J235" s="168"/>
      <c r="K235" s="168"/>
    </row>
    <row r="236" spans="1:11" ht="26">
      <c r="A236" s="163"/>
      <c r="B236" s="244" t="s">
        <v>336</v>
      </c>
      <c r="C236" s="493">
        <f>'[37]Sch D'!N30</f>
        <v>0.64904109589041092</v>
      </c>
      <c r="D236" s="240"/>
      <c r="E236" s="245">
        <f>E228/E235</f>
        <v>0.64904109589041092</v>
      </c>
      <c r="F236" s="246"/>
      <c r="G236" s="245">
        <f>G228/G235</f>
        <v>0.64904109589041092</v>
      </c>
      <c r="H236" s="167"/>
      <c r="J236" s="168"/>
      <c r="K236" s="168"/>
    </row>
    <row r="237" spans="1:11" ht="26">
      <c r="A237" s="163"/>
      <c r="B237" s="244" t="s">
        <v>337</v>
      </c>
      <c r="C237" s="493">
        <f>'[37]Sch D'!N32</f>
        <v>0.38050880626223094</v>
      </c>
      <c r="D237" s="240"/>
      <c r="E237" s="245">
        <f>(E219+E220)/E235</f>
        <v>0.38050880626223094</v>
      </c>
      <c r="F237" s="246"/>
      <c r="G237" s="245">
        <f>(G219+G220)/G235</f>
        <v>0.38050880626223094</v>
      </c>
      <c r="H237" s="167"/>
      <c r="J237" s="168"/>
      <c r="K237" s="168"/>
    </row>
    <row r="238" spans="1:11" ht="26">
      <c r="A238" s="163"/>
      <c r="B238" s="244" t="s">
        <v>338</v>
      </c>
      <c r="C238" s="493">
        <f>'[37]Sch D'!N34</f>
        <v>0.58626304046312494</v>
      </c>
      <c r="D238" s="240"/>
      <c r="E238" s="245">
        <f>(E237/E236)</f>
        <v>0.58626304046312494</v>
      </c>
      <c r="F238" s="246"/>
      <c r="G238" s="245">
        <f>(G237/G236)</f>
        <v>0.58626304046312494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490">
        <f>'[37]Sch B'!C85</f>
        <v>275.75953079178885</v>
      </c>
    </row>
    <row r="242" spans="2:7">
      <c r="F242" s="142" t="s">
        <v>341</v>
      </c>
      <c r="G242" s="490">
        <f>'[37]Sch B'!E85</f>
        <v>246.98333333333332</v>
      </c>
    </row>
    <row r="243" spans="2:7">
      <c r="F243" s="142" t="s">
        <v>342</v>
      </c>
      <c r="G243" s="490">
        <f>'[37]Sch B'!G85</f>
        <v>214.23275862068965</v>
      </c>
    </row>
    <row r="244" spans="2:7">
      <c r="F244" s="142" t="s">
        <v>343</v>
      </c>
      <c r="G244" s="490">
        <f>'[37]Sch B'!I85</f>
        <v>275.54464285714283</v>
      </c>
    </row>
    <row r="245" spans="2:7">
      <c r="F245" s="142"/>
    </row>
  </sheetData>
  <customSheetViews>
    <customSheetView guid="{8B6AA640-12E9-11D5-ABB1-E7A21A3D4A14}" showGridLines="0" showRuler="0">
      <selection activeCell="C1" sqref="C1"/>
      <pageMargins left="0.75" right="0.75" top="1" bottom="1" header="0.5" footer="0.5"/>
      <printOptions horizontalCentered="1"/>
      <pageSetup scale="70" orientation="portrait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B12" sqref="B12"/>
      <pageMargins left="0" right="0" top="0" bottom="1" header="0.5" footer="0.5"/>
      <printOptions horizontalCentered="1"/>
      <pageSetup scale="70" orientation="portrait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r:id="rId3"/>
  <headerFooter alignWithMargins="0">
    <oddFooter>&amp;R&amp;D
&amp;T
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>
    <tabColor rgb="FFE28CAB"/>
  </sheetPr>
  <dimension ref="A1:Q245"/>
  <sheetViews>
    <sheetView showGridLines="0" zoomScale="90" zoomScaleNormal="90" workbookViewId="0">
      <pane xSplit="2" topLeftCell="C1" activePane="topRight" state="frozen"/>
      <selection activeCell="N1" sqref="N1"/>
      <selection pane="topRight"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662" t="s">
        <v>676</v>
      </c>
      <c r="D1" s="478"/>
      <c r="E1" s="478"/>
      <c r="F1" s="478"/>
      <c r="G1" s="478"/>
      <c r="H1" s="478"/>
      <c r="I1" s="479"/>
    </row>
    <row r="2" spans="1:14" ht="23">
      <c r="B2" s="143" t="s">
        <v>189</v>
      </c>
      <c r="C2" s="247" t="s">
        <v>372</v>
      </c>
      <c r="D2" s="144"/>
      <c r="E2" s="144"/>
    </row>
    <row r="3" spans="1:14">
      <c r="A3" s="145"/>
      <c r="B3" s="140" t="s">
        <v>79</v>
      </c>
      <c r="C3" s="495">
        <v>41821</v>
      </c>
      <c r="D3" s="144"/>
      <c r="E3" s="147"/>
    </row>
    <row r="4" spans="1:14">
      <c r="A4" s="145"/>
      <c r="B4" s="148" t="s">
        <v>80</v>
      </c>
      <c r="C4" s="495">
        <v>42185</v>
      </c>
      <c r="D4" s="144"/>
      <c r="E4" s="149"/>
      <c r="G4" s="150"/>
    </row>
    <row r="5" spans="1:14">
      <c r="A5" s="145"/>
      <c r="B5" s="148"/>
      <c r="C5" s="151"/>
      <c r="D5" s="144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144"/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490">
        <f>'[4]Sch B'!E10</f>
        <v>5798885</v>
      </c>
      <c r="D11" s="490">
        <f>'[4]Sch B'!G10</f>
        <v>0</v>
      </c>
      <c r="E11" s="171">
        <f>C11+D11</f>
        <v>5798885</v>
      </c>
      <c r="F11" s="171"/>
      <c r="G11" s="171">
        <f t="shared" ref="G11:G20" si="0">E11+F11</f>
        <v>5798885</v>
      </c>
      <c r="H11" s="172">
        <f t="shared" ref="H11:H21" si="1">IF($G$21=0,0,G11/$G$21)</f>
        <v>0.53219284503510855</v>
      </c>
      <c r="I11" s="337"/>
      <c r="J11" s="368" t="s">
        <v>344</v>
      </c>
      <c r="K11" s="369">
        <f>G21</f>
        <v>10896210</v>
      </c>
      <c r="M11" s="359">
        <f>IFERROR(G11/G219,0)</f>
        <v>190.49587727078611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490">
        <f>'[4]Sch B'!E15</f>
        <v>0</v>
      </c>
      <c r="D12" s="490">
        <f>'[4]Sch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7"/>
      <c r="J12" s="370" t="s">
        <v>345</v>
      </c>
      <c r="K12" s="371">
        <f>G208</f>
        <v>10180369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490">
        <f>'[4]Sch B'!E21</f>
        <v>2138094</v>
      </c>
      <c r="D13" s="490">
        <f>'[4]Sch B'!G21</f>
        <v>0</v>
      </c>
      <c r="E13" s="171">
        <f t="shared" si="2"/>
        <v>2138094</v>
      </c>
      <c r="F13" s="171"/>
      <c r="G13" s="171">
        <f t="shared" si="0"/>
        <v>2138094</v>
      </c>
      <c r="H13" s="172">
        <f t="shared" si="1"/>
        <v>0.19622364106418655</v>
      </c>
      <c r="I13" s="337"/>
      <c r="J13" s="370" t="s">
        <v>346</v>
      </c>
      <c r="K13" s="371">
        <f>G228</f>
        <v>45571</v>
      </c>
      <c r="M13" s="359">
        <f t="shared" si="3"/>
        <v>540.19555330975243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490">
        <f>'[4]Sch B'!E27</f>
        <v>1276015</v>
      </c>
      <c r="D14" s="490">
        <f>'[4]Sch B'!G27</f>
        <v>0</v>
      </c>
      <c r="E14" s="171">
        <f t="shared" si="2"/>
        <v>1276015</v>
      </c>
      <c r="F14" s="175"/>
      <c r="G14" s="175">
        <f>E14+F14</f>
        <v>1276015</v>
      </c>
      <c r="H14" s="176">
        <f t="shared" si="1"/>
        <v>0.11710631494804156</v>
      </c>
      <c r="I14" s="338"/>
      <c r="J14" s="370" t="s">
        <v>347</v>
      </c>
      <c r="K14" s="371">
        <f>G231</f>
        <v>140</v>
      </c>
      <c r="M14" s="359">
        <f t="shared" si="3"/>
        <v>441.37495676236597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490">
        <f>'[4]Sch B'!E32</f>
        <v>0</v>
      </c>
      <c r="D15" s="490">
        <f>'[4]Sch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7"/>
      <c r="J15" s="370" t="s">
        <v>348</v>
      </c>
      <c r="K15" s="371">
        <f>G235</f>
        <v>51100</v>
      </c>
      <c r="M15" s="359">
        <f t="shared" si="3"/>
        <v>0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490">
        <f>'[4]Sch B'!E37</f>
        <v>590451</v>
      </c>
      <c r="D16" s="490">
        <f>'[4]Sch B'!G37</f>
        <v>0</v>
      </c>
      <c r="E16" s="171">
        <f t="shared" si="2"/>
        <v>590451</v>
      </c>
      <c r="F16" s="171"/>
      <c r="G16" s="171">
        <f t="shared" si="0"/>
        <v>590451</v>
      </c>
      <c r="H16" s="172">
        <f t="shared" si="1"/>
        <v>5.4188658258238417E-2</v>
      </c>
      <c r="I16" s="337"/>
      <c r="J16" s="372"/>
      <c r="K16" s="371"/>
      <c r="M16" s="359">
        <f t="shared" si="3"/>
        <v>177.63267148014441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490">
        <f>'[4]Sch B'!E42</f>
        <v>746415</v>
      </c>
      <c r="D17" s="490">
        <f>'[4]Sch B'!G42</f>
        <v>0</v>
      </c>
      <c r="E17" s="171">
        <f t="shared" si="2"/>
        <v>746415</v>
      </c>
      <c r="F17" s="171"/>
      <c r="G17" s="171">
        <f>E17+F17</f>
        <v>746415</v>
      </c>
      <c r="H17" s="172">
        <f t="shared" si="1"/>
        <v>6.8502259042364275E-2</v>
      </c>
      <c r="I17" s="337"/>
      <c r="J17" s="370" t="s">
        <v>156</v>
      </c>
      <c r="K17" s="371">
        <f>J208</f>
        <v>220425</v>
      </c>
      <c r="M17" s="359">
        <f t="shared" si="3"/>
        <v>192.42459396751741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490">
        <f>'[4]Sch B'!E47</f>
        <v>0</v>
      </c>
      <c r="D18" s="490">
        <f>'[4]Sch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337"/>
      <c r="J18" s="373" t="s">
        <v>252</v>
      </c>
      <c r="K18" s="374">
        <f>K208</f>
        <v>272562</v>
      </c>
      <c r="M18" s="359">
        <f t="shared" si="3"/>
        <v>0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490">
        <f>'[4]Sch B'!E52</f>
        <v>269319</v>
      </c>
      <c r="D19" s="490">
        <f>'[4]Sch B'!G52</f>
        <v>0</v>
      </c>
      <c r="E19" s="171">
        <f t="shared" si="2"/>
        <v>269319</v>
      </c>
      <c r="F19" s="171"/>
      <c r="G19" s="171">
        <f t="shared" si="0"/>
        <v>269319</v>
      </c>
      <c r="H19" s="172">
        <f t="shared" si="1"/>
        <v>2.4716759313559485E-2</v>
      </c>
      <c r="I19" s="337"/>
      <c r="J19" s="168"/>
      <c r="K19" s="168"/>
      <c r="M19" s="359">
        <f t="shared" si="3"/>
        <v>249.83209647495363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490">
        <f>'[4]Sch B'!E67</f>
        <v>85525</v>
      </c>
      <c r="D20" s="490">
        <f>'[4]Sch B'!G67</f>
        <v>-8494</v>
      </c>
      <c r="E20" s="171">
        <f t="shared" si="2"/>
        <v>77031</v>
      </c>
      <c r="F20" s="171"/>
      <c r="G20" s="171">
        <f t="shared" si="0"/>
        <v>77031</v>
      </c>
      <c r="H20" s="172">
        <f t="shared" si="1"/>
        <v>7.0695223385011854E-3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490">
        <f>SUM(C11:C20)</f>
        <v>10904704</v>
      </c>
      <c r="D21" s="490">
        <f>SUM(D11:D20)</f>
        <v>-8494</v>
      </c>
      <c r="E21" s="171">
        <f>SUM(E11:E20)</f>
        <v>10896210</v>
      </c>
      <c r="F21" s="171">
        <f>SUM(F11:F20)</f>
        <v>0</v>
      </c>
      <c r="G21" s="171">
        <f>SUM(G11:G20)</f>
        <v>10896210</v>
      </c>
      <c r="H21" s="172">
        <f t="shared" si="1"/>
        <v>1</v>
      </c>
      <c r="I21" s="337"/>
      <c r="J21" s="168"/>
      <c r="K21" s="168"/>
      <c r="M21" s="359">
        <f>IFERROR(G21/G228,0)</f>
        <v>239.10403546114853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4">
      <c r="A24" s="181" t="s">
        <v>161</v>
      </c>
      <c r="B24" s="148" t="s">
        <v>12</v>
      </c>
      <c r="M24" s="363"/>
      <c r="N24" s="363"/>
    </row>
    <row r="25" spans="1:14" s="167" customFormat="1">
      <c r="A25" s="169" t="s">
        <v>83</v>
      </c>
      <c r="B25" s="170" t="s">
        <v>14</v>
      </c>
      <c r="C25" s="490">
        <f>'[4]Sch C'!D10</f>
        <v>0</v>
      </c>
      <c r="D25" s="490">
        <f>'[4]Sch C'!F10</f>
        <v>211653</v>
      </c>
      <c r="E25" s="171">
        <f t="shared" ref="E25:E60" si="4">C25+D25</f>
        <v>211653</v>
      </c>
      <c r="F25" s="171"/>
      <c r="G25" s="182">
        <f>E25+F25</f>
        <v>211653</v>
      </c>
      <c r="H25" s="172">
        <f>IF($G$208=0,0,G25/$G$208)</f>
        <v>2.0790307306149707E-2</v>
      </c>
      <c r="I25" s="337"/>
      <c r="J25" s="183">
        <v>1800</v>
      </c>
      <c r="K25" s="183">
        <v>2168</v>
      </c>
      <c r="M25" s="359">
        <f>G25/G$228</f>
        <v>4.6444668758640359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490">
        <f>'[4]Sch C'!D11</f>
        <v>0</v>
      </c>
      <c r="D26" s="490">
        <f>'[4]Sch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490">
        <f>'[4]Sch C'!D12</f>
        <v>388759</v>
      </c>
      <c r="D27" s="490">
        <f>'[4]Sch C'!F12</f>
        <v>-211653</v>
      </c>
      <c r="E27" s="171">
        <f t="shared" si="4"/>
        <v>177106</v>
      </c>
      <c r="F27" s="171"/>
      <c r="G27" s="171">
        <f t="shared" si="5"/>
        <v>177106</v>
      </c>
      <c r="H27" s="172">
        <f t="shared" si="6"/>
        <v>1.7396815380660565E-2</v>
      </c>
      <c r="I27" s="337"/>
      <c r="J27" s="185">
        <v>8634</v>
      </c>
      <c r="K27" s="185">
        <v>9850</v>
      </c>
      <c r="M27" s="359">
        <f t="shared" si="7"/>
        <v>3.8863751069759278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490">
        <f>'[4]Sch C'!D13</f>
        <v>62311</v>
      </c>
      <c r="D28" s="490">
        <f>'[4]Sch C'!F13</f>
        <v>0</v>
      </c>
      <c r="E28" s="171">
        <f t="shared" si="4"/>
        <v>62311</v>
      </c>
      <c r="F28" s="171"/>
      <c r="G28" s="171">
        <f t="shared" si="5"/>
        <v>62311</v>
      </c>
      <c r="H28" s="172">
        <f t="shared" si="6"/>
        <v>6.1207015187759893E-3</v>
      </c>
      <c r="I28" s="337"/>
      <c r="J28" s="168"/>
      <c r="K28" s="168"/>
      <c r="M28" s="359">
        <f t="shared" si="7"/>
        <v>1.367338877795089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490">
        <f>'[4]Sch C'!D14</f>
        <v>10500</v>
      </c>
      <c r="D29" s="490">
        <f>'[4]Sch C'!F14</f>
        <v>0</v>
      </c>
      <c r="E29" s="171">
        <f t="shared" si="4"/>
        <v>10500</v>
      </c>
      <c r="F29" s="171"/>
      <c r="G29" s="171">
        <f t="shared" si="5"/>
        <v>10500</v>
      </c>
      <c r="H29" s="172">
        <f t="shared" si="6"/>
        <v>1.0313967990747683E-3</v>
      </c>
      <c r="I29" s="337"/>
      <c r="J29" s="168"/>
      <c r="K29" s="168"/>
      <c r="M29" s="359">
        <f t="shared" si="7"/>
        <v>0.2304096903732637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490">
        <f>'[4]Sch C'!D15</f>
        <v>0</v>
      </c>
      <c r="D30" s="490">
        <f>'[4]Sch C'!F15</f>
        <v>651936</v>
      </c>
      <c r="E30" s="171">
        <f t="shared" si="4"/>
        <v>651936</v>
      </c>
      <c r="F30" s="171"/>
      <c r="G30" s="171">
        <f t="shared" si="5"/>
        <v>651936</v>
      </c>
      <c r="H30" s="172">
        <f t="shared" si="6"/>
        <v>6.4038543200153161E-2</v>
      </c>
      <c r="I30" s="337"/>
      <c r="J30" s="168"/>
      <c r="K30" s="168"/>
      <c r="M30" s="359">
        <f t="shared" si="7"/>
        <v>14.305940181255624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490">
        <f>'[4]Sch C'!D16</f>
        <v>651936</v>
      </c>
      <c r="D31" s="490">
        <f>'[4]Sch C'!F16</f>
        <v>-651936</v>
      </c>
      <c r="E31" s="171">
        <f t="shared" si="4"/>
        <v>0</v>
      </c>
      <c r="F31" s="171"/>
      <c r="G31" s="171">
        <f t="shared" si="5"/>
        <v>0</v>
      </c>
      <c r="H31" s="172">
        <f t="shared" si="6"/>
        <v>0</v>
      </c>
      <c r="I31" s="337"/>
      <c r="J31" s="168"/>
      <c r="K31" s="168"/>
      <c r="M31" s="359">
        <f t="shared" si="7"/>
        <v>0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490">
        <f>'[4]Sch C'!D17</f>
        <v>849</v>
      </c>
      <c r="D32" s="490">
        <f>'[4]Sch C'!F17</f>
        <v>-849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7"/>
      <c r="J32" s="168"/>
      <c r="K32" s="168"/>
      <c r="M32" s="359">
        <f t="shared" si="7"/>
        <v>0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490">
        <f>'[4]Sch C'!D18</f>
        <v>16734</v>
      </c>
      <c r="D33" s="490">
        <f>'[4]Sch C'!F18</f>
        <v>0</v>
      </c>
      <c r="E33" s="171">
        <f t="shared" si="4"/>
        <v>16734</v>
      </c>
      <c r="F33" s="171"/>
      <c r="G33" s="171">
        <f t="shared" si="5"/>
        <v>16734</v>
      </c>
      <c r="H33" s="172">
        <f t="shared" si="6"/>
        <v>1.643751812925445E-3</v>
      </c>
      <c r="I33" s="337"/>
      <c r="J33" s="168"/>
      <c r="K33" s="168"/>
      <c r="M33" s="359">
        <f t="shared" si="7"/>
        <v>0.3672072151148757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490">
        <f>'[4]Sch C'!D19</f>
        <v>21822</v>
      </c>
      <c r="D34" s="490">
        <f>'[4]Sch C'!F19</f>
        <v>0</v>
      </c>
      <c r="E34" s="171">
        <f t="shared" si="4"/>
        <v>21822</v>
      </c>
      <c r="F34" s="171"/>
      <c r="G34" s="171">
        <f t="shared" si="5"/>
        <v>21822</v>
      </c>
      <c r="H34" s="172">
        <f t="shared" si="6"/>
        <v>2.1435372332771043E-3</v>
      </c>
      <c r="I34" s="337"/>
      <c r="J34" s="168"/>
      <c r="K34" s="168"/>
      <c r="M34" s="359">
        <f t="shared" si="7"/>
        <v>0.47885716793574862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490">
        <f>'[4]Sch C'!D20</f>
        <v>7247</v>
      </c>
      <c r="D35" s="490">
        <f>'[4]Sch C'!F20</f>
        <v>0</v>
      </c>
      <c r="E35" s="171">
        <f t="shared" si="4"/>
        <v>7247</v>
      </c>
      <c r="F35" s="171"/>
      <c r="G35" s="171">
        <f t="shared" si="5"/>
        <v>7247</v>
      </c>
      <c r="H35" s="172">
        <f t="shared" si="6"/>
        <v>7.1186024789474719E-4</v>
      </c>
      <c r="I35" s="337"/>
      <c r="J35" s="168"/>
      <c r="K35" s="168"/>
      <c r="M35" s="359">
        <f t="shared" si="7"/>
        <v>0.15902657391762304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490">
        <f>'[4]Sch C'!D21</f>
        <v>51118</v>
      </c>
      <c r="D36" s="490">
        <f>'[4]Sch C'!F21</f>
        <v>0</v>
      </c>
      <c r="E36" s="171">
        <f t="shared" si="4"/>
        <v>51118</v>
      </c>
      <c r="F36" s="171"/>
      <c r="G36" s="171">
        <f t="shared" si="5"/>
        <v>51118</v>
      </c>
      <c r="H36" s="172">
        <f t="shared" si="6"/>
        <v>5.0212325309622868E-3</v>
      </c>
      <c r="I36" s="337"/>
      <c r="J36" s="168"/>
      <c r="K36" s="168"/>
      <c r="M36" s="359">
        <f t="shared" si="7"/>
        <v>1.1217221478571899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490">
        <f>'[4]Sch C'!D22</f>
        <v>0</v>
      </c>
      <c r="D37" s="490">
        <f>'[4]Sch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490">
        <f>'[4]Sch C'!D23</f>
        <v>2572</v>
      </c>
      <c r="D38" s="490">
        <f>'[4]Sch C'!F23</f>
        <v>0</v>
      </c>
      <c r="E38" s="171">
        <f t="shared" si="4"/>
        <v>2572</v>
      </c>
      <c r="F38" s="171"/>
      <c r="G38" s="171">
        <f t="shared" si="5"/>
        <v>2572</v>
      </c>
      <c r="H38" s="172">
        <f t="shared" si="6"/>
        <v>2.5264310164002895E-4</v>
      </c>
      <c r="I38" s="337"/>
      <c r="J38" s="168"/>
      <c r="K38" s="168"/>
      <c r="M38" s="359">
        <f t="shared" si="7"/>
        <v>5.6439402251431833E-2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490">
        <f>'[4]Sch C'!D24</f>
        <v>2487</v>
      </c>
      <c r="D39" s="490">
        <f>'[4]Sch C'!F24</f>
        <v>0</v>
      </c>
      <c r="E39" s="171">
        <f t="shared" si="4"/>
        <v>2487</v>
      </c>
      <c r="F39" s="171"/>
      <c r="G39" s="171">
        <f t="shared" si="5"/>
        <v>2487</v>
      </c>
      <c r="H39" s="172">
        <f t="shared" si="6"/>
        <v>2.4429369898085228E-4</v>
      </c>
      <c r="I39" s="337"/>
      <c r="J39" s="168"/>
      <c r="K39" s="168"/>
      <c r="M39" s="359">
        <f t="shared" si="7"/>
        <v>5.457418094841017E-2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490">
        <f>'[4]Sch C'!D25</f>
        <v>0</v>
      </c>
      <c r="D40" s="490">
        <f>'[4]Sch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337"/>
      <c r="J40" s="168"/>
      <c r="K40" s="168"/>
      <c r="M40" s="359">
        <f t="shared" si="7"/>
        <v>0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490">
        <f>'[4]Sch C'!D26</f>
        <v>594361</v>
      </c>
      <c r="D41" s="490">
        <f>'[4]Sch C'!F26</f>
        <v>0</v>
      </c>
      <c r="E41" s="171">
        <f t="shared" si="4"/>
        <v>594361</v>
      </c>
      <c r="F41" s="171"/>
      <c r="G41" s="171">
        <f t="shared" si="5"/>
        <v>594361</v>
      </c>
      <c r="H41" s="172">
        <f t="shared" si="6"/>
        <v>5.8383050751893178E-2</v>
      </c>
      <c r="I41" s="337"/>
      <c r="J41" s="168"/>
      <c r="K41" s="168"/>
      <c r="M41" s="359">
        <f t="shared" si="7"/>
        <v>13.042527045708894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490">
        <f>'[4]Sch C'!D27</f>
        <v>2043</v>
      </c>
      <c r="D42" s="490">
        <f>'[4]Sch C'!F27</f>
        <v>-193</v>
      </c>
      <c r="E42" s="171">
        <f t="shared" si="4"/>
        <v>1850</v>
      </c>
      <c r="F42" s="171"/>
      <c r="G42" s="171">
        <f t="shared" si="5"/>
        <v>1850</v>
      </c>
      <c r="H42" s="172">
        <f t="shared" si="6"/>
        <v>1.8172229317031633E-4</v>
      </c>
      <c r="I42" s="337"/>
      <c r="J42" s="168"/>
      <c r="K42" s="168"/>
      <c r="M42" s="359">
        <f t="shared" si="7"/>
        <v>4.0595993065765508E-2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490">
        <f>'[4]Sch C'!D28</f>
        <v>0</v>
      </c>
      <c r="D43" s="490">
        <f>'[4]Sch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490">
        <f>'[4]Sch C'!D29</f>
        <v>263374</v>
      </c>
      <c r="D44" s="490">
        <f>'[4]Sch C'!F29</f>
        <v>-263374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490">
        <f>'[4]Sch C'!D30</f>
        <v>0</v>
      </c>
      <c r="D45" s="490">
        <f>'[4]Sch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490">
        <f>'[4]Sch C'!D31</f>
        <v>0</v>
      </c>
      <c r="D46" s="490">
        <f>'[4]Sch C'!F31</f>
        <v>0</v>
      </c>
      <c r="E46" s="171">
        <f t="shared" si="4"/>
        <v>0</v>
      </c>
      <c r="F46" s="171"/>
      <c r="G46" s="171">
        <f t="shared" si="5"/>
        <v>0</v>
      </c>
      <c r="H46" s="172">
        <f t="shared" si="6"/>
        <v>0</v>
      </c>
      <c r="I46" s="337"/>
      <c r="J46" s="168"/>
      <c r="K46" s="168"/>
      <c r="M46" s="359">
        <f t="shared" si="7"/>
        <v>0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490">
        <f>'[4]Sch C'!D32</f>
        <v>116264</v>
      </c>
      <c r="D47" s="490">
        <f>'[4]Sch C'!F32</f>
        <v>0</v>
      </c>
      <c r="E47" s="171">
        <f t="shared" si="4"/>
        <v>116264</v>
      </c>
      <c r="F47" s="171"/>
      <c r="G47" s="171">
        <f t="shared" si="5"/>
        <v>116264</v>
      </c>
      <c r="H47" s="172">
        <f t="shared" si="6"/>
        <v>1.1420411185488463E-2</v>
      </c>
      <c r="I47" s="337"/>
      <c r="J47" s="168"/>
      <c r="K47" s="168"/>
      <c r="M47" s="359">
        <f t="shared" si="7"/>
        <v>2.5512716420530599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490">
        <f>'[4]Sch C'!D33</f>
        <v>0</v>
      </c>
      <c r="D48" s="490">
        <f>'[4]Sch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490">
        <f>'[4]Sch C'!D34</f>
        <v>387</v>
      </c>
      <c r="D49" s="490">
        <f>'[4]Sch C'!F34</f>
        <v>0</v>
      </c>
      <c r="E49" s="171">
        <f t="shared" si="4"/>
        <v>387</v>
      </c>
      <c r="F49" s="171"/>
      <c r="G49" s="171">
        <f t="shared" si="5"/>
        <v>387</v>
      </c>
      <c r="H49" s="172">
        <f t="shared" si="6"/>
        <v>3.8014339165898605E-5</v>
      </c>
      <c r="I49" s="337"/>
      <c r="J49" s="168"/>
      <c r="K49" s="168"/>
      <c r="M49" s="359">
        <f t="shared" si="7"/>
        <v>8.4922428737574333E-3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490">
        <f>'[4]Sch C'!D35</f>
        <v>888</v>
      </c>
      <c r="D50" s="490">
        <f>'[4]Sch C'!F35</f>
        <v>-888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490">
        <f>'[4]Sch C'!D36</f>
        <v>0</v>
      </c>
      <c r="D51" s="490">
        <f>'[4]Sch C'!F36</f>
        <v>0</v>
      </c>
      <c r="E51" s="171">
        <f t="shared" si="4"/>
        <v>0</v>
      </c>
      <c r="F51" s="171"/>
      <c r="G51" s="171">
        <f t="shared" si="5"/>
        <v>0</v>
      </c>
      <c r="H51" s="172">
        <f t="shared" si="6"/>
        <v>0</v>
      </c>
      <c r="I51" s="337"/>
      <c r="J51" s="183">
        <v>0</v>
      </c>
      <c r="K51" s="183">
        <v>0</v>
      </c>
      <c r="M51" s="359">
        <f t="shared" si="7"/>
        <v>0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490">
        <f>'[4]Sch C'!D37</f>
        <v>0</v>
      </c>
      <c r="D52" s="490">
        <f>'[4]Sch C'!F37</f>
        <v>0</v>
      </c>
      <c r="E52" s="171">
        <f t="shared" si="4"/>
        <v>0</v>
      </c>
      <c r="F52" s="171"/>
      <c r="G52" s="171">
        <f t="shared" si="5"/>
        <v>0</v>
      </c>
      <c r="H52" s="172">
        <f t="shared" si="6"/>
        <v>0</v>
      </c>
      <c r="I52" s="337"/>
      <c r="J52" s="168"/>
      <c r="K52" s="168"/>
      <c r="M52" s="359">
        <f t="shared" si="7"/>
        <v>0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490">
        <f>'[4]Sch C'!D38</f>
        <v>0</v>
      </c>
      <c r="D53" s="490">
        <f>'[4]Sch C'!F38</f>
        <v>0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7"/>
      <c r="J53" s="168"/>
      <c r="K53" s="168"/>
      <c r="M53" s="359">
        <f t="shared" si="7"/>
        <v>0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490">
        <f>'[4]Sch C'!D39</f>
        <v>9027</v>
      </c>
      <c r="D54" s="490">
        <f>'[4]Sch C'!F39</f>
        <v>0</v>
      </c>
      <c r="E54" s="171">
        <f t="shared" si="4"/>
        <v>9027</v>
      </c>
      <c r="F54" s="171"/>
      <c r="G54" s="171">
        <f t="shared" si="5"/>
        <v>9027</v>
      </c>
      <c r="H54" s="172">
        <f t="shared" si="6"/>
        <v>8.867065624045651E-4</v>
      </c>
      <c r="I54" s="337"/>
      <c r="J54" s="168"/>
      <c r="K54" s="168"/>
      <c r="M54" s="359">
        <f t="shared" si="7"/>
        <v>0.19808650238090014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490">
        <f>'[4]Sch C'!D40</f>
        <v>3819</v>
      </c>
      <c r="D55" s="490">
        <f>'[4]Sch C'!F40</f>
        <v>-3819</v>
      </c>
      <c r="E55" s="171">
        <f t="shared" si="4"/>
        <v>0</v>
      </c>
      <c r="F55" s="171"/>
      <c r="G55" s="171">
        <f t="shared" si="5"/>
        <v>0</v>
      </c>
      <c r="H55" s="172">
        <f t="shared" si="6"/>
        <v>0</v>
      </c>
      <c r="I55" s="337"/>
      <c r="J55" s="168"/>
      <c r="K55" s="168"/>
      <c r="M55" s="359">
        <f t="shared" si="7"/>
        <v>0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490">
        <f>'[4]Sch C'!D41</f>
        <v>217814</v>
      </c>
      <c r="D56" s="490">
        <f>'[4]Sch C'!F41</f>
        <v>0</v>
      </c>
      <c r="E56" s="171">
        <f t="shared" si="4"/>
        <v>217814</v>
      </c>
      <c r="F56" s="171"/>
      <c r="G56" s="171">
        <f t="shared" si="5"/>
        <v>217814</v>
      </c>
      <c r="H56" s="172">
        <f t="shared" si="6"/>
        <v>2.1395491656540151E-2</v>
      </c>
      <c r="I56" s="337"/>
      <c r="J56" s="168"/>
      <c r="K56" s="168"/>
      <c r="M56" s="359">
        <f t="shared" si="7"/>
        <v>4.7796625046630536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490">
        <f>'[4]Sch C'!D42</f>
        <v>192</v>
      </c>
      <c r="D57" s="490">
        <f>'[4]Sch C'!F42</f>
        <v>0</v>
      </c>
      <c r="E57" s="171">
        <f t="shared" si="4"/>
        <v>192</v>
      </c>
      <c r="F57" s="171"/>
      <c r="G57" s="171">
        <f t="shared" si="5"/>
        <v>192</v>
      </c>
      <c r="H57" s="172">
        <f t="shared" si="6"/>
        <v>1.8859827183081478E-5</v>
      </c>
      <c r="I57" s="337"/>
      <c r="J57" s="168"/>
      <c r="K57" s="168"/>
      <c r="M57" s="359">
        <f t="shared" si="7"/>
        <v>4.2132057668253934E-3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490">
        <f>'[4]Sch C'!D43</f>
        <v>4706</v>
      </c>
      <c r="D58" s="490">
        <f>'[4]Sch C'!F43</f>
        <v>-4706</v>
      </c>
      <c r="E58" s="171">
        <f t="shared" si="4"/>
        <v>0</v>
      </c>
      <c r="F58" s="171"/>
      <c r="G58" s="171">
        <f t="shared" si="5"/>
        <v>0</v>
      </c>
      <c r="H58" s="172">
        <f t="shared" si="6"/>
        <v>0</v>
      </c>
      <c r="I58" s="337"/>
      <c r="J58" s="168"/>
      <c r="K58" s="168"/>
      <c r="M58" s="359">
        <f t="shared" si="7"/>
        <v>0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490">
        <f>'[4]Sch C'!D44</f>
        <v>0</v>
      </c>
      <c r="D59" s="490">
        <f>'[4]Sch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7"/>
      <c r="J59" s="168"/>
      <c r="K59" s="168"/>
      <c r="M59" s="359">
        <f t="shared" si="7"/>
        <v>0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490">
        <f>'[4]Sch C'!D45</f>
        <v>2464</v>
      </c>
      <c r="D60" s="490">
        <f>'[4]Sch C'!F45</f>
        <v>-3323</v>
      </c>
      <c r="E60" s="171">
        <f t="shared" si="4"/>
        <v>-859</v>
      </c>
      <c r="F60" s="171"/>
      <c r="G60" s="171">
        <f t="shared" si="5"/>
        <v>-859</v>
      </c>
      <c r="H60" s="172">
        <f t="shared" si="6"/>
        <v>-8.4378080990973908E-5</v>
      </c>
      <c r="I60" s="337"/>
      <c r="J60" s="168"/>
      <c r="K60" s="168"/>
      <c r="M60" s="359">
        <f t="shared" si="7"/>
        <v>-1.8849707050536527E-2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490">
        <f>SUM(C25:C60)</f>
        <v>2431674</v>
      </c>
      <c r="D61" s="490">
        <f>SUM(D25:D60)</f>
        <v>-277152</v>
      </c>
      <c r="E61" s="171">
        <f t="shared" ref="E61:F61" si="8">SUM(E25:E60)</f>
        <v>2154522</v>
      </c>
      <c r="F61" s="171">
        <f t="shared" si="8"/>
        <v>0</v>
      </c>
      <c r="G61" s="171">
        <f>SUM(G25:G60)</f>
        <v>2154522</v>
      </c>
      <c r="H61" s="186">
        <f t="shared" si="6"/>
        <v>0.21163496136534934</v>
      </c>
      <c r="I61" s="339"/>
      <c r="J61" s="168"/>
      <c r="K61" s="168"/>
      <c r="M61" s="364">
        <f>G61/G$228</f>
        <v>47.278356849750935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I62" s="340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490">
        <f>'[4]Sch C'!D57</f>
        <v>634243</v>
      </c>
      <c r="D64" s="490">
        <f>'[4]Sch C'!F57</f>
        <v>-1180</v>
      </c>
      <c r="E64" s="171">
        <f t="shared" ref="E64:E78" si="9">C64+D64</f>
        <v>633063</v>
      </c>
      <c r="F64" s="171"/>
      <c r="G64" s="171">
        <f t="shared" ref="G64:G78" si="10">E64+F64</f>
        <v>633063</v>
      </c>
      <c r="H64" s="172">
        <f t="shared" ref="H64:H79" si="11">IF($G$208=0,0,G64/$G$208)</f>
        <v>6.2184681125016197E-2</v>
      </c>
      <c r="I64" s="337"/>
      <c r="J64" s="190"/>
      <c r="K64" s="168"/>
      <c r="M64" s="359">
        <f t="shared" ref="M64:M79" si="12">G64/G$228</f>
        <v>13.891795220644708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490">
        <f>'[4]Sch C'!D58</f>
        <v>2982</v>
      </c>
      <c r="D65" s="490">
        <f>'[4]Sch C'!F58</f>
        <v>0</v>
      </c>
      <c r="E65" s="171">
        <f t="shared" si="9"/>
        <v>2982</v>
      </c>
      <c r="F65" s="171"/>
      <c r="G65" s="171">
        <f t="shared" si="10"/>
        <v>2982</v>
      </c>
      <c r="H65" s="172">
        <f t="shared" si="11"/>
        <v>2.9291669093723418E-4</v>
      </c>
      <c r="I65" s="337"/>
      <c r="J65" s="190"/>
      <c r="K65" s="168"/>
      <c r="M65" s="359">
        <f t="shared" si="12"/>
        <v>6.5436352066006884E-2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490">
        <f>'[4]Sch C'!D59</f>
        <v>0</v>
      </c>
      <c r="D66" s="490">
        <f>'[4]Sch C'!F59</f>
        <v>0</v>
      </c>
      <c r="E66" s="171">
        <f t="shared" si="9"/>
        <v>0</v>
      </c>
      <c r="F66" s="171"/>
      <c r="G66" s="171">
        <f t="shared" si="10"/>
        <v>0</v>
      </c>
      <c r="H66" s="172">
        <f t="shared" si="11"/>
        <v>0</v>
      </c>
      <c r="I66" s="337"/>
      <c r="J66" s="190"/>
      <c r="K66" s="168"/>
      <c r="M66" s="359">
        <f t="shared" si="12"/>
        <v>0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490">
        <f>'[4]Sch C'!D60</f>
        <v>0</v>
      </c>
      <c r="D67" s="490">
        <f>'[4]Sch C'!F60</f>
        <v>0</v>
      </c>
      <c r="E67" s="171">
        <f t="shared" si="9"/>
        <v>0</v>
      </c>
      <c r="F67" s="171"/>
      <c r="G67" s="171">
        <f t="shared" si="10"/>
        <v>0</v>
      </c>
      <c r="H67" s="172">
        <f t="shared" si="11"/>
        <v>0</v>
      </c>
      <c r="I67" s="337"/>
      <c r="J67" s="193"/>
      <c r="K67" s="168"/>
      <c r="M67" s="359">
        <f t="shared" si="12"/>
        <v>0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490">
        <f>'[4]Sch C'!D61</f>
        <v>0</v>
      </c>
      <c r="D68" s="490">
        <f>'[4]Sch C'!F61</f>
        <v>0</v>
      </c>
      <c r="E68" s="171">
        <f t="shared" si="9"/>
        <v>0</v>
      </c>
      <c r="F68" s="171"/>
      <c r="G68" s="171">
        <f t="shared" si="10"/>
        <v>0</v>
      </c>
      <c r="H68" s="172">
        <f t="shared" si="11"/>
        <v>0</v>
      </c>
      <c r="I68" s="337"/>
      <c r="J68" s="193"/>
      <c r="K68" s="168"/>
      <c r="M68" s="359">
        <f t="shared" si="12"/>
        <v>0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490">
        <f>'[4]Sch C'!D62</f>
        <v>0</v>
      </c>
      <c r="D69" s="490">
        <f>'[4]Sch C'!F62</f>
        <v>0</v>
      </c>
      <c r="E69" s="171">
        <f t="shared" si="9"/>
        <v>0</v>
      </c>
      <c r="F69" s="171"/>
      <c r="G69" s="171">
        <f t="shared" si="10"/>
        <v>0</v>
      </c>
      <c r="H69" s="172">
        <f t="shared" si="11"/>
        <v>0</v>
      </c>
      <c r="I69" s="337"/>
      <c r="J69" s="195"/>
      <c r="K69" s="168"/>
      <c r="M69" s="359">
        <f t="shared" si="12"/>
        <v>0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490">
        <f>'[4]Sch C'!D63</f>
        <v>0</v>
      </c>
      <c r="D70" s="490">
        <f>'[4]Sch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7"/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490">
        <f>'[4]Sch C'!D64</f>
        <v>0</v>
      </c>
      <c r="D71" s="490">
        <f>'[4]Sch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490">
        <f>'[4]Sch C'!D65</f>
        <v>0</v>
      </c>
      <c r="D72" s="490">
        <f>'[4]Sch C'!F65</f>
        <v>0</v>
      </c>
      <c r="E72" s="171">
        <f t="shared" si="9"/>
        <v>0</v>
      </c>
      <c r="F72" s="171"/>
      <c r="G72" s="171">
        <f t="shared" si="10"/>
        <v>0</v>
      </c>
      <c r="H72" s="172">
        <f t="shared" si="11"/>
        <v>0</v>
      </c>
      <c r="I72" s="337"/>
      <c r="J72" s="195"/>
      <c r="K72" s="168"/>
      <c r="M72" s="359">
        <f t="shared" si="12"/>
        <v>0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490">
        <f>'[4]Sch C'!D66</f>
        <v>71346</v>
      </c>
      <c r="D73" s="490">
        <f>'[4]Sch C'!F66</f>
        <v>0</v>
      </c>
      <c r="E73" s="171">
        <f t="shared" si="9"/>
        <v>71346</v>
      </c>
      <c r="F73" s="171"/>
      <c r="G73" s="171">
        <f t="shared" si="10"/>
        <v>71346</v>
      </c>
      <c r="H73" s="172">
        <f t="shared" si="11"/>
        <v>7.0081939073131832E-3</v>
      </c>
      <c r="I73" s="337"/>
      <c r="J73" s="195"/>
      <c r="K73" s="168"/>
      <c r="M73" s="359">
        <f t="shared" si="12"/>
        <v>1.5656009304162735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490">
        <f>'[4]Sch C'!D67</f>
        <v>27423</v>
      </c>
      <c r="D74" s="490">
        <f>'[4]Sch C'!F67</f>
        <v>0</v>
      </c>
      <c r="E74" s="171">
        <f t="shared" si="9"/>
        <v>27423</v>
      </c>
      <c r="F74" s="171"/>
      <c r="G74" s="171">
        <f t="shared" si="10"/>
        <v>27423</v>
      </c>
      <c r="H74" s="172">
        <f t="shared" si="11"/>
        <v>2.693713754383559E-3</v>
      </c>
      <c r="I74" s="337"/>
      <c r="J74" s="195"/>
      <c r="K74" s="168"/>
      <c r="M74" s="359">
        <f t="shared" si="12"/>
        <v>0.60176427991485815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490">
        <f>'[4]Sch C'!D68</f>
        <v>0</v>
      </c>
      <c r="D75" s="490">
        <f>'[4]Sch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490">
        <f>'[4]Sch C'!D69</f>
        <v>8114</v>
      </c>
      <c r="D76" s="490">
        <f>'[4]Sch C'!F69</f>
        <v>0</v>
      </c>
      <c r="E76" s="171">
        <f t="shared" si="9"/>
        <v>8114</v>
      </c>
      <c r="F76" s="171"/>
      <c r="G76" s="171">
        <f t="shared" si="10"/>
        <v>8114</v>
      </c>
      <c r="H76" s="172">
        <f t="shared" si="11"/>
        <v>7.9702415501834952E-4</v>
      </c>
      <c r="I76" s="337"/>
      <c r="J76" s="195"/>
      <c r="K76" s="168"/>
      <c r="M76" s="359">
        <f t="shared" si="12"/>
        <v>0.17805183120844398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490">
        <f>'[4]Sch C'!D70</f>
        <v>0</v>
      </c>
      <c r="D77" s="490">
        <f>'[4]Sch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7"/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490">
        <f>'[4]Sch C'!D71</f>
        <v>0</v>
      </c>
      <c r="D78" s="490">
        <f>'[4]Sch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7"/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490">
        <f>SUM(C64:C78)</f>
        <v>744108</v>
      </c>
      <c r="D79" s="490">
        <f>SUM(D64:D78)</f>
        <v>-1180</v>
      </c>
      <c r="E79" s="171">
        <f t="shared" ref="E79:F79" si="13">SUM(E64:E78)</f>
        <v>742928</v>
      </c>
      <c r="F79" s="171">
        <f t="shared" si="13"/>
        <v>0</v>
      </c>
      <c r="G79" s="171">
        <f>SUM(G64:G78)</f>
        <v>742928</v>
      </c>
      <c r="H79" s="172">
        <f t="shared" si="11"/>
        <v>7.2976529632668527E-2</v>
      </c>
      <c r="I79" s="337"/>
      <c r="J79" s="195"/>
      <c r="K79" s="168"/>
      <c r="M79" s="359">
        <f t="shared" si="12"/>
        <v>16.302648614250291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490">
        <f>'[4]Sch C'!D75</f>
        <v>75856</v>
      </c>
      <c r="D82" s="490">
        <f>'[4]Sch C'!F75</f>
        <v>0</v>
      </c>
      <c r="E82" s="171">
        <f t="shared" ref="E82:E92" si="14">C82+D82</f>
        <v>75856</v>
      </c>
      <c r="F82" s="171"/>
      <c r="G82" s="171">
        <f t="shared" ref="G82:G92" si="15">E82+F82</f>
        <v>75856</v>
      </c>
      <c r="H82" s="172">
        <f t="shared" ref="H82:H93" si="16">IF($G$208=0,0,G82/$G$208)</f>
        <v>7.4512033895824401E-3</v>
      </c>
      <c r="I82" s="337"/>
      <c r="J82" s="183">
        <v>3561</v>
      </c>
      <c r="K82" s="183">
        <v>4054</v>
      </c>
      <c r="M82" s="359">
        <f t="shared" ref="M82:M92" si="17">G82/G$228</f>
        <v>1.6645673783765991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490">
        <f>'[4]Sch C'!D76</f>
        <v>11782</v>
      </c>
      <c r="D83" s="490">
        <f>'[4]Sch C'!F76</f>
        <v>0</v>
      </c>
      <c r="E83" s="171">
        <f t="shared" si="14"/>
        <v>11782</v>
      </c>
      <c r="F83" s="171"/>
      <c r="G83" s="171">
        <f t="shared" si="15"/>
        <v>11782</v>
      </c>
      <c r="H83" s="172">
        <f t="shared" si="16"/>
        <v>1.1573254368284686E-3</v>
      </c>
      <c r="I83" s="337"/>
      <c r="J83" s="168"/>
      <c r="K83" s="168"/>
      <c r="M83" s="359">
        <f t="shared" si="17"/>
        <v>0.25854161637883744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490">
        <f>'[4]Sch C'!D77</f>
        <v>13489</v>
      </c>
      <c r="D84" s="490">
        <f>'[4]Sch C'!F77</f>
        <v>0</v>
      </c>
      <c r="E84" s="171">
        <f t="shared" si="14"/>
        <v>13489</v>
      </c>
      <c r="F84" s="171"/>
      <c r="G84" s="171">
        <f t="shared" si="15"/>
        <v>13489</v>
      </c>
      <c r="H84" s="172">
        <f t="shared" si="16"/>
        <v>1.3250010878780524E-3</v>
      </c>
      <c r="I84" s="337"/>
      <c r="J84" s="168"/>
      <c r="K84" s="168"/>
      <c r="M84" s="359">
        <f t="shared" si="17"/>
        <v>0.29599964889951941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490">
        <f>'[4]Sch C'!D78</f>
        <v>0</v>
      </c>
      <c r="D85" s="490">
        <f>'[4]Sch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I85" s="337"/>
      <c r="J85" s="168"/>
      <c r="K85" s="168"/>
      <c r="M85" s="359">
        <f t="shared" si="17"/>
        <v>0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490">
        <f>'[4]Sch C'!D79</f>
        <v>-3703</v>
      </c>
      <c r="D86" s="490">
        <f>'[4]Sch C'!F79</f>
        <v>0</v>
      </c>
      <c r="E86" s="171">
        <f t="shared" si="14"/>
        <v>-3703</v>
      </c>
      <c r="F86" s="171"/>
      <c r="G86" s="171">
        <f>E86+F86</f>
        <v>-3703</v>
      </c>
      <c r="H86" s="172">
        <f t="shared" si="16"/>
        <v>-3.6373927114036832E-4</v>
      </c>
      <c r="I86" s="337"/>
      <c r="J86" s="168"/>
      <c r="K86" s="168"/>
      <c r="M86" s="359">
        <f t="shared" si="17"/>
        <v>-8.1257817471637669E-2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490">
        <f>'[4]Sch C'!D80</f>
        <v>28853</v>
      </c>
      <c r="D87" s="490">
        <f>'[4]Sch C'!F80</f>
        <v>0</v>
      </c>
      <c r="E87" s="171">
        <f t="shared" si="14"/>
        <v>28853</v>
      </c>
      <c r="F87" s="171"/>
      <c r="G87" s="171">
        <f t="shared" si="15"/>
        <v>28853</v>
      </c>
      <c r="H87" s="172">
        <f t="shared" si="16"/>
        <v>2.8341801755908847E-3</v>
      </c>
      <c r="I87" s="337"/>
      <c r="J87" s="168"/>
      <c r="K87" s="168"/>
      <c r="M87" s="359">
        <f t="shared" si="17"/>
        <v>0.6331438853656931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490">
        <f>'[4]Sch C'!D81</f>
        <v>11129</v>
      </c>
      <c r="D88" s="490">
        <f>'[4]Sch C'!F81</f>
        <v>0</v>
      </c>
      <c r="E88" s="171">
        <f t="shared" si="14"/>
        <v>11129</v>
      </c>
      <c r="F88" s="171"/>
      <c r="G88" s="171">
        <f t="shared" si="15"/>
        <v>11129</v>
      </c>
      <c r="H88" s="172">
        <f t="shared" si="16"/>
        <v>1.0931823787526758E-3</v>
      </c>
      <c r="I88" s="337"/>
      <c r="J88" s="168"/>
      <c r="K88" s="168"/>
      <c r="M88" s="359">
        <f t="shared" si="17"/>
        <v>0.24421232801562398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490">
        <f>'[4]Sch C'!D82</f>
        <v>16405</v>
      </c>
      <c r="D89" s="490">
        <f>'[4]Sch C'!F82</f>
        <v>0</v>
      </c>
      <c r="E89" s="171">
        <f t="shared" si="14"/>
        <v>16405</v>
      </c>
      <c r="F89" s="171"/>
      <c r="G89" s="171">
        <f t="shared" si="15"/>
        <v>16405</v>
      </c>
      <c r="H89" s="172">
        <f t="shared" si="16"/>
        <v>1.6114347132211023E-3</v>
      </c>
      <c r="I89" s="337"/>
      <c r="J89" s="168"/>
      <c r="K89" s="168"/>
      <c r="M89" s="359">
        <f t="shared" si="17"/>
        <v>0.3599877114831801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490">
        <f>'[4]Sch C'!D83</f>
        <v>0</v>
      </c>
      <c r="D90" s="490">
        <f>'[4]Sch C'!F83</f>
        <v>0</v>
      </c>
      <c r="E90" s="171">
        <f t="shared" si="14"/>
        <v>0</v>
      </c>
      <c r="F90" s="171"/>
      <c r="G90" s="171">
        <f t="shared" si="15"/>
        <v>0</v>
      </c>
      <c r="H90" s="172">
        <f t="shared" si="16"/>
        <v>0</v>
      </c>
      <c r="I90" s="337"/>
      <c r="J90" s="168"/>
      <c r="K90" s="168"/>
      <c r="M90" s="359">
        <f t="shared" si="17"/>
        <v>0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490">
        <f>'[4]Sch C'!D84</f>
        <v>151285</v>
      </c>
      <c r="D91" s="490">
        <f>'[4]Sch C'!F84</f>
        <v>0</v>
      </c>
      <c r="E91" s="171">
        <f t="shared" si="14"/>
        <v>151285</v>
      </c>
      <c r="F91" s="171"/>
      <c r="G91" s="171">
        <f t="shared" si="15"/>
        <v>151285</v>
      </c>
      <c r="H91" s="172">
        <f t="shared" si="16"/>
        <v>1.4860463309335841E-2</v>
      </c>
      <c r="I91" s="337"/>
      <c r="J91" s="168"/>
      <c r="K91" s="168"/>
      <c r="M91" s="359">
        <f t="shared" si="17"/>
        <v>3.3197647626780191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490">
        <f>'[4]Sch C'!D85</f>
        <v>0</v>
      </c>
      <c r="D92" s="490">
        <f>'[4]Sch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7"/>
      <c r="J92" s="168"/>
      <c r="K92" s="168"/>
      <c r="M92" s="359">
        <f t="shared" si="17"/>
        <v>0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490">
        <f>SUM(C82:C92)</f>
        <v>305096</v>
      </c>
      <c r="D93" s="490">
        <f>SUM(D82:D92)</f>
        <v>0</v>
      </c>
      <c r="E93" s="171">
        <f t="shared" ref="E93:F93" si="18">SUM(E82:E92)</f>
        <v>305096</v>
      </c>
      <c r="F93" s="171">
        <f t="shared" si="18"/>
        <v>0</v>
      </c>
      <c r="G93" s="171">
        <f>SUM(G82:G92)</f>
        <v>305096</v>
      </c>
      <c r="H93" s="172">
        <f t="shared" si="16"/>
        <v>2.9969051220049097E-2</v>
      </c>
      <c r="I93" s="337"/>
      <c r="J93" s="168"/>
      <c r="K93" s="168"/>
      <c r="M93" s="364">
        <f>G93/G$228</f>
        <v>6.6949595137258342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490">
        <f>'[4]Sch C'!D89</f>
        <v>375581</v>
      </c>
      <c r="D96" s="490">
        <f>'[4]Sch C'!F89</f>
        <v>0</v>
      </c>
      <c r="E96" s="171">
        <f t="shared" ref="E96:E101" si="19">C96+D96</f>
        <v>375581</v>
      </c>
      <c r="F96" s="171"/>
      <c r="G96" s="171">
        <f t="shared" ref="G96:G101" si="20">E96+F96</f>
        <v>375581</v>
      </c>
      <c r="H96" s="172">
        <f t="shared" ref="H96:H102" si="21">IF($G$208=0,0,G96/$G$208)</f>
        <v>3.6892670589838146E-2</v>
      </c>
      <c r="I96" s="337"/>
      <c r="J96" s="183">
        <v>32452</v>
      </c>
      <c r="K96" s="183">
        <v>36049</v>
      </c>
      <c r="M96" s="364">
        <f t="shared" ref="M96:M101" si="22">G96/G$228</f>
        <v>8.2416668495314998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490">
        <f>'[4]Sch C'!D90</f>
        <v>78262</v>
      </c>
      <c r="D97" s="490">
        <f>'[4]Sch C'!F90</f>
        <v>0</v>
      </c>
      <c r="E97" s="171">
        <f t="shared" si="19"/>
        <v>78262</v>
      </c>
      <c r="F97" s="171"/>
      <c r="G97" s="171">
        <f t="shared" si="20"/>
        <v>78262</v>
      </c>
      <c r="H97" s="172">
        <f t="shared" si="21"/>
        <v>7.6875405989704302E-3</v>
      </c>
      <c r="I97" s="337"/>
      <c r="J97" s="168"/>
      <c r="K97" s="168"/>
      <c r="M97" s="364">
        <f t="shared" si="22"/>
        <v>1.7173641131421298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490">
        <f>'[4]Sch C'!D91</f>
        <v>12810</v>
      </c>
      <c r="D98" s="490">
        <f>'[4]Sch C'!F91</f>
        <v>0</v>
      </c>
      <c r="E98" s="171">
        <f t="shared" si="19"/>
        <v>12810</v>
      </c>
      <c r="F98" s="171"/>
      <c r="G98" s="171">
        <f t="shared" si="20"/>
        <v>12810</v>
      </c>
      <c r="H98" s="172">
        <f t="shared" si="21"/>
        <v>1.2583040948712172E-3</v>
      </c>
      <c r="I98" s="337"/>
      <c r="J98" s="168"/>
      <c r="K98" s="168"/>
      <c r="M98" s="364">
        <f t="shared" si="22"/>
        <v>0.28109982225538171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490">
        <f>'[4]Sch C'!D92</f>
        <v>287404</v>
      </c>
      <c r="D99" s="490">
        <f>'[4]Sch C'!F92</f>
        <v>-3898</v>
      </c>
      <c r="E99" s="171">
        <f t="shared" si="19"/>
        <v>283506</v>
      </c>
      <c r="F99" s="171"/>
      <c r="G99" s="171">
        <f t="shared" si="20"/>
        <v>283506</v>
      </c>
      <c r="H99" s="172">
        <f t="shared" si="21"/>
        <v>2.7848302944618215E-2</v>
      </c>
      <c r="I99" s="337"/>
      <c r="J99" s="168"/>
      <c r="K99" s="168"/>
      <c r="M99" s="364">
        <f t="shared" si="22"/>
        <v>6.2211933027583335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490">
        <f>'[4]Sch C'!D93</f>
        <v>39219</v>
      </c>
      <c r="D100" s="490">
        <f>'[4]Sch C'!F93</f>
        <v>0</v>
      </c>
      <c r="E100" s="171">
        <f t="shared" si="19"/>
        <v>39219</v>
      </c>
      <c r="F100" s="171"/>
      <c r="G100" s="171">
        <f t="shared" si="20"/>
        <v>39219</v>
      </c>
      <c r="H100" s="172">
        <f t="shared" si="21"/>
        <v>3.8524143869441275E-3</v>
      </c>
      <c r="I100" s="337"/>
      <c r="J100" s="168"/>
      <c r="K100" s="168"/>
      <c r="M100" s="364">
        <f t="shared" si="22"/>
        <v>0.86061310921419321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490">
        <f>'[4]Sch C'!D94</f>
        <v>0</v>
      </c>
      <c r="D101" s="490">
        <f>'[4]Sch C'!F94</f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I101" s="337"/>
      <c r="J101" s="168"/>
      <c r="K101" s="168"/>
      <c r="M101" s="364">
        <f t="shared" si="22"/>
        <v>0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490">
        <f>SUM(C96:C101)</f>
        <v>793276</v>
      </c>
      <c r="D102" s="490">
        <f>SUM(D96:D101)</f>
        <v>-3898</v>
      </c>
      <c r="E102" s="171">
        <f t="shared" ref="E102:F102" si="23">SUM(E96:E101)</f>
        <v>789378</v>
      </c>
      <c r="F102" s="171">
        <f t="shared" si="23"/>
        <v>0</v>
      </c>
      <c r="G102" s="171">
        <f>SUM(G96:G101)</f>
        <v>789378</v>
      </c>
      <c r="H102" s="172">
        <f t="shared" si="21"/>
        <v>7.7539232615242135E-2</v>
      </c>
      <c r="I102" s="337"/>
      <c r="J102" s="168"/>
      <c r="K102" s="168"/>
      <c r="M102" s="364">
        <f>G102/G$228</f>
        <v>17.321937196901537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490">
        <f>'[4]Sch C'!D98</f>
        <v>0</v>
      </c>
      <c r="D105" s="490">
        <f>'[4]Sch C'!F98</f>
        <v>0</v>
      </c>
      <c r="E105" s="171">
        <f t="shared" ref="E105:E110" si="24">C105+D105</f>
        <v>0</v>
      </c>
      <c r="F105" s="171"/>
      <c r="G105" s="171">
        <f t="shared" ref="G105:G110" si="25">E105+F105</f>
        <v>0</v>
      </c>
      <c r="H105" s="172">
        <f t="shared" ref="H105:H111" si="26">IF($G$208=0,0,G105/$G$208)</f>
        <v>0</v>
      </c>
      <c r="I105" s="337"/>
      <c r="J105" s="183">
        <v>0</v>
      </c>
      <c r="K105" s="183">
        <v>0</v>
      </c>
      <c r="M105" s="364">
        <f t="shared" ref="M105:M110" si="27">G105/G$228</f>
        <v>0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490">
        <f>'[4]Sch C'!D99</f>
        <v>0</v>
      </c>
      <c r="D106" s="490">
        <f>'[4]Sch C'!F99</f>
        <v>0</v>
      </c>
      <c r="E106" s="171">
        <f t="shared" si="24"/>
        <v>0</v>
      </c>
      <c r="F106" s="171"/>
      <c r="G106" s="171">
        <f t="shared" si="25"/>
        <v>0</v>
      </c>
      <c r="H106" s="172">
        <f t="shared" si="26"/>
        <v>0</v>
      </c>
      <c r="I106" s="337"/>
      <c r="J106" s="168"/>
      <c r="K106" s="168"/>
      <c r="M106" s="364">
        <f t="shared" si="27"/>
        <v>0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490">
        <f>'[4]Sch C'!D100</f>
        <v>5409</v>
      </c>
      <c r="D107" s="490">
        <f>'[4]Sch C'!F100</f>
        <v>0</v>
      </c>
      <c r="E107" s="171">
        <f t="shared" si="24"/>
        <v>5409</v>
      </c>
      <c r="F107" s="171"/>
      <c r="G107" s="171">
        <f t="shared" si="25"/>
        <v>5409</v>
      </c>
      <c r="H107" s="172">
        <f t="shared" si="26"/>
        <v>5.3131669392337351E-4</v>
      </c>
      <c r="I107" s="337"/>
      <c r="J107" s="168"/>
      <c r="K107" s="168"/>
      <c r="M107" s="364">
        <f t="shared" si="27"/>
        <v>0.11869390621228412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490">
        <f>'[4]Sch C'!D101</f>
        <v>95420</v>
      </c>
      <c r="D108" s="490">
        <f>'[4]Sch C'!F101</f>
        <v>0</v>
      </c>
      <c r="E108" s="171">
        <f t="shared" si="24"/>
        <v>95420</v>
      </c>
      <c r="F108" s="171"/>
      <c r="G108" s="171">
        <f t="shared" si="25"/>
        <v>95420</v>
      </c>
      <c r="H108" s="172">
        <f t="shared" si="26"/>
        <v>9.3729411969251802E-3</v>
      </c>
      <c r="I108" s="337"/>
      <c r="J108" s="168"/>
      <c r="K108" s="168"/>
      <c r="M108" s="364">
        <f t="shared" si="27"/>
        <v>2.0938754909920783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490">
        <f>'[4]Sch C'!D102</f>
        <v>11566</v>
      </c>
      <c r="D109" s="490">
        <f>'[4]Sch C'!F102</f>
        <v>0</v>
      </c>
      <c r="E109" s="171">
        <f t="shared" si="24"/>
        <v>11566</v>
      </c>
      <c r="F109" s="171"/>
      <c r="G109" s="171">
        <f t="shared" si="25"/>
        <v>11566</v>
      </c>
      <c r="H109" s="172">
        <f t="shared" si="26"/>
        <v>1.1361081312475018E-3</v>
      </c>
      <c r="I109" s="337"/>
      <c r="J109" s="168"/>
      <c r="K109" s="168"/>
      <c r="M109" s="364">
        <f t="shared" si="27"/>
        <v>0.25380175989115883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490">
        <f>'[4]Sch C'!D103</f>
        <v>0</v>
      </c>
      <c r="D110" s="490">
        <f>'[4]Sch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7"/>
      <c r="J110" s="168"/>
      <c r="K110" s="168"/>
      <c r="M110" s="364">
        <f t="shared" si="27"/>
        <v>0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490">
        <f>SUM(C105:C110)</f>
        <v>112395</v>
      </c>
      <c r="D111" s="490">
        <f>SUM(D105:D110)</f>
        <v>0</v>
      </c>
      <c r="E111" s="171">
        <f t="shared" ref="E111:F111" si="28">SUM(E105:E110)</f>
        <v>112395</v>
      </c>
      <c r="F111" s="171">
        <f t="shared" si="28"/>
        <v>0</v>
      </c>
      <c r="G111" s="171">
        <f>SUM(G105:G110)</f>
        <v>112395</v>
      </c>
      <c r="H111" s="172">
        <f t="shared" si="26"/>
        <v>1.1040366022096055E-2</v>
      </c>
      <c r="I111" s="337"/>
      <c r="J111" s="168"/>
      <c r="K111" s="168"/>
      <c r="M111" s="364">
        <f>G111/G$228</f>
        <v>2.4663711570955211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490">
        <f>'[4]Sch C'!D115</f>
        <v>0</v>
      </c>
      <c r="D114" s="490">
        <f>'[4]Sch C'!F115</f>
        <v>0</v>
      </c>
      <c r="E114" s="171">
        <f t="shared" ref="E114:E118" si="29">C114+D114</f>
        <v>0</v>
      </c>
      <c r="F114" s="171"/>
      <c r="G114" s="171">
        <f>E114+F114</f>
        <v>0</v>
      </c>
      <c r="H114" s="172">
        <f t="shared" ref="H114:H119" si="30">IF($G$208=0,0,G114/$G$208)</f>
        <v>0</v>
      </c>
      <c r="I114" s="337"/>
      <c r="J114" s="183">
        <v>0</v>
      </c>
      <c r="K114" s="183">
        <v>0</v>
      </c>
      <c r="M114" s="364">
        <f t="shared" ref="M114:M119" si="31">G114/G$228</f>
        <v>0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490">
        <f>'[4]Sch C'!D116</f>
        <v>0</v>
      </c>
      <c r="D115" s="490">
        <f>'[4]Sch C'!F116</f>
        <v>0</v>
      </c>
      <c r="E115" s="171">
        <f t="shared" si="29"/>
        <v>0</v>
      </c>
      <c r="F115" s="171"/>
      <c r="G115" s="171">
        <f>E115+F115</f>
        <v>0</v>
      </c>
      <c r="H115" s="172">
        <f t="shared" si="30"/>
        <v>0</v>
      </c>
      <c r="I115" s="337"/>
      <c r="J115" s="168"/>
      <c r="K115" s="168"/>
      <c r="M115" s="364">
        <f t="shared" si="31"/>
        <v>0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490">
        <f>'[4]Sch C'!D117</f>
        <v>32565</v>
      </c>
      <c r="D116" s="490">
        <f>'[4]Sch C'!F117</f>
        <v>0</v>
      </c>
      <c r="E116" s="171">
        <f t="shared" si="29"/>
        <v>32565</v>
      </c>
      <c r="F116" s="171"/>
      <c r="G116" s="171">
        <f>E116+F116</f>
        <v>32565</v>
      </c>
      <c r="H116" s="172">
        <f t="shared" si="30"/>
        <v>3.1988035011304601E-3</v>
      </c>
      <c r="I116" s="337"/>
      <c r="J116" s="168"/>
      <c r="K116" s="168"/>
      <c r="M116" s="364">
        <f t="shared" si="31"/>
        <v>0.71459919685765072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490">
        <f>'[4]Sch C'!D118</f>
        <v>179962</v>
      </c>
      <c r="D117" s="490">
        <f>'[4]Sch C'!F118</f>
        <v>0</v>
      </c>
      <c r="E117" s="171">
        <f t="shared" si="29"/>
        <v>179962</v>
      </c>
      <c r="F117" s="171"/>
      <c r="G117" s="171">
        <f>E117+F117</f>
        <v>179962</v>
      </c>
      <c r="H117" s="172">
        <f t="shared" si="30"/>
        <v>1.7677355310008899E-2</v>
      </c>
      <c r="I117" s="337"/>
      <c r="J117" s="168"/>
      <c r="K117" s="168"/>
      <c r="M117" s="364">
        <f t="shared" si="31"/>
        <v>3.9490465427574555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490">
        <f>'[4]Sch C'!D119</f>
        <v>0</v>
      </c>
      <c r="D118" s="490">
        <f>'[4]Sch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337"/>
      <c r="J118" s="168"/>
      <c r="K118" s="168"/>
      <c r="M118" s="364">
        <f t="shared" si="31"/>
        <v>0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490">
        <f>SUM(C114:C118)</f>
        <v>212527</v>
      </c>
      <c r="D119" s="490">
        <f>SUM(D114:D118)</f>
        <v>0</v>
      </c>
      <c r="E119" s="171">
        <f t="shared" ref="E119:F119" si="32">SUM(E114:E118)</f>
        <v>212527</v>
      </c>
      <c r="F119" s="171">
        <f t="shared" si="32"/>
        <v>0</v>
      </c>
      <c r="G119" s="171">
        <f>SUM(G114:G118)</f>
        <v>212527</v>
      </c>
      <c r="H119" s="172">
        <f t="shared" si="30"/>
        <v>2.0876158811139359E-2</v>
      </c>
      <c r="I119" s="337"/>
      <c r="J119" s="168"/>
      <c r="K119" s="168"/>
      <c r="M119" s="364">
        <f t="shared" si="31"/>
        <v>4.6636457396151059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1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490">
        <f>'[4]Sch C'!D124</f>
        <v>0</v>
      </c>
      <c r="D123" s="490">
        <f>'[4]Sch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7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0.77002560279620991</v>
      </c>
    </row>
    <row r="124" spans="1:14" s="167" customFormat="1">
      <c r="B124" s="163" t="s">
        <v>194</v>
      </c>
      <c r="C124" s="490">
        <f>'[4]Sch C'!D125</f>
        <v>370091</v>
      </c>
      <c r="D124" s="490">
        <f>'[4]Sch C'!F125</f>
        <v>0</v>
      </c>
      <c r="E124" s="171">
        <f t="shared" si="33"/>
        <v>370091</v>
      </c>
      <c r="F124" s="171"/>
      <c r="G124" s="171">
        <f>E124+F124</f>
        <v>370091</v>
      </c>
      <c r="H124" s="172">
        <f>IF($G$208=0,0,G124/$G$208)</f>
        <v>3.6353397406321909E-2</v>
      </c>
      <c r="I124" s="337"/>
      <c r="J124" s="183">
        <v>9734</v>
      </c>
      <c r="K124" s="183">
        <v>10744</v>
      </c>
      <c r="M124" s="364">
        <f t="shared" si="34"/>
        <v>8.1211954971363376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490">
        <f>'[4]Sch C'!D126</f>
        <v>0</v>
      </c>
      <c r="D125" s="490">
        <f>'[4]Sch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7"/>
      <c r="J125" s="183">
        <v>0</v>
      </c>
      <c r="K125" s="183">
        <v>0</v>
      </c>
      <c r="M125" s="364">
        <f t="shared" si="34"/>
        <v>0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490">
        <f>'[4]Sch C'!D127</f>
        <v>0</v>
      </c>
      <c r="D126" s="490">
        <f>'[4]Sch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7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490">
        <f>'[4]Sch C'!D128</f>
        <v>90660</v>
      </c>
      <c r="D127" s="490">
        <f>'[4]Sch C'!F128</f>
        <v>0</v>
      </c>
      <c r="E127" s="171">
        <f t="shared" si="33"/>
        <v>90660</v>
      </c>
      <c r="F127" s="171"/>
      <c r="G127" s="171">
        <f>E127+F127</f>
        <v>90660</v>
      </c>
      <c r="H127" s="172">
        <f>IF($G$208=0,0,G127/$G$208)</f>
        <v>8.9053746480112859E-3</v>
      </c>
      <c r="I127" s="337"/>
      <c r="J127" s="183">
        <v>5798</v>
      </c>
      <c r="K127" s="183">
        <v>6469</v>
      </c>
      <c r="M127" s="364">
        <f t="shared" si="34"/>
        <v>1.9894230980228653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205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490">
        <f>'[4]Sch C'!D130</f>
        <v>0</v>
      </c>
      <c r="D129" s="490">
        <f>'[4]Sch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7"/>
      <c r="J129" s="204"/>
      <c r="K129" s="204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490">
        <f>'[4]Sch C'!D131</f>
        <v>32712</v>
      </c>
      <c r="D130" s="490">
        <f>'[4]Sch C'!F131</f>
        <v>0</v>
      </c>
      <c r="E130" s="171">
        <f t="shared" si="35"/>
        <v>32712</v>
      </c>
      <c r="F130" s="171"/>
      <c r="G130" s="171">
        <f>E130+F130</f>
        <v>32712</v>
      </c>
      <c r="H130" s="172">
        <f>IF($G$208=0,0,G130/$G$208)</f>
        <v>3.2132430563175068E-3</v>
      </c>
      <c r="I130" s="337"/>
      <c r="J130" s="204"/>
      <c r="K130" s="204"/>
      <c r="M130" s="364">
        <f t="shared" si="34"/>
        <v>0.71782493252287638</v>
      </c>
      <c r="N130" s="359">
        <f>SUMMARY!J133</f>
        <v>1.0792348507966931</v>
      </c>
    </row>
    <row r="131" spans="1:14" s="167" customFormat="1">
      <c r="B131" s="163" t="s">
        <v>195</v>
      </c>
      <c r="C131" s="490">
        <f>'[4]Sch C'!D132</f>
        <v>0</v>
      </c>
      <c r="D131" s="490">
        <f>'[4]Sch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7"/>
      <c r="J131" s="168"/>
      <c r="K131" s="168"/>
      <c r="M131" s="364">
        <f t="shared" si="34"/>
        <v>0</v>
      </c>
      <c r="N131" s="359">
        <f>SUMMARY!J134</f>
        <v>8.2765628075518377E-2</v>
      </c>
    </row>
    <row r="132" spans="1:14" s="167" customFormat="1">
      <c r="B132" s="163" t="s">
        <v>196</v>
      </c>
      <c r="C132" s="490">
        <f>'[4]Sch C'!D133</f>
        <v>0</v>
      </c>
      <c r="D132" s="490">
        <f>'[4]Sch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490">
        <f>'[4]Sch C'!D134</f>
        <v>7232</v>
      </c>
      <c r="D133" s="490">
        <f>'[4]Sch C'!F134</f>
        <v>0</v>
      </c>
      <c r="E133" s="171">
        <f t="shared" si="35"/>
        <v>7232</v>
      </c>
      <c r="F133" s="171"/>
      <c r="G133" s="171">
        <f>E133+F133</f>
        <v>7232</v>
      </c>
      <c r="H133" s="172">
        <f>IF($G$208=0,0,G133/$G$208)</f>
        <v>7.1038682389606902E-4</v>
      </c>
      <c r="I133" s="337"/>
      <c r="J133" s="168"/>
      <c r="K133" s="168"/>
      <c r="M133" s="364">
        <f t="shared" si="34"/>
        <v>0.15869741721708983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490">
        <f>'[4]Sch C'!D136</f>
        <v>1249036</v>
      </c>
      <c r="D135" s="490">
        <f>'[4]Sch C'!F136</f>
        <v>0</v>
      </c>
      <c r="E135" s="171">
        <f t="shared" ref="E135:E138" si="36">C135+D135</f>
        <v>1249036</v>
      </c>
      <c r="F135" s="171"/>
      <c r="G135" s="171">
        <f>E135+F135</f>
        <v>1249036</v>
      </c>
      <c r="H135" s="172">
        <f>IF($G$208=0,0,G135/$G$208)</f>
        <v>0.12269064117420499</v>
      </c>
      <c r="I135" s="337"/>
      <c r="J135" s="183">
        <v>38719</v>
      </c>
      <c r="K135" s="183">
        <v>43103</v>
      </c>
      <c r="M135" s="364">
        <f t="shared" si="34"/>
        <v>27.408571240481887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490">
        <f>'[4]Sch C'!D137</f>
        <v>409457</v>
      </c>
      <c r="D136" s="490">
        <f>'[4]Sch C'!F137</f>
        <v>0</v>
      </c>
      <c r="E136" s="171">
        <f t="shared" si="36"/>
        <v>409457</v>
      </c>
      <c r="F136" s="171"/>
      <c r="G136" s="171">
        <f>E136+F136</f>
        <v>409457</v>
      </c>
      <c r="H136" s="172">
        <f>IF($G$208=0,0,G136/$G$208)</f>
        <v>4.0220251348453084E-2</v>
      </c>
      <c r="I136" s="337"/>
      <c r="J136" s="183">
        <v>15328</v>
      </c>
      <c r="K136" s="183">
        <v>17722</v>
      </c>
      <c r="M136" s="364">
        <f t="shared" si="34"/>
        <v>8.985034342015755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490">
        <f>'[4]Sch C'!D138</f>
        <v>1135071</v>
      </c>
      <c r="D137" s="490">
        <f>'[4]Sch C'!F138</f>
        <v>35740</v>
      </c>
      <c r="E137" s="171">
        <f t="shared" si="36"/>
        <v>1170811</v>
      </c>
      <c r="F137" s="171"/>
      <c r="G137" s="171">
        <f>E137+F137</f>
        <v>1170811</v>
      </c>
      <c r="H137" s="172">
        <f>IF($G$208=0,0,G137/$G$208)</f>
        <v>0.11500673502109796</v>
      </c>
      <c r="I137" s="337"/>
      <c r="J137" s="183">
        <v>94247</v>
      </c>
      <c r="K137" s="183">
        <v>131094</v>
      </c>
      <c r="M137" s="364">
        <f t="shared" si="34"/>
        <v>25.692019047201072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490">
        <f>'[4]Sch C'!D139</f>
        <v>35740</v>
      </c>
      <c r="D138" s="490">
        <f>'[4]Sch C'!F139</f>
        <v>-35740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7"/>
      <c r="J138" s="183">
        <v>0</v>
      </c>
      <c r="K138" s="183">
        <v>0</v>
      </c>
      <c r="M138" s="364">
        <f t="shared" si="34"/>
        <v>0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7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490">
        <f>'[4]Sch C'!D141</f>
        <v>507854</v>
      </c>
      <c r="D140" s="490">
        <f>'[4]Sch C'!F141</f>
        <v>-283655</v>
      </c>
      <c r="E140" s="171">
        <f t="shared" ref="E140:E143" si="37">C140+D140</f>
        <v>224199</v>
      </c>
      <c r="F140" s="171"/>
      <c r="G140" s="171">
        <f>E140+F140</f>
        <v>224199</v>
      </c>
      <c r="H140" s="172">
        <f>IF($G$208=0,0,G140/$G$208)</f>
        <v>2.202267913864419E-2</v>
      </c>
      <c r="I140" s="337"/>
      <c r="J140" s="168"/>
      <c r="K140" s="168"/>
      <c r="M140" s="364">
        <f t="shared" si="34"/>
        <v>4.9197735401900333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490">
        <f>'[4]Sch C'!D142</f>
        <v>0</v>
      </c>
      <c r="D141" s="490">
        <f>'[4]Sch C'!F142</f>
        <v>73497</v>
      </c>
      <c r="E141" s="171">
        <f t="shared" si="37"/>
        <v>73497</v>
      </c>
      <c r="F141" s="171"/>
      <c r="G141" s="171">
        <f>E141+F141</f>
        <v>73497</v>
      </c>
      <c r="H141" s="172">
        <f>IF($G$208=0,0,G141/$G$208)</f>
        <v>7.2194829087236425E-3</v>
      </c>
      <c r="I141" s="337"/>
      <c r="J141" s="168"/>
      <c r="K141" s="168"/>
      <c r="M141" s="364">
        <f t="shared" si="34"/>
        <v>1.6128020012727393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490">
        <f>'[4]Sch C'!D143</f>
        <v>0</v>
      </c>
      <c r="D142" s="490">
        <f>'[4]Sch C'!F143</f>
        <v>210158</v>
      </c>
      <c r="E142" s="171">
        <f t="shared" si="37"/>
        <v>210158</v>
      </c>
      <c r="F142" s="171"/>
      <c r="G142" s="171">
        <f>E142+F142</f>
        <v>210158</v>
      </c>
      <c r="H142" s="172">
        <f>IF($G$208=0,0,G142/$G$208)</f>
        <v>2.0643456047614778E-2</v>
      </c>
      <c r="I142" s="337"/>
      <c r="J142" s="168"/>
      <c r="K142" s="168"/>
      <c r="M142" s="364">
        <f t="shared" si="34"/>
        <v>4.6116609247108906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490">
        <f>'[4]Sch C'!D144</f>
        <v>0</v>
      </c>
      <c r="D143" s="490">
        <f>'[4]Sch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7"/>
      <c r="J143" s="168"/>
      <c r="K143" s="168"/>
      <c r="M143" s="364">
        <f t="shared" si="34"/>
        <v>0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7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490">
        <f>'[4]Sch C'!D146</f>
        <v>45600</v>
      </c>
      <c r="D145" s="490">
        <f>'[4]Sch C'!F146</f>
        <v>0</v>
      </c>
      <c r="E145" s="171">
        <f t="shared" ref="E145:E153" si="38">C145+D145</f>
        <v>45600</v>
      </c>
      <c r="F145" s="171"/>
      <c r="G145" s="171">
        <f t="shared" ref="G145:G153" si="39">E145+F145</f>
        <v>45600</v>
      </c>
      <c r="H145" s="172">
        <f t="shared" ref="H145:H153" si="40">IF($G$208=0,0,G145/$G$208)</f>
        <v>4.4792089559818511E-3</v>
      </c>
      <c r="I145" s="337"/>
      <c r="J145" s="183">
        <v>175</v>
      </c>
      <c r="K145" s="183">
        <v>175</v>
      </c>
      <c r="M145" s="364">
        <f t="shared" si="34"/>
        <v>1.000636369621031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490">
        <f>'[4]Sch C'!D147</f>
        <v>0</v>
      </c>
      <c r="D146" s="490">
        <f>'[4]Sch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337"/>
      <c r="J146" s="183">
        <v>0</v>
      </c>
      <c r="K146" s="183">
        <v>0</v>
      </c>
      <c r="M146" s="364">
        <f t="shared" si="34"/>
        <v>0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490">
        <f>'[4]Sch C'!D148</f>
        <v>0</v>
      </c>
      <c r="D147" s="490">
        <f>'[4]Sch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7"/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490">
        <f>'[4]Sch C'!D149</f>
        <v>0</v>
      </c>
      <c r="D148" s="490">
        <f>'[4]Sch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7"/>
      <c r="J148" s="183">
        <v>0</v>
      </c>
      <c r="K148" s="183">
        <v>0</v>
      </c>
      <c r="M148" s="364">
        <f t="shared" si="34"/>
        <v>0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490">
        <f>'[4]Sch C'!D150</f>
        <v>65</v>
      </c>
      <c r="D149" s="490">
        <f>'[4]Sch C'!F150</f>
        <v>0</v>
      </c>
      <c r="E149" s="171">
        <f t="shared" si="38"/>
        <v>65</v>
      </c>
      <c r="F149" s="171"/>
      <c r="G149" s="171">
        <f t="shared" si="39"/>
        <v>65</v>
      </c>
      <c r="H149" s="172">
        <f t="shared" si="40"/>
        <v>6.3848373276057088E-6</v>
      </c>
      <c r="I149" s="337"/>
      <c r="J149" s="183">
        <v>0</v>
      </c>
      <c r="K149" s="183">
        <v>0</v>
      </c>
      <c r="M149" s="364">
        <f t="shared" si="34"/>
        <v>1.42634570231068E-3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490">
        <f>'[4]Sch C'!D151</f>
        <v>271889</v>
      </c>
      <c r="D150" s="490">
        <f>'[4]Sch C'!F151</f>
        <v>0</v>
      </c>
      <c r="E150" s="171">
        <f t="shared" si="38"/>
        <v>271889</v>
      </c>
      <c r="F150" s="171"/>
      <c r="G150" s="171">
        <f t="shared" si="39"/>
        <v>271889</v>
      </c>
      <c r="H150" s="172">
        <f t="shared" si="40"/>
        <v>2.6707185171775207E-2</v>
      </c>
      <c r="I150" s="337"/>
      <c r="J150" s="168"/>
      <c r="K150" s="168"/>
      <c r="M150" s="364">
        <f t="shared" si="34"/>
        <v>5.9662724100853612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490">
        <f>'[4]Sch C'!D152</f>
        <v>7849</v>
      </c>
      <c r="D151" s="490">
        <f>'[4]Sch C'!F152</f>
        <v>0</v>
      </c>
      <c r="E151" s="171">
        <f t="shared" si="38"/>
        <v>7849</v>
      </c>
      <c r="F151" s="171"/>
      <c r="G151" s="171">
        <f t="shared" si="39"/>
        <v>7849</v>
      </c>
      <c r="H151" s="172">
        <f t="shared" si="40"/>
        <v>7.7099366437503392E-4</v>
      </c>
      <c r="I151" s="337"/>
      <c r="J151" s="168"/>
      <c r="K151" s="168"/>
      <c r="M151" s="364">
        <f t="shared" si="34"/>
        <v>0.17223672949902349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490">
        <f>'[4]Sch C'!D153</f>
        <v>0</v>
      </c>
      <c r="D152" s="490">
        <f>'[4]Sch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7"/>
      <c r="J152" s="168"/>
      <c r="K152" s="168"/>
      <c r="M152" s="364">
        <f t="shared" si="34"/>
        <v>0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490">
        <f>'[4]Sch C'!D154</f>
        <v>0</v>
      </c>
      <c r="D153" s="490">
        <f>'[4]Sch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210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490">
        <f>'[4]Sch C'!D156</f>
        <v>0</v>
      </c>
      <c r="D155" s="490">
        <f>'[4]Sch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490">
        <f>'[4]Sch C'!D157</f>
        <v>0</v>
      </c>
      <c r="D156" s="490">
        <f>'[4]Sch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490">
        <f>'[4]Sch C'!D158</f>
        <v>84</v>
      </c>
      <c r="D157" s="490">
        <f>'[4]Sch C'!F158</f>
        <v>0</v>
      </c>
      <c r="E157" s="171">
        <f t="shared" si="41"/>
        <v>84</v>
      </c>
      <c r="F157" s="171"/>
      <c r="G157" s="171">
        <f t="shared" si="42"/>
        <v>84</v>
      </c>
      <c r="H157" s="172">
        <f t="shared" si="43"/>
        <v>8.2511743925981469E-6</v>
      </c>
      <c r="I157" s="337"/>
      <c r="J157" s="168"/>
      <c r="K157" s="168"/>
      <c r="M157" s="364">
        <f t="shared" si="34"/>
        <v>1.8432775229861097E-3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490">
        <f>'[4]Sch C'!D159</f>
        <v>0</v>
      </c>
      <c r="D158" s="490">
        <f>'[4]Sch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490">
        <f>'[4]Sch C'!D160</f>
        <v>0</v>
      </c>
      <c r="D159" s="490">
        <f>'[4]Sch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7"/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490">
        <f>'[4]Sch C'!D161</f>
        <v>26727</v>
      </c>
      <c r="D160" s="490">
        <f>'[4]Sch C'!F161</f>
        <v>0</v>
      </c>
      <c r="E160" s="171">
        <f t="shared" si="41"/>
        <v>26727</v>
      </c>
      <c r="F160" s="171"/>
      <c r="G160" s="171">
        <f t="shared" si="42"/>
        <v>26727</v>
      </c>
      <c r="H160" s="172">
        <f t="shared" si="43"/>
        <v>2.625346880844889E-3</v>
      </c>
      <c r="I160" s="337"/>
      <c r="J160" s="168"/>
      <c r="K160" s="168"/>
      <c r="M160" s="364">
        <f t="shared" si="34"/>
        <v>0.58649140901011609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490">
        <f>SUM(C123:C160)</f>
        <v>4190067</v>
      </c>
      <c r="D161" s="490">
        <f>SUM(D123:D160)</f>
        <v>0</v>
      </c>
      <c r="E161" s="171">
        <f t="shared" ref="E161:F161" si="44">SUM(E123:E160)</f>
        <v>4190067</v>
      </c>
      <c r="F161" s="171">
        <f t="shared" si="44"/>
        <v>0</v>
      </c>
      <c r="G161" s="171">
        <f>SUM(G123:G160)</f>
        <v>4190067</v>
      </c>
      <c r="H161" s="172">
        <f t="shared" si="43"/>
        <v>0.4115830182579826</v>
      </c>
      <c r="I161" s="337"/>
      <c r="J161" s="168"/>
      <c r="K161" s="168"/>
      <c r="M161" s="364">
        <f>G161/G$228</f>
        <v>91.945908582212368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337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7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490">
        <f>'[4]Sch C'!D175</f>
        <v>0</v>
      </c>
      <c r="D164" s="490">
        <f>'[4]Sch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490">
        <f>'[4]Sch C'!D176</f>
        <v>0</v>
      </c>
      <c r="D165" s="490">
        <f>'[4]Sch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490">
        <f>'[4]Sch C'!D177</f>
        <v>0</v>
      </c>
      <c r="D166" s="490">
        <f>'[4]Sch C'!F177</f>
        <v>0</v>
      </c>
      <c r="E166" s="171">
        <f t="shared" si="45"/>
        <v>0</v>
      </c>
      <c r="F166" s="216"/>
      <c r="G166" s="171">
        <f t="shared" si="46"/>
        <v>0</v>
      </c>
      <c r="H166" s="172">
        <f t="shared" si="47"/>
        <v>0</v>
      </c>
      <c r="I166" s="343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490">
        <f>'[4]Sch C'!D178</f>
        <v>0</v>
      </c>
      <c r="D167" s="490">
        <f>'[4]Sch C'!F178</f>
        <v>0</v>
      </c>
      <c r="E167" s="171">
        <f t="shared" si="45"/>
        <v>0</v>
      </c>
      <c r="F167" s="216"/>
      <c r="G167" s="171">
        <f t="shared" si="46"/>
        <v>0</v>
      </c>
      <c r="H167" s="172">
        <f t="shared" si="47"/>
        <v>0</v>
      </c>
      <c r="I167" s="344"/>
      <c r="J167" s="222"/>
      <c r="K167" s="222"/>
      <c r="L167" s="218"/>
      <c r="M167" s="364">
        <f t="shared" si="48"/>
        <v>0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490">
        <f>'[4]Sch C'!D179</f>
        <v>0</v>
      </c>
      <c r="D168" s="490">
        <f>'[4]Sch C'!F179</f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343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490">
        <f>'[4]Sch C'!D180</f>
        <v>0</v>
      </c>
      <c r="D169" s="490">
        <f>'[4]Sch C'!F180</f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344"/>
      <c r="J169" s="222"/>
      <c r="K169" s="222"/>
      <c r="L169" s="218"/>
      <c r="M169" s="364">
        <f t="shared" si="48"/>
        <v>0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490">
        <f>'[4]Sch C'!D181</f>
        <v>0</v>
      </c>
      <c r="D170" s="490">
        <f>'[4]Sch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3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490">
        <f>'[4]Sch C'!D182</f>
        <v>0</v>
      </c>
      <c r="D171" s="490">
        <f>'[4]Sch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490">
        <f>'[4]Sch C'!D183</f>
        <v>0</v>
      </c>
      <c r="D172" s="490">
        <f>'[4]Sch C'!F183</f>
        <v>0</v>
      </c>
      <c r="E172" s="171">
        <f t="shared" si="45"/>
        <v>0</v>
      </c>
      <c r="F172" s="216"/>
      <c r="G172" s="171">
        <f t="shared" si="46"/>
        <v>0</v>
      </c>
      <c r="H172" s="172">
        <f t="shared" si="47"/>
        <v>0</v>
      </c>
      <c r="I172" s="343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490">
        <f>'[4]Sch C'!D184</f>
        <v>0</v>
      </c>
      <c r="D173" s="490">
        <f>'[4]Sch C'!F184</f>
        <v>0</v>
      </c>
      <c r="E173" s="171">
        <f t="shared" si="45"/>
        <v>0</v>
      </c>
      <c r="F173" s="216"/>
      <c r="G173" s="171">
        <f t="shared" si="46"/>
        <v>0</v>
      </c>
      <c r="H173" s="172">
        <f t="shared" si="47"/>
        <v>0</v>
      </c>
      <c r="I173" s="344"/>
      <c r="J173" s="222"/>
      <c r="K173" s="222"/>
      <c r="L173" s="218"/>
      <c r="M173" s="364">
        <f t="shared" si="48"/>
        <v>0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490">
        <f>'[4]Sch C'!D185</f>
        <v>0</v>
      </c>
      <c r="D174" s="490">
        <f>'[4]Sch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3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490">
        <f>'[4]Sch C'!D186</f>
        <v>0</v>
      </c>
      <c r="D175" s="490">
        <f>'[4]Sch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490">
        <f>'[4]Sch C'!D187</f>
        <v>0</v>
      </c>
      <c r="D176" s="490">
        <f>'[4]Sch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490">
        <f>'[4]Sch C'!D188</f>
        <v>2177</v>
      </c>
      <c r="D177" s="490">
        <f>'[4]Sch C'!F188</f>
        <v>0</v>
      </c>
      <c r="E177" s="171">
        <f t="shared" si="45"/>
        <v>2177</v>
      </c>
      <c r="F177" s="216"/>
      <c r="G177" s="171">
        <f t="shared" si="46"/>
        <v>2177</v>
      </c>
      <c r="H177" s="172">
        <f t="shared" si="47"/>
        <v>2.1384293634150195E-4</v>
      </c>
      <c r="I177" s="337"/>
      <c r="J177" s="223"/>
      <c r="K177" s="218"/>
      <c r="L177" s="220"/>
      <c r="M177" s="364">
        <f t="shared" si="48"/>
        <v>4.7771609137390009E-2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490">
        <f>'[4]Sch C'!D189</f>
        <v>0</v>
      </c>
      <c r="D178" s="490">
        <f>'[4]Sch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337"/>
      <c r="J178" s="223"/>
      <c r="K178" s="218"/>
      <c r="L178" s="220"/>
      <c r="M178" s="364">
        <f t="shared" si="48"/>
        <v>0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490">
        <f>'[4]Sch C'!D190</f>
        <v>0</v>
      </c>
      <c r="D179" s="490">
        <f>'[4]Sch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490">
        <f>'[4]Sch C'!D191</f>
        <v>0</v>
      </c>
      <c r="D180" s="490">
        <f>'[4]Sch C'!F191</f>
        <v>0</v>
      </c>
      <c r="E180" s="171">
        <f t="shared" si="45"/>
        <v>0</v>
      </c>
      <c r="F180" s="216"/>
      <c r="G180" s="171">
        <f t="shared" si="46"/>
        <v>0</v>
      </c>
      <c r="H180" s="172">
        <f t="shared" si="47"/>
        <v>0</v>
      </c>
      <c r="I180" s="337"/>
      <c r="J180" s="223"/>
      <c r="K180" s="218"/>
      <c r="L180" s="220"/>
      <c r="M180" s="364">
        <f t="shared" si="48"/>
        <v>0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490">
        <f>'[4]Sch C'!D192</f>
        <v>0</v>
      </c>
      <c r="D181" s="490">
        <f>'[4]Sch C'!F192</f>
        <v>0</v>
      </c>
      <c r="E181" s="171">
        <f t="shared" si="45"/>
        <v>0</v>
      </c>
      <c r="F181" s="216"/>
      <c r="G181" s="171">
        <f t="shared" si="46"/>
        <v>0</v>
      </c>
      <c r="H181" s="172">
        <f t="shared" si="47"/>
        <v>0</v>
      </c>
      <c r="I181" s="337"/>
      <c r="J181" s="223"/>
      <c r="K181" s="218"/>
      <c r="L181" s="220"/>
      <c r="M181" s="364">
        <f t="shared" si="48"/>
        <v>0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490">
        <f>'[4]Sch C'!D193</f>
        <v>440</v>
      </c>
      <c r="D182" s="490">
        <f>'[4]Sch C'!F193</f>
        <v>0</v>
      </c>
      <c r="E182" s="171">
        <f t="shared" si="45"/>
        <v>440</v>
      </c>
      <c r="F182" s="216"/>
      <c r="G182" s="171">
        <f t="shared" si="46"/>
        <v>440</v>
      </c>
      <c r="H182" s="172">
        <f t="shared" si="47"/>
        <v>4.3220437294561723E-5</v>
      </c>
      <c r="I182" s="337"/>
      <c r="J182" s="223"/>
      <c r="K182" s="218"/>
      <c r="L182" s="220"/>
      <c r="M182" s="364">
        <f t="shared" si="48"/>
        <v>9.6552632156415262E-3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490">
        <f>'[4]Sch C'!D194</f>
        <v>484890</v>
      </c>
      <c r="D183" s="490">
        <f>'[4]Sch C'!F194</f>
        <v>0</v>
      </c>
      <c r="E183" s="171">
        <f t="shared" si="45"/>
        <v>484890</v>
      </c>
      <c r="F183" s="216"/>
      <c r="G183" s="171">
        <f t="shared" si="46"/>
        <v>484890</v>
      </c>
      <c r="H183" s="172">
        <f t="shared" si="47"/>
        <v>4.7629904181272803E-2</v>
      </c>
      <c r="I183" s="337"/>
      <c r="J183" s="223"/>
      <c r="K183" s="218"/>
      <c r="M183" s="364">
        <f t="shared" si="48"/>
        <v>10.640319501437318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490">
        <f>'[4]Sch C'!D195</f>
        <v>150550</v>
      </c>
      <c r="D184" s="490">
        <f>'[4]Sch C'!F195</f>
        <v>0</v>
      </c>
      <c r="E184" s="171">
        <f t="shared" si="45"/>
        <v>150550</v>
      </c>
      <c r="F184" s="216"/>
      <c r="G184" s="171">
        <f t="shared" si="46"/>
        <v>150550</v>
      </c>
      <c r="H184" s="172">
        <f t="shared" si="47"/>
        <v>1.4788265533400607E-2</v>
      </c>
      <c r="I184" s="337"/>
      <c r="J184" s="223"/>
      <c r="K184" s="218"/>
      <c r="M184" s="364">
        <f t="shared" si="48"/>
        <v>3.3036360843518904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490">
        <f>'[4]Sch C'!D196</f>
        <v>0</v>
      </c>
      <c r="D185" s="490">
        <f>'[4]Sch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490">
        <f>'[4]Sch C'!D197</f>
        <v>335952</v>
      </c>
      <c r="D186" s="490">
        <f>'[4]Sch C'!F197</f>
        <v>0</v>
      </c>
      <c r="E186" s="171">
        <f t="shared" si="45"/>
        <v>335952</v>
      </c>
      <c r="F186" s="216"/>
      <c r="G186" s="171">
        <f t="shared" si="46"/>
        <v>335952</v>
      </c>
      <c r="H186" s="172">
        <f t="shared" si="47"/>
        <v>3.2999982613596816E-2</v>
      </c>
      <c r="I186" s="337"/>
      <c r="J186" s="223"/>
      <c r="K186" s="218"/>
      <c r="M186" s="364">
        <f t="shared" si="48"/>
        <v>7.3720567905027323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490">
        <f>'[4]Sch C'!D198</f>
        <v>74895</v>
      </c>
      <c r="D187" s="490">
        <f>'[4]Sch C'!F198</f>
        <v>0</v>
      </c>
      <c r="E187" s="171">
        <f t="shared" si="45"/>
        <v>74895</v>
      </c>
      <c r="F187" s="216"/>
      <c r="G187" s="171">
        <f t="shared" si="46"/>
        <v>74895</v>
      </c>
      <c r="H187" s="172">
        <f t="shared" si="47"/>
        <v>7.3568060254004548E-3</v>
      </c>
      <c r="I187" s="337"/>
      <c r="J187" s="223"/>
      <c r="K187" s="218"/>
      <c r="M187" s="364">
        <f t="shared" si="48"/>
        <v>1.6434794057624367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490">
        <f>'[4]Sch C'!D199</f>
        <v>0</v>
      </c>
      <c r="D188" s="490">
        <f>'[4]Sch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7"/>
      <c r="J188" s="223"/>
      <c r="K188" s="218"/>
      <c r="M188" s="364">
        <f t="shared" si="48"/>
        <v>0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490">
        <f>'[4]Sch C'!D200</f>
        <v>0</v>
      </c>
      <c r="D189" s="490">
        <f>'[4]Sch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7"/>
      <c r="J189" s="223"/>
      <c r="K189" s="218"/>
      <c r="M189" s="364">
        <f t="shared" si="48"/>
        <v>0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490">
        <f>'[4]Sch C'!D201</f>
        <v>0</v>
      </c>
      <c r="D190" s="490">
        <f>'[4]Sch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7"/>
      <c r="J190" s="223"/>
      <c r="K190" s="218"/>
      <c r="M190" s="364">
        <f t="shared" si="48"/>
        <v>0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490">
        <f>'[4]Sch C'!D202</f>
        <v>0</v>
      </c>
      <c r="D191" s="490">
        <f>'[4]Sch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490">
        <f>'[4]Sch C'!D203</f>
        <v>0</v>
      </c>
      <c r="D192" s="490">
        <f>'[4]Sch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7"/>
      <c r="J192" s="223"/>
      <c r="K192" s="218"/>
      <c r="M192" s="364">
        <f t="shared" si="48"/>
        <v>0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490">
        <f>'[4]Sch C'!D204</f>
        <v>0</v>
      </c>
      <c r="D193" s="490">
        <f>'[4]Sch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490">
        <f>'[4]Sch C'!D205</f>
        <v>414322</v>
      </c>
      <c r="D194" s="490">
        <f>'[4]Sch C'!F205</f>
        <v>0</v>
      </c>
      <c r="E194" s="171">
        <f t="shared" si="45"/>
        <v>414322</v>
      </c>
      <c r="F194" s="216"/>
      <c r="G194" s="171">
        <f t="shared" si="46"/>
        <v>414322</v>
      </c>
      <c r="H194" s="172">
        <f t="shared" si="47"/>
        <v>4.0698131865357728E-2</v>
      </c>
      <c r="I194" s="337"/>
      <c r="J194" s="223"/>
      <c r="K194" s="218"/>
      <c r="M194" s="364">
        <f t="shared" si="48"/>
        <v>9.0917908318887015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490">
        <f>'[4]Sch C'!D206</f>
        <v>827</v>
      </c>
      <c r="D195" s="490">
        <f>'[4]Sch C'!F206</f>
        <v>0</v>
      </c>
      <c r="E195" s="171">
        <f t="shared" si="45"/>
        <v>827</v>
      </c>
      <c r="F195" s="216"/>
      <c r="G195" s="171">
        <f t="shared" si="46"/>
        <v>827</v>
      </c>
      <c r="H195" s="172">
        <f t="shared" si="47"/>
        <v>8.1234776460460328E-5</v>
      </c>
      <c r="I195" s="337"/>
      <c r="J195" s="223"/>
      <c r="K195" s="218"/>
      <c r="M195" s="364">
        <f t="shared" si="48"/>
        <v>1.8147506089398961E-2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490">
        <f>'[4]Sch C'!D207</f>
        <v>1064</v>
      </c>
      <c r="D196" s="490">
        <f>'[4]Sch C'!F207</f>
        <v>0</v>
      </c>
      <c r="E196" s="171">
        <f t="shared" si="45"/>
        <v>1064</v>
      </c>
      <c r="F196" s="216"/>
      <c r="G196" s="171">
        <f t="shared" si="46"/>
        <v>1064</v>
      </c>
      <c r="H196" s="172">
        <f t="shared" si="47"/>
        <v>1.0451487563957652E-4</v>
      </c>
      <c r="I196" s="337"/>
      <c r="J196" s="223"/>
      <c r="K196" s="218"/>
      <c r="M196" s="364">
        <f t="shared" si="48"/>
        <v>2.3348181957824055E-2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490">
        <f>SUM(C164:C196)</f>
        <v>1465117</v>
      </c>
      <c r="D197" s="490">
        <f>SUM(D164:D196)</f>
        <v>0</v>
      </c>
      <c r="E197" s="171">
        <f t="shared" ref="E197:F197" si="49">SUM(E164:E196)</f>
        <v>1465117</v>
      </c>
      <c r="F197" s="171">
        <f t="shared" si="49"/>
        <v>0</v>
      </c>
      <c r="G197" s="171">
        <f>SUM(G164:G196)</f>
        <v>1465117</v>
      </c>
      <c r="H197" s="172">
        <f>IF($G$208=0,0,G197/$G$208)</f>
        <v>0.1439159032447645</v>
      </c>
      <c r="I197" s="337"/>
      <c r="J197" s="168"/>
      <c r="K197" s="168"/>
      <c r="M197" s="364">
        <f>G197/G$228</f>
        <v>32.150205174343334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165"/>
      <c r="G198" s="165"/>
      <c r="H198" s="198"/>
      <c r="I198" s="341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1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490">
        <f>'[4]Sch C'!D211</f>
        <v>166200</v>
      </c>
      <c r="D200" s="490">
        <f>'[4]Sch C'!F211</f>
        <v>0</v>
      </c>
      <c r="E200" s="171">
        <f t="shared" ref="E200:E205" si="50">C200+D200</f>
        <v>166200</v>
      </c>
      <c r="F200" s="171"/>
      <c r="G200" s="171">
        <f t="shared" ref="G200:G205" si="51">E200+F200</f>
        <v>166200</v>
      </c>
      <c r="H200" s="172">
        <f t="shared" ref="H200:H206" si="52">IF($G$208=0,0,G200/$G$208)</f>
        <v>1.6325537905354903E-2</v>
      </c>
      <c r="I200" s="337"/>
      <c r="J200" s="183">
        <v>9977</v>
      </c>
      <c r="K200" s="183">
        <v>11134</v>
      </c>
      <c r="M200" s="364">
        <f t="shared" ref="M200:M205" si="53">G200/G$228</f>
        <v>3.6470562419082313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490">
        <f>'[4]Sch C'!D212</f>
        <v>34487</v>
      </c>
      <c r="D201" s="490">
        <f>'[4]Sch C'!F212</f>
        <v>0</v>
      </c>
      <c r="E201" s="171">
        <f t="shared" si="50"/>
        <v>34487</v>
      </c>
      <c r="F201" s="171"/>
      <c r="G201" s="171">
        <f t="shared" si="51"/>
        <v>34487</v>
      </c>
      <c r="H201" s="172">
        <f t="shared" si="52"/>
        <v>3.387598229494432E-3</v>
      </c>
      <c r="I201" s="337"/>
      <c r="J201" s="168"/>
      <c r="K201" s="168"/>
      <c r="M201" s="364">
        <f t="shared" si="53"/>
        <v>0.75677514208597574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490">
        <f>'[4]Sch C'!D213</f>
        <v>4684</v>
      </c>
      <c r="D202" s="490">
        <f>'[4]Sch C'!F213</f>
        <v>0</v>
      </c>
      <c r="E202" s="171">
        <f t="shared" si="50"/>
        <v>4684</v>
      </c>
      <c r="F202" s="171"/>
      <c r="G202" s="171">
        <f t="shared" si="51"/>
        <v>4684</v>
      </c>
      <c r="H202" s="172">
        <f t="shared" si="52"/>
        <v>4.601012006539252E-4</v>
      </c>
      <c r="I202" s="337"/>
      <c r="J202" s="168"/>
      <c r="K202" s="168"/>
      <c r="M202" s="364">
        <f t="shared" si="53"/>
        <v>0.10278466568651116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490">
        <f>'[4]Sch C'!D214</f>
        <v>0</v>
      </c>
      <c r="D203" s="490">
        <f>'[4]Sch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>
        <f t="shared" si="53"/>
        <v>0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490">
        <f>'[4]Sch C'!D215</f>
        <v>0</v>
      </c>
      <c r="D204" s="490">
        <f>'[4]Sch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490">
        <f>'[4]Sch C'!D216</f>
        <v>2968</v>
      </c>
      <c r="D205" s="490">
        <f>'[4]Sch C'!F216</f>
        <v>0</v>
      </c>
      <c r="E205" s="171">
        <f t="shared" si="50"/>
        <v>2968</v>
      </c>
      <c r="F205" s="171"/>
      <c r="G205" s="171">
        <f t="shared" si="51"/>
        <v>2968</v>
      </c>
      <c r="H205" s="172">
        <f t="shared" si="52"/>
        <v>2.9154149520513453E-4</v>
      </c>
      <c r="I205" s="337"/>
      <c r="J205" s="168"/>
      <c r="K205" s="168"/>
      <c r="M205" s="364">
        <f t="shared" si="53"/>
        <v>6.5129139145509204E-2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490">
        <f>SUM(C200:C205)</f>
        <v>208339</v>
      </c>
      <c r="D206" s="490">
        <f>SUM(D200:D205)</f>
        <v>0</v>
      </c>
      <c r="E206" s="171">
        <f t="shared" ref="E206:F206" si="54">SUM(E200:E205)</f>
        <v>208339</v>
      </c>
      <c r="F206" s="171">
        <f t="shared" si="54"/>
        <v>0</v>
      </c>
      <c r="G206" s="171">
        <f>SUM(G200:G205)</f>
        <v>208339</v>
      </c>
      <c r="H206" s="172">
        <f t="shared" si="52"/>
        <v>2.0464778830708397E-2</v>
      </c>
      <c r="I206" s="337"/>
      <c r="J206" s="168"/>
      <c r="K206" s="168"/>
      <c r="M206" s="364">
        <f>G206/G$228</f>
        <v>4.5717451888262275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490">
        <f>SUM(C25:C206)/2</f>
        <v>10462599</v>
      </c>
      <c r="D208" s="490">
        <f>SUM(D25:D206)/2</f>
        <v>-282230</v>
      </c>
      <c r="E208" s="171">
        <f t="shared" ref="E208:F208" si="55">SUM(E25:E206)/2</f>
        <v>10180369</v>
      </c>
      <c r="F208" s="171">
        <f t="shared" si="55"/>
        <v>0</v>
      </c>
      <c r="G208" s="171">
        <f>SUM(G25:G206)/2</f>
        <v>10180369</v>
      </c>
      <c r="H208" s="172">
        <f>IF($G$208=0,0,G208/$G$208)</f>
        <v>1</v>
      </c>
      <c r="I208" s="337"/>
      <c r="J208" s="183">
        <f>SUM(J25:J200)</f>
        <v>220425</v>
      </c>
      <c r="K208" s="183">
        <f>SUM(K25:K200)</f>
        <v>272562</v>
      </c>
      <c r="M208" s="364">
        <f>G208/G$228</f>
        <v>223.39577801672115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490">
        <f>'[4]Sch C'!D221</f>
        <v>10462599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490">
        <f>C208-C211</f>
        <v>0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585"/>
      <c r="D213" s="232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490">
        <f>C21-C208</f>
        <v>442105</v>
      </c>
      <c r="D215" s="490">
        <f>D21-D208</f>
        <v>273736</v>
      </c>
      <c r="E215" s="171">
        <f t="shared" ref="E215:F215" si="56">E21-E208</f>
        <v>715841</v>
      </c>
      <c r="F215" s="171">
        <f t="shared" si="56"/>
        <v>0</v>
      </c>
      <c r="G215" s="171">
        <f>G21-G208</f>
        <v>715841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491">
        <f>'[4]Sch D'!C9</f>
        <v>30441</v>
      </c>
      <c r="D219" s="491"/>
      <c r="E219" s="235">
        <f t="shared" ref="E219:G227" si="57">C219+D219</f>
        <v>30441</v>
      </c>
      <c r="F219" s="234"/>
      <c r="G219" s="235">
        <f t="shared" si="57"/>
        <v>30441</v>
      </c>
      <c r="H219" s="172">
        <f t="shared" ref="H219:H228" si="58">IF($G$228=0,0,G219/$G$228)</f>
        <v>0.66799060806214483</v>
      </c>
      <c r="I219" s="337"/>
      <c r="J219" s="168"/>
      <c r="K219" s="168"/>
    </row>
    <row r="220" spans="1:14">
      <c r="A220" s="163"/>
      <c r="B220" s="170" t="s">
        <v>217</v>
      </c>
      <c r="C220" s="491">
        <f>'[4]Sch D'!D9</f>
        <v>0</v>
      </c>
      <c r="D220" s="491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7"/>
      <c r="J220" s="168"/>
      <c r="K220" s="168"/>
    </row>
    <row r="221" spans="1:14">
      <c r="A221" s="163"/>
      <c r="B221" s="170" t="s">
        <v>72</v>
      </c>
      <c r="C221" s="491">
        <f>'[4]Sch D'!E9</f>
        <v>3958</v>
      </c>
      <c r="D221" s="491"/>
      <c r="E221" s="235">
        <f t="shared" si="59"/>
        <v>3958</v>
      </c>
      <c r="F221" s="234"/>
      <c r="G221" s="235">
        <f t="shared" si="57"/>
        <v>3958</v>
      </c>
      <c r="H221" s="172">
        <f t="shared" si="58"/>
        <v>8.6853481380702646E-2</v>
      </c>
      <c r="I221" s="337"/>
      <c r="J221" s="168"/>
      <c r="K221" s="168"/>
    </row>
    <row r="222" spans="1:14">
      <c r="A222" s="163"/>
      <c r="B222" s="202" t="s">
        <v>334</v>
      </c>
      <c r="C222" s="491">
        <f>'[4]Sch D'!F9</f>
        <v>2891</v>
      </c>
      <c r="D222" s="491"/>
      <c r="E222" s="235">
        <f>C222+D222</f>
        <v>2891</v>
      </c>
      <c r="F222" s="234"/>
      <c r="G222" s="235">
        <f>E222+F222</f>
        <v>2891</v>
      </c>
      <c r="H222" s="172">
        <f t="shared" si="58"/>
        <v>6.3439468082771941E-2</v>
      </c>
      <c r="I222" s="337"/>
      <c r="J222" s="168"/>
      <c r="K222" s="168"/>
    </row>
    <row r="223" spans="1:14">
      <c r="A223" s="163"/>
      <c r="B223" s="170" t="s">
        <v>73</v>
      </c>
      <c r="C223" s="491">
        <f>'[4]Sch D'!G9</f>
        <v>0</v>
      </c>
      <c r="D223" s="491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7"/>
      <c r="J223" s="168"/>
      <c r="K223" s="168"/>
    </row>
    <row r="224" spans="1:14">
      <c r="A224" s="163"/>
      <c r="B224" s="170" t="s">
        <v>74</v>
      </c>
      <c r="C224" s="491">
        <f>'[4]Sch D'!H9</f>
        <v>3324</v>
      </c>
      <c r="D224" s="491"/>
      <c r="E224" s="235">
        <f t="shared" si="59"/>
        <v>3324</v>
      </c>
      <c r="F224" s="234"/>
      <c r="G224" s="235">
        <f t="shared" si="57"/>
        <v>3324</v>
      </c>
      <c r="H224" s="172">
        <f t="shared" si="58"/>
        <v>7.2941124838164617E-2</v>
      </c>
      <c r="I224" s="337"/>
      <c r="J224" s="168"/>
      <c r="K224" s="168"/>
    </row>
    <row r="225" spans="1:11">
      <c r="A225" s="163"/>
      <c r="B225" s="170" t="s">
        <v>236</v>
      </c>
      <c r="C225" s="491">
        <f>'[4]Sch D'!I9</f>
        <v>3879</v>
      </c>
      <c r="D225" s="491"/>
      <c r="E225" s="235">
        <f t="shared" si="59"/>
        <v>3879</v>
      </c>
      <c r="F225" s="234"/>
      <c r="G225" s="235">
        <f t="shared" si="57"/>
        <v>3879</v>
      </c>
      <c r="H225" s="172">
        <f t="shared" si="58"/>
        <v>8.5119922757894276E-2</v>
      </c>
      <c r="I225" s="337"/>
      <c r="J225" s="168"/>
      <c r="K225" s="168"/>
    </row>
    <row r="226" spans="1:11">
      <c r="A226" s="163"/>
      <c r="B226" s="170" t="s">
        <v>235</v>
      </c>
      <c r="C226" s="491">
        <f>'[4]Sch D'!J9</f>
        <v>0</v>
      </c>
      <c r="D226" s="491"/>
      <c r="E226" s="235">
        <f>C226+D226</f>
        <v>0</v>
      </c>
      <c r="F226" s="234"/>
      <c r="G226" s="235">
        <f>E226+F226</f>
        <v>0</v>
      </c>
      <c r="H226" s="172">
        <f t="shared" si="58"/>
        <v>0</v>
      </c>
      <c r="I226" s="337"/>
      <c r="J226" s="168"/>
      <c r="K226" s="168"/>
    </row>
    <row r="227" spans="1:11">
      <c r="A227" s="163"/>
      <c r="B227" s="170" t="s">
        <v>179</v>
      </c>
      <c r="C227" s="491">
        <f>'[4]Sch D'!K9</f>
        <v>1078</v>
      </c>
      <c r="D227" s="491"/>
      <c r="E227" s="235">
        <f t="shared" si="59"/>
        <v>1078</v>
      </c>
      <c r="F227" s="234"/>
      <c r="G227" s="235">
        <f t="shared" si="57"/>
        <v>1078</v>
      </c>
      <c r="H227" s="172">
        <f t="shared" si="58"/>
        <v>2.3655394878321738E-2</v>
      </c>
      <c r="I227" s="337"/>
      <c r="J227" s="168"/>
      <c r="K227" s="168"/>
    </row>
    <row r="228" spans="1:11" ht="13.5" thickBot="1">
      <c r="A228" s="163"/>
      <c r="B228" s="236" t="s">
        <v>75</v>
      </c>
      <c r="C228" s="491">
        <f>SUM(C219:C227)</f>
        <v>45571</v>
      </c>
      <c r="D228" s="491">
        <f>SUM(D219:D227)</f>
        <v>0</v>
      </c>
      <c r="E228" s="237">
        <f>SUM(E219:E227)</f>
        <v>45571</v>
      </c>
      <c r="F228" s="237">
        <f>SUM(F219:F227)</f>
        <v>0</v>
      </c>
      <c r="G228" s="237">
        <f>SUM(G219:G227)</f>
        <v>45571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586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585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492">
        <f>'[4]Sch D'!N22</f>
        <v>140</v>
      </c>
      <c r="D231" s="526"/>
      <c r="E231" s="235">
        <f>C231+D231</f>
        <v>140</v>
      </c>
      <c r="F231" s="235"/>
      <c r="G231" s="235">
        <f>E231+F231</f>
        <v>140</v>
      </c>
      <c r="H231" s="167"/>
      <c r="J231" s="168"/>
      <c r="K231" s="168"/>
    </row>
    <row r="232" spans="1:11">
      <c r="A232" s="163"/>
      <c r="B232" s="202" t="s">
        <v>290</v>
      </c>
      <c r="C232" s="492">
        <f>'[4]Sch D'!N24</f>
        <v>140</v>
      </c>
      <c r="D232" s="526"/>
      <c r="E232" s="235">
        <f>C232+D232</f>
        <v>140</v>
      </c>
      <c r="F232" s="235"/>
      <c r="G232" s="235">
        <f>E232+F232</f>
        <v>140</v>
      </c>
      <c r="H232" s="167"/>
      <c r="J232" s="168"/>
      <c r="K232" s="168"/>
    </row>
    <row r="233" spans="1:11">
      <c r="A233" s="163"/>
      <c r="B233" s="202" t="s">
        <v>76</v>
      </c>
      <c r="C233" s="492">
        <f>$C$4-$C$3+1</f>
        <v>365</v>
      </c>
      <c r="D233" s="489"/>
      <c r="E233" s="235">
        <f>C233+D233</f>
        <v>365</v>
      </c>
      <c r="F233" s="240"/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587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492">
        <f>'[4]Sch D'!N28</f>
        <v>51100</v>
      </c>
      <c r="D235" s="489"/>
      <c r="E235" s="234">
        <f>E231*E233</f>
        <v>51100</v>
      </c>
      <c r="F235" s="240"/>
      <c r="G235" s="234">
        <f>G231*G233</f>
        <v>51100</v>
      </c>
      <c r="H235" s="167"/>
      <c r="J235" s="168"/>
      <c r="K235" s="168"/>
    </row>
    <row r="236" spans="1:11" ht="26">
      <c r="A236" s="163"/>
      <c r="B236" s="244" t="s">
        <v>336</v>
      </c>
      <c r="C236" s="493">
        <f>'[4]Sch D'!N30</f>
        <v>0.89180039138943246</v>
      </c>
      <c r="D236" s="240"/>
      <c r="E236" s="245">
        <f>E228/E235</f>
        <v>0.89180039138943246</v>
      </c>
      <c r="F236" s="246"/>
      <c r="G236" s="245">
        <f>G228/G235</f>
        <v>0.89180039138943246</v>
      </c>
      <c r="H236" s="167"/>
      <c r="J236" s="168"/>
      <c r="K236" s="168"/>
    </row>
    <row r="237" spans="1:11" ht="26">
      <c r="A237" s="163"/>
      <c r="B237" s="244" t="s">
        <v>337</v>
      </c>
      <c r="C237" s="493">
        <f>'[4]Sch D'!N32</f>
        <v>0.59571428571428575</v>
      </c>
      <c r="D237" s="240"/>
      <c r="E237" s="245">
        <f>(E219+E220)/E235</f>
        <v>0.59571428571428575</v>
      </c>
      <c r="F237" s="246"/>
      <c r="G237" s="245">
        <f>(G219+G220)/G235</f>
        <v>0.59571428571428575</v>
      </c>
      <c r="H237" s="167"/>
      <c r="J237" s="168"/>
      <c r="K237" s="168"/>
    </row>
    <row r="238" spans="1:11" ht="26">
      <c r="A238" s="163"/>
      <c r="B238" s="244" t="s">
        <v>338</v>
      </c>
      <c r="C238" s="493">
        <f>'[4]Sch D'!N34</f>
        <v>0.66799060806214483</v>
      </c>
      <c r="D238" s="240"/>
      <c r="E238" s="245">
        <f>(E237/E236)</f>
        <v>0.66799060806214483</v>
      </c>
      <c r="F238" s="246"/>
      <c r="G238" s="245">
        <f>(G237/G236)</f>
        <v>0.66799060806214483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490">
        <f>'[4]Sch B'!C85</f>
        <v>177.63256784968684</v>
      </c>
    </row>
    <row r="242" spans="2:7">
      <c r="F242" s="142" t="s">
        <v>341</v>
      </c>
      <c r="G242" s="490">
        <f>'[4]Sch B'!E85</f>
        <v>177.63201911589007</v>
      </c>
    </row>
    <row r="243" spans="2:7">
      <c r="F243" s="142" t="s">
        <v>342</v>
      </c>
      <c r="G243" s="490">
        <f>'[4]Sch B'!G85</f>
        <v>177.63265306122449</v>
      </c>
    </row>
    <row r="244" spans="2:7">
      <c r="F244" s="142" t="s">
        <v>343</v>
      </c>
      <c r="G244" s="490">
        <f>'[4]Sch B'!I85</f>
        <v>177.63350125944584</v>
      </c>
    </row>
    <row r="245" spans="2:7">
      <c r="F245" s="142"/>
    </row>
  </sheetData>
  <customSheetViews>
    <customSheetView guid="{8B6AA640-12E9-11D5-ABB1-E7A21A3D4A14}" showGridLines="0" showRuler="0">
      <selection activeCell="C1" sqref="C1"/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" right="0" top="0.75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E28CAB"/>
  </sheetPr>
  <dimension ref="A1:Q245"/>
  <sheetViews>
    <sheetView showGridLines="0" zoomScale="90" zoomScaleNormal="90" workbookViewId="0">
      <selection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575"/>
      <c r="E1" s="478"/>
      <c r="F1" s="478"/>
      <c r="G1" s="478"/>
      <c r="H1" s="478"/>
      <c r="I1" s="479"/>
    </row>
    <row r="2" spans="1:14" ht="23">
      <c r="B2" s="143" t="s">
        <v>189</v>
      </c>
      <c r="C2" s="247" t="s">
        <v>463</v>
      </c>
      <c r="D2" s="558"/>
      <c r="F2" s="463"/>
    </row>
    <row r="3" spans="1:14" ht="15">
      <c r="A3" s="145"/>
      <c r="B3" s="140" t="s">
        <v>79</v>
      </c>
      <c r="C3" s="495">
        <v>41821</v>
      </c>
      <c r="D3" s="144"/>
      <c r="E3" s="147"/>
      <c r="F3" s="463"/>
    </row>
    <row r="4" spans="1:14" ht="15">
      <c r="A4" s="145"/>
      <c r="B4" s="148" t="s">
        <v>80</v>
      </c>
      <c r="C4" s="495">
        <v>42185</v>
      </c>
      <c r="D4" s="144"/>
      <c r="E4" s="149"/>
      <c r="F4" s="463"/>
      <c r="G4" s="150"/>
    </row>
    <row r="5" spans="1:14" ht="15">
      <c r="A5" s="145"/>
      <c r="B5" s="148"/>
      <c r="C5" s="151"/>
      <c r="D5" s="144"/>
      <c r="F5" s="463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144"/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573">
        <f>'[38]Sch B'!E10</f>
        <v>1787123</v>
      </c>
      <c r="D11" s="573">
        <f>'[38]Sch B'!G10</f>
        <v>0</v>
      </c>
      <c r="E11" s="171">
        <f>C11+D11</f>
        <v>1787123</v>
      </c>
      <c r="F11" s="171"/>
      <c r="G11" s="171">
        <f t="shared" ref="G11:G20" si="0">E11+F11</f>
        <v>1787123</v>
      </c>
      <c r="H11" s="172">
        <f t="shared" ref="H11:H21" si="1">IF($G$21=0,0,G11/$G$21)</f>
        <v>0.64773527536640552</v>
      </c>
      <c r="I11" s="337"/>
      <c r="J11" s="368" t="s">
        <v>344</v>
      </c>
      <c r="K11" s="369">
        <f>G21</f>
        <v>2759033</v>
      </c>
      <c r="M11" s="359">
        <f>IFERROR(G11/G219,0)</f>
        <v>170.3969298245614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573">
        <f>'[38]Sch B'!E15</f>
        <v>0</v>
      </c>
      <c r="D12" s="573">
        <f>'[38]Sch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7"/>
      <c r="J12" s="370" t="s">
        <v>345</v>
      </c>
      <c r="K12" s="371">
        <f>G208</f>
        <v>2351429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573">
        <f>'[38]Sch B'!E21</f>
        <v>625189</v>
      </c>
      <c r="D13" s="573">
        <f>'[38]Sch B'!G21</f>
        <v>0</v>
      </c>
      <c r="E13" s="171">
        <f t="shared" si="2"/>
        <v>625189</v>
      </c>
      <c r="F13" s="171"/>
      <c r="G13" s="171">
        <f t="shared" si="0"/>
        <v>625189</v>
      </c>
      <c r="H13" s="172">
        <f t="shared" si="1"/>
        <v>0.22659714472425665</v>
      </c>
      <c r="I13" s="337"/>
      <c r="J13" s="370" t="s">
        <v>346</v>
      </c>
      <c r="K13" s="371">
        <f>G228</f>
        <v>13766</v>
      </c>
      <c r="M13" s="359">
        <f t="shared" si="3"/>
        <v>436.58449720670393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573">
        <f>'[38]Sch B'!E27</f>
        <v>45192</v>
      </c>
      <c r="D14" s="573">
        <f>'[38]Sch B'!G27</f>
        <v>0</v>
      </c>
      <c r="E14" s="171">
        <f t="shared" si="2"/>
        <v>45192</v>
      </c>
      <c r="F14" s="175"/>
      <c r="G14" s="175">
        <f>E14+F14</f>
        <v>45192</v>
      </c>
      <c r="H14" s="176">
        <f t="shared" si="1"/>
        <v>1.6379651856284431E-2</v>
      </c>
      <c r="I14" s="338"/>
      <c r="J14" s="370" t="s">
        <v>347</v>
      </c>
      <c r="K14" s="371">
        <f>G231</f>
        <v>41</v>
      </c>
      <c r="M14" s="359">
        <f t="shared" si="3"/>
        <v>502.13333333333333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573">
        <f>'[38]Sch B'!E32</f>
        <v>0</v>
      </c>
      <c r="D15" s="573">
        <f>'[38]Sch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7"/>
      <c r="J15" s="370" t="s">
        <v>348</v>
      </c>
      <c r="K15" s="371">
        <f>G235</f>
        <v>14965</v>
      </c>
      <c r="M15" s="359">
        <f t="shared" si="3"/>
        <v>0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573">
        <f>'[38]Sch B'!E37</f>
        <v>64578</v>
      </c>
      <c r="D16" s="573">
        <f>'[38]Sch B'!G37</f>
        <v>0</v>
      </c>
      <c r="E16" s="171">
        <f t="shared" si="2"/>
        <v>64578</v>
      </c>
      <c r="F16" s="171"/>
      <c r="G16" s="171">
        <f t="shared" si="0"/>
        <v>64578</v>
      </c>
      <c r="H16" s="172">
        <f t="shared" si="1"/>
        <v>2.3406026676737829E-2</v>
      </c>
      <c r="I16" s="337"/>
      <c r="J16" s="372"/>
      <c r="K16" s="371"/>
      <c r="M16" s="359">
        <f t="shared" si="3"/>
        <v>194.51204819277109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573">
        <f>'[38]Sch B'!E42</f>
        <v>232677</v>
      </c>
      <c r="D17" s="573">
        <f>'[38]Sch B'!G42</f>
        <v>0</v>
      </c>
      <c r="E17" s="171">
        <f t="shared" si="2"/>
        <v>232677</v>
      </c>
      <c r="F17" s="171"/>
      <c r="G17" s="171">
        <f>E17+F17</f>
        <v>232677</v>
      </c>
      <c r="H17" s="172">
        <f t="shared" si="1"/>
        <v>8.4332807907698093E-2</v>
      </c>
      <c r="I17" s="337"/>
      <c r="J17" s="370" t="s">
        <v>156</v>
      </c>
      <c r="K17" s="371">
        <f>J208</f>
        <v>59109.799999999996</v>
      </c>
      <c r="M17" s="359">
        <f t="shared" si="3"/>
        <v>163.39676966292134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573">
        <f>'[38]Sch B'!E47</f>
        <v>0</v>
      </c>
      <c r="D18" s="573">
        <f>'[38]Sch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337"/>
      <c r="J18" s="373" t="s">
        <v>252</v>
      </c>
      <c r="K18" s="374">
        <f>K208</f>
        <v>59867.48</v>
      </c>
      <c r="M18" s="359">
        <f t="shared" si="3"/>
        <v>0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573">
        <f>'[38]Sch B'!E52</f>
        <v>0</v>
      </c>
      <c r="D19" s="573">
        <f>'[38]Sch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337"/>
      <c r="J19" s="168"/>
      <c r="K19" s="168"/>
      <c r="M19" s="359">
        <f t="shared" si="3"/>
        <v>0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573">
        <f>'[38]Sch B'!E67</f>
        <v>9263</v>
      </c>
      <c r="D20" s="573">
        <f>'[38]Sch B'!G67</f>
        <v>-4989</v>
      </c>
      <c r="E20" s="171">
        <f t="shared" si="2"/>
        <v>4274</v>
      </c>
      <c r="F20" s="171"/>
      <c r="G20" s="171">
        <f t="shared" si="0"/>
        <v>4274</v>
      </c>
      <c r="H20" s="172">
        <f t="shared" si="1"/>
        <v>1.5490934686174468E-3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573">
        <f>SUM(C11:C20)</f>
        <v>2764022</v>
      </c>
      <c r="D21" s="573">
        <f>SUM(D11:D20)</f>
        <v>-4989</v>
      </c>
      <c r="E21" s="171">
        <f>SUM(E11:E20)</f>
        <v>2759033</v>
      </c>
      <c r="F21" s="171">
        <f>SUM(F11:F20)</f>
        <v>0</v>
      </c>
      <c r="G21" s="171">
        <f>SUM(G11:G20)</f>
        <v>2759033</v>
      </c>
      <c r="H21" s="172">
        <f t="shared" si="1"/>
        <v>1</v>
      </c>
      <c r="I21" s="337"/>
      <c r="J21" s="168"/>
      <c r="K21" s="168"/>
      <c r="M21" s="359">
        <f>IFERROR(G21/G228,0)</f>
        <v>200.42372511986053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4" ht="26.5">
      <c r="A23" s="180" t="s">
        <v>231</v>
      </c>
      <c r="B23" s="179" t="s">
        <v>222</v>
      </c>
      <c r="C23" s="151"/>
      <c r="D23" s="144"/>
      <c r="F23"/>
      <c r="G23" s="144"/>
      <c r="M23" s="363"/>
      <c r="N23" s="363"/>
    </row>
    <row r="24" spans="1:14" ht="15.5">
      <c r="A24" s="181" t="s">
        <v>161</v>
      </c>
      <c r="B24" s="148" t="s">
        <v>12</v>
      </c>
      <c r="F24"/>
      <c r="M24" s="363"/>
      <c r="N24" s="363"/>
    </row>
    <row r="25" spans="1:14" s="167" customFormat="1">
      <c r="A25" s="169" t="s">
        <v>83</v>
      </c>
      <c r="B25" s="170" t="s">
        <v>14</v>
      </c>
      <c r="C25" s="573">
        <f>'[38]Sch C'!D10</f>
        <v>115177</v>
      </c>
      <c r="D25" s="573">
        <f>'[38]Sch C'!F10</f>
        <v>0</v>
      </c>
      <c r="E25" s="171">
        <f t="shared" ref="E25:E60" si="4">C25+D25</f>
        <v>115177</v>
      </c>
      <c r="F25" s="171"/>
      <c r="G25" s="182">
        <f>E25+F25</f>
        <v>115177</v>
      </c>
      <c r="H25" s="172">
        <f>IF($G$208=0,0,G25/$G$208)</f>
        <v>4.8981704316821813E-2</v>
      </c>
      <c r="I25" s="337"/>
      <c r="J25" s="183">
        <v>2085.6</v>
      </c>
      <c r="K25" s="183">
        <v>2109.6</v>
      </c>
      <c r="M25" s="359">
        <f>G25/G$228</f>
        <v>8.3667732093563849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573">
        <f>'[38]Sch C'!D11</f>
        <v>0</v>
      </c>
      <c r="D26" s="573">
        <f>'[38]Sch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573">
        <f>'[38]Sch C'!D12</f>
        <v>56070</v>
      </c>
      <c r="D27" s="573">
        <f>'[38]Sch C'!F12</f>
        <v>0</v>
      </c>
      <c r="E27" s="171">
        <f t="shared" si="4"/>
        <v>56070</v>
      </c>
      <c r="F27" s="171"/>
      <c r="G27" s="171">
        <f t="shared" si="5"/>
        <v>56070</v>
      </c>
      <c r="H27" s="172">
        <f t="shared" si="6"/>
        <v>2.3845074633339982E-2</v>
      </c>
      <c r="I27" s="337"/>
      <c r="J27" s="185">
        <v>1490.13</v>
      </c>
      <c r="K27" s="185">
        <v>1505.1</v>
      </c>
      <c r="M27" s="359">
        <f t="shared" si="7"/>
        <v>4.0730785994479151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573">
        <f>'[38]Sch C'!D13</f>
        <v>9958</v>
      </c>
      <c r="D28" s="573">
        <f>'[38]Sch C'!F13</f>
        <v>0</v>
      </c>
      <c r="E28" s="171">
        <f t="shared" si="4"/>
        <v>9958</v>
      </c>
      <c r="F28" s="171"/>
      <c r="G28" s="171">
        <f t="shared" si="5"/>
        <v>9958</v>
      </c>
      <c r="H28" s="172">
        <f t="shared" si="6"/>
        <v>4.2348716461351795E-3</v>
      </c>
      <c r="I28" s="337"/>
      <c r="J28" s="168"/>
      <c r="K28" s="168"/>
      <c r="M28" s="359">
        <f t="shared" si="7"/>
        <v>0.72337643469417401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573">
        <f>'[38]Sch C'!D14</f>
        <v>0</v>
      </c>
      <c r="D29" s="573">
        <f>'[38]Sch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573">
        <f>'[38]Sch C'!D15</f>
        <v>0</v>
      </c>
      <c r="D30" s="573">
        <f>'[38]Sch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7"/>
      <c r="J30" s="168"/>
      <c r="K30" s="168"/>
      <c r="M30" s="359">
        <f t="shared" si="7"/>
        <v>0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573">
        <f>'[38]Sch C'!D16</f>
        <v>0</v>
      </c>
      <c r="D31" s="573">
        <f>'[38]Sch C'!F16</f>
        <v>0</v>
      </c>
      <c r="E31" s="171">
        <f t="shared" si="4"/>
        <v>0</v>
      </c>
      <c r="F31" s="171"/>
      <c r="G31" s="171">
        <f t="shared" si="5"/>
        <v>0</v>
      </c>
      <c r="H31" s="172">
        <f t="shared" si="6"/>
        <v>0</v>
      </c>
      <c r="I31" s="337"/>
      <c r="J31" s="168"/>
      <c r="K31" s="168"/>
      <c r="M31" s="359">
        <f t="shared" si="7"/>
        <v>0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573">
        <f>'[38]Sch C'!D17</f>
        <v>5082</v>
      </c>
      <c r="D32" s="573">
        <f>'[38]Sch C'!F17</f>
        <v>-5082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7"/>
      <c r="J32" s="168"/>
      <c r="K32" s="168"/>
      <c r="M32" s="359">
        <f t="shared" si="7"/>
        <v>0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573">
        <f>'[38]Sch C'!D18</f>
        <v>4572</v>
      </c>
      <c r="D33" s="573">
        <f>'[38]Sch C'!F18</f>
        <v>0</v>
      </c>
      <c r="E33" s="171">
        <f t="shared" si="4"/>
        <v>4572</v>
      </c>
      <c r="F33" s="171"/>
      <c r="G33" s="171">
        <f t="shared" si="5"/>
        <v>4572</v>
      </c>
      <c r="H33" s="172">
        <f t="shared" si="6"/>
        <v>1.944349584869456E-3</v>
      </c>
      <c r="I33" s="337"/>
      <c r="J33" s="168"/>
      <c r="K33" s="168"/>
      <c r="M33" s="359">
        <f t="shared" si="7"/>
        <v>0.33212262095016709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573">
        <f>'[38]Sch C'!D19</f>
        <v>19046</v>
      </c>
      <c r="D34" s="573">
        <f>'[38]Sch C'!F19</f>
        <v>0</v>
      </c>
      <c r="E34" s="171">
        <f t="shared" si="4"/>
        <v>19046</v>
      </c>
      <c r="F34" s="171">
        <v>-1720</v>
      </c>
      <c r="G34" s="171">
        <f t="shared" si="5"/>
        <v>17326</v>
      </c>
      <c r="H34" s="172">
        <f t="shared" si="6"/>
        <v>7.3682854128276892E-3</v>
      </c>
      <c r="I34" s="337"/>
      <c r="J34" s="168"/>
      <c r="K34" s="168"/>
      <c r="M34" s="359">
        <f t="shared" si="7"/>
        <v>1.2586081650443122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573">
        <f>'[38]Sch C'!D20</f>
        <v>16021</v>
      </c>
      <c r="D35" s="573">
        <f>'[38]Sch C'!F20</f>
        <v>0</v>
      </c>
      <c r="E35" s="171">
        <f t="shared" si="4"/>
        <v>16021</v>
      </c>
      <c r="F35" s="171"/>
      <c r="G35" s="171">
        <f t="shared" si="5"/>
        <v>16021</v>
      </c>
      <c r="H35" s="172">
        <f t="shared" si="6"/>
        <v>6.8133037399810926E-3</v>
      </c>
      <c r="I35" s="337"/>
      <c r="J35" s="168"/>
      <c r="K35" s="168"/>
      <c r="M35" s="359">
        <f t="shared" si="7"/>
        <v>1.1638093854423943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573">
        <f>'[38]Sch C'!D21</f>
        <v>12671</v>
      </c>
      <c r="D36" s="573">
        <f>'[38]Sch C'!F21</f>
        <v>0</v>
      </c>
      <c r="E36" s="171">
        <f t="shared" si="4"/>
        <v>12671</v>
      </c>
      <c r="F36" s="171"/>
      <c r="G36" s="171">
        <f t="shared" si="5"/>
        <v>12671</v>
      </c>
      <c r="H36" s="172">
        <f t="shared" si="6"/>
        <v>5.3886381430185643E-3</v>
      </c>
      <c r="I36" s="337"/>
      <c r="J36" s="168"/>
      <c r="K36" s="168"/>
      <c r="M36" s="359">
        <f t="shared" si="7"/>
        <v>0.92045619642597709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573">
        <f>'[38]Sch C'!D22</f>
        <v>0</v>
      </c>
      <c r="D37" s="573">
        <f>'[38]Sch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573">
        <f>'[38]Sch C'!D23</f>
        <v>7004</v>
      </c>
      <c r="D38" s="573">
        <f>'[38]Sch C'!F23</f>
        <v>0</v>
      </c>
      <c r="E38" s="171">
        <f t="shared" si="4"/>
        <v>7004</v>
      </c>
      <c r="F38" s="171"/>
      <c r="G38" s="171">
        <f t="shared" si="5"/>
        <v>7004</v>
      </c>
      <c r="H38" s="172">
        <f t="shared" si="6"/>
        <v>2.9786142809329987E-3</v>
      </c>
      <c r="I38" s="337"/>
      <c r="J38" s="168"/>
      <c r="K38" s="168"/>
      <c r="M38" s="359">
        <f t="shared" si="7"/>
        <v>0.50878977190178698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573">
        <f>'[38]Sch C'!D24</f>
        <v>0</v>
      </c>
      <c r="D39" s="573">
        <f>'[38]Sch C'!F24</f>
        <v>0</v>
      </c>
      <c r="E39" s="171">
        <f t="shared" si="4"/>
        <v>0</v>
      </c>
      <c r="F39" s="171"/>
      <c r="G39" s="171">
        <f t="shared" si="5"/>
        <v>0</v>
      </c>
      <c r="H39" s="172">
        <f t="shared" si="6"/>
        <v>0</v>
      </c>
      <c r="I39" s="337"/>
      <c r="J39" s="168"/>
      <c r="K39" s="168"/>
      <c r="M39" s="359">
        <f t="shared" si="7"/>
        <v>0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573">
        <f>'[38]Sch C'!D25</f>
        <v>0</v>
      </c>
      <c r="D40" s="573">
        <f>'[38]Sch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337"/>
      <c r="J40" s="168"/>
      <c r="K40" s="168"/>
      <c r="M40" s="359">
        <f t="shared" si="7"/>
        <v>0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573">
        <f>'[38]Sch C'!D26</f>
        <v>187272</v>
      </c>
      <c r="D41" s="573">
        <f>'[38]Sch C'!F26</f>
        <v>0</v>
      </c>
      <c r="E41" s="171">
        <f t="shared" si="4"/>
        <v>187272</v>
      </c>
      <c r="F41" s="171"/>
      <c r="G41" s="171">
        <f t="shared" si="5"/>
        <v>187272</v>
      </c>
      <c r="H41" s="172">
        <f t="shared" si="6"/>
        <v>7.9641783783392997E-2</v>
      </c>
      <c r="I41" s="337"/>
      <c r="J41" s="168"/>
      <c r="K41" s="168"/>
      <c r="M41" s="359">
        <f t="shared" si="7"/>
        <v>13.603951765218655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573">
        <f>'[38]Sch C'!D27</f>
        <v>2250</v>
      </c>
      <c r="D42" s="573">
        <f>'[38]Sch C'!F27</f>
        <v>0</v>
      </c>
      <c r="E42" s="171">
        <f t="shared" si="4"/>
        <v>2250</v>
      </c>
      <c r="F42" s="171"/>
      <c r="G42" s="171">
        <f t="shared" si="5"/>
        <v>2250</v>
      </c>
      <c r="H42" s="172">
        <f t="shared" si="6"/>
        <v>9.5686495318378741E-4</v>
      </c>
      <c r="I42" s="337"/>
      <c r="J42" s="168"/>
      <c r="K42" s="168"/>
      <c r="M42" s="359">
        <f t="shared" si="7"/>
        <v>0.16344617172744444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573">
        <f>'[38]Sch C'!D28</f>
        <v>0</v>
      </c>
      <c r="D43" s="573">
        <f>'[38]Sch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573">
        <f>'[38]Sch C'!D29</f>
        <v>0</v>
      </c>
      <c r="D44" s="573">
        <f>'[38]Sch C'!F29</f>
        <v>0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573">
        <f>'[38]Sch C'!D30</f>
        <v>0</v>
      </c>
      <c r="D45" s="573">
        <f>'[38]Sch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573">
        <f>'[38]Sch C'!D31</f>
        <v>19611</v>
      </c>
      <c r="D46" s="573">
        <f>'[38]Sch C'!F31</f>
        <v>-4989</v>
      </c>
      <c r="E46" s="171">
        <f t="shared" si="4"/>
        <v>14622</v>
      </c>
      <c r="F46" s="171"/>
      <c r="G46" s="171">
        <f t="shared" si="5"/>
        <v>14622</v>
      </c>
      <c r="H46" s="172">
        <f t="shared" si="6"/>
        <v>6.2183463757570397E-3</v>
      </c>
      <c r="I46" s="337"/>
      <c r="J46" s="168"/>
      <c r="K46" s="168"/>
      <c r="M46" s="359">
        <f t="shared" si="7"/>
        <v>1.0621821879994189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573">
        <f>'[38]Sch C'!D32</f>
        <v>25810</v>
      </c>
      <c r="D47" s="573">
        <f>'[38]Sch C'!F32</f>
        <v>0</v>
      </c>
      <c r="E47" s="171">
        <f t="shared" si="4"/>
        <v>25810</v>
      </c>
      <c r="F47" s="171"/>
      <c r="G47" s="171">
        <f t="shared" si="5"/>
        <v>25810</v>
      </c>
      <c r="H47" s="172">
        <f t="shared" si="6"/>
        <v>1.0976304196299356E-2</v>
      </c>
      <c r="I47" s="337"/>
      <c r="J47" s="168"/>
      <c r="K47" s="168"/>
      <c r="M47" s="359">
        <f t="shared" si="7"/>
        <v>1.8749091965712625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573">
        <f>'[38]Sch C'!D33</f>
        <v>0</v>
      </c>
      <c r="D48" s="573">
        <f>'[38]Sch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573">
        <f>'[38]Sch C'!D34</f>
        <v>0</v>
      </c>
      <c r="D49" s="573">
        <f>'[38]Sch C'!F34</f>
        <v>0</v>
      </c>
      <c r="E49" s="171">
        <f t="shared" si="4"/>
        <v>0</v>
      </c>
      <c r="F49" s="171"/>
      <c r="G49" s="171">
        <f t="shared" si="5"/>
        <v>0</v>
      </c>
      <c r="H49" s="172">
        <f t="shared" si="6"/>
        <v>0</v>
      </c>
      <c r="I49" s="337"/>
      <c r="J49" s="168"/>
      <c r="K49" s="168"/>
      <c r="M49" s="359">
        <f t="shared" si="7"/>
        <v>0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573">
        <f>'[38]Sch C'!D35</f>
        <v>0</v>
      </c>
      <c r="D50" s="573">
        <f>'[38]Sch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573">
        <f>'[38]Sch C'!D36</f>
        <v>0</v>
      </c>
      <c r="D51" s="573">
        <f>'[38]Sch C'!F36</f>
        <v>0</v>
      </c>
      <c r="E51" s="171">
        <f t="shared" si="4"/>
        <v>0</v>
      </c>
      <c r="F51" s="171"/>
      <c r="G51" s="171">
        <f t="shared" si="5"/>
        <v>0</v>
      </c>
      <c r="H51" s="172">
        <f t="shared" si="6"/>
        <v>0</v>
      </c>
      <c r="I51" s="337"/>
      <c r="J51" s="183">
        <v>0</v>
      </c>
      <c r="K51" s="183">
        <v>0</v>
      </c>
      <c r="M51" s="359">
        <f t="shared" si="7"/>
        <v>0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573">
        <f>'[38]Sch C'!D37</f>
        <v>0</v>
      </c>
      <c r="D52" s="573">
        <f>'[38]Sch C'!F37</f>
        <v>0</v>
      </c>
      <c r="E52" s="171">
        <f t="shared" si="4"/>
        <v>0</v>
      </c>
      <c r="F52" s="171"/>
      <c r="G52" s="171">
        <f t="shared" si="5"/>
        <v>0</v>
      </c>
      <c r="H52" s="172">
        <f t="shared" si="6"/>
        <v>0</v>
      </c>
      <c r="I52" s="337"/>
      <c r="J52" s="168"/>
      <c r="K52" s="168"/>
      <c r="M52" s="359">
        <f t="shared" si="7"/>
        <v>0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573">
        <f>'[38]Sch C'!D38</f>
        <v>0</v>
      </c>
      <c r="D53" s="573">
        <f>'[38]Sch C'!F38</f>
        <v>0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7"/>
      <c r="J53" s="168"/>
      <c r="K53" s="168"/>
      <c r="M53" s="359">
        <f t="shared" si="7"/>
        <v>0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573">
        <f>'[38]Sch C'!D39</f>
        <v>899</v>
      </c>
      <c r="D54" s="573">
        <f>'[38]Sch C'!F39</f>
        <v>0</v>
      </c>
      <c r="E54" s="171">
        <f t="shared" si="4"/>
        <v>899</v>
      </c>
      <c r="F54" s="171"/>
      <c r="G54" s="171">
        <f t="shared" si="5"/>
        <v>899</v>
      </c>
      <c r="H54" s="172">
        <f t="shared" si="6"/>
        <v>3.8232070796098884E-4</v>
      </c>
      <c r="I54" s="337"/>
      <c r="J54" s="168"/>
      <c r="K54" s="168"/>
      <c r="M54" s="359">
        <f t="shared" si="7"/>
        <v>6.5305825947987797E-2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573">
        <f>'[38]Sch C'!D40</f>
        <v>3907</v>
      </c>
      <c r="D55" s="573">
        <f>'[38]Sch C'!F40</f>
        <v>0</v>
      </c>
      <c r="E55" s="171">
        <f t="shared" si="4"/>
        <v>3907</v>
      </c>
      <c r="F55" s="171"/>
      <c r="G55" s="171">
        <f t="shared" si="5"/>
        <v>3907</v>
      </c>
      <c r="H55" s="172">
        <f t="shared" si="6"/>
        <v>1.6615428320395811E-3</v>
      </c>
      <c r="I55" s="337"/>
      <c r="J55" s="168"/>
      <c r="K55" s="168"/>
      <c r="M55" s="359">
        <f t="shared" si="7"/>
        <v>0.28381519686183349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573">
        <f>'[38]Sch C'!D41</f>
        <v>34769</v>
      </c>
      <c r="D56" s="573">
        <f>'[38]Sch C'!F41</f>
        <v>0</v>
      </c>
      <c r="E56" s="171">
        <f t="shared" si="4"/>
        <v>34769</v>
      </c>
      <c r="F56" s="171"/>
      <c r="G56" s="171">
        <f t="shared" si="5"/>
        <v>34769</v>
      </c>
      <c r="H56" s="172">
        <f t="shared" si="6"/>
        <v>1.4786327803220934E-2</v>
      </c>
      <c r="I56" s="337"/>
      <c r="J56" s="168"/>
      <c r="K56" s="168"/>
      <c r="M56" s="359">
        <f t="shared" si="7"/>
        <v>2.5257155310184514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573">
        <f>'[38]Sch C'!D42</f>
        <v>0</v>
      </c>
      <c r="D57" s="573">
        <f>'[38]Sch C'!F42</f>
        <v>0</v>
      </c>
      <c r="E57" s="171">
        <f t="shared" si="4"/>
        <v>0</v>
      </c>
      <c r="F57" s="171"/>
      <c r="G57" s="171">
        <f t="shared" si="5"/>
        <v>0</v>
      </c>
      <c r="H57" s="172">
        <f t="shared" si="6"/>
        <v>0</v>
      </c>
      <c r="I57" s="337"/>
      <c r="J57" s="168"/>
      <c r="K57" s="168"/>
      <c r="M57" s="359">
        <f t="shared" si="7"/>
        <v>0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573">
        <f>'[38]Sch C'!D43</f>
        <v>8641</v>
      </c>
      <c r="D58" s="573">
        <f>'[38]Sch C'!F43</f>
        <v>-8641</v>
      </c>
      <c r="E58" s="171">
        <f t="shared" si="4"/>
        <v>0</v>
      </c>
      <c r="F58" s="171"/>
      <c r="G58" s="171">
        <f t="shared" si="5"/>
        <v>0</v>
      </c>
      <c r="H58" s="172">
        <f t="shared" si="6"/>
        <v>0</v>
      </c>
      <c r="I58" s="337"/>
      <c r="J58" s="168"/>
      <c r="K58" s="168"/>
      <c r="M58" s="359">
        <f t="shared" si="7"/>
        <v>0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573">
        <f>'[38]Sch C'!D44</f>
        <v>0</v>
      </c>
      <c r="D59" s="573">
        <f>'[38]Sch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7"/>
      <c r="J59" s="168"/>
      <c r="K59" s="168"/>
      <c r="M59" s="359">
        <f t="shared" si="7"/>
        <v>0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573">
        <f>'[38]Sch C'!D45</f>
        <v>5069</v>
      </c>
      <c r="D60" s="573">
        <f>'[38]Sch C'!F45</f>
        <v>0</v>
      </c>
      <c r="E60" s="171">
        <f t="shared" si="4"/>
        <v>5069</v>
      </c>
      <c r="F60" s="171"/>
      <c r="G60" s="171">
        <f t="shared" si="5"/>
        <v>5069</v>
      </c>
      <c r="H60" s="172">
        <f t="shared" si="6"/>
        <v>2.1557104211949413E-3</v>
      </c>
      <c r="I60" s="337"/>
      <c r="J60" s="168"/>
      <c r="K60" s="168"/>
      <c r="M60" s="359">
        <f t="shared" si="7"/>
        <v>0.36822606421618481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573">
        <f>SUM(C25:C60)</f>
        <v>533829</v>
      </c>
      <c r="D61" s="573">
        <f>SUM(D25:D60)</f>
        <v>-18712</v>
      </c>
      <c r="E61" s="171">
        <f t="shared" ref="E61" si="8">SUM(E25:E60)</f>
        <v>515117</v>
      </c>
      <c r="F61" s="171">
        <f>SUM(F25:F60)</f>
        <v>-1720</v>
      </c>
      <c r="G61" s="171">
        <f>SUM(G25:G60)</f>
        <v>513397</v>
      </c>
      <c r="H61" s="186">
        <f t="shared" si="6"/>
        <v>0.2183340428309764</v>
      </c>
      <c r="I61" s="339"/>
      <c r="J61" s="168"/>
      <c r="K61" s="168"/>
      <c r="M61" s="364">
        <f>G61/G$228</f>
        <v>37.294566322824352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I62" s="340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573">
        <f>'[38]Sch C'!D57</f>
        <v>169817</v>
      </c>
      <c r="D64" s="573">
        <f>'[38]Sch C'!F57</f>
        <v>0</v>
      </c>
      <c r="E64" s="171">
        <f t="shared" ref="E64:E78" si="9">C64+D64</f>
        <v>169817</v>
      </c>
      <c r="F64" s="171">
        <v>-169817</v>
      </c>
      <c r="G64" s="171">
        <f t="shared" ref="G64:G78" si="10">E64+F64</f>
        <v>0</v>
      </c>
      <c r="H64" s="172">
        <f t="shared" ref="H64:H79" si="11">IF($G$208=0,0,G64/$G$208)</f>
        <v>0</v>
      </c>
      <c r="I64" s="337"/>
      <c r="J64" s="190"/>
      <c r="K64" s="168"/>
      <c r="M64" s="359">
        <f t="shared" ref="M64:M79" si="12">G64/G$228</f>
        <v>0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573">
        <f>'[38]Sch C'!D58</f>
        <v>0</v>
      </c>
      <c r="D65" s="573">
        <f>'[38]Sch C'!F58</f>
        <v>0</v>
      </c>
      <c r="E65" s="171">
        <f t="shared" si="9"/>
        <v>0</v>
      </c>
      <c r="F65" s="171">
        <v>48383</v>
      </c>
      <c r="G65" s="171">
        <f t="shared" si="10"/>
        <v>48383</v>
      </c>
      <c r="H65" s="172">
        <f t="shared" si="11"/>
        <v>2.0575998679951638E-2</v>
      </c>
      <c r="I65" s="337"/>
      <c r="J65" s="190"/>
      <c r="K65" s="168"/>
      <c r="M65" s="359">
        <f t="shared" si="12"/>
        <v>3.5146738340839749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573">
        <f>'[38]Sch C'!D59</f>
        <v>0</v>
      </c>
      <c r="D66" s="573">
        <f>'[38]Sch C'!F59</f>
        <v>0</v>
      </c>
      <c r="E66" s="171">
        <f t="shared" si="9"/>
        <v>0</v>
      </c>
      <c r="F66" s="171">
        <v>93536</v>
      </c>
      <c r="G66" s="171">
        <f t="shared" si="10"/>
        <v>93536</v>
      </c>
      <c r="H66" s="172">
        <f t="shared" si="11"/>
        <v>3.9778364560443882E-2</v>
      </c>
      <c r="I66" s="337"/>
      <c r="J66" s="190"/>
      <c r="K66" s="168"/>
      <c r="M66" s="359">
        <f t="shared" si="12"/>
        <v>6.7947116083103296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573">
        <f>'[38]Sch C'!D60</f>
        <v>7299</v>
      </c>
      <c r="D67" s="573">
        <f>'[38]Sch C'!F60</f>
        <v>0</v>
      </c>
      <c r="E67" s="171">
        <f t="shared" si="9"/>
        <v>7299</v>
      </c>
      <c r="F67" s="171"/>
      <c r="G67" s="171">
        <f t="shared" si="10"/>
        <v>7299</v>
      </c>
      <c r="H67" s="172">
        <f t="shared" si="11"/>
        <v>3.1040699081282064E-3</v>
      </c>
      <c r="I67" s="337"/>
      <c r="J67" s="193"/>
      <c r="K67" s="168"/>
      <c r="M67" s="359">
        <f t="shared" si="12"/>
        <v>0.53021938108382971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573">
        <f>'[38]Sch C'!D61</f>
        <v>0</v>
      </c>
      <c r="D68" s="573">
        <f>'[38]Sch C'!F61</f>
        <v>0</v>
      </c>
      <c r="E68" s="171">
        <f t="shared" si="9"/>
        <v>0</v>
      </c>
      <c r="F68" s="171"/>
      <c r="G68" s="171">
        <f t="shared" si="10"/>
        <v>0</v>
      </c>
      <c r="H68" s="172">
        <f t="shared" si="11"/>
        <v>0</v>
      </c>
      <c r="I68" s="337"/>
      <c r="J68" s="193"/>
      <c r="K68" s="168"/>
      <c r="M68" s="359">
        <f t="shared" si="12"/>
        <v>0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573">
        <f>'[38]Sch C'!D62</f>
        <v>0</v>
      </c>
      <c r="D69" s="573">
        <f>'[38]Sch C'!F62</f>
        <v>0</v>
      </c>
      <c r="E69" s="171">
        <f t="shared" si="9"/>
        <v>0</v>
      </c>
      <c r="F69" s="171"/>
      <c r="G69" s="171">
        <f t="shared" si="10"/>
        <v>0</v>
      </c>
      <c r="H69" s="172">
        <f t="shared" si="11"/>
        <v>0</v>
      </c>
      <c r="I69" s="337"/>
      <c r="J69" s="195"/>
      <c r="K69" s="168"/>
      <c r="M69" s="359">
        <f t="shared" si="12"/>
        <v>0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573">
        <f>'[38]Sch C'!D63</f>
        <v>0</v>
      </c>
      <c r="D70" s="573">
        <f>'[38]Sch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7"/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573">
        <f>'[38]Sch C'!D64</f>
        <v>0</v>
      </c>
      <c r="D71" s="573">
        <f>'[38]Sch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573">
        <f>'[38]Sch C'!D65</f>
        <v>0</v>
      </c>
      <c r="D72" s="573">
        <f>'[38]Sch C'!F65</f>
        <v>0</v>
      </c>
      <c r="E72" s="171">
        <f t="shared" si="9"/>
        <v>0</v>
      </c>
      <c r="F72" s="171"/>
      <c r="G72" s="171">
        <f t="shared" si="10"/>
        <v>0</v>
      </c>
      <c r="H72" s="172">
        <f t="shared" si="11"/>
        <v>0</v>
      </c>
      <c r="I72" s="337"/>
      <c r="J72" s="195"/>
      <c r="K72" s="168"/>
      <c r="M72" s="359">
        <f t="shared" si="12"/>
        <v>0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573">
        <f>'[38]Sch C'!D66</f>
        <v>0</v>
      </c>
      <c r="D73" s="573">
        <f>'[38]Sch C'!F66</f>
        <v>0</v>
      </c>
      <c r="E73" s="171">
        <f t="shared" si="9"/>
        <v>0</v>
      </c>
      <c r="F73" s="171"/>
      <c r="G73" s="171">
        <f t="shared" si="10"/>
        <v>0</v>
      </c>
      <c r="H73" s="172">
        <f t="shared" si="11"/>
        <v>0</v>
      </c>
      <c r="I73" s="337"/>
      <c r="J73" s="195"/>
      <c r="K73" s="168"/>
      <c r="M73" s="359">
        <f t="shared" si="12"/>
        <v>0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573">
        <f>'[38]Sch C'!D67</f>
        <v>0</v>
      </c>
      <c r="D74" s="573">
        <f>'[38]Sch C'!F67</f>
        <v>0</v>
      </c>
      <c r="E74" s="171">
        <f t="shared" si="9"/>
        <v>0</v>
      </c>
      <c r="F74" s="171">
        <v>22429</v>
      </c>
      <c r="G74" s="171">
        <f t="shared" si="10"/>
        <v>22429</v>
      </c>
      <c r="H74" s="172">
        <f t="shared" si="11"/>
        <v>9.5384551266485193E-3</v>
      </c>
      <c r="I74" s="337"/>
      <c r="J74" s="195"/>
      <c r="K74" s="168"/>
      <c r="M74" s="359">
        <f t="shared" si="12"/>
        <v>1.6293040825221561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573">
        <f>'[38]Sch C'!D68</f>
        <v>0</v>
      </c>
      <c r="D75" s="573">
        <f>'[38]Sch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573">
        <f>'[38]Sch C'!D69</f>
        <v>0</v>
      </c>
      <c r="D76" s="573">
        <f>'[38]Sch C'!F69</f>
        <v>0</v>
      </c>
      <c r="E76" s="171">
        <f t="shared" si="9"/>
        <v>0</v>
      </c>
      <c r="F76" s="171"/>
      <c r="G76" s="171">
        <f t="shared" si="10"/>
        <v>0</v>
      </c>
      <c r="H76" s="172">
        <f t="shared" si="11"/>
        <v>0</v>
      </c>
      <c r="I76" s="337"/>
      <c r="J76" s="195"/>
      <c r="K76" s="168"/>
      <c r="M76" s="359">
        <f t="shared" si="12"/>
        <v>0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573">
        <f>'[38]Sch C'!D70</f>
        <v>0</v>
      </c>
      <c r="D77" s="573">
        <f>'[38]Sch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7"/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573">
        <f>'[38]Sch C'!D71</f>
        <v>0</v>
      </c>
      <c r="D78" s="573">
        <f>'[38]Sch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7"/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573">
        <f>SUM(C64:C78)</f>
        <v>177116</v>
      </c>
      <c r="D79" s="573">
        <f>SUM(D64:D78)</f>
        <v>0</v>
      </c>
      <c r="E79" s="171">
        <f t="shared" ref="E79" si="13">SUM(E64:E78)</f>
        <v>177116</v>
      </c>
      <c r="F79" s="171">
        <f>SUM(F64:F78)</f>
        <v>-5469</v>
      </c>
      <c r="G79" s="171">
        <f>SUM(G64:G78)</f>
        <v>171647</v>
      </c>
      <c r="H79" s="172">
        <f t="shared" si="11"/>
        <v>7.2996888275172242E-2</v>
      </c>
      <c r="I79" s="337"/>
      <c r="J79" s="195"/>
      <c r="K79" s="168"/>
      <c r="M79" s="359">
        <f t="shared" si="12"/>
        <v>12.468908906000291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573">
        <f>'[38]Sch C'!D75</f>
        <v>26660</v>
      </c>
      <c r="D82" s="573">
        <f>'[38]Sch C'!F75</f>
        <v>0</v>
      </c>
      <c r="E82" s="171">
        <f t="shared" ref="E82:E92" si="14">C82+D82</f>
        <v>26660</v>
      </c>
      <c r="F82" s="171"/>
      <c r="G82" s="171">
        <f t="shared" ref="G82:G92" si="15">E82+F82</f>
        <v>26660</v>
      </c>
      <c r="H82" s="172">
        <f t="shared" ref="H82:H93" si="16">IF($G$208=0,0,G82/$G$208)</f>
        <v>1.1337786511946566E-2</v>
      </c>
      <c r="I82" s="337"/>
      <c r="J82" s="183">
        <v>1101.82</v>
      </c>
      <c r="K82" s="183">
        <v>1125.82</v>
      </c>
      <c r="M82" s="359">
        <f t="shared" ref="M82:M92" si="17">G82/G$228</f>
        <v>1.9366555281127416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573">
        <f>'[38]Sch C'!D76</f>
        <v>2336</v>
      </c>
      <c r="D83" s="573">
        <f>'[38]Sch C'!F76</f>
        <v>0</v>
      </c>
      <c r="E83" s="171">
        <f t="shared" si="14"/>
        <v>2336</v>
      </c>
      <c r="F83" s="171"/>
      <c r="G83" s="171">
        <f t="shared" si="15"/>
        <v>2336</v>
      </c>
      <c r="H83" s="172">
        <f t="shared" si="16"/>
        <v>9.9343845806103433E-4</v>
      </c>
      <c r="I83" s="337"/>
      <c r="J83" s="168"/>
      <c r="K83" s="168"/>
      <c r="M83" s="359">
        <f t="shared" si="17"/>
        <v>0.1696934476245823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573">
        <f>'[38]Sch C'!D77</f>
        <v>9172</v>
      </c>
      <c r="D84" s="573">
        <f>'[38]Sch C'!F77</f>
        <v>0</v>
      </c>
      <c r="E84" s="171">
        <f t="shared" si="14"/>
        <v>9172</v>
      </c>
      <c r="F84" s="171"/>
      <c r="G84" s="171">
        <f t="shared" si="15"/>
        <v>9172</v>
      </c>
      <c r="H84" s="172">
        <f t="shared" si="16"/>
        <v>3.9006068224896437E-3</v>
      </c>
      <c r="I84" s="337"/>
      <c r="J84" s="168"/>
      <c r="K84" s="168"/>
      <c r="M84" s="359">
        <f t="shared" si="17"/>
        <v>0.66627923870405348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573">
        <f>'[38]Sch C'!D78</f>
        <v>1447</v>
      </c>
      <c r="D85" s="573">
        <f>'[38]Sch C'!F78</f>
        <v>0</v>
      </c>
      <c r="E85" s="171">
        <f t="shared" si="14"/>
        <v>1447</v>
      </c>
      <c r="F85" s="171"/>
      <c r="G85" s="171">
        <f t="shared" si="15"/>
        <v>1447</v>
      </c>
      <c r="H85" s="172">
        <f t="shared" si="16"/>
        <v>6.1537048322530684E-4</v>
      </c>
      <c r="I85" s="337"/>
      <c r="J85" s="168"/>
      <c r="K85" s="168"/>
      <c r="M85" s="359">
        <f t="shared" si="17"/>
        <v>0.10511404910649426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573">
        <f>'[38]Sch C'!D79</f>
        <v>0</v>
      </c>
      <c r="D86" s="573">
        <f>'[38]Sch C'!F79</f>
        <v>0</v>
      </c>
      <c r="E86" s="171">
        <f t="shared" si="14"/>
        <v>0</v>
      </c>
      <c r="F86" s="171"/>
      <c r="G86" s="171">
        <f>E86+F86</f>
        <v>0</v>
      </c>
      <c r="H86" s="172">
        <f t="shared" si="16"/>
        <v>0</v>
      </c>
      <c r="I86" s="337"/>
      <c r="J86" s="168"/>
      <c r="K86" s="168"/>
      <c r="M86" s="359">
        <f t="shared" si="17"/>
        <v>0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573">
        <f>'[38]Sch C'!D80</f>
        <v>20011</v>
      </c>
      <c r="D87" s="573">
        <f>'[38]Sch C'!F80</f>
        <v>0</v>
      </c>
      <c r="E87" s="171">
        <f t="shared" si="14"/>
        <v>20011</v>
      </c>
      <c r="F87" s="171"/>
      <c r="G87" s="171">
        <f t="shared" si="15"/>
        <v>20011</v>
      </c>
      <c r="H87" s="172">
        <f t="shared" si="16"/>
        <v>8.5101442569603426E-3</v>
      </c>
      <c r="I87" s="337"/>
      <c r="J87" s="168"/>
      <c r="K87" s="168"/>
      <c r="M87" s="359">
        <f t="shared" si="17"/>
        <v>1.4536539299723958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573">
        <f>'[38]Sch C'!D81</f>
        <v>27093</v>
      </c>
      <c r="D88" s="573">
        <f>'[38]Sch C'!F81</f>
        <v>-27093</v>
      </c>
      <c r="E88" s="171">
        <f t="shared" si="14"/>
        <v>0</v>
      </c>
      <c r="F88" s="171"/>
      <c r="G88" s="171">
        <f t="shared" si="15"/>
        <v>0</v>
      </c>
      <c r="H88" s="172">
        <f t="shared" si="16"/>
        <v>0</v>
      </c>
      <c r="I88" s="337"/>
      <c r="J88" s="168"/>
      <c r="K88" s="168"/>
      <c r="M88" s="359">
        <f t="shared" si="17"/>
        <v>0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573">
        <f>'[38]Sch C'!D82</f>
        <v>4765</v>
      </c>
      <c r="D89" s="573">
        <f>'[38]Sch C'!F82</f>
        <v>0</v>
      </c>
      <c r="E89" s="171">
        <f t="shared" si="14"/>
        <v>4765</v>
      </c>
      <c r="F89" s="171"/>
      <c r="G89" s="171">
        <f t="shared" si="15"/>
        <v>4765</v>
      </c>
      <c r="H89" s="172">
        <f t="shared" si="16"/>
        <v>2.0264273341869987E-3</v>
      </c>
      <c r="I89" s="337"/>
      <c r="J89" s="168"/>
      <c r="K89" s="168"/>
      <c r="M89" s="359">
        <f t="shared" si="17"/>
        <v>0.34614267034723228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573">
        <f>'[38]Sch C'!D83</f>
        <v>339</v>
      </c>
      <c r="D90" s="573">
        <f>'[38]Sch C'!F83</f>
        <v>0</v>
      </c>
      <c r="E90" s="171">
        <f t="shared" si="14"/>
        <v>339</v>
      </c>
      <c r="F90" s="171"/>
      <c r="G90" s="171">
        <f t="shared" si="15"/>
        <v>339</v>
      </c>
      <c r="H90" s="172">
        <f t="shared" si="16"/>
        <v>1.4416765294635731E-4</v>
      </c>
      <c r="I90" s="337"/>
      <c r="J90" s="168"/>
      <c r="K90" s="168"/>
      <c r="M90" s="359">
        <f t="shared" si="17"/>
        <v>2.4625889873601627E-2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573">
        <f>'[38]Sch C'!D84</f>
        <v>40541</v>
      </c>
      <c r="D91" s="573">
        <f>'[38]Sch C'!F84</f>
        <v>0</v>
      </c>
      <c r="E91" s="171">
        <f t="shared" si="14"/>
        <v>40541</v>
      </c>
      <c r="F91" s="171">
        <v>3566</v>
      </c>
      <c r="G91" s="171">
        <f t="shared" si="15"/>
        <v>44107</v>
      </c>
      <c r="H91" s="172">
        <f t="shared" si="16"/>
        <v>1.8757529995589915E-2</v>
      </c>
      <c r="I91" s="337"/>
      <c r="J91" s="168"/>
      <c r="K91" s="168"/>
      <c r="M91" s="359">
        <f t="shared" si="17"/>
        <v>3.2040534650588408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573">
        <f>'[38]Sch C'!D85</f>
        <v>3566</v>
      </c>
      <c r="D92" s="573">
        <f>'[38]Sch C'!F85</f>
        <v>0</v>
      </c>
      <c r="E92" s="171">
        <f t="shared" si="14"/>
        <v>3566</v>
      </c>
      <c r="F92" s="171">
        <v>-3566</v>
      </c>
      <c r="G92" s="171">
        <f t="shared" si="15"/>
        <v>0</v>
      </c>
      <c r="H92" s="172">
        <f t="shared" si="16"/>
        <v>0</v>
      </c>
      <c r="I92" s="337"/>
      <c r="J92" s="168"/>
      <c r="K92" s="168"/>
      <c r="M92" s="359">
        <f t="shared" si="17"/>
        <v>0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573">
        <f>SUM(C82:C92)</f>
        <v>135930</v>
      </c>
      <c r="D93" s="573">
        <f>SUM(D82:D92)</f>
        <v>-27093</v>
      </c>
      <c r="E93" s="171">
        <f t="shared" ref="E93" si="18">SUM(E82:E92)</f>
        <v>108837</v>
      </c>
      <c r="F93" s="171">
        <f>SUM(F82:F92)</f>
        <v>0</v>
      </c>
      <c r="G93" s="171">
        <f>SUM(G82:G92)</f>
        <v>108837</v>
      </c>
      <c r="H93" s="172">
        <f t="shared" si="16"/>
        <v>4.6285471515406164E-2</v>
      </c>
      <c r="I93" s="337"/>
      <c r="J93" s="168"/>
      <c r="K93" s="168"/>
      <c r="M93" s="364">
        <f>G93/G$228</f>
        <v>7.9062182187999417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573">
        <f>'[38]Sch C'!D89</f>
        <v>131171</v>
      </c>
      <c r="D96" s="573">
        <f>'[38]Sch C'!F89</f>
        <v>0</v>
      </c>
      <c r="E96" s="171">
        <f t="shared" ref="E96:E101" si="19">C96+D96</f>
        <v>131171</v>
      </c>
      <c r="F96" s="171"/>
      <c r="G96" s="171">
        <f t="shared" ref="G96:G101" si="20">E96+F96</f>
        <v>131171</v>
      </c>
      <c r="H96" s="172">
        <f t="shared" ref="H96:H102" si="21">IF($G$208=0,0,G96/$G$208)</f>
        <v>5.57835256773647E-2</v>
      </c>
      <c r="I96" s="337"/>
      <c r="J96" s="183">
        <v>8136.07</v>
      </c>
      <c r="K96" s="183">
        <v>8227.07</v>
      </c>
      <c r="M96" s="364">
        <f t="shared" ref="M96:M101" si="22">G96/G$228</f>
        <v>9.5286212407380511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573">
        <f>'[38]Sch C'!D90</f>
        <v>11821</v>
      </c>
      <c r="D97" s="573">
        <f>'[38]Sch C'!F90</f>
        <v>0</v>
      </c>
      <c r="E97" s="171">
        <f t="shared" si="19"/>
        <v>11821</v>
      </c>
      <c r="F97" s="171"/>
      <c r="G97" s="171">
        <f t="shared" si="20"/>
        <v>11821</v>
      </c>
      <c r="H97" s="172">
        <f t="shared" si="21"/>
        <v>5.0271558273713556E-3</v>
      </c>
      <c r="I97" s="337"/>
      <c r="J97" s="168"/>
      <c r="K97" s="168"/>
      <c r="M97" s="364">
        <f t="shared" si="22"/>
        <v>0.85870986488449808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573">
        <f>'[38]Sch C'!D91</f>
        <v>6524</v>
      </c>
      <c r="D98" s="573">
        <f>'[38]Sch C'!F91</f>
        <v>0</v>
      </c>
      <c r="E98" s="171">
        <f t="shared" si="19"/>
        <v>6524</v>
      </c>
      <c r="F98" s="171"/>
      <c r="G98" s="171">
        <f t="shared" si="20"/>
        <v>6524</v>
      </c>
      <c r="H98" s="172">
        <f t="shared" si="21"/>
        <v>2.7744830909204573E-3</v>
      </c>
      <c r="I98" s="337"/>
      <c r="J98" s="168"/>
      <c r="K98" s="168"/>
      <c r="M98" s="364">
        <f t="shared" si="22"/>
        <v>0.47392125526659884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573">
        <f>'[38]Sch C'!D92</f>
        <v>82854</v>
      </c>
      <c r="D99" s="573">
        <f>'[38]Sch C'!F92</f>
        <v>0</v>
      </c>
      <c r="E99" s="171">
        <f t="shared" si="19"/>
        <v>82854</v>
      </c>
      <c r="F99" s="171"/>
      <c r="G99" s="171">
        <f t="shared" si="20"/>
        <v>82854</v>
      </c>
      <c r="H99" s="172">
        <f t="shared" si="21"/>
        <v>3.5235595036039784E-2</v>
      </c>
      <c r="I99" s="337"/>
      <c r="J99" s="168"/>
      <c r="K99" s="168"/>
      <c r="M99" s="364">
        <f t="shared" si="22"/>
        <v>6.0187418276914135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573">
        <f>'[38]Sch C'!D93</f>
        <v>7858</v>
      </c>
      <c r="D100" s="573">
        <f>'[38]Sch C'!F93</f>
        <v>0</v>
      </c>
      <c r="E100" s="171">
        <f t="shared" si="19"/>
        <v>7858</v>
      </c>
      <c r="F100" s="171"/>
      <c r="G100" s="171">
        <f t="shared" si="20"/>
        <v>7858</v>
      </c>
      <c r="H100" s="172">
        <f t="shared" si="21"/>
        <v>3.3417976898303119E-3</v>
      </c>
      <c r="I100" s="337"/>
      <c r="J100" s="168"/>
      <c r="K100" s="168"/>
      <c r="M100" s="364">
        <f t="shared" si="22"/>
        <v>0.57082667441522594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573">
        <f>'[38]Sch C'!D94</f>
        <v>0</v>
      </c>
      <c r="D101" s="573">
        <f>'[38]Sch C'!F94</f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I101" s="337"/>
      <c r="J101" s="168"/>
      <c r="K101" s="168"/>
      <c r="M101" s="364">
        <f t="shared" si="22"/>
        <v>0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573">
        <f>SUM(C96:C101)</f>
        <v>240228</v>
      </c>
      <c r="D102" s="573">
        <f>SUM(D96:D101)</f>
        <v>0</v>
      </c>
      <c r="E102" s="171">
        <f t="shared" ref="E102" si="23">SUM(E96:E101)</f>
        <v>240228</v>
      </c>
      <c r="F102" s="171">
        <f>SUM(F96:F101)</f>
        <v>0</v>
      </c>
      <c r="G102" s="171">
        <f>SUM(G96:G101)</f>
        <v>240228</v>
      </c>
      <c r="H102" s="172">
        <f t="shared" si="21"/>
        <v>0.10216255732152661</v>
      </c>
      <c r="I102" s="337"/>
      <c r="J102" s="168"/>
      <c r="K102" s="168"/>
      <c r="M102" s="364">
        <f>G102/G$228</f>
        <v>17.450820862995787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573">
        <f>'[38]Sch C'!D98</f>
        <v>14168</v>
      </c>
      <c r="D105" s="573">
        <f>'[38]Sch C'!F98</f>
        <v>0</v>
      </c>
      <c r="E105" s="171">
        <f t="shared" ref="E105:E110" si="24">C105+D105</f>
        <v>14168</v>
      </c>
      <c r="F105" s="171"/>
      <c r="G105" s="171">
        <f t="shared" ref="G105:G110" si="25">E105+F105</f>
        <v>14168</v>
      </c>
      <c r="H105" s="172">
        <f t="shared" ref="H105:H111" si="26">IF($G$208=0,0,G105/$G$208)</f>
        <v>6.0252722918701773E-3</v>
      </c>
      <c r="I105" s="337"/>
      <c r="J105" s="183">
        <v>3133.91</v>
      </c>
      <c r="K105" s="183">
        <v>3203.82</v>
      </c>
      <c r="M105" s="364">
        <f t="shared" ref="M105:M110" si="27">G105/G$228</f>
        <v>1.0292023826819701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573">
        <f>'[38]Sch C'!D99</f>
        <v>1296</v>
      </c>
      <c r="D106" s="573">
        <f>'[38]Sch C'!F99</f>
        <v>0</v>
      </c>
      <c r="E106" s="171">
        <f t="shared" si="24"/>
        <v>1296</v>
      </c>
      <c r="F106" s="171"/>
      <c r="G106" s="171">
        <f t="shared" si="25"/>
        <v>1296</v>
      </c>
      <c r="H106" s="172">
        <f t="shared" si="26"/>
        <v>5.5115421303386159E-4</v>
      </c>
      <c r="I106" s="337"/>
      <c r="J106" s="168"/>
      <c r="K106" s="168"/>
      <c r="M106" s="364">
        <f t="shared" si="27"/>
        <v>9.4144994915007996E-2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573">
        <f>'[38]Sch C'!D100</f>
        <v>6536</v>
      </c>
      <c r="D107" s="573">
        <f>'[38]Sch C'!F100</f>
        <v>0</v>
      </c>
      <c r="E107" s="171">
        <f t="shared" si="24"/>
        <v>6536</v>
      </c>
      <c r="F107" s="171"/>
      <c r="G107" s="171">
        <f t="shared" si="25"/>
        <v>6536</v>
      </c>
      <c r="H107" s="172">
        <f t="shared" si="26"/>
        <v>2.7795863706707707E-3</v>
      </c>
      <c r="I107" s="337"/>
      <c r="J107" s="168"/>
      <c r="K107" s="168"/>
      <c r="M107" s="364">
        <f t="shared" si="27"/>
        <v>0.47479296818247857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573">
        <f>'[38]Sch C'!D101</f>
        <v>0</v>
      </c>
      <c r="D108" s="573">
        <f>'[38]Sch C'!F101</f>
        <v>0</v>
      </c>
      <c r="E108" s="171">
        <f t="shared" si="24"/>
        <v>0</v>
      </c>
      <c r="F108" s="171"/>
      <c r="G108" s="171">
        <f t="shared" si="25"/>
        <v>0</v>
      </c>
      <c r="H108" s="172">
        <f t="shared" si="26"/>
        <v>0</v>
      </c>
      <c r="I108" s="337"/>
      <c r="J108" s="168"/>
      <c r="K108" s="168"/>
      <c r="M108" s="364">
        <f t="shared" si="27"/>
        <v>0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573">
        <f>'[38]Sch C'!D102</f>
        <v>0</v>
      </c>
      <c r="D109" s="573">
        <f>'[38]Sch C'!F102</f>
        <v>0</v>
      </c>
      <c r="E109" s="171">
        <f t="shared" si="24"/>
        <v>0</v>
      </c>
      <c r="F109" s="171"/>
      <c r="G109" s="171">
        <f t="shared" si="25"/>
        <v>0</v>
      </c>
      <c r="H109" s="172">
        <f t="shared" si="26"/>
        <v>0</v>
      </c>
      <c r="I109" s="337"/>
      <c r="J109" s="168"/>
      <c r="K109" s="168"/>
      <c r="M109" s="364">
        <f t="shared" si="27"/>
        <v>0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573">
        <f>'[38]Sch C'!D103</f>
        <v>0</v>
      </c>
      <c r="D110" s="573">
        <f>'[38]Sch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7"/>
      <c r="J110" s="168"/>
      <c r="K110" s="168"/>
      <c r="M110" s="364">
        <f t="shared" si="27"/>
        <v>0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573">
        <f>SUM(C105:C110)</f>
        <v>22000</v>
      </c>
      <c r="D111" s="573">
        <f>SUM(D105:D110)</f>
        <v>0</v>
      </c>
      <c r="E111" s="171">
        <f t="shared" ref="E111" si="28">SUM(E105:E110)</f>
        <v>22000</v>
      </c>
      <c r="F111" s="171">
        <f>SUM(F105:F110)</f>
        <v>0</v>
      </c>
      <c r="G111" s="171">
        <f>SUM(G105:G110)</f>
        <v>22000</v>
      </c>
      <c r="H111" s="172">
        <f t="shared" si="26"/>
        <v>9.3560128755748092E-3</v>
      </c>
      <c r="I111" s="337"/>
      <c r="J111" s="168"/>
      <c r="K111" s="168"/>
      <c r="M111" s="364">
        <f>G111/G$228</f>
        <v>1.5981403457794567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573">
        <f>'[38]Sch C'!D115</f>
        <v>26873</v>
      </c>
      <c r="D114" s="573">
        <f>'[38]Sch C'!F115</f>
        <v>0</v>
      </c>
      <c r="E114" s="171">
        <f t="shared" ref="E114:E118" si="29">C114+D114</f>
        <v>26873</v>
      </c>
      <c r="F114" s="171"/>
      <c r="G114" s="171">
        <f>E114+F114</f>
        <v>26873</v>
      </c>
      <c r="H114" s="172">
        <f t="shared" ref="H114:H119" si="30">IF($G$208=0,0,G114/$G$208)</f>
        <v>1.1428369727514631E-2</v>
      </c>
      <c r="I114" s="337"/>
      <c r="J114" s="183">
        <v>2410.4899999999998</v>
      </c>
      <c r="K114" s="183">
        <v>2457.4899999999998</v>
      </c>
      <c r="M114" s="364">
        <f t="shared" ref="M114:M119" si="31">G114/G$228</f>
        <v>1.9521284323696062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573">
        <f>'[38]Sch C'!D116</f>
        <v>2400</v>
      </c>
      <c r="D115" s="573">
        <f>'[38]Sch C'!F116</f>
        <v>0</v>
      </c>
      <c r="E115" s="171">
        <f t="shared" si="29"/>
        <v>2400</v>
      </c>
      <c r="F115" s="171"/>
      <c r="G115" s="171">
        <f>E115+F115</f>
        <v>2400</v>
      </c>
      <c r="H115" s="172">
        <f t="shared" si="30"/>
        <v>1.0206559500627065E-3</v>
      </c>
      <c r="I115" s="337"/>
      <c r="J115" s="168"/>
      <c r="K115" s="168"/>
      <c r="M115" s="364">
        <f t="shared" si="31"/>
        <v>0.17434258317594073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573">
        <f>'[38]Sch C'!D117</f>
        <v>8381</v>
      </c>
      <c r="D116" s="573">
        <f>'[38]Sch C'!F117</f>
        <v>0</v>
      </c>
      <c r="E116" s="171">
        <f t="shared" si="29"/>
        <v>8381</v>
      </c>
      <c r="F116" s="171"/>
      <c r="G116" s="171">
        <f>E116+F116</f>
        <v>8381</v>
      </c>
      <c r="H116" s="172">
        <f t="shared" si="30"/>
        <v>3.5642156322814767E-3</v>
      </c>
      <c r="I116" s="337"/>
      <c r="J116" s="168"/>
      <c r="K116" s="168"/>
      <c r="M116" s="364">
        <f t="shared" si="31"/>
        <v>0.60881882899898299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573">
        <f>'[38]Sch C'!D118</f>
        <v>1840</v>
      </c>
      <c r="D117" s="573">
        <f>'[38]Sch C'!F118</f>
        <v>0</v>
      </c>
      <c r="E117" s="171">
        <f t="shared" si="29"/>
        <v>1840</v>
      </c>
      <c r="F117" s="171"/>
      <c r="G117" s="171">
        <f>E117+F117</f>
        <v>1840</v>
      </c>
      <c r="H117" s="172">
        <f t="shared" si="30"/>
        <v>7.8250289504807507E-4</v>
      </c>
      <c r="I117" s="337"/>
      <c r="J117" s="168"/>
      <c r="K117" s="168"/>
      <c r="M117" s="364">
        <f t="shared" si="31"/>
        <v>0.13366264710155457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573">
        <f>'[38]Sch C'!D119</f>
        <v>0</v>
      </c>
      <c r="D118" s="573">
        <f>'[38]Sch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337"/>
      <c r="J118" s="168"/>
      <c r="K118" s="168"/>
      <c r="M118" s="364">
        <f t="shared" si="31"/>
        <v>0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573">
        <f>SUM(C114:C118)</f>
        <v>39494</v>
      </c>
      <c r="D119" s="573">
        <f>SUM(D114:D118)</f>
        <v>0</v>
      </c>
      <c r="E119" s="171">
        <f t="shared" ref="E119" si="32">SUM(E114:E118)</f>
        <v>39494</v>
      </c>
      <c r="F119" s="171">
        <f>SUM(F114:F118)</f>
        <v>0</v>
      </c>
      <c r="G119" s="171">
        <f>SUM(G114:G118)</f>
        <v>39494</v>
      </c>
      <c r="H119" s="172">
        <f t="shared" si="30"/>
        <v>1.6795744204906888E-2</v>
      </c>
      <c r="I119" s="337"/>
      <c r="J119" s="168"/>
      <c r="K119" s="168"/>
      <c r="M119" s="364">
        <f t="shared" si="31"/>
        <v>2.8689524916460845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1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573">
        <f>'[38]Sch C'!D124</f>
        <v>0</v>
      </c>
      <c r="D123" s="573">
        <f>'[38]Sch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7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0.77002560279620991</v>
      </c>
    </row>
    <row r="124" spans="1:14" s="167" customFormat="1">
      <c r="B124" s="163" t="s">
        <v>194</v>
      </c>
      <c r="C124" s="573">
        <f>'[38]Sch C'!D125</f>
        <v>70522</v>
      </c>
      <c r="D124" s="573">
        <f>'[38]Sch C'!F125</f>
        <v>0</v>
      </c>
      <c r="E124" s="171">
        <f t="shared" si="33"/>
        <v>70522</v>
      </c>
      <c r="F124" s="171"/>
      <c r="G124" s="171">
        <f>E124+F124</f>
        <v>70522</v>
      </c>
      <c r="H124" s="172">
        <f>IF($G$208=0,0,G124/$G$208)</f>
        <v>2.9991124545967581E-2</v>
      </c>
      <c r="I124" s="337"/>
      <c r="J124" s="183">
        <v>2085.6</v>
      </c>
      <c r="K124" s="183">
        <v>2136.0300000000002</v>
      </c>
      <c r="M124" s="364">
        <f t="shared" si="34"/>
        <v>5.1229115211390379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573">
        <f>'[38]Sch C'!D126</f>
        <v>0</v>
      </c>
      <c r="D125" s="573">
        <f>'[38]Sch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7"/>
      <c r="J125" s="183">
        <v>0</v>
      </c>
      <c r="K125" s="183">
        <v>0</v>
      </c>
      <c r="M125" s="364">
        <f t="shared" si="34"/>
        <v>0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573">
        <f>'[38]Sch C'!D127</f>
        <v>0</v>
      </c>
      <c r="D126" s="573">
        <f>'[38]Sch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7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573">
        <f>'[38]Sch C'!D128</f>
        <v>0</v>
      </c>
      <c r="D127" s="573">
        <f>'[38]Sch C'!F128</f>
        <v>0</v>
      </c>
      <c r="E127" s="171">
        <f t="shared" si="33"/>
        <v>0</v>
      </c>
      <c r="F127" s="171"/>
      <c r="G127" s="171">
        <f>E127+F127</f>
        <v>0</v>
      </c>
      <c r="H127" s="172">
        <f>IF($G$208=0,0,G127/$G$208)</f>
        <v>0</v>
      </c>
      <c r="I127" s="337"/>
      <c r="J127" s="183">
        <v>0</v>
      </c>
      <c r="K127" s="183">
        <v>0</v>
      </c>
      <c r="M127" s="364">
        <f t="shared" si="34"/>
        <v>0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205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573">
        <f>'[38]Sch C'!D130</f>
        <v>0</v>
      </c>
      <c r="D129" s="573">
        <f>'[38]Sch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7"/>
      <c r="J129" s="204"/>
      <c r="K129" s="204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573">
        <f>'[38]Sch C'!D131</f>
        <v>0</v>
      </c>
      <c r="D130" s="573">
        <f>'[38]Sch C'!F131</f>
        <v>0</v>
      </c>
      <c r="E130" s="171">
        <f t="shared" si="35"/>
        <v>0</v>
      </c>
      <c r="F130" s="171"/>
      <c r="G130" s="171">
        <f>E130+F130</f>
        <v>0</v>
      </c>
      <c r="H130" s="172">
        <f>IF($G$208=0,0,G130/$G$208)</f>
        <v>0</v>
      </c>
      <c r="I130" s="337"/>
      <c r="J130" s="204"/>
      <c r="K130" s="204"/>
      <c r="M130" s="364">
        <f t="shared" si="34"/>
        <v>0</v>
      </c>
      <c r="N130" s="359">
        <f>SUMMARY!J133</f>
        <v>1.0792348507966931</v>
      </c>
    </row>
    <row r="131" spans="1:14" s="167" customFormat="1">
      <c r="B131" s="163" t="s">
        <v>195</v>
      </c>
      <c r="C131" s="573">
        <f>'[38]Sch C'!D132</f>
        <v>0</v>
      </c>
      <c r="D131" s="573">
        <f>'[38]Sch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7"/>
      <c r="J131" s="168"/>
      <c r="K131" s="168"/>
      <c r="M131" s="364">
        <f t="shared" si="34"/>
        <v>0</v>
      </c>
      <c r="N131" s="359">
        <f>SUMMARY!J134</f>
        <v>8.2765628075518377E-2</v>
      </c>
    </row>
    <row r="132" spans="1:14" s="167" customFormat="1">
      <c r="B132" s="163" t="s">
        <v>196</v>
      </c>
      <c r="C132" s="573">
        <f>'[38]Sch C'!D133</f>
        <v>0</v>
      </c>
      <c r="D132" s="573">
        <f>'[38]Sch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573">
        <f>'[38]Sch C'!D134</f>
        <v>0</v>
      </c>
      <c r="D133" s="573">
        <f>'[38]Sch C'!F134</f>
        <v>0</v>
      </c>
      <c r="E133" s="171">
        <f t="shared" si="35"/>
        <v>0</v>
      </c>
      <c r="F133" s="171"/>
      <c r="G133" s="171">
        <f>E133+F133</f>
        <v>0</v>
      </c>
      <c r="H133" s="172">
        <f>IF($G$208=0,0,G133/$G$208)</f>
        <v>0</v>
      </c>
      <c r="I133" s="337"/>
      <c r="J133" s="168"/>
      <c r="K133" s="168"/>
      <c r="M133" s="364">
        <f t="shared" si="34"/>
        <v>0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573">
        <f>'[38]Sch C'!D136</f>
        <v>140045</v>
      </c>
      <c r="D135" s="573">
        <f>'[38]Sch C'!F136</f>
        <v>0</v>
      </c>
      <c r="E135" s="171">
        <f t="shared" ref="E135:E138" si="36">C135+D135</f>
        <v>140045</v>
      </c>
      <c r="F135" s="171"/>
      <c r="G135" s="171">
        <f>E135+F135</f>
        <v>140045</v>
      </c>
      <c r="H135" s="172">
        <f>IF($G$208=0,0,G135/$G$208)</f>
        <v>5.9557401052721559E-2</v>
      </c>
      <c r="I135" s="337"/>
      <c r="J135" s="183">
        <v>4982.3</v>
      </c>
      <c r="K135" s="183">
        <v>5015.3</v>
      </c>
      <c r="M135" s="364">
        <f t="shared" si="34"/>
        <v>10.173252942031091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573">
        <f>'[38]Sch C'!D137</f>
        <v>146741</v>
      </c>
      <c r="D136" s="573">
        <f>'[38]Sch C'!F137</f>
        <v>0</v>
      </c>
      <c r="E136" s="171">
        <f t="shared" si="36"/>
        <v>146741</v>
      </c>
      <c r="F136" s="171"/>
      <c r="G136" s="171">
        <f>E136+F136</f>
        <v>146741</v>
      </c>
      <c r="H136" s="172">
        <f>IF($G$208=0,0,G136/$G$208)</f>
        <v>6.240503115339651E-2</v>
      </c>
      <c r="I136" s="337"/>
      <c r="J136" s="183">
        <v>5435.8</v>
      </c>
      <c r="K136" s="183">
        <v>5512.27</v>
      </c>
      <c r="M136" s="364">
        <f t="shared" si="34"/>
        <v>10.659668749091965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573">
        <f>'[38]Sch C'!D138</f>
        <v>309134</v>
      </c>
      <c r="D137" s="573">
        <f>'[38]Sch C'!F138</f>
        <v>0</v>
      </c>
      <c r="E137" s="171">
        <f t="shared" si="36"/>
        <v>309134</v>
      </c>
      <c r="F137" s="171"/>
      <c r="G137" s="171">
        <f>E137+F137</f>
        <v>309134</v>
      </c>
      <c r="H137" s="172">
        <f>IF($G$208=0,0,G137/$G$208)</f>
        <v>0.13146644019445197</v>
      </c>
      <c r="I137" s="337"/>
      <c r="J137" s="183">
        <v>25944.29</v>
      </c>
      <c r="K137" s="183">
        <v>26179.19</v>
      </c>
      <c r="M137" s="364">
        <f t="shared" si="34"/>
        <v>22.456341711463025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573">
        <f>'[38]Sch C'!D139</f>
        <v>0</v>
      </c>
      <c r="D138" s="573">
        <f>'[38]Sch C'!F139</f>
        <v>0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7"/>
      <c r="J138" s="183">
        <v>0</v>
      </c>
      <c r="K138" s="183">
        <v>0</v>
      </c>
      <c r="M138" s="364">
        <f t="shared" si="34"/>
        <v>0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7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573">
        <f>'[38]Sch C'!D141</f>
        <v>29937</v>
      </c>
      <c r="D140" s="573">
        <f>'[38]Sch C'!F141</f>
        <v>0</v>
      </c>
      <c r="E140" s="171">
        <f t="shared" ref="E140:E143" si="37">C140+D140</f>
        <v>29937</v>
      </c>
      <c r="F140" s="171">
        <v>-14969</v>
      </c>
      <c r="G140" s="171">
        <f>E140+F140</f>
        <v>14968</v>
      </c>
      <c r="H140" s="172">
        <f>IF($G$208=0,0,G140/$G$208)</f>
        <v>6.3654909418910796E-3</v>
      </c>
      <c r="I140" s="337"/>
      <c r="J140" s="168"/>
      <c r="K140" s="168"/>
      <c r="M140" s="364">
        <f t="shared" si="34"/>
        <v>1.0873165770739504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573">
        <f>'[38]Sch C'!D142</f>
        <v>0</v>
      </c>
      <c r="D141" s="573">
        <f>'[38]Sch C'!F142</f>
        <v>0</v>
      </c>
      <c r="E141" s="171">
        <f t="shared" si="37"/>
        <v>0</v>
      </c>
      <c r="F141" s="171">
        <v>14969</v>
      </c>
      <c r="G141" s="171">
        <f>E141+F141</f>
        <v>14969</v>
      </c>
      <c r="H141" s="172">
        <f>IF($G$208=0,0,G141/$G$208)</f>
        <v>6.3659162152036059E-3</v>
      </c>
      <c r="I141" s="337"/>
      <c r="J141" s="168"/>
      <c r="K141" s="168"/>
      <c r="M141" s="364">
        <f t="shared" si="34"/>
        <v>1.0873892198169404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573">
        <f>'[38]Sch C'!D143</f>
        <v>27794</v>
      </c>
      <c r="D142" s="573">
        <f>'[38]Sch C'!F143</f>
        <v>0</v>
      </c>
      <c r="E142" s="171">
        <f t="shared" si="37"/>
        <v>27794</v>
      </c>
      <c r="F142" s="171"/>
      <c r="G142" s="171">
        <f>E142+F142</f>
        <v>27794</v>
      </c>
      <c r="H142" s="172">
        <f>IF($G$208=0,0,G142/$G$208)</f>
        <v>1.1820046448351194E-2</v>
      </c>
      <c r="I142" s="337"/>
      <c r="J142" s="168"/>
      <c r="K142" s="168"/>
      <c r="M142" s="364">
        <f t="shared" si="34"/>
        <v>2.0190323986633736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573">
        <f>'[38]Sch C'!D144</f>
        <v>0</v>
      </c>
      <c r="D143" s="573">
        <f>'[38]Sch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7"/>
      <c r="J143" s="168"/>
      <c r="K143" s="168"/>
      <c r="M143" s="364">
        <f t="shared" si="34"/>
        <v>0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7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573">
        <f>'[38]Sch C'!D146</f>
        <v>13113</v>
      </c>
      <c r="D145" s="573">
        <f>'[38]Sch C'!F146</f>
        <v>0</v>
      </c>
      <c r="E145" s="171">
        <f t="shared" ref="E145:E153" si="38">C145+D145</f>
        <v>13113</v>
      </c>
      <c r="F145" s="171"/>
      <c r="G145" s="171">
        <f t="shared" ref="G145:G153" si="39">E145+F145</f>
        <v>13113</v>
      </c>
      <c r="H145" s="172">
        <f t="shared" ref="H145:H153" si="40">IF($G$208=0,0,G145/$G$208)</f>
        <v>5.5766089471551133E-3</v>
      </c>
      <c r="I145" s="337"/>
      <c r="J145" s="183">
        <v>208.5</v>
      </c>
      <c r="K145" s="183">
        <v>208.5</v>
      </c>
      <c r="M145" s="364">
        <f t="shared" si="34"/>
        <v>0.95256428882754618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573">
        <f>'[38]Sch C'!D147</f>
        <v>609</v>
      </c>
      <c r="D146" s="573">
        <f>'[38]Sch C'!F147</f>
        <v>0</v>
      </c>
      <c r="E146" s="171">
        <f t="shared" si="38"/>
        <v>609</v>
      </c>
      <c r="F146" s="171"/>
      <c r="G146" s="171">
        <f t="shared" si="39"/>
        <v>609</v>
      </c>
      <c r="H146" s="172">
        <f t="shared" si="40"/>
        <v>2.5899144732841181E-4</v>
      </c>
      <c r="I146" s="337"/>
      <c r="J146" s="183">
        <v>0</v>
      </c>
      <c r="K146" s="183">
        <v>0</v>
      </c>
      <c r="M146" s="364">
        <f t="shared" si="34"/>
        <v>4.4239430480894959E-2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573">
        <f>'[38]Sch C'!D148</f>
        <v>0</v>
      </c>
      <c r="D147" s="573">
        <f>'[38]Sch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7"/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573">
        <f>'[38]Sch C'!D149</f>
        <v>0</v>
      </c>
      <c r="D148" s="573">
        <f>'[38]Sch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7"/>
      <c r="J148" s="183">
        <v>0</v>
      </c>
      <c r="K148" s="183">
        <v>0</v>
      </c>
      <c r="M148" s="364">
        <f t="shared" si="34"/>
        <v>0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573">
        <f>'[38]Sch C'!D150</f>
        <v>6995</v>
      </c>
      <c r="D149" s="573">
        <f>'[38]Sch C'!F150</f>
        <v>0</v>
      </c>
      <c r="E149" s="171">
        <f t="shared" si="38"/>
        <v>6995</v>
      </c>
      <c r="F149" s="171"/>
      <c r="G149" s="171">
        <f t="shared" si="39"/>
        <v>6995</v>
      </c>
      <c r="H149" s="172">
        <f t="shared" si="40"/>
        <v>2.9747868211202635E-3</v>
      </c>
      <c r="I149" s="337"/>
      <c r="J149" s="183">
        <v>0</v>
      </c>
      <c r="K149" s="183">
        <v>0</v>
      </c>
      <c r="M149" s="364">
        <f t="shared" si="34"/>
        <v>0.50813598721487718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573">
        <f>'[38]Sch C'!D151</f>
        <v>71454</v>
      </c>
      <c r="D150" s="573">
        <f>'[38]Sch C'!F151</f>
        <v>0</v>
      </c>
      <c r="E150" s="171">
        <f t="shared" si="38"/>
        <v>71454</v>
      </c>
      <c r="F150" s="171"/>
      <c r="G150" s="171">
        <f t="shared" si="39"/>
        <v>71454</v>
      </c>
      <c r="H150" s="172">
        <f t="shared" si="40"/>
        <v>3.0387479273241931E-2</v>
      </c>
      <c r="I150" s="337"/>
      <c r="J150" s="168"/>
      <c r="K150" s="168"/>
      <c r="M150" s="364">
        <f t="shared" si="34"/>
        <v>5.190614557605695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573">
        <f>'[38]Sch C'!D152</f>
        <v>18563</v>
      </c>
      <c r="D151" s="573">
        <f>'[38]Sch C'!F152</f>
        <v>0</v>
      </c>
      <c r="E151" s="171">
        <f t="shared" si="38"/>
        <v>18563</v>
      </c>
      <c r="F151" s="171"/>
      <c r="G151" s="171">
        <f t="shared" si="39"/>
        <v>18563</v>
      </c>
      <c r="H151" s="172">
        <f t="shared" si="40"/>
        <v>7.8943485004225097E-3</v>
      </c>
      <c r="I151" s="337"/>
      <c r="J151" s="168"/>
      <c r="K151" s="168"/>
      <c r="M151" s="364">
        <f t="shared" si="34"/>
        <v>1.3484672381229115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573">
        <f>'[38]Sch C'!D153</f>
        <v>0</v>
      </c>
      <c r="D152" s="573">
        <f>'[38]Sch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7"/>
      <c r="J152" s="168"/>
      <c r="K152" s="168"/>
      <c r="M152" s="364">
        <f t="shared" si="34"/>
        <v>0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573">
        <f>'[38]Sch C'!D154</f>
        <v>0</v>
      </c>
      <c r="D153" s="573">
        <f>'[38]Sch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210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573">
        <f>'[38]Sch C'!D156</f>
        <v>0</v>
      </c>
      <c r="D155" s="573">
        <f>'[38]Sch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573">
        <f>'[38]Sch C'!D157</f>
        <v>0</v>
      </c>
      <c r="D156" s="573">
        <f>'[38]Sch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573">
        <f>'[38]Sch C'!D158</f>
        <v>0</v>
      </c>
      <c r="D157" s="573">
        <f>'[38]Sch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7"/>
      <c r="J157" s="168"/>
      <c r="K157" s="168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573">
        <f>'[38]Sch C'!D159</f>
        <v>0</v>
      </c>
      <c r="D158" s="573">
        <f>'[38]Sch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573">
        <f>'[38]Sch C'!D160</f>
        <v>0</v>
      </c>
      <c r="D159" s="573">
        <f>'[38]Sch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7"/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573">
        <f>'[38]Sch C'!D161</f>
        <v>4019</v>
      </c>
      <c r="D160" s="573">
        <f>'[38]Sch C'!F161</f>
        <v>0</v>
      </c>
      <c r="E160" s="171">
        <f t="shared" si="41"/>
        <v>4019</v>
      </c>
      <c r="F160" s="171"/>
      <c r="G160" s="171">
        <f t="shared" si="42"/>
        <v>4019</v>
      </c>
      <c r="H160" s="172">
        <f t="shared" si="43"/>
        <v>1.7091734430425074E-3</v>
      </c>
      <c r="I160" s="337"/>
      <c r="J160" s="168"/>
      <c r="K160" s="168"/>
      <c r="M160" s="364">
        <f t="shared" si="34"/>
        <v>0.29195118407671072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573">
        <f>SUM(C123:C160)</f>
        <v>838926</v>
      </c>
      <c r="D161" s="573">
        <f>SUM(D123:D160)</f>
        <v>0</v>
      </c>
      <c r="E161" s="171">
        <f t="shared" ref="E161" si="44">SUM(E123:E160)</f>
        <v>838926</v>
      </c>
      <c r="F161" s="171">
        <f>SUM(F123:F160)</f>
        <v>0</v>
      </c>
      <c r="G161" s="171">
        <f>SUM(G123:G160)</f>
        <v>838926</v>
      </c>
      <c r="H161" s="172">
        <f t="shared" si="43"/>
        <v>0.35677283898429424</v>
      </c>
      <c r="I161" s="337"/>
      <c r="J161" s="168"/>
      <c r="K161" s="168"/>
      <c r="M161" s="364">
        <f>G161/G$228</f>
        <v>60.941885805608017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337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7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573">
        <f>'[38]Sch C'!D175</f>
        <v>0</v>
      </c>
      <c r="D164" s="573">
        <f>'[38]Sch C'!F175</f>
        <v>0</v>
      </c>
      <c r="E164" s="171">
        <f t="shared" ref="E164:E196" si="45">C164+D164</f>
        <v>0</v>
      </c>
      <c r="F164" s="665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573">
        <f>'[38]Sch C'!D176</f>
        <v>0</v>
      </c>
      <c r="D165" s="573">
        <f>'[38]Sch C'!F176</f>
        <v>0</v>
      </c>
      <c r="E165" s="171">
        <f t="shared" si="45"/>
        <v>0</v>
      </c>
      <c r="F165" s="665"/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573">
        <f>'[38]Sch C'!D177</f>
        <v>0</v>
      </c>
      <c r="D166" s="573">
        <f>'[38]Sch C'!F177</f>
        <v>0</v>
      </c>
      <c r="E166" s="171">
        <f t="shared" si="45"/>
        <v>0</v>
      </c>
      <c r="F166" s="665"/>
      <c r="G166" s="171">
        <f t="shared" si="46"/>
        <v>0</v>
      </c>
      <c r="H166" s="172">
        <f t="shared" si="47"/>
        <v>0</v>
      </c>
      <c r="I166" s="343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573">
        <f>'[38]Sch C'!D178</f>
        <v>0</v>
      </c>
      <c r="D167" s="573">
        <f>'[38]Sch C'!F178</f>
        <v>0</v>
      </c>
      <c r="E167" s="171">
        <f t="shared" si="45"/>
        <v>0</v>
      </c>
      <c r="F167" s="665"/>
      <c r="G167" s="171">
        <f t="shared" si="46"/>
        <v>0</v>
      </c>
      <c r="H167" s="172">
        <f t="shared" si="47"/>
        <v>0</v>
      </c>
      <c r="I167" s="344"/>
      <c r="J167" s="222"/>
      <c r="K167" s="222"/>
      <c r="L167" s="218"/>
      <c r="M167" s="364">
        <f t="shared" si="48"/>
        <v>0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573">
        <f>'[38]Sch C'!D179</f>
        <v>0</v>
      </c>
      <c r="D168" s="573">
        <f>'[38]Sch C'!F179</f>
        <v>0</v>
      </c>
      <c r="E168" s="171">
        <f t="shared" si="45"/>
        <v>0</v>
      </c>
      <c r="F168" s="665"/>
      <c r="G168" s="171">
        <f t="shared" si="46"/>
        <v>0</v>
      </c>
      <c r="H168" s="172">
        <f t="shared" si="47"/>
        <v>0</v>
      </c>
      <c r="I168" s="343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573">
        <f>'[38]Sch C'!D180</f>
        <v>0</v>
      </c>
      <c r="D169" s="573">
        <f>'[38]Sch C'!F180</f>
        <v>0</v>
      </c>
      <c r="E169" s="171">
        <f t="shared" si="45"/>
        <v>0</v>
      </c>
      <c r="F169" s="665"/>
      <c r="G169" s="171">
        <f t="shared" si="46"/>
        <v>0</v>
      </c>
      <c r="H169" s="172">
        <f t="shared" si="47"/>
        <v>0</v>
      </c>
      <c r="I169" s="344"/>
      <c r="J169" s="222"/>
      <c r="K169" s="222"/>
      <c r="L169" s="218"/>
      <c r="M169" s="364">
        <f t="shared" si="48"/>
        <v>0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573">
        <f>'[38]Sch C'!D181</f>
        <v>0</v>
      </c>
      <c r="D170" s="573">
        <f>'[38]Sch C'!F181</f>
        <v>0</v>
      </c>
      <c r="E170" s="171">
        <f t="shared" si="45"/>
        <v>0</v>
      </c>
      <c r="F170" s="665"/>
      <c r="G170" s="171">
        <f t="shared" si="46"/>
        <v>0</v>
      </c>
      <c r="H170" s="172">
        <f t="shared" si="47"/>
        <v>0</v>
      </c>
      <c r="I170" s="343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573">
        <f>'[38]Sch C'!D182</f>
        <v>0</v>
      </c>
      <c r="D171" s="573">
        <f>'[38]Sch C'!F182</f>
        <v>0</v>
      </c>
      <c r="E171" s="171">
        <f t="shared" si="45"/>
        <v>0</v>
      </c>
      <c r="F171" s="665"/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573">
        <f>'[38]Sch C'!D183</f>
        <v>0</v>
      </c>
      <c r="D172" s="573">
        <f>'[38]Sch C'!F183</f>
        <v>0</v>
      </c>
      <c r="E172" s="171">
        <f t="shared" si="45"/>
        <v>0</v>
      </c>
      <c r="F172" s="665"/>
      <c r="G172" s="171">
        <f t="shared" si="46"/>
        <v>0</v>
      </c>
      <c r="H172" s="172">
        <f t="shared" si="47"/>
        <v>0</v>
      </c>
      <c r="I172" s="343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573">
        <f>'[38]Sch C'!D184</f>
        <v>0</v>
      </c>
      <c r="D173" s="573">
        <f>'[38]Sch C'!F184</f>
        <v>0</v>
      </c>
      <c r="E173" s="171">
        <f t="shared" si="45"/>
        <v>0</v>
      </c>
      <c r="F173" s="665"/>
      <c r="G173" s="171">
        <f t="shared" si="46"/>
        <v>0</v>
      </c>
      <c r="H173" s="172">
        <f t="shared" si="47"/>
        <v>0</v>
      </c>
      <c r="I173" s="344"/>
      <c r="J173" s="222"/>
      <c r="K173" s="222"/>
      <c r="L173" s="218"/>
      <c r="M173" s="364">
        <f t="shared" si="48"/>
        <v>0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573">
        <f>'[38]Sch C'!D185</f>
        <v>0</v>
      </c>
      <c r="D174" s="573">
        <f>'[38]Sch C'!F185</f>
        <v>0</v>
      </c>
      <c r="E174" s="171">
        <f t="shared" si="45"/>
        <v>0</v>
      </c>
      <c r="F174" s="665"/>
      <c r="G174" s="171">
        <f t="shared" si="46"/>
        <v>0</v>
      </c>
      <c r="H174" s="172">
        <f t="shared" si="47"/>
        <v>0</v>
      </c>
      <c r="I174" s="343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573">
        <f>'[38]Sch C'!D186</f>
        <v>0</v>
      </c>
      <c r="D175" s="573">
        <f>'[38]Sch C'!F186</f>
        <v>0</v>
      </c>
      <c r="E175" s="171">
        <f t="shared" si="45"/>
        <v>0</v>
      </c>
      <c r="F175" s="665"/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573">
        <f>'[38]Sch C'!D187</f>
        <v>0</v>
      </c>
      <c r="D176" s="573">
        <f>'[38]Sch C'!F187</f>
        <v>0</v>
      </c>
      <c r="E176" s="171">
        <f t="shared" si="45"/>
        <v>0</v>
      </c>
      <c r="F176" s="665"/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573">
        <f>'[38]Sch C'!D188</f>
        <v>0</v>
      </c>
      <c r="D177" s="573">
        <f>'[38]Sch C'!F188</f>
        <v>0</v>
      </c>
      <c r="E177" s="171">
        <f t="shared" si="45"/>
        <v>0</v>
      </c>
      <c r="F177" s="665"/>
      <c r="G177" s="171">
        <f t="shared" si="46"/>
        <v>0</v>
      </c>
      <c r="H177" s="172">
        <f t="shared" si="47"/>
        <v>0</v>
      </c>
      <c r="I177" s="337"/>
      <c r="J177" s="223"/>
      <c r="K177" s="218"/>
      <c r="L177" s="220"/>
      <c r="M177" s="364">
        <f t="shared" si="48"/>
        <v>0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573">
        <f>'[38]Sch C'!D189</f>
        <v>0</v>
      </c>
      <c r="D178" s="573">
        <f>'[38]Sch C'!F189</f>
        <v>0</v>
      </c>
      <c r="E178" s="171">
        <f t="shared" si="45"/>
        <v>0</v>
      </c>
      <c r="F178" s="665"/>
      <c r="G178" s="171">
        <f t="shared" si="46"/>
        <v>0</v>
      </c>
      <c r="H178" s="172">
        <f t="shared" si="47"/>
        <v>0</v>
      </c>
      <c r="I178" s="337"/>
      <c r="J178" s="223"/>
      <c r="K178" s="218"/>
      <c r="L178" s="220"/>
      <c r="M178" s="364">
        <f t="shared" si="48"/>
        <v>0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573">
        <f>'[38]Sch C'!D190</f>
        <v>0</v>
      </c>
      <c r="D179" s="573">
        <f>'[38]Sch C'!F190</f>
        <v>0</v>
      </c>
      <c r="E179" s="171">
        <f t="shared" si="45"/>
        <v>0</v>
      </c>
      <c r="F179" s="665"/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573">
        <f>'[38]Sch C'!D191</f>
        <v>0</v>
      </c>
      <c r="D180" s="573">
        <f>'[38]Sch C'!F191</f>
        <v>0</v>
      </c>
      <c r="E180" s="171">
        <f t="shared" si="45"/>
        <v>0</v>
      </c>
      <c r="F180" s="665"/>
      <c r="G180" s="171">
        <f t="shared" si="46"/>
        <v>0</v>
      </c>
      <c r="H180" s="172">
        <f t="shared" si="47"/>
        <v>0</v>
      </c>
      <c r="I180" s="337"/>
      <c r="J180" s="223"/>
      <c r="K180" s="218"/>
      <c r="L180" s="220"/>
      <c r="M180" s="364">
        <f t="shared" si="48"/>
        <v>0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573">
        <f>'[38]Sch C'!D192</f>
        <v>0</v>
      </c>
      <c r="D181" s="573">
        <f>'[38]Sch C'!F192</f>
        <v>0</v>
      </c>
      <c r="E181" s="171">
        <f t="shared" si="45"/>
        <v>0</v>
      </c>
      <c r="F181" s="665"/>
      <c r="G181" s="171">
        <f t="shared" si="46"/>
        <v>0</v>
      </c>
      <c r="H181" s="172">
        <f t="shared" si="47"/>
        <v>0</v>
      </c>
      <c r="I181" s="337"/>
      <c r="J181" s="223"/>
      <c r="K181" s="218"/>
      <c r="L181" s="220"/>
      <c r="M181" s="364">
        <f t="shared" si="48"/>
        <v>0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573">
        <f>'[38]Sch C'!D193</f>
        <v>0</v>
      </c>
      <c r="D182" s="573">
        <f>'[38]Sch C'!F193</f>
        <v>0</v>
      </c>
      <c r="E182" s="171">
        <f t="shared" si="45"/>
        <v>0</v>
      </c>
      <c r="F182" s="665"/>
      <c r="G182" s="171">
        <f t="shared" si="46"/>
        <v>0</v>
      </c>
      <c r="H182" s="172">
        <f t="shared" si="47"/>
        <v>0</v>
      </c>
      <c r="I182" s="337"/>
      <c r="J182" s="223"/>
      <c r="K182" s="218"/>
      <c r="L182" s="220"/>
      <c r="M182" s="364">
        <f t="shared" si="48"/>
        <v>0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573">
        <f>'[38]Sch C'!D194</f>
        <v>122451</v>
      </c>
      <c r="D183" s="573">
        <f>'[38]Sch C'!F194</f>
        <v>0</v>
      </c>
      <c r="E183" s="171">
        <f t="shared" si="45"/>
        <v>122451</v>
      </c>
      <c r="F183" s="665"/>
      <c r="G183" s="171">
        <f t="shared" si="46"/>
        <v>122451</v>
      </c>
      <c r="H183" s="172">
        <f t="shared" si="47"/>
        <v>5.2075142392136869E-2</v>
      </c>
      <c r="I183" s="337"/>
      <c r="J183" s="223"/>
      <c r="K183" s="218"/>
      <c r="M183" s="364">
        <f t="shared" si="48"/>
        <v>8.8951765218654657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573">
        <f>'[38]Sch C'!D195</f>
        <v>28340</v>
      </c>
      <c r="D184" s="573">
        <f>'[38]Sch C'!F195</f>
        <v>0</v>
      </c>
      <c r="E184" s="171">
        <f t="shared" si="45"/>
        <v>28340</v>
      </c>
      <c r="F184" s="665"/>
      <c r="G184" s="171">
        <f t="shared" si="46"/>
        <v>28340</v>
      </c>
      <c r="H184" s="172">
        <f t="shared" si="47"/>
        <v>1.205224567699046E-2</v>
      </c>
      <c r="I184" s="337"/>
      <c r="J184" s="223"/>
      <c r="K184" s="218"/>
      <c r="M184" s="364">
        <f t="shared" si="48"/>
        <v>2.0586953363359002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573">
        <f>'[38]Sch C'!D196</f>
        <v>0</v>
      </c>
      <c r="D185" s="573">
        <f>'[38]Sch C'!F196</f>
        <v>0</v>
      </c>
      <c r="E185" s="171">
        <f t="shared" si="45"/>
        <v>0</v>
      </c>
      <c r="F185" s="665"/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573">
        <f>'[38]Sch C'!D197</f>
        <v>80938</v>
      </c>
      <c r="D186" s="573">
        <f>'[38]Sch C'!F197</f>
        <v>0</v>
      </c>
      <c r="E186" s="171">
        <f t="shared" si="45"/>
        <v>80938</v>
      </c>
      <c r="F186" s="665"/>
      <c r="G186" s="171">
        <f t="shared" si="46"/>
        <v>80938</v>
      </c>
      <c r="H186" s="172">
        <f t="shared" si="47"/>
        <v>3.4420771369239725E-2</v>
      </c>
      <c r="I186" s="337"/>
      <c r="J186" s="223"/>
      <c r="K186" s="218"/>
      <c r="M186" s="364">
        <f t="shared" si="48"/>
        <v>5.8795583321226212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573">
        <f>'[38]Sch C'!D198</f>
        <v>14522</v>
      </c>
      <c r="D187" s="573">
        <f>'[38]Sch C'!F198</f>
        <v>0</v>
      </c>
      <c r="E187" s="171">
        <f t="shared" si="45"/>
        <v>14522</v>
      </c>
      <c r="F187" s="665"/>
      <c r="G187" s="171">
        <f t="shared" si="46"/>
        <v>14522</v>
      </c>
      <c r="H187" s="172">
        <f t="shared" si="47"/>
        <v>6.175819044504427E-3</v>
      </c>
      <c r="I187" s="337"/>
      <c r="J187" s="223"/>
      <c r="K187" s="218"/>
      <c r="M187" s="364">
        <f t="shared" si="48"/>
        <v>1.0549179137004214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573">
        <f>'[38]Sch C'!D199</f>
        <v>0</v>
      </c>
      <c r="D188" s="573">
        <f>'[38]Sch C'!F199</f>
        <v>0</v>
      </c>
      <c r="E188" s="171">
        <f t="shared" si="45"/>
        <v>0</v>
      </c>
      <c r="F188" s="665"/>
      <c r="G188" s="171">
        <f t="shared" si="46"/>
        <v>0</v>
      </c>
      <c r="H188" s="172">
        <f t="shared" si="47"/>
        <v>0</v>
      </c>
      <c r="I188" s="337"/>
      <c r="J188" s="223"/>
      <c r="K188" s="218"/>
      <c r="M188" s="364">
        <f t="shared" si="48"/>
        <v>0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573">
        <f>'[38]Sch C'!D200</f>
        <v>0</v>
      </c>
      <c r="D189" s="573">
        <f>'[38]Sch C'!F200</f>
        <v>0</v>
      </c>
      <c r="E189" s="171">
        <f t="shared" si="45"/>
        <v>0</v>
      </c>
      <c r="F189" s="665"/>
      <c r="G189" s="171">
        <f t="shared" si="46"/>
        <v>0</v>
      </c>
      <c r="H189" s="172">
        <f t="shared" si="47"/>
        <v>0</v>
      </c>
      <c r="I189" s="337"/>
      <c r="J189" s="223"/>
      <c r="K189" s="218"/>
      <c r="M189" s="364">
        <f t="shared" si="48"/>
        <v>0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573">
        <f>'[38]Sch C'!D201</f>
        <v>0</v>
      </c>
      <c r="D190" s="573">
        <f>'[38]Sch C'!F201</f>
        <v>0</v>
      </c>
      <c r="E190" s="171">
        <f t="shared" si="45"/>
        <v>0</v>
      </c>
      <c r="F190" s="665"/>
      <c r="G190" s="171">
        <f t="shared" si="46"/>
        <v>0</v>
      </c>
      <c r="H190" s="172">
        <f t="shared" si="47"/>
        <v>0</v>
      </c>
      <c r="I190" s="337"/>
      <c r="J190" s="223"/>
      <c r="K190" s="218"/>
      <c r="M190" s="364">
        <f t="shared" si="48"/>
        <v>0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573">
        <f>'[38]Sch C'!D202</f>
        <v>0</v>
      </c>
      <c r="D191" s="573">
        <f>'[38]Sch C'!F202</f>
        <v>0</v>
      </c>
      <c r="E191" s="171">
        <f t="shared" si="45"/>
        <v>0</v>
      </c>
      <c r="F191" s="665"/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573">
        <f>'[38]Sch C'!D203</f>
        <v>0</v>
      </c>
      <c r="D192" s="573">
        <f>'[38]Sch C'!F203</f>
        <v>0</v>
      </c>
      <c r="E192" s="171">
        <f t="shared" si="45"/>
        <v>0</v>
      </c>
      <c r="F192" s="665"/>
      <c r="G192" s="171">
        <f t="shared" si="46"/>
        <v>0</v>
      </c>
      <c r="H192" s="172">
        <f t="shared" si="47"/>
        <v>0</v>
      </c>
      <c r="I192" s="337"/>
      <c r="J192" s="223"/>
      <c r="K192" s="218"/>
      <c r="M192" s="364">
        <f t="shared" si="48"/>
        <v>0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573">
        <f>'[38]Sch C'!D204</f>
        <v>0</v>
      </c>
      <c r="D193" s="573">
        <f>'[38]Sch C'!F204</f>
        <v>0</v>
      </c>
      <c r="E193" s="171">
        <f t="shared" si="45"/>
        <v>0</v>
      </c>
      <c r="F193" s="665"/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573">
        <f>'[38]Sch C'!D205</f>
        <v>73770</v>
      </c>
      <c r="D194" s="573">
        <f>'[38]Sch C'!F205</f>
        <v>0</v>
      </c>
      <c r="E194" s="171">
        <f t="shared" si="45"/>
        <v>73770</v>
      </c>
      <c r="F194" s="665"/>
      <c r="G194" s="171">
        <f t="shared" si="46"/>
        <v>73770</v>
      </c>
      <c r="H194" s="172">
        <f t="shared" si="47"/>
        <v>3.1372412265052441E-2</v>
      </c>
      <c r="I194" s="337"/>
      <c r="J194" s="223"/>
      <c r="K194" s="218"/>
      <c r="M194" s="364">
        <f t="shared" si="48"/>
        <v>5.358855150370478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573">
        <f>'[38]Sch C'!D206</f>
        <v>664</v>
      </c>
      <c r="D195" s="573">
        <f>'[38]Sch C'!F206</f>
        <v>0</v>
      </c>
      <c r="E195" s="171">
        <f t="shared" si="45"/>
        <v>664</v>
      </c>
      <c r="F195" s="665"/>
      <c r="G195" s="171">
        <f t="shared" si="46"/>
        <v>664</v>
      </c>
      <c r="H195" s="172">
        <f t="shared" si="47"/>
        <v>2.8238147951734879E-4</v>
      </c>
      <c r="I195" s="337"/>
      <c r="J195" s="223"/>
      <c r="K195" s="218"/>
      <c r="M195" s="364">
        <f t="shared" si="48"/>
        <v>4.8234781345343598E-2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573">
        <f>'[38]Sch C'!D207</f>
        <v>0</v>
      </c>
      <c r="D196" s="573">
        <f>'[38]Sch C'!F207</f>
        <v>0</v>
      </c>
      <c r="E196" s="171">
        <f t="shared" si="45"/>
        <v>0</v>
      </c>
      <c r="F196" s="665"/>
      <c r="G196" s="171">
        <f t="shared" si="46"/>
        <v>0</v>
      </c>
      <c r="H196" s="172">
        <f t="shared" si="47"/>
        <v>0</v>
      </c>
      <c r="I196" s="337"/>
      <c r="J196" s="223"/>
      <c r="K196" s="218"/>
      <c r="M196" s="364">
        <f t="shared" si="48"/>
        <v>0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573">
        <f>SUM(C164:C196)</f>
        <v>320685</v>
      </c>
      <c r="D197" s="573">
        <f>SUM(D164:D196)</f>
        <v>0</v>
      </c>
      <c r="E197" s="171">
        <f t="shared" ref="E197" si="49">SUM(E164:E196)</f>
        <v>320685</v>
      </c>
      <c r="F197" s="171">
        <f>SUM(F164:F196)</f>
        <v>0</v>
      </c>
      <c r="G197" s="171">
        <f>SUM(G164:G196)</f>
        <v>320685</v>
      </c>
      <c r="H197" s="172">
        <f>IF($G$208=0,0,G197/$G$208)</f>
        <v>0.13637877222744127</v>
      </c>
      <c r="I197" s="337"/>
      <c r="J197" s="168"/>
      <c r="K197" s="168"/>
      <c r="M197" s="364">
        <f>G197/G$228</f>
        <v>23.295438035740229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165"/>
      <c r="G198" s="165"/>
      <c r="H198" s="198"/>
      <c r="I198" s="341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1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573">
        <f>'[38]Sch C'!D211</f>
        <v>76181</v>
      </c>
      <c r="D200" s="573">
        <f>'[38]Sch C'!F211</f>
        <v>0</v>
      </c>
      <c r="E200" s="171">
        <f t="shared" ref="E200:E205" si="50">C200+D200</f>
        <v>76181</v>
      </c>
      <c r="F200" s="171"/>
      <c r="G200" s="171">
        <f t="shared" ref="G200:G205" si="51">E200+F200</f>
        <v>76181</v>
      </c>
      <c r="H200" s="172">
        <f t="shared" ref="H200:H206" si="52">IF($G$208=0,0,G200/$G$208)</f>
        <v>3.2397746221552934E-2</v>
      </c>
      <c r="I200" s="337"/>
      <c r="J200" s="183">
        <v>2095.29</v>
      </c>
      <c r="K200" s="183">
        <v>2187.29</v>
      </c>
      <c r="M200" s="364">
        <f t="shared" ref="M200:M205" si="53">G200/G$228</f>
        <v>5.5339968037193081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573">
        <f>'[38]Sch C'!D212</f>
        <v>6647</v>
      </c>
      <c r="D201" s="573">
        <f>'[38]Sch C'!F212</f>
        <v>0</v>
      </c>
      <c r="E201" s="171">
        <f t="shared" si="50"/>
        <v>6647</v>
      </c>
      <c r="F201" s="171"/>
      <c r="G201" s="171">
        <f t="shared" si="51"/>
        <v>6647</v>
      </c>
      <c r="H201" s="172">
        <f t="shared" si="52"/>
        <v>2.8267917083611709E-3</v>
      </c>
      <c r="I201" s="337"/>
      <c r="J201" s="168"/>
      <c r="K201" s="168"/>
      <c r="M201" s="364">
        <f t="shared" si="53"/>
        <v>0.48285631265436585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573">
        <f>'[38]Sch C'!D213</f>
        <v>10082</v>
      </c>
      <c r="D202" s="573">
        <f>'[38]Sch C'!F213</f>
        <v>0</v>
      </c>
      <c r="E202" s="171">
        <f t="shared" si="50"/>
        <v>10082</v>
      </c>
      <c r="F202" s="171"/>
      <c r="G202" s="171">
        <f t="shared" si="51"/>
        <v>10082</v>
      </c>
      <c r="H202" s="172">
        <f t="shared" si="52"/>
        <v>4.2876055368884199E-3</v>
      </c>
      <c r="I202" s="337"/>
      <c r="J202" s="168"/>
      <c r="K202" s="168"/>
      <c r="M202" s="364">
        <f t="shared" si="53"/>
        <v>0.73238413482493103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573">
        <f>'[38]Sch C'!D214</f>
        <v>0</v>
      </c>
      <c r="D203" s="573">
        <f>'[38]Sch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>
        <f t="shared" si="53"/>
        <v>0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573">
        <f>'[38]Sch C'!D215</f>
        <v>0</v>
      </c>
      <c r="D204" s="573">
        <f>'[38]Sch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573">
        <f>'[38]Sch C'!D216</f>
        <v>3305</v>
      </c>
      <c r="D205" s="573">
        <f>'[38]Sch C'!F216</f>
        <v>0</v>
      </c>
      <c r="E205" s="171">
        <f t="shared" si="50"/>
        <v>3305</v>
      </c>
      <c r="F205" s="171"/>
      <c r="G205" s="171">
        <f t="shared" si="51"/>
        <v>3305</v>
      </c>
      <c r="H205" s="172">
        <f t="shared" si="52"/>
        <v>1.4055282978988521E-3</v>
      </c>
      <c r="I205" s="337"/>
      <c r="J205" s="168"/>
      <c r="K205" s="168"/>
      <c r="M205" s="364">
        <f t="shared" si="53"/>
        <v>0.24008426558186838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573">
        <f>SUM(C200:C205)</f>
        <v>96215</v>
      </c>
      <c r="D206" s="573">
        <f>SUM(D200:D205)</f>
        <v>0</v>
      </c>
      <c r="E206" s="171">
        <f t="shared" ref="E206" si="54">SUM(E200:E205)</f>
        <v>96215</v>
      </c>
      <c r="F206" s="171">
        <f>SUM(F200:F205)</f>
        <v>0</v>
      </c>
      <c r="G206" s="171">
        <f>SUM(G200:G205)</f>
        <v>96215</v>
      </c>
      <c r="H206" s="172">
        <f t="shared" si="52"/>
        <v>4.0917671764701381E-2</v>
      </c>
      <c r="I206" s="337"/>
      <c r="J206" s="168"/>
      <c r="K206" s="168"/>
      <c r="M206" s="364">
        <f>G206/G$228</f>
        <v>6.9893215167804739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573">
        <f>SUM(C25:C206)/2</f>
        <v>2404423</v>
      </c>
      <c r="D208" s="573">
        <f>SUM(D25:D206)/2</f>
        <v>-45805</v>
      </c>
      <c r="E208" s="171">
        <f t="shared" ref="E208:F208" si="55">SUM(E25:E206)/2</f>
        <v>2358618</v>
      </c>
      <c r="F208" s="171">
        <f t="shared" si="55"/>
        <v>-7189</v>
      </c>
      <c r="G208" s="171">
        <f>SUM(G25:G206)/2</f>
        <v>2351429</v>
      </c>
      <c r="H208" s="172">
        <f>IF($G$208=0,0,G208/$G$208)</f>
        <v>1</v>
      </c>
      <c r="I208" s="337"/>
      <c r="J208" s="183">
        <f>SUM(J25:J200)</f>
        <v>59109.799999999996</v>
      </c>
      <c r="K208" s="183">
        <f>SUM(K25:K200)</f>
        <v>59867.48</v>
      </c>
      <c r="M208" s="364">
        <f>G208/G$228</f>
        <v>170.81425250617463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573">
        <f>'[38]Sch C'!D221</f>
        <v>2404423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573">
        <f>C208-C211</f>
        <v>0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619"/>
      <c r="D213" s="232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573">
        <f>C21-C208</f>
        <v>359599</v>
      </c>
      <c r="D215" s="573">
        <f>D21-D208</f>
        <v>40816</v>
      </c>
      <c r="E215" s="171">
        <f t="shared" ref="E215:F215" si="56">E21-E208</f>
        <v>400415</v>
      </c>
      <c r="F215" s="171">
        <f t="shared" si="56"/>
        <v>7189</v>
      </c>
      <c r="G215" s="171">
        <f>G21-G208</f>
        <v>407604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653">
        <f>'[38]Sch D'!C9</f>
        <v>10488</v>
      </c>
      <c r="D219" s="653"/>
      <c r="E219" s="235">
        <f t="shared" ref="E219:G227" si="57">C219+D219</f>
        <v>10488</v>
      </c>
      <c r="F219" s="234"/>
      <c r="G219" s="235">
        <f t="shared" si="57"/>
        <v>10488</v>
      </c>
      <c r="H219" s="172">
        <f t="shared" ref="H219:H228" si="58">IF($G$228=0,0,G219/$G$228)</f>
        <v>0.76187708847886093</v>
      </c>
      <c r="I219" s="337"/>
      <c r="J219" s="168"/>
      <c r="K219" s="168"/>
    </row>
    <row r="220" spans="1:14">
      <c r="A220" s="163"/>
      <c r="B220" s="170" t="s">
        <v>217</v>
      </c>
      <c r="C220" s="653">
        <f>'[38]Sch D'!D9</f>
        <v>0</v>
      </c>
      <c r="D220" s="653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7"/>
      <c r="J220" s="168"/>
      <c r="K220" s="168"/>
    </row>
    <row r="221" spans="1:14">
      <c r="A221" s="163"/>
      <c r="B221" s="170" t="s">
        <v>72</v>
      </c>
      <c r="C221" s="653">
        <f>'[38]Sch D'!E9</f>
        <v>1432</v>
      </c>
      <c r="D221" s="653"/>
      <c r="E221" s="235">
        <f t="shared" si="59"/>
        <v>1432</v>
      </c>
      <c r="F221" s="234"/>
      <c r="G221" s="235">
        <f t="shared" si="57"/>
        <v>1432</v>
      </c>
      <c r="H221" s="172">
        <f t="shared" si="58"/>
        <v>0.10402440796164464</v>
      </c>
      <c r="I221" s="337"/>
      <c r="J221" s="168"/>
      <c r="K221" s="168"/>
    </row>
    <row r="222" spans="1:14">
      <c r="A222" s="163"/>
      <c r="B222" s="202" t="s">
        <v>334</v>
      </c>
      <c r="C222" s="653">
        <f>'[38]Sch D'!F9</f>
        <v>90</v>
      </c>
      <c r="D222" s="653"/>
      <c r="E222" s="235">
        <f>C222+D222</f>
        <v>90</v>
      </c>
      <c r="F222" s="234"/>
      <c r="G222" s="235">
        <f>E222+F222</f>
        <v>90</v>
      </c>
      <c r="H222" s="172">
        <f t="shared" si="58"/>
        <v>6.5378468690977772E-3</v>
      </c>
      <c r="I222" s="337"/>
      <c r="J222" s="168"/>
      <c r="K222" s="168"/>
    </row>
    <row r="223" spans="1:14">
      <c r="A223" s="163"/>
      <c r="B223" s="170" t="s">
        <v>73</v>
      </c>
      <c r="C223" s="653">
        <f>'[38]Sch D'!G9</f>
        <v>0</v>
      </c>
      <c r="D223" s="653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7"/>
      <c r="J223" s="168"/>
      <c r="K223" s="168"/>
    </row>
    <row r="224" spans="1:14">
      <c r="A224" s="163"/>
      <c r="B224" s="170" t="s">
        <v>74</v>
      </c>
      <c r="C224" s="653">
        <f>'[38]Sch D'!H9</f>
        <v>332</v>
      </c>
      <c r="D224" s="653"/>
      <c r="E224" s="235">
        <f t="shared" si="59"/>
        <v>332</v>
      </c>
      <c r="F224" s="234"/>
      <c r="G224" s="235">
        <f t="shared" si="57"/>
        <v>332</v>
      </c>
      <c r="H224" s="172">
        <f t="shared" si="58"/>
        <v>2.4117390672671799E-2</v>
      </c>
      <c r="I224" s="337"/>
      <c r="J224" s="168"/>
      <c r="K224" s="168"/>
    </row>
    <row r="225" spans="1:11">
      <c r="A225" s="163"/>
      <c r="B225" s="170" t="s">
        <v>236</v>
      </c>
      <c r="C225" s="653">
        <f>'[38]Sch D'!I9</f>
        <v>1424</v>
      </c>
      <c r="D225" s="653"/>
      <c r="E225" s="235">
        <f t="shared" si="59"/>
        <v>1424</v>
      </c>
      <c r="F225" s="234"/>
      <c r="G225" s="235">
        <f t="shared" si="57"/>
        <v>1424</v>
      </c>
      <c r="H225" s="172">
        <f t="shared" si="58"/>
        <v>0.10344326601772483</v>
      </c>
      <c r="I225" s="337"/>
      <c r="J225" s="168"/>
      <c r="K225" s="168"/>
    </row>
    <row r="226" spans="1:11">
      <c r="A226" s="163"/>
      <c r="B226" s="170" t="s">
        <v>235</v>
      </c>
      <c r="C226" s="653">
        <f>'[38]Sch D'!J9</f>
        <v>0</v>
      </c>
      <c r="D226" s="653"/>
      <c r="E226" s="235">
        <f>C226+D226</f>
        <v>0</v>
      </c>
      <c r="F226" s="234"/>
      <c r="G226" s="235">
        <f>E226+F226</f>
        <v>0</v>
      </c>
      <c r="H226" s="172">
        <f t="shared" si="58"/>
        <v>0</v>
      </c>
      <c r="I226" s="337"/>
      <c r="J226" s="168"/>
      <c r="K226" s="168"/>
    </row>
    <row r="227" spans="1:11">
      <c r="A227" s="163"/>
      <c r="B227" s="170" t="s">
        <v>179</v>
      </c>
      <c r="C227" s="653">
        <f>'[38]Sch D'!K9</f>
        <v>0</v>
      </c>
      <c r="D227" s="653"/>
      <c r="E227" s="235">
        <f t="shared" si="59"/>
        <v>0</v>
      </c>
      <c r="F227" s="234"/>
      <c r="G227" s="235">
        <f t="shared" si="57"/>
        <v>0</v>
      </c>
      <c r="H227" s="172">
        <f t="shared" si="58"/>
        <v>0</v>
      </c>
      <c r="I227" s="337"/>
      <c r="J227" s="168"/>
      <c r="K227" s="168"/>
    </row>
    <row r="228" spans="1:11" ht="13.5" thickBot="1">
      <c r="A228" s="163"/>
      <c r="B228" s="236" t="s">
        <v>75</v>
      </c>
      <c r="C228" s="653">
        <f>SUM(C219:C227)</f>
        <v>13766</v>
      </c>
      <c r="D228" s="653">
        <f>SUM(D219:D227)</f>
        <v>0</v>
      </c>
      <c r="E228" s="237">
        <f>SUM(E219:E227)</f>
        <v>13766</v>
      </c>
      <c r="F228" s="237">
        <f>SUM(F219:F227)</f>
        <v>0</v>
      </c>
      <c r="G228" s="237">
        <f>SUM(G219:G227)</f>
        <v>13766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620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619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654">
        <f>'[38]Sch D'!N22</f>
        <v>41</v>
      </c>
      <c r="D231" s="574"/>
      <c r="E231" s="235">
        <f>C231+D231</f>
        <v>41</v>
      </c>
      <c r="F231" s="235"/>
      <c r="G231" s="235">
        <f>E231+F231</f>
        <v>41</v>
      </c>
      <c r="H231" s="167"/>
      <c r="J231" s="168"/>
      <c r="K231" s="168"/>
    </row>
    <row r="232" spans="1:11">
      <c r="A232" s="163"/>
      <c r="B232" s="202" t="s">
        <v>290</v>
      </c>
      <c r="C232" s="654">
        <f>'[38]Sch D'!N24</f>
        <v>41</v>
      </c>
      <c r="D232" s="574"/>
      <c r="E232" s="235">
        <f>C232+D232</f>
        <v>41</v>
      </c>
      <c r="F232" s="235"/>
      <c r="G232" s="235">
        <f>E232+F232</f>
        <v>41</v>
      </c>
      <c r="H232" s="167"/>
      <c r="J232" s="168"/>
      <c r="K232" s="168"/>
    </row>
    <row r="233" spans="1:11">
      <c r="A233" s="163"/>
      <c r="B233" s="202" t="s">
        <v>76</v>
      </c>
      <c r="C233" s="654">
        <f>$C$4-$C$3+1</f>
        <v>365</v>
      </c>
      <c r="D233" s="489"/>
      <c r="E233" s="235">
        <f>C233+D233</f>
        <v>365</v>
      </c>
      <c r="F233" s="240"/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621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654">
        <f>'[38]Sch D'!N28</f>
        <v>14965</v>
      </c>
      <c r="D235" s="489"/>
      <c r="E235" s="234">
        <f>E231*E233</f>
        <v>14965</v>
      </c>
      <c r="F235" s="240"/>
      <c r="G235" s="234">
        <f>G231*G233</f>
        <v>14965</v>
      </c>
      <c r="H235" s="167"/>
      <c r="J235" s="168"/>
      <c r="K235" s="168"/>
    </row>
    <row r="236" spans="1:11" ht="26">
      <c r="A236" s="163"/>
      <c r="B236" s="244" t="s">
        <v>336</v>
      </c>
      <c r="C236" s="655">
        <f>'[38]Sch D'!N30</f>
        <v>0.91987971934513868</v>
      </c>
      <c r="D236" s="240"/>
      <c r="E236" s="245">
        <f>E228/E235</f>
        <v>0.91987971934513868</v>
      </c>
      <c r="F236" s="246"/>
      <c r="G236" s="245">
        <f>G228/G235</f>
        <v>0.91987971934513868</v>
      </c>
      <c r="H236" s="167"/>
      <c r="J236" s="168"/>
      <c r="K236" s="168"/>
    </row>
    <row r="237" spans="1:11" ht="26">
      <c r="A237" s="163"/>
      <c r="B237" s="244" t="s">
        <v>337</v>
      </c>
      <c r="C237" s="655">
        <f>'[38]Sch D'!N32</f>
        <v>0.70083528232542602</v>
      </c>
      <c r="D237" s="240"/>
      <c r="E237" s="245">
        <f>(E219+E220)/E235</f>
        <v>0.70083528232542602</v>
      </c>
      <c r="F237" s="246"/>
      <c r="G237" s="245">
        <f>(G219+G220)/G235</f>
        <v>0.70083528232542602</v>
      </c>
      <c r="H237" s="167"/>
      <c r="J237" s="168"/>
      <c r="K237" s="168"/>
    </row>
    <row r="238" spans="1:11" ht="26">
      <c r="A238" s="163"/>
      <c r="B238" s="244" t="s">
        <v>338</v>
      </c>
      <c r="C238" s="655">
        <f>'[38]Sch D'!N34</f>
        <v>0.76187708847886093</v>
      </c>
      <c r="D238" s="240"/>
      <c r="E238" s="245">
        <f>(E237/E236)</f>
        <v>0.76187708847886093</v>
      </c>
      <c r="F238" s="246"/>
      <c r="G238" s="245">
        <f>(G237/G236)</f>
        <v>0.76187708847886093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73">
        <f>'[38]Sch B'!C85</f>
        <v>240.8724832214765</v>
      </c>
    </row>
    <row r="242" spans="2:7">
      <c r="F242" s="142" t="s">
        <v>341</v>
      </c>
      <c r="G242" s="573">
        <f>'[38]Sch B'!E85</f>
        <v>165</v>
      </c>
    </row>
    <row r="243" spans="2:7">
      <c r="F243" s="142" t="s">
        <v>342</v>
      </c>
      <c r="G243" s="573">
        <f>'[38]Sch B'!G85</f>
        <v>87.058823529411768</v>
      </c>
    </row>
    <row r="244" spans="2:7">
      <c r="F244" s="142" t="s">
        <v>343</v>
      </c>
      <c r="G244" s="573">
        <f>'[38]Sch B'!I85</f>
        <v>162.54054054054055</v>
      </c>
    </row>
    <row r="245" spans="2:7">
      <c r="F245" s="142"/>
    </row>
  </sheetData>
  <printOptions horizontalCentered="1"/>
  <pageMargins left="0" right="0" top="0.75" bottom="1" header="0.5" footer="0.5"/>
  <pageSetup scale="70" orientation="portrait" horizontalDpi="300" verticalDpi="300" r:id="rId1"/>
  <headerFooter alignWithMargins="0">
    <oddFooter>&amp;R&amp;D
&amp;T
&amp;F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4">
    <tabColor rgb="FFE28CAB"/>
  </sheetPr>
  <dimension ref="A1:Q248"/>
  <sheetViews>
    <sheetView showGridLines="0" zoomScale="90" zoomScaleNormal="90" workbookViewId="0">
      <pane xSplit="2" topLeftCell="C1" activePane="topRight" state="frozen"/>
      <selection activeCell="N1" sqref="N1"/>
      <selection pane="topRight"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478"/>
      <c r="E1" s="478"/>
      <c r="F1" s="478"/>
      <c r="G1" s="478"/>
      <c r="H1" s="478"/>
      <c r="I1" s="479"/>
    </row>
    <row r="2" spans="1:14" ht="23">
      <c r="B2" s="143" t="s">
        <v>189</v>
      </c>
      <c r="C2" s="247" t="s">
        <v>364</v>
      </c>
      <c r="D2" s="247"/>
      <c r="E2" s="144"/>
    </row>
    <row r="3" spans="1:14">
      <c r="A3" s="145"/>
      <c r="B3" s="140" t="s">
        <v>79</v>
      </c>
      <c r="C3" s="495">
        <v>41821</v>
      </c>
      <c r="D3" s="144"/>
      <c r="E3" s="147"/>
      <c r="F3" s="465" t="s">
        <v>637</v>
      </c>
    </row>
    <row r="4" spans="1:14">
      <c r="A4" s="145"/>
      <c r="B4" s="148" t="s">
        <v>80</v>
      </c>
      <c r="C4" s="495">
        <v>42185</v>
      </c>
      <c r="D4" s="144"/>
      <c r="E4" s="149"/>
      <c r="F4" s="140" t="s">
        <v>638</v>
      </c>
      <c r="G4" s="150"/>
    </row>
    <row r="5" spans="1:14">
      <c r="A5" s="145"/>
      <c r="B5" s="148"/>
      <c r="C5" s="151"/>
      <c r="D5" s="144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144"/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490">
        <f>'[39]Sch B'!E10</f>
        <v>3855012</v>
      </c>
      <c r="D11" s="490">
        <f>'[39]Sch B'!G10</f>
        <v>0</v>
      </c>
      <c r="E11" s="171">
        <f>C11+D11</f>
        <v>3855012</v>
      </c>
      <c r="F11" s="171"/>
      <c r="G11" s="171">
        <f t="shared" ref="G11:G20" si="0">E11+F11</f>
        <v>3855012</v>
      </c>
      <c r="H11" s="172">
        <f t="shared" ref="H11:H21" si="1">IF($G$21=0,0,G11/$G$21)</f>
        <v>0.63193727267541244</v>
      </c>
      <c r="I11" s="337"/>
      <c r="J11" s="368" t="s">
        <v>344</v>
      </c>
      <c r="K11" s="369">
        <f>G21</f>
        <v>6100308</v>
      </c>
      <c r="M11" s="359">
        <f>IFERROR(G11/G219,0)</f>
        <v>191.85845816951178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490">
        <f>'[39]Sch B'!E15</f>
        <v>410890</v>
      </c>
      <c r="D12" s="490">
        <f>'[39]Sch B'!G15</f>
        <v>0</v>
      </c>
      <c r="E12" s="171">
        <f t="shared" ref="E12:E20" si="2">C12+D12</f>
        <v>410890</v>
      </c>
      <c r="F12" s="171"/>
      <c r="G12" s="171">
        <f>E12+F12</f>
        <v>410890</v>
      </c>
      <c r="H12" s="172">
        <f t="shared" si="1"/>
        <v>6.7355615486955747E-2</v>
      </c>
      <c r="I12" s="337"/>
      <c r="J12" s="370" t="s">
        <v>345</v>
      </c>
      <c r="K12" s="371">
        <f>G208</f>
        <v>5967881</v>
      </c>
      <c r="M12" s="359">
        <f t="shared" ref="M12:M19" si="3">IFERROR(G12/G220,0)</f>
        <v>181.32833186231244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490">
        <f>'[39]Sch B'!E21</f>
        <v>511853</v>
      </c>
      <c r="D13" s="490">
        <f>'[39]Sch B'!G21</f>
        <v>0</v>
      </c>
      <c r="E13" s="171">
        <f t="shared" si="2"/>
        <v>511853</v>
      </c>
      <c r="F13" s="171"/>
      <c r="G13" s="171">
        <f t="shared" si="0"/>
        <v>511853</v>
      </c>
      <c r="H13" s="172">
        <f t="shared" si="1"/>
        <v>8.3906091298996704E-2</v>
      </c>
      <c r="I13" s="337"/>
      <c r="J13" s="370" t="s">
        <v>346</v>
      </c>
      <c r="K13" s="371">
        <f>G228</f>
        <v>29225</v>
      </c>
      <c r="M13" s="359">
        <f t="shared" si="3"/>
        <v>521.23523421588595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490">
        <f>'[39]Sch B'!E27</f>
        <v>0</v>
      </c>
      <c r="D14" s="490">
        <f>'[39]Sch B'!G27</f>
        <v>0</v>
      </c>
      <c r="E14" s="171">
        <f t="shared" si="2"/>
        <v>0</v>
      </c>
      <c r="F14" s="171"/>
      <c r="G14" s="175">
        <f>E14+F14</f>
        <v>0</v>
      </c>
      <c r="H14" s="176">
        <f t="shared" si="1"/>
        <v>0</v>
      </c>
      <c r="I14" s="338"/>
      <c r="J14" s="370" t="s">
        <v>347</v>
      </c>
      <c r="K14" s="371">
        <f>G231</f>
        <v>82</v>
      </c>
      <c r="M14" s="359">
        <f t="shared" si="3"/>
        <v>0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490">
        <f>'[39]Sch B'!E32</f>
        <v>815300</v>
      </c>
      <c r="D15" s="490">
        <f>'[39]Sch B'!G32</f>
        <v>0</v>
      </c>
      <c r="E15" s="171">
        <f t="shared" si="2"/>
        <v>815300</v>
      </c>
      <c r="F15" s="171"/>
      <c r="G15" s="171">
        <f t="shared" si="0"/>
        <v>815300</v>
      </c>
      <c r="H15" s="172">
        <f t="shared" si="1"/>
        <v>0.13364898952643048</v>
      </c>
      <c r="I15" s="337"/>
      <c r="J15" s="370" t="s">
        <v>348</v>
      </c>
      <c r="K15" s="371">
        <f>G235</f>
        <v>29930</v>
      </c>
      <c r="M15" s="359">
        <f t="shared" si="3"/>
        <v>212.64997391757956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490">
        <f>'[39]Sch B'!E37</f>
        <v>149551</v>
      </c>
      <c r="D16" s="490">
        <f>'[39]Sch B'!G37</f>
        <v>0</v>
      </c>
      <c r="E16" s="171">
        <f t="shared" si="2"/>
        <v>149551</v>
      </c>
      <c r="F16" s="171"/>
      <c r="G16" s="171">
        <f t="shared" si="0"/>
        <v>149551</v>
      </c>
      <c r="H16" s="172">
        <f t="shared" si="1"/>
        <v>2.4515319554356929E-2</v>
      </c>
      <c r="I16" s="337"/>
      <c r="J16" s="372"/>
      <c r="K16" s="371"/>
      <c r="M16" s="359">
        <f t="shared" si="3"/>
        <v>248.83693843594011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490">
        <f>'[39]Sch B'!E42</f>
        <v>0</v>
      </c>
      <c r="D17" s="490">
        <f>'[39]Sch B'!G42</f>
        <v>0</v>
      </c>
      <c r="E17" s="171">
        <f t="shared" si="2"/>
        <v>0</v>
      </c>
      <c r="F17" s="171"/>
      <c r="G17" s="171">
        <f>E17+F17</f>
        <v>0</v>
      </c>
      <c r="H17" s="172">
        <f t="shared" si="1"/>
        <v>0</v>
      </c>
      <c r="I17" s="337"/>
      <c r="J17" s="370" t="s">
        <v>156</v>
      </c>
      <c r="K17" s="371">
        <f>J208</f>
        <v>146705</v>
      </c>
      <c r="M17" s="359">
        <f t="shared" si="3"/>
        <v>0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490">
        <f>'[39]Sch B'!E47</f>
        <v>268619</v>
      </c>
      <c r="D18" s="490">
        <f>'[39]Sch B'!G47</f>
        <v>0</v>
      </c>
      <c r="E18" s="171">
        <f t="shared" si="2"/>
        <v>268619</v>
      </c>
      <c r="F18" s="171"/>
      <c r="G18" s="171">
        <f>E18+F18</f>
        <v>268619</v>
      </c>
      <c r="H18" s="172">
        <f t="shared" si="1"/>
        <v>4.4033678299521928E-2</v>
      </c>
      <c r="I18" s="337"/>
      <c r="J18" s="373" t="s">
        <v>252</v>
      </c>
      <c r="K18" s="374">
        <f>K208</f>
        <v>156237</v>
      </c>
      <c r="M18" s="359">
        <f t="shared" si="3"/>
        <v>185.3823326432022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490">
        <f>'[39]Sch B'!E52</f>
        <v>0</v>
      </c>
      <c r="D19" s="490">
        <f>'[39]Sch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337"/>
      <c r="J19" s="168"/>
      <c r="K19" s="168"/>
      <c r="M19" s="359">
        <f t="shared" si="3"/>
        <v>0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490">
        <f>'[39]Sch B'!E67</f>
        <v>89083</v>
      </c>
      <c r="D20" s="490">
        <f>'[39]Sch B'!G67</f>
        <v>0</v>
      </c>
      <c r="E20" s="171">
        <f t="shared" si="2"/>
        <v>89083</v>
      </c>
      <c r="F20" s="171"/>
      <c r="G20" s="171">
        <f t="shared" si="0"/>
        <v>89083</v>
      </c>
      <c r="H20" s="172">
        <f t="shared" si="1"/>
        <v>1.4603033158325776E-2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490">
        <f>SUM(C11:C20)</f>
        <v>6100308</v>
      </c>
      <c r="D21" s="490">
        <f>SUM(D11:D20)</f>
        <v>0</v>
      </c>
      <c r="E21" s="171">
        <f>SUM(E11:E20)</f>
        <v>6100308</v>
      </c>
      <c r="F21" s="171">
        <f>SUM(F11:F20)</f>
        <v>0</v>
      </c>
      <c r="G21" s="171">
        <f>SUM(G11:G20)</f>
        <v>6100308</v>
      </c>
      <c r="H21" s="172">
        <f t="shared" si="1"/>
        <v>1</v>
      </c>
      <c r="I21" s="337"/>
      <c r="J21" s="168"/>
      <c r="K21" s="168"/>
      <c r="M21" s="359">
        <f>IFERROR(G21/G228,0)</f>
        <v>208.73594525235245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4">
      <c r="A24" s="181" t="s">
        <v>161</v>
      </c>
      <c r="B24" s="148" t="s">
        <v>12</v>
      </c>
      <c r="M24" s="363"/>
      <c r="N24" s="363"/>
    </row>
    <row r="25" spans="1:14" s="167" customFormat="1">
      <c r="A25" s="169" t="s">
        <v>83</v>
      </c>
      <c r="B25" s="170" t="s">
        <v>14</v>
      </c>
      <c r="C25" s="490">
        <f>'[39]Sch C'!D10</f>
        <v>138720</v>
      </c>
      <c r="D25" s="490">
        <f>'[39]Sch C'!F10</f>
        <v>0</v>
      </c>
      <c r="E25" s="171">
        <f t="shared" ref="E25:E60" si="4">C25+D25</f>
        <v>138720</v>
      </c>
      <c r="F25" s="171"/>
      <c r="G25" s="182">
        <f>E25+F25</f>
        <v>138720</v>
      </c>
      <c r="H25" s="172">
        <f>IF($G$208=0,0,G25/$G$208)</f>
        <v>2.324443131490055E-2</v>
      </c>
      <c r="I25" s="337"/>
      <c r="J25" s="183">
        <v>1960</v>
      </c>
      <c r="K25" s="183">
        <v>2080</v>
      </c>
      <c r="M25" s="359">
        <f>G25/G$228</f>
        <v>4.746621043627032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490">
        <f>'[39]Sch C'!D11</f>
        <v>91906</v>
      </c>
      <c r="D26" s="490">
        <f>'[39]Sch C'!F11</f>
        <v>0</v>
      </c>
      <c r="E26" s="171">
        <f t="shared" si="4"/>
        <v>91906</v>
      </c>
      <c r="F26" s="171"/>
      <c r="G26" s="171">
        <f t="shared" ref="G26:G60" si="5">E26+F26</f>
        <v>91906</v>
      </c>
      <c r="H26" s="184">
        <f t="shared" ref="H26:H61" si="6">IF($G$208=0,0,G26/$G$208)</f>
        <v>1.5400106000773139E-2</v>
      </c>
      <c r="I26" s="337"/>
      <c r="J26" s="183">
        <v>1840</v>
      </c>
      <c r="K26" s="183">
        <v>2080</v>
      </c>
      <c r="M26" s="359">
        <f t="shared" ref="M26:M60" si="7">G26/G$228</f>
        <v>3.1447733105218134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490">
        <f>'[39]Sch C'!D12</f>
        <v>63789</v>
      </c>
      <c r="D27" s="490">
        <f>'[39]Sch C'!F12</f>
        <v>0</v>
      </c>
      <c r="E27" s="171">
        <f t="shared" si="4"/>
        <v>63789</v>
      </c>
      <c r="F27" s="171"/>
      <c r="G27" s="171">
        <f t="shared" si="5"/>
        <v>63789</v>
      </c>
      <c r="H27" s="172">
        <f t="shared" si="6"/>
        <v>1.0688718491538286E-2</v>
      </c>
      <c r="I27" s="337"/>
      <c r="J27" s="185">
        <v>1960</v>
      </c>
      <c r="K27" s="185">
        <v>2080</v>
      </c>
      <c r="M27" s="359">
        <f t="shared" si="7"/>
        <v>2.1826860564585115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490">
        <f>'[39]Sch C'!D13</f>
        <v>341433</v>
      </c>
      <c r="D28" s="490">
        <f>'[39]Sch C'!F13</f>
        <v>-311332</v>
      </c>
      <c r="E28" s="171">
        <f t="shared" si="4"/>
        <v>30101</v>
      </c>
      <c r="F28" s="171"/>
      <c r="G28" s="171">
        <f t="shared" si="5"/>
        <v>30101</v>
      </c>
      <c r="H28" s="172">
        <f t="shared" si="6"/>
        <v>5.0438338163914459E-3</v>
      </c>
      <c r="I28" s="337"/>
      <c r="J28" s="168"/>
      <c r="K28" s="168"/>
      <c r="M28" s="359">
        <f t="shared" si="7"/>
        <v>1.0299743370402052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490">
        <f>'[39]Sch C'!D14</f>
        <v>0</v>
      </c>
      <c r="D29" s="490">
        <f>'[39]Sch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490">
        <f>'[39]Sch C'!D15</f>
        <v>0</v>
      </c>
      <c r="D30" s="490">
        <f>'[39]Sch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7"/>
      <c r="J30" s="168"/>
      <c r="K30" s="168"/>
      <c r="M30" s="359">
        <f t="shared" si="7"/>
        <v>0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490">
        <f>'[39]Sch C'!D16</f>
        <v>0</v>
      </c>
      <c r="D31" s="490">
        <f>'[39]Sch C'!F16</f>
        <v>0</v>
      </c>
      <c r="E31" s="171">
        <f t="shared" si="4"/>
        <v>0</v>
      </c>
      <c r="F31" s="171"/>
      <c r="G31" s="171">
        <f t="shared" si="5"/>
        <v>0</v>
      </c>
      <c r="H31" s="172">
        <f t="shared" si="6"/>
        <v>0</v>
      </c>
      <c r="I31" s="337"/>
      <c r="J31" s="168"/>
      <c r="K31" s="168"/>
      <c r="M31" s="359">
        <f t="shared" si="7"/>
        <v>0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490">
        <f>'[39]Sch C'!D17</f>
        <v>8376</v>
      </c>
      <c r="D32" s="490">
        <f>'[39]Sch C'!F17</f>
        <v>0</v>
      </c>
      <c r="E32" s="171">
        <f t="shared" si="4"/>
        <v>8376</v>
      </c>
      <c r="F32" s="171"/>
      <c r="G32" s="171">
        <f t="shared" si="5"/>
        <v>8376</v>
      </c>
      <c r="H32" s="172">
        <f t="shared" si="6"/>
        <v>1.4035132402941681E-3</v>
      </c>
      <c r="I32" s="337"/>
      <c r="J32" s="168"/>
      <c r="K32" s="168"/>
      <c r="M32" s="359">
        <f t="shared" si="7"/>
        <v>0.28660393498716852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490">
        <f>'[39]Sch C'!D18</f>
        <v>13143</v>
      </c>
      <c r="D33" s="490">
        <f>'[39]Sch C'!F18</f>
        <v>0</v>
      </c>
      <c r="E33" s="171">
        <f t="shared" si="4"/>
        <v>13143</v>
      </c>
      <c r="F33" s="171"/>
      <c r="G33" s="171">
        <f t="shared" si="5"/>
        <v>13143</v>
      </c>
      <c r="H33" s="172">
        <f t="shared" si="6"/>
        <v>2.2022892212495526E-3</v>
      </c>
      <c r="I33" s="337"/>
      <c r="J33" s="168"/>
      <c r="K33" s="168"/>
      <c r="M33" s="359">
        <f t="shared" si="7"/>
        <v>0.44971770744225836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490">
        <f>'[39]Sch C'!D19</f>
        <v>14167</v>
      </c>
      <c r="D34" s="490">
        <f>'[39]Sch C'!F19</f>
        <v>0</v>
      </c>
      <c r="E34" s="171">
        <f t="shared" si="4"/>
        <v>14167</v>
      </c>
      <c r="F34" s="171"/>
      <c r="G34" s="171">
        <f t="shared" si="5"/>
        <v>14167</v>
      </c>
      <c r="H34" s="172">
        <f t="shared" si="6"/>
        <v>2.3738744120400525E-3</v>
      </c>
      <c r="I34" s="337"/>
      <c r="J34" s="168"/>
      <c r="K34" s="168"/>
      <c r="M34" s="359">
        <f t="shared" si="7"/>
        <v>0.4847562018819504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490">
        <f>'[39]Sch C'!D20</f>
        <v>37413</v>
      </c>
      <c r="D35" s="490">
        <f>'[39]Sch C'!F20</f>
        <v>0</v>
      </c>
      <c r="E35" s="171">
        <f t="shared" si="4"/>
        <v>37413</v>
      </c>
      <c r="F35" s="171"/>
      <c r="G35" s="171">
        <f t="shared" si="5"/>
        <v>37413</v>
      </c>
      <c r="H35" s="172">
        <f t="shared" si="6"/>
        <v>6.2690593193798607E-3</v>
      </c>
      <c r="I35" s="337"/>
      <c r="J35" s="168"/>
      <c r="K35" s="168"/>
      <c r="M35" s="359">
        <f t="shared" si="7"/>
        <v>1.2801710863986313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490">
        <f>'[39]Sch C'!D21</f>
        <v>3490</v>
      </c>
      <c r="D36" s="490">
        <f>'[39]Sch C'!F21</f>
        <v>0</v>
      </c>
      <c r="E36" s="171">
        <f t="shared" si="4"/>
        <v>3490</v>
      </c>
      <c r="F36" s="171"/>
      <c r="G36" s="171">
        <f t="shared" si="5"/>
        <v>3490</v>
      </c>
      <c r="H36" s="172">
        <f t="shared" si="6"/>
        <v>5.8479718345590332E-4</v>
      </c>
      <c r="I36" s="337"/>
      <c r="J36" s="168"/>
      <c r="K36" s="168"/>
      <c r="M36" s="359">
        <f t="shared" si="7"/>
        <v>0.11941830624465355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490">
        <f>'[39]Sch C'!D22</f>
        <v>0</v>
      </c>
      <c r="D37" s="490">
        <f>'[39]Sch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490">
        <f>'[39]Sch C'!D23</f>
        <v>24591</v>
      </c>
      <c r="D38" s="490">
        <f>'[39]Sch C'!F23</f>
        <v>0</v>
      </c>
      <c r="E38" s="171">
        <f t="shared" si="4"/>
        <v>24591</v>
      </c>
      <c r="F38" s="171"/>
      <c r="G38" s="171">
        <f t="shared" si="5"/>
        <v>24591</v>
      </c>
      <c r="H38" s="172">
        <f t="shared" si="6"/>
        <v>4.1205580339152203E-3</v>
      </c>
      <c r="I38" s="337"/>
      <c r="J38" s="168"/>
      <c r="K38" s="168"/>
      <c r="M38" s="359">
        <f t="shared" si="7"/>
        <v>0.84143712574850305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490">
        <f>'[39]Sch C'!D24</f>
        <v>0</v>
      </c>
      <c r="D39" s="490">
        <f>'[39]Sch C'!F24</f>
        <v>0</v>
      </c>
      <c r="E39" s="171">
        <f t="shared" si="4"/>
        <v>0</v>
      </c>
      <c r="F39" s="171"/>
      <c r="G39" s="171">
        <f t="shared" si="5"/>
        <v>0</v>
      </c>
      <c r="H39" s="172">
        <f t="shared" si="6"/>
        <v>0</v>
      </c>
      <c r="I39" s="337"/>
      <c r="J39" s="168"/>
      <c r="K39" s="168"/>
      <c r="M39" s="359">
        <f t="shared" si="7"/>
        <v>0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490">
        <f>'[39]Sch C'!D25</f>
        <v>0</v>
      </c>
      <c r="D40" s="490">
        <f>'[39]Sch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337"/>
      <c r="J40" s="168"/>
      <c r="K40" s="168"/>
      <c r="M40" s="359">
        <f t="shared" si="7"/>
        <v>0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490">
        <f>'[39]Sch C'!D26</f>
        <v>435830</v>
      </c>
      <c r="D41" s="490">
        <f>'[39]Sch C'!F26</f>
        <v>0</v>
      </c>
      <c r="E41" s="171">
        <f t="shared" si="4"/>
        <v>435830</v>
      </c>
      <c r="F41" s="171"/>
      <c r="G41" s="171">
        <f t="shared" si="5"/>
        <v>435830</v>
      </c>
      <c r="H41" s="172">
        <f t="shared" si="6"/>
        <v>7.3029271193577758E-2</v>
      </c>
      <c r="I41" s="337"/>
      <c r="J41" s="168"/>
      <c r="K41" s="168"/>
      <c r="M41" s="359">
        <f t="shared" si="7"/>
        <v>14.912917023096664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490">
        <f>'[39]Sch C'!D27</f>
        <v>56357</v>
      </c>
      <c r="D42" s="490">
        <f>'[39]Sch C'!F27</f>
        <v>-2289</v>
      </c>
      <c r="E42" s="171">
        <f t="shared" si="4"/>
        <v>54068</v>
      </c>
      <c r="F42" s="171"/>
      <c r="G42" s="171">
        <f t="shared" si="5"/>
        <v>54068</v>
      </c>
      <c r="H42" s="172">
        <f t="shared" si="6"/>
        <v>9.0598321246687062E-3</v>
      </c>
      <c r="I42" s="337"/>
      <c r="J42" s="168"/>
      <c r="K42" s="168"/>
      <c r="M42" s="359">
        <f t="shared" si="7"/>
        <v>1.8500598802395209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490">
        <f>'[39]Sch C'!D28</f>
        <v>0</v>
      </c>
      <c r="D43" s="490">
        <f>'[39]Sch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490">
        <f>'[39]Sch C'!D29</f>
        <v>7980</v>
      </c>
      <c r="D44" s="490">
        <f>'[39]Sch C'!F29</f>
        <v>-7980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490">
        <f>'[39]Sch C'!D30</f>
        <v>0</v>
      </c>
      <c r="D45" s="490">
        <f>'[39]Sch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490">
        <f>'[39]Sch C'!D31</f>
        <v>35381</v>
      </c>
      <c r="D46" s="490">
        <f>'[39]Sch C'!F31</f>
        <v>0</v>
      </c>
      <c r="E46" s="171">
        <f t="shared" si="4"/>
        <v>35381</v>
      </c>
      <c r="F46" s="171"/>
      <c r="G46" s="171">
        <f t="shared" si="5"/>
        <v>35381</v>
      </c>
      <c r="H46" s="172">
        <f t="shared" si="6"/>
        <v>5.928569956404962E-3</v>
      </c>
      <c r="I46" s="337"/>
      <c r="J46" s="168"/>
      <c r="K46" s="168"/>
      <c r="M46" s="359">
        <f t="shared" si="7"/>
        <v>1.2106415739948675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490">
        <f>'[39]Sch C'!D32</f>
        <v>57353</v>
      </c>
      <c r="D47" s="490">
        <f>'[39]Sch C'!F32</f>
        <v>0</v>
      </c>
      <c r="E47" s="171">
        <f t="shared" si="4"/>
        <v>57353</v>
      </c>
      <c r="F47" s="171"/>
      <c r="G47" s="171">
        <f t="shared" si="5"/>
        <v>57353</v>
      </c>
      <c r="H47" s="172">
        <f t="shared" si="6"/>
        <v>9.6102787572339334E-3</v>
      </c>
      <c r="I47" s="337"/>
      <c r="J47" s="168"/>
      <c r="K47" s="168"/>
      <c r="M47" s="359">
        <f t="shared" si="7"/>
        <v>1.962463644140291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490">
        <f>'[39]Sch C'!D33</f>
        <v>0</v>
      </c>
      <c r="D48" s="490">
        <f>'[39]Sch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490">
        <f>'[39]Sch C'!D34</f>
        <v>0</v>
      </c>
      <c r="D49" s="490">
        <f>'[39]Sch C'!F34</f>
        <v>0</v>
      </c>
      <c r="E49" s="171">
        <f t="shared" si="4"/>
        <v>0</v>
      </c>
      <c r="F49" s="171"/>
      <c r="G49" s="171">
        <f t="shared" si="5"/>
        <v>0</v>
      </c>
      <c r="H49" s="172">
        <f t="shared" si="6"/>
        <v>0</v>
      </c>
      <c r="I49" s="337"/>
      <c r="J49" s="168"/>
      <c r="K49" s="168"/>
      <c r="M49" s="359">
        <f t="shared" si="7"/>
        <v>0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490">
        <f>'[39]Sch C'!D35</f>
        <v>0</v>
      </c>
      <c r="D50" s="490">
        <f>'[39]Sch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490">
        <f>'[39]Sch C'!D36</f>
        <v>56531</v>
      </c>
      <c r="D51" s="490">
        <f>'[39]Sch C'!F36</f>
        <v>0</v>
      </c>
      <c r="E51" s="171">
        <f t="shared" si="4"/>
        <v>56531</v>
      </c>
      <c r="F51" s="171"/>
      <c r="G51" s="171">
        <f t="shared" si="5"/>
        <v>56531</v>
      </c>
      <c r="H51" s="172">
        <f t="shared" si="6"/>
        <v>9.4725414263454651E-3</v>
      </c>
      <c r="I51" s="337"/>
      <c r="J51" s="183">
        <v>2880</v>
      </c>
      <c r="K51" s="183">
        <v>3055</v>
      </c>
      <c r="M51" s="359">
        <f t="shared" si="7"/>
        <v>1.9343370402053037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490">
        <f>'[39]Sch C'!D37</f>
        <v>0</v>
      </c>
      <c r="D52" s="490">
        <f>'[39]Sch C'!F37</f>
        <v>5780</v>
      </c>
      <c r="E52" s="171">
        <f t="shared" si="4"/>
        <v>5780</v>
      </c>
      <c r="F52" s="171"/>
      <c r="G52" s="171">
        <f t="shared" si="5"/>
        <v>5780</v>
      </c>
      <c r="H52" s="172">
        <f t="shared" si="6"/>
        <v>9.6851797145418956E-4</v>
      </c>
      <c r="I52" s="337"/>
      <c r="J52" s="168"/>
      <c r="K52" s="168"/>
      <c r="M52" s="359">
        <f t="shared" si="7"/>
        <v>0.19777587681779299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490">
        <f>'[39]Sch C'!D38</f>
        <v>0</v>
      </c>
      <c r="D53" s="490">
        <f>'[39]Sch C'!F38</f>
        <v>0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7"/>
      <c r="J53" s="168"/>
      <c r="K53" s="168"/>
      <c r="M53" s="359">
        <f t="shared" si="7"/>
        <v>0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490">
        <f>'[39]Sch C'!D39</f>
        <v>3073</v>
      </c>
      <c r="D54" s="490">
        <f>'[39]Sch C'!F39</f>
        <v>0</v>
      </c>
      <c r="E54" s="171">
        <f t="shared" si="4"/>
        <v>3073</v>
      </c>
      <c r="F54" s="171"/>
      <c r="G54" s="171">
        <f t="shared" si="5"/>
        <v>3073</v>
      </c>
      <c r="H54" s="172">
        <f t="shared" si="6"/>
        <v>5.1492313603438138E-4</v>
      </c>
      <c r="I54" s="337"/>
      <c r="J54" s="168"/>
      <c r="K54" s="168"/>
      <c r="M54" s="359">
        <f t="shared" si="7"/>
        <v>0.1051497005988024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490">
        <f>'[39]Sch C'!D40</f>
        <v>3200</v>
      </c>
      <c r="D55" s="490">
        <f>'[39]Sch C'!F40</f>
        <v>0</v>
      </c>
      <c r="E55" s="171">
        <f t="shared" si="4"/>
        <v>3200</v>
      </c>
      <c r="F55" s="171"/>
      <c r="G55" s="171">
        <f t="shared" si="5"/>
        <v>3200</v>
      </c>
      <c r="H55" s="172">
        <f t="shared" si="6"/>
        <v>5.3620372122031249E-4</v>
      </c>
      <c r="I55" s="337"/>
      <c r="J55" s="168"/>
      <c r="K55" s="168"/>
      <c r="M55" s="359">
        <f t="shared" si="7"/>
        <v>0.10949529512403763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490">
        <f>'[39]Sch C'!D41</f>
        <v>17702</v>
      </c>
      <c r="D56" s="490">
        <f>'[39]Sch C'!F41</f>
        <v>0</v>
      </c>
      <c r="E56" s="171">
        <f t="shared" si="4"/>
        <v>17702</v>
      </c>
      <c r="F56" s="171"/>
      <c r="G56" s="171">
        <f t="shared" si="5"/>
        <v>17702</v>
      </c>
      <c r="H56" s="172">
        <f t="shared" si="6"/>
        <v>2.9662119603256166E-3</v>
      </c>
      <c r="I56" s="337"/>
      <c r="J56" s="168"/>
      <c r="K56" s="168"/>
      <c r="M56" s="359">
        <f t="shared" si="7"/>
        <v>0.60571428571428576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490">
        <f>'[39]Sch C'!D42</f>
        <v>0</v>
      </c>
      <c r="D57" s="490">
        <f>'[39]Sch C'!F42</f>
        <v>0</v>
      </c>
      <c r="E57" s="171">
        <f t="shared" si="4"/>
        <v>0</v>
      </c>
      <c r="F57" s="171"/>
      <c r="G57" s="171">
        <f t="shared" si="5"/>
        <v>0</v>
      </c>
      <c r="H57" s="172">
        <f t="shared" si="6"/>
        <v>0</v>
      </c>
      <c r="I57" s="337"/>
      <c r="J57" s="168"/>
      <c r="K57" s="168"/>
      <c r="M57" s="359">
        <f t="shared" si="7"/>
        <v>0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490">
        <f>'[39]Sch C'!D43</f>
        <v>0</v>
      </c>
      <c r="D58" s="490">
        <f>'[39]Sch C'!F43</f>
        <v>0</v>
      </c>
      <c r="E58" s="171">
        <f t="shared" si="4"/>
        <v>0</v>
      </c>
      <c r="F58" s="171"/>
      <c r="G58" s="171">
        <f t="shared" si="5"/>
        <v>0</v>
      </c>
      <c r="H58" s="172">
        <f t="shared" si="6"/>
        <v>0</v>
      </c>
      <c r="I58" s="337"/>
      <c r="J58" s="168"/>
      <c r="K58" s="168"/>
      <c r="M58" s="359">
        <f t="shared" si="7"/>
        <v>0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490">
        <f>'[39]Sch C'!D44</f>
        <v>0</v>
      </c>
      <c r="D59" s="490">
        <f>'[39]Sch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7"/>
      <c r="J59" s="168"/>
      <c r="K59" s="168"/>
      <c r="M59" s="359">
        <f t="shared" si="7"/>
        <v>0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490">
        <f>'[39]Sch C'!D45</f>
        <v>0</v>
      </c>
      <c r="D60" s="490">
        <f>'[39]Sch C'!F45</f>
        <v>-351</v>
      </c>
      <c r="E60" s="171">
        <f t="shared" si="4"/>
        <v>-351</v>
      </c>
      <c r="F60" s="171"/>
      <c r="G60" s="171">
        <f t="shared" si="5"/>
        <v>-351</v>
      </c>
      <c r="H60" s="172">
        <f t="shared" si="6"/>
        <v>-5.881484567135303E-5</v>
      </c>
      <c r="I60" s="337"/>
      <c r="J60" s="168"/>
      <c r="K60" s="168"/>
      <c r="M60" s="359">
        <f t="shared" si="7"/>
        <v>-1.2010265183917878E-2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490">
        <f>SUM(C25:C60)</f>
        <v>1410435</v>
      </c>
      <c r="D61" s="490">
        <f>SUM(D25:D60)</f>
        <v>-316172</v>
      </c>
      <c r="E61" s="171">
        <f t="shared" ref="E61:F61" si="8">SUM(E25:E60)</f>
        <v>1094263</v>
      </c>
      <c r="F61" s="171">
        <f t="shared" si="8"/>
        <v>0</v>
      </c>
      <c r="G61" s="171">
        <f>SUM(G25:G60)</f>
        <v>1094263</v>
      </c>
      <c r="H61" s="186">
        <f t="shared" si="6"/>
        <v>0.18335871643553214</v>
      </c>
      <c r="I61" s="339"/>
      <c r="J61" s="168"/>
      <c r="K61" s="168"/>
      <c r="M61" s="364">
        <f>G61/G$228</f>
        <v>37.442703165098372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I62" s="340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490">
        <f>'[39]Sch C'!D57</f>
        <v>280968</v>
      </c>
      <c r="D64" s="490">
        <f>'[39]Sch C'!F57</f>
        <v>-280968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I64" s="337"/>
      <c r="J64" s="190"/>
      <c r="K64" s="168"/>
      <c r="M64" s="359">
        <f t="shared" ref="M64:M79" si="12">G64/G$228</f>
        <v>0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490">
        <f>'[39]Sch C'!D58</f>
        <v>0</v>
      </c>
      <c r="D65" s="490">
        <f>'[39]Sch C'!F58</f>
        <v>76408</v>
      </c>
      <c r="E65" s="171">
        <f t="shared" si="9"/>
        <v>76408</v>
      </c>
      <c r="F65" s="171"/>
      <c r="G65" s="171">
        <f t="shared" si="10"/>
        <v>76408</v>
      </c>
      <c r="H65" s="172">
        <f t="shared" si="11"/>
        <v>1.2803204353438012E-2</v>
      </c>
      <c r="I65" s="337"/>
      <c r="J65" s="190"/>
      <c r="K65" s="168"/>
      <c r="M65" s="359">
        <f t="shared" si="12"/>
        <v>2.6144739093242086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490">
        <f>'[39]Sch C'!D59</f>
        <v>0</v>
      </c>
      <c r="D66" s="490">
        <f>'[39]Sch C'!F59</f>
        <v>168884</v>
      </c>
      <c r="E66" s="171">
        <f t="shared" si="9"/>
        <v>168884</v>
      </c>
      <c r="F66" s="171"/>
      <c r="G66" s="171">
        <f t="shared" si="10"/>
        <v>168884</v>
      </c>
      <c r="H66" s="172">
        <f t="shared" si="11"/>
        <v>2.829882164205352E-2</v>
      </c>
      <c r="I66" s="337"/>
      <c r="J66" s="190"/>
      <c r="K66" s="168"/>
      <c r="M66" s="359">
        <f t="shared" si="12"/>
        <v>5.7787510692899913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490">
        <f>'[39]Sch C'!D60</f>
        <v>2694</v>
      </c>
      <c r="D67" s="490">
        <f>'[39]Sch C'!F60</f>
        <v>24893</v>
      </c>
      <c r="E67" s="171">
        <f t="shared" si="9"/>
        <v>27587</v>
      </c>
      <c r="F67" s="171"/>
      <c r="G67" s="171">
        <f t="shared" si="10"/>
        <v>27587</v>
      </c>
      <c r="H67" s="172">
        <f t="shared" si="11"/>
        <v>4.6225787679077378E-3</v>
      </c>
      <c r="I67" s="337"/>
      <c r="J67" s="193"/>
      <c r="K67" s="168"/>
      <c r="M67" s="359">
        <f t="shared" si="12"/>
        <v>0.94395209580838324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490">
        <f>'[39]Sch C'!D61</f>
        <v>12620</v>
      </c>
      <c r="D68" s="490">
        <f>'[39]Sch C'!F61</f>
        <v>0</v>
      </c>
      <c r="E68" s="171">
        <f t="shared" si="9"/>
        <v>12620</v>
      </c>
      <c r="F68" s="171"/>
      <c r="G68" s="171">
        <f t="shared" si="10"/>
        <v>12620</v>
      </c>
      <c r="H68" s="172">
        <f t="shared" si="11"/>
        <v>2.1146534255626075E-3</v>
      </c>
      <c r="I68" s="337"/>
      <c r="J68" s="193"/>
      <c r="K68" s="168"/>
      <c r="M68" s="359">
        <f t="shared" si="12"/>
        <v>0.43182207014542345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490">
        <f>'[39]Sch C'!D62</f>
        <v>0</v>
      </c>
      <c r="D69" s="490">
        <f>'[39]Sch C'!F62</f>
        <v>0</v>
      </c>
      <c r="E69" s="171">
        <f t="shared" si="9"/>
        <v>0</v>
      </c>
      <c r="F69" s="171"/>
      <c r="G69" s="171">
        <f t="shared" si="10"/>
        <v>0</v>
      </c>
      <c r="H69" s="172">
        <f t="shared" si="11"/>
        <v>0</v>
      </c>
      <c r="I69" s="337"/>
      <c r="J69" s="195"/>
      <c r="K69" s="168"/>
      <c r="M69" s="359">
        <f t="shared" si="12"/>
        <v>0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490">
        <f>'[39]Sch C'!D63</f>
        <v>0</v>
      </c>
      <c r="D70" s="490">
        <f>'[39]Sch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7"/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490">
        <f>'[39]Sch C'!D64</f>
        <v>0</v>
      </c>
      <c r="D71" s="490">
        <f>'[39]Sch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490">
        <f>'[39]Sch C'!D65</f>
        <v>0</v>
      </c>
      <c r="D72" s="490">
        <f>'[39]Sch C'!F65</f>
        <v>0</v>
      </c>
      <c r="E72" s="171">
        <f t="shared" si="9"/>
        <v>0</v>
      </c>
      <c r="F72" s="171"/>
      <c r="G72" s="171">
        <f t="shared" si="10"/>
        <v>0</v>
      </c>
      <c r="H72" s="172">
        <f t="shared" si="11"/>
        <v>0</v>
      </c>
      <c r="I72" s="337"/>
      <c r="J72" s="195"/>
      <c r="K72" s="168"/>
      <c r="M72" s="359">
        <f t="shared" si="12"/>
        <v>0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490">
        <f>'[39]Sch C'!D66</f>
        <v>8298</v>
      </c>
      <c r="D73" s="490">
        <f>'[39]Sch C'!F66</f>
        <v>0</v>
      </c>
      <c r="E73" s="171">
        <f t="shared" si="9"/>
        <v>8298</v>
      </c>
      <c r="F73" s="171"/>
      <c r="G73" s="171">
        <f t="shared" si="10"/>
        <v>8298</v>
      </c>
      <c r="H73" s="172">
        <f t="shared" si="11"/>
        <v>1.3904432745894229E-3</v>
      </c>
      <c r="I73" s="337"/>
      <c r="J73" s="195"/>
      <c r="K73" s="168"/>
      <c r="M73" s="359">
        <f t="shared" si="12"/>
        <v>0.28393498716852011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490">
        <f>'[39]Sch C'!D67</f>
        <v>61972</v>
      </c>
      <c r="D74" s="490">
        <f>'[39]Sch C'!F67</f>
        <v>0</v>
      </c>
      <c r="E74" s="171">
        <f t="shared" si="9"/>
        <v>61972</v>
      </c>
      <c r="F74" s="171"/>
      <c r="G74" s="171">
        <f t="shared" si="10"/>
        <v>61972</v>
      </c>
      <c r="H74" s="172">
        <f t="shared" si="11"/>
        <v>1.0384255316082877E-2</v>
      </c>
      <c r="I74" s="337"/>
      <c r="J74" s="195"/>
      <c r="K74" s="168"/>
      <c r="M74" s="359">
        <f t="shared" si="12"/>
        <v>2.120513259195894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490">
        <f>'[39]Sch C'!D68</f>
        <v>0</v>
      </c>
      <c r="D75" s="490">
        <f>'[39]Sch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490">
        <f>'[39]Sch C'!D69</f>
        <v>0</v>
      </c>
      <c r="D76" s="490">
        <f>'[39]Sch C'!F69</f>
        <v>0</v>
      </c>
      <c r="E76" s="171">
        <f t="shared" si="9"/>
        <v>0</v>
      </c>
      <c r="F76" s="171"/>
      <c r="G76" s="171">
        <f t="shared" si="10"/>
        <v>0</v>
      </c>
      <c r="H76" s="172">
        <f t="shared" si="11"/>
        <v>0</v>
      </c>
      <c r="I76" s="337"/>
      <c r="J76" s="195"/>
      <c r="K76" s="168"/>
      <c r="M76" s="359">
        <f t="shared" si="12"/>
        <v>0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490">
        <f>'[39]Sch C'!D70</f>
        <v>0</v>
      </c>
      <c r="D77" s="490">
        <f>'[39]Sch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7"/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490">
        <f>'[39]Sch C'!D71</f>
        <v>0</v>
      </c>
      <c r="D78" s="490">
        <f>'[39]Sch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7"/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490">
        <f>SUM(C64:C78)</f>
        <v>366552</v>
      </c>
      <c r="D79" s="490">
        <f>SUM(D64:D78)</f>
        <v>-10783</v>
      </c>
      <c r="E79" s="171">
        <f t="shared" ref="E79:F79" si="13">SUM(E64:E78)</f>
        <v>355769</v>
      </c>
      <c r="F79" s="171">
        <f t="shared" si="13"/>
        <v>0</v>
      </c>
      <c r="G79" s="171">
        <f>SUM(G64:G78)</f>
        <v>355769</v>
      </c>
      <c r="H79" s="172">
        <f t="shared" si="11"/>
        <v>5.9613956779634179E-2</v>
      </c>
      <c r="I79" s="337"/>
      <c r="J79" s="195"/>
      <c r="K79" s="168"/>
      <c r="M79" s="359">
        <f t="shared" si="12"/>
        <v>12.17344739093242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490">
        <f>'[39]Sch C'!D75</f>
        <v>162933</v>
      </c>
      <c r="D82" s="490">
        <f>'[39]Sch C'!F75</f>
        <v>0</v>
      </c>
      <c r="E82" s="171">
        <f t="shared" ref="E82:E92" si="14">C82+D82</f>
        <v>162933</v>
      </c>
      <c r="F82" s="171"/>
      <c r="G82" s="171">
        <f t="shared" ref="G82:G92" si="15">E82+F82</f>
        <v>162933</v>
      </c>
      <c r="H82" s="172">
        <f t="shared" ref="H82:H93" si="16">IF($G$208=0,0,G82/$G$208)</f>
        <v>2.730165028424662E-2</v>
      </c>
      <c r="I82" s="337"/>
      <c r="J82" s="183">
        <v>6982</v>
      </c>
      <c r="K82" s="183">
        <v>7481</v>
      </c>
      <c r="M82" s="359">
        <f t="shared" ref="M82:M92" si="17">G82/G$228</f>
        <v>5.5751240376390081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490">
        <f>'[39]Sch C'!D76</f>
        <v>0</v>
      </c>
      <c r="D83" s="490">
        <f>'[39]Sch C'!F76</f>
        <v>16658</v>
      </c>
      <c r="E83" s="171">
        <f t="shared" si="14"/>
        <v>16658</v>
      </c>
      <c r="F83" s="171"/>
      <c r="G83" s="171">
        <f t="shared" si="15"/>
        <v>16658</v>
      </c>
      <c r="H83" s="172">
        <f t="shared" si="16"/>
        <v>2.7912754962774893E-3</v>
      </c>
      <c r="I83" s="337"/>
      <c r="J83" s="168"/>
      <c r="K83" s="168"/>
      <c r="M83" s="359">
        <f t="shared" si="17"/>
        <v>0.56999144568006843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490">
        <f>'[39]Sch C'!D77</f>
        <v>62227</v>
      </c>
      <c r="D84" s="490">
        <f>'[39]Sch C'!F77</f>
        <v>0</v>
      </c>
      <c r="E84" s="171">
        <f t="shared" si="14"/>
        <v>62227</v>
      </c>
      <c r="F84" s="171"/>
      <c r="G84" s="171">
        <f t="shared" si="15"/>
        <v>62227</v>
      </c>
      <c r="H84" s="172">
        <f t="shared" si="16"/>
        <v>1.0426984050117622E-2</v>
      </c>
      <c r="I84" s="337"/>
      <c r="J84" s="168"/>
      <c r="K84" s="168"/>
      <c r="M84" s="359">
        <f t="shared" si="17"/>
        <v>2.1292386655260906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490">
        <f>'[39]Sch C'!D78</f>
        <v>0</v>
      </c>
      <c r="D85" s="490">
        <f>'[39]Sch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I85" s="337"/>
      <c r="J85" s="168"/>
      <c r="K85" s="168"/>
      <c r="M85" s="359">
        <f t="shared" si="17"/>
        <v>0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490">
        <f>'[39]Sch C'!D79</f>
        <v>1300</v>
      </c>
      <c r="D86" s="490">
        <f>'[39]Sch C'!F79</f>
        <v>0</v>
      </c>
      <c r="E86" s="171">
        <f t="shared" si="14"/>
        <v>1300</v>
      </c>
      <c r="F86" s="171"/>
      <c r="G86" s="171">
        <f>E86+F86</f>
        <v>1300</v>
      </c>
      <c r="H86" s="172">
        <f t="shared" si="16"/>
        <v>2.1783276174575198E-4</v>
      </c>
      <c r="I86" s="337"/>
      <c r="J86" s="168"/>
      <c r="K86" s="168"/>
      <c r="M86" s="359">
        <f t="shared" si="17"/>
        <v>4.448246364414029E-2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490">
        <f>'[39]Sch C'!D80</f>
        <v>26943</v>
      </c>
      <c r="D87" s="490">
        <f>'[39]Sch C'!F80</f>
        <v>0</v>
      </c>
      <c r="E87" s="171">
        <f t="shared" si="14"/>
        <v>26943</v>
      </c>
      <c r="F87" s="171"/>
      <c r="G87" s="171">
        <f t="shared" si="15"/>
        <v>26943</v>
      </c>
      <c r="H87" s="172">
        <f t="shared" si="16"/>
        <v>4.51466776901215E-3</v>
      </c>
      <c r="I87" s="337"/>
      <c r="J87" s="168"/>
      <c r="K87" s="168"/>
      <c r="M87" s="359">
        <f t="shared" si="17"/>
        <v>0.92191616766467066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490">
        <f>'[39]Sch C'!D81</f>
        <v>0</v>
      </c>
      <c r="D88" s="490">
        <f>'[39]Sch C'!F81</f>
        <v>0</v>
      </c>
      <c r="E88" s="171">
        <f t="shared" si="14"/>
        <v>0</v>
      </c>
      <c r="F88" s="171"/>
      <c r="G88" s="171">
        <f t="shared" si="15"/>
        <v>0</v>
      </c>
      <c r="H88" s="172">
        <f t="shared" si="16"/>
        <v>0</v>
      </c>
      <c r="I88" s="337"/>
      <c r="J88" s="168"/>
      <c r="K88" s="168"/>
      <c r="M88" s="359">
        <f t="shared" si="17"/>
        <v>0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490">
        <f>'[39]Sch C'!D82</f>
        <v>0</v>
      </c>
      <c r="D89" s="490">
        <f>'[39]Sch C'!F82</f>
        <v>0</v>
      </c>
      <c r="E89" s="171">
        <f t="shared" si="14"/>
        <v>0</v>
      </c>
      <c r="F89" s="171"/>
      <c r="G89" s="171">
        <f t="shared" si="15"/>
        <v>0</v>
      </c>
      <c r="H89" s="172">
        <f t="shared" si="16"/>
        <v>0</v>
      </c>
      <c r="I89" s="337"/>
      <c r="J89" s="168"/>
      <c r="K89" s="168"/>
      <c r="M89" s="359">
        <f t="shared" si="17"/>
        <v>0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490">
        <f>'[39]Sch C'!D83</f>
        <v>22537</v>
      </c>
      <c r="D90" s="490">
        <f>'[39]Sch C'!F83</f>
        <v>0</v>
      </c>
      <c r="E90" s="171">
        <f t="shared" si="14"/>
        <v>22537</v>
      </c>
      <c r="F90" s="171"/>
      <c r="G90" s="171">
        <f t="shared" si="15"/>
        <v>22537</v>
      </c>
      <c r="H90" s="172">
        <f t="shared" si="16"/>
        <v>3.7763822703569326E-3</v>
      </c>
      <c r="I90" s="337"/>
      <c r="J90" s="168"/>
      <c r="K90" s="168"/>
      <c r="M90" s="359">
        <f t="shared" si="17"/>
        <v>0.77115483319076128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490">
        <f>'[39]Sch C'!D84</f>
        <v>86438</v>
      </c>
      <c r="D91" s="490">
        <f>'[39]Sch C'!F84</f>
        <v>0</v>
      </c>
      <c r="E91" s="171">
        <f t="shared" si="14"/>
        <v>86438</v>
      </c>
      <c r="F91" s="171"/>
      <c r="G91" s="171">
        <f t="shared" si="15"/>
        <v>86438</v>
      </c>
      <c r="H91" s="172">
        <f t="shared" si="16"/>
        <v>1.448386789213793E-2</v>
      </c>
      <c r="I91" s="337"/>
      <c r="J91" s="168"/>
      <c r="K91" s="168"/>
      <c r="M91" s="359">
        <f t="shared" si="17"/>
        <v>2.9576732249786142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490">
        <f>'[39]Sch C'!D85</f>
        <v>0</v>
      </c>
      <c r="D92" s="490">
        <f>'[39]Sch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7"/>
      <c r="J92" s="168"/>
      <c r="K92" s="168"/>
      <c r="M92" s="359">
        <f t="shared" si="17"/>
        <v>0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490">
        <f>SUM(C82:C92)</f>
        <v>362378</v>
      </c>
      <c r="D93" s="490">
        <f>SUM(D82:D92)</f>
        <v>16658</v>
      </c>
      <c r="E93" s="171">
        <f t="shared" ref="E93:F93" si="18">SUM(E82:E92)</f>
        <v>379036</v>
      </c>
      <c r="F93" s="171">
        <f t="shared" si="18"/>
        <v>0</v>
      </c>
      <c r="G93" s="171">
        <f>SUM(G82:G92)</f>
        <v>379036</v>
      </c>
      <c r="H93" s="172">
        <f t="shared" si="16"/>
        <v>6.3512660523894496E-2</v>
      </c>
      <c r="I93" s="337"/>
      <c r="J93" s="168"/>
      <c r="K93" s="168"/>
      <c r="M93" s="364">
        <f>G93/G$228</f>
        <v>12.969580838323353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490">
        <f>'[39]Sch C'!D89</f>
        <v>262791</v>
      </c>
      <c r="D96" s="490">
        <f>'[39]Sch C'!F89</f>
        <v>0</v>
      </c>
      <c r="E96" s="171">
        <f t="shared" ref="E96:E101" si="19">C96+D96</f>
        <v>262791</v>
      </c>
      <c r="F96" s="171"/>
      <c r="G96" s="171">
        <f t="shared" ref="G96:G101" si="20">E96+F96</f>
        <v>262791</v>
      </c>
      <c r="H96" s="172">
        <f t="shared" ref="H96:H102" si="21">IF($G$208=0,0,G96/$G$208)</f>
        <v>4.4034222532252233E-2</v>
      </c>
      <c r="I96" s="337"/>
      <c r="J96" s="183">
        <v>14837</v>
      </c>
      <c r="K96" s="183">
        <v>15633</v>
      </c>
      <c r="M96" s="364">
        <f t="shared" ref="M96:M101" si="22">G96/G$228</f>
        <v>8.991993156544055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490">
        <f>'[39]Sch C'!D90</f>
        <v>0</v>
      </c>
      <c r="D97" s="490">
        <f>'[39]Sch C'!F90</f>
        <v>26868</v>
      </c>
      <c r="E97" s="171">
        <f t="shared" si="19"/>
        <v>26868</v>
      </c>
      <c r="F97" s="171"/>
      <c r="G97" s="171">
        <f t="shared" si="20"/>
        <v>26868</v>
      </c>
      <c r="H97" s="172">
        <f t="shared" si="21"/>
        <v>4.5021004942960487E-3</v>
      </c>
      <c r="I97" s="337"/>
      <c r="J97" s="168"/>
      <c r="K97" s="168"/>
      <c r="M97" s="364">
        <f t="shared" si="22"/>
        <v>0.91934987168520099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490">
        <f>'[39]Sch C'!D91</f>
        <v>10659</v>
      </c>
      <c r="D98" s="490">
        <f>'[39]Sch C'!F91</f>
        <v>0</v>
      </c>
      <c r="E98" s="171">
        <f t="shared" si="19"/>
        <v>10659</v>
      </c>
      <c r="F98" s="171"/>
      <c r="G98" s="171">
        <f t="shared" si="20"/>
        <v>10659</v>
      </c>
      <c r="H98" s="172">
        <f t="shared" si="21"/>
        <v>1.7860610826522848E-3</v>
      </c>
      <c r="I98" s="337"/>
      <c r="J98" s="168"/>
      <c r="K98" s="168"/>
      <c r="M98" s="364">
        <f t="shared" si="22"/>
        <v>0.3647219846022241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490">
        <f>'[39]Sch C'!D92</f>
        <v>280570</v>
      </c>
      <c r="D99" s="490">
        <f>'[39]Sch C'!F92</f>
        <v>0</v>
      </c>
      <c r="E99" s="171">
        <f t="shared" si="19"/>
        <v>280570</v>
      </c>
      <c r="F99" s="171"/>
      <c r="G99" s="171">
        <f t="shared" si="20"/>
        <v>280570</v>
      </c>
      <c r="H99" s="172">
        <f t="shared" si="21"/>
        <v>4.7013336894619714E-2</v>
      </c>
      <c r="I99" s="337"/>
      <c r="J99" s="168"/>
      <c r="K99" s="168"/>
      <c r="M99" s="364">
        <f t="shared" si="22"/>
        <v>9.6003421727972622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490">
        <f>'[39]Sch C'!D93</f>
        <v>1919</v>
      </c>
      <c r="D100" s="490">
        <f>'[39]Sch C'!F93</f>
        <v>0</v>
      </c>
      <c r="E100" s="171">
        <f t="shared" si="19"/>
        <v>1919</v>
      </c>
      <c r="F100" s="171"/>
      <c r="G100" s="171">
        <f t="shared" si="20"/>
        <v>1919</v>
      </c>
      <c r="H100" s="172">
        <f t="shared" si="21"/>
        <v>3.2155466906930619E-4</v>
      </c>
      <c r="I100" s="337"/>
      <c r="J100" s="168"/>
      <c r="K100" s="168"/>
      <c r="M100" s="364">
        <f t="shared" si="22"/>
        <v>6.5662959794696316E-2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490">
        <f>'[39]Sch C'!D94</f>
        <v>0</v>
      </c>
      <c r="D101" s="490">
        <f>'[39]Sch C'!F94</f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I101" s="337"/>
      <c r="J101" s="168"/>
      <c r="K101" s="168"/>
      <c r="M101" s="364">
        <f t="shared" si="22"/>
        <v>0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490">
        <f>SUM(C96:C101)</f>
        <v>555939</v>
      </c>
      <c r="D102" s="490">
        <f>SUM(D96:D101)</f>
        <v>26868</v>
      </c>
      <c r="E102" s="171">
        <f t="shared" ref="E102:F102" si="23">SUM(E96:E101)</f>
        <v>582807</v>
      </c>
      <c r="F102" s="171">
        <f t="shared" si="23"/>
        <v>0</v>
      </c>
      <c r="G102" s="171">
        <f>SUM(G96:G101)</f>
        <v>582807</v>
      </c>
      <c r="H102" s="172">
        <f t="shared" si="21"/>
        <v>9.7657275672889593E-2</v>
      </c>
      <c r="I102" s="337"/>
      <c r="J102" s="168"/>
      <c r="K102" s="168"/>
      <c r="M102" s="364">
        <f>G102/G$228</f>
        <v>19.94207014542344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490">
        <f>'[39]Sch C'!D98</f>
        <v>74085</v>
      </c>
      <c r="D105" s="490">
        <f>'[39]Sch C'!F98</f>
        <v>0</v>
      </c>
      <c r="E105" s="171">
        <f t="shared" ref="E105:E110" si="24">C105+D105</f>
        <v>74085</v>
      </c>
      <c r="F105" s="171"/>
      <c r="G105" s="171">
        <f t="shared" ref="G105:G110" si="25">E105+F105</f>
        <v>74085</v>
      </c>
      <c r="H105" s="172">
        <f t="shared" ref="H105:H111" si="26">IF($G$208=0,0,G105/$G$208)</f>
        <v>1.2413953964564642E-2</v>
      </c>
      <c r="I105" s="337"/>
      <c r="J105" s="183">
        <v>6175</v>
      </c>
      <c r="K105" s="183">
        <v>6487</v>
      </c>
      <c r="M105" s="364">
        <f t="shared" ref="M105:M110" si="27">G105/G$228</f>
        <v>2.5349871685201029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490">
        <f>'[39]Sch C'!D99</f>
        <v>0</v>
      </c>
      <c r="D106" s="490">
        <f>'[39]Sch C'!F99</f>
        <v>7574</v>
      </c>
      <c r="E106" s="171">
        <f t="shared" si="24"/>
        <v>7574</v>
      </c>
      <c r="F106" s="171"/>
      <c r="G106" s="171">
        <f t="shared" si="25"/>
        <v>7574</v>
      </c>
      <c r="H106" s="172">
        <f t="shared" si="26"/>
        <v>1.2691271826633273E-3</v>
      </c>
      <c r="I106" s="337"/>
      <c r="J106" s="168"/>
      <c r="K106" s="168"/>
      <c r="M106" s="364">
        <f t="shared" si="27"/>
        <v>0.25916167664670658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490">
        <f>'[39]Sch C'!D100</f>
        <v>8381</v>
      </c>
      <c r="D107" s="490">
        <f>'[39]Sch C'!F100</f>
        <v>0</v>
      </c>
      <c r="E107" s="171">
        <f t="shared" si="24"/>
        <v>8381</v>
      </c>
      <c r="F107" s="171"/>
      <c r="G107" s="171">
        <f t="shared" si="25"/>
        <v>8381</v>
      </c>
      <c r="H107" s="172">
        <f t="shared" si="26"/>
        <v>1.4043510586085749E-3</v>
      </c>
      <c r="I107" s="337"/>
      <c r="J107" s="168"/>
      <c r="K107" s="168"/>
      <c r="M107" s="364">
        <f t="shared" si="27"/>
        <v>0.28677502138579986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490">
        <f>'[39]Sch C'!D101</f>
        <v>0</v>
      </c>
      <c r="D108" s="490">
        <f>'[39]Sch C'!F101</f>
        <v>0</v>
      </c>
      <c r="E108" s="171">
        <f t="shared" si="24"/>
        <v>0</v>
      </c>
      <c r="F108" s="171"/>
      <c r="G108" s="171">
        <f t="shared" si="25"/>
        <v>0</v>
      </c>
      <c r="H108" s="172">
        <f t="shared" si="26"/>
        <v>0</v>
      </c>
      <c r="I108" s="337"/>
      <c r="J108" s="168"/>
      <c r="K108" s="168"/>
      <c r="M108" s="364">
        <f t="shared" si="27"/>
        <v>0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490">
        <f>'[39]Sch C'!D102</f>
        <v>0</v>
      </c>
      <c r="D109" s="490">
        <f>'[39]Sch C'!F102</f>
        <v>0</v>
      </c>
      <c r="E109" s="171">
        <f t="shared" si="24"/>
        <v>0</v>
      </c>
      <c r="F109" s="171"/>
      <c r="G109" s="171">
        <f t="shared" si="25"/>
        <v>0</v>
      </c>
      <c r="H109" s="172">
        <f t="shared" si="26"/>
        <v>0</v>
      </c>
      <c r="I109" s="337"/>
      <c r="J109" s="168"/>
      <c r="K109" s="168"/>
      <c r="M109" s="364">
        <f t="shared" si="27"/>
        <v>0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490">
        <f>'[39]Sch C'!D103</f>
        <v>0</v>
      </c>
      <c r="D110" s="490">
        <f>'[39]Sch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7"/>
      <c r="J110" s="168"/>
      <c r="K110" s="168"/>
      <c r="M110" s="364">
        <f t="shared" si="27"/>
        <v>0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490">
        <f>SUM(C105:C110)</f>
        <v>82466</v>
      </c>
      <c r="D111" s="490">
        <f>SUM(D105:D110)</f>
        <v>7574</v>
      </c>
      <c r="E111" s="171">
        <f t="shared" ref="E111:F111" si="28">SUM(E105:E110)</f>
        <v>90040</v>
      </c>
      <c r="F111" s="171">
        <f t="shared" si="28"/>
        <v>0</v>
      </c>
      <c r="G111" s="171">
        <f>SUM(G105:G110)</f>
        <v>90040</v>
      </c>
      <c r="H111" s="172">
        <f t="shared" si="26"/>
        <v>1.5087432205836544E-2</v>
      </c>
      <c r="I111" s="337"/>
      <c r="J111" s="168"/>
      <c r="K111" s="168"/>
      <c r="M111" s="364">
        <f>G111/G$228</f>
        <v>3.0809238665526091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490">
        <f>'[39]Sch C'!D115</f>
        <v>134262</v>
      </c>
      <c r="D114" s="490">
        <f>'[39]Sch C'!F115</f>
        <v>0</v>
      </c>
      <c r="E114" s="171">
        <f t="shared" ref="E114:E118" si="29">C114+D114</f>
        <v>134262</v>
      </c>
      <c r="F114" s="171"/>
      <c r="G114" s="171">
        <f>E114+F114</f>
        <v>134262</v>
      </c>
      <c r="H114" s="172">
        <f t="shared" ref="H114:H119" si="30">IF($G$208=0,0,G114/$G$208)</f>
        <v>2.2497432505775499E-2</v>
      </c>
      <c r="I114" s="337"/>
      <c r="J114" s="183">
        <v>11051</v>
      </c>
      <c r="K114" s="183">
        <v>11788</v>
      </c>
      <c r="M114" s="364">
        <f t="shared" ref="M114:M119" si="31">G114/G$228</f>
        <v>4.5940804106073569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490">
        <f>'[39]Sch C'!D116</f>
        <v>0</v>
      </c>
      <c r="D115" s="490">
        <f>'[39]Sch C'!F116</f>
        <v>13727</v>
      </c>
      <c r="E115" s="171">
        <f t="shared" si="29"/>
        <v>13727</v>
      </c>
      <c r="F115" s="171"/>
      <c r="G115" s="171">
        <f>E115+F115</f>
        <v>13727</v>
      </c>
      <c r="H115" s="172">
        <f t="shared" si="30"/>
        <v>2.3001464003722595E-3</v>
      </c>
      <c r="I115" s="337"/>
      <c r="J115" s="168"/>
      <c r="K115" s="168"/>
      <c r="M115" s="364">
        <f t="shared" si="31"/>
        <v>0.46970059880239523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490">
        <f>'[39]Sch C'!D117</f>
        <v>38106</v>
      </c>
      <c r="D116" s="490">
        <f>'[39]Sch C'!F117</f>
        <v>0</v>
      </c>
      <c r="E116" s="171">
        <f t="shared" si="29"/>
        <v>38106</v>
      </c>
      <c r="F116" s="171"/>
      <c r="G116" s="171">
        <f>E116+F116</f>
        <v>38106</v>
      </c>
      <c r="H116" s="172">
        <f t="shared" si="30"/>
        <v>6.3851809377566343E-3</v>
      </c>
      <c r="I116" s="337"/>
      <c r="J116" s="168"/>
      <c r="K116" s="168"/>
      <c r="M116" s="364">
        <f t="shared" si="31"/>
        <v>1.3038836612489306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490">
        <f>'[39]Sch C'!D118</f>
        <v>0</v>
      </c>
      <c r="D117" s="490">
        <f>'[39]Sch C'!F118</f>
        <v>0</v>
      </c>
      <c r="E117" s="171">
        <f t="shared" si="29"/>
        <v>0</v>
      </c>
      <c r="F117" s="171"/>
      <c r="G117" s="171">
        <f>E117+F117</f>
        <v>0</v>
      </c>
      <c r="H117" s="172">
        <f t="shared" si="30"/>
        <v>0</v>
      </c>
      <c r="I117" s="337"/>
      <c r="J117" s="168"/>
      <c r="K117" s="168"/>
      <c r="M117" s="364">
        <f t="shared" si="31"/>
        <v>0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490">
        <f>'[39]Sch C'!D119</f>
        <v>0</v>
      </c>
      <c r="D118" s="490">
        <f>'[39]Sch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337"/>
      <c r="J118" s="168"/>
      <c r="K118" s="168"/>
      <c r="M118" s="364">
        <f t="shared" si="31"/>
        <v>0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490">
        <f>SUM(C114:C118)</f>
        <v>172368</v>
      </c>
      <c r="D119" s="490">
        <f>SUM(D114:D118)</f>
        <v>13727</v>
      </c>
      <c r="E119" s="171">
        <f t="shared" ref="E119:F119" si="32">SUM(E114:E118)</f>
        <v>186095</v>
      </c>
      <c r="F119" s="171">
        <f t="shared" si="32"/>
        <v>0</v>
      </c>
      <c r="G119" s="171">
        <f>SUM(G114:G118)</f>
        <v>186095</v>
      </c>
      <c r="H119" s="172">
        <f t="shared" si="30"/>
        <v>3.1182759843904395E-2</v>
      </c>
      <c r="I119" s="337"/>
      <c r="J119" s="168"/>
      <c r="K119" s="168"/>
      <c r="M119" s="364">
        <f t="shared" si="31"/>
        <v>6.3676646706586828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1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490">
        <f>'[39]Sch C'!D124</f>
        <v>0</v>
      </c>
      <c r="D123" s="490">
        <f>'[39]Sch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7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0.77002560279620991</v>
      </c>
    </row>
    <row r="124" spans="1:14" s="167" customFormat="1">
      <c r="B124" s="163" t="s">
        <v>194</v>
      </c>
      <c r="C124" s="490">
        <f>'[39]Sch C'!D125</f>
        <v>93302</v>
      </c>
      <c r="D124" s="490">
        <f>'[39]Sch C'!F125</f>
        <v>0</v>
      </c>
      <c r="E124" s="171">
        <f t="shared" si="33"/>
        <v>93302</v>
      </c>
      <c r="F124" s="171"/>
      <c r="G124" s="171">
        <f>E124+F124</f>
        <v>93302</v>
      </c>
      <c r="H124" s="172">
        <f>IF($G$208=0,0,G124/$G$208)</f>
        <v>1.5634024874155501E-2</v>
      </c>
      <c r="I124" s="337"/>
      <c r="J124" s="183">
        <v>2152</v>
      </c>
      <c r="K124" s="183">
        <v>2272</v>
      </c>
      <c r="M124" s="364">
        <f t="shared" si="34"/>
        <v>3.1925406330196751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490">
        <f>'[39]Sch C'!D126</f>
        <v>81194</v>
      </c>
      <c r="D125" s="490">
        <f>'[39]Sch C'!F126</f>
        <v>0</v>
      </c>
      <c r="E125" s="171">
        <f t="shared" si="33"/>
        <v>81194</v>
      </c>
      <c r="F125" s="171"/>
      <c r="G125" s="171">
        <f>E125+F125</f>
        <v>81194</v>
      </c>
      <c r="H125" s="172">
        <f>IF($G$208=0,0,G125/$G$208)</f>
        <v>1.3605164043988142E-2</v>
      </c>
      <c r="I125" s="337"/>
      <c r="J125" s="183">
        <v>1960</v>
      </c>
      <c r="K125" s="183">
        <v>2080</v>
      </c>
      <c r="M125" s="364">
        <f t="shared" si="34"/>
        <v>2.7782378100940974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490">
        <f>'[39]Sch C'!D127</f>
        <v>0</v>
      </c>
      <c r="D126" s="490">
        <f>'[39]Sch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7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490">
        <f>'[39]Sch C'!D128</f>
        <v>178166</v>
      </c>
      <c r="D127" s="490">
        <f>'[39]Sch C'!F128</f>
        <v>0</v>
      </c>
      <c r="E127" s="171">
        <f t="shared" si="33"/>
        <v>178166</v>
      </c>
      <c r="F127" s="171"/>
      <c r="G127" s="171">
        <f>E127+F127</f>
        <v>178166</v>
      </c>
      <c r="H127" s="172">
        <f>IF($G$208=0,0,G127/$G$208)</f>
        <v>2.9854147560918188E-2</v>
      </c>
      <c r="I127" s="337"/>
      <c r="J127" s="183">
        <v>1960</v>
      </c>
      <c r="K127" s="183">
        <v>2080</v>
      </c>
      <c r="M127" s="364">
        <f t="shared" si="34"/>
        <v>6.0963558597091527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205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490">
        <f>'[39]Sch C'!D130</f>
        <v>0</v>
      </c>
      <c r="D129" s="490">
        <f>'[39]Sch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7"/>
      <c r="J129" s="204"/>
      <c r="K129" s="204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490">
        <f>'[39]Sch C'!D131</f>
        <v>0</v>
      </c>
      <c r="D130" s="490">
        <f>'[39]Sch C'!F131</f>
        <v>9539</v>
      </c>
      <c r="E130" s="171">
        <f t="shared" si="35"/>
        <v>9539</v>
      </c>
      <c r="F130" s="171"/>
      <c r="G130" s="171">
        <f>E130+F130</f>
        <v>9539</v>
      </c>
      <c r="H130" s="172">
        <f>IF($G$208=0,0,G130/$G$208)</f>
        <v>1.5983897802251755E-3</v>
      </c>
      <c r="I130" s="337"/>
      <c r="J130" s="204"/>
      <c r="K130" s="204"/>
      <c r="M130" s="364">
        <f t="shared" si="34"/>
        <v>0.32639863130881097</v>
      </c>
      <c r="N130" s="359">
        <f>SUMMARY!J133</f>
        <v>1.0792348507966931</v>
      </c>
    </row>
    <row r="131" spans="1:14" s="167" customFormat="1">
      <c r="B131" s="163" t="s">
        <v>195</v>
      </c>
      <c r="C131" s="490">
        <f>'[39]Sch C'!D132</f>
        <v>0</v>
      </c>
      <c r="D131" s="490">
        <f>'[39]Sch C'!F132</f>
        <v>8301</v>
      </c>
      <c r="E131" s="171">
        <f t="shared" si="35"/>
        <v>8301</v>
      </c>
      <c r="F131" s="171"/>
      <c r="G131" s="171">
        <f>E131+F131</f>
        <v>8301</v>
      </c>
      <c r="H131" s="172">
        <f>IF($G$208=0,0,G131/$G$208)</f>
        <v>1.3909459655780669E-3</v>
      </c>
      <c r="I131" s="337"/>
      <c r="J131" s="168"/>
      <c r="K131" s="168"/>
      <c r="M131" s="364">
        <f t="shared" si="34"/>
        <v>0.28403763900769891</v>
      </c>
      <c r="N131" s="359">
        <f>SUMMARY!J134</f>
        <v>8.2765628075518377E-2</v>
      </c>
    </row>
    <row r="132" spans="1:14" s="167" customFormat="1">
      <c r="B132" s="163" t="s">
        <v>196</v>
      </c>
      <c r="C132" s="490">
        <f>'[39]Sch C'!D133</f>
        <v>0</v>
      </c>
      <c r="D132" s="490">
        <f>'[39]Sch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490">
        <f>'[39]Sch C'!D134</f>
        <v>0</v>
      </c>
      <c r="D133" s="490">
        <f>'[39]Sch C'!F134</f>
        <v>18216</v>
      </c>
      <c r="E133" s="171">
        <f t="shared" si="35"/>
        <v>18216</v>
      </c>
      <c r="F133" s="171"/>
      <c r="G133" s="171">
        <f>E133+F133</f>
        <v>18216</v>
      </c>
      <c r="H133" s="172">
        <f>IF($G$208=0,0,G133/$G$208)</f>
        <v>3.0523396830466291E-3</v>
      </c>
      <c r="I133" s="337"/>
      <c r="J133" s="168"/>
      <c r="K133" s="168"/>
      <c r="M133" s="364">
        <f t="shared" si="34"/>
        <v>0.62330196749358424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490">
        <f>'[39]Sch C'!D136</f>
        <v>570154</v>
      </c>
      <c r="D135" s="490">
        <f>'[39]Sch C'!F136</f>
        <v>0</v>
      </c>
      <c r="E135" s="171">
        <f t="shared" ref="E135:E138" si="36">C135+D135</f>
        <v>570154</v>
      </c>
      <c r="F135" s="171"/>
      <c r="G135" s="171">
        <f>E135+F135</f>
        <v>570154</v>
      </c>
      <c r="H135" s="172">
        <f>IF($G$208=0,0,G135/$G$208)</f>
        <v>9.5537092646451896E-2</v>
      </c>
      <c r="I135" s="337"/>
      <c r="J135" s="183">
        <v>14213</v>
      </c>
      <c r="K135" s="183">
        <v>15351</v>
      </c>
      <c r="M135" s="364">
        <f t="shared" si="34"/>
        <v>19.50911890504705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490">
        <f>'[39]Sch C'!D137</f>
        <v>158016</v>
      </c>
      <c r="D136" s="490">
        <f>'[39]Sch C'!F137</f>
        <v>0</v>
      </c>
      <c r="E136" s="171">
        <f t="shared" si="36"/>
        <v>158016</v>
      </c>
      <c r="F136" s="171"/>
      <c r="G136" s="171">
        <f>E136+F136</f>
        <v>158016</v>
      </c>
      <c r="H136" s="172">
        <f>IF($G$208=0,0,G136/$G$208)</f>
        <v>2.6477739753859034E-2</v>
      </c>
      <c r="I136" s="337"/>
      <c r="J136" s="183">
        <v>5212</v>
      </c>
      <c r="K136" s="183">
        <v>5563</v>
      </c>
      <c r="M136" s="364">
        <f t="shared" si="34"/>
        <v>5.4068776732249786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490">
        <f>'[39]Sch C'!D138</f>
        <v>967076</v>
      </c>
      <c r="D137" s="490">
        <f>'[39]Sch C'!F138</f>
        <v>0</v>
      </c>
      <c r="E137" s="171">
        <f t="shared" si="36"/>
        <v>967076</v>
      </c>
      <c r="F137" s="171"/>
      <c r="G137" s="171">
        <f>E137+F137</f>
        <v>967076</v>
      </c>
      <c r="H137" s="172">
        <f>IF($G$208=0,0,G137/$G$208)</f>
        <v>0.16204679684464218</v>
      </c>
      <c r="I137" s="337"/>
      <c r="J137" s="183">
        <v>61087</v>
      </c>
      <c r="K137" s="183">
        <v>65039</v>
      </c>
      <c r="M137" s="364">
        <f t="shared" si="34"/>
        <v>33.090710008554318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490">
        <f>'[39]Sch C'!D139</f>
        <v>0</v>
      </c>
      <c r="D138" s="490">
        <f>'[39]Sch C'!F139</f>
        <v>0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7"/>
      <c r="J138" s="183">
        <v>0</v>
      </c>
      <c r="K138" s="183">
        <v>0</v>
      </c>
      <c r="M138" s="364">
        <f t="shared" si="34"/>
        <v>0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7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490">
        <f>'[39]Sch C'!D141</f>
        <v>0</v>
      </c>
      <c r="D140" s="490">
        <f>'[39]Sch C'!F141</f>
        <v>58292</v>
      </c>
      <c r="E140" s="171">
        <f t="shared" ref="E140:E143" si="37">C140+D140</f>
        <v>58292</v>
      </c>
      <c r="F140" s="171"/>
      <c r="G140" s="171">
        <f>E140+F140</f>
        <v>58292</v>
      </c>
      <c r="H140" s="172">
        <f>IF($G$208=0,0,G140/$G$208)</f>
        <v>9.7676210366795177E-3</v>
      </c>
      <c r="I140" s="337"/>
      <c r="J140" s="168"/>
      <c r="K140" s="168"/>
      <c r="M140" s="364">
        <f t="shared" si="34"/>
        <v>1.9945936698032507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490">
        <f>'[39]Sch C'!D142</f>
        <v>0</v>
      </c>
      <c r="D141" s="490">
        <f>'[39]Sch C'!F142</f>
        <v>16155</v>
      </c>
      <c r="E141" s="171">
        <f t="shared" si="37"/>
        <v>16155</v>
      </c>
      <c r="F141" s="171"/>
      <c r="G141" s="171">
        <f>E141+F141</f>
        <v>16155</v>
      </c>
      <c r="H141" s="172">
        <f>IF($G$208=0,0,G141/$G$208)</f>
        <v>2.7069909738481716E-3</v>
      </c>
      <c r="I141" s="337"/>
      <c r="J141" s="168"/>
      <c r="K141" s="168"/>
      <c r="M141" s="364">
        <f t="shared" si="34"/>
        <v>0.55278015397775881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490">
        <f>'[39]Sch C'!D143</f>
        <v>0</v>
      </c>
      <c r="D142" s="490">
        <f>'[39]Sch C'!F143</f>
        <v>98873</v>
      </c>
      <c r="E142" s="171">
        <f t="shared" si="37"/>
        <v>98873</v>
      </c>
      <c r="F142" s="171"/>
      <c r="G142" s="171">
        <f>E142+F142</f>
        <v>98873</v>
      </c>
      <c r="H142" s="172">
        <f>IF($G$208=0,0,G142/$G$208)</f>
        <v>1.6567522040067489E-2</v>
      </c>
      <c r="I142" s="337"/>
      <c r="J142" s="168"/>
      <c r="K142" s="168"/>
      <c r="M142" s="364">
        <f t="shared" si="34"/>
        <v>3.383165098374679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490">
        <f>'[39]Sch C'!D144</f>
        <v>0</v>
      </c>
      <c r="D143" s="490">
        <f>'[39]Sch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7"/>
      <c r="J143" s="168"/>
      <c r="K143" s="168"/>
      <c r="M143" s="364">
        <f t="shared" si="34"/>
        <v>0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7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490">
        <f>'[39]Sch C'!D146</f>
        <v>24223</v>
      </c>
      <c r="D145" s="490">
        <f>'[39]Sch C'!F146</f>
        <v>0</v>
      </c>
      <c r="E145" s="171">
        <f t="shared" ref="E145:E153" si="38">C145+D145</f>
        <v>24223</v>
      </c>
      <c r="F145" s="171"/>
      <c r="G145" s="171">
        <f t="shared" ref="G145:G153" si="39">E145+F145</f>
        <v>24223</v>
      </c>
      <c r="H145" s="172">
        <f t="shared" ref="H145:H153" si="40">IF($G$208=0,0,G145/$G$208)</f>
        <v>4.0588946059748844E-3</v>
      </c>
      <c r="I145" s="337"/>
      <c r="J145" s="183">
        <v>416</v>
      </c>
      <c r="K145" s="183">
        <v>416</v>
      </c>
      <c r="M145" s="364">
        <f t="shared" si="34"/>
        <v>0.8288451668092387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490">
        <f>'[39]Sch C'!D147</f>
        <v>0</v>
      </c>
      <c r="D146" s="490">
        <f>'[39]Sch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337"/>
      <c r="J146" s="183">
        <v>0</v>
      </c>
      <c r="K146" s="183">
        <v>0</v>
      </c>
      <c r="M146" s="364">
        <f t="shared" si="34"/>
        <v>0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490">
        <f>'[39]Sch C'!D148</f>
        <v>0</v>
      </c>
      <c r="D147" s="490">
        <f>'[39]Sch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7"/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490">
        <f>'[39]Sch C'!D149</f>
        <v>0</v>
      </c>
      <c r="D148" s="490">
        <f>'[39]Sch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7"/>
      <c r="J148" s="183">
        <v>0</v>
      </c>
      <c r="K148" s="183">
        <v>0</v>
      </c>
      <c r="M148" s="364">
        <f t="shared" si="34"/>
        <v>0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490">
        <f>'[39]Sch C'!D150</f>
        <v>7271</v>
      </c>
      <c r="D149" s="490">
        <f>'[39]Sch C'!F150</f>
        <v>0</v>
      </c>
      <c r="E149" s="171">
        <f t="shared" si="38"/>
        <v>7271</v>
      </c>
      <c r="F149" s="171"/>
      <c r="G149" s="171">
        <f t="shared" si="39"/>
        <v>7271</v>
      </c>
      <c r="H149" s="172">
        <f t="shared" si="40"/>
        <v>1.2183553928102788E-3</v>
      </c>
      <c r="I149" s="337"/>
      <c r="J149" s="183">
        <v>0</v>
      </c>
      <c r="K149" s="183">
        <v>0</v>
      </c>
      <c r="M149" s="364">
        <f t="shared" si="34"/>
        <v>0.24879384088964926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490">
        <f>'[39]Sch C'!D151</f>
        <v>112691</v>
      </c>
      <c r="D150" s="490">
        <f>'[39]Sch C'!F151</f>
        <v>0</v>
      </c>
      <c r="E150" s="171">
        <f t="shared" si="38"/>
        <v>112691</v>
      </c>
      <c r="F150" s="171"/>
      <c r="G150" s="171">
        <f t="shared" si="39"/>
        <v>112691</v>
      </c>
      <c r="H150" s="172">
        <f t="shared" si="40"/>
        <v>1.888291673376195E-2</v>
      </c>
      <c r="I150" s="337"/>
      <c r="J150" s="168"/>
      <c r="K150" s="168"/>
      <c r="M150" s="364">
        <f t="shared" si="34"/>
        <v>3.8559794696321643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490">
        <f>'[39]Sch C'!D152</f>
        <v>9416</v>
      </c>
      <c r="D151" s="490">
        <f>'[39]Sch C'!F152</f>
        <v>0</v>
      </c>
      <c r="E151" s="171">
        <f t="shared" si="38"/>
        <v>9416</v>
      </c>
      <c r="F151" s="171"/>
      <c r="G151" s="171">
        <f t="shared" si="39"/>
        <v>9416</v>
      </c>
      <c r="H151" s="172">
        <f t="shared" si="40"/>
        <v>1.5777794496907697E-3</v>
      </c>
      <c r="I151" s="337"/>
      <c r="J151" s="168"/>
      <c r="K151" s="168"/>
      <c r="M151" s="364">
        <f t="shared" si="34"/>
        <v>0.32218990590248076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490">
        <f>'[39]Sch C'!D153</f>
        <v>0</v>
      </c>
      <c r="D152" s="490">
        <f>'[39]Sch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7"/>
      <c r="J152" s="168"/>
      <c r="K152" s="168"/>
      <c r="M152" s="364">
        <f t="shared" si="34"/>
        <v>0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490">
        <f>'[39]Sch C'!D154</f>
        <v>0</v>
      </c>
      <c r="D153" s="490">
        <f>'[39]Sch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210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490">
        <f>'[39]Sch C'!D156</f>
        <v>0</v>
      </c>
      <c r="D155" s="490">
        <f>'[39]Sch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490">
        <f>'[39]Sch C'!D157</f>
        <v>0</v>
      </c>
      <c r="D156" s="490">
        <f>'[39]Sch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490">
        <f>'[39]Sch C'!D158</f>
        <v>0</v>
      </c>
      <c r="D157" s="490">
        <f>'[39]Sch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7"/>
      <c r="J157" s="168"/>
      <c r="K157" s="168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490">
        <f>'[39]Sch C'!D159</f>
        <v>0</v>
      </c>
      <c r="D158" s="490">
        <f>'[39]Sch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490">
        <f>'[39]Sch C'!D160</f>
        <v>0</v>
      </c>
      <c r="D159" s="490">
        <f>'[39]Sch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7"/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490">
        <f>'[39]Sch C'!D161</f>
        <v>0</v>
      </c>
      <c r="D160" s="490">
        <f>'[39]Sch C'!F161</f>
        <v>0</v>
      </c>
      <c r="E160" s="171">
        <f t="shared" si="41"/>
        <v>0</v>
      </c>
      <c r="F160" s="171"/>
      <c r="G160" s="171">
        <f t="shared" si="42"/>
        <v>0</v>
      </c>
      <c r="H160" s="172">
        <f t="shared" si="43"/>
        <v>0</v>
      </c>
      <c r="I160" s="337"/>
      <c r="J160" s="168"/>
      <c r="K160" s="168"/>
      <c r="M160" s="364">
        <f t="shared" si="34"/>
        <v>0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490">
        <f>SUM(C123:C160)</f>
        <v>2201509</v>
      </c>
      <c r="D161" s="490">
        <f>SUM(D123:D160)</f>
        <v>209376</v>
      </c>
      <c r="E161" s="171">
        <f t="shared" ref="E161:F161" si="44">SUM(E123:E160)</f>
        <v>2410885</v>
      </c>
      <c r="F161" s="171">
        <f t="shared" si="44"/>
        <v>0</v>
      </c>
      <c r="G161" s="171">
        <f>SUM(G123:G160)</f>
        <v>2410885</v>
      </c>
      <c r="H161" s="172">
        <f t="shared" si="43"/>
        <v>0.40397672138569785</v>
      </c>
      <c r="I161" s="337"/>
      <c r="J161" s="168"/>
      <c r="K161" s="168"/>
      <c r="M161" s="364">
        <f>G161/G$228</f>
        <v>82.493926432848582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337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7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490">
        <f>'[39]Sch C'!D175</f>
        <v>0</v>
      </c>
      <c r="D164" s="490">
        <f>'[39]Sch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490">
        <f>'[39]Sch C'!D176</f>
        <v>0</v>
      </c>
      <c r="D165" s="490">
        <f>'[39]Sch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490">
        <f>'[39]Sch C'!D177</f>
        <v>112206</v>
      </c>
      <c r="D166" s="490">
        <f>'[39]Sch C'!F177</f>
        <v>0</v>
      </c>
      <c r="E166" s="171">
        <f t="shared" si="45"/>
        <v>112206</v>
      </c>
      <c r="F166" s="216"/>
      <c r="G166" s="171">
        <f t="shared" si="46"/>
        <v>112206</v>
      </c>
      <c r="H166" s="172">
        <f t="shared" si="47"/>
        <v>1.8801648357264496E-2</v>
      </c>
      <c r="I166" s="343"/>
      <c r="J166" s="217">
        <v>5529</v>
      </c>
      <c r="K166" s="217">
        <v>5784</v>
      </c>
      <c r="L166" s="218"/>
      <c r="M166" s="364">
        <f t="shared" si="48"/>
        <v>3.8393840889649273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490">
        <f>'[39]Sch C'!D178</f>
        <v>0</v>
      </c>
      <c r="D167" s="490">
        <f>'[39]Sch C'!F178</f>
        <v>11472</v>
      </c>
      <c r="E167" s="171">
        <f t="shared" si="45"/>
        <v>11472</v>
      </c>
      <c r="F167" s="216"/>
      <c r="G167" s="171">
        <f t="shared" si="46"/>
        <v>11472</v>
      </c>
      <c r="H167" s="172">
        <f t="shared" si="47"/>
        <v>1.9222903405748204E-3</v>
      </c>
      <c r="I167" s="344"/>
      <c r="J167" s="222"/>
      <c r="K167" s="222"/>
      <c r="L167" s="218"/>
      <c r="M167" s="364">
        <f t="shared" si="48"/>
        <v>0.39254063301967496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490">
        <f>'[39]Sch C'!D179</f>
        <v>0</v>
      </c>
      <c r="D168" s="490">
        <f>'[39]Sch C'!F179</f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343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490">
        <f>'[39]Sch C'!D180</f>
        <v>0</v>
      </c>
      <c r="D169" s="490">
        <f>'[39]Sch C'!F180</f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344"/>
      <c r="J169" s="222"/>
      <c r="K169" s="222"/>
      <c r="L169" s="218"/>
      <c r="M169" s="364">
        <f t="shared" si="48"/>
        <v>0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490">
        <f>'[39]Sch C'!D181</f>
        <v>0</v>
      </c>
      <c r="D170" s="490">
        <f>'[39]Sch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3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490">
        <f>'[39]Sch C'!D182</f>
        <v>0</v>
      </c>
      <c r="D171" s="490">
        <f>'[39]Sch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490">
        <f>'[39]Sch C'!D183</f>
        <v>0</v>
      </c>
      <c r="D172" s="490">
        <f>'[39]Sch C'!F183</f>
        <v>0</v>
      </c>
      <c r="E172" s="171">
        <f t="shared" si="45"/>
        <v>0</v>
      </c>
      <c r="F172" s="216"/>
      <c r="G172" s="171">
        <f t="shared" si="46"/>
        <v>0</v>
      </c>
      <c r="H172" s="172">
        <f t="shared" si="47"/>
        <v>0</v>
      </c>
      <c r="I172" s="343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490">
        <f>'[39]Sch C'!D184</f>
        <v>0</v>
      </c>
      <c r="D173" s="490">
        <f>'[39]Sch C'!F184</f>
        <v>0</v>
      </c>
      <c r="E173" s="171">
        <f t="shared" si="45"/>
        <v>0</v>
      </c>
      <c r="F173" s="216"/>
      <c r="G173" s="171">
        <f t="shared" si="46"/>
        <v>0</v>
      </c>
      <c r="H173" s="172">
        <f t="shared" si="47"/>
        <v>0</v>
      </c>
      <c r="I173" s="344"/>
      <c r="J173" s="222"/>
      <c r="K173" s="222"/>
      <c r="L173" s="218"/>
      <c r="M173" s="364">
        <f t="shared" si="48"/>
        <v>0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490">
        <f>'[39]Sch C'!D185</f>
        <v>0</v>
      </c>
      <c r="D174" s="490">
        <f>'[39]Sch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3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490">
        <f>'[39]Sch C'!D186</f>
        <v>0</v>
      </c>
      <c r="D175" s="490">
        <f>'[39]Sch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490">
        <f>'[39]Sch C'!D187</f>
        <v>0</v>
      </c>
      <c r="D176" s="490">
        <f>'[39]Sch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490">
        <f>'[39]Sch C'!D188</f>
        <v>0</v>
      </c>
      <c r="D177" s="490">
        <f>'[39]Sch C'!F188</f>
        <v>0</v>
      </c>
      <c r="E177" s="171">
        <f t="shared" si="45"/>
        <v>0</v>
      </c>
      <c r="F177" s="216"/>
      <c r="G177" s="171">
        <f t="shared" si="46"/>
        <v>0</v>
      </c>
      <c r="H177" s="172">
        <f t="shared" si="47"/>
        <v>0</v>
      </c>
      <c r="I177" s="337"/>
      <c r="J177" s="223"/>
      <c r="K177" s="218"/>
      <c r="L177" s="220"/>
      <c r="M177" s="364">
        <f t="shared" si="48"/>
        <v>0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490">
        <f>'[39]Sch C'!D189</f>
        <v>0</v>
      </c>
      <c r="D178" s="490">
        <f>'[39]Sch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337"/>
      <c r="J178" s="223"/>
      <c r="K178" s="218"/>
      <c r="L178" s="220"/>
      <c r="M178" s="364">
        <f t="shared" si="48"/>
        <v>0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490">
        <f>'[39]Sch C'!D190</f>
        <v>0</v>
      </c>
      <c r="D179" s="490">
        <f>'[39]Sch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490">
        <f>'[39]Sch C'!D191</f>
        <v>0</v>
      </c>
      <c r="D180" s="490">
        <f>'[39]Sch C'!F191</f>
        <v>0</v>
      </c>
      <c r="E180" s="171">
        <f t="shared" si="45"/>
        <v>0</v>
      </c>
      <c r="F180" s="216"/>
      <c r="G180" s="171">
        <f t="shared" si="46"/>
        <v>0</v>
      </c>
      <c r="H180" s="172">
        <f t="shared" si="47"/>
        <v>0</v>
      </c>
      <c r="I180" s="337"/>
      <c r="J180" s="223"/>
      <c r="K180" s="218"/>
      <c r="L180" s="220"/>
      <c r="M180" s="364">
        <f t="shared" si="48"/>
        <v>0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490">
        <f>'[39]Sch C'!D192</f>
        <v>0</v>
      </c>
      <c r="D181" s="490">
        <f>'[39]Sch C'!F192</f>
        <v>0</v>
      </c>
      <c r="E181" s="171">
        <f t="shared" si="45"/>
        <v>0</v>
      </c>
      <c r="F181" s="216"/>
      <c r="G181" s="171">
        <f t="shared" si="46"/>
        <v>0</v>
      </c>
      <c r="H181" s="172">
        <f t="shared" si="47"/>
        <v>0</v>
      </c>
      <c r="I181" s="337"/>
      <c r="J181" s="223"/>
      <c r="K181" s="218"/>
      <c r="L181" s="220"/>
      <c r="M181" s="364">
        <f t="shared" si="48"/>
        <v>0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490">
        <f>'[39]Sch C'!D193</f>
        <v>0</v>
      </c>
      <c r="D182" s="490">
        <f>'[39]Sch C'!F193</f>
        <v>0</v>
      </c>
      <c r="E182" s="171">
        <f t="shared" si="45"/>
        <v>0</v>
      </c>
      <c r="F182" s="216"/>
      <c r="G182" s="171">
        <f t="shared" si="46"/>
        <v>0</v>
      </c>
      <c r="H182" s="172">
        <f t="shared" si="47"/>
        <v>0</v>
      </c>
      <c r="I182" s="337"/>
      <c r="J182" s="223"/>
      <c r="K182" s="218"/>
      <c r="L182" s="220"/>
      <c r="M182" s="364">
        <f t="shared" si="48"/>
        <v>0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490">
        <f>'[39]Sch C'!D194</f>
        <v>83967</v>
      </c>
      <c r="D183" s="490">
        <f>'[39]Sch C'!F194</f>
        <v>0</v>
      </c>
      <c r="E183" s="171">
        <f t="shared" si="45"/>
        <v>83967</v>
      </c>
      <c r="F183" s="216"/>
      <c r="G183" s="171">
        <f t="shared" si="46"/>
        <v>83967</v>
      </c>
      <c r="H183" s="172">
        <f t="shared" si="47"/>
        <v>1.406981808115812E-2</v>
      </c>
      <c r="I183" s="337"/>
      <c r="J183" s="223"/>
      <c r="K183" s="218"/>
      <c r="M183" s="364">
        <f t="shared" si="48"/>
        <v>2.8731223267750212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490">
        <f>'[39]Sch C'!D195</f>
        <v>30554</v>
      </c>
      <c r="D184" s="490">
        <f>'[39]Sch C'!F195</f>
        <v>0</v>
      </c>
      <c r="E184" s="171">
        <f t="shared" si="45"/>
        <v>30554</v>
      </c>
      <c r="F184" s="216"/>
      <c r="G184" s="171">
        <f t="shared" si="46"/>
        <v>30554</v>
      </c>
      <c r="H184" s="172">
        <f t="shared" si="47"/>
        <v>5.1197401556766966E-3</v>
      </c>
      <c r="I184" s="337"/>
      <c r="J184" s="223"/>
      <c r="K184" s="218"/>
      <c r="M184" s="364">
        <f t="shared" si="48"/>
        <v>1.0454747647562019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490">
        <f>'[39]Sch C'!D196</f>
        <v>0</v>
      </c>
      <c r="D185" s="490">
        <f>'[39]Sch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490">
        <f>'[39]Sch C'!D197</f>
        <v>48019</v>
      </c>
      <c r="D186" s="490">
        <f>'[39]Sch C'!F197</f>
        <v>0</v>
      </c>
      <c r="E186" s="171">
        <f t="shared" si="45"/>
        <v>48019</v>
      </c>
      <c r="F186" s="216"/>
      <c r="G186" s="171">
        <f t="shared" si="46"/>
        <v>48019</v>
      </c>
      <c r="H186" s="172">
        <f t="shared" si="47"/>
        <v>8.0462395278994344E-3</v>
      </c>
      <c r="I186" s="337"/>
      <c r="J186" s="223"/>
      <c r="K186" s="218"/>
      <c r="M186" s="364">
        <f t="shared" si="48"/>
        <v>1.6430795551753636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490">
        <f>'[39]Sch C'!D198</f>
        <v>27037</v>
      </c>
      <c r="D187" s="490">
        <f>'[39]Sch C'!F198</f>
        <v>0</v>
      </c>
      <c r="E187" s="171">
        <f t="shared" si="45"/>
        <v>27037</v>
      </c>
      <c r="F187" s="216"/>
      <c r="G187" s="171">
        <f t="shared" si="46"/>
        <v>27037</v>
      </c>
      <c r="H187" s="172">
        <f t="shared" si="47"/>
        <v>4.5304187533229965E-3</v>
      </c>
      <c r="I187" s="337"/>
      <c r="J187" s="223"/>
      <c r="K187" s="218"/>
      <c r="M187" s="364">
        <f t="shared" si="48"/>
        <v>0.92513259195893927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490">
        <f>'[39]Sch C'!D199</f>
        <v>0</v>
      </c>
      <c r="D188" s="490">
        <f>'[39]Sch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7"/>
      <c r="J188" s="223"/>
      <c r="K188" s="218"/>
      <c r="M188" s="364">
        <f t="shared" si="48"/>
        <v>0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490">
        <f>'[39]Sch C'!D200</f>
        <v>0</v>
      </c>
      <c r="D189" s="490">
        <f>'[39]Sch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7"/>
      <c r="J189" s="223"/>
      <c r="K189" s="218"/>
      <c r="M189" s="364">
        <f t="shared" si="48"/>
        <v>0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490">
        <f>'[39]Sch C'!D201</f>
        <v>0</v>
      </c>
      <c r="D190" s="490">
        <f>'[39]Sch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7"/>
      <c r="J190" s="223"/>
      <c r="K190" s="218"/>
      <c r="M190" s="364">
        <f t="shared" si="48"/>
        <v>0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490">
        <f>'[39]Sch C'!D202</f>
        <v>0</v>
      </c>
      <c r="D191" s="490">
        <f>'[39]Sch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490">
        <f>'[39]Sch C'!D203</f>
        <v>0</v>
      </c>
      <c r="D192" s="490">
        <f>'[39]Sch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7"/>
      <c r="J192" s="223"/>
      <c r="K192" s="218"/>
      <c r="M192" s="364">
        <f t="shared" si="48"/>
        <v>0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490">
        <f>'[39]Sch C'!D204</f>
        <v>0</v>
      </c>
      <c r="D193" s="490">
        <f>'[39]Sch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490">
        <f>'[39]Sch C'!D205</f>
        <v>115167</v>
      </c>
      <c r="D194" s="490">
        <f>'[39]Sch C'!F205</f>
        <v>0</v>
      </c>
      <c r="E194" s="171">
        <f t="shared" si="45"/>
        <v>115167</v>
      </c>
      <c r="F194" s="216"/>
      <c r="G194" s="171">
        <f t="shared" si="46"/>
        <v>115167</v>
      </c>
      <c r="H194" s="172">
        <f t="shared" si="47"/>
        <v>1.9297804363056167E-2</v>
      </c>
      <c r="I194" s="337"/>
      <c r="J194" s="223"/>
      <c r="K194" s="218"/>
      <c r="M194" s="364">
        <f t="shared" si="48"/>
        <v>3.9407014542343886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490">
        <f>'[39]Sch C'!D206</f>
        <v>996</v>
      </c>
      <c r="D195" s="490">
        <f>'[39]Sch C'!F206</f>
        <v>0</v>
      </c>
      <c r="E195" s="171">
        <f t="shared" si="45"/>
        <v>996</v>
      </c>
      <c r="F195" s="216"/>
      <c r="G195" s="171">
        <f t="shared" si="46"/>
        <v>996</v>
      </c>
      <c r="H195" s="172">
        <f t="shared" si="47"/>
        <v>1.6689340822982228E-4</v>
      </c>
      <c r="I195" s="337"/>
      <c r="J195" s="223"/>
      <c r="K195" s="218"/>
      <c r="M195" s="364">
        <f t="shared" si="48"/>
        <v>3.4080410607356712E-2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490">
        <f>'[39]Sch C'!D207</f>
        <v>0</v>
      </c>
      <c r="D196" s="490">
        <f>'[39]Sch C'!F207</f>
        <v>0</v>
      </c>
      <c r="E196" s="171">
        <f t="shared" si="45"/>
        <v>0</v>
      </c>
      <c r="F196" s="216"/>
      <c r="G196" s="171">
        <f t="shared" si="46"/>
        <v>0</v>
      </c>
      <c r="H196" s="172">
        <f t="shared" si="47"/>
        <v>0</v>
      </c>
      <c r="I196" s="337"/>
      <c r="J196" s="223"/>
      <c r="K196" s="218"/>
      <c r="M196" s="364">
        <f t="shared" si="48"/>
        <v>0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490">
        <f>SUM(C164:C196)</f>
        <v>417946</v>
      </c>
      <c r="D197" s="490">
        <f>SUM(D164:D196)</f>
        <v>11472</v>
      </c>
      <c r="E197" s="171">
        <f t="shared" ref="E197:F197" si="49">SUM(E164:E196)</f>
        <v>429418</v>
      </c>
      <c r="F197" s="171">
        <f t="shared" si="49"/>
        <v>0</v>
      </c>
      <c r="G197" s="171">
        <f>SUM(G164:G196)</f>
        <v>429418</v>
      </c>
      <c r="H197" s="172">
        <f>IF($G$208=0,0,G197/$G$208)</f>
        <v>7.1954852987182558E-2</v>
      </c>
      <c r="I197" s="337"/>
      <c r="J197" s="168"/>
      <c r="K197" s="168"/>
      <c r="M197" s="364">
        <f>G197/G$228</f>
        <v>14.693515825491874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165"/>
      <c r="G198" s="165"/>
      <c r="H198" s="198"/>
      <c r="I198" s="341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1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490">
        <f>'[39]Sch C'!D211</f>
        <v>194417</v>
      </c>
      <c r="D200" s="490">
        <f>'[39]Sch C'!F211</f>
        <v>0</v>
      </c>
      <c r="E200" s="171">
        <f t="shared" ref="E200:E205" si="50">C200+D200</f>
        <v>194417</v>
      </c>
      <c r="F200" s="171"/>
      <c r="G200" s="171">
        <f t="shared" ref="G200:G205" si="51">E200+F200</f>
        <v>194417</v>
      </c>
      <c r="H200" s="172">
        <f t="shared" ref="H200:H206" si="52">IF($G$208=0,0,G200/$G$208)</f>
        <v>3.2577224646402968E-2</v>
      </c>
      <c r="I200" s="337"/>
      <c r="J200" s="183">
        <v>6491</v>
      </c>
      <c r="K200" s="183">
        <v>6968</v>
      </c>
      <c r="M200" s="364">
        <f t="shared" ref="M200:M205" si="53">G200/G$228</f>
        <v>6.6524208725406329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490">
        <f>'[39]Sch C'!D212</f>
        <v>0</v>
      </c>
      <c r="D201" s="490">
        <f>'[39]Sch C'!F212</f>
        <v>19877</v>
      </c>
      <c r="E201" s="171">
        <f t="shared" si="50"/>
        <v>19877</v>
      </c>
      <c r="F201" s="171"/>
      <c r="G201" s="171">
        <f t="shared" si="51"/>
        <v>19877</v>
      </c>
      <c r="H201" s="172">
        <f t="shared" si="52"/>
        <v>3.3306629270925476E-3</v>
      </c>
      <c r="I201" s="337"/>
      <c r="J201" s="168"/>
      <c r="K201" s="168"/>
      <c r="M201" s="364">
        <f t="shared" si="53"/>
        <v>0.68013686911890503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490">
        <f>'[39]Sch C'!D213</f>
        <v>157176</v>
      </c>
      <c r="D202" s="490">
        <f>'[39]Sch C'!F213</f>
        <v>0</v>
      </c>
      <c r="E202" s="171">
        <f t="shared" si="50"/>
        <v>157176</v>
      </c>
      <c r="F202" s="171"/>
      <c r="G202" s="171">
        <f t="shared" si="51"/>
        <v>157176</v>
      </c>
      <c r="H202" s="172">
        <f t="shared" si="52"/>
        <v>2.6336986277038701E-2</v>
      </c>
      <c r="I202" s="337"/>
      <c r="J202" s="168"/>
      <c r="K202" s="168"/>
      <c r="M202" s="364">
        <f t="shared" si="53"/>
        <v>5.3781351582549188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490">
        <f>'[39]Sch C'!D214</f>
        <v>0</v>
      </c>
      <c r="D203" s="490">
        <f>'[39]Sch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>
        <f t="shared" si="53"/>
        <v>0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490">
        <f>'[39]Sch C'!D215</f>
        <v>0</v>
      </c>
      <c r="D204" s="490">
        <f>'[39]Sch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490">
        <f>'[39]Sch C'!D216</f>
        <v>68098</v>
      </c>
      <c r="D205" s="490">
        <f>'[39]Sch C'!F216</f>
        <v>0</v>
      </c>
      <c r="E205" s="171">
        <f t="shared" si="50"/>
        <v>68098</v>
      </c>
      <c r="F205" s="171"/>
      <c r="G205" s="171">
        <f t="shared" si="51"/>
        <v>68098</v>
      </c>
      <c r="H205" s="172">
        <f t="shared" si="52"/>
        <v>1.1410750314894013E-2</v>
      </c>
      <c r="I205" s="570" t="s">
        <v>475</v>
      </c>
      <c r="J205" s="168"/>
      <c r="K205" s="168"/>
      <c r="M205" s="364">
        <f t="shared" si="53"/>
        <v>2.3301283147989733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490">
        <f>SUM(C200:C205)</f>
        <v>419691</v>
      </c>
      <c r="D206" s="490">
        <f>SUM(D200:D205)</f>
        <v>19877</v>
      </c>
      <c r="E206" s="171">
        <f t="shared" ref="E206:F206" si="54">SUM(E200:E205)</f>
        <v>439568</v>
      </c>
      <c r="F206" s="171">
        <f t="shared" si="54"/>
        <v>0</v>
      </c>
      <c r="G206" s="171">
        <f>SUM(G200:G205)</f>
        <v>439568</v>
      </c>
      <c r="H206" s="172">
        <f t="shared" si="52"/>
        <v>7.365562416542823E-2</v>
      </c>
      <c r="I206" s="337"/>
      <c r="J206" s="168"/>
      <c r="K206" s="168"/>
      <c r="M206" s="364">
        <f>G206/G$228</f>
        <v>15.04082121471343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490">
        <f>SUM(C25:C206)/2</f>
        <v>5989284</v>
      </c>
      <c r="D208" s="490">
        <f>SUM(D25:D206)/2</f>
        <v>-21403</v>
      </c>
      <c r="E208" s="171">
        <f t="shared" ref="E208:F208" si="55">SUM(E25:E206)/2</f>
        <v>5967881</v>
      </c>
      <c r="F208" s="171">
        <f t="shared" si="55"/>
        <v>0</v>
      </c>
      <c r="G208" s="171">
        <f>SUM(G25:G206)/2</f>
        <v>5967881</v>
      </c>
      <c r="H208" s="172">
        <f>IF($G$208=0,0,G208/$G$208)</f>
        <v>1</v>
      </c>
      <c r="I208" s="337"/>
      <c r="J208" s="183">
        <f>SUM(J25:J200)</f>
        <v>146705</v>
      </c>
      <c r="K208" s="183">
        <f>SUM(K25:K200)</f>
        <v>156237</v>
      </c>
      <c r="M208" s="364">
        <f>G208/G$228</f>
        <v>204.20465355004276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490">
        <f>'[39]Sch C'!D221</f>
        <v>5989284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490">
        <f>C208-C211</f>
        <v>0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619"/>
      <c r="D213" s="232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490">
        <f>C21-C208</f>
        <v>111024</v>
      </c>
      <c r="D215" s="490">
        <f>D21-D208</f>
        <v>21403</v>
      </c>
      <c r="E215" s="171">
        <f t="shared" ref="E215:F215" si="56">E21-E208</f>
        <v>132427</v>
      </c>
      <c r="F215" s="171">
        <f t="shared" si="56"/>
        <v>0</v>
      </c>
      <c r="G215" s="171">
        <f>G21-G208</f>
        <v>132427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491">
        <f>'[39]Sch D'!C9</f>
        <v>20093</v>
      </c>
      <c r="D219" s="491"/>
      <c r="E219" s="235">
        <f t="shared" ref="E219:G227" si="57">C219+D219</f>
        <v>20093</v>
      </c>
      <c r="F219" s="234"/>
      <c r="G219" s="235">
        <f t="shared" si="57"/>
        <v>20093</v>
      </c>
      <c r="H219" s="172">
        <f t="shared" ref="H219:H228" si="58">IF($G$228=0,0,G219/$G$228)</f>
        <v>0.68752780153977755</v>
      </c>
      <c r="I219" s="337"/>
      <c r="J219" s="168"/>
      <c r="K219" s="168"/>
    </row>
    <row r="220" spans="1:14">
      <c r="A220" s="163"/>
      <c r="B220" s="170" t="s">
        <v>217</v>
      </c>
      <c r="C220" s="491">
        <f>'[39]Sch D'!D9</f>
        <v>2266</v>
      </c>
      <c r="D220" s="491"/>
      <c r="E220" s="235">
        <f t="shared" ref="E220:E227" si="59">C220+D220</f>
        <v>2266</v>
      </c>
      <c r="F220" s="234"/>
      <c r="G220" s="235">
        <f t="shared" si="57"/>
        <v>2266</v>
      </c>
      <c r="H220" s="172">
        <f t="shared" si="58"/>
        <v>7.7536355859709152E-2</v>
      </c>
      <c r="I220" s="337"/>
      <c r="J220" s="168"/>
      <c r="K220" s="168"/>
    </row>
    <row r="221" spans="1:14">
      <c r="A221" s="163"/>
      <c r="B221" s="170" t="s">
        <v>72</v>
      </c>
      <c r="C221" s="491">
        <f>'[39]Sch D'!E9</f>
        <v>982</v>
      </c>
      <c r="D221" s="491"/>
      <c r="E221" s="235">
        <f t="shared" si="59"/>
        <v>982</v>
      </c>
      <c r="F221" s="234"/>
      <c r="G221" s="235">
        <f t="shared" si="57"/>
        <v>982</v>
      </c>
      <c r="H221" s="172">
        <f t="shared" si="58"/>
        <v>3.360136869118905E-2</v>
      </c>
      <c r="I221" s="337"/>
      <c r="J221" s="168"/>
      <c r="K221" s="168"/>
    </row>
    <row r="222" spans="1:14">
      <c r="A222" s="163"/>
      <c r="B222" s="202" t="s">
        <v>334</v>
      </c>
      <c r="C222" s="491">
        <f>'[39]Sch D'!F9</f>
        <v>0</v>
      </c>
      <c r="D222" s="491"/>
      <c r="E222" s="235">
        <f>C222+D222</f>
        <v>0</v>
      </c>
      <c r="F222" s="234"/>
      <c r="G222" s="235">
        <f>E222+F222</f>
        <v>0</v>
      </c>
      <c r="H222" s="172">
        <f t="shared" si="58"/>
        <v>0</v>
      </c>
      <c r="I222" s="337"/>
      <c r="J222" s="168"/>
      <c r="K222" s="168"/>
    </row>
    <row r="223" spans="1:14">
      <c r="A223" s="163"/>
      <c r="B223" s="170" t="s">
        <v>73</v>
      </c>
      <c r="C223" s="491">
        <f>'[39]Sch D'!G9</f>
        <v>3834</v>
      </c>
      <c r="D223" s="491"/>
      <c r="E223" s="235">
        <f t="shared" si="59"/>
        <v>3834</v>
      </c>
      <c r="F223" s="234"/>
      <c r="G223" s="235">
        <f t="shared" si="57"/>
        <v>3834</v>
      </c>
      <c r="H223" s="172">
        <f t="shared" si="58"/>
        <v>0.13118905047048759</v>
      </c>
      <c r="I223" s="337"/>
      <c r="J223" s="168"/>
      <c r="K223" s="168"/>
    </row>
    <row r="224" spans="1:14">
      <c r="A224" s="163"/>
      <c r="B224" s="170" t="s">
        <v>74</v>
      </c>
      <c r="C224" s="491">
        <f>'[39]Sch D'!H9</f>
        <v>601</v>
      </c>
      <c r="D224" s="491"/>
      <c r="E224" s="235">
        <f t="shared" si="59"/>
        <v>601</v>
      </c>
      <c r="F224" s="234"/>
      <c r="G224" s="235">
        <f t="shared" si="57"/>
        <v>601</v>
      </c>
      <c r="H224" s="172">
        <f t="shared" si="58"/>
        <v>2.0564585115483321E-2</v>
      </c>
      <c r="I224" s="337"/>
      <c r="J224" s="168"/>
      <c r="K224" s="168"/>
    </row>
    <row r="225" spans="1:11">
      <c r="A225" s="163"/>
      <c r="B225" s="170" t="s">
        <v>236</v>
      </c>
      <c r="C225" s="491">
        <f>'[39]Sch D'!I9</f>
        <v>0</v>
      </c>
      <c r="D225" s="491"/>
      <c r="E225" s="235">
        <f t="shared" si="59"/>
        <v>0</v>
      </c>
      <c r="F225" s="234"/>
      <c r="G225" s="235">
        <f t="shared" si="57"/>
        <v>0</v>
      </c>
      <c r="H225" s="172">
        <f t="shared" si="58"/>
        <v>0</v>
      </c>
      <c r="I225" s="337"/>
      <c r="J225" s="168"/>
      <c r="K225" s="168"/>
    </row>
    <row r="226" spans="1:11">
      <c r="A226" s="163"/>
      <c r="B226" s="170" t="s">
        <v>235</v>
      </c>
      <c r="C226" s="491">
        <f>'[39]Sch D'!J9</f>
        <v>1449</v>
      </c>
      <c r="D226" s="491"/>
      <c r="E226" s="235">
        <f>C226+D226</f>
        <v>1449</v>
      </c>
      <c r="F226" s="234"/>
      <c r="G226" s="235">
        <f>E226+F226</f>
        <v>1449</v>
      </c>
      <c r="H226" s="172">
        <f t="shared" si="58"/>
        <v>4.9580838323353291E-2</v>
      </c>
      <c r="I226" s="337"/>
      <c r="J226" s="168"/>
      <c r="K226" s="168"/>
    </row>
    <row r="227" spans="1:11">
      <c r="A227" s="163"/>
      <c r="B227" s="170" t="s">
        <v>179</v>
      </c>
      <c r="C227" s="491">
        <f>'[39]Sch D'!K9</f>
        <v>0</v>
      </c>
      <c r="D227" s="491"/>
      <c r="E227" s="235">
        <f t="shared" si="59"/>
        <v>0</v>
      </c>
      <c r="F227" s="234"/>
      <c r="G227" s="235">
        <f t="shared" si="57"/>
        <v>0</v>
      </c>
      <c r="H227" s="172">
        <f t="shared" si="58"/>
        <v>0</v>
      </c>
      <c r="I227" s="337"/>
      <c r="J227" s="168"/>
      <c r="K227" s="168"/>
    </row>
    <row r="228" spans="1:11" ht="13.5" thickBot="1">
      <c r="A228" s="163"/>
      <c r="B228" s="236" t="s">
        <v>75</v>
      </c>
      <c r="C228" s="491">
        <f>SUM(C219:C227)</f>
        <v>29225</v>
      </c>
      <c r="D228" s="491">
        <f>SUM(D219:D227)</f>
        <v>0</v>
      </c>
      <c r="E228" s="237">
        <f>SUM(E219:E227)</f>
        <v>29225</v>
      </c>
      <c r="F228" s="237">
        <f>SUM(F219:F227)</f>
        <v>0</v>
      </c>
      <c r="G228" s="237">
        <f>SUM(G219:G227)</f>
        <v>29225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620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619"/>
      <c r="D230" s="232"/>
      <c r="E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492">
        <f>'[39]Sch D'!N22</f>
        <v>82</v>
      </c>
      <c r="D231" s="526"/>
      <c r="E231" s="235">
        <f>C231+D231</f>
        <v>82</v>
      </c>
      <c r="F231" s="235"/>
      <c r="G231" s="235">
        <f>E231+F231</f>
        <v>82</v>
      </c>
      <c r="I231" s="170" t="s">
        <v>636</v>
      </c>
      <c r="J231" s="168"/>
      <c r="K231" s="168"/>
    </row>
    <row r="232" spans="1:11">
      <c r="A232" s="163"/>
      <c r="B232" s="202" t="s">
        <v>290</v>
      </c>
      <c r="C232" s="492">
        <f>'[39]Sch D'!N24</f>
        <v>82</v>
      </c>
      <c r="D232" s="526"/>
      <c r="E232" s="235">
        <f>C232+D232</f>
        <v>82</v>
      </c>
      <c r="F232" s="235">
        <v>-4</v>
      </c>
      <c r="G232" s="235">
        <f>E232+F232</f>
        <v>78</v>
      </c>
      <c r="H232" s="656" t="s">
        <v>639</v>
      </c>
      <c r="J232" s="168"/>
      <c r="K232" s="168"/>
    </row>
    <row r="233" spans="1:11">
      <c r="A233" s="163"/>
      <c r="B233" s="202" t="s">
        <v>76</v>
      </c>
      <c r="C233" s="492">
        <f>$C$4-$C$3+1</f>
        <v>365</v>
      </c>
      <c r="D233" s="489"/>
      <c r="E233" s="235">
        <f>C233+D233</f>
        <v>365</v>
      </c>
      <c r="F233" s="240"/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621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492">
        <f>'[39]Sch D'!N28</f>
        <v>29930</v>
      </c>
      <c r="D235" s="489"/>
      <c r="E235" s="234">
        <f>E231*E233</f>
        <v>29930</v>
      </c>
      <c r="F235" s="240"/>
      <c r="G235" s="234">
        <f>G231*G233</f>
        <v>29930</v>
      </c>
      <c r="H235" s="167"/>
      <c r="J235" s="168"/>
      <c r="K235" s="168"/>
    </row>
    <row r="236" spans="1:11" ht="26">
      <c r="A236" s="163"/>
      <c r="B236" s="244" t="s">
        <v>336</v>
      </c>
      <c r="C236" s="493">
        <f>'[39]Sch D'!N30</f>
        <v>0.97644503842298702</v>
      </c>
      <c r="D236" s="240"/>
      <c r="E236" s="245">
        <f>E228/E235</f>
        <v>0.97644503842298702</v>
      </c>
      <c r="F236" s="246"/>
      <c r="G236" s="245">
        <f>G228/G235</f>
        <v>0.97644503842298702</v>
      </c>
      <c r="H236" s="167"/>
      <c r="J236" s="168"/>
      <c r="K236" s="168"/>
    </row>
    <row r="237" spans="1:11" ht="26">
      <c r="A237" s="163"/>
      <c r="B237" s="244" t="s">
        <v>337</v>
      </c>
      <c r="C237" s="493">
        <f>'[39]Sch D'!N32</f>
        <v>0.74704310056799195</v>
      </c>
      <c r="D237" s="240"/>
      <c r="E237" s="245">
        <f>(E219+E220)/E235</f>
        <v>0.74704310056799195</v>
      </c>
      <c r="F237" s="246"/>
      <c r="G237" s="245">
        <f>(G219+G220)/G235</f>
        <v>0.74704310056799195</v>
      </c>
      <c r="H237" s="167"/>
      <c r="J237" s="168"/>
      <c r="K237" s="168"/>
    </row>
    <row r="238" spans="1:11" ht="26">
      <c r="A238" s="163"/>
      <c r="B238" s="244" t="s">
        <v>338</v>
      </c>
      <c r="C238" s="493">
        <f>'[39]Sch D'!N34</f>
        <v>0.76506415739948663</v>
      </c>
      <c r="D238" s="240"/>
      <c r="E238" s="245">
        <f>(E237/E236)</f>
        <v>0.76506415739948663</v>
      </c>
      <c r="F238" s="246"/>
      <c r="G238" s="245">
        <f>(G237/G236)</f>
        <v>0.76506415739948663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490">
        <f>'[39]Sch B'!C85</f>
        <v>248.83695652173913</v>
      </c>
    </row>
    <row r="242" spans="2:7">
      <c r="B242" s="140" t="s">
        <v>492</v>
      </c>
      <c r="F242" s="142" t="s">
        <v>341</v>
      </c>
      <c r="G242" s="490">
        <f>'[39]Sch B'!E85</f>
        <v>248.83695652173913</v>
      </c>
    </row>
    <row r="243" spans="2:7">
      <c r="B243" s="520" t="s">
        <v>495</v>
      </c>
      <c r="F243" s="142" t="s">
        <v>342</v>
      </c>
      <c r="G243" s="490">
        <f>'[39]Sch B'!G85</f>
        <v>248.83823529411765</v>
      </c>
    </row>
    <row r="244" spans="2:7">
      <c r="B244" s="465" t="s">
        <v>517</v>
      </c>
      <c r="F244" s="142" t="s">
        <v>343</v>
      </c>
      <c r="G244" s="490">
        <f>'[39]Sch B'!I85</f>
        <v>248.83505154639175</v>
      </c>
    </row>
    <row r="245" spans="2:7">
      <c r="B245" s="465" t="s">
        <v>518</v>
      </c>
      <c r="F245" s="142"/>
    </row>
    <row r="246" spans="2:7">
      <c r="B246" s="465" t="s">
        <v>519</v>
      </c>
    </row>
    <row r="247" spans="2:7">
      <c r="B247" s="465" t="s">
        <v>515</v>
      </c>
    </row>
    <row r="248" spans="2:7">
      <c r="B248" s="465" t="s">
        <v>516</v>
      </c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F4" sqref="F4"/>
      <pageMargins left="0" right="0" top="0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86">
    <tabColor rgb="FFE28CAB"/>
  </sheetPr>
  <dimension ref="A1:Q245"/>
  <sheetViews>
    <sheetView showGridLines="0" zoomScale="90" zoomScaleNormal="90" workbookViewId="0">
      <selection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545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478"/>
      <c r="E1" s="478"/>
      <c r="F1" s="478"/>
      <c r="G1" s="478"/>
      <c r="H1" s="478"/>
      <c r="I1" s="544"/>
    </row>
    <row r="2" spans="1:14" ht="23">
      <c r="B2" s="143" t="s">
        <v>189</v>
      </c>
      <c r="C2" s="247" t="s">
        <v>385</v>
      </c>
      <c r="D2" s="247"/>
      <c r="E2" s="144"/>
    </row>
    <row r="3" spans="1:14">
      <c r="A3" s="145"/>
      <c r="B3" s="140" t="s">
        <v>79</v>
      </c>
      <c r="C3" s="495">
        <v>41821</v>
      </c>
      <c r="D3" s="144"/>
      <c r="E3" s="147"/>
    </row>
    <row r="4" spans="1:14">
      <c r="A4" s="145"/>
      <c r="B4" s="148" t="s">
        <v>80</v>
      </c>
      <c r="C4" s="495">
        <v>42185</v>
      </c>
      <c r="D4" s="144"/>
      <c r="E4" s="149"/>
      <c r="G4" s="150"/>
    </row>
    <row r="5" spans="1:14">
      <c r="A5" s="145"/>
      <c r="B5" s="148"/>
      <c r="C5" s="151"/>
      <c r="D5" s="144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546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547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547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144"/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548"/>
      <c r="J10" s="168"/>
      <c r="K10" s="168"/>
    </row>
    <row r="11" spans="1:14" s="167" customFormat="1">
      <c r="A11" s="169" t="s">
        <v>13</v>
      </c>
      <c r="B11" s="170" t="s">
        <v>213</v>
      </c>
      <c r="C11" s="573">
        <f>'[40]Sch B'!E10</f>
        <v>1538121.4</v>
      </c>
      <c r="D11" s="573">
        <f>'[40]Sch B'!G10</f>
        <v>0</v>
      </c>
      <c r="E11" s="171">
        <f>C11+D11</f>
        <v>1538121.4</v>
      </c>
      <c r="F11" s="171">
        <v>1863660</v>
      </c>
      <c r="G11" s="171">
        <f t="shared" ref="G11:G20" si="0">E11+F11</f>
        <v>3401781.4</v>
      </c>
      <c r="H11" s="172">
        <f t="shared" ref="H11:H21" si="1">IF($G$21=0,0,G11/$G$21)</f>
        <v>0.64543634826487739</v>
      </c>
      <c r="I11" s="541"/>
      <c r="J11" s="368" t="s">
        <v>344</v>
      </c>
      <c r="K11" s="369">
        <f>G21</f>
        <v>5270514.1399999987</v>
      </c>
      <c r="M11" s="359">
        <f>IFERROR(G11/G219,0)</f>
        <v>356.28209049015499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573">
        <f>'[40]Sch B'!E15</f>
        <v>0</v>
      </c>
      <c r="D12" s="573">
        <f>'[40]Sch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541"/>
      <c r="J12" s="370" t="s">
        <v>345</v>
      </c>
      <c r="K12" s="371">
        <f>G208</f>
        <v>3552550.0618425687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573">
        <f>'[40]Sch B'!E21</f>
        <v>695291.90999999992</v>
      </c>
      <c r="D13" s="573">
        <f>'[40]Sch B'!G21</f>
        <v>0</v>
      </c>
      <c r="E13" s="171">
        <f t="shared" si="2"/>
        <v>695291.90999999992</v>
      </c>
      <c r="F13" s="171"/>
      <c r="G13" s="171">
        <f t="shared" si="0"/>
        <v>695291.90999999992</v>
      </c>
      <c r="H13" s="172">
        <f t="shared" si="1"/>
        <v>0.13192107857621649</v>
      </c>
      <c r="I13" s="541"/>
      <c r="J13" s="370" t="s">
        <v>346</v>
      </c>
      <c r="K13" s="371">
        <f>G228</f>
        <v>19160</v>
      </c>
      <c r="M13" s="359">
        <f t="shared" si="3"/>
        <v>436.19316813048925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573">
        <f>'[40]Sch B'!E27</f>
        <v>0</v>
      </c>
      <c r="D14" s="573">
        <f>'[40]Sch B'!G27</f>
        <v>0</v>
      </c>
      <c r="E14" s="171">
        <f t="shared" si="2"/>
        <v>0</v>
      </c>
      <c r="F14" s="175"/>
      <c r="G14" s="175">
        <f>E14+F14</f>
        <v>0</v>
      </c>
      <c r="H14" s="176">
        <f t="shared" si="1"/>
        <v>0</v>
      </c>
      <c r="I14" s="549"/>
      <c r="J14" s="370" t="s">
        <v>347</v>
      </c>
      <c r="K14" s="371">
        <f>G231</f>
        <v>60</v>
      </c>
      <c r="M14" s="359">
        <f t="shared" si="3"/>
        <v>0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573">
        <f>'[40]Sch B'!E32</f>
        <v>0</v>
      </c>
      <c r="D15" s="573">
        <f>'[40]Sch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541"/>
      <c r="J15" s="370" t="s">
        <v>348</v>
      </c>
      <c r="K15" s="371">
        <f>G235</f>
        <v>21900</v>
      </c>
      <c r="M15" s="359">
        <f t="shared" si="3"/>
        <v>0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573">
        <f>'[40]Sch B'!E37</f>
        <v>986649.89</v>
      </c>
      <c r="D16" s="573">
        <f>'[40]Sch B'!G37</f>
        <v>0</v>
      </c>
      <c r="E16" s="171">
        <f t="shared" si="2"/>
        <v>986649.89</v>
      </c>
      <c r="F16" s="171"/>
      <c r="G16" s="171">
        <f t="shared" si="0"/>
        <v>986649.89</v>
      </c>
      <c r="H16" s="172">
        <f t="shared" si="1"/>
        <v>0.18720182961125692</v>
      </c>
      <c r="I16" s="541"/>
      <c r="J16" s="372"/>
      <c r="K16" s="371"/>
      <c r="M16" s="359">
        <f t="shared" si="3"/>
        <v>126.80245341215782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573">
        <f>'[40]Sch B'!E42</f>
        <v>7644</v>
      </c>
      <c r="D17" s="573">
        <f>'[40]Sch B'!G42</f>
        <v>0</v>
      </c>
      <c r="E17" s="171">
        <f t="shared" si="2"/>
        <v>7644</v>
      </c>
      <c r="F17" s="171"/>
      <c r="G17" s="171">
        <f>E17+F17</f>
        <v>7644</v>
      </c>
      <c r="H17" s="172">
        <f t="shared" si="1"/>
        <v>1.4503328891552888E-3</v>
      </c>
      <c r="I17" s="541"/>
      <c r="J17" s="370" t="s">
        <v>156</v>
      </c>
      <c r="K17" s="371">
        <f>J208</f>
        <v>98669.79</v>
      </c>
      <c r="M17" s="359">
        <f t="shared" si="3"/>
        <v>156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573">
        <f>'[40]Sch B'!E47</f>
        <v>23788</v>
      </c>
      <c r="D18" s="573">
        <f>'[40]Sch B'!G47</f>
        <v>0</v>
      </c>
      <c r="E18" s="171">
        <f t="shared" si="2"/>
        <v>23788</v>
      </c>
      <c r="F18" s="171"/>
      <c r="G18" s="171">
        <f>E18+F18</f>
        <v>23788</v>
      </c>
      <c r="H18" s="172">
        <f t="shared" si="1"/>
        <v>4.5134116649955527E-3</v>
      </c>
      <c r="I18" s="541"/>
      <c r="J18" s="373" t="s">
        <v>252</v>
      </c>
      <c r="K18" s="374">
        <f>K208</f>
        <v>106032.66</v>
      </c>
      <c r="M18" s="359">
        <f t="shared" si="3"/>
        <v>126.53191489361703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573">
        <f>'[40]Sch B'!E52</f>
        <v>0</v>
      </c>
      <c r="D19" s="573">
        <f>'[40]Sch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541"/>
      <c r="J19" s="168"/>
      <c r="K19" s="168"/>
      <c r="M19" s="359">
        <f t="shared" si="3"/>
        <v>0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573">
        <f>'[40]Sch B'!E67</f>
        <v>2014308.73</v>
      </c>
      <c r="D20" s="573">
        <f>'[40]Sch B'!G67</f>
        <v>4710.21</v>
      </c>
      <c r="E20" s="171">
        <f t="shared" si="2"/>
        <v>2019018.94</v>
      </c>
      <c r="F20" s="171">
        <v>-1863660</v>
      </c>
      <c r="G20" s="171">
        <f t="shared" si="0"/>
        <v>155358.93999999994</v>
      </c>
      <c r="H20" s="172">
        <f t="shared" si="1"/>
        <v>2.9476998993498569E-2</v>
      </c>
      <c r="I20" s="541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573">
        <f>SUM(C11:C20)</f>
        <v>5265803.93</v>
      </c>
      <c r="D21" s="573">
        <f>SUM(D11:D20)</f>
        <v>4710.21</v>
      </c>
      <c r="E21" s="171">
        <f>SUM(E11:E20)</f>
        <v>5270514.1399999997</v>
      </c>
      <c r="F21" s="171">
        <f>SUM(F11:F20)</f>
        <v>0</v>
      </c>
      <c r="G21" s="171">
        <f>SUM(G11:G20)</f>
        <v>5270514.1399999987</v>
      </c>
      <c r="H21" s="172">
        <f t="shared" si="1"/>
        <v>1</v>
      </c>
      <c r="I21" s="541"/>
      <c r="J21" s="168"/>
      <c r="K21" s="168"/>
      <c r="M21" s="359">
        <f>IFERROR(G21/G228,0)</f>
        <v>275.07902609603332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4">
      <c r="A24" s="181" t="s">
        <v>161</v>
      </c>
      <c r="B24" s="148" t="s">
        <v>12</v>
      </c>
      <c r="M24" s="363"/>
      <c r="N24" s="363"/>
    </row>
    <row r="25" spans="1:14" s="167" customFormat="1">
      <c r="A25" s="169" t="s">
        <v>83</v>
      </c>
      <c r="B25" s="170" t="s">
        <v>14</v>
      </c>
      <c r="C25" s="573">
        <f>'[40]Sch C'!D10</f>
        <v>87394.22</v>
      </c>
      <c r="D25" s="573">
        <f>'[40]Sch C'!F10</f>
        <v>0</v>
      </c>
      <c r="E25" s="171">
        <f t="shared" ref="E25:E60" si="4">C25+D25</f>
        <v>87394.22</v>
      </c>
      <c r="F25" s="171"/>
      <c r="G25" s="182">
        <f>E25+F25</f>
        <v>87394.22</v>
      </c>
      <c r="H25" s="172">
        <f>IF($G$208=0,0,G25/$G$208)</f>
        <v>2.4600418988795909E-2</v>
      </c>
      <c r="I25" s="541"/>
      <c r="J25" s="183">
        <v>2049.73</v>
      </c>
      <c r="K25" s="183">
        <v>2193.08</v>
      </c>
      <c r="M25" s="359">
        <f>G25/G$228</f>
        <v>4.5612849686847596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573">
        <f>'[40]Sch C'!D11</f>
        <v>0</v>
      </c>
      <c r="D26" s="573">
        <f>'[40]Sch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541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573">
        <f>'[40]Sch C'!D12</f>
        <v>21854.51</v>
      </c>
      <c r="D27" s="573">
        <f>'[40]Sch C'!F12</f>
        <v>0</v>
      </c>
      <c r="E27" s="171">
        <f t="shared" si="4"/>
        <v>21854.51</v>
      </c>
      <c r="F27" s="171"/>
      <c r="G27" s="171">
        <f t="shared" si="5"/>
        <v>21854.51</v>
      </c>
      <c r="H27" s="172">
        <f t="shared" si="6"/>
        <v>6.1517810078839308E-3</v>
      </c>
      <c r="I27" s="541"/>
      <c r="J27" s="185">
        <v>1823.36</v>
      </c>
      <c r="K27" s="185">
        <v>2007.87</v>
      </c>
      <c r="M27" s="359">
        <f t="shared" si="7"/>
        <v>1.1406320459290187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573">
        <f>'[40]Sch C'!D13</f>
        <v>581387.75</v>
      </c>
      <c r="D28" s="573">
        <f>'[40]Sch C'!F13</f>
        <v>-539704</v>
      </c>
      <c r="E28" s="171">
        <f t="shared" si="4"/>
        <v>41683.75</v>
      </c>
      <c r="F28" s="171"/>
      <c r="G28" s="171">
        <f t="shared" si="5"/>
        <v>41683.75</v>
      </c>
      <c r="H28" s="172">
        <f t="shared" si="6"/>
        <v>1.1733472934757258E-2</v>
      </c>
      <c r="I28" s="541"/>
      <c r="J28" s="168"/>
      <c r="K28" s="168"/>
      <c r="M28" s="359">
        <f t="shared" si="7"/>
        <v>2.1755610647181629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573">
        <f>'[40]Sch C'!D14</f>
        <v>0</v>
      </c>
      <c r="D29" s="573">
        <f>'[40]Sch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541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573">
        <f>'[40]Sch C'!D15</f>
        <v>209888.12</v>
      </c>
      <c r="D30" s="573">
        <f>'[40]Sch C'!F15</f>
        <v>-209888</v>
      </c>
      <c r="E30" s="171">
        <f t="shared" si="4"/>
        <v>0.11999999999534339</v>
      </c>
      <c r="F30" s="171"/>
      <c r="G30" s="171">
        <f t="shared" si="5"/>
        <v>0.11999999999534339</v>
      </c>
      <c r="H30" s="172">
        <f t="shared" si="6"/>
        <v>3.3778552844123492E-8</v>
      </c>
      <c r="I30" s="541"/>
      <c r="J30" s="168"/>
      <c r="K30" s="168"/>
      <c r="M30" s="359">
        <f t="shared" si="7"/>
        <v>6.2630480164584232E-6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573">
        <f>'[40]Sch C'!D16</f>
        <v>0</v>
      </c>
      <c r="D31" s="573">
        <f>'[40]Sch C'!F16</f>
        <v>123511</v>
      </c>
      <c r="E31" s="171">
        <f t="shared" si="4"/>
        <v>123511</v>
      </c>
      <c r="F31" s="171"/>
      <c r="G31" s="171">
        <f t="shared" si="5"/>
        <v>123511</v>
      </c>
      <c r="H31" s="172">
        <f t="shared" si="6"/>
        <v>3.4766857004103605E-2</v>
      </c>
      <c r="I31" s="541"/>
      <c r="J31" s="168"/>
      <c r="K31" s="168"/>
      <c r="M31" s="359">
        <f t="shared" si="7"/>
        <v>6.4462943632567846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573">
        <f>'[40]Sch C'!D17</f>
        <v>20656.79</v>
      </c>
      <c r="D32" s="573">
        <f>'[40]Sch C'!F17</f>
        <v>-20657</v>
      </c>
      <c r="E32" s="171">
        <f t="shared" si="4"/>
        <v>-0.20999999999912689</v>
      </c>
      <c r="F32" s="171"/>
      <c r="G32" s="171">
        <f t="shared" si="5"/>
        <v>-0.20999999999912689</v>
      </c>
      <c r="H32" s="172">
        <f t="shared" si="6"/>
        <v>-5.9112467479264205E-8</v>
      </c>
      <c r="I32" s="541"/>
      <c r="J32" s="168"/>
      <c r="K32" s="168"/>
      <c r="M32" s="359">
        <f t="shared" si="7"/>
        <v>-1.0960334029181988E-5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573">
        <f>'[40]Sch C'!D18</f>
        <v>33564.51</v>
      </c>
      <c r="D33" s="573">
        <f>'[40]Sch C'!F18</f>
        <v>0</v>
      </c>
      <c r="E33" s="171">
        <f t="shared" si="4"/>
        <v>33564.51</v>
      </c>
      <c r="F33" s="171"/>
      <c r="G33" s="171">
        <f t="shared" si="5"/>
        <v>33564.51</v>
      </c>
      <c r="H33" s="172">
        <f t="shared" si="6"/>
        <v>9.4480047897175599E-3</v>
      </c>
      <c r="I33" s="541"/>
      <c r="J33" s="168"/>
      <c r="K33" s="168"/>
      <c r="M33" s="359">
        <f t="shared" si="7"/>
        <v>1.7518011482254698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573">
        <f>'[40]Sch C'!D19</f>
        <v>12241.4</v>
      </c>
      <c r="D34" s="573">
        <f>'[40]Sch C'!F19</f>
        <v>0</v>
      </c>
      <c r="E34" s="171">
        <f t="shared" si="4"/>
        <v>12241.4</v>
      </c>
      <c r="F34" s="171"/>
      <c r="G34" s="171">
        <f t="shared" si="5"/>
        <v>12241.4</v>
      </c>
      <c r="H34" s="172">
        <f t="shared" si="6"/>
        <v>3.4458064733508256E-3</v>
      </c>
      <c r="I34" s="541"/>
      <c r="J34" s="168"/>
      <c r="K34" s="168"/>
      <c r="M34" s="359">
        <f t="shared" si="7"/>
        <v>0.63890396659707727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573">
        <f>'[40]Sch C'!D20</f>
        <v>9054.99</v>
      </c>
      <c r="D35" s="573">
        <f>'[40]Sch C'!F20</f>
        <v>0</v>
      </c>
      <c r="E35" s="171">
        <f t="shared" si="4"/>
        <v>9054.99</v>
      </c>
      <c r="F35" s="171"/>
      <c r="G35" s="171">
        <f t="shared" si="5"/>
        <v>9054.99</v>
      </c>
      <c r="H35" s="172">
        <f t="shared" si="6"/>
        <v>2.5488704852489907E-3</v>
      </c>
      <c r="I35" s="541"/>
      <c r="J35" s="168"/>
      <c r="K35" s="168"/>
      <c r="M35" s="359">
        <f t="shared" si="7"/>
        <v>0.47259864300626303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573">
        <f>'[40]Sch C'!D21</f>
        <v>13039.7</v>
      </c>
      <c r="D36" s="573">
        <f>'[40]Sch C'!F21</f>
        <v>0</v>
      </c>
      <c r="E36" s="171">
        <f t="shared" si="4"/>
        <v>13039.7</v>
      </c>
      <c r="F36" s="171"/>
      <c r="G36" s="171">
        <f t="shared" si="5"/>
        <v>13039.7</v>
      </c>
      <c r="H36" s="172">
        <f t="shared" si="6"/>
        <v>3.6705182961550777E-3</v>
      </c>
      <c r="I36" s="541"/>
      <c r="J36" s="168"/>
      <c r="K36" s="168"/>
      <c r="M36" s="359">
        <f t="shared" si="7"/>
        <v>0.68056889352818373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573">
        <f>'[40]Sch C'!D22</f>
        <v>0</v>
      </c>
      <c r="D37" s="573">
        <f>'[40]Sch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541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573">
        <f>'[40]Sch C'!D23</f>
        <v>11761.24</v>
      </c>
      <c r="D38" s="573">
        <f>'[40]Sch C'!F23</f>
        <v>0</v>
      </c>
      <c r="E38" s="171">
        <f t="shared" si="4"/>
        <v>11761.24</v>
      </c>
      <c r="F38" s="171"/>
      <c r="G38" s="171">
        <f t="shared" si="5"/>
        <v>11761.24</v>
      </c>
      <c r="H38" s="172">
        <f t="shared" si="6"/>
        <v>3.3106472238986283E-3</v>
      </c>
      <c r="I38" s="541"/>
      <c r="J38" s="168"/>
      <c r="K38" s="168"/>
      <c r="M38" s="359">
        <f t="shared" si="7"/>
        <v>0.61384342379958245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573">
        <f>'[40]Sch C'!D24</f>
        <v>33747.480000000003</v>
      </c>
      <c r="D39" s="573">
        <f>'[40]Sch C'!F24</f>
        <v>0</v>
      </c>
      <c r="E39" s="171">
        <f t="shared" si="4"/>
        <v>33747.480000000003</v>
      </c>
      <c r="F39" s="171">
        <v>-13587</v>
      </c>
      <c r="G39" s="171">
        <f t="shared" si="5"/>
        <v>20160.480000000003</v>
      </c>
      <c r="H39" s="172">
        <f t="shared" si="6"/>
        <v>5.6749319922443408E-3</v>
      </c>
      <c r="I39" s="541"/>
      <c r="J39" s="168"/>
      <c r="K39" s="168"/>
      <c r="M39" s="359">
        <f t="shared" si="7"/>
        <v>1.0522171189979126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573">
        <f>'[40]Sch C'!D25</f>
        <v>0</v>
      </c>
      <c r="D40" s="573">
        <f>'[40]Sch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541"/>
      <c r="J40" s="168"/>
      <c r="K40" s="168"/>
      <c r="M40" s="359">
        <f t="shared" si="7"/>
        <v>0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573">
        <f>'[40]Sch C'!D26</f>
        <v>268638.81</v>
      </c>
      <c r="D41" s="573">
        <f>'[40]Sch C'!F26</f>
        <v>0</v>
      </c>
      <c r="E41" s="171">
        <f t="shared" si="4"/>
        <v>268638.81</v>
      </c>
      <c r="F41" s="171"/>
      <c r="G41" s="171">
        <f t="shared" si="5"/>
        <v>268638.81</v>
      </c>
      <c r="H41" s="172">
        <f t="shared" si="6"/>
        <v>7.5618585332663135E-2</v>
      </c>
      <c r="I41" s="541"/>
      <c r="J41" s="168"/>
      <c r="K41" s="168"/>
      <c r="M41" s="359">
        <f t="shared" si="7"/>
        <v>14.020814718162839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573">
        <f>'[40]Sch C'!D27</f>
        <v>0</v>
      </c>
      <c r="D42" s="573">
        <f>'[40]Sch C'!F27</f>
        <v>0</v>
      </c>
      <c r="E42" s="171">
        <f t="shared" si="4"/>
        <v>0</v>
      </c>
      <c r="F42" s="171"/>
      <c r="G42" s="171">
        <f t="shared" si="5"/>
        <v>0</v>
      </c>
      <c r="H42" s="172">
        <f t="shared" si="6"/>
        <v>0</v>
      </c>
      <c r="I42" s="541"/>
      <c r="J42" s="168"/>
      <c r="K42" s="168"/>
      <c r="M42" s="359">
        <f t="shared" si="7"/>
        <v>0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573">
        <f>'[40]Sch C'!D28</f>
        <v>0</v>
      </c>
      <c r="D43" s="573">
        <f>'[40]Sch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541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573">
        <f>'[40]Sch C'!D29</f>
        <v>65565.37</v>
      </c>
      <c r="D44" s="573">
        <f>'[40]Sch C'!F29</f>
        <v>-65565.37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541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573">
        <f>'[40]Sch C'!D30</f>
        <v>1185</v>
      </c>
      <c r="D45" s="573">
        <f>'[40]Sch C'!F30</f>
        <v>-1185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541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573">
        <f>'[40]Sch C'!D31</f>
        <v>33021.760000000002</v>
      </c>
      <c r="D46" s="573">
        <f>'[40]Sch C'!F31</f>
        <v>0</v>
      </c>
      <c r="E46" s="171">
        <f t="shared" si="4"/>
        <v>33021.760000000002</v>
      </c>
      <c r="F46" s="171"/>
      <c r="G46" s="171">
        <f t="shared" si="5"/>
        <v>33021.760000000002</v>
      </c>
      <c r="H46" s="172">
        <f t="shared" si="6"/>
        <v>9.2952272100770648E-3</v>
      </c>
      <c r="I46" s="541"/>
      <c r="J46" s="168"/>
      <c r="K46" s="168"/>
      <c r="M46" s="359">
        <f t="shared" si="7"/>
        <v>1.7234739039665972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573">
        <f>'[40]Sch C'!D32</f>
        <v>7068.33</v>
      </c>
      <c r="D47" s="573">
        <f>'[40]Sch C'!F32</f>
        <v>0</v>
      </c>
      <c r="E47" s="171">
        <f t="shared" si="4"/>
        <v>7068.33</v>
      </c>
      <c r="F47" s="171"/>
      <c r="G47" s="171">
        <f t="shared" si="5"/>
        <v>7068.33</v>
      </c>
      <c r="H47" s="172">
        <f t="shared" si="6"/>
        <v>1.9896496536164036E-3</v>
      </c>
      <c r="I47" s="541"/>
      <c r="J47" s="168"/>
      <c r="K47" s="168"/>
      <c r="M47" s="359">
        <f t="shared" si="7"/>
        <v>0.36891075156576197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573">
        <f>'[40]Sch C'!D33</f>
        <v>0</v>
      </c>
      <c r="D48" s="573">
        <f>'[40]Sch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541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573">
        <f>'[40]Sch C'!D34</f>
        <v>0</v>
      </c>
      <c r="D49" s="573">
        <f>'[40]Sch C'!F34</f>
        <v>0</v>
      </c>
      <c r="E49" s="171">
        <f t="shared" si="4"/>
        <v>0</v>
      </c>
      <c r="F49" s="171"/>
      <c r="G49" s="171">
        <f t="shared" si="5"/>
        <v>0</v>
      </c>
      <c r="H49" s="172">
        <f t="shared" si="6"/>
        <v>0</v>
      </c>
      <c r="I49" s="541"/>
      <c r="J49" s="168"/>
      <c r="K49" s="168"/>
      <c r="M49" s="359">
        <f t="shared" si="7"/>
        <v>0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573">
        <f>'[40]Sch C'!D35</f>
        <v>0</v>
      </c>
      <c r="D50" s="573">
        <f>'[40]Sch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541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573">
        <f>'[40]Sch C'!D36</f>
        <v>0</v>
      </c>
      <c r="D51" s="573">
        <f>'[40]Sch C'!F36</f>
        <v>0</v>
      </c>
      <c r="E51" s="171">
        <f t="shared" si="4"/>
        <v>0</v>
      </c>
      <c r="F51" s="171"/>
      <c r="G51" s="171">
        <f t="shared" si="5"/>
        <v>0</v>
      </c>
      <c r="H51" s="172">
        <f t="shared" si="6"/>
        <v>0</v>
      </c>
      <c r="I51" s="541"/>
      <c r="J51" s="183">
        <v>0</v>
      </c>
      <c r="K51" s="183">
        <v>0</v>
      </c>
      <c r="M51" s="359">
        <f t="shared" si="7"/>
        <v>0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573">
        <f>'[40]Sch C'!D37</f>
        <v>0</v>
      </c>
      <c r="D52" s="573">
        <f>'[40]Sch C'!F37</f>
        <v>0</v>
      </c>
      <c r="E52" s="171">
        <f t="shared" si="4"/>
        <v>0</v>
      </c>
      <c r="F52" s="171"/>
      <c r="G52" s="171">
        <f t="shared" si="5"/>
        <v>0</v>
      </c>
      <c r="H52" s="172">
        <f t="shared" si="6"/>
        <v>0</v>
      </c>
      <c r="I52" s="541"/>
      <c r="J52" s="168"/>
      <c r="K52" s="168"/>
      <c r="M52" s="359">
        <f t="shared" si="7"/>
        <v>0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573">
        <f>'[40]Sch C'!D38</f>
        <v>230.26</v>
      </c>
      <c r="D53" s="573">
        <f>'[40]Sch C'!F38</f>
        <v>0</v>
      </c>
      <c r="E53" s="171">
        <f t="shared" si="4"/>
        <v>230.26</v>
      </c>
      <c r="F53" s="171"/>
      <c r="G53" s="171">
        <f t="shared" si="5"/>
        <v>230.26</v>
      </c>
      <c r="H53" s="172">
        <f t="shared" si="6"/>
        <v>6.48154131515808E-5</v>
      </c>
      <c r="I53" s="541"/>
      <c r="J53" s="168"/>
      <c r="K53" s="168"/>
      <c r="M53" s="359">
        <f t="shared" si="7"/>
        <v>1.2017745302713987E-2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573">
        <f>'[40]Sch C'!D39</f>
        <v>2865.88</v>
      </c>
      <c r="D54" s="573">
        <f>'[40]Sch C'!F39</f>
        <v>0</v>
      </c>
      <c r="E54" s="171">
        <f t="shared" si="4"/>
        <v>2865.88</v>
      </c>
      <c r="F54" s="171"/>
      <c r="G54" s="171">
        <f t="shared" si="5"/>
        <v>2865.88</v>
      </c>
      <c r="H54" s="172">
        <f t="shared" si="6"/>
        <v>8.0671065857227644E-4</v>
      </c>
      <c r="I54" s="541"/>
      <c r="J54" s="168"/>
      <c r="K54" s="168"/>
      <c r="M54" s="359">
        <f t="shared" si="7"/>
        <v>0.14957620041753655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573">
        <f>'[40]Sch C'!D40</f>
        <v>7162.92</v>
      </c>
      <c r="D55" s="573">
        <f>'[40]Sch C'!F40</f>
        <v>-7163</v>
      </c>
      <c r="E55" s="171">
        <f t="shared" si="4"/>
        <v>-7.999999999992724E-2</v>
      </c>
      <c r="F55" s="171"/>
      <c r="G55" s="171">
        <f t="shared" si="5"/>
        <v>-7.999999999992724E-2</v>
      </c>
      <c r="H55" s="172">
        <f t="shared" si="6"/>
        <v>-2.2519035230269033E-8</v>
      </c>
      <c r="I55" s="541"/>
      <c r="J55" s="168"/>
      <c r="K55" s="168"/>
      <c r="M55" s="359">
        <f t="shared" si="7"/>
        <v>-4.1753653444638432E-6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573">
        <f>'[40]Sch C'!D41</f>
        <v>0</v>
      </c>
      <c r="D56" s="573">
        <f>'[40]Sch C'!F41</f>
        <v>0</v>
      </c>
      <c r="E56" s="171">
        <f t="shared" si="4"/>
        <v>0</v>
      </c>
      <c r="F56" s="171"/>
      <c r="G56" s="171">
        <f t="shared" si="5"/>
        <v>0</v>
      </c>
      <c r="H56" s="172">
        <f t="shared" si="6"/>
        <v>0</v>
      </c>
      <c r="I56" s="541"/>
      <c r="J56" s="168"/>
      <c r="K56" s="168"/>
      <c r="M56" s="359">
        <f t="shared" si="7"/>
        <v>0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573">
        <f>'[40]Sch C'!D42</f>
        <v>4002.25</v>
      </c>
      <c r="D57" s="573">
        <f>'[40]Sch C'!F42</f>
        <v>0</v>
      </c>
      <c r="E57" s="171">
        <f t="shared" si="4"/>
        <v>4002.25</v>
      </c>
      <c r="F57" s="171"/>
      <c r="G57" s="171">
        <f t="shared" si="5"/>
        <v>4002.25</v>
      </c>
      <c r="H57" s="172">
        <f t="shared" si="6"/>
        <v>1.1265851093803278E-3</v>
      </c>
      <c r="I57" s="541"/>
      <c r="J57" s="168"/>
      <c r="K57" s="168"/>
      <c r="M57" s="359">
        <f t="shared" si="7"/>
        <v>0.20888569937369519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573">
        <f>'[40]Sch C'!D43</f>
        <v>8826.7000000000007</v>
      </c>
      <c r="D58" s="573">
        <f>'[40]Sch C'!F43</f>
        <v>0</v>
      </c>
      <c r="E58" s="171">
        <f t="shared" si="4"/>
        <v>8826.7000000000007</v>
      </c>
      <c r="F58" s="171"/>
      <c r="G58" s="171">
        <f t="shared" si="5"/>
        <v>8826.7000000000007</v>
      </c>
      <c r="H58" s="172">
        <f t="shared" si="6"/>
        <v>2.4846096033399562E-3</v>
      </c>
      <c r="I58" s="541"/>
      <c r="J58" s="168"/>
      <c r="K58" s="168"/>
      <c r="M58" s="359">
        <f t="shared" si="7"/>
        <v>0.46068371607515662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573">
        <f>'[40]Sch C'!D44</f>
        <v>242.21</v>
      </c>
      <c r="D59" s="573">
        <f>'[40]Sch C'!F44</f>
        <v>0</v>
      </c>
      <c r="E59" s="171">
        <f t="shared" si="4"/>
        <v>242.21</v>
      </c>
      <c r="F59" s="171"/>
      <c r="G59" s="171">
        <f t="shared" si="5"/>
        <v>242.21</v>
      </c>
      <c r="H59" s="172">
        <f t="shared" si="6"/>
        <v>6.8179194039105298E-5</v>
      </c>
      <c r="I59" s="541"/>
      <c r="J59" s="168"/>
      <c r="K59" s="168"/>
      <c r="M59" s="359">
        <f t="shared" si="7"/>
        <v>1.2641440501043842E-2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573">
        <f>'[40]Sch C'!D45</f>
        <v>603746.4</v>
      </c>
      <c r="D60" s="573">
        <f>'[40]Sch C'!F45</f>
        <v>-2073</v>
      </c>
      <c r="E60" s="171">
        <f t="shared" si="4"/>
        <v>601673.4</v>
      </c>
      <c r="F60" s="171">
        <v>-601673</v>
      </c>
      <c r="G60" s="171">
        <f t="shared" si="5"/>
        <v>0.40000000002328306</v>
      </c>
      <c r="H60" s="172">
        <f t="shared" si="6"/>
        <v>1.1259517615800148E-7</v>
      </c>
      <c r="I60" s="541"/>
      <c r="J60" s="168"/>
      <c r="K60" s="168"/>
      <c r="M60" s="359">
        <f t="shared" si="7"/>
        <v>2.0876826723553396E-5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573">
        <f>SUM(C25:C60)</f>
        <v>2037146.6</v>
      </c>
      <c r="D61" s="573">
        <f>SUM(D25:D60)</f>
        <v>-722724.37</v>
      </c>
      <c r="E61" s="171">
        <f t="shared" ref="E61" si="8">SUM(E25:E60)</f>
        <v>1314422.23</v>
      </c>
      <c r="F61" s="171">
        <f>SUM(F25:F60)</f>
        <v>-615260</v>
      </c>
      <c r="G61" s="171">
        <f>SUM(G25:G60)</f>
        <v>699162.23</v>
      </c>
      <c r="H61" s="186">
        <f t="shared" si="6"/>
        <v>0.19680573611322225</v>
      </c>
      <c r="I61" s="550"/>
      <c r="J61" s="168"/>
      <c r="K61" s="168"/>
      <c r="M61" s="364">
        <f>G61/G$228</f>
        <v>36.490721816283923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I62" s="551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551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573">
        <f>'[40]Sch C'!D57</f>
        <v>0</v>
      </c>
      <c r="D64" s="573">
        <f>'[40]Sch C'!F57</f>
        <v>0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I64" s="541"/>
      <c r="J64" s="190"/>
      <c r="K64" s="168"/>
      <c r="M64" s="359">
        <f t="shared" ref="M64:M79" si="12">G64/G$228</f>
        <v>0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573">
        <f>'[40]Sch C'!D58</f>
        <v>163624.59</v>
      </c>
      <c r="D65" s="573">
        <f>'[40]Sch C'!F58</f>
        <v>0</v>
      </c>
      <c r="E65" s="171">
        <f t="shared" si="9"/>
        <v>163624.59</v>
      </c>
      <c r="F65" s="171"/>
      <c r="G65" s="171">
        <f t="shared" si="10"/>
        <v>163624.59</v>
      </c>
      <c r="H65" s="172">
        <f t="shared" si="11"/>
        <v>4.6058348834395968E-2</v>
      </c>
      <c r="I65" s="541"/>
      <c r="J65" s="190"/>
      <c r="K65" s="168"/>
      <c r="M65" s="359">
        <f t="shared" si="12"/>
        <v>8.5399055323590805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573">
        <f>'[40]Sch C'!D59</f>
        <v>0</v>
      </c>
      <c r="D66" s="573">
        <f>'[40]Sch C'!F59</f>
        <v>0</v>
      </c>
      <c r="E66" s="171">
        <f t="shared" si="9"/>
        <v>0</v>
      </c>
      <c r="F66" s="171"/>
      <c r="G66" s="171">
        <f t="shared" si="10"/>
        <v>0</v>
      </c>
      <c r="H66" s="172">
        <f t="shared" si="11"/>
        <v>0</v>
      </c>
      <c r="I66" s="541"/>
      <c r="J66" s="190"/>
      <c r="K66" s="168"/>
      <c r="M66" s="359">
        <f t="shared" si="12"/>
        <v>0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573">
        <f>'[40]Sch C'!D60</f>
        <v>0</v>
      </c>
      <c r="D67" s="573">
        <f>'[40]Sch C'!F60</f>
        <v>0</v>
      </c>
      <c r="E67" s="171">
        <f t="shared" si="9"/>
        <v>0</v>
      </c>
      <c r="F67" s="171"/>
      <c r="G67" s="171">
        <f t="shared" si="10"/>
        <v>0</v>
      </c>
      <c r="H67" s="172">
        <f t="shared" si="11"/>
        <v>0</v>
      </c>
      <c r="I67" s="541"/>
      <c r="J67" s="193"/>
      <c r="K67" s="168"/>
      <c r="M67" s="359">
        <f t="shared" si="12"/>
        <v>0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573">
        <f>'[40]Sch C'!D61</f>
        <v>4569.1099999999997</v>
      </c>
      <c r="D68" s="573">
        <f>'[40]Sch C'!F61</f>
        <v>0</v>
      </c>
      <c r="E68" s="171">
        <f t="shared" si="9"/>
        <v>4569.1099999999997</v>
      </c>
      <c r="F68" s="171"/>
      <c r="G68" s="171">
        <f t="shared" si="10"/>
        <v>4569.1099999999997</v>
      </c>
      <c r="H68" s="172">
        <f t="shared" si="11"/>
        <v>1.2861493632633516E-3</v>
      </c>
      <c r="I68" s="541"/>
      <c r="J68" s="193"/>
      <c r="K68" s="168"/>
      <c r="M68" s="359">
        <f t="shared" si="12"/>
        <v>0.23847129436325676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573">
        <f>'[40]Sch C'!D62</f>
        <v>0</v>
      </c>
      <c r="D69" s="573">
        <f>'[40]Sch C'!F62</f>
        <v>0</v>
      </c>
      <c r="E69" s="171">
        <f t="shared" si="9"/>
        <v>0</v>
      </c>
      <c r="F69" s="171"/>
      <c r="G69" s="171">
        <f t="shared" si="10"/>
        <v>0</v>
      </c>
      <c r="H69" s="172">
        <f t="shared" si="11"/>
        <v>0</v>
      </c>
      <c r="I69" s="541"/>
      <c r="J69" s="195"/>
      <c r="K69" s="168"/>
      <c r="M69" s="359">
        <f t="shared" si="12"/>
        <v>0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573">
        <f>'[40]Sch C'!D63</f>
        <v>0</v>
      </c>
      <c r="D70" s="573">
        <f>'[40]Sch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541"/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573">
        <f>'[40]Sch C'!D64</f>
        <v>0</v>
      </c>
      <c r="D71" s="573">
        <f>'[40]Sch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541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573">
        <f>'[40]Sch C'!D65</f>
        <v>1545</v>
      </c>
      <c r="D72" s="573">
        <f>'[40]Sch C'!F65</f>
        <v>0</v>
      </c>
      <c r="E72" s="171">
        <f t="shared" si="9"/>
        <v>1545</v>
      </c>
      <c r="F72" s="171"/>
      <c r="G72" s="171">
        <f t="shared" si="10"/>
        <v>1545</v>
      </c>
      <c r="H72" s="172">
        <f t="shared" si="11"/>
        <v>4.3489886788496628E-4</v>
      </c>
      <c r="I72" s="541"/>
      <c r="J72" s="195"/>
      <c r="K72" s="168"/>
      <c r="M72" s="359">
        <f t="shared" si="12"/>
        <v>8.0636743215031309E-2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573">
        <f>'[40]Sch C'!D66</f>
        <v>3175.44</v>
      </c>
      <c r="D73" s="573">
        <f>'[40]Sch C'!F66</f>
        <v>0</v>
      </c>
      <c r="E73" s="171">
        <f t="shared" si="9"/>
        <v>3175.44</v>
      </c>
      <c r="F73" s="171"/>
      <c r="G73" s="171">
        <f t="shared" si="10"/>
        <v>3175.44</v>
      </c>
      <c r="H73" s="172">
        <f t="shared" si="11"/>
        <v>8.9384806539588178E-4</v>
      </c>
      <c r="I73" s="541"/>
      <c r="J73" s="195"/>
      <c r="K73" s="168"/>
      <c r="M73" s="359">
        <f t="shared" si="12"/>
        <v>0.16573277661795408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573">
        <f>'[40]Sch C'!D67</f>
        <v>23283.66</v>
      </c>
      <c r="D74" s="573">
        <f>'[40]Sch C'!F67</f>
        <v>0</v>
      </c>
      <c r="E74" s="171">
        <f t="shared" si="9"/>
        <v>23283.66</v>
      </c>
      <c r="F74" s="171">
        <v>309</v>
      </c>
      <c r="G74" s="171">
        <f t="shared" si="10"/>
        <v>23592.66</v>
      </c>
      <c r="H74" s="172">
        <f t="shared" si="11"/>
        <v>6.641049271453028E-3</v>
      </c>
      <c r="I74" s="541"/>
      <c r="J74" s="195"/>
      <c r="K74" s="168"/>
      <c r="M74" s="359">
        <f t="shared" si="12"/>
        <v>1.2313496868475993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573">
        <f>'[40]Sch C'!D68</f>
        <v>0</v>
      </c>
      <c r="D75" s="573">
        <f>'[40]Sch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541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573">
        <f>'[40]Sch C'!D69</f>
        <v>0</v>
      </c>
      <c r="D76" s="573">
        <f>'[40]Sch C'!F69</f>
        <v>0</v>
      </c>
      <c r="E76" s="171">
        <f t="shared" si="9"/>
        <v>0</v>
      </c>
      <c r="F76" s="171"/>
      <c r="G76" s="171">
        <f t="shared" si="10"/>
        <v>0</v>
      </c>
      <c r="H76" s="172">
        <f t="shared" si="11"/>
        <v>0</v>
      </c>
      <c r="I76" s="541"/>
      <c r="J76" s="195"/>
      <c r="K76" s="168"/>
      <c r="M76" s="359">
        <f t="shared" si="12"/>
        <v>0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573">
        <f>'[40]Sch C'!D70</f>
        <v>-300</v>
      </c>
      <c r="D77" s="573">
        <f>'[40]Sch C'!F70</f>
        <v>0</v>
      </c>
      <c r="E77" s="171">
        <f t="shared" si="9"/>
        <v>-300</v>
      </c>
      <c r="F77" s="171"/>
      <c r="G77" s="171">
        <f t="shared" si="10"/>
        <v>-300</v>
      </c>
      <c r="H77" s="172">
        <f t="shared" si="11"/>
        <v>-8.4446382113585684E-5</v>
      </c>
      <c r="I77" s="541"/>
      <c r="J77" s="195"/>
      <c r="K77" s="168"/>
      <c r="M77" s="359">
        <f t="shared" si="12"/>
        <v>-1.5657620041753653E-2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573">
        <f>'[40]Sch C'!D71</f>
        <v>0</v>
      </c>
      <c r="D78" s="573">
        <f>'[40]Sch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541"/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573">
        <f>SUM(C64:C78)</f>
        <v>195897.8</v>
      </c>
      <c r="D79" s="573">
        <f>SUM(D64:D78)</f>
        <v>0</v>
      </c>
      <c r="E79" s="171">
        <f t="shared" ref="E79" si="13">SUM(E64:E78)</f>
        <v>195897.8</v>
      </c>
      <c r="F79" s="171">
        <f>SUM(F64:F78)</f>
        <v>309</v>
      </c>
      <c r="G79" s="171">
        <f>SUM(G64:G78)</f>
        <v>196206.8</v>
      </c>
      <c r="H79" s="172">
        <f t="shared" si="11"/>
        <v>5.5229848020279609E-2</v>
      </c>
      <c r="I79" s="541"/>
      <c r="J79" s="195"/>
      <c r="K79" s="168"/>
      <c r="M79" s="359">
        <f t="shared" si="12"/>
        <v>10.240438413361169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I80" s="541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545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573">
        <f>'[40]Sch C'!D75</f>
        <v>46531.96</v>
      </c>
      <c r="D82" s="573">
        <f>'[40]Sch C'!F75</f>
        <v>0</v>
      </c>
      <c r="E82" s="171">
        <f t="shared" ref="E82:E92" si="14">C82+D82</f>
        <v>46531.96</v>
      </c>
      <c r="F82" s="171"/>
      <c r="G82" s="171">
        <f t="shared" ref="G82:G92" si="15">E82+F82</f>
        <v>46531.96</v>
      </c>
      <c r="H82" s="172">
        <f t="shared" ref="H82:H93" si="16">IF($G$208=0,0,G82/$G$208)</f>
        <v>1.3098185582180281E-2</v>
      </c>
      <c r="I82" s="541"/>
      <c r="J82" s="183">
        <v>2073.73</v>
      </c>
      <c r="K82" s="183">
        <v>2292.71</v>
      </c>
      <c r="M82" s="359">
        <f t="shared" ref="M82:M92" si="17">G82/G$228</f>
        <v>2.428599164926931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573">
        <f>'[40]Sch C'!D76</f>
        <v>0</v>
      </c>
      <c r="D83" s="573">
        <f>'[40]Sch C'!F76</f>
        <v>17754.514342130489</v>
      </c>
      <c r="E83" s="171">
        <f t="shared" si="14"/>
        <v>17754.514342130489</v>
      </c>
      <c r="F83" s="171"/>
      <c r="G83" s="171">
        <f t="shared" si="15"/>
        <v>17754.514342130489</v>
      </c>
      <c r="H83" s="172">
        <f t="shared" si="16"/>
        <v>4.9976816745889623E-3</v>
      </c>
      <c r="I83" s="541"/>
      <c r="J83" s="168"/>
      <c r="K83" s="168"/>
      <c r="M83" s="359">
        <f t="shared" si="17"/>
        <v>0.92664479864981675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573">
        <f>'[40]Sch C'!D77</f>
        <v>4520.3</v>
      </c>
      <c r="D84" s="573">
        <f>'[40]Sch C'!F77</f>
        <v>0</v>
      </c>
      <c r="E84" s="171">
        <f t="shared" si="14"/>
        <v>4520.3</v>
      </c>
      <c r="F84" s="171"/>
      <c r="G84" s="171">
        <f t="shared" si="15"/>
        <v>4520.3</v>
      </c>
      <c r="H84" s="172">
        <f t="shared" si="16"/>
        <v>1.2724099368934712E-3</v>
      </c>
      <c r="I84" s="541"/>
      <c r="J84" s="168"/>
      <c r="K84" s="168"/>
      <c r="M84" s="359">
        <f t="shared" si="17"/>
        <v>0.23592379958246348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573">
        <f>'[40]Sch C'!D78</f>
        <v>0</v>
      </c>
      <c r="D85" s="573">
        <f>'[40]Sch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I85" s="541"/>
      <c r="J85" s="168"/>
      <c r="K85" s="168"/>
      <c r="M85" s="359">
        <f t="shared" si="17"/>
        <v>0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573">
        <f>'[40]Sch C'!D79</f>
        <v>11847.16</v>
      </c>
      <c r="D86" s="573">
        <f>'[40]Sch C'!F79</f>
        <v>0</v>
      </c>
      <c r="E86" s="171">
        <f t="shared" si="14"/>
        <v>11847.16</v>
      </c>
      <c r="F86" s="171">
        <v>-9633</v>
      </c>
      <c r="G86" s="171">
        <f>E86+F86</f>
        <v>2214.16</v>
      </c>
      <c r="H86" s="172">
        <f t="shared" si="16"/>
        <v>6.2325933806872289E-4</v>
      </c>
      <c r="I86" s="541"/>
      <c r="J86" s="168"/>
      <c r="K86" s="168"/>
      <c r="M86" s="359">
        <f t="shared" si="17"/>
        <v>0.11556158663883088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573">
        <f>'[40]Sch C'!D80</f>
        <v>8298.86</v>
      </c>
      <c r="D87" s="573">
        <f>'[40]Sch C'!F80</f>
        <v>0</v>
      </c>
      <c r="E87" s="171">
        <f t="shared" si="14"/>
        <v>8298.86</v>
      </c>
      <c r="F87" s="171"/>
      <c r="G87" s="171">
        <f t="shared" si="15"/>
        <v>8298.86</v>
      </c>
      <c r="H87" s="172">
        <f t="shared" si="16"/>
        <v>2.3360290088905058E-3</v>
      </c>
      <c r="I87" s="541"/>
      <c r="J87" s="168"/>
      <c r="K87" s="168"/>
      <c r="M87" s="359">
        <f t="shared" si="17"/>
        <v>0.43313465553235914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573">
        <f>'[40]Sch C'!D81</f>
        <v>17674.05</v>
      </c>
      <c r="D88" s="573">
        <f>'[40]Sch C'!F81</f>
        <v>0</v>
      </c>
      <c r="E88" s="171">
        <f t="shared" si="14"/>
        <v>17674.05</v>
      </c>
      <c r="F88" s="171"/>
      <c r="G88" s="171">
        <f t="shared" si="15"/>
        <v>17674.05</v>
      </c>
      <c r="H88" s="172">
        <f t="shared" si="16"/>
        <v>4.9750319326487295E-3</v>
      </c>
      <c r="I88" s="541"/>
      <c r="J88" s="168"/>
      <c r="K88" s="168"/>
      <c r="M88" s="359">
        <f t="shared" si="17"/>
        <v>0.92244519832985383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573">
        <f>'[40]Sch C'!D82</f>
        <v>18723.830000000002</v>
      </c>
      <c r="D89" s="573">
        <f>'[40]Sch C'!F82</f>
        <v>0</v>
      </c>
      <c r="E89" s="171">
        <f t="shared" si="14"/>
        <v>18723.830000000002</v>
      </c>
      <c r="F89" s="171"/>
      <c r="G89" s="171">
        <f t="shared" si="15"/>
        <v>18723.830000000002</v>
      </c>
      <c r="H89" s="172">
        <f t="shared" si="16"/>
        <v>5.2705323426993972E-3</v>
      </c>
      <c r="I89" s="541"/>
      <c r="J89" s="168"/>
      <c r="K89" s="168"/>
      <c r="M89" s="359">
        <f t="shared" si="17"/>
        <v>0.97723538622129447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573">
        <f>'[40]Sch C'!D83</f>
        <v>5389.68</v>
      </c>
      <c r="D90" s="573">
        <f>'[40]Sch C'!F83</f>
        <v>0</v>
      </c>
      <c r="E90" s="171">
        <f t="shared" si="14"/>
        <v>5389.68</v>
      </c>
      <c r="F90" s="171"/>
      <c r="G90" s="171">
        <f t="shared" si="15"/>
        <v>5389.68</v>
      </c>
      <c r="H90" s="172">
        <f t="shared" si="16"/>
        <v>1.5171299224998351E-3</v>
      </c>
      <c r="I90" s="541"/>
      <c r="J90" s="168"/>
      <c r="K90" s="168"/>
      <c r="M90" s="359">
        <f t="shared" si="17"/>
        <v>0.28129853862212945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573">
        <f>'[40]Sch C'!D84</f>
        <v>91801.87</v>
      </c>
      <c r="D91" s="573">
        <f>'[40]Sch C'!F84</f>
        <v>0</v>
      </c>
      <c r="E91" s="171">
        <f t="shared" si="14"/>
        <v>91801.87</v>
      </c>
      <c r="F91" s="171"/>
      <c r="G91" s="171">
        <f t="shared" si="15"/>
        <v>91801.87</v>
      </c>
      <c r="H91" s="172">
        <f t="shared" si="16"/>
        <v>2.5841119309205726E-2</v>
      </c>
      <c r="I91" s="541"/>
      <c r="J91" s="168"/>
      <c r="K91" s="168"/>
      <c r="M91" s="359">
        <f t="shared" si="17"/>
        <v>4.7913293319415446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573">
        <f>'[40]Sch C'!D85</f>
        <v>0</v>
      </c>
      <c r="D92" s="573">
        <f>'[40]Sch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541"/>
      <c r="J92" s="168"/>
      <c r="K92" s="168"/>
      <c r="M92" s="359">
        <f t="shared" si="17"/>
        <v>0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573">
        <f>SUM(C82:C92)</f>
        <v>204787.71</v>
      </c>
      <c r="D93" s="573">
        <f>SUM(D82:D92)</f>
        <v>17754.514342130489</v>
      </c>
      <c r="E93" s="171">
        <f t="shared" ref="E93" si="18">SUM(E82:E92)</f>
        <v>222542.2243421305</v>
      </c>
      <c r="F93" s="171">
        <f>SUM(F82:F92)</f>
        <v>-9633</v>
      </c>
      <c r="G93" s="171">
        <f>SUM(G82:G92)</f>
        <v>212909.2243421305</v>
      </c>
      <c r="H93" s="172">
        <f t="shared" si="16"/>
        <v>5.9931379047675634E-2</v>
      </c>
      <c r="I93" s="541"/>
      <c r="J93" s="168"/>
      <c r="K93" s="168"/>
      <c r="M93" s="364">
        <f>G93/G$228</f>
        <v>11.112172460445224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I94" s="545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545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573">
        <f>'[40]Sch C'!D89</f>
        <v>145503.23000000001</v>
      </c>
      <c r="D96" s="573">
        <f>'[40]Sch C'!F89</f>
        <v>0</v>
      </c>
      <c r="E96" s="171">
        <f t="shared" ref="E96:E101" si="19">C96+D96</f>
        <v>145503.23000000001</v>
      </c>
      <c r="F96" s="171"/>
      <c r="G96" s="171">
        <f t="shared" ref="G96:G101" si="20">E96+F96</f>
        <v>145503.23000000001</v>
      </c>
      <c r="H96" s="172">
        <f t="shared" ref="H96:H102" si="21">IF($G$208=0,0,G96/$G$208)</f>
        <v>4.0957404531136485E-2</v>
      </c>
      <c r="I96" s="541"/>
      <c r="J96" s="183">
        <v>12652.29</v>
      </c>
      <c r="K96" s="183">
        <v>13678.42</v>
      </c>
      <c r="M96" s="364">
        <f t="shared" ref="M96:M101" si="22">G96/G$228</f>
        <v>7.5941143006263054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573">
        <f>'[40]Sch C'!D90</f>
        <v>0</v>
      </c>
      <c r="D97" s="573">
        <f>'[40]Sch C'!F90</f>
        <v>55517.52352278545</v>
      </c>
      <c r="E97" s="171">
        <f t="shared" si="19"/>
        <v>55517.52352278545</v>
      </c>
      <c r="F97" s="171"/>
      <c r="G97" s="171">
        <f t="shared" si="20"/>
        <v>55517.52352278545</v>
      </c>
      <c r="H97" s="172">
        <f t="shared" si="21"/>
        <v>1.5627513351350406E-2</v>
      </c>
      <c r="I97" s="541"/>
      <c r="J97" s="168"/>
      <c r="K97" s="168"/>
      <c r="M97" s="364">
        <f t="shared" si="22"/>
        <v>2.8975742965963178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573">
        <f>'[40]Sch C'!D91</f>
        <v>5704</v>
      </c>
      <c r="D98" s="573">
        <f>'[40]Sch C'!F91</f>
        <v>0</v>
      </c>
      <c r="E98" s="171">
        <f t="shared" si="19"/>
        <v>5704</v>
      </c>
      <c r="F98" s="171"/>
      <c r="G98" s="171">
        <f t="shared" si="20"/>
        <v>5704</v>
      </c>
      <c r="H98" s="172">
        <f t="shared" si="21"/>
        <v>1.6056072119196424E-3</v>
      </c>
      <c r="I98" s="541"/>
      <c r="J98" s="168"/>
      <c r="K98" s="168"/>
      <c r="M98" s="364">
        <f t="shared" si="22"/>
        <v>0.2977035490605428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573">
        <f>'[40]Sch C'!D92</f>
        <v>158376.19</v>
      </c>
      <c r="D99" s="573">
        <f>'[40]Sch C'!F92</f>
        <v>0</v>
      </c>
      <c r="E99" s="171">
        <f t="shared" si="19"/>
        <v>158376.19</v>
      </c>
      <c r="F99" s="171"/>
      <c r="G99" s="171">
        <f t="shared" si="20"/>
        <v>158376.19</v>
      </c>
      <c r="H99" s="172">
        <f t="shared" si="21"/>
        <v>4.4580987528112827E-2</v>
      </c>
      <c r="I99" s="541"/>
      <c r="J99" s="168"/>
      <c r="K99" s="168"/>
      <c r="M99" s="364">
        <f t="shared" si="22"/>
        <v>8.2659806889352812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573">
        <f>'[40]Sch C'!D93</f>
        <v>12251.85</v>
      </c>
      <c r="D100" s="573">
        <f>'[40]Sch C'!F93</f>
        <v>0</v>
      </c>
      <c r="E100" s="171">
        <f t="shared" si="19"/>
        <v>12251.85</v>
      </c>
      <c r="F100" s="171"/>
      <c r="G100" s="171">
        <f t="shared" si="20"/>
        <v>12251.85</v>
      </c>
      <c r="H100" s="172">
        <f t="shared" si="21"/>
        <v>3.4487480223277826E-3</v>
      </c>
      <c r="I100" s="541"/>
      <c r="J100" s="168"/>
      <c r="K100" s="168"/>
      <c r="M100" s="364">
        <f t="shared" si="22"/>
        <v>0.63944937369519839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573">
        <f>'[40]Sch C'!D94</f>
        <v>0</v>
      </c>
      <c r="D101" s="573">
        <f>'[40]Sch C'!F94</f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I101" s="541"/>
      <c r="J101" s="168"/>
      <c r="K101" s="168"/>
      <c r="M101" s="364">
        <f t="shared" si="22"/>
        <v>0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573">
        <f>SUM(C96:C101)</f>
        <v>321835.27</v>
      </c>
      <c r="D102" s="573">
        <f>SUM(D96:D101)</f>
        <v>55517.52352278545</v>
      </c>
      <c r="E102" s="171">
        <f t="shared" ref="E102" si="23">SUM(E96:E101)</f>
        <v>377352.79352278542</v>
      </c>
      <c r="F102" s="171">
        <f>SUM(F96:F101)</f>
        <v>0</v>
      </c>
      <c r="G102" s="171">
        <f>SUM(G96:G101)</f>
        <v>377352.79352278542</v>
      </c>
      <c r="H102" s="172">
        <f t="shared" si="21"/>
        <v>0.10622026064484713</v>
      </c>
      <c r="I102" s="541"/>
      <c r="J102" s="168"/>
      <c r="K102" s="168"/>
      <c r="M102" s="364">
        <f>G102/G$228</f>
        <v>19.694822208913642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I103" s="545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545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573">
        <f>'[40]Sch C'!D98</f>
        <v>47143.89</v>
      </c>
      <c r="D105" s="573">
        <f>'[40]Sch C'!F98</f>
        <v>0</v>
      </c>
      <c r="E105" s="171">
        <f t="shared" ref="E105:E110" si="24">C105+D105</f>
        <v>47143.89</v>
      </c>
      <c r="F105" s="171"/>
      <c r="G105" s="171">
        <f t="shared" ref="G105:G110" si="25">E105+F105</f>
        <v>47143.89</v>
      </c>
      <c r="H105" s="172">
        <f t="shared" ref="H105:H111" si="26">IF($G$208=0,0,G105/$G$208)</f>
        <v>1.327043649753617E-2</v>
      </c>
      <c r="I105" s="541"/>
      <c r="J105" s="183">
        <v>4830.9799999999996</v>
      </c>
      <c r="K105" s="183">
        <v>5081.32</v>
      </c>
      <c r="M105" s="364">
        <f t="shared" ref="M105:M110" si="27">G105/G$228</f>
        <v>2.460537056367432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573">
        <f>'[40]Sch C'!D99</f>
        <v>0</v>
      </c>
      <c r="D106" s="573">
        <f>'[40]Sch C'!F99</f>
        <v>17987.99945561765</v>
      </c>
      <c r="E106" s="171">
        <f t="shared" si="24"/>
        <v>17987.99945561765</v>
      </c>
      <c r="F106" s="171"/>
      <c r="G106" s="171">
        <f t="shared" si="25"/>
        <v>17987.99945561765</v>
      </c>
      <c r="H106" s="172">
        <f t="shared" si="26"/>
        <v>5.0634049182935311E-3</v>
      </c>
      <c r="I106" s="541"/>
      <c r="J106" s="168"/>
      <c r="K106" s="168"/>
      <c r="M106" s="364">
        <f t="shared" si="27"/>
        <v>0.93883086929110904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573">
        <f>'[40]Sch C'!D100</f>
        <v>3627.85</v>
      </c>
      <c r="D107" s="573">
        <f>'[40]Sch C'!F100</f>
        <v>0</v>
      </c>
      <c r="E107" s="171">
        <f t="shared" si="24"/>
        <v>3627.85</v>
      </c>
      <c r="F107" s="171"/>
      <c r="G107" s="171">
        <f t="shared" si="25"/>
        <v>3627.85</v>
      </c>
      <c r="H107" s="172">
        <f t="shared" si="26"/>
        <v>1.0211960245025728E-3</v>
      </c>
      <c r="I107" s="541"/>
      <c r="J107" s="168"/>
      <c r="K107" s="168"/>
      <c r="M107" s="364">
        <f t="shared" si="27"/>
        <v>0.18934498956158663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573">
        <f>'[40]Sch C'!D101</f>
        <v>0</v>
      </c>
      <c r="D108" s="573">
        <f>'[40]Sch C'!F101</f>
        <v>0</v>
      </c>
      <c r="E108" s="171">
        <f t="shared" si="24"/>
        <v>0</v>
      </c>
      <c r="F108" s="171"/>
      <c r="G108" s="171">
        <f t="shared" si="25"/>
        <v>0</v>
      </c>
      <c r="H108" s="172">
        <f t="shared" si="26"/>
        <v>0</v>
      </c>
      <c r="I108" s="541"/>
      <c r="J108" s="168"/>
      <c r="K108" s="168"/>
      <c r="M108" s="364">
        <f t="shared" si="27"/>
        <v>0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573">
        <f>'[40]Sch C'!D102</f>
        <v>6392.08</v>
      </c>
      <c r="D109" s="573">
        <f>'[40]Sch C'!F102</f>
        <v>0</v>
      </c>
      <c r="E109" s="171">
        <f t="shared" si="24"/>
        <v>6392.08</v>
      </c>
      <c r="F109" s="171"/>
      <c r="G109" s="171">
        <f t="shared" si="25"/>
        <v>6392.08</v>
      </c>
      <c r="H109" s="172">
        <f t="shared" si="26"/>
        <v>1.7992934339353625E-3</v>
      </c>
      <c r="I109" s="541"/>
      <c r="J109" s="168"/>
      <c r="K109" s="168"/>
      <c r="M109" s="364">
        <f t="shared" si="27"/>
        <v>0.33361586638830898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573">
        <f>'[40]Sch C'!D103</f>
        <v>0</v>
      </c>
      <c r="D110" s="573">
        <f>'[40]Sch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541"/>
      <c r="J110" s="168"/>
      <c r="K110" s="168"/>
      <c r="M110" s="364">
        <f t="shared" si="27"/>
        <v>0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573">
        <f>SUM(C105:C110)</f>
        <v>57163.82</v>
      </c>
      <c r="D111" s="573">
        <f>SUM(D105:D110)</f>
        <v>17987.99945561765</v>
      </c>
      <c r="E111" s="171">
        <f t="shared" ref="E111" si="28">SUM(E105:E110)</f>
        <v>75151.81945561766</v>
      </c>
      <c r="F111" s="171">
        <f>SUM(F105:F110)</f>
        <v>0</v>
      </c>
      <c r="G111" s="171">
        <f>SUM(G105:G110)</f>
        <v>75151.81945561766</v>
      </c>
      <c r="H111" s="172">
        <f t="shared" si="26"/>
        <v>2.115433087426764E-2</v>
      </c>
      <c r="I111" s="541"/>
      <c r="J111" s="168"/>
      <c r="K111" s="168"/>
      <c r="M111" s="364">
        <f>G111/G$228</f>
        <v>3.9223287816084373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I112" s="545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545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573">
        <f>'[40]Sch C'!D115</f>
        <v>74218.39</v>
      </c>
      <c r="D114" s="573">
        <f>'[40]Sch C'!F115</f>
        <v>0</v>
      </c>
      <c r="E114" s="171">
        <f t="shared" ref="E114:E118" si="29">C114+D114</f>
        <v>74218.39</v>
      </c>
      <c r="F114" s="171"/>
      <c r="G114" s="171">
        <f>E114+F114</f>
        <v>74218.39</v>
      </c>
      <c r="H114" s="172">
        <f t="shared" ref="H114:H119" si="30">IF($G$208=0,0,G114/$G$208)</f>
        <v>2.089158173931709E-2</v>
      </c>
      <c r="I114" s="541"/>
      <c r="J114" s="183">
        <v>7508.01</v>
      </c>
      <c r="K114" s="183">
        <v>7934.85</v>
      </c>
      <c r="M114" s="364">
        <f t="shared" ref="M114:M119" si="31">G114/G$228</f>
        <v>3.8736111691022965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573">
        <f>'[40]Sch C'!D116</f>
        <v>0</v>
      </c>
      <c r="D115" s="573">
        <f>'[40]Sch C'!F116</f>
        <v>28318.417485634265</v>
      </c>
      <c r="E115" s="171">
        <f t="shared" si="29"/>
        <v>28318.417485634265</v>
      </c>
      <c r="F115" s="171"/>
      <c r="G115" s="171">
        <f>E115+F115</f>
        <v>28318.417485634265</v>
      </c>
      <c r="H115" s="172">
        <f t="shared" si="30"/>
        <v>7.9712930128130587E-3</v>
      </c>
      <c r="I115" s="541"/>
      <c r="J115" s="168"/>
      <c r="K115" s="168"/>
      <c r="M115" s="364">
        <f t="shared" si="31"/>
        <v>1.4779967372460472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573">
        <f>'[40]Sch C'!D117</f>
        <v>26287.65</v>
      </c>
      <c r="D116" s="573">
        <f>'[40]Sch C'!F117</f>
        <v>0</v>
      </c>
      <c r="E116" s="171">
        <f t="shared" si="29"/>
        <v>26287.65</v>
      </c>
      <c r="F116" s="171"/>
      <c r="G116" s="171">
        <f>E116+F116</f>
        <v>26287.65</v>
      </c>
      <c r="H116" s="172">
        <f t="shared" si="30"/>
        <v>7.3996564558940024E-3</v>
      </c>
      <c r="I116" s="541"/>
      <c r="J116" s="168"/>
      <c r="K116" s="168"/>
      <c r="M116" s="364">
        <f t="shared" si="31"/>
        <v>1.3720067849686848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573">
        <f>'[40]Sch C'!D118</f>
        <v>0</v>
      </c>
      <c r="D117" s="573">
        <f>'[40]Sch C'!F118</f>
        <v>0</v>
      </c>
      <c r="E117" s="171">
        <f t="shared" si="29"/>
        <v>0</v>
      </c>
      <c r="F117" s="171"/>
      <c r="G117" s="171">
        <f>E117+F117</f>
        <v>0</v>
      </c>
      <c r="H117" s="172">
        <f t="shared" si="30"/>
        <v>0</v>
      </c>
      <c r="I117" s="541"/>
      <c r="J117" s="168"/>
      <c r="K117" s="168"/>
      <c r="M117" s="364">
        <f t="shared" si="31"/>
        <v>0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573">
        <f>'[40]Sch C'!D119</f>
        <v>0</v>
      </c>
      <c r="D118" s="573">
        <f>'[40]Sch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541"/>
      <c r="J118" s="168"/>
      <c r="K118" s="168"/>
      <c r="M118" s="364">
        <f t="shared" si="31"/>
        <v>0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573">
        <f>SUM(C114:C118)</f>
        <v>100506.04000000001</v>
      </c>
      <c r="D119" s="573">
        <f>SUM(D114:D118)</f>
        <v>28318.417485634265</v>
      </c>
      <c r="E119" s="171">
        <f t="shared" ref="E119" si="32">SUM(E114:E118)</f>
        <v>128824.45748563425</v>
      </c>
      <c r="F119" s="171">
        <f>SUM(F114:F118)</f>
        <v>0</v>
      </c>
      <c r="G119" s="171">
        <f>SUM(G114:G118)</f>
        <v>128824.45748563425</v>
      </c>
      <c r="H119" s="172">
        <f t="shared" si="30"/>
        <v>3.6262531208024147E-2</v>
      </c>
      <c r="I119" s="541"/>
      <c r="J119" s="168"/>
      <c r="K119" s="168"/>
      <c r="M119" s="364">
        <f t="shared" si="31"/>
        <v>6.723614691317028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I120" s="541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545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545"/>
      <c r="J122" s="204"/>
      <c r="K122" s="204"/>
      <c r="M122" s="359"/>
      <c r="N122" s="359"/>
    </row>
    <row r="123" spans="1:14" s="167" customFormat="1">
      <c r="B123" s="163" t="s">
        <v>232</v>
      </c>
      <c r="C123" s="573">
        <f>'[40]Sch C'!D124</f>
        <v>0</v>
      </c>
      <c r="D123" s="573">
        <f>'[40]Sch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541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0.77002560279620991</v>
      </c>
    </row>
    <row r="124" spans="1:14" s="167" customFormat="1">
      <c r="B124" s="163" t="s">
        <v>194</v>
      </c>
      <c r="C124" s="573">
        <f>'[40]Sch C'!D125</f>
        <v>135148.56</v>
      </c>
      <c r="D124" s="573">
        <f>'[40]Sch C'!F125</f>
        <v>0</v>
      </c>
      <c r="E124" s="171">
        <f t="shared" si="33"/>
        <v>135148.56</v>
      </c>
      <c r="F124" s="171"/>
      <c r="G124" s="171">
        <f>E124+F124</f>
        <v>135148.56</v>
      </c>
      <c r="H124" s="172">
        <f>IF($G$208=0,0,G124/$G$208)</f>
        <v>3.8042689799536206E-2</v>
      </c>
      <c r="I124" s="541"/>
      <c r="J124" s="183">
        <v>3906.04</v>
      </c>
      <c r="K124" s="183">
        <v>4223.04</v>
      </c>
      <c r="M124" s="364">
        <f t="shared" si="34"/>
        <v>7.05368267223382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573">
        <f>'[40]Sch C'!D126</f>
        <v>0</v>
      </c>
      <c r="D125" s="573">
        <f>'[40]Sch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541"/>
      <c r="J125" s="183">
        <v>0</v>
      </c>
      <c r="K125" s="183">
        <v>0</v>
      </c>
      <c r="M125" s="364">
        <f t="shared" si="34"/>
        <v>0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573">
        <f>'[40]Sch C'!D127</f>
        <v>0</v>
      </c>
      <c r="D126" s="573">
        <f>'[40]Sch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541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573">
        <f>'[40]Sch C'!D128</f>
        <v>0</v>
      </c>
      <c r="D127" s="573">
        <f>'[40]Sch C'!F128</f>
        <v>0</v>
      </c>
      <c r="E127" s="171">
        <f t="shared" si="33"/>
        <v>0</v>
      </c>
      <c r="F127" s="171"/>
      <c r="G127" s="171">
        <f>E127+F127</f>
        <v>0</v>
      </c>
      <c r="H127" s="172">
        <f>IF($G$208=0,0,G127/$G$208)</f>
        <v>0</v>
      </c>
      <c r="I127" s="541"/>
      <c r="J127" s="183">
        <v>0</v>
      </c>
      <c r="K127" s="183">
        <v>0</v>
      </c>
      <c r="M127" s="364">
        <f t="shared" si="34"/>
        <v>0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205"/>
      <c r="G128" s="205"/>
      <c r="H128" s="206"/>
      <c r="I128" s="55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573">
        <f>'[40]Sch C'!D130</f>
        <v>0</v>
      </c>
      <c r="D129" s="573">
        <f>'[40]Sch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541"/>
      <c r="J129" s="204"/>
      <c r="K129" s="204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573">
        <f>'[40]Sch C'!D131</f>
        <v>0</v>
      </c>
      <c r="D130" s="573">
        <f>'[40]Sch C'!F131</f>
        <v>51566.644663974672</v>
      </c>
      <c r="E130" s="171">
        <f t="shared" si="35"/>
        <v>51566.644663974672</v>
      </c>
      <c r="F130" s="171"/>
      <c r="G130" s="171">
        <f>E130+F130</f>
        <v>51566.644663974672</v>
      </c>
      <c r="H130" s="172">
        <f>IF($G$208=0,0,G130/$G$208)</f>
        <v>1.4515388598698331E-2</v>
      </c>
      <c r="I130" s="541"/>
      <c r="J130" s="204"/>
      <c r="K130" s="204"/>
      <c r="M130" s="364">
        <f t="shared" si="34"/>
        <v>2.6913697632554632</v>
      </c>
      <c r="N130" s="359">
        <f>SUMMARY!J133</f>
        <v>1.0792348507966931</v>
      </c>
    </row>
    <row r="131" spans="1:14" s="167" customFormat="1">
      <c r="B131" s="163" t="s">
        <v>195</v>
      </c>
      <c r="C131" s="573">
        <f>'[40]Sch C'!D132</f>
        <v>0</v>
      </c>
      <c r="D131" s="573">
        <f>'[40]Sch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541"/>
      <c r="J131" s="168"/>
      <c r="K131" s="168"/>
      <c r="M131" s="364">
        <f t="shared" si="34"/>
        <v>0</v>
      </c>
      <c r="N131" s="359">
        <f>SUMMARY!J134</f>
        <v>8.2765628075518377E-2</v>
      </c>
    </row>
    <row r="132" spans="1:14" s="167" customFormat="1">
      <c r="B132" s="163" t="s">
        <v>196</v>
      </c>
      <c r="C132" s="573">
        <f>'[40]Sch C'!D133</f>
        <v>0</v>
      </c>
      <c r="D132" s="573">
        <f>'[40]Sch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541"/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573">
        <f>'[40]Sch C'!D134</f>
        <v>0</v>
      </c>
      <c r="D133" s="573">
        <f>'[40]Sch C'!F134</f>
        <v>0</v>
      </c>
      <c r="E133" s="171">
        <f t="shared" si="35"/>
        <v>0</v>
      </c>
      <c r="F133" s="171"/>
      <c r="G133" s="171">
        <f>E133+F133</f>
        <v>0</v>
      </c>
      <c r="H133" s="172">
        <f>IF($G$208=0,0,G133/$G$208)</f>
        <v>0</v>
      </c>
      <c r="I133" s="541"/>
      <c r="J133" s="168"/>
      <c r="K133" s="168"/>
      <c r="M133" s="364">
        <f t="shared" si="34"/>
        <v>0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541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573">
        <f>'[40]Sch C'!D136</f>
        <v>331871.48</v>
      </c>
      <c r="D135" s="573">
        <f>'[40]Sch C'!F136</f>
        <v>0</v>
      </c>
      <c r="E135" s="171">
        <f t="shared" ref="E135:E138" si="36">C135+D135</f>
        <v>331871.48</v>
      </c>
      <c r="F135" s="171"/>
      <c r="G135" s="171">
        <f>E135+F135</f>
        <v>331871.48</v>
      </c>
      <c r="H135" s="172">
        <f>IF($G$208=0,0,G135/$G$208)</f>
        <v>9.3417819375604019E-2</v>
      </c>
      <c r="I135" s="541"/>
      <c r="J135" s="183">
        <v>12529.2</v>
      </c>
      <c r="K135" s="183">
        <v>13619.03</v>
      </c>
      <c r="M135" s="364">
        <f t="shared" si="34"/>
        <v>17.321058455114823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573">
        <f>'[40]Sch C'!D137</f>
        <v>139357.22</v>
      </c>
      <c r="D136" s="573">
        <f>'[40]Sch C'!F137</f>
        <v>0</v>
      </c>
      <c r="E136" s="171">
        <f t="shared" si="36"/>
        <v>139357.22</v>
      </c>
      <c r="F136" s="171"/>
      <c r="G136" s="171">
        <f>E136+F136</f>
        <v>139357.22</v>
      </c>
      <c r="H136" s="172">
        <f>IF($G$208=0,0,G136/$G$208)</f>
        <v>3.9227376834690082E-2</v>
      </c>
      <c r="I136" s="541"/>
      <c r="J136" s="183">
        <v>6753</v>
      </c>
      <c r="K136" s="183">
        <v>7292.48</v>
      </c>
      <c r="M136" s="364">
        <f t="shared" si="34"/>
        <v>7.2733413361169106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573">
        <f>'[40]Sch C'!D138</f>
        <v>425421.97</v>
      </c>
      <c r="D137" s="573">
        <f>'[40]Sch C'!F138</f>
        <v>0</v>
      </c>
      <c r="E137" s="171">
        <f t="shared" si="36"/>
        <v>425421.97</v>
      </c>
      <c r="F137" s="171"/>
      <c r="G137" s="171">
        <f>E137+F137</f>
        <v>425421.97</v>
      </c>
      <c r="H137" s="172">
        <f>IF($G$208=0,0,G137/$G$208)</f>
        <v>0.11975115412711461</v>
      </c>
      <c r="I137" s="541"/>
      <c r="J137" s="183">
        <v>39891.660000000003</v>
      </c>
      <c r="K137" s="183">
        <v>42754.83</v>
      </c>
      <c r="M137" s="364">
        <f t="shared" si="34"/>
        <v>22.203651878914403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573">
        <f>'[40]Sch C'!D139</f>
        <v>0</v>
      </c>
      <c r="D138" s="573">
        <f>'[40]Sch C'!F139</f>
        <v>0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541"/>
      <c r="J138" s="183">
        <v>0</v>
      </c>
      <c r="K138" s="183">
        <v>0</v>
      </c>
      <c r="M138" s="364">
        <f t="shared" si="34"/>
        <v>0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541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573">
        <f>'[40]Sch C'!D141</f>
        <v>0</v>
      </c>
      <c r="D140" s="573">
        <f>'[40]Sch C'!F141</f>
        <v>126627.31059263508</v>
      </c>
      <c r="E140" s="171">
        <f t="shared" ref="E140:E143" si="37">C140+D140</f>
        <v>126627.31059263508</v>
      </c>
      <c r="F140" s="171"/>
      <c r="G140" s="171">
        <f>E140+F140</f>
        <v>126627.31059263508</v>
      </c>
      <c r="H140" s="172">
        <f>IF($G$208=0,0,G140/$G$208)</f>
        <v>3.5644060854404525E-2</v>
      </c>
      <c r="I140" s="541"/>
      <c r="J140" s="168"/>
      <c r="K140" s="168"/>
      <c r="M140" s="364">
        <f t="shared" si="34"/>
        <v>6.608941053895359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573">
        <f>'[40]Sch C'!D142</f>
        <v>0</v>
      </c>
      <c r="D141" s="573">
        <f>'[40]Sch C'!F142</f>
        <v>53172.481046778041</v>
      </c>
      <c r="E141" s="171">
        <f t="shared" si="37"/>
        <v>53172.481046778041</v>
      </c>
      <c r="F141" s="171"/>
      <c r="G141" s="171">
        <f>E141+F141</f>
        <v>53172.481046778041</v>
      </c>
      <c r="H141" s="172">
        <f>IF($G$208=0,0,G141/$G$208)</f>
        <v>1.4967412174678703E-2</v>
      </c>
      <c r="I141" s="541"/>
      <c r="J141" s="168"/>
      <c r="K141" s="168"/>
      <c r="M141" s="364">
        <f t="shared" si="34"/>
        <v>2.7751816830259939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573">
        <f>'[40]Sch C'!D143</f>
        <v>0</v>
      </c>
      <c r="D142" s="573">
        <f>'[40]Sch C'!F143</f>
        <v>162321.99262232683</v>
      </c>
      <c r="E142" s="171">
        <f t="shared" si="37"/>
        <v>162321.99262232683</v>
      </c>
      <c r="F142" s="171"/>
      <c r="G142" s="171">
        <f>E142+F142</f>
        <v>162321.99262232683</v>
      </c>
      <c r="H142" s="172">
        <f>IF($G$208=0,0,G142/$G$208)</f>
        <v>4.5691683381412156E-2</v>
      </c>
      <c r="I142" s="541"/>
      <c r="J142" s="168"/>
      <c r="K142" s="168"/>
      <c r="M142" s="364">
        <f t="shared" si="34"/>
        <v>8.4719202830024436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573">
        <f>'[40]Sch C'!D144</f>
        <v>0</v>
      </c>
      <c r="D143" s="573">
        <f>'[40]Sch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541"/>
      <c r="J143" s="168"/>
      <c r="K143" s="168"/>
      <c r="M143" s="364">
        <f t="shared" si="34"/>
        <v>0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541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573">
        <f>'[40]Sch C'!D146</f>
        <v>12000</v>
      </c>
      <c r="D145" s="573">
        <f>'[40]Sch C'!F146</f>
        <v>0</v>
      </c>
      <c r="E145" s="171">
        <f t="shared" ref="E145:E153" si="38">C145+D145</f>
        <v>12000</v>
      </c>
      <c r="F145" s="171"/>
      <c r="G145" s="171">
        <f t="shared" ref="G145:G153" si="39">E145+F145</f>
        <v>12000</v>
      </c>
      <c r="H145" s="172">
        <f t="shared" ref="H145:H153" si="40">IF($G$208=0,0,G145/$G$208)</f>
        <v>3.3778552845434274E-3</v>
      </c>
      <c r="I145" s="541"/>
      <c r="J145" s="183">
        <v>0</v>
      </c>
      <c r="K145" s="183">
        <v>0</v>
      </c>
      <c r="M145" s="364">
        <f t="shared" si="34"/>
        <v>0.62630480167014613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573">
        <f>'[40]Sch C'!D147</f>
        <v>0</v>
      </c>
      <c r="D146" s="573">
        <f>'[40]Sch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541"/>
      <c r="J146" s="183">
        <v>0</v>
      </c>
      <c r="K146" s="183">
        <v>0</v>
      </c>
      <c r="M146" s="364">
        <f t="shared" si="34"/>
        <v>0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573">
        <f>'[40]Sch C'!D148</f>
        <v>0</v>
      </c>
      <c r="D147" s="573">
        <f>'[40]Sch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541"/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573">
        <f>'[40]Sch C'!D149</f>
        <v>0</v>
      </c>
      <c r="D148" s="573">
        <f>'[40]Sch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541"/>
      <c r="J148" s="183">
        <v>0</v>
      </c>
      <c r="K148" s="183">
        <v>0</v>
      </c>
      <c r="M148" s="364">
        <f t="shared" si="34"/>
        <v>0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573">
        <f>'[40]Sch C'!D150</f>
        <v>13343.67</v>
      </c>
      <c r="D149" s="573">
        <f>'[40]Sch C'!F150</f>
        <v>0</v>
      </c>
      <c r="E149" s="171">
        <f t="shared" si="38"/>
        <v>13343.67</v>
      </c>
      <c r="F149" s="171"/>
      <c r="G149" s="171">
        <f t="shared" si="39"/>
        <v>13343.67</v>
      </c>
      <c r="H149" s="172">
        <f t="shared" si="40"/>
        <v>3.7560821853919661E-3</v>
      </c>
      <c r="I149" s="541"/>
      <c r="J149" s="183">
        <v>0</v>
      </c>
      <c r="K149" s="183">
        <v>0</v>
      </c>
      <c r="M149" s="364">
        <f t="shared" si="34"/>
        <v>0.69643371607515658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573">
        <f>'[40]Sch C'!D151</f>
        <v>84877.27</v>
      </c>
      <c r="D150" s="573">
        <f>'[40]Sch C'!F151</f>
        <v>0</v>
      </c>
      <c r="E150" s="171">
        <f t="shared" si="38"/>
        <v>84877.27</v>
      </c>
      <c r="F150" s="171"/>
      <c r="G150" s="171">
        <f t="shared" si="39"/>
        <v>84877.27</v>
      </c>
      <c r="H150" s="172">
        <f t="shared" si="40"/>
        <v>2.3891927917259942E-2</v>
      </c>
      <c r="I150" s="540"/>
      <c r="J150" s="168"/>
      <c r="K150" s="168"/>
      <c r="M150" s="364">
        <f t="shared" si="34"/>
        <v>4.4299201461377873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573">
        <f>'[40]Sch C'!D152</f>
        <v>704.17</v>
      </c>
      <c r="D151" s="573">
        <f>'[40]Sch C'!F152</f>
        <v>0</v>
      </c>
      <c r="E151" s="171">
        <f t="shared" si="38"/>
        <v>704.17</v>
      </c>
      <c r="F151" s="171"/>
      <c r="G151" s="171">
        <f t="shared" si="39"/>
        <v>704.17</v>
      </c>
      <c r="H151" s="172">
        <f t="shared" si="40"/>
        <v>1.982153629764121E-4</v>
      </c>
      <c r="I151" s="541"/>
      <c r="J151" s="168"/>
      <c r="K151" s="168"/>
      <c r="M151" s="364">
        <f t="shared" si="34"/>
        <v>3.6752087682672234E-2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573">
        <f>'[40]Sch C'!D153</f>
        <v>3011.98</v>
      </c>
      <c r="D152" s="573">
        <f>'[40]Sch C'!F153</f>
        <v>0</v>
      </c>
      <c r="E152" s="171">
        <f t="shared" si="38"/>
        <v>3011.98</v>
      </c>
      <c r="F152" s="171"/>
      <c r="G152" s="171">
        <f t="shared" si="39"/>
        <v>3011.98</v>
      </c>
      <c r="H152" s="172">
        <f t="shared" si="40"/>
        <v>8.478360466615927E-4</v>
      </c>
      <c r="I152" s="541"/>
      <c r="J152" s="168"/>
      <c r="K152" s="168"/>
      <c r="M152" s="364">
        <f t="shared" si="34"/>
        <v>0.15720146137787055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573">
        <f>'[40]Sch C'!D154</f>
        <v>0</v>
      </c>
      <c r="D153" s="573">
        <f>'[40]Sch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541"/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210"/>
      <c r="G154" s="210"/>
      <c r="H154" s="211"/>
      <c r="I154" s="541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573">
        <f>'[40]Sch C'!D156</f>
        <v>0</v>
      </c>
      <c r="D155" s="573">
        <f>'[40]Sch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541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573">
        <f>'[40]Sch C'!D157</f>
        <v>0</v>
      </c>
      <c r="D156" s="573">
        <f>'[40]Sch C'!F157</f>
        <v>4710.21</v>
      </c>
      <c r="E156" s="171">
        <f t="shared" si="41"/>
        <v>4710.21</v>
      </c>
      <c r="F156" s="171"/>
      <c r="G156" s="171">
        <f t="shared" si="42"/>
        <v>4710.21</v>
      </c>
      <c r="H156" s="172">
        <f t="shared" si="43"/>
        <v>1.3258673116507747E-3</v>
      </c>
      <c r="I156" s="541"/>
      <c r="J156" s="168"/>
      <c r="K156" s="168"/>
      <c r="M156" s="364">
        <f t="shared" si="34"/>
        <v>0.24583559498956159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573">
        <f>'[40]Sch C'!D158</f>
        <v>0</v>
      </c>
      <c r="D157" s="573">
        <f>'[40]Sch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541"/>
      <c r="J157" s="168"/>
      <c r="K157" s="168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573">
        <f>'[40]Sch C'!D159</f>
        <v>0</v>
      </c>
      <c r="D158" s="573">
        <f>'[40]Sch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541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573">
        <f>'[40]Sch C'!D160</f>
        <v>0</v>
      </c>
      <c r="D159" s="573">
        <f>'[40]Sch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541"/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573">
        <f>'[40]Sch C'!D161</f>
        <v>0</v>
      </c>
      <c r="D160" s="573">
        <f>'[40]Sch C'!F161</f>
        <v>0</v>
      </c>
      <c r="E160" s="171">
        <f t="shared" si="41"/>
        <v>0</v>
      </c>
      <c r="F160" s="171"/>
      <c r="G160" s="171">
        <f t="shared" si="42"/>
        <v>0</v>
      </c>
      <c r="H160" s="172">
        <f t="shared" si="43"/>
        <v>0</v>
      </c>
      <c r="I160" s="541"/>
      <c r="J160" s="168"/>
      <c r="K160" s="168"/>
      <c r="M160" s="364">
        <f t="shared" si="34"/>
        <v>0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573">
        <f>SUM(C123:C160)</f>
        <v>1145736.3199999998</v>
      </c>
      <c r="D161" s="573">
        <f>SUM(D123:D160)</f>
        <v>398398.63892571465</v>
      </c>
      <c r="E161" s="171">
        <f t="shared" ref="E161" si="44">SUM(E123:E160)</f>
        <v>1544134.9589257145</v>
      </c>
      <c r="F161" s="171">
        <f>SUM(F123:F160)</f>
        <v>0</v>
      </c>
      <c r="G161" s="171">
        <f>SUM(G123:G160)</f>
        <v>1544134.9589257145</v>
      </c>
      <c r="H161" s="172">
        <f t="shared" si="43"/>
        <v>0.43465536925462273</v>
      </c>
      <c r="I161" s="541"/>
      <c r="J161" s="168"/>
      <c r="K161" s="168"/>
      <c r="M161" s="364">
        <f>G161/G$228</f>
        <v>80.591594933492402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541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541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573">
        <f>'[40]Sch C'!D175</f>
        <v>0</v>
      </c>
      <c r="D164" s="573">
        <f>'[40]Sch C'!F175</f>
        <v>0</v>
      </c>
      <c r="E164" s="171">
        <f t="shared" ref="E164:E196" si="45">C164+D164</f>
        <v>0</v>
      </c>
      <c r="F164" s="665"/>
      <c r="G164" s="171">
        <f t="shared" ref="G164:G196" si="46">E164+F164</f>
        <v>0</v>
      </c>
      <c r="H164" s="172">
        <f t="shared" ref="H164:H196" si="47">IF($G$208=0,0,G164/$G$208)</f>
        <v>0</v>
      </c>
      <c r="I164" s="553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573">
        <f>'[40]Sch C'!D176</f>
        <v>0</v>
      </c>
      <c r="D165" s="573">
        <f>'[40]Sch C'!F176</f>
        <v>0</v>
      </c>
      <c r="E165" s="171">
        <f t="shared" si="45"/>
        <v>0</v>
      </c>
      <c r="F165" s="665"/>
      <c r="G165" s="171">
        <f t="shared" si="46"/>
        <v>0</v>
      </c>
      <c r="H165" s="172">
        <f t="shared" si="47"/>
        <v>0</v>
      </c>
      <c r="I165" s="554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573">
        <f>'[40]Sch C'!D177</f>
        <v>0</v>
      </c>
      <c r="D166" s="573">
        <f>'[40]Sch C'!F177</f>
        <v>0</v>
      </c>
      <c r="E166" s="171">
        <f t="shared" si="45"/>
        <v>0</v>
      </c>
      <c r="F166" s="665"/>
      <c r="G166" s="171">
        <f t="shared" si="46"/>
        <v>0</v>
      </c>
      <c r="H166" s="172">
        <f t="shared" si="47"/>
        <v>0</v>
      </c>
      <c r="I166" s="553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573">
        <f>'[40]Sch C'!D178</f>
        <v>0</v>
      </c>
      <c r="D167" s="573">
        <f>'[40]Sch C'!F178</f>
        <v>0</v>
      </c>
      <c r="E167" s="171">
        <f t="shared" si="45"/>
        <v>0</v>
      </c>
      <c r="F167" s="665"/>
      <c r="G167" s="171">
        <f t="shared" si="46"/>
        <v>0</v>
      </c>
      <c r="H167" s="172">
        <f t="shared" si="47"/>
        <v>0</v>
      </c>
      <c r="I167" s="554"/>
      <c r="J167" s="222"/>
      <c r="K167" s="222"/>
      <c r="L167" s="218"/>
      <c r="M167" s="364">
        <f t="shared" si="48"/>
        <v>0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573">
        <f>'[40]Sch C'!D179</f>
        <v>0</v>
      </c>
      <c r="D168" s="573">
        <f>'[40]Sch C'!F179</f>
        <v>0</v>
      </c>
      <c r="E168" s="171">
        <f t="shared" si="45"/>
        <v>0</v>
      </c>
      <c r="F168" s="665"/>
      <c r="G168" s="171">
        <f t="shared" si="46"/>
        <v>0</v>
      </c>
      <c r="H168" s="172">
        <f t="shared" si="47"/>
        <v>0</v>
      </c>
      <c r="I168" s="553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573">
        <f>'[40]Sch C'!D180</f>
        <v>0</v>
      </c>
      <c r="D169" s="573">
        <f>'[40]Sch C'!F180</f>
        <v>0</v>
      </c>
      <c r="E169" s="171">
        <f t="shared" si="45"/>
        <v>0</v>
      </c>
      <c r="F169" s="665"/>
      <c r="G169" s="171">
        <f t="shared" si="46"/>
        <v>0</v>
      </c>
      <c r="H169" s="172">
        <f t="shared" si="47"/>
        <v>0</v>
      </c>
      <c r="I169" s="554"/>
      <c r="J169" s="222"/>
      <c r="K169" s="222"/>
      <c r="L169" s="218"/>
      <c r="M169" s="364">
        <f t="shared" si="48"/>
        <v>0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573">
        <f>'[40]Sch C'!D181</f>
        <v>0</v>
      </c>
      <c r="D170" s="573">
        <f>'[40]Sch C'!F181</f>
        <v>0</v>
      </c>
      <c r="E170" s="171">
        <f t="shared" si="45"/>
        <v>0</v>
      </c>
      <c r="F170" s="665"/>
      <c r="G170" s="171">
        <f t="shared" si="46"/>
        <v>0</v>
      </c>
      <c r="H170" s="172">
        <f t="shared" si="47"/>
        <v>0</v>
      </c>
      <c r="I170" s="553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573">
        <f>'[40]Sch C'!D182</f>
        <v>0</v>
      </c>
      <c r="D171" s="573">
        <f>'[40]Sch C'!F182</f>
        <v>0</v>
      </c>
      <c r="E171" s="171">
        <f t="shared" si="45"/>
        <v>0</v>
      </c>
      <c r="F171" s="665"/>
      <c r="G171" s="171">
        <f t="shared" si="46"/>
        <v>0</v>
      </c>
      <c r="H171" s="172">
        <f t="shared" si="47"/>
        <v>0</v>
      </c>
      <c r="I171" s="554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573">
        <f>'[40]Sch C'!D183</f>
        <v>0</v>
      </c>
      <c r="D172" s="573">
        <f>'[40]Sch C'!F183</f>
        <v>0</v>
      </c>
      <c r="E172" s="171">
        <f t="shared" si="45"/>
        <v>0</v>
      </c>
      <c r="F172" s="665"/>
      <c r="G172" s="171">
        <f t="shared" si="46"/>
        <v>0</v>
      </c>
      <c r="H172" s="172">
        <f t="shared" si="47"/>
        <v>0</v>
      </c>
      <c r="I172" s="553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573">
        <f>'[40]Sch C'!D184</f>
        <v>0</v>
      </c>
      <c r="D173" s="573">
        <f>'[40]Sch C'!F184</f>
        <v>0</v>
      </c>
      <c r="E173" s="171">
        <f t="shared" si="45"/>
        <v>0</v>
      </c>
      <c r="F173" s="665"/>
      <c r="G173" s="171">
        <f t="shared" si="46"/>
        <v>0</v>
      </c>
      <c r="H173" s="172">
        <f t="shared" si="47"/>
        <v>0</v>
      </c>
      <c r="I173" s="554"/>
      <c r="J173" s="222"/>
      <c r="K173" s="222"/>
      <c r="L173" s="218"/>
      <c r="M173" s="364">
        <f t="shared" si="48"/>
        <v>0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573">
        <f>'[40]Sch C'!D185</f>
        <v>0</v>
      </c>
      <c r="D174" s="573">
        <f>'[40]Sch C'!F185</f>
        <v>0</v>
      </c>
      <c r="E174" s="171">
        <f t="shared" si="45"/>
        <v>0</v>
      </c>
      <c r="F174" s="665"/>
      <c r="G174" s="171">
        <f t="shared" si="46"/>
        <v>0</v>
      </c>
      <c r="H174" s="172">
        <f t="shared" si="47"/>
        <v>0</v>
      </c>
      <c r="I174" s="553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573">
        <f>'[40]Sch C'!D186</f>
        <v>0</v>
      </c>
      <c r="D175" s="573">
        <f>'[40]Sch C'!F186</f>
        <v>0</v>
      </c>
      <c r="E175" s="171">
        <f t="shared" si="45"/>
        <v>0</v>
      </c>
      <c r="F175" s="665"/>
      <c r="G175" s="171">
        <f t="shared" si="46"/>
        <v>0</v>
      </c>
      <c r="H175" s="172">
        <f t="shared" si="47"/>
        <v>0</v>
      </c>
      <c r="I175" s="541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573">
        <f>'[40]Sch C'!D187</f>
        <v>0</v>
      </c>
      <c r="D176" s="573">
        <f>'[40]Sch C'!F187</f>
        <v>0</v>
      </c>
      <c r="E176" s="171">
        <f t="shared" si="45"/>
        <v>0</v>
      </c>
      <c r="F176" s="665"/>
      <c r="G176" s="171">
        <f t="shared" si="46"/>
        <v>0</v>
      </c>
      <c r="H176" s="172">
        <f t="shared" si="47"/>
        <v>0</v>
      </c>
      <c r="I176" s="541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573">
        <f>'[40]Sch C'!D188</f>
        <v>0</v>
      </c>
      <c r="D177" s="573">
        <f>'[40]Sch C'!F188</f>
        <v>0</v>
      </c>
      <c r="E177" s="171">
        <f t="shared" si="45"/>
        <v>0</v>
      </c>
      <c r="F177" s="665"/>
      <c r="G177" s="171">
        <f t="shared" si="46"/>
        <v>0</v>
      </c>
      <c r="H177" s="172">
        <f t="shared" si="47"/>
        <v>0</v>
      </c>
      <c r="I177" s="541"/>
      <c r="J177" s="223"/>
      <c r="K177" s="218"/>
      <c r="L177" s="220"/>
      <c r="M177" s="364">
        <f t="shared" si="48"/>
        <v>0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573">
        <f>'[40]Sch C'!D189</f>
        <v>0</v>
      </c>
      <c r="D178" s="573">
        <f>'[40]Sch C'!F189</f>
        <v>0</v>
      </c>
      <c r="E178" s="171">
        <f t="shared" si="45"/>
        <v>0</v>
      </c>
      <c r="F178" s="665"/>
      <c r="G178" s="171">
        <f t="shared" si="46"/>
        <v>0</v>
      </c>
      <c r="H178" s="172">
        <f t="shared" si="47"/>
        <v>0</v>
      </c>
      <c r="I178" s="541"/>
      <c r="J178" s="223"/>
      <c r="K178" s="218"/>
      <c r="L178" s="220"/>
      <c r="M178" s="364">
        <f t="shared" si="48"/>
        <v>0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573">
        <f>'[40]Sch C'!D190</f>
        <v>0</v>
      </c>
      <c r="D179" s="573">
        <f>'[40]Sch C'!F190</f>
        <v>0</v>
      </c>
      <c r="E179" s="171">
        <f t="shared" si="45"/>
        <v>0</v>
      </c>
      <c r="F179" s="665"/>
      <c r="G179" s="171">
        <f t="shared" si="46"/>
        <v>0</v>
      </c>
      <c r="H179" s="172">
        <f t="shared" si="47"/>
        <v>0</v>
      </c>
      <c r="I179" s="541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573">
        <f>'[40]Sch C'!D191</f>
        <v>0</v>
      </c>
      <c r="D180" s="573">
        <f>'[40]Sch C'!F191</f>
        <v>0</v>
      </c>
      <c r="E180" s="171">
        <f t="shared" si="45"/>
        <v>0</v>
      </c>
      <c r="F180" s="665"/>
      <c r="G180" s="171">
        <f t="shared" si="46"/>
        <v>0</v>
      </c>
      <c r="H180" s="172">
        <f t="shared" si="47"/>
        <v>0</v>
      </c>
      <c r="I180" s="541"/>
      <c r="J180" s="223"/>
      <c r="K180" s="218"/>
      <c r="L180" s="220"/>
      <c r="M180" s="364">
        <f t="shared" si="48"/>
        <v>0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573">
        <f>'[40]Sch C'!D192</f>
        <v>0</v>
      </c>
      <c r="D181" s="573">
        <f>'[40]Sch C'!F192</f>
        <v>0</v>
      </c>
      <c r="E181" s="171">
        <f t="shared" si="45"/>
        <v>0</v>
      </c>
      <c r="F181" s="665"/>
      <c r="G181" s="171">
        <f t="shared" si="46"/>
        <v>0</v>
      </c>
      <c r="H181" s="172">
        <f t="shared" si="47"/>
        <v>0</v>
      </c>
      <c r="I181" s="541"/>
      <c r="J181" s="223"/>
      <c r="K181" s="218"/>
      <c r="L181" s="220"/>
      <c r="M181" s="364">
        <f t="shared" si="48"/>
        <v>0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573">
        <f>'[40]Sch C'!D193</f>
        <v>1235.23</v>
      </c>
      <c r="D182" s="573">
        <f>'[40]Sch C'!F193</f>
        <v>0</v>
      </c>
      <c r="E182" s="171">
        <f t="shared" si="45"/>
        <v>1235.23</v>
      </c>
      <c r="F182" s="665"/>
      <c r="G182" s="171">
        <f t="shared" si="46"/>
        <v>1235.23</v>
      </c>
      <c r="H182" s="172">
        <f t="shared" si="47"/>
        <v>3.4770234859388149E-4</v>
      </c>
      <c r="I182" s="541"/>
      <c r="J182" s="223"/>
      <c r="K182" s="218"/>
      <c r="L182" s="220"/>
      <c r="M182" s="364">
        <f t="shared" si="48"/>
        <v>6.4469206680584548E-2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573">
        <f>'[40]Sch C'!D194</f>
        <v>115820</v>
      </c>
      <c r="D183" s="573">
        <f>'[40]Sch C'!F194</f>
        <v>0</v>
      </c>
      <c r="E183" s="171">
        <f t="shared" si="45"/>
        <v>115820</v>
      </c>
      <c r="F183" s="665"/>
      <c r="G183" s="171">
        <f t="shared" si="46"/>
        <v>115820</v>
      </c>
      <c r="H183" s="172">
        <f t="shared" si="47"/>
        <v>3.2601933254651647E-2</v>
      </c>
      <c r="I183" s="541"/>
      <c r="J183" s="223"/>
      <c r="K183" s="218"/>
      <c r="M183" s="364">
        <f t="shared" si="48"/>
        <v>6.0448851774530272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573">
        <f>'[40]Sch C'!D195</f>
        <v>210</v>
      </c>
      <c r="D184" s="573">
        <f>'[40]Sch C'!F195</f>
        <v>0</v>
      </c>
      <c r="E184" s="171">
        <f t="shared" si="45"/>
        <v>210</v>
      </c>
      <c r="F184" s="665"/>
      <c r="G184" s="171">
        <f t="shared" si="46"/>
        <v>210</v>
      </c>
      <c r="H184" s="172">
        <f t="shared" si="47"/>
        <v>5.9112467479509976E-5</v>
      </c>
      <c r="I184" s="541"/>
      <c r="J184" s="223"/>
      <c r="K184" s="218"/>
      <c r="M184" s="364">
        <f t="shared" si="48"/>
        <v>1.0960334029227558E-2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573">
        <f>'[40]Sch C'!D196</f>
        <v>0</v>
      </c>
      <c r="D185" s="573">
        <f>'[40]Sch C'!F196</f>
        <v>0</v>
      </c>
      <c r="E185" s="171">
        <f t="shared" si="45"/>
        <v>0</v>
      </c>
      <c r="F185" s="665"/>
      <c r="G185" s="171">
        <f t="shared" si="46"/>
        <v>0</v>
      </c>
      <c r="H185" s="172">
        <f t="shared" si="47"/>
        <v>0</v>
      </c>
      <c r="I185" s="541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573">
        <f>'[40]Sch C'!D197</f>
        <v>0</v>
      </c>
      <c r="D186" s="573">
        <f>'[40]Sch C'!F197</f>
        <v>0</v>
      </c>
      <c r="E186" s="171">
        <f t="shared" si="45"/>
        <v>0</v>
      </c>
      <c r="F186" s="665"/>
      <c r="G186" s="171">
        <f t="shared" si="46"/>
        <v>0</v>
      </c>
      <c r="H186" s="172">
        <f t="shared" si="47"/>
        <v>0</v>
      </c>
      <c r="I186" s="541"/>
      <c r="J186" s="223"/>
      <c r="K186" s="218"/>
      <c r="M186" s="364">
        <f t="shared" si="48"/>
        <v>0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573">
        <f>'[40]Sch C'!D198</f>
        <v>17258.490000000002</v>
      </c>
      <c r="D187" s="573">
        <f>'[40]Sch C'!F198</f>
        <v>0</v>
      </c>
      <c r="E187" s="171">
        <f t="shared" si="45"/>
        <v>17258.490000000002</v>
      </c>
      <c r="F187" s="665"/>
      <c r="G187" s="171">
        <f t="shared" si="46"/>
        <v>17258.490000000002</v>
      </c>
      <c r="H187" s="172">
        <f t="shared" si="47"/>
        <v>4.8580568041449914E-3</v>
      </c>
      <c r="I187" s="541"/>
      <c r="J187" s="223"/>
      <c r="K187" s="218"/>
      <c r="M187" s="364">
        <f t="shared" si="48"/>
        <v>0.90075626304801681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573">
        <f>'[40]Sch C'!D199</f>
        <v>0</v>
      </c>
      <c r="D188" s="573">
        <f>'[40]Sch C'!F199</f>
        <v>0</v>
      </c>
      <c r="E188" s="171">
        <f t="shared" si="45"/>
        <v>0</v>
      </c>
      <c r="F188" s="665"/>
      <c r="G188" s="171">
        <f t="shared" si="46"/>
        <v>0</v>
      </c>
      <c r="H188" s="172">
        <f t="shared" si="47"/>
        <v>0</v>
      </c>
      <c r="I188" s="541"/>
      <c r="J188" s="223"/>
      <c r="K188" s="218"/>
      <c r="M188" s="364">
        <f t="shared" si="48"/>
        <v>0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573">
        <f>'[40]Sch C'!D200</f>
        <v>0</v>
      </c>
      <c r="D189" s="573">
        <f>'[40]Sch C'!F200</f>
        <v>0</v>
      </c>
      <c r="E189" s="171">
        <f t="shared" si="45"/>
        <v>0</v>
      </c>
      <c r="F189" s="665"/>
      <c r="G189" s="171">
        <f t="shared" si="46"/>
        <v>0</v>
      </c>
      <c r="H189" s="172">
        <f t="shared" si="47"/>
        <v>0</v>
      </c>
      <c r="I189" s="541"/>
      <c r="J189" s="223"/>
      <c r="K189" s="218"/>
      <c r="M189" s="364">
        <f t="shared" si="48"/>
        <v>0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573">
        <f>'[40]Sch C'!D201</f>
        <v>0</v>
      </c>
      <c r="D190" s="573">
        <f>'[40]Sch C'!F201</f>
        <v>0</v>
      </c>
      <c r="E190" s="171">
        <f t="shared" si="45"/>
        <v>0</v>
      </c>
      <c r="F190" s="665"/>
      <c r="G190" s="171">
        <f t="shared" si="46"/>
        <v>0</v>
      </c>
      <c r="H190" s="172">
        <f t="shared" si="47"/>
        <v>0</v>
      </c>
      <c r="I190" s="541"/>
      <c r="J190" s="223"/>
      <c r="K190" s="218"/>
      <c r="M190" s="364">
        <f t="shared" si="48"/>
        <v>0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573">
        <f>'[40]Sch C'!D202</f>
        <v>191.56</v>
      </c>
      <c r="D191" s="573">
        <f>'[40]Sch C'!F202</f>
        <v>0</v>
      </c>
      <c r="E191" s="171">
        <f t="shared" si="45"/>
        <v>191.56</v>
      </c>
      <c r="F191" s="665"/>
      <c r="G191" s="171">
        <f t="shared" si="46"/>
        <v>191.56</v>
      </c>
      <c r="H191" s="172">
        <f t="shared" si="47"/>
        <v>5.3921829858928246E-5</v>
      </c>
      <c r="I191" s="541"/>
      <c r="J191" s="223"/>
      <c r="K191" s="218"/>
      <c r="M191" s="364">
        <f t="shared" si="48"/>
        <v>9.9979123173277659E-3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573">
        <f>'[40]Sch C'!D203</f>
        <v>0</v>
      </c>
      <c r="D192" s="573">
        <f>'[40]Sch C'!F203</f>
        <v>0</v>
      </c>
      <c r="E192" s="171">
        <f t="shared" si="45"/>
        <v>0</v>
      </c>
      <c r="F192" s="665"/>
      <c r="G192" s="171">
        <f t="shared" si="46"/>
        <v>0</v>
      </c>
      <c r="H192" s="172">
        <f t="shared" si="47"/>
        <v>0</v>
      </c>
      <c r="I192" s="541"/>
      <c r="J192" s="223"/>
      <c r="K192" s="218"/>
      <c r="M192" s="364">
        <f t="shared" si="48"/>
        <v>0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573">
        <f>'[40]Sch C'!D204</f>
        <v>0</v>
      </c>
      <c r="D193" s="573">
        <f>'[40]Sch C'!F204</f>
        <v>0</v>
      </c>
      <c r="E193" s="171">
        <f t="shared" si="45"/>
        <v>0</v>
      </c>
      <c r="F193" s="665"/>
      <c r="G193" s="171">
        <f t="shared" si="46"/>
        <v>0</v>
      </c>
      <c r="H193" s="172">
        <f t="shared" si="47"/>
        <v>0</v>
      </c>
      <c r="I193" s="541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573">
        <f>'[40]Sch C'!D205</f>
        <v>74058.66</v>
      </c>
      <c r="D194" s="573">
        <f>'[40]Sch C'!F205</f>
        <v>0</v>
      </c>
      <c r="E194" s="171">
        <f t="shared" si="45"/>
        <v>74058.66</v>
      </c>
      <c r="F194" s="665"/>
      <c r="G194" s="171">
        <f t="shared" si="46"/>
        <v>74058.66</v>
      </c>
      <c r="H194" s="172">
        <f t="shared" si="47"/>
        <v>2.0846619670600412E-2</v>
      </c>
      <c r="I194" s="541"/>
      <c r="J194" s="223"/>
      <c r="K194" s="218"/>
      <c r="M194" s="364">
        <f t="shared" si="48"/>
        <v>3.8652745302713991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573">
        <f>'[40]Sch C'!D206</f>
        <v>0</v>
      </c>
      <c r="D195" s="573">
        <f>'[40]Sch C'!F206</f>
        <v>0</v>
      </c>
      <c r="E195" s="171">
        <f t="shared" si="45"/>
        <v>0</v>
      </c>
      <c r="F195" s="665"/>
      <c r="G195" s="171">
        <f t="shared" si="46"/>
        <v>0</v>
      </c>
      <c r="H195" s="172">
        <f t="shared" si="47"/>
        <v>0</v>
      </c>
      <c r="I195" s="541"/>
      <c r="J195" s="223"/>
      <c r="K195" s="218"/>
      <c r="M195" s="364">
        <f t="shared" si="48"/>
        <v>0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573">
        <f>'[40]Sch C'!D207</f>
        <v>1662.5</v>
      </c>
      <c r="D196" s="573">
        <f>'[40]Sch C'!F207</f>
        <v>0</v>
      </c>
      <c r="E196" s="171">
        <f t="shared" si="45"/>
        <v>1662.5</v>
      </c>
      <c r="F196" s="665"/>
      <c r="G196" s="171">
        <f t="shared" si="46"/>
        <v>1662.5</v>
      </c>
      <c r="H196" s="172">
        <f t="shared" si="47"/>
        <v>4.6797370087945398E-4</v>
      </c>
      <c r="I196" s="541"/>
      <c r="J196" s="223"/>
      <c r="K196" s="218"/>
      <c r="M196" s="364">
        <f t="shared" si="48"/>
        <v>8.6769311064718163E-2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573">
        <f>SUM(C164:C196)</f>
        <v>210436.44</v>
      </c>
      <c r="D197" s="573">
        <f>SUM(D164:D196)</f>
        <v>0</v>
      </c>
      <c r="E197" s="171">
        <f t="shared" ref="E197" si="49">SUM(E164:E196)</f>
        <v>210436.44</v>
      </c>
      <c r="F197" s="171">
        <f>SUM(F164:F196)</f>
        <v>0</v>
      </c>
      <c r="G197" s="171">
        <f>SUM(G164:G196)</f>
        <v>210436.44</v>
      </c>
      <c r="H197" s="172">
        <f>IF($G$208=0,0,G197/$G$208)</f>
        <v>5.9235320076208825E-2</v>
      </c>
      <c r="I197" s="541"/>
      <c r="J197" s="168"/>
      <c r="K197" s="168"/>
      <c r="M197" s="364">
        <f>G197/G$228</f>
        <v>10.983112734864301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165"/>
      <c r="G198" s="165"/>
      <c r="H198" s="198"/>
      <c r="I198" s="545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545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573">
        <f>'[40]Sch C'!D211</f>
        <v>69286</v>
      </c>
      <c r="D200" s="573">
        <f>'[40]Sch C'!F211</f>
        <v>0</v>
      </c>
      <c r="E200" s="171">
        <f t="shared" ref="E200:E205" si="50">C200+D200</f>
        <v>69286</v>
      </c>
      <c r="F200" s="171"/>
      <c r="G200" s="171">
        <f t="shared" ref="G200:G205" si="51">E200+F200</f>
        <v>69286</v>
      </c>
      <c r="H200" s="172">
        <f t="shared" ref="H200:H206" si="52">IF($G$208=0,0,G200/$G$208)</f>
        <v>1.9503173437072991E-2</v>
      </c>
      <c r="I200" s="541"/>
      <c r="J200" s="183">
        <v>4651.79</v>
      </c>
      <c r="K200" s="183">
        <v>4955.03</v>
      </c>
      <c r="M200" s="364">
        <f t="shared" ref="M200:M205" si="53">G200/G$228</f>
        <v>3.6161795407098123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573">
        <f>'[40]Sch C'!D212</f>
        <v>0</v>
      </c>
      <c r="D201" s="573">
        <f>'[40]Sch C'!F212</f>
        <v>26436.438110684638</v>
      </c>
      <c r="E201" s="171">
        <f t="shared" si="50"/>
        <v>26436.438110684638</v>
      </c>
      <c r="F201" s="171"/>
      <c r="G201" s="171">
        <f t="shared" si="51"/>
        <v>26436.438110684638</v>
      </c>
      <c r="H201" s="172">
        <f t="shared" si="52"/>
        <v>7.4415385147234472E-3</v>
      </c>
      <c r="I201" s="541"/>
      <c r="J201" s="168"/>
      <c r="K201" s="168"/>
      <c r="M201" s="364">
        <f t="shared" si="53"/>
        <v>1.3797723439814529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573">
        <f>'[40]Sch C'!D213</f>
        <v>11400.15</v>
      </c>
      <c r="D202" s="573">
        <f>'[40]Sch C'!F213</f>
        <v>0</v>
      </c>
      <c r="E202" s="171">
        <f t="shared" si="50"/>
        <v>11400.15</v>
      </c>
      <c r="F202" s="171"/>
      <c r="G202" s="171">
        <f t="shared" si="51"/>
        <v>11400.15</v>
      </c>
      <c r="H202" s="172">
        <f t="shared" si="52"/>
        <v>3.2090047435073127E-3</v>
      </c>
      <c r="I202" s="541"/>
      <c r="J202" s="168"/>
      <c r="K202" s="168"/>
      <c r="M202" s="364">
        <f t="shared" si="53"/>
        <v>0.59499739039665966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573">
        <f>'[40]Sch C'!D214</f>
        <v>1248.75</v>
      </c>
      <c r="D203" s="573">
        <f>'[40]Sch C'!F214</f>
        <v>0</v>
      </c>
      <c r="E203" s="171">
        <f t="shared" si="50"/>
        <v>1248.75</v>
      </c>
      <c r="F203" s="171"/>
      <c r="G203" s="171">
        <f t="shared" si="51"/>
        <v>1248.75</v>
      </c>
      <c r="H203" s="172">
        <f t="shared" si="52"/>
        <v>3.5150806554780042E-4</v>
      </c>
      <c r="I203" s="541"/>
      <c r="J203" s="168"/>
      <c r="K203" s="168"/>
      <c r="M203" s="364">
        <f t="shared" si="53"/>
        <v>6.5174843423799589E-2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573">
        <f>'[40]Sch C'!D215</f>
        <v>0</v>
      </c>
      <c r="D204" s="573">
        <f>'[40]Sch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541"/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573">
        <f>'[40]Sch C'!D216</f>
        <v>0</v>
      </c>
      <c r="D205" s="573">
        <f>'[40]Sch C'!F216</f>
        <v>0</v>
      </c>
      <c r="E205" s="171">
        <f t="shared" si="50"/>
        <v>0</v>
      </c>
      <c r="F205" s="171"/>
      <c r="G205" s="171">
        <f t="shared" si="51"/>
        <v>0</v>
      </c>
      <c r="H205" s="172">
        <f t="shared" si="52"/>
        <v>0</v>
      </c>
      <c r="I205" s="540"/>
      <c r="J205" s="168"/>
      <c r="K205" s="168"/>
      <c r="M205" s="364">
        <f t="shared" si="53"/>
        <v>0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573">
        <f>SUM(C200:C205)</f>
        <v>81934.899999999994</v>
      </c>
      <c r="D206" s="573">
        <f>SUM(D200:D205)</f>
        <v>26436.438110684638</v>
      </c>
      <c r="E206" s="171">
        <f t="shared" ref="E206" si="54">SUM(E200:E205)</f>
        <v>108371.33811068464</v>
      </c>
      <c r="F206" s="171">
        <f>SUM(F200:F205)</f>
        <v>0</v>
      </c>
      <c r="G206" s="171">
        <f>SUM(G200:G205)</f>
        <v>108371.33811068464</v>
      </c>
      <c r="H206" s="172">
        <f t="shared" si="52"/>
        <v>3.0505224760851553E-2</v>
      </c>
      <c r="I206" s="541"/>
      <c r="J206" s="168"/>
      <c r="K206" s="168"/>
      <c r="M206" s="364">
        <f>G206/G$228</f>
        <v>5.6561241185117241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165"/>
      <c r="G207" s="165"/>
      <c r="H207" s="198"/>
      <c r="I207" s="545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573">
        <f>SUM(C25:C206)/2</f>
        <v>4355444.9000000013</v>
      </c>
      <c r="D208" s="573">
        <f>SUM(D25:D206)/2</f>
        <v>-178310.83815743291</v>
      </c>
      <c r="E208" s="171">
        <f t="shared" ref="E208:F208" si="55">SUM(E25:E206)/2</f>
        <v>4177134.0618425673</v>
      </c>
      <c r="F208" s="171">
        <f t="shared" si="55"/>
        <v>-624584</v>
      </c>
      <c r="G208" s="171">
        <f>SUM(G25:G206)/2</f>
        <v>3552550.0618425687</v>
      </c>
      <c r="H208" s="172">
        <f>IF($G$208=0,0,G208/$G$208)</f>
        <v>1</v>
      </c>
      <c r="I208" s="541"/>
      <c r="J208" s="183">
        <f>SUM(J25:J200)</f>
        <v>98669.79</v>
      </c>
      <c r="K208" s="183">
        <f>SUM(K25:K200)</f>
        <v>106032.66</v>
      </c>
      <c r="M208" s="364">
        <f>G208/G$228</f>
        <v>185.41493015879794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545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545"/>
      <c r="J210" s="168"/>
      <c r="K210" s="168"/>
    </row>
    <row r="211" spans="1:14" s="167" customFormat="1" ht="15.5">
      <c r="A211" s="163"/>
      <c r="B211" s="228" t="s">
        <v>181</v>
      </c>
      <c r="C211" s="573">
        <f>'[40]Sch C'!D221</f>
        <v>4355444.9000000004</v>
      </c>
      <c r="D211" s="196"/>
      <c r="E211" s="165"/>
      <c r="F211"/>
      <c r="G211"/>
      <c r="I211" s="545"/>
      <c r="J211" s="168"/>
      <c r="K211" s="168"/>
    </row>
    <row r="212" spans="1:14" s="167" customFormat="1" ht="15.5">
      <c r="A212" s="163"/>
      <c r="B212" s="170" t="s">
        <v>147</v>
      </c>
      <c r="C212" s="573">
        <f>C208-C211</f>
        <v>0</v>
      </c>
      <c r="D212" s="229"/>
      <c r="E212" s="165"/>
      <c r="F212"/>
      <c r="G212"/>
      <c r="I212" s="545"/>
      <c r="J212" s="168"/>
      <c r="K212" s="168"/>
    </row>
    <row r="213" spans="1:14" s="167" customFormat="1">
      <c r="A213" s="163"/>
      <c r="B213" s="230"/>
      <c r="C213" s="619"/>
      <c r="D213" s="232"/>
      <c r="E213" s="232"/>
      <c r="F213" s="232"/>
      <c r="G213" s="232"/>
      <c r="H213" s="166"/>
      <c r="I213" s="548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545"/>
      <c r="J214" s="168"/>
      <c r="K214" s="168"/>
    </row>
    <row r="215" spans="1:14" s="167" customFormat="1">
      <c r="A215" s="163"/>
      <c r="B215" s="228" t="s">
        <v>78</v>
      </c>
      <c r="C215" s="573">
        <f>C21-C208</f>
        <v>910359.0299999984</v>
      </c>
      <c r="D215" s="573">
        <f>D21-D208</f>
        <v>183021.0481574329</v>
      </c>
      <c r="E215" s="171">
        <f t="shared" ref="E215:F215" si="56">E21-E208</f>
        <v>1093380.0781574324</v>
      </c>
      <c r="F215" s="171">
        <f t="shared" si="56"/>
        <v>624584</v>
      </c>
      <c r="G215" s="171">
        <f>G21-G208</f>
        <v>1717964.07815743</v>
      </c>
      <c r="I215" s="545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545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545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548"/>
      <c r="J218" s="168"/>
      <c r="K218" s="168"/>
    </row>
    <row r="219" spans="1:14">
      <c r="A219" s="163"/>
      <c r="B219" s="170" t="s">
        <v>218</v>
      </c>
      <c r="C219" s="653">
        <f>'[40]Sch D'!C9</f>
        <v>9548</v>
      </c>
      <c r="D219" s="653"/>
      <c r="E219" s="235">
        <f t="shared" ref="E219:G227" si="57">C219+D219</f>
        <v>9548</v>
      </c>
      <c r="F219" s="234"/>
      <c r="G219" s="235">
        <f t="shared" si="57"/>
        <v>9548</v>
      </c>
      <c r="H219" s="172">
        <f t="shared" ref="H219:H228" si="58">IF($G$228=0,0,G219/$G$228)</f>
        <v>0.49832985386221296</v>
      </c>
      <c r="I219" s="541"/>
      <c r="J219" s="168"/>
      <c r="K219" s="168"/>
    </row>
    <row r="220" spans="1:14">
      <c r="A220" s="163"/>
      <c r="B220" s="170" t="s">
        <v>217</v>
      </c>
      <c r="C220" s="653">
        <f>'[40]Sch D'!D9</f>
        <v>0</v>
      </c>
      <c r="D220" s="653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541"/>
      <c r="J220" s="168"/>
      <c r="K220" s="168"/>
    </row>
    <row r="221" spans="1:14">
      <c r="A221" s="163"/>
      <c r="B221" s="170" t="s">
        <v>72</v>
      </c>
      <c r="C221" s="653">
        <f>'[40]Sch D'!E9</f>
        <v>1594</v>
      </c>
      <c r="D221" s="653"/>
      <c r="E221" s="235">
        <f t="shared" si="59"/>
        <v>1594</v>
      </c>
      <c r="F221" s="234"/>
      <c r="G221" s="235">
        <f t="shared" si="57"/>
        <v>1594</v>
      </c>
      <c r="H221" s="172">
        <f t="shared" si="58"/>
        <v>8.3194154488517746E-2</v>
      </c>
      <c r="I221" s="541"/>
      <c r="J221" s="168"/>
      <c r="K221" s="168"/>
    </row>
    <row r="222" spans="1:14">
      <c r="A222" s="163"/>
      <c r="B222" s="202" t="s">
        <v>334</v>
      </c>
      <c r="C222" s="653">
        <f>'[40]Sch D'!F9</f>
        <v>0</v>
      </c>
      <c r="D222" s="653"/>
      <c r="E222" s="235">
        <f>C222+D222</f>
        <v>0</v>
      </c>
      <c r="F222" s="234"/>
      <c r="G222" s="235">
        <f>E222+F222</f>
        <v>0</v>
      </c>
      <c r="H222" s="172">
        <f t="shared" si="58"/>
        <v>0</v>
      </c>
      <c r="I222" s="541"/>
      <c r="J222" s="168"/>
      <c r="K222" s="168"/>
    </row>
    <row r="223" spans="1:14">
      <c r="A223" s="163"/>
      <c r="B223" s="170" t="s">
        <v>73</v>
      </c>
      <c r="C223" s="653">
        <f>'[40]Sch D'!G9</f>
        <v>0</v>
      </c>
      <c r="D223" s="653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541"/>
      <c r="J223" s="168"/>
      <c r="K223" s="168"/>
    </row>
    <row r="224" spans="1:14">
      <c r="A224" s="163"/>
      <c r="B224" s="170" t="s">
        <v>74</v>
      </c>
      <c r="C224" s="653">
        <f>'[40]Sch D'!H9</f>
        <v>7781</v>
      </c>
      <c r="D224" s="653"/>
      <c r="E224" s="235">
        <f t="shared" si="59"/>
        <v>7781</v>
      </c>
      <c r="F224" s="234"/>
      <c r="G224" s="235">
        <f t="shared" si="57"/>
        <v>7781</v>
      </c>
      <c r="H224" s="172">
        <f t="shared" si="58"/>
        <v>0.4061064718162839</v>
      </c>
      <c r="I224" s="541"/>
      <c r="J224" s="168"/>
      <c r="K224" s="168"/>
    </row>
    <row r="225" spans="1:11">
      <c r="A225" s="163"/>
      <c r="B225" s="170" t="s">
        <v>236</v>
      </c>
      <c r="C225" s="653">
        <f>'[40]Sch D'!I9</f>
        <v>49</v>
      </c>
      <c r="D225" s="653"/>
      <c r="E225" s="235">
        <f t="shared" si="59"/>
        <v>49</v>
      </c>
      <c r="F225" s="234"/>
      <c r="G225" s="235">
        <f t="shared" si="57"/>
        <v>49</v>
      </c>
      <c r="H225" s="172">
        <f t="shared" si="58"/>
        <v>2.55741127348643E-3</v>
      </c>
      <c r="I225" s="541"/>
      <c r="J225" s="168"/>
      <c r="K225" s="168"/>
    </row>
    <row r="226" spans="1:11">
      <c r="A226" s="163"/>
      <c r="B226" s="170" t="s">
        <v>235</v>
      </c>
      <c r="C226" s="653">
        <f>'[40]Sch D'!J9</f>
        <v>188</v>
      </c>
      <c r="D226" s="653"/>
      <c r="E226" s="235">
        <f>C226+D226</f>
        <v>188</v>
      </c>
      <c r="F226" s="234"/>
      <c r="G226" s="235">
        <f>E226+F226</f>
        <v>188</v>
      </c>
      <c r="H226" s="172">
        <f t="shared" si="58"/>
        <v>9.8121085594989558E-3</v>
      </c>
      <c r="I226" s="541"/>
      <c r="J226" s="168"/>
      <c r="K226" s="168"/>
    </row>
    <row r="227" spans="1:11">
      <c r="A227" s="163"/>
      <c r="B227" s="170" t="s">
        <v>179</v>
      </c>
      <c r="C227" s="653">
        <f>'[40]Sch D'!K9</f>
        <v>0</v>
      </c>
      <c r="D227" s="653"/>
      <c r="E227" s="235">
        <f t="shared" si="59"/>
        <v>0</v>
      </c>
      <c r="F227" s="234"/>
      <c r="G227" s="235">
        <f t="shared" si="57"/>
        <v>0</v>
      </c>
      <c r="H227" s="172">
        <f t="shared" si="58"/>
        <v>0</v>
      </c>
      <c r="I227" s="541"/>
      <c r="J227" s="168"/>
      <c r="K227" s="168"/>
    </row>
    <row r="228" spans="1:11" ht="13.5" thickBot="1">
      <c r="A228" s="163"/>
      <c r="B228" s="236" t="s">
        <v>75</v>
      </c>
      <c r="C228" s="653">
        <f>SUM(C219:C227)</f>
        <v>19160</v>
      </c>
      <c r="D228" s="653">
        <f>SUM(D219:D227)</f>
        <v>0</v>
      </c>
      <c r="E228" s="237">
        <f>SUM(E219:E227)</f>
        <v>19160</v>
      </c>
      <c r="F228" s="237">
        <f>SUM(F219:F227)</f>
        <v>0</v>
      </c>
      <c r="G228" s="237">
        <f>SUM(G219:G227)</f>
        <v>19160</v>
      </c>
      <c r="H228" s="172">
        <f t="shared" si="58"/>
        <v>1</v>
      </c>
      <c r="I228" s="541"/>
      <c r="J228" s="168"/>
      <c r="K228" s="168"/>
    </row>
    <row r="229" spans="1:11" ht="13.5" thickTop="1">
      <c r="A229" s="163"/>
      <c r="B229" s="167"/>
      <c r="C229" s="620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619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654">
        <f>'[40]Sch D'!N22</f>
        <v>60</v>
      </c>
      <c r="D231" s="574"/>
      <c r="E231" s="235">
        <f>C231+D231</f>
        <v>60</v>
      </c>
      <c r="F231" s="235"/>
      <c r="G231" s="235">
        <f>E231+F231</f>
        <v>60</v>
      </c>
      <c r="H231" s="167"/>
      <c r="J231" s="168"/>
      <c r="K231" s="168"/>
    </row>
    <row r="232" spans="1:11">
      <c r="A232" s="163"/>
      <c r="B232" s="202" t="s">
        <v>290</v>
      </c>
      <c r="C232" s="654">
        <f>'[40]Sch D'!N24</f>
        <v>60</v>
      </c>
      <c r="D232" s="574"/>
      <c r="E232" s="235">
        <f>C232+D232</f>
        <v>60</v>
      </c>
      <c r="F232" s="235"/>
      <c r="G232" s="235">
        <f>E232+F232</f>
        <v>60</v>
      </c>
      <c r="H232" s="167"/>
      <c r="J232" s="168"/>
      <c r="K232" s="168"/>
    </row>
    <row r="233" spans="1:11">
      <c r="A233" s="163"/>
      <c r="B233" s="202" t="s">
        <v>76</v>
      </c>
      <c r="C233" s="654">
        <f>$C$4-$C$3+1</f>
        <v>365</v>
      </c>
      <c r="D233" s="489"/>
      <c r="E233" s="235">
        <f>C233+D233</f>
        <v>365</v>
      </c>
      <c r="F233" s="240"/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621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654">
        <f>'[40]Sch D'!N28</f>
        <v>21900</v>
      </c>
      <c r="D235" s="489"/>
      <c r="E235" s="234">
        <f>E231*E233</f>
        <v>21900</v>
      </c>
      <c r="F235" s="240"/>
      <c r="G235" s="234">
        <f>G231*G233</f>
        <v>21900</v>
      </c>
      <c r="H235" s="167"/>
      <c r="J235" s="168"/>
      <c r="K235" s="168"/>
    </row>
    <row r="236" spans="1:11" ht="26">
      <c r="A236" s="163"/>
      <c r="B236" s="244" t="s">
        <v>336</v>
      </c>
      <c r="C236" s="655">
        <f>'[40]Sch D'!N30</f>
        <v>0.87488584474885844</v>
      </c>
      <c r="D236" s="240"/>
      <c r="E236" s="245">
        <f>E228/E235</f>
        <v>0.87488584474885844</v>
      </c>
      <c r="F236" s="246"/>
      <c r="G236" s="245">
        <f>G228/G235</f>
        <v>0.87488584474885844</v>
      </c>
      <c r="H236" s="167"/>
      <c r="J236" s="168"/>
      <c r="K236" s="168"/>
    </row>
    <row r="237" spans="1:11" ht="26">
      <c r="A237" s="163"/>
      <c r="B237" s="244" t="s">
        <v>337</v>
      </c>
      <c r="C237" s="655">
        <f>'[40]Sch D'!N32</f>
        <v>0.43598173515981736</v>
      </c>
      <c r="D237" s="240"/>
      <c r="E237" s="245">
        <f>(E219+E220)/E235</f>
        <v>0.43598173515981736</v>
      </c>
      <c r="F237" s="246"/>
      <c r="G237" s="245">
        <f>(G219+G220)/G235</f>
        <v>0.43598173515981736</v>
      </c>
      <c r="H237" s="167"/>
      <c r="J237" s="168"/>
      <c r="K237" s="168"/>
    </row>
    <row r="238" spans="1:11" ht="26">
      <c r="A238" s="163"/>
      <c r="B238" s="244" t="s">
        <v>338</v>
      </c>
      <c r="C238" s="655">
        <f>'[40]Sch D'!N34</f>
        <v>0.49832985386221296</v>
      </c>
      <c r="D238" s="240"/>
      <c r="E238" s="245">
        <f>(E237/E236)</f>
        <v>0.49832985386221296</v>
      </c>
      <c r="F238" s="246"/>
      <c r="G238" s="245">
        <f>(G237/G236)</f>
        <v>0.49832985386221296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73">
        <f>'[40]Sch B'!C85</f>
        <v>115.45366103430619</v>
      </c>
    </row>
    <row r="242" spans="2:7">
      <c r="F242" s="142" t="s">
        <v>341</v>
      </c>
      <c r="G242" s="573">
        <f>'[40]Sch B'!E85</f>
        <v>130.53024036054083</v>
      </c>
    </row>
    <row r="243" spans="2:7" ht="17.5">
      <c r="B243" s="555"/>
      <c r="F243" s="142" t="s">
        <v>342</v>
      </c>
      <c r="G243" s="573">
        <f>'[40]Sch B'!G85</f>
        <v>129.42599693251535</v>
      </c>
    </row>
    <row r="244" spans="2:7">
      <c r="F244" s="142" t="s">
        <v>343</v>
      </c>
      <c r="G244" s="573">
        <f>'[40]Sch B'!I85</f>
        <v>131.91613333333333</v>
      </c>
    </row>
    <row r="245" spans="2:7">
      <c r="F245" s="142"/>
    </row>
  </sheetData>
  <phoneticPr fontId="16" type="noConversion"/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6">
    <tabColor rgb="FFE28CAB"/>
  </sheetPr>
  <dimension ref="A1:Q245"/>
  <sheetViews>
    <sheetView showGridLines="0" zoomScale="90" zoomScaleNormal="90" workbookViewId="0">
      <pane xSplit="2" topLeftCell="C1" activePane="topRight" state="frozen"/>
      <selection activeCell="N1" sqref="N1"/>
      <selection pane="topRight"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478"/>
      <c r="E1" s="478"/>
      <c r="F1" s="478"/>
      <c r="G1" s="478"/>
      <c r="H1" s="478"/>
      <c r="I1" s="479"/>
    </row>
    <row r="2" spans="1:14" ht="23">
      <c r="B2" s="143" t="s">
        <v>189</v>
      </c>
      <c r="C2" s="247" t="s">
        <v>357</v>
      </c>
      <c r="D2" s="247"/>
      <c r="E2" s="557" t="s">
        <v>590</v>
      </c>
    </row>
    <row r="3" spans="1:14">
      <c r="A3" s="145"/>
      <c r="B3" s="140" t="s">
        <v>79</v>
      </c>
      <c r="C3" s="495">
        <v>41821</v>
      </c>
      <c r="D3" s="144"/>
      <c r="E3" s="147"/>
    </row>
    <row r="4" spans="1:14">
      <c r="A4" s="145"/>
      <c r="B4" s="148" t="s">
        <v>80</v>
      </c>
      <c r="C4" s="495">
        <v>42185</v>
      </c>
      <c r="D4" s="144"/>
      <c r="E4" s="149"/>
      <c r="G4" s="150"/>
    </row>
    <row r="5" spans="1:14">
      <c r="A5" s="145"/>
      <c r="B5" s="148"/>
      <c r="C5" s="151"/>
      <c r="D5" s="144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144"/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577">
        <f>'[41]Sch B'!E10</f>
        <v>1774890.93</v>
      </c>
      <c r="D11" s="577">
        <f>'[41]Sch B'!G10</f>
        <v>0</v>
      </c>
      <c r="E11" s="171">
        <f>C11+D11</f>
        <v>1774890.93</v>
      </c>
      <c r="F11" s="171">
        <v>-2218</v>
      </c>
      <c r="G11" s="171">
        <f t="shared" ref="G11:G20" si="0">E11+F11</f>
        <v>1772672.93</v>
      </c>
      <c r="H11" s="172">
        <f t="shared" ref="H11:H21" si="1">IF($G$21=0,0,G11/$G$21)</f>
        <v>0.57870875989094706</v>
      </c>
      <c r="I11" s="337"/>
      <c r="J11" s="368" t="s">
        <v>344</v>
      </c>
      <c r="K11" s="369">
        <f>G21</f>
        <v>3063152.06</v>
      </c>
      <c r="M11" s="359">
        <f>IFERROR(G11/G219,0)</f>
        <v>155.27968903293623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577">
        <f>'[41]Sch B'!E15</f>
        <v>1018973.83</v>
      </c>
      <c r="D12" s="577">
        <f>'[41]Sch B'!G15</f>
        <v>0</v>
      </c>
      <c r="E12" s="171">
        <f t="shared" ref="E12:E20" si="2">C12+D12</f>
        <v>1018973.83</v>
      </c>
      <c r="F12" s="171"/>
      <c r="G12" s="171">
        <f>E12+F12</f>
        <v>1018973.83</v>
      </c>
      <c r="H12" s="172">
        <f t="shared" si="1"/>
        <v>0.33265532041527185</v>
      </c>
      <c r="I12" s="337"/>
      <c r="J12" s="370" t="s">
        <v>345</v>
      </c>
      <c r="K12" s="371">
        <f>G208</f>
        <v>2918497.0719999992</v>
      </c>
      <c r="M12" s="359">
        <f t="shared" ref="M12:M19" si="3">IFERROR(G12/G220,0)</f>
        <v>181.37661623353506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577">
        <f>'[41]Sch B'!E21</f>
        <v>0</v>
      </c>
      <c r="D13" s="577">
        <f>'[41]Sch B'!G21</f>
        <v>0</v>
      </c>
      <c r="E13" s="171">
        <f t="shared" si="2"/>
        <v>0</v>
      </c>
      <c r="F13" s="171"/>
      <c r="G13" s="171">
        <f t="shared" si="0"/>
        <v>0</v>
      </c>
      <c r="H13" s="172">
        <f t="shared" si="1"/>
        <v>0</v>
      </c>
      <c r="I13" s="337"/>
      <c r="J13" s="370" t="s">
        <v>346</v>
      </c>
      <c r="K13" s="371">
        <f>G228</f>
        <v>19024</v>
      </c>
      <c r="M13" s="359">
        <f t="shared" si="3"/>
        <v>0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577">
        <f>'[41]Sch B'!E27</f>
        <v>0</v>
      </c>
      <c r="D14" s="577">
        <f>'[41]Sch B'!G27</f>
        <v>0</v>
      </c>
      <c r="E14" s="171">
        <f t="shared" si="2"/>
        <v>0</v>
      </c>
      <c r="F14" s="175"/>
      <c r="G14" s="175">
        <f>E14+F14</f>
        <v>0</v>
      </c>
      <c r="H14" s="176">
        <f t="shared" si="1"/>
        <v>0</v>
      </c>
      <c r="I14" s="338"/>
      <c r="J14" s="370" t="s">
        <v>347</v>
      </c>
      <c r="K14" s="371">
        <f>G231</f>
        <v>61</v>
      </c>
      <c r="M14" s="359">
        <f t="shared" si="3"/>
        <v>0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577">
        <f>'[41]Sch B'!E32</f>
        <v>0</v>
      </c>
      <c r="D15" s="577">
        <f>'[41]Sch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7"/>
      <c r="J15" s="370" t="s">
        <v>348</v>
      </c>
      <c r="K15" s="371">
        <f>G235</f>
        <v>22265</v>
      </c>
      <c r="M15" s="359">
        <f t="shared" si="3"/>
        <v>0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577">
        <f>'[41]Sch B'!E37</f>
        <v>91746.39</v>
      </c>
      <c r="D16" s="577">
        <f>'[41]Sch B'!G37</f>
        <v>0</v>
      </c>
      <c r="E16" s="171">
        <f t="shared" si="2"/>
        <v>91746.39</v>
      </c>
      <c r="F16" s="171"/>
      <c r="G16" s="171">
        <f t="shared" si="0"/>
        <v>91746.39</v>
      </c>
      <c r="H16" s="172">
        <f t="shared" si="1"/>
        <v>2.9951627670746453E-2</v>
      </c>
      <c r="I16" s="337"/>
      <c r="J16" s="372"/>
      <c r="K16" s="371"/>
      <c r="M16" s="359">
        <f t="shared" si="3"/>
        <v>125.50805745554035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577">
        <f>'[41]Sch B'!E42</f>
        <v>172470.18</v>
      </c>
      <c r="D17" s="577">
        <f>'[41]Sch B'!G42</f>
        <v>0</v>
      </c>
      <c r="E17" s="171">
        <f t="shared" si="2"/>
        <v>172470.18</v>
      </c>
      <c r="F17" s="171"/>
      <c r="G17" s="171">
        <f>E17+F17</f>
        <v>172470.18</v>
      </c>
      <c r="H17" s="172">
        <f t="shared" si="1"/>
        <v>5.6304805188156407E-2</v>
      </c>
      <c r="I17" s="337"/>
      <c r="J17" s="370" t="s">
        <v>156</v>
      </c>
      <c r="K17" s="371">
        <f>J208</f>
        <v>107987.81000000001</v>
      </c>
      <c r="M17" s="359">
        <f t="shared" si="3"/>
        <v>140.56249388753056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577">
        <f>'[41]Sch B'!E47</f>
        <v>4436.7</v>
      </c>
      <c r="D18" s="577">
        <f>'[41]Sch B'!G47</f>
        <v>0</v>
      </c>
      <c r="E18" s="171">
        <f t="shared" si="2"/>
        <v>4436.7</v>
      </c>
      <c r="F18" s="171"/>
      <c r="G18" s="171">
        <f>E18+F18</f>
        <v>4436.7</v>
      </c>
      <c r="H18" s="172">
        <f t="shared" si="1"/>
        <v>1.448409975442094E-3</v>
      </c>
      <c r="I18" s="337"/>
      <c r="J18" s="373" t="s">
        <v>252</v>
      </c>
      <c r="K18" s="374">
        <f>K208</f>
        <v>107383.04000000001</v>
      </c>
      <c r="M18" s="359">
        <f t="shared" si="3"/>
        <v>138.64687499999999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577">
        <f>'[41]Sch B'!E52</f>
        <v>0</v>
      </c>
      <c r="D19" s="577">
        <f>'[41]Sch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337"/>
      <c r="J19" s="168"/>
      <c r="K19" s="168"/>
      <c r="M19" s="359">
        <f t="shared" si="3"/>
        <v>0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577">
        <f>'[41]Sch B'!E67</f>
        <v>2852.03</v>
      </c>
      <c r="D20" s="577">
        <f>'[41]Sch B'!G67</f>
        <v>0</v>
      </c>
      <c r="E20" s="171">
        <f t="shared" si="2"/>
        <v>2852.03</v>
      </c>
      <c r="F20" s="171"/>
      <c r="G20" s="171">
        <f t="shared" si="0"/>
        <v>2852.03</v>
      </c>
      <c r="H20" s="172">
        <f t="shared" si="1"/>
        <v>9.3107685943609345E-4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577">
        <f>SUM(C11:C20)</f>
        <v>3065370.06</v>
      </c>
      <c r="D21" s="577">
        <f>SUM(D11:D20)</f>
        <v>0</v>
      </c>
      <c r="E21" s="171">
        <f>SUM(E11:E20)</f>
        <v>3065370.06</v>
      </c>
      <c r="F21" s="171">
        <f>SUM(F11:F20)</f>
        <v>-2218</v>
      </c>
      <c r="G21" s="171">
        <f>SUM(G11:G20)</f>
        <v>3063152.06</v>
      </c>
      <c r="H21" s="172">
        <f t="shared" si="1"/>
        <v>1</v>
      </c>
      <c r="I21" s="337"/>
      <c r="J21" s="168"/>
      <c r="K21" s="168"/>
      <c r="M21" s="359">
        <f>IFERROR(G21/G228,0)</f>
        <v>161.01514192598822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4">
      <c r="A24" s="181" t="s">
        <v>161</v>
      </c>
      <c r="B24" s="148" t="s">
        <v>12</v>
      </c>
      <c r="M24" s="363"/>
      <c r="N24" s="363"/>
    </row>
    <row r="25" spans="1:14" s="167" customFormat="1">
      <c r="A25" s="169" t="s">
        <v>83</v>
      </c>
      <c r="B25" s="170" t="s">
        <v>14</v>
      </c>
      <c r="C25" s="577">
        <f>'[41]Sch C'!D10</f>
        <v>58173.33</v>
      </c>
      <c r="D25" s="577">
        <f>'[41]Sch C'!F10</f>
        <v>0</v>
      </c>
      <c r="E25" s="171">
        <f t="shared" ref="E25:E60" si="4">C25+D25</f>
        <v>58173.33</v>
      </c>
      <c r="F25" s="171"/>
      <c r="G25" s="182">
        <f>E25+F25</f>
        <v>58173.33</v>
      </c>
      <c r="H25" s="172">
        <f>IF($G$208=0,0,G25/$G$208)</f>
        <v>1.9932632640996536E-2</v>
      </c>
      <c r="I25" s="337"/>
      <c r="J25" s="183">
        <v>2080</v>
      </c>
      <c r="K25" s="183">
        <v>2080</v>
      </c>
      <c r="M25" s="359">
        <f>G25/G$228</f>
        <v>3.0578916105971405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577">
        <f>'[41]Sch C'!D11</f>
        <v>0</v>
      </c>
      <c r="D26" s="577">
        <f>'[41]Sch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577">
        <f>'[41]Sch C'!D12</f>
        <v>0</v>
      </c>
      <c r="D27" s="577">
        <f>'[41]Sch C'!F12</f>
        <v>0</v>
      </c>
      <c r="E27" s="171">
        <f t="shared" si="4"/>
        <v>0</v>
      </c>
      <c r="F27" s="171"/>
      <c r="G27" s="171">
        <f t="shared" si="5"/>
        <v>0</v>
      </c>
      <c r="H27" s="172">
        <f t="shared" si="6"/>
        <v>0</v>
      </c>
      <c r="I27" s="337"/>
      <c r="J27" s="185">
        <v>0</v>
      </c>
      <c r="K27" s="185">
        <v>0</v>
      </c>
      <c r="M27" s="359">
        <f t="shared" si="7"/>
        <v>0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577">
        <f>'[41]Sch C'!D13</f>
        <v>18690.150000000001</v>
      </c>
      <c r="D28" s="577">
        <f>'[41]Sch C'!F13</f>
        <v>0</v>
      </c>
      <c r="E28" s="171">
        <f t="shared" si="4"/>
        <v>18690.150000000001</v>
      </c>
      <c r="F28" s="171"/>
      <c r="G28" s="171">
        <f t="shared" si="5"/>
        <v>18690.150000000001</v>
      </c>
      <c r="H28" s="172">
        <f t="shared" si="6"/>
        <v>6.4040324656525838E-3</v>
      </c>
      <c r="I28" s="337"/>
      <c r="J28" s="168"/>
      <c r="K28" s="168"/>
      <c r="M28" s="359">
        <f t="shared" si="7"/>
        <v>0.98245111438183352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577">
        <f>'[41]Sch C'!D14</f>
        <v>0</v>
      </c>
      <c r="D29" s="577">
        <f>'[41]Sch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577">
        <f>'[41]Sch C'!D15</f>
        <v>0</v>
      </c>
      <c r="D30" s="577">
        <f>'[41]Sch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7"/>
      <c r="J30" s="168"/>
      <c r="K30" s="168"/>
      <c r="M30" s="359">
        <f t="shared" si="7"/>
        <v>0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577">
        <f>'[41]Sch C'!D16</f>
        <v>0</v>
      </c>
      <c r="D31" s="577">
        <f>'[41]Sch C'!F16</f>
        <v>0</v>
      </c>
      <c r="E31" s="171">
        <f t="shared" si="4"/>
        <v>0</v>
      </c>
      <c r="F31" s="171"/>
      <c r="G31" s="171">
        <f t="shared" si="5"/>
        <v>0</v>
      </c>
      <c r="H31" s="172">
        <f t="shared" si="6"/>
        <v>0</v>
      </c>
      <c r="I31" s="337"/>
      <c r="J31" s="168"/>
      <c r="K31" s="168"/>
      <c r="M31" s="359">
        <f t="shared" si="7"/>
        <v>0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577">
        <f>'[41]Sch C'!D17</f>
        <v>4404.74</v>
      </c>
      <c r="D32" s="577">
        <f>'[41]Sch C'!F17</f>
        <v>0</v>
      </c>
      <c r="E32" s="171">
        <f t="shared" si="4"/>
        <v>4404.74</v>
      </c>
      <c r="F32" s="171"/>
      <c r="G32" s="171">
        <f t="shared" si="5"/>
        <v>4404.74</v>
      </c>
      <c r="H32" s="172">
        <f t="shared" si="6"/>
        <v>1.5092494154813395E-3</v>
      </c>
      <c r="I32" s="337"/>
      <c r="J32" s="168"/>
      <c r="K32" s="168"/>
      <c r="M32" s="359">
        <f t="shared" si="7"/>
        <v>0.23153595458368376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577">
        <f>'[41]Sch C'!D18</f>
        <v>4772.6400000000003</v>
      </c>
      <c r="D33" s="577">
        <f>'[41]Sch C'!F18</f>
        <v>0</v>
      </c>
      <c r="E33" s="171">
        <f t="shared" si="4"/>
        <v>4772.6400000000003</v>
      </c>
      <c r="F33" s="171"/>
      <c r="G33" s="171">
        <f t="shared" si="5"/>
        <v>4772.6400000000003</v>
      </c>
      <c r="H33" s="172">
        <f t="shared" si="6"/>
        <v>1.6353074484085012E-3</v>
      </c>
      <c r="I33" s="337"/>
      <c r="J33" s="168"/>
      <c r="K33" s="168"/>
      <c r="M33" s="359">
        <f t="shared" si="7"/>
        <v>0.2508746846089151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577">
        <f>'[41]Sch C'!D19</f>
        <v>8630.34</v>
      </c>
      <c r="D34" s="577">
        <f>'[41]Sch C'!F19</f>
        <v>0</v>
      </c>
      <c r="E34" s="171">
        <f t="shared" si="4"/>
        <v>8630.34</v>
      </c>
      <c r="F34" s="171"/>
      <c r="G34" s="171">
        <f t="shared" si="5"/>
        <v>8630.34</v>
      </c>
      <c r="H34" s="172">
        <f t="shared" si="6"/>
        <v>2.9571179230568037E-3</v>
      </c>
      <c r="I34" s="337"/>
      <c r="J34" s="168"/>
      <c r="K34" s="168"/>
      <c r="M34" s="359">
        <f t="shared" si="7"/>
        <v>0.45365538267451638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577">
        <f>'[41]Sch C'!D20</f>
        <v>5147.71</v>
      </c>
      <c r="D35" s="577">
        <f>'[41]Sch C'!F20</f>
        <v>0</v>
      </c>
      <c r="E35" s="171">
        <f t="shared" si="4"/>
        <v>5147.71</v>
      </c>
      <c r="F35" s="171"/>
      <c r="G35" s="171">
        <f t="shared" si="5"/>
        <v>5147.71</v>
      </c>
      <c r="H35" s="172">
        <f t="shared" si="6"/>
        <v>1.7638222252771892E-3</v>
      </c>
      <c r="I35" s="337"/>
      <c r="J35" s="168"/>
      <c r="K35" s="168"/>
      <c r="M35" s="359">
        <f t="shared" si="7"/>
        <v>0.270590306980656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577">
        <f>'[41]Sch C'!D21</f>
        <v>6353.38</v>
      </c>
      <c r="D36" s="577">
        <f>'[41]Sch C'!F21</f>
        <v>0</v>
      </c>
      <c r="E36" s="171">
        <f t="shared" si="4"/>
        <v>6353.38</v>
      </c>
      <c r="F36" s="171"/>
      <c r="G36" s="171">
        <f t="shared" si="5"/>
        <v>6353.38</v>
      </c>
      <c r="H36" s="172">
        <f t="shared" si="6"/>
        <v>2.1769355401977946E-3</v>
      </c>
      <c r="I36" s="337"/>
      <c r="J36" s="168"/>
      <c r="K36" s="168"/>
      <c r="M36" s="359">
        <f t="shared" si="7"/>
        <v>0.33396656854499579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577">
        <f>'[41]Sch C'!D22</f>
        <v>0</v>
      </c>
      <c r="D37" s="577">
        <f>'[41]Sch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577">
        <f>'[41]Sch C'!D23</f>
        <v>8846.5499999999993</v>
      </c>
      <c r="D38" s="577">
        <f>'[41]Sch C'!F23</f>
        <v>0</v>
      </c>
      <c r="E38" s="171">
        <f t="shared" si="4"/>
        <v>8846.5499999999993</v>
      </c>
      <c r="F38" s="171"/>
      <c r="G38" s="171">
        <f t="shared" si="5"/>
        <v>8846.5499999999993</v>
      </c>
      <c r="H38" s="172">
        <f t="shared" si="6"/>
        <v>3.031200574046696E-3</v>
      </c>
      <c r="I38" s="337"/>
      <c r="J38" s="168"/>
      <c r="K38" s="168"/>
      <c r="M38" s="359">
        <f t="shared" si="7"/>
        <v>0.4650205004205214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577">
        <f>'[41]Sch C'!D24</f>
        <v>3655.49</v>
      </c>
      <c r="D39" s="577">
        <f>'[41]Sch C'!F24</f>
        <v>0</v>
      </c>
      <c r="E39" s="171">
        <f t="shared" si="4"/>
        <v>3655.49</v>
      </c>
      <c r="F39" s="171"/>
      <c r="G39" s="171">
        <f t="shared" si="5"/>
        <v>3655.49</v>
      </c>
      <c r="H39" s="172">
        <f t="shared" si="6"/>
        <v>1.2525248132234552E-3</v>
      </c>
      <c r="I39" s="337"/>
      <c r="J39" s="168"/>
      <c r="K39" s="168"/>
      <c r="M39" s="359">
        <f t="shared" si="7"/>
        <v>0.19215149285113539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577">
        <f>'[41]Sch C'!D25</f>
        <v>152000</v>
      </c>
      <c r="D40" s="577">
        <f>'[41]Sch C'!F25</f>
        <v>0</v>
      </c>
      <c r="E40" s="171">
        <f t="shared" si="4"/>
        <v>152000</v>
      </c>
      <c r="F40" s="171">
        <v>-152000</v>
      </c>
      <c r="G40" s="171">
        <f t="shared" si="5"/>
        <v>0</v>
      </c>
      <c r="H40" s="172">
        <f t="shared" si="6"/>
        <v>0</v>
      </c>
      <c r="I40" s="337"/>
      <c r="J40" s="168"/>
      <c r="K40" s="168"/>
      <c r="M40" s="359">
        <f t="shared" si="7"/>
        <v>0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577">
        <f>'[41]Sch C'!D26</f>
        <v>291612.90999999997</v>
      </c>
      <c r="D41" s="577">
        <f>'[41]Sch C'!F26</f>
        <v>0</v>
      </c>
      <c r="E41" s="171">
        <f t="shared" si="4"/>
        <v>291612.90999999997</v>
      </c>
      <c r="F41" s="171"/>
      <c r="G41" s="171">
        <f t="shared" si="5"/>
        <v>291612.90999999997</v>
      </c>
      <c r="H41" s="172">
        <f t="shared" si="6"/>
        <v>9.99188633073263E-2</v>
      </c>
      <c r="I41" s="337"/>
      <c r="J41" s="168"/>
      <c r="K41" s="168"/>
      <c r="M41" s="359">
        <f t="shared" si="7"/>
        <v>15.328685344827585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577">
        <f>'[41]Sch C'!D27</f>
        <v>0</v>
      </c>
      <c r="D42" s="577">
        <f>'[41]Sch C'!F27</f>
        <v>0</v>
      </c>
      <c r="E42" s="171">
        <f t="shared" si="4"/>
        <v>0</v>
      </c>
      <c r="F42" s="171">
        <v>142448</v>
      </c>
      <c r="G42" s="171">
        <f t="shared" si="5"/>
        <v>142448</v>
      </c>
      <c r="H42" s="172">
        <f t="shared" si="6"/>
        <v>4.8808683540114937E-2</v>
      </c>
      <c r="I42" s="337"/>
      <c r="J42" s="168"/>
      <c r="K42" s="168"/>
      <c r="M42" s="359">
        <f t="shared" si="7"/>
        <v>7.4878048780487809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577">
        <f>'[41]Sch C'!D28</f>
        <v>0</v>
      </c>
      <c r="D43" s="577">
        <f>'[41]Sch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577">
        <f>'[41]Sch C'!D29</f>
        <v>0</v>
      </c>
      <c r="D44" s="577">
        <f>'[41]Sch C'!F29</f>
        <v>0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577">
        <f>'[41]Sch C'!D30</f>
        <v>1500</v>
      </c>
      <c r="D45" s="577">
        <f>'[41]Sch C'!F30</f>
        <v>-1500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577">
        <f>'[41]Sch C'!D31</f>
        <v>30422.74</v>
      </c>
      <c r="D46" s="577">
        <f>'[41]Sch C'!F31</f>
        <v>0</v>
      </c>
      <c r="E46" s="171">
        <f t="shared" si="4"/>
        <v>30422.74</v>
      </c>
      <c r="F46" s="171"/>
      <c r="G46" s="171">
        <f t="shared" si="5"/>
        <v>30422.74</v>
      </c>
      <c r="H46" s="172">
        <f t="shared" si="6"/>
        <v>1.0424111880006713E-2</v>
      </c>
      <c r="I46" s="337"/>
      <c r="J46" s="168"/>
      <c r="K46" s="168"/>
      <c r="M46" s="359">
        <f t="shared" si="7"/>
        <v>1.5991768292682929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577">
        <f>'[41]Sch C'!D32</f>
        <v>26360.720000000001</v>
      </c>
      <c r="D47" s="577">
        <f>'[41]Sch C'!F32</f>
        <v>0</v>
      </c>
      <c r="E47" s="171">
        <f t="shared" si="4"/>
        <v>26360.720000000001</v>
      </c>
      <c r="F47" s="171"/>
      <c r="G47" s="171">
        <f t="shared" si="5"/>
        <v>26360.720000000001</v>
      </c>
      <c r="H47" s="172">
        <f t="shared" si="6"/>
        <v>9.0322927690776895E-3</v>
      </c>
      <c r="I47" s="337"/>
      <c r="J47" s="168"/>
      <c r="K47" s="168"/>
      <c r="M47" s="359">
        <f t="shared" si="7"/>
        <v>1.3856560134566864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577">
        <f>'[41]Sch C'!D33</f>
        <v>0</v>
      </c>
      <c r="D48" s="577">
        <f>'[41]Sch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577">
        <f>'[41]Sch C'!D34</f>
        <v>0</v>
      </c>
      <c r="D49" s="577">
        <f>'[41]Sch C'!F34</f>
        <v>0</v>
      </c>
      <c r="E49" s="171">
        <f t="shared" si="4"/>
        <v>0</v>
      </c>
      <c r="F49" s="171"/>
      <c r="G49" s="171">
        <f t="shared" si="5"/>
        <v>0</v>
      </c>
      <c r="H49" s="172">
        <f t="shared" si="6"/>
        <v>0</v>
      </c>
      <c r="I49" s="337"/>
      <c r="J49" s="168"/>
      <c r="K49" s="168"/>
      <c r="M49" s="359">
        <f t="shared" si="7"/>
        <v>0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577">
        <f>'[41]Sch C'!D35</f>
        <v>0</v>
      </c>
      <c r="D50" s="577">
        <f>'[41]Sch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577">
        <f>'[41]Sch C'!D36</f>
        <v>0</v>
      </c>
      <c r="D51" s="577">
        <f>'[41]Sch C'!F36</f>
        <v>0</v>
      </c>
      <c r="E51" s="171">
        <f t="shared" si="4"/>
        <v>0</v>
      </c>
      <c r="F51" s="171"/>
      <c r="G51" s="171">
        <f t="shared" si="5"/>
        <v>0</v>
      </c>
      <c r="H51" s="172">
        <f t="shared" si="6"/>
        <v>0</v>
      </c>
      <c r="I51" s="337"/>
      <c r="J51" s="183">
        <v>0</v>
      </c>
      <c r="K51" s="183">
        <v>0</v>
      </c>
      <c r="M51" s="359">
        <f t="shared" si="7"/>
        <v>0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577">
        <f>'[41]Sch C'!D37</f>
        <v>0</v>
      </c>
      <c r="D52" s="577">
        <f>'[41]Sch C'!F37</f>
        <v>0</v>
      </c>
      <c r="E52" s="171">
        <f t="shared" si="4"/>
        <v>0</v>
      </c>
      <c r="F52" s="171"/>
      <c r="G52" s="171">
        <f t="shared" si="5"/>
        <v>0</v>
      </c>
      <c r="H52" s="172">
        <f t="shared" si="6"/>
        <v>0</v>
      </c>
      <c r="I52" s="337"/>
      <c r="J52" s="168"/>
      <c r="K52" s="168"/>
      <c r="M52" s="359">
        <f t="shared" si="7"/>
        <v>0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577">
        <f>'[41]Sch C'!D38</f>
        <v>15824</v>
      </c>
      <c r="D53" s="577">
        <f>'[41]Sch C'!F38</f>
        <v>-15824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7"/>
      <c r="J53" s="168"/>
      <c r="K53" s="168"/>
      <c r="M53" s="359">
        <f t="shared" si="7"/>
        <v>0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577">
        <f>'[41]Sch C'!D39</f>
        <v>209.7</v>
      </c>
      <c r="D54" s="577">
        <f>'[41]Sch C'!F39</f>
        <v>0</v>
      </c>
      <c r="E54" s="171">
        <f t="shared" si="4"/>
        <v>209.7</v>
      </c>
      <c r="F54" s="171"/>
      <c r="G54" s="171">
        <f t="shared" si="5"/>
        <v>209.7</v>
      </c>
      <c r="H54" s="172">
        <f t="shared" si="6"/>
        <v>7.1852050842146617E-5</v>
      </c>
      <c r="I54" s="337"/>
      <c r="J54" s="168"/>
      <c r="K54" s="168"/>
      <c r="M54" s="359">
        <f t="shared" si="7"/>
        <v>1.102291841883936E-2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577">
        <f>'[41]Sch C'!D40</f>
        <v>0</v>
      </c>
      <c r="D55" s="577">
        <f>'[41]Sch C'!F40</f>
        <v>0</v>
      </c>
      <c r="E55" s="171">
        <f t="shared" si="4"/>
        <v>0</v>
      </c>
      <c r="F55" s="171"/>
      <c r="G55" s="171">
        <f t="shared" si="5"/>
        <v>0</v>
      </c>
      <c r="H55" s="172">
        <f t="shared" si="6"/>
        <v>0</v>
      </c>
      <c r="I55" s="337"/>
      <c r="J55" s="168"/>
      <c r="K55" s="168"/>
      <c r="M55" s="359">
        <f t="shared" si="7"/>
        <v>0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577">
        <f>'[41]Sch C'!D41</f>
        <v>5108.3</v>
      </c>
      <c r="D56" s="577">
        <f>'[41]Sch C'!F41</f>
        <v>0</v>
      </c>
      <c r="E56" s="171">
        <f t="shared" si="4"/>
        <v>5108.3</v>
      </c>
      <c r="F56" s="171"/>
      <c r="G56" s="171">
        <f t="shared" si="5"/>
        <v>5108.3</v>
      </c>
      <c r="H56" s="172">
        <f t="shared" si="6"/>
        <v>1.7503186996515861E-3</v>
      </c>
      <c r="I56" s="337"/>
      <c r="J56" s="168"/>
      <c r="K56" s="168"/>
      <c r="M56" s="359">
        <f t="shared" si="7"/>
        <v>0.26851871320437343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577">
        <f>'[41]Sch C'!D42</f>
        <v>0</v>
      </c>
      <c r="D57" s="577">
        <f>'[41]Sch C'!F42</f>
        <v>0</v>
      </c>
      <c r="E57" s="171">
        <f t="shared" si="4"/>
        <v>0</v>
      </c>
      <c r="F57" s="171"/>
      <c r="G57" s="171">
        <f t="shared" si="5"/>
        <v>0</v>
      </c>
      <c r="H57" s="172">
        <f t="shared" si="6"/>
        <v>0</v>
      </c>
      <c r="I57" s="337"/>
      <c r="J57" s="168"/>
      <c r="K57" s="168"/>
      <c r="M57" s="359">
        <f t="shared" si="7"/>
        <v>0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577">
        <f>'[41]Sch C'!D43</f>
        <v>0</v>
      </c>
      <c r="D58" s="577">
        <f>'[41]Sch C'!F43</f>
        <v>0</v>
      </c>
      <c r="E58" s="171">
        <f t="shared" si="4"/>
        <v>0</v>
      </c>
      <c r="F58" s="171"/>
      <c r="G58" s="171">
        <f t="shared" si="5"/>
        <v>0</v>
      </c>
      <c r="H58" s="172">
        <f t="shared" si="6"/>
        <v>0</v>
      </c>
      <c r="I58" s="337"/>
      <c r="J58" s="168"/>
      <c r="K58" s="168"/>
      <c r="M58" s="359">
        <f t="shared" si="7"/>
        <v>0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577">
        <f>'[41]Sch C'!D44</f>
        <v>0</v>
      </c>
      <c r="D59" s="577">
        <f>'[41]Sch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7"/>
      <c r="J59" s="168"/>
      <c r="K59" s="168"/>
      <c r="M59" s="359">
        <f t="shared" si="7"/>
        <v>0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577">
        <f>'[41]Sch C'!D45</f>
        <v>472.92</v>
      </c>
      <c r="D60" s="577">
        <f>'[41]Sch C'!F45</f>
        <v>0</v>
      </c>
      <c r="E60" s="171">
        <f t="shared" si="4"/>
        <v>472.92</v>
      </c>
      <c r="F60" s="171"/>
      <c r="G60" s="171">
        <f t="shared" si="5"/>
        <v>472.92</v>
      </c>
      <c r="H60" s="172">
        <f t="shared" si="6"/>
        <v>1.6204230750723882E-4</v>
      </c>
      <c r="I60" s="337"/>
      <c r="J60" s="168"/>
      <c r="K60" s="168"/>
      <c r="M60" s="359">
        <f t="shared" si="7"/>
        <v>2.4859125315391084E-2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577">
        <f>SUM(C25:C60)</f>
        <v>642185.62</v>
      </c>
      <c r="D61" s="577">
        <f>SUM(D25:D60)</f>
        <v>-17324</v>
      </c>
      <c r="E61" s="171">
        <f t="shared" ref="E61" si="8">SUM(E25:E60)</f>
        <v>624861.62</v>
      </c>
      <c r="F61" s="171">
        <f>SUM(F25:F60)</f>
        <v>-9552</v>
      </c>
      <c r="G61" s="171">
        <f>SUM(G25:G60)</f>
        <v>615309.62</v>
      </c>
      <c r="H61" s="186">
        <f t="shared" si="6"/>
        <v>0.21083098760086752</v>
      </c>
      <c r="I61" s="339"/>
      <c r="J61" s="168"/>
      <c r="K61" s="168"/>
      <c r="M61" s="364">
        <f>G61/G$228</f>
        <v>32.343861438183346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I62" s="340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577">
        <f>'[41]Sch C'!D57</f>
        <v>369010.78</v>
      </c>
      <c r="D64" s="577">
        <f>'[41]Sch C'!F57</f>
        <v>-162341.73000000001</v>
      </c>
      <c r="E64" s="171">
        <f t="shared" ref="E64:E78" si="9">C64+D64</f>
        <v>206669.05000000002</v>
      </c>
      <c r="F64" s="171">
        <v>-206669</v>
      </c>
      <c r="G64" s="171">
        <f t="shared" ref="G64:G78" si="10">E64+F64</f>
        <v>5.0000000017462298E-2</v>
      </c>
      <c r="H64" s="172">
        <f t="shared" ref="H64:H79" si="11">IF($G$208=0,0,G64/$G$208)</f>
        <v>1.7132105595431728E-8</v>
      </c>
      <c r="I64" s="337"/>
      <c r="J64" s="190"/>
      <c r="K64" s="168"/>
      <c r="M64" s="359">
        <f t="shared" ref="M64:M79" si="12">G64/G$228</f>
        <v>2.6282590421290105E-6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577">
        <f>'[41]Sch C'!D58</f>
        <v>62621.599999999999</v>
      </c>
      <c r="D65" s="577">
        <f>'[41]Sch C'!F58</f>
        <v>0</v>
      </c>
      <c r="E65" s="171">
        <f t="shared" si="9"/>
        <v>62621.599999999999</v>
      </c>
      <c r="F65" s="171">
        <v>-12201</v>
      </c>
      <c r="G65" s="171">
        <f t="shared" si="10"/>
        <v>50420.6</v>
      </c>
      <c r="H65" s="172">
        <f t="shared" si="11"/>
        <v>1.7276220861666847E-2</v>
      </c>
      <c r="I65" s="337"/>
      <c r="J65" s="190"/>
      <c r="K65" s="168"/>
      <c r="M65" s="359">
        <f t="shared" si="12"/>
        <v>2.6503679562657694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577">
        <f>'[41]Sch C'!D59</f>
        <v>0</v>
      </c>
      <c r="D66" s="577">
        <f>'[41]Sch C'!F59</f>
        <v>0</v>
      </c>
      <c r="E66" s="171">
        <f t="shared" si="9"/>
        <v>0</v>
      </c>
      <c r="F66" s="171">
        <v>106143</v>
      </c>
      <c r="G66" s="171">
        <f t="shared" si="10"/>
        <v>106143</v>
      </c>
      <c r="H66" s="172">
        <f t="shared" si="11"/>
        <v>3.6369061671616451E-2</v>
      </c>
      <c r="I66" s="337"/>
      <c r="J66" s="190"/>
      <c r="K66" s="168"/>
      <c r="M66" s="359">
        <f t="shared" si="12"/>
        <v>5.5794259882253998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577">
        <f>'[41]Sch C'!D60</f>
        <v>0</v>
      </c>
      <c r="D67" s="577">
        <f>'[41]Sch C'!F60</f>
        <v>0</v>
      </c>
      <c r="E67" s="171">
        <f t="shared" si="9"/>
        <v>0</v>
      </c>
      <c r="F67" s="171">
        <v>14273</v>
      </c>
      <c r="G67" s="171">
        <f t="shared" si="10"/>
        <v>14273</v>
      </c>
      <c r="H67" s="172">
        <f t="shared" si="11"/>
        <v>4.8905308615639423E-3</v>
      </c>
      <c r="I67" s="337"/>
      <c r="J67" s="193"/>
      <c r="K67" s="168"/>
      <c r="M67" s="359">
        <f t="shared" si="12"/>
        <v>0.75026282590412108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577">
        <f>'[41]Sch C'!D61</f>
        <v>4064.57</v>
      </c>
      <c r="D68" s="577">
        <f>'[41]Sch C'!F61</f>
        <v>0</v>
      </c>
      <c r="E68" s="171">
        <f t="shared" si="9"/>
        <v>4064.57</v>
      </c>
      <c r="F68" s="171"/>
      <c r="G68" s="171">
        <f t="shared" si="10"/>
        <v>4064.57</v>
      </c>
      <c r="H68" s="172">
        <f t="shared" si="11"/>
        <v>1.3926928483140864E-3</v>
      </c>
      <c r="I68" s="337"/>
      <c r="J68" s="193"/>
      <c r="K68" s="168"/>
      <c r="M68" s="359">
        <f t="shared" si="12"/>
        <v>0.21365485702270817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577">
        <f>'[41]Sch C'!D62</f>
        <v>0</v>
      </c>
      <c r="D69" s="577">
        <f>'[41]Sch C'!F62</f>
        <v>0</v>
      </c>
      <c r="E69" s="171">
        <f t="shared" si="9"/>
        <v>0</v>
      </c>
      <c r="F69" s="171">
        <v>12432</v>
      </c>
      <c r="G69" s="171">
        <f t="shared" si="10"/>
        <v>12432</v>
      </c>
      <c r="H69" s="172">
        <f t="shared" si="11"/>
        <v>4.2597267337604518E-3</v>
      </c>
      <c r="I69" s="337"/>
      <c r="J69" s="195"/>
      <c r="K69" s="168"/>
      <c r="M69" s="359">
        <f t="shared" si="12"/>
        <v>0.65349032800672835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577">
        <f>'[41]Sch C'!D63</f>
        <v>6480.24</v>
      </c>
      <c r="D70" s="577">
        <f>'[41]Sch C'!F63</f>
        <v>-4125.32</v>
      </c>
      <c r="E70" s="171">
        <f t="shared" si="9"/>
        <v>2354.92</v>
      </c>
      <c r="F70" s="171"/>
      <c r="G70" s="171">
        <f t="shared" si="10"/>
        <v>2354.92</v>
      </c>
      <c r="H70" s="172">
        <f t="shared" si="11"/>
        <v>8.0689476189407697E-4</v>
      </c>
      <c r="I70" s="337"/>
      <c r="J70" s="195"/>
      <c r="K70" s="168"/>
      <c r="M70" s="359">
        <f t="shared" si="12"/>
        <v>0.12378679562657696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577">
        <f>'[41]Sch C'!D64</f>
        <v>0</v>
      </c>
      <c r="D71" s="577">
        <f>'[41]Sch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577">
        <f>'[41]Sch C'!D65</f>
        <v>4678.96</v>
      </c>
      <c r="D72" s="577">
        <f>'[41]Sch C'!F65</f>
        <v>0</v>
      </c>
      <c r="E72" s="171">
        <f t="shared" si="9"/>
        <v>4678.96</v>
      </c>
      <c r="F72" s="171"/>
      <c r="G72" s="171">
        <f t="shared" si="10"/>
        <v>4678.96</v>
      </c>
      <c r="H72" s="172">
        <f t="shared" si="11"/>
        <v>1.6032087353761105E-3</v>
      </c>
      <c r="I72" s="337"/>
      <c r="J72" s="195"/>
      <c r="K72" s="168"/>
      <c r="M72" s="359">
        <f t="shared" si="12"/>
        <v>0.24595037846930193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577">
        <f>'[41]Sch C'!D66</f>
        <v>0</v>
      </c>
      <c r="D73" s="577">
        <f>'[41]Sch C'!F66</f>
        <v>0</v>
      </c>
      <c r="E73" s="171">
        <f t="shared" si="9"/>
        <v>0</v>
      </c>
      <c r="F73" s="171"/>
      <c r="G73" s="171">
        <f t="shared" si="10"/>
        <v>0</v>
      </c>
      <c r="H73" s="172">
        <f t="shared" si="11"/>
        <v>0</v>
      </c>
      <c r="I73" s="337"/>
      <c r="J73" s="195"/>
      <c r="K73" s="168"/>
      <c r="M73" s="359">
        <f t="shared" si="12"/>
        <v>0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577">
        <f>'[41]Sch C'!D67</f>
        <v>0</v>
      </c>
      <c r="D74" s="577">
        <f>'[41]Sch C'!F67</f>
        <v>0</v>
      </c>
      <c r="E74" s="171">
        <f t="shared" si="9"/>
        <v>0</v>
      </c>
      <c r="F74" s="171">
        <v>11389</v>
      </c>
      <c r="G74" s="171">
        <f t="shared" si="10"/>
        <v>11389</v>
      </c>
      <c r="H74" s="172">
        <f t="shared" si="11"/>
        <v>3.9023510111645585E-3</v>
      </c>
      <c r="I74" s="337"/>
      <c r="J74" s="195"/>
      <c r="K74" s="168"/>
      <c r="M74" s="359">
        <f t="shared" si="12"/>
        <v>0.5986648444070648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577">
        <f>'[41]Sch C'!D68</f>
        <v>0</v>
      </c>
      <c r="D75" s="577">
        <f>'[41]Sch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577">
        <f>'[41]Sch C'!D69</f>
        <v>1631.63</v>
      </c>
      <c r="D76" s="577">
        <f>'[41]Sch C'!F69</f>
        <v>0</v>
      </c>
      <c r="E76" s="171">
        <f t="shared" si="9"/>
        <v>1631.63</v>
      </c>
      <c r="F76" s="171"/>
      <c r="G76" s="171">
        <f t="shared" si="10"/>
        <v>1631.63</v>
      </c>
      <c r="H76" s="172">
        <f t="shared" si="11"/>
        <v>5.590651488582342E-4</v>
      </c>
      <c r="I76" s="337"/>
      <c r="J76" s="195"/>
      <c r="K76" s="168"/>
      <c r="M76" s="359">
        <f t="shared" si="12"/>
        <v>8.5766925988225412E-2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577">
        <f>'[41]Sch C'!D70</f>
        <v>0</v>
      </c>
      <c r="D77" s="577">
        <f>'[41]Sch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7"/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577">
        <f>'[41]Sch C'!D71</f>
        <v>979.87</v>
      </c>
      <c r="D78" s="577">
        <f>'[41]Sch C'!F71</f>
        <v>0</v>
      </c>
      <c r="E78" s="171">
        <f t="shared" si="9"/>
        <v>979.87</v>
      </c>
      <c r="F78" s="171"/>
      <c r="G78" s="171">
        <f t="shared" si="10"/>
        <v>979.87</v>
      </c>
      <c r="H78" s="172">
        <f t="shared" si="11"/>
        <v>3.3574472607865625E-4</v>
      </c>
      <c r="I78" s="337"/>
      <c r="J78" s="195"/>
      <c r="K78" s="168"/>
      <c r="M78" s="359">
        <f t="shared" si="12"/>
        <v>5.1507043734230443E-2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577">
        <f>SUM(C64:C78)</f>
        <v>449467.65</v>
      </c>
      <c r="D79" s="577">
        <f>SUM(D64:D78)</f>
        <v>-166467.05000000002</v>
      </c>
      <c r="E79" s="171">
        <f t="shared" ref="E79" si="13">SUM(E64:E78)</f>
        <v>283000.60000000003</v>
      </c>
      <c r="F79" s="171">
        <f>SUM(F64:F78)</f>
        <v>-74633</v>
      </c>
      <c r="G79" s="171">
        <f>SUM(G64:G78)</f>
        <v>208367.60000000003</v>
      </c>
      <c r="H79" s="172">
        <f t="shared" si="11"/>
        <v>7.1395514492399018E-2</v>
      </c>
      <c r="I79" s="337"/>
      <c r="J79" s="195"/>
      <c r="K79" s="168"/>
      <c r="M79" s="359">
        <f t="shared" si="12"/>
        <v>10.952880571909169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577">
        <f>'[41]Sch C'!D75</f>
        <v>22346.95</v>
      </c>
      <c r="D82" s="577">
        <f>'[41]Sch C'!F75</f>
        <v>0</v>
      </c>
      <c r="E82" s="171">
        <f t="shared" ref="E82:E92" si="14">C82+D82</f>
        <v>22346.95</v>
      </c>
      <c r="F82" s="171"/>
      <c r="G82" s="171">
        <f t="shared" ref="G82:G92" si="15">E82+F82</f>
        <v>22346.95</v>
      </c>
      <c r="H82" s="172">
        <f t="shared" ref="H82:H93" si="16">IF($G$208=0,0,G82/$G$208)</f>
        <v>7.657006140042482E-3</v>
      </c>
      <c r="I82" s="337"/>
      <c r="J82" s="183">
        <v>2080</v>
      </c>
      <c r="K82" s="183">
        <v>2080</v>
      </c>
      <c r="M82" s="359">
        <f t="shared" ref="M82:M92" si="17">G82/G$228</f>
        <v>1.1746714676198486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577">
        <f>'[41]Sch C'!D76</f>
        <v>1947.02</v>
      </c>
      <c r="D83" s="577">
        <f>'[41]Sch C'!F76</f>
        <v>0</v>
      </c>
      <c r="E83" s="171">
        <f t="shared" si="14"/>
        <v>1947.02</v>
      </c>
      <c r="F83" s="171"/>
      <c r="G83" s="171">
        <f t="shared" si="15"/>
        <v>1947.02</v>
      </c>
      <c r="H83" s="172">
        <f t="shared" si="16"/>
        <v>6.6713104449535679E-4</v>
      </c>
      <c r="I83" s="337"/>
      <c r="J83" s="168"/>
      <c r="K83" s="168"/>
      <c r="M83" s="359">
        <f t="shared" si="17"/>
        <v>0.10234545836837679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577">
        <f>'[41]Sch C'!D77</f>
        <v>12944.07</v>
      </c>
      <c r="D84" s="577">
        <f>'[41]Sch C'!F77</f>
        <v>0</v>
      </c>
      <c r="E84" s="171">
        <f t="shared" si="14"/>
        <v>12944.07</v>
      </c>
      <c r="F84" s="171"/>
      <c r="G84" s="171">
        <f t="shared" si="15"/>
        <v>12944.07</v>
      </c>
      <c r="H84" s="172">
        <f t="shared" si="16"/>
        <v>4.435183479944229E-3</v>
      </c>
      <c r="I84" s="337"/>
      <c r="J84" s="168"/>
      <c r="K84" s="168"/>
      <c r="M84" s="359">
        <f t="shared" si="17"/>
        <v>0.68040738015138769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577">
        <f>'[41]Sch C'!D78</f>
        <v>1139.43</v>
      </c>
      <c r="D85" s="577">
        <f>'[41]Sch C'!F78</f>
        <v>0</v>
      </c>
      <c r="E85" s="171">
        <f t="shared" si="14"/>
        <v>1139.43</v>
      </c>
      <c r="F85" s="171"/>
      <c r="G85" s="171">
        <f t="shared" si="15"/>
        <v>1139.43</v>
      </c>
      <c r="H85" s="172">
        <f t="shared" si="16"/>
        <v>3.9041670143570399E-4</v>
      </c>
      <c r="I85" s="337"/>
      <c r="J85" s="168"/>
      <c r="K85" s="168"/>
      <c r="M85" s="359">
        <f t="shared" si="17"/>
        <v>5.9894343986543315E-2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577">
        <f>'[41]Sch C'!D79</f>
        <v>8543.5400000000009</v>
      </c>
      <c r="D86" s="577">
        <f>'[41]Sch C'!F79</f>
        <v>0</v>
      </c>
      <c r="E86" s="171">
        <f t="shared" si="14"/>
        <v>8543.5400000000009</v>
      </c>
      <c r="F86" s="171"/>
      <c r="G86" s="171">
        <f>E86+F86</f>
        <v>8543.5400000000009</v>
      </c>
      <c r="H86" s="172">
        <f t="shared" si="16"/>
        <v>2.9273765877535214E-3</v>
      </c>
      <c r="I86" s="337"/>
      <c r="J86" s="168"/>
      <c r="K86" s="168"/>
      <c r="M86" s="359">
        <f t="shared" si="17"/>
        <v>0.44909272497897396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577">
        <f>'[41]Sch C'!D80</f>
        <v>14888.01</v>
      </c>
      <c r="D87" s="577">
        <f>'[41]Sch C'!F80</f>
        <v>0</v>
      </c>
      <c r="E87" s="171">
        <f t="shared" si="14"/>
        <v>14888.01</v>
      </c>
      <c r="F87" s="171"/>
      <c r="G87" s="171">
        <f t="shared" si="15"/>
        <v>14888.01</v>
      </c>
      <c r="H87" s="172">
        <f t="shared" si="16"/>
        <v>5.101259186735276E-3</v>
      </c>
      <c r="I87" s="337"/>
      <c r="J87" s="168"/>
      <c r="K87" s="168"/>
      <c r="M87" s="359">
        <f t="shared" si="17"/>
        <v>0.78259093776282596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577">
        <f>'[41]Sch C'!D81</f>
        <v>5682.24</v>
      </c>
      <c r="D88" s="577">
        <f>'[41]Sch C'!F81</f>
        <v>0</v>
      </c>
      <c r="E88" s="171">
        <f t="shared" si="14"/>
        <v>5682.24</v>
      </c>
      <c r="F88" s="171"/>
      <c r="G88" s="171">
        <f t="shared" si="15"/>
        <v>5682.24</v>
      </c>
      <c r="H88" s="172">
        <f t="shared" si="16"/>
        <v>1.9469747132917464E-3</v>
      </c>
      <c r="I88" s="337"/>
      <c r="J88" s="168"/>
      <c r="K88" s="168"/>
      <c r="M88" s="359">
        <f t="shared" si="17"/>
        <v>0.29868797308662742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577">
        <f>'[41]Sch C'!D82</f>
        <v>6726.22</v>
      </c>
      <c r="D89" s="577">
        <f>'[41]Sch C'!F82</f>
        <v>0</v>
      </c>
      <c r="E89" s="171">
        <f t="shared" si="14"/>
        <v>6726.22</v>
      </c>
      <c r="F89" s="171"/>
      <c r="G89" s="171">
        <f t="shared" si="15"/>
        <v>6726.22</v>
      </c>
      <c r="H89" s="172">
        <f t="shared" si="16"/>
        <v>2.3046862251571935E-3</v>
      </c>
      <c r="I89" s="337"/>
      <c r="J89" s="168"/>
      <c r="K89" s="168"/>
      <c r="M89" s="359">
        <f t="shared" si="17"/>
        <v>0.35356497056349873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577">
        <f>'[41]Sch C'!D83</f>
        <v>2046.07</v>
      </c>
      <c r="D90" s="577">
        <f>'[41]Sch C'!F83</f>
        <v>0</v>
      </c>
      <c r="E90" s="171">
        <f t="shared" si="14"/>
        <v>2046.07</v>
      </c>
      <c r="F90" s="171"/>
      <c r="G90" s="171">
        <f t="shared" si="15"/>
        <v>2046.07</v>
      </c>
      <c r="H90" s="172">
        <f t="shared" si="16"/>
        <v>7.0106974566805402E-4</v>
      </c>
      <c r="I90" s="337"/>
      <c r="J90" s="168"/>
      <c r="K90" s="168"/>
      <c r="M90" s="359">
        <f t="shared" si="17"/>
        <v>0.10755203952901597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577">
        <f>'[41]Sch C'!D84</f>
        <v>61567.45</v>
      </c>
      <c r="D91" s="577">
        <f>'[41]Sch C'!F84</f>
        <v>0</v>
      </c>
      <c r="E91" s="171">
        <f t="shared" si="14"/>
        <v>61567.45</v>
      </c>
      <c r="F91" s="171"/>
      <c r="G91" s="171">
        <f t="shared" si="15"/>
        <v>61567.45</v>
      </c>
      <c r="H91" s="172">
        <f t="shared" si="16"/>
        <v>2.1095601085461706E-2</v>
      </c>
      <c r="I91" s="337"/>
      <c r="J91" s="168"/>
      <c r="K91" s="168"/>
      <c r="M91" s="359">
        <f t="shared" si="17"/>
        <v>3.2363041421362486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577">
        <f>'[41]Sch C'!D85</f>
        <v>1563.45</v>
      </c>
      <c r="D92" s="577">
        <f>'[41]Sch C'!F85</f>
        <v>0</v>
      </c>
      <c r="E92" s="171">
        <f t="shared" si="14"/>
        <v>1563.45</v>
      </c>
      <c r="F92" s="171"/>
      <c r="G92" s="171">
        <f t="shared" si="15"/>
        <v>1563.45</v>
      </c>
      <c r="H92" s="172">
        <f t="shared" si="16"/>
        <v>5.3570380967646227E-4</v>
      </c>
      <c r="I92" s="337"/>
      <c r="J92" s="168"/>
      <c r="K92" s="168"/>
      <c r="M92" s="359">
        <f t="shared" si="17"/>
        <v>8.2183031959629949E-2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577">
        <f>SUM(C82:C92)</f>
        <v>139394.45000000001</v>
      </c>
      <c r="D93" s="577">
        <f>SUM(D82:D92)</f>
        <v>0</v>
      </c>
      <c r="E93" s="171">
        <f t="shared" ref="E93" si="18">SUM(E82:E92)</f>
        <v>139394.45000000001</v>
      </c>
      <c r="F93" s="171">
        <f>SUM(F82:F92)</f>
        <v>0</v>
      </c>
      <c r="G93" s="171">
        <f>SUM(G82:G92)</f>
        <v>139394.45000000001</v>
      </c>
      <c r="H93" s="172">
        <f t="shared" si="16"/>
        <v>4.7762408719661739E-2</v>
      </c>
      <c r="I93" s="337"/>
      <c r="J93" s="168"/>
      <c r="K93" s="168"/>
      <c r="M93" s="364">
        <f>G93/G$228</f>
        <v>7.3272944701429781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577">
        <f>'[41]Sch C'!D89</f>
        <v>148244.70000000001</v>
      </c>
      <c r="D96" s="577">
        <f>'[41]Sch C'!F89</f>
        <v>0</v>
      </c>
      <c r="E96" s="171">
        <f t="shared" ref="E96:E101" si="19">C96+D96</f>
        <v>148244.70000000001</v>
      </c>
      <c r="F96" s="171"/>
      <c r="G96" s="171">
        <f t="shared" ref="G96:G101" si="20">E96+F96</f>
        <v>148244.70000000001</v>
      </c>
      <c r="H96" s="172">
        <f t="shared" ref="H96:H102" si="21">IF($G$208=0,0,G96/$G$208)</f>
        <v>5.079487706952205E-2</v>
      </c>
      <c r="I96" s="337"/>
      <c r="J96" s="183">
        <v>12480</v>
      </c>
      <c r="K96" s="183">
        <v>12480</v>
      </c>
      <c r="M96" s="364">
        <f t="shared" ref="M96:M101" si="22">G96/G$228</f>
        <v>7.792509461732549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577">
        <f>'[41]Sch C'!D90</f>
        <v>12916.12</v>
      </c>
      <c r="D97" s="577">
        <f>'[41]Sch C'!F90</f>
        <v>0</v>
      </c>
      <c r="E97" s="171">
        <f t="shared" si="19"/>
        <v>12916.12</v>
      </c>
      <c r="F97" s="171"/>
      <c r="G97" s="171">
        <f t="shared" si="20"/>
        <v>12916.12</v>
      </c>
      <c r="H97" s="172">
        <f t="shared" si="21"/>
        <v>4.4256066329197274E-3</v>
      </c>
      <c r="I97" s="337"/>
      <c r="J97" s="168"/>
      <c r="K97" s="168"/>
      <c r="M97" s="364">
        <f t="shared" si="22"/>
        <v>0.67893818334735079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577">
        <f>'[41]Sch C'!D91</f>
        <v>2100.38</v>
      </c>
      <c r="D98" s="577">
        <f>'[41]Sch C'!F91</f>
        <v>0</v>
      </c>
      <c r="E98" s="171">
        <f t="shared" si="19"/>
        <v>2100.38</v>
      </c>
      <c r="F98" s="171"/>
      <c r="G98" s="171">
        <f t="shared" si="20"/>
        <v>2100.38</v>
      </c>
      <c r="H98" s="172">
        <f t="shared" si="21"/>
        <v>7.1967863875931298E-4</v>
      </c>
      <c r="I98" s="337"/>
      <c r="J98" s="168"/>
      <c r="K98" s="168"/>
      <c r="M98" s="364">
        <f t="shared" si="22"/>
        <v>0.11040685449957949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577">
        <f>'[41]Sch C'!D92</f>
        <v>175641.53</v>
      </c>
      <c r="D99" s="577">
        <f>'[41]Sch C'!F92</f>
        <v>0</v>
      </c>
      <c r="E99" s="171">
        <f t="shared" si="19"/>
        <v>175641.53</v>
      </c>
      <c r="F99" s="171"/>
      <c r="G99" s="171">
        <f t="shared" si="20"/>
        <v>175641.53</v>
      </c>
      <c r="H99" s="172">
        <f t="shared" si="21"/>
        <v>6.0182184757045405E-2</v>
      </c>
      <c r="I99" s="337"/>
      <c r="J99" s="168"/>
      <c r="K99" s="168"/>
      <c r="M99" s="364">
        <f t="shared" si="22"/>
        <v>9.23262878469302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577">
        <f>'[41]Sch C'!D93</f>
        <v>15565.67</v>
      </c>
      <c r="D100" s="577">
        <f>'[41]Sch C'!F93</f>
        <v>0</v>
      </c>
      <c r="E100" s="171">
        <f t="shared" si="19"/>
        <v>15565.67</v>
      </c>
      <c r="F100" s="171"/>
      <c r="G100" s="171">
        <f t="shared" si="20"/>
        <v>15565.67</v>
      </c>
      <c r="H100" s="172">
        <f t="shared" si="21"/>
        <v>5.3334540402101881E-3</v>
      </c>
      <c r="I100" s="337"/>
      <c r="J100" s="168"/>
      <c r="K100" s="168"/>
      <c r="M100" s="364">
        <f t="shared" si="22"/>
        <v>0.81821225820016819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577">
        <f>'[41]Sch C'!D94</f>
        <v>1350.93</v>
      </c>
      <c r="D101" s="577">
        <f>'[41]Sch C'!F94</f>
        <v>0</v>
      </c>
      <c r="E101" s="171">
        <f t="shared" si="19"/>
        <v>1350.93</v>
      </c>
      <c r="F101" s="171"/>
      <c r="G101" s="171">
        <f t="shared" si="20"/>
        <v>1350.93</v>
      </c>
      <c r="H101" s="172">
        <f t="shared" si="21"/>
        <v>4.628855080790708E-4</v>
      </c>
      <c r="I101" s="337"/>
      <c r="J101" s="168"/>
      <c r="K101" s="168"/>
      <c r="M101" s="364">
        <f t="shared" si="22"/>
        <v>7.1011879730866284E-2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577">
        <f>SUM(C96:C101)</f>
        <v>355819.32999999996</v>
      </c>
      <c r="D102" s="577">
        <f>SUM(D96:D101)</f>
        <v>0</v>
      </c>
      <c r="E102" s="171">
        <f t="shared" ref="E102" si="23">SUM(E96:E101)</f>
        <v>355819.32999999996</v>
      </c>
      <c r="F102" s="171">
        <f>SUM(F96:F101)</f>
        <v>0</v>
      </c>
      <c r="G102" s="171">
        <f>SUM(G96:G101)</f>
        <v>355819.32999999996</v>
      </c>
      <c r="H102" s="172">
        <f t="shared" si="21"/>
        <v>0.12191868664653574</v>
      </c>
      <c r="I102" s="337"/>
      <c r="J102" s="168"/>
      <c r="K102" s="168"/>
      <c r="M102" s="364">
        <f>G102/G$228</f>
        <v>18.703707422203529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577">
        <f>'[41]Sch C'!D98</f>
        <v>34296.620000000003</v>
      </c>
      <c r="D105" s="577">
        <f>'[41]Sch C'!F98</f>
        <v>0</v>
      </c>
      <c r="E105" s="171">
        <f t="shared" ref="E105:E110" si="24">C105+D105</f>
        <v>34296.620000000003</v>
      </c>
      <c r="F105" s="171"/>
      <c r="G105" s="171">
        <f t="shared" ref="G105:G110" si="25">E105+F105</f>
        <v>34296.620000000003</v>
      </c>
      <c r="H105" s="172">
        <f t="shared" ref="H105:H111" si="26">IF($G$208=0,0,G105/$G$208)</f>
        <v>1.1751466304023761E-2</v>
      </c>
      <c r="I105" s="337"/>
      <c r="J105" s="183">
        <v>4160</v>
      </c>
      <c r="K105" s="183">
        <v>4160</v>
      </c>
      <c r="M105" s="364">
        <f t="shared" ref="M105:M110" si="27">G105/G$228</f>
        <v>1.80280803195963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577">
        <f>'[41]Sch C'!D99</f>
        <v>2988.19</v>
      </c>
      <c r="D106" s="577">
        <f>'[41]Sch C'!F99</f>
        <v>0</v>
      </c>
      <c r="E106" s="171">
        <f t="shared" si="24"/>
        <v>2988.19</v>
      </c>
      <c r="F106" s="171"/>
      <c r="G106" s="171">
        <f t="shared" si="25"/>
        <v>2988.19</v>
      </c>
      <c r="H106" s="172">
        <f t="shared" si="26"/>
        <v>1.0238797320266768E-3</v>
      </c>
      <c r="I106" s="337"/>
      <c r="J106" s="168"/>
      <c r="K106" s="168"/>
      <c r="M106" s="364">
        <f t="shared" si="27"/>
        <v>0.15707474768713206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577">
        <f>'[41]Sch C'!D100</f>
        <v>2782.17</v>
      </c>
      <c r="D107" s="577">
        <f>'[41]Sch C'!F100</f>
        <v>0</v>
      </c>
      <c r="E107" s="171">
        <f t="shared" si="24"/>
        <v>2782.17</v>
      </c>
      <c r="F107" s="171">
        <f>-2782+766</f>
        <v>-2016</v>
      </c>
      <c r="G107" s="171">
        <f t="shared" si="25"/>
        <v>766.17000000000007</v>
      </c>
      <c r="H107" s="172">
        <f t="shared" si="26"/>
        <v>2.6252210678935379E-4</v>
      </c>
      <c r="I107" s="337"/>
      <c r="J107" s="168"/>
      <c r="K107" s="168"/>
      <c r="M107" s="364">
        <f t="shared" si="27"/>
        <v>4.02738645920942E-2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577">
        <f>'[41]Sch C'!D101</f>
        <v>765.85</v>
      </c>
      <c r="D108" s="577">
        <f>'[41]Sch C'!F101</f>
        <v>0</v>
      </c>
      <c r="E108" s="171">
        <f t="shared" si="24"/>
        <v>765.85</v>
      </c>
      <c r="F108" s="171">
        <v>-766</v>
      </c>
      <c r="G108" s="171">
        <f t="shared" si="25"/>
        <v>-0.14999999999997726</v>
      </c>
      <c r="H108" s="172">
        <f t="shared" si="26"/>
        <v>-5.1396316768337433E-8</v>
      </c>
      <c r="I108" s="337"/>
      <c r="J108" s="168"/>
      <c r="K108" s="168"/>
      <c r="M108" s="364">
        <f t="shared" si="27"/>
        <v>-7.8847771236321106E-6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577">
        <f>'[41]Sch C'!D102</f>
        <v>0</v>
      </c>
      <c r="D109" s="577">
        <f>'[41]Sch C'!F102</f>
        <v>0</v>
      </c>
      <c r="E109" s="171">
        <f t="shared" si="24"/>
        <v>0</v>
      </c>
      <c r="F109" s="171">
        <v>2782</v>
      </c>
      <c r="G109" s="171">
        <f t="shared" si="25"/>
        <v>2782</v>
      </c>
      <c r="H109" s="172">
        <f t="shared" si="26"/>
        <v>9.5323035499690948E-4</v>
      </c>
      <c r="I109" s="337"/>
      <c r="J109" s="168"/>
      <c r="K109" s="168"/>
      <c r="M109" s="364">
        <f t="shared" si="27"/>
        <v>0.1462363330529857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577">
        <f>'[41]Sch C'!D103</f>
        <v>0</v>
      </c>
      <c r="D110" s="577">
        <f>'[41]Sch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7"/>
      <c r="J110" s="168"/>
      <c r="K110" s="168"/>
      <c r="M110" s="364">
        <f t="shared" si="27"/>
        <v>0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577">
        <f>SUM(C105:C110)</f>
        <v>40832.83</v>
      </c>
      <c r="D111" s="577">
        <f>SUM(D105:D110)</f>
        <v>0</v>
      </c>
      <c r="E111" s="171">
        <f t="shared" ref="E111" si="28">SUM(E105:E110)</f>
        <v>40832.83</v>
      </c>
      <c r="F111" s="171">
        <f>SUM(F105:F110)</f>
        <v>0</v>
      </c>
      <c r="G111" s="171">
        <f>SUM(G105:G110)</f>
        <v>40832.83</v>
      </c>
      <c r="H111" s="172">
        <f t="shared" si="26"/>
        <v>1.3991047101519933E-2</v>
      </c>
      <c r="I111" s="337"/>
      <c r="J111" s="168"/>
      <c r="K111" s="168"/>
      <c r="M111" s="364">
        <f>G111/G$228</f>
        <v>2.1463850925147185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577">
        <f>'[41]Sch C'!D115</f>
        <v>105257.3</v>
      </c>
      <c r="D114" s="577">
        <f>'[41]Sch C'!F115</f>
        <v>0</v>
      </c>
      <c r="E114" s="171">
        <f t="shared" ref="E114:E118" si="29">C114+D114</f>
        <v>105257.3</v>
      </c>
      <c r="F114" s="171"/>
      <c r="G114" s="171">
        <f>E114+F114</f>
        <v>105257.3</v>
      </c>
      <c r="H114" s="172">
        <f t="shared" ref="H114:H119" si="30">IF($G$208=0,0,G114/$G$208)</f>
        <v>3.6065583553204959E-2</v>
      </c>
      <c r="I114" s="337"/>
      <c r="J114" s="183">
        <v>10400</v>
      </c>
      <c r="K114" s="183">
        <v>10400</v>
      </c>
      <c r="M114" s="364">
        <f t="shared" ref="M114:M119" si="31">G114/G$228</f>
        <v>5.5328690075693858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577">
        <f>'[41]Sch C'!D116</f>
        <v>9170.7099999999991</v>
      </c>
      <c r="D115" s="577">
        <f>'[41]Sch C'!F116</f>
        <v>0</v>
      </c>
      <c r="E115" s="171">
        <f t="shared" si="29"/>
        <v>9170.7099999999991</v>
      </c>
      <c r="F115" s="171"/>
      <c r="G115" s="171">
        <f>E115+F115</f>
        <v>9170.7099999999991</v>
      </c>
      <c r="H115" s="172">
        <f t="shared" si="30"/>
        <v>3.1422714410042078E-3</v>
      </c>
      <c r="I115" s="337"/>
      <c r="J115" s="168"/>
      <c r="K115" s="168"/>
      <c r="M115" s="364">
        <f t="shared" si="31"/>
        <v>0.48206002943650123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577">
        <f>'[41]Sch C'!D117</f>
        <v>5921.61</v>
      </c>
      <c r="D116" s="577">
        <f>'[41]Sch C'!F117</f>
        <v>0</v>
      </c>
      <c r="E116" s="171">
        <f t="shared" si="29"/>
        <v>5921.61</v>
      </c>
      <c r="F116" s="171"/>
      <c r="G116" s="171">
        <f>E116+F116</f>
        <v>5921.61</v>
      </c>
      <c r="H116" s="172">
        <f t="shared" si="30"/>
        <v>2.0289929555906716E-3</v>
      </c>
      <c r="I116" s="337"/>
      <c r="J116" s="168"/>
      <c r="K116" s="168"/>
      <c r="M116" s="364">
        <f t="shared" si="31"/>
        <v>0.31127050042052146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577">
        <f>'[41]Sch C'!D118</f>
        <v>810.56</v>
      </c>
      <c r="D117" s="577">
        <f>'[41]Sch C'!F118</f>
        <v>0</v>
      </c>
      <c r="E117" s="171">
        <f t="shared" si="29"/>
        <v>810.56</v>
      </c>
      <c r="F117" s="171"/>
      <c r="G117" s="171">
        <f>E117+F117</f>
        <v>810.56</v>
      </c>
      <c r="H117" s="172">
        <f t="shared" si="30"/>
        <v>2.7773199013166603E-4</v>
      </c>
      <c r="I117" s="337"/>
      <c r="J117" s="168"/>
      <c r="K117" s="168"/>
      <c r="M117" s="364">
        <f t="shared" si="31"/>
        <v>4.2607232968881407E-2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577">
        <f>'[41]Sch C'!D119</f>
        <v>0</v>
      </c>
      <c r="D118" s="577">
        <f>'[41]Sch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337"/>
      <c r="J118" s="168"/>
      <c r="K118" s="168"/>
      <c r="M118" s="364">
        <f t="shared" si="31"/>
        <v>0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577">
        <f>SUM(C114:C118)</f>
        <v>121160.18000000001</v>
      </c>
      <c r="D119" s="577">
        <f>SUM(D114:D118)</f>
        <v>0</v>
      </c>
      <c r="E119" s="171">
        <f t="shared" ref="E119" si="32">SUM(E114:E118)</f>
        <v>121160.18000000001</v>
      </c>
      <c r="F119" s="171">
        <f>SUM(F114:F118)</f>
        <v>0</v>
      </c>
      <c r="G119" s="171">
        <f>SUM(G114:G118)</f>
        <v>121160.18000000001</v>
      </c>
      <c r="H119" s="172">
        <f t="shared" si="30"/>
        <v>4.151457993993151E-2</v>
      </c>
      <c r="I119" s="337"/>
      <c r="J119" s="168"/>
      <c r="K119" s="168"/>
      <c r="M119" s="364">
        <f t="shared" si="31"/>
        <v>6.3688067703952909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1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577">
        <f>'[41]Sch C'!D124</f>
        <v>0</v>
      </c>
      <c r="D123" s="577">
        <f>'[41]Sch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7"/>
      <c r="J123" s="183">
        <v>520</v>
      </c>
      <c r="K123" s="183">
        <v>520</v>
      </c>
      <c r="M123" s="364">
        <f t="shared" ref="M123:M160" si="34">G123/G$228</f>
        <v>0</v>
      </c>
      <c r="N123" s="359">
        <f>SUMMARY!J126</f>
        <v>0.77002560279620991</v>
      </c>
    </row>
    <row r="124" spans="1:14" s="167" customFormat="1">
      <c r="B124" s="163" t="s">
        <v>194</v>
      </c>
      <c r="C124" s="577">
        <f>'[41]Sch C'!D125</f>
        <v>162462.39999999999</v>
      </c>
      <c r="D124" s="577">
        <f>'[41]Sch C'!F125</f>
        <v>0</v>
      </c>
      <c r="E124" s="171">
        <f t="shared" si="33"/>
        <v>162462.39999999999</v>
      </c>
      <c r="F124" s="171"/>
      <c r="G124" s="171">
        <f>E124+F124</f>
        <v>162462.39999999999</v>
      </c>
      <c r="H124" s="172">
        <f>IF($G$208=0,0,G124/$G$208)</f>
        <v>5.566645982230406E-2</v>
      </c>
      <c r="I124" s="337"/>
      <c r="J124" s="183">
        <v>6240</v>
      </c>
      <c r="K124" s="183">
        <v>6240</v>
      </c>
      <c r="M124" s="364">
        <f t="shared" si="34"/>
        <v>8.5398654331370896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577">
        <f>'[41]Sch C'!D126</f>
        <v>0</v>
      </c>
      <c r="D125" s="577">
        <f>'[41]Sch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7"/>
      <c r="J125" s="183">
        <v>0</v>
      </c>
      <c r="K125" s="183">
        <v>0</v>
      </c>
      <c r="M125" s="364">
        <f t="shared" si="34"/>
        <v>0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577">
        <f>'[41]Sch C'!D127</f>
        <v>0</v>
      </c>
      <c r="D126" s="577">
        <f>'[41]Sch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7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577">
        <f>'[41]Sch C'!D128</f>
        <v>30533.02</v>
      </c>
      <c r="D127" s="577">
        <f>'[41]Sch C'!F128</f>
        <v>0</v>
      </c>
      <c r="E127" s="171">
        <f t="shared" si="33"/>
        <v>30533.02</v>
      </c>
      <c r="F127" s="171"/>
      <c r="G127" s="171">
        <f>E127+F127</f>
        <v>30533.02</v>
      </c>
      <c r="H127" s="172">
        <f>IF($G$208=0,0,G127/$G$208)</f>
        <v>1.0461898452094802E-2</v>
      </c>
      <c r="I127" s="337"/>
      <c r="J127" s="183">
        <v>2080</v>
      </c>
      <c r="K127" s="183">
        <v>2080</v>
      </c>
      <c r="M127" s="364">
        <f t="shared" si="34"/>
        <v>1.6049737174095879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205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577">
        <f>'[41]Sch C'!D130</f>
        <v>0</v>
      </c>
      <c r="D129" s="577">
        <f>'[41]Sch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7"/>
      <c r="J129" s="204"/>
      <c r="K129" s="204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577">
        <f>'[41]Sch C'!D131</f>
        <v>14154.84</v>
      </c>
      <c r="D130" s="577">
        <f>'[41]Sch C'!F131</f>
        <v>0</v>
      </c>
      <c r="E130" s="171">
        <f t="shared" si="35"/>
        <v>14154.84</v>
      </c>
      <c r="F130" s="171"/>
      <c r="G130" s="171">
        <f>E130+F130</f>
        <v>14154.84</v>
      </c>
      <c r="H130" s="172">
        <f>IF($G$208=0,0,G130/$G$208)</f>
        <v>4.850044269634958E-3</v>
      </c>
      <c r="I130" s="337"/>
      <c r="J130" s="204"/>
      <c r="K130" s="204"/>
      <c r="M130" s="364">
        <f t="shared" si="34"/>
        <v>0.74405172413793108</v>
      </c>
      <c r="N130" s="359">
        <f>SUMMARY!J133</f>
        <v>1.0792348507966931</v>
      </c>
    </row>
    <row r="131" spans="1:14" s="167" customFormat="1">
      <c r="B131" s="163" t="s">
        <v>195</v>
      </c>
      <c r="C131" s="577">
        <f>'[41]Sch C'!D132</f>
        <v>0</v>
      </c>
      <c r="D131" s="577">
        <f>'[41]Sch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7"/>
      <c r="J131" s="168"/>
      <c r="K131" s="168"/>
      <c r="M131" s="364">
        <f t="shared" si="34"/>
        <v>0</v>
      </c>
      <c r="N131" s="359">
        <f>SUMMARY!J134</f>
        <v>8.2765628075518377E-2</v>
      </c>
    </row>
    <row r="132" spans="1:14" s="167" customFormat="1">
      <c r="B132" s="163" t="s">
        <v>196</v>
      </c>
      <c r="C132" s="577">
        <f>'[41]Sch C'!D133</f>
        <v>0</v>
      </c>
      <c r="D132" s="577">
        <f>'[41]Sch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577">
        <f>'[41]Sch C'!D134</f>
        <v>2660.2460000000001</v>
      </c>
      <c r="D133" s="577">
        <f>'[41]Sch C'!F134</f>
        <v>0</v>
      </c>
      <c r="E133" s="171">
        <f t="shared" si="35"/>
        <v>2660.2460000000001</v>
      </c>
      <c r="F133" s="171"/>
      <c r="G133" s="171">
        <f>E133+F133</f>
        <v>2660.2460000000001</v>
      </c>
      <c r="H133" s="172">
        <f>IF($G$208=0,0,G133/$G$208)</f>
        <v>9.1151230731815547E-4</v>
      </c>
      <c r="I133" s="337"/>
      <c r="J133" s="168"/>
      <c r="K133" s="168"/>
      <c r="M133" s="364">
        <f t="shared" si="34"/>
        <v>0.13983631202691338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577">
        <f>'[41]Sch C'!D136</f>
        <v>371903.32</v>
      </c>
      <c r="D135" s="577">
        <f>'[41]Sch C'!F136</f>
        <v>0</v>
      </c>
      <c r="E135" s="171">
        <f t="shared" ref="E135:E138" si="36">C135+D135</f>
        <v>371903.32</v>
      </c>
      <c r="F135" s="171"/>
      <c r="G135" s="171">
        <f>E135+F135</f>
        <v>371903.32</v>
      </c>
      <c r="H135" s="172">
        <f>IF($G$208=0,0,G135/$G$208)</f>
        <v>0.12742973894612841</v>
      </c>
      <c r="I135" s="337"/>
      <c r="J135" s="183">
        <v>13774</v>
      </c>
      <c r="K135" s="183">
        <v>13774</v>
      </c>
      <c r="M135" s="364">
        <f t="shared" si="34"/>
        <v>19.549165264928511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577">
        <f>'[41]Sch C'!D137</f>
        <v>7573.96</v>
      </c>
      <c r="D136" s="577">
        <f>'[41]Sch C'!F137</f>
        <v>0</v>
      </c>
      <c r="E136" s="171">
        <f t="shared" si="36"/>
        <v>7573.96</v>
      </c>
      <c r="F136" s="171"/>
      <c r="G136" s="171">
        <f>E136+F136</f>
        <v>7573.96</v>
      </c>
      <c r="H136" s="172">
        <f>IF($G$208=0,0,G136/$G$208)</f>
        <v>2.5951576490051732E-3</v>
      </c>
      <c r="I136" s="337"/>
      <c r="J136" s="183">
        <v>600</v>
      </c>
      <c r="K136" s="183">
        <v>600</v>
      </c>
      <c r="M136" s="364">
        <f t="shared" si="34"/>
        <v>0.39812657695542475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577">
        <f>'[41]Sch C'!D138</f>
        <v>443383.16</v>
      </c>
      <c r="D137" s="577">
        <f>'[41]Sch C'!F138</f>
        <v>0</v>
      </c>
      <c r="E137" s="171">
        <f t="shared" si="36"/>
        <v>443383.16</v>
      </c>
      <c r="F137" s="171"/>
      <c r="G137" s="171">
        <f>E137+F137</f>
        <v>443383.16</v>
      </c>
      <c r="H137" s="172">
        <f>IF($G$208=0,0,G137/$G$208)</f>
        <v>0.15192174227406594</v>
      </c>
      <c r="I137" s="337"/>
      <c r="J137" s="183">
        <v>38555.040000000001</v>
      </c>
      <c r="K137" s="183">
        <v>38555.040000000001</v>
      </c>
      <c r="M137" s="364">
        <f t="shared" si="34"/>
        <v>23.306515979814968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577">
        <f>'[41]Sch C'!D139</f>
        <v>87606.85</v>
      </c>
      <c r="D138" s="577">
        <f>'[41]Sch C'!F139</f>
        <v>0</v>
      </c>
      <c r="E138" s="171">
        <f t="shared" si="36"/>
        <v>87606.85</v>
      </c>
      <c r="F138" s="171"/>
      <c r="G138" s="171">
        <f>E138+F138</f>
        <v>87606.85</v>
      </c>
      <c r="H138" s="172">
        <f>IF($G$208=0,0,G138/$G$208)</f>
        <v>3.0017796091179369E-2</v>
      </c>
      <c r="I138" s="337"/>
      <c r="J138" s="183">
        <v>9734</v>
      </c>
      <c r="K138" s="183">
        <v>9734</v>
      </c>
      <c r="M138" s="364">
        <f t="shared" si="34"/>
        <v>4.6050699116904967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7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577">
        <f>'[41]Sch C'!D141</f>
        <v>32402.77</v>
      </c>
      <c r="D140" s="577">
        <f>'[41]Sch C'!F141</f>
        <v>0</v>
      </c>
      <c r="E140" s="171">
        <f t="shared" ref="E140:E143" si="37">C140+D140</f>
        <v>32402.77</v>
      </c>
      <c r="F140" s="171"/>
      <c r="G140" s="171">
        <f>E140+F140</f>
        <v>32402.77</v>
      </c>
      <c r="H140" s="172">
        <f>IF($G$208=0,0,G140/$G$208)</f>
        <v>1.1102553540612225E-2</v>
      </c>
      <c r="I140" s="337"/>
      <c r="J140" s="168"/>
      <c r="K140" s="168"/>
      <c r="M140" s="364">
        <f t="shared" si="34"/>
        <v>1.703257464255677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577">
        <f>'[41]Sch C'!D142</f>
        <v>659.9</v>
      </c>
      <c r="D141" s="577">
        <f>'[41]Sch C'!F142</f>
        <v>0</v>
      </c>
      <c r="E141" s="171">
        <f t="shared" si="37"/>
        <v>659.9</v>
      </c>
      <c r="F141" s="171"/>
      <c r="G141" s="171">
        <f>E141+F141</f>
        <v>659.9</v>
      </c>
      <c r="H141" s="172">
        <f>IF($G$208=0,0,G141/$G$208)</f>
        <v>2.2610952956954007E-4</v>
      </c>
      <c r="I141" s="337"/>
      <c r="J141" s="168"/>
      <c r="K141" s="168"/>
      <c r="M141" s="364">
        <f t="shared" si="34"/>
        <v>3.468776282590412E-2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577">
        <f>'[41]Sch C'!D143</f>
        <v>38603.339999999997</v>
      </c>
      <c r="D142" s="577">
        <f>'[41]Sch C'!F143</f>
        <v>0</v>
      </c>
      <c r="E142" s="171">
        <f t="shared" si="37"/>
        <v>38603.339999999997</v>
      </c>
      <c r="F142" s="171"/>
      <c r="G142" s="171">
        <f>E142+F142</f>
        <v>38603.339999999997</v>
      </c>
      <c r="H142" s="172">
        <f>IF($G$208=0,0,G142/$G$208)</f>
        <v>1.3227129939707545E-2</v>
      </c>
      <c r="I142" s="337"/>
      <c r="J142" s="168"/>
      <c r="K142" s="168"/>
      <c r="M142" s="364">
        <f t="shared" si="34"/>
        <v>2.0291915475189235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577">
        <f>'[41]Sch C'!D144</f>
        <v>7632.91</v>
      </c>
      <c r="D143" s="577">
        <f>'[41]Sch C'!F144</f>
        <v>0</v>
      </c>
      <c r="E143" s="171">
        <f t="shared" si="37"/>
        <v>7632.91</v>
      </c>
      <c r="F143" s="171"/>
      <c r="G143" s="171">
        <f>E143+F143</f>
        <v>7632.91</v>
      </c>
      <c r="H143" s="172">
        <f>IF($G$208=0,0,G143/$G$208)</f>
        <v>2.6153564014951328E-3</v>
      </c>
      <c r="I143" s="337"/>
      <c r="J143" s="168"/>
      <c r="K143" s="168"/>
      <c r="M143" s="364">
        <f t="shared" si="34"/>
        <v>0.40122529436501259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7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577">
        <f>'[41]Sch C'!D146</f>
        <v>3950</v>
      </c>
      <c r="D145" s="577">
        <f>'[41]Sch C'!F146</f>
        <v>0</v>
      </c>
      <c r="E145" s="171">
        <f t="shared" ref="E145:E153" si="38">C145+D145</f>
        <v>3950</v>
      </c>
      <c r="F145" s="171"/>
      <c r="G145" s="171">
        <f t="shared" ref="G145:G153" si="39">E145+F145</f>
        <v>3950</v>
      </c>
      <c r="H145" s="172">
        <f t="shared" ref="H145:H153" si="40">IF($G$208=0,0,G145/$G$208)</f>
        <v>1.3534363415664242E-3</v>
      </c>
      <c r="I145" s="337"/>
      <c r="J145" s="183">
        <v>520</v>
      </c>
      <c r="K145" s="183">
        <v>520</v>
      </c>
      <c r="M145" s="364">
        <f t="shared" si="34"/>
        <v>0.20763246425567705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577">
        <f>'[41]Sch C'!D147</f>
        <v>24191.02</v>
      </c>
      <c r="D146" s="577">
        <f>'[41]Sch C'!F147</f>
        <v>0</v>
      </c>
      <c r="E146" s="171">
        <f t="shared" si="38"/>
        <v>24191.02</v>
      </c>
      <c r="F146" s="171"/>
      <c r="G146" s="171">
        <f t="shared" si="39"/>
        <v>24191.02</v>
      </c>
      <c r="H146" s="172">
        <f t="shared" si="40"/>
        <v>8.2888621791291639E-3</v>
      </c>
      <c r="I146" s="337"/>
      <c r="J146" s="183">
        <v>604.77</v>
      </c>
      <c r="K146" s="183">
        <v>0</v>
      </c>
      <c r="M146" s="364">
        <f t="shared" si="34"/>
        <v>1.2716053406223717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577">
        <f>'[41]Sch C'!D148</f>
        <v>0</v>
      </c>
      <c r="D147" s="577">
        <f>'[41]Sch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7"/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577">
        <f>'[41]Sch C'!D149</f>
        <v>0</v>
      </c>
      <c r="D148" s="577">
        <f>'[41]Sch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7"/>
      <c r="J148" s="183">
        <v>0</v>
      </c>
      <c r="K148" s="183">
        <v>0</v>
      </c>
      <c r="M148" s="364">
        <f t="shared" si="34"/>
        <v>0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577">
        <f>'[41]Sch C'!D150</f>
        <v>0</v>
      </c>
      <c r="D149" s="577">
        <f>'[41]Sch C'!F150</f>
        <v>0</v>
      </c>
      <c r="E149" s="171">
        <f t="shared" si="38"/>
        <v>0</v>
      </c>
      <c r="F149" s="171"/>
      <c r="G149" s="171">
        <f t="shared" si="39"/>
        <v>0</v>
      </c>
      <c r="H149" s="172">
        <f t="shared" si="40"/>
        <v>0</v>
      </c>
      <c r="I149" s="337"/>
      <c r="J149" s="183">
        <v>0</v>
      </c>
      <c r="K149" s="183">
        <v>0</v>
      </c>
      <c r="M149" s="364">
        <f t="shared" si="34"/>
        <v>0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577">
        <f>'[41]Sch C'!D151</f>
        <v>78134.990000000005</v>
      </c>
      <c r="D150" s="577">
        <f>'[41]Sch C'!F151</f>
        <v>0</v>
      </c>
      <c r="E150" s="171">
        <f t="shared" si="38"/>
        <v>78134.990000000005</v>
      </c>
      <c r="F150" s="171"/>
      <c r="G150" s="171">
        <f t="shared" si="39"/>
        <v>78134.990000000005</v>
      </c>
      <c r="H150" s="172">
        <f t="shared" si="40"/>
        <v>2.6772337978209913E-2</v>
      </c>
      <c r="I150" s="337"/>
      <c r="J150" s="168"/>
      <c r="K150" s="168"/>
      <c r="M150" s="364">
        <f t="shared" si="34"/>
        <v>4.1071798780487807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577">
        <f>'[41]Sch C'!D152</f>
        <v>966.41</v>
      </c>
      <c r="D151" s="577">
        <f>'[41]Sch C'!F152</f>
        <v>0</v>
      </c>
      <c r="E151" s="171">
        <f t="shared" si="38"/>
        <v>966.41</v>
      </c>
      <c r="F151" s="171"/>
      <c r="G151" s="171">
        <f t="shared" si="39"/>
        <v>966.41</v>
      </c>
      <c r="H151" s="172">
        <f t="shared" si="40"/>
        <v>3.3113276325397672E-4</v>
      </c>
      <c r="I151" s="337"/>
      <c r="J151" s="168"/>
      <c r="K151" s="168"/>
      <c r="M151" s="364">
        <f t="shared" si="34"/>
        <v>5.0799516400336413E-2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577">
        <f>'[41]Sch C'!D153</f>
        <v>0</v>
      </c>
      <c r="D152" s="577">
        <f>'[41]Sch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7"/>
      <c r="J152" s="168"/>
      <c r="K152" s="168"/>
      <c r="M152" s="364">
        <f t="shared" si="34"/>
        <v>0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577">
        <f>'[41]Sch C'!D154</f>
        <v>0</v>
      </c>
      <c r="D153" s="577">
        <f>'[41]Sch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210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577">
        <f>'[41]Sch C'!D156</f>
        <v>0</v>
      </c>
      <c r="D155" s="577">
        <f>'[41]Sch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577">
        <f>'[41]Sch C'!D157</f>
        <v>0</v>
      </c>
      <c r="D156" s="577">
        <f>'[41]Sch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577">
        <f>'[41]Sch C'!D158</f>
        <v>0</v>
      </c>
      <c r="D157" s="577">
        <f>'[41]Sch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7"/>
      <c r="J157" s="168"/>
      <c r="K157" s="168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577">
        <f>'[41]Sch C'!D159</f>
        <v>0</v>
      </c>
      <c r="D158" s="577">
        <f>'[41]Sch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577">
        <f>'[41]Sch C'!D160</f>
        <v>0</v>
      </c>
      <c r="D159" s="577">
        <f>'[41]Sch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7"/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577">
        <f>'[41]Sch C'!D161</f>
        <v>415.59</v>
      </c>
      <c r="D160" s="577">
        <f>'[41]Sch C'!F161</f>
        <v>0</v>
      </c>
      <c r="E160" s="171">
        <f t="shared" si="41"/>
        <v>415.59</v>
      </c>
      <c r="F160" s="171"/>
      <c r="G160" s="171">
        <f t="shared" si="42"/>
        <v>415.59</v>
      </c>
      <c r="H160" s="172">
        <f t="shared" si="43"/>
        <v>1.4239863523837727E-4</v>
      </c>
      <c r="I160" s="337"/>
      <c r="J160" s="168"/>
      <c r="K160" s="168"/>
      <c r="M160" s="364">
        <f t="shared" si="34"/>
        <v>2.1845563498738434E-2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577">
        <f>SUM(C123:C160)</f>
        <v>1307234.726</v>
      </c>
      <c r="D161" s="577">
        <f>SUM(D123:D160)</f>
        <v>0</v>
      </c>
      <c r="E161" s="171">
        <f t="shared" ref="E161" si="44">SUM(E123:E160)</f>
        <v>1307234.726</v>
      </c>
      <c r="F161" s="171">
        <f>SUM(F123:F160)</f>
        <v>0</v>
      </c>
      <c r="G161" s="171">
        <f>SUM(G123:G160)</f>
        <v>1307234.726</v>
      </c>
      <c r="H161" s="172">
        <f t="shared" si="43"/>
        <v>0.44791366712051317</v>
      </c>
      <c r="I161" s="337"/>
      <c r="J161" s="168"/>
      <c r="K161" s="168"/>
      <c r="M161" s="364">
        <f>G161/G$228</f>
        <v>68.715029751892345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337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7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577">
        <f>'[41]Sch C'!D175</f>
        <v>0</v>
      </c>
      <c r="D164" s="577">
        <f>'[41]Sch C'!F175</f>
        <v>0</v>
      </c>
      <c r="E164" s="171">
        <f t="shared" ref="E164:E196" si="45">C164+D164</f>
        <v>0</v>
      </c>
      <c r="F164" s="665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577">
        <f>'[41]Sch C'!D176</f>
        <v>0</v>
      </c>
      <c r="D165" s="577">
        <f>'[41]Sch C'!F176</f>
        <v>0</v>
      </c>
      <c r="E165" s="171">
        <f t="shared" si="45"/>
        <v>0</v>
      </c>
      <c r="F165" s="665"/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577">
        <f>'[41]Sch C'!D177</f>
        <v>0</v>
      </c>
      <c r="D166" s="577">
        <f>'[41]Sch C'!F177</f>
        <v>0</v>
      </c>
      <c r="E166" s="171">
        <f t="shared" si="45"/>
        <v>0</v>
      </c>
      <c r="F166" s="665"/>
      <c r="G166" s="171">
        <f t="shared" si="46"/>
        <v>0</v>
      </c>
      <c r="H166" s="172">
        <f t="shared" si="47"/>
        <v>0</v>
      </c>
      <c r="I166" s="343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577">
        <f>'[41]Sch C'!D178</f>
        <v>0</v>
      </c>
      <c r="D167" s="577">
        <f>'[41]Sch C'!F178</f>
        <v>0</v>
      </c>
      <c r="E167" s="171">
        <f t="shared" si="45"/>
        <v>0</v>
      </c>
      <c r="F167" s="665"/>
      <c r="G167" s="171">
        <f t="shared" si="46"/>
        <v>0</v>
      </c>
      <c r="H167" s="172">
        <f t="shared" si="47"/>
        <v>0</v>
      </c>
      <c r="I167" s="344"/>
      <c r="J167" s="222"/>
      <c r="K167" s="222"/>
      <c r="L167" s="218"/>
      <c r="M167" s="364">
        <f t="shared" si="48"/>
        <v>0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577">
        <f>'[41]Sch C'!D179</f>
        <v>0</v>
      </c>
      <c r="D168" s="577">
        <f>'[41]Sch C'!F179</f>
        <v>0</v>
      </c>
      <c r="E168" s="171">
        <f t="shared" si="45"/>
        <v>0</v>
      </c>
      <c r="F168" s="665"/>
      <c r="G168" s="171">
        <f t="shared" si="46"/>
        <v>0</v>
      </c>
      <c r="H168" s="172">
        <f t="shared" si="47"/>
        <v>0</v>
      </c>
      <c r="I168" s="343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577">
        <f>'[41]Sch C'!D180</f>
        <v>0</v>
      </c>
      <c r="D169" s="577">
        <f>'[41]Sch C'!F180</f>
        <v>0</v>
      </c>
      <c r="E169" s="171">
        <f t="shared" si="45"/>
        <v>0</v>
      </c>
      <c r="F169" s="665"/>
      <c r="G169" s="171">
        <f t="shared" si="46"/>
        <v>0</v>
      </c>
      <c r="H169" s="172">
        <f t="shared" si="47"/>
        <v>0</v>
      </c>
      <c r="I169" s="344"/>
      <c r="J169" s="222"/>
      <c r="K169" s="222"/>
      <c r="L169" s="218"/>
      <c r="M169" s="364">
        <f t="shared" si="48"/>
        <v>0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577">
        <f>'[41]Sch C'!D181</f>
        <v>0</v>
      </c>
      <c r="D170" s="577">
        <f>'[41]Sch C'!F181</f>
        <v>0</v>
      </c>
      <c r="E170" s="171">
        <f t="shared" si="45"/>
        <v>0</v>
      </c>
      <c r="F170" s="665"/>
      <c r="G170" s="171">
        <f t="shared" si="46"/>
        <v>0</v>
      </c>
      <c r="H170" s="172">
        <f t="shared" si="47"/>
        <v>0</v>
      </c>
      <c r="I170" s="343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577">
        <f>'[41]Sch C'!D182</f>
        <v>0</v>
      </c>
      <c r="D171" s="577">
        <f>'[41]Sch C'!F182</f>
        <v>0</v>
      </c>
      <c r="E171" s="171">
        <f t="shared" si="45"/>
        <v>0</v>
      </c>
      <c r="F171" s="665"/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577">
        <f>'[41]Sch C'!D183</f>
        <v>0</v>
      </c>
      <c r="D172" s="577">
        <f>'[41]Sch C'!F183</f>
        <v>0</v>
      </c>
      <c r="E172" s="171">
        <f t="shared" si="45"/>
        <v>0</v>
      </c>
      <c r="F172" s="665"/>
      <c r="G172" s="171">
        <f t="shared" si="46"/>
        <v>0</v>
      </c>
      <c r="H172" s="172">
        <f t="shared" si="47"/>
        <v>0</v>
      </c>
      <c r="I172" s="343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577">
        <f>'[41]Sch C'!D184</f>
        <v>0</v>
      </c>
      <c r="D173" s="577">
        <f>'[41]Sch C'!F184</f>
        <v>0</v>
      </c>
      <c r="E173" s="171">
        <f t="shared" si="45"/>
        <v>0</v>
      </c>
      <c r="F173" s="665"/>
      <c r="G173" s="171">
        <f t="shared" si="46"/>
        <v>0</v>
      </c>
      <c r="H173" s="172">
        <f t="shared" si="47"/>
        <v>0</v>
      </c>
      <c r="I173" s="344"/>
      <c r="J173" s="222"/>
      <c r="K173" s="222"/>
      <c r="L173" s="218"/>
      <c r="M173" s="364">
        <f t="shared" si="48"/>
        <v>0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577">
        <f>'[41]Sch C'!D185</f>
        <v>0</v>
      </c>
      <c r="D174" s="577">
        <f>'[41]Sch C'!F185</f>
        <v>0</v>
      </c>
      <c r="E174" s="171">
        <f t="shared" si="45"/>
        <v>0</v>
      </c>
      <c r="F174" s="665"/>
      <c r="G174" s="171">
        <f t="shared" si="46"/>
        <v>0</v>
      </c>
      <c r="H174" s="172">
        <f t="shared" si="47"/>
        <v>0</v>
      </c>
      <c r="I174" s="343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577">
        <f>'[41]Sch C'!D186</f>
        <v>0</v>
      </c>
      <c r="D175" s="577">
        <f>'[41]Sch C'!F186</f>
        <v>0</v>
      </c>
      <c r="E175" s="171">
        <f t="shared" si="45"/>
        <v>0</v>
      </c>
      <c r="F175" s="665"/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577">
        <f>'[41]Sch C'!D187</f>
        <v>0</v>
      </c>
      <c r="D176" s="577">
        <f>'[41]Sch C'!F187</f>
        <v>0</v>
      </c>
      <c r="E176" s="171">
        <f t="shared" si="45"/>
        <v>0</v>
      </c>
      <c r="F176" s="665"/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577">
        <f>'[41]Sch C'!D188</f>
        <v>0</v>
      </c>
      <c r="D177" s="577">
        <f>'[41]Sch C'!F188</f>
        <v>0</v>
      </c>
      <c r="E177" s="171">
        <f t="shared" si="45"/>
        <v>0</v>
      </c>
      <c r="F177" s="665"/>
      <c r="G177" s="171">
        <f t="shared" si="46"/>
        <v>0</v>
      </c>
      <c r="H177" s="172">
        <f t="shared" si="47"/>
        <v>0</v>
      </c>
      <c r="I177" s="337"/>
      <c r="J177" s="223"/>
      <c r="K177" s="218"/>
      <c r="L177" s="220"/>
      <c r="M177" s="364">
        <f t="shared" si="48"/>
        <v>0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577">
        <f>'[41]Sch C'!D189</f>
        <v>0</v>
      </c>
      <c r="D178" s="577">
        <f>'[41]Sch C'!F189</f>
        <v>0</v>
      </c>
      <c r="E178" s="171">
        <f t="shared" si="45"/>
        <v>0</v>
      </c>
      <c r="F178" s="665"/>
      <c r="G178" s="171">
        <f t="shared" si="46"/>
        <v>0</v>
      </c>
      <c r="H178" s="172">
        <f t="shared" si="47"/>
        <v>0</v>
      </c>
      <c r="I178" s="337"/>
      <c r="J178" s="223"/>
      <c r="K178" s="218"/>
      <c r="L178" s="220"/>
      <c r="M178" s="364">
        <f t="shared" si="48"/>
        <v>0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577">
        <f>'[41]Sch C'!D190</f>
        <v>0</v>
      </c>
      <c r="D179" s="577">
        <f>'[41]Sch C'!F190</f>
        <v>0</v>
      </c>
      <c r="E179" s="171">
        <f t="shared" si="45"/>
        <v>0</v>
      </c>
      <c r="F179" s="665"/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577">
        <f>'[41]Sch C'!D191</f>
        <v>8217.02</v>
      </c>
      <c r="D180" s="577">
        <f>'[41]Sch C'!F191</f>
        <v>0</v>
      </c>
      <c r="E180" s="171">
        <f t="shared" si="45"/>
        <v>8217.02</v>
      </c>
      <c r="F180" s="665">
        <v>-8217</v>
      </c>
      <c r="G180" s="171">
        <f t="shared" si="46"/>
        <v>2.0000000000436557E-2</v>
      </c>
      <c r="H180" s="172">
        <f t="shared" si="47"/>
        <v>6.852842235928946E-9</v>
      </c>
      <c r="I180" s="337"/>
      <c r="J180" s="223"/>
      <c r="K180" s="218"/>
      <c r="L180" s="220"/>
      <c r="M180" s="364">
        <f t="shared" si="48"/>
        <v>1.0513036165073884E-6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577">
        <f>'[41]Sch C'!D192</f>
        <v>0</v>
      </c>
      <c r="D181" s="577">
        <f>'[41]Sch C'!F192</f>
        <v>0</v>
      </c>
      <c r="E181" s="171">
        <f t="shared" si="45"/>
        <v>0</v>
      </c>
      <c r="F181" s="665"/>
      <c r="G181" s="171">
        <f t="shared" si="46"/>
        <v>0</v>
      </c>
      <c r="H181" s="172">
        <f t="shared" si="47"/>
        <v>0</v>
      </c>
      <c r="I181" s="337"/>
      <c r="J181" s="223"/>
      <c r="K181" s="218"/>
      <c r="L181" s="220"/>
      <c r="M181" s="364">
        <f t="shared" si="48"/>
        <v>0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577">
        <f>'[41]Sch C'!D193</f>
        <v>0</v>
      </c>
      <c r="D182" s="577">
        <f>'[41]Sch C'!F193</f>
        <v>0</v>
      </c>
      <c r="E182" s="171">
        <f t="shared" si="45"/>
        <v>0</v>
      </c>
      <c r="F182" s="665"/>
      <c r="G182" s="171">
        <f t="shared" si="46"/>
        <v>0</v>
      </c>
      <c r="H182" s="172">
        <f t="shared" si="47"/>
        <v>0</v>
      </c>
      <c r="I182" s="337"/>
      <c r="J182" s="223"/>
      <c r="K182" s="218"/>
      <c r="L182" s="220"/>
      <c r="M182" s="364">
        <f t="shared" si="48"/>
        <v>0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577">
        <f>'[41]Sch C'!D194</f>
        <v>0</v>
      </c>
      <c r="D183" s="577">
        <f>'[41]Sch C'!F194</f>
        <v>0</v>
      </c>
      <c r="E183" s="171">
        <f t="shared" si="45"/>
        <v>0</v>
      </c>
      <c r="F183" s="665"/>
      <c r="G183" s="171">
        <f t="shared" si="46"/>
        <v>0</v>
      </c>
      <c r="H183" s="172">
        <f t="shared" si="47"/>
        <v>0</v>
      </c>
      <c r="I183" s="337"/>
      <c r="J183" s="223"/>
      <c r="K183" s="218"/>
      <c r="M183" s="364">
        <f t="shared" si="48"/>
        <v>0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577">
        <f>'[41]Sch C'!D195</f>
        <v>0</v>
      </c>
      <c r="D184" s="577">
        <f>'[41]Sch C'!F195</f>
        <v>0</v>
      </c>
      <c r="E184" s="171">
        <f t="shared" si="45"/>
        <v>0</v>
      </c>
      <c r="F184" s="665"/>
      <c r="G184" s="171">
        <f t="shared" si="46"/>
        <v>0</v>
      </c>
      <c r="H184" s="172">
        <f t="shared" si="47"/>
        <v>0</v>
      </c>
      <c r="I184" s="337"/>
      <c r="J184" s="223"/>
      <c r="K184" s="218"/>
      <c r="M184" s="364">
        <f t="shared" si="48"/>
        <v>0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577">
        <f>'[41]Sch C'!D196</f>
        <v>0</v>
      </c>
      <c r="D185" s="577">
        <f>'[41]Sch C'!F196</f>
        <v>0</v>
      </c>
      <c r="E185" s="171">
        <f t="shared" si="45"/>
        <v>0</v>
      </c>
      <c r="F185" s="665"/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577">
        <f>'[41]Sch C'!D197</f>
        <v>0</v>
      </c>
      <c r="D186" s="577">
        <f>'[41]Sch C'!F197</f>
        <v>0</v>
      </c>
      <c r="E186" s="171">
        <f t="shared" si="45"/>
        <v>0</v>
      </c>
      <c r="F186" s="665"/>
      <c r="G186" s="171">
        <f t="shared" si="46"/>
        <v>0</v>
      </c>
      <c r="H186" s="172">
        <f t="shared" si="47"/>
        <v>0</v>
      </c>
      <c r="I186" s="337"/>
      <c r="J186" s="223"/>
      <c r="K186" s="218"/>
      <c r="M186" s="364">
        <f t="shared" si="48"/>
        <v>0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577">
        <f>'[41]Sch C'!D198</f>
        <v>0</v>
      </c>
      <c r="D187" s="577">
        <f>'[41]Sch C'!F198</f>
        <v>0</v>
      </c>
      <c r="E187" s="171">
        <f t="shared" si="45"/>
        <v>0</v>
      </c>
      <c r="F187" s="665"/>
      <c r="G187" s="171">
        <f t="shared" si="46"/>
        <v>0</v>
      </c>
      <c r="H187" s="172">
        <f t="shared" si="47"/>
        <v>0</v>
      </c>
      <c r="I187" s="337"/>
      <c r="J187" s="223"/>
      <c r="K187" s="218"/>
      <c r="M187" s="364">
        <f t="shared" si="48"/>
        <v>0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577">
        <f>'[41]Sch C'!D199</f>
        <v>0</v>
      </c>
      <c r="D188" s="577">
        <f>'[41]Sch C'!F199</f>
        <v>0</v>
      </c>
      <c r="E188" s="171">
        <f t="shared" si="45"/>
        <v>0</v>
      </c>
      <c r="F188" s="665"/>
      <c r="G188" s="171">
        <f t="shared" si="46"/>
        <v>0</v>
      </c>
      <c r="H188" s="172">
        <f t="shared" si="47"/>
        <v>0</v>
      </c>
      <c r="I188" s="337"/>
      <c r="J188" s="223"/>
      <c r="K188" s="218"/>
      <c r="M188" s="364">
        <f t="shared" si="48"/>
        <v>0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577">
        <f>'[41]Sch C'!D200</f>
        <v>0</v>
      </c>
      <c r="D189" s="577">
        <f>'[41]Sch C'!F200</f>
        <v>0</v>
      </c>
      <c r="E189" s="171">
        <f t="shared" si="45"/>
        <v>0</v>
      </c>
      <c r="F189" s="665"/>
      <c r="G189" s="171">
        <f t="shared" si="46"/>
        <v>0</v>
      </c>
      <c r="H189" s="172">
        <f t="shared" si="47"/>
        <v>0</v>
      </c>
      <c r="I189" s="337"/>
      <c r="J189" s="223"/>
      <c r="K189" s="218"/>
      <c r="M189" s="364">
        <f t="shared" si="48"/>
        <v>0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577">
        <f>'[41]Sch C'!D201</f>
        <v>4257.96</v>
      </c>
      <c r="D190" s="577">
        <f>'[41]Sch C'!F201</f>
        <v>0</v>
      </c>
      <c r="E190" s="171">
        <f t="shared" si="45"/>
        <v>4257.96</v>
      </c>
      <c r="F190" s="665"/>
      <c r="G190" s="171">
        <f t="shared" si="46"/>
        <v>4257.96</v>
      </c>
      <c r="H190" s="172">
        <f t="shared" si="47"/>
        <v>1.4589564063129548E-3</v>
      </c>
      <c r="I190" s="337"/>
      <c r="J190" s="223"/>
      <c r="K190" s="218"/>
      <c r="M190" s="364">
        <f t="shared" si="48"/>
        <v>0.22382043734230445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577">
        <f>'[41]Sch C'!D202</f>
        <v>0</v>
      </c>
      <c r="D191" s="577">
        <f>'[41]Sch C'!F202</f>
        <v>0</v>
      </c>
      <c r="E191" s="171">
        <f t="shared" si="45"/>
        <v>0</v>
      </c>
      <c r="F191" s="665"/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577">
        <f>'[41]Sch C'!D203</f>
        <v>0</v>
      </c>
      <c r="D192" s="577">
        <f>'[41]Sch C'!F203</f>
        <v>0</v>
      </c>
      <c r="E192" s="171">
        <f t="shared" si="45"/>
        <v>0</v>
      </c>
      <c r="F192" s="665"/>
      <c r="G192" s="171">
        <f t="shared" si="46"/>
        <v>0</v>
      </c>
      <c r="H192" s="172">
        <f t="shared" si="47"/>
        <v>0</v>
      </c>
      <c r="I192" s="337"/>
      <c r="J192" s="223"/>
      <c r="K192" s="218"/>
      <c r="M192" s="364">
        <f t="shared" si="48"/>
        <v>0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577">
        <f>'[41]Sch C'!D204</f>
        <v>0</v>
      </c>
      <c r="D193" s="577">
        <f>'[41]Sch C'!F204</f>
        <v>0</v>
      </c>
      <c r="E193" s="171">
        <f t="shared" si="45"/>
        <v>0</v>
      </c>
      <c r="F193" s="665"/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577">
        <f>'[41]Sch C'!D205</f>
        <v>28268.26</v>
      </c>
      <c r="D194" s="577">
        <f>'[41]Sch C'!F205</f>
        <v>0</v>
      </c>
      <c r="E194" s="171">
        <f t="shared" si="45"/>
        <v>28268.26</v>
      </c>
      <c r="F194" s="665"/>
      <c r="G194" s="171">
        <f t="shared" si="46"/>
        <v>28268.26</v>
      </c>
      <c r="H194" s="172">
        <f t="shared" si="47"/>
        <v>9.6858963029996161E-3</v>
      </c>
      <c r="I194" s="337"/>
      <c r="J194" s="223"/>
      <c r="K194" s="218"/>
      <c r="M194" s="364">
        <f t="shared" si="48"/>
        <v>1.4859261984861227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577">
        <f>'[41]Sch C'!D206</f>
        <v>0</v>
      </c>
      <c r="D195" s="577">
        <f>'[41]Sch C'!F206</f>
        <v>0</v>
      </c>
      <c r="E195" s="171">
        <f t="shared" si="45"/>
        <v>0</v>
      </c>
      <c r="F195" s="665"/>
      <c r="G195" s="171">
        <f t="shared" si="46"/>
        <v>0</v>
      </c>
      <c r="H195" s="172">
        <f t="shared" si="47"/>
        <v>0</v>
      </c>
      <c r="I195" s="337"/>
      <c r="J195" s="223"/>
      <c r="K195" s="218"/>
      <c r="M195" s="364">
        <f t="shared" si="48"/>
        <v>0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577">
        <f>'[41]Sch C'!D207</f>
        <v>0</v>
      </c>
      <c r="D196" s="577">
        <f>'[41]Sch C'!F207</f>
        <v>0</v>
      </c>
      <c r="E196" s="171">
        <f t="shared" si="45"/>
        <v>0</v>
      </c>
      <c r="F196" s="665"/>
      <c r="G196" s="171">
        <f t="shared" si="46"/>
        <v>0</v>
      </c>
      <c r="H196" s="172">
        <f t="shared" si="47"/>
        <v>0</v>
      </c>
      <c r="I196" s="337"/>
      <c r="J196" s="223"/>
      <c r="K196" s="218"/>
      <c r="M196" s="364">
        <f t="shared" si="48"/>
        <v>0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577">
        <f>SUM(C164:C196)</f>
        <v>40743.24</v>
      </c>
      <c r="D197" s="577">
        <f>SUM(D164:D196)</f>
        <v>0</v>
      </c>
      <c r="E197" s="171">
        <f t="shared" ref="E197" si="49">SUM(E164:E196)</f>
        <v>40743.24</v>
      </c>
      <c r="F197" s="171">
        <f>SUM(F164:F196)</f>
        <v>-8217</v>
      </c>
      <c r="G197" s="171">
        <f>SUM(G164:G196)</f>
        <v>32526.239999999998</v>
      </c>
      <c r="H197" s="172">
        <f>IF($G$208=0,0,G197/$G$208)</f>
        <v>1.1144859562154807E-2</v>
      </c>
      <c r="I197" s="337"/>
      <c r="J197" s="168"/>
      <c r="K197" s="168"/>
      <c r="M197" s="364">
        <f>G197/G$228</f>
        <v>1.7097476871320436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165"/>
      <c r="G198" s="165"/>
      <c r="H198" s="198"/>
      <c r="I198" s="341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1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577">
        <f>'[41]Sch C'!D211</f>
        <v>73767.210000000006</v>
      </c>
      <c r="D200" s="577">
        <f>'[41]Sch C'!F211</f>
        <v>0</v>
      </c>
      <c r="E200" s="171">
        <f t="shared" ref="E200:E205" si="50">C200+D200</f>
        <v>73767.210000000006</v>
      </c>
      <c r="F200" s="171"/>
      <c r="G200" s="171">
        <f t="shared" ref="G200:G205" si="51">E200+F200</f>
        <v>73767.210000000006</v>
      </c>
      <c r="H200" s="172">
        <f t="shared" ref="H200:H206" si="52">IF($G$208=0,0,G200/$G$208)</f>
        <v>2.5275752615180291E-2</v>
      </c>
      <c r="I200" s="337"/>
      <c r="J200" s="183">
        <v>4160</v>
      </c>
      <c r="K200" s="183">
        <v>4160</v>
      </c>
      <c r="M200" s="364">
        <f t="shared" ref="M200:M205" si="53">G200/G$228</f>
        <v>3.8775867325483602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577">
        <f>'[41]Sch C'!D212</f>
        <v>6427.1059999999998</v>
      </c>
      <c r="D201" s="577">
        <f>'[41]Sch C'!F212</f>
        <v>0</v>
      </c>
      <c r="E201" s="171">
        <f t="shared" si="50"/>
        <v>6427.1059999999998</v>
      </c>
      <c r="F201" s="171"/>
      <c r="G201" s="171">
        <f t="shared" si="51"/>
        <v>6427.1059999999998</v>
      </c>
      <c r="H201" s="172">
        <f t="shared" si="52"/>
        <v>2.202197172531548E-3</v>
      </c>
      <c r="I201" s="337"/>
      <c r="J201" s="168"/>
      <c r="K201" s="168"/>
      <c r="M201" s="364">
        <f t="shared" si="53"/>
        <v>0.33784198906644236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577">
        <f>'[41]Sch C'!D213</f>
        <v>9203.7000000000007</v>
      </c>
      <c r="D202" s="577">
        <f>'[41]Sch C'!F213</f>
        <v>0</v>
      </c>
      <c r="E202" s="171">
        <f t="shared" si="50"/>
        <v>9203.7000000000007</v>
      </c>
      <c r="F202" s="171"/>
      <c r="G202" s="171">
        <f t="shared" si="51"/>
        <v>9203.7000000000007</v>
      </c>
      <c r="H202" s="172">
        <f t="shared" si="52"/>
        <v>3.1535752042721266E-3</v>
      </c>
      <c r="I202" s="337"/>
      <c r="J202" s="168"/>
      <c r="K202" s="168"/>
      <c r="M202" s="364">
        <f t="shared" si="53"/>
        <v>0.48379415475189236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577">
        <f>'[41]Sch C'!D214</f>
        <v>0</v>
      </c>
      <c r="D203" s="577">
        <f>'[41]Sch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>
        <f t="shared" si="53"/>
        <v>0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577">
        <f>'[41]Sch C'!D215</f>
        <v>0</v>
      </c>
      <c r="D204" s="577">
        <f>'[41]Sch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577">
        <f>'[41]Sch C'!D216</f>
        <v>237.08</v>
      </c>
      <c r="D205" s="577">
        <f>'[41]Sch C'!F216</f>
        <v>0</v>
      </c>
      <c r="E205" s="171">
        <f t="shared" si="50"/>
        <v>237.08</v>
      </c>
      <c r="F205" s="171">
        <v>8217</v>
      </c>
      <c r="G205" s="171">
        <f t="shared" si="51"/>
        <v>8454.08</v>
      </c>
      <c r="H205" s="172">
        <f t="shared" si="52"/>
        <v>2.89672382443288E-3</v>
      </c>
      <c r="I205" s="337"/>
      <c r="J205" s="168"/>
      <c r="K205" s="168"/>
      <c r="M205" s="364">
        <f t="shared" si="53"/>
        <v>0.44439024390243903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577">
        <f>SUM(C200:C205)</f>
        <v>89635.096000000005</v>
      </c>
      <c r="D206" s="577">
        <f>SUM(D200:D205)</f>
        <v>0</v>
      </c>
      <c r="E206" s="171">
        <f t="shared" ref="E206" si="54">SUM(E200:E205)</f>
        <v>89635.096000000005</v>
      </c>
      <c r="F206" s="171">
        <f>SUM(F200:F205)</f>
        <v>8217</v>
      </c>
      <c r="G206" s="171">
        <f>SUM(G200:G205)</f>
        <v>97852.096000000005</v>
      </c>
      <c r="H206" s="172">
        <f t="shared" si="52"/>
        <v>3.3528248816416847E-2</v>
      </c>
      <c r="I206" s="337"/>
      <c r="J206" s="168"/>
      <c r="K206" s="168"/>
      <c r="M206" s="364">
        <f>G206/G$228</f>
        <v>5.1436131202691344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577">
        <f>SUM(C25:C206)/2</f>
        <v>3186473.1219999995</v>
      </c>
      <c r="D208" s="577">
        <f>SUM(D25:D206)/2</f>
        <v>-183791.05000000002</v>
      </c>
      <c r="E208" s="171">
        <f t="shared" ref="E208:F208" si="55">SUM(E25:E206)/2</f>
        <v>3002682.0719999992</v>
      </c>
      <c r="F208" s="171">
        <f t="shared" si="55"/>
        <v>-84185</v>
      </c>
      <c r="G208" s="171">
        <f>SUM(G25:G206)/2</f>
        <v>2918497.0719999992</v>
      </c>
      <c r="H208" s="172">
        <f>IF($G$208=0,0,G208/$G$208)</f>
        <v>1</v>
      </c>
      <c r="I208" s="337"/>
      <c r="J208" s="183">
        <f>SUM(J25:J200)</f>
        <v>107987.81000000001</v>
      </c>
      <c r="K208" s="183">
        <f>SUM(K25:K200)</f>
        <v>107383.04000000001</v>
      </c>
      <c r="M208" s="364">
        <f>G208/G$228</f>
        <v>153.41132632464252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577">
        <f>'[41]Sch C'!D221</f>
        <v>3186473.3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577">
        <f>C208-C211</f>
        <v>-0.1780000003054738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619"/>
      <c r="D213" s="232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577">
        <f>C21-C208</f>
        <v>-121103.06199999945</v>
      </c>
      <c r="D215" s="577">
        <f>D21-D208</f>
        <v>183791.05000000002</v>
      </c>
      <c r="E215" s="171">
        <f t="shared" ref="E215:F215" si="56">E21-E208</f>
        <v>62687.988000000827</v>
      </c>
      <c r="F215" s="171">
        <f t="shared" si="56"/>
        <v>81967</v>
      </c>
      <c r="G215" s="171">
        <f>G21-G208</f>
        <v>144654.98800000083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578">
        <f>'[41]Sch D'!C9</f>
        <v>11416</v>
      </c>
      <c r="D219" s="578"/>
      <c r="E219" s="235">
        <f t="shared" ref="E219:G227" si="57">C219+D219</f>
        <v>11416</v>
      </c>
      <c r="F219" s="234"/>
      <c r="G219" s="235">
        <f t="shared" si="57"/>
        <v>11416</v>
      </c>
      <c r="H219" s="172">
        <f t="shared" ref="H219:H228" si="58">IF($G$228=0,0,G219/$G$228)</f>
        <v>0.6000841042893188</v>
      </c>
      <c r="I219" s="337"/>
      <c r="J219" s="168"/>
      <c r="K219" s="168"/>
    </row>
    <row r="220" spans="1:14">
      <c r="A220" s="163"/>
      <c r="B220" s="170" t="s">
        <v>217</v>
      </c>
      <c r="C220" s="578">
        <f>'[41]Sch D'!D9</f>
        <v>5618</v>
      </c>
      <c r="D220" s="578"/>
      <c r="E220" s="235">
        <f t="shared" ref="E220:E227" si="59">C220+D220</f>
        <v>5618</v>
      </c>
      <c r="F220" s="234"/>
      <c r="G220" s="235">
        <f t="shared" si="57"/>
        <v>5618</v>
      </c>
      <c r="H220" s="172">
        <f t="shared" si="58"/>
        <v>0.29531118587047939</v>
      </c>
      <c r="I220" s="337"/>
      <c r="J220" s="168"/>
      <c r="K220" s="168"/>
    </row>
    <row r="221" spans="1:14">
      <c r="A221" s="163"/>
      <c r="B221" s="170" t="s">
        <v>72</v>
      </c>
      <c r="C221" s="578">
        <f>'[41]Sch D'!E9</f>
        <v>0</v>
      </c>
      <c r="D221" s="578"/>
      <c r="E221" s="235">
        <f t="shared" si="59"/>
        <v>0</v>
      </c>
      <c r="F221" s="234"/>
      <c r="G221" s="235">
        <f t="shared" si="57"/>
        <v>0</v>
      </c>
      <c r="H221" s="172">
        <f t="shared" si="58"/>
        <v>0</v>
      </c>
      <c r="I221" s="337"/>
      <c r="J221" s="168"/>
      <c r="K221" s="168"/>
    </row>
    <row r="222" spans="1:14">
      <c r="A222" s="163"/>
      <c r="B222" s="202" t="s">
        <v>334</v>
      </c>
      <c r="C222" s="578">
        <f>'[41]Sch D'!F9</f>
        <v>0</v>
      </c>
      <c r="D222" s="578"/>
      <c r="E222" s="235">
        <f>C222+D222</f>
        <v>0</v>
      </c>
      <c r="F222" s="234"/>
      <c r="G222" s="235">
        <f>E222+F222</f>
        <v>0</v>
      </c>
      <c r="H222" s="172">
        <f t="shared" si="58"/>
        <v>0</v>
      </c>
      <c r="I222" s="337"/>
      <c r="J222" s="168"/>
      <c r="K222" s="168"/>
    </row>
    <row r="223" spans="1:14">
      <c r="A223" s="163"/>
      <c r="B223" s="170" t="s">
        <v>73</v>
      </c>
      <c r="C223" s="578">
        <f>'[41]Sch D'!G9</f>
        <v>0</v>
      </c>
      <c r="D223" s="578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7"/>
      <c r="J223" s="168"/>
      <c r="K223" s="168"/>
    </row>
    <row r="224" spans="1:14">
      <c r="A224" s="163"/>
      <c r="B224" s="170" t="s">
        <v>74</v>
      </c>
      <c r="C224" s="578">
        <f>'[41]Sch D'!H9</f>
        <v>731</v>
      </c>
      <c r="D224" s="578"/>
      <c r="E224" s="235">
        <f t="shared" si="59"/>
        <v>731</v>
      </c>
      <c r="F224" s="234"/>
      <c r="G224" s="235">
        <f t="shared" si="57"/>
        <v>731</v>
      </c>
      <c r="H224" s="172">
        <f t="shared" si="58"/>
        <v>3.8425147182506308E-2</v>
      </c>
      <c r="I224" s="337"/>
      <c r="J224" s="168"/>
      <c r="K224" s="168"/>
    </row>
    <row r="225" spans="1:11">
      <c r="A225" s="163"/>
      <c r="B225" s="170" t="s">
        <v>236</v>
      </c>
      <c r="C225" s="578">
        <f>'[41]Sch D'!I9</f>
        <v>1227</v>
      </c>
      <c r="D225" s="578"/>
      <c r="E225" s="235">
        <f t="shared" si="59"/>
        <v>1227</v>
      </c>
      <c r="F225" s="234"/>
      <c r="G225" s="235">
        <f t="shared" si="57"/>
        <v>1227</v>
      </c>
      <c r="H225" s="172">
        <f t="shared" si="58"/>
        <v>6.4497476871320431E-2</v>
      </c>
      <c r="I225" s="337"/>
      <c r="J225" s="168"/>
      <c r="K225" s="168"/>
    </row>
    <row r="226" spans="1:11">
      <c r="A226" s="163"/>
      <c r="B226" s="170" t="s">
        <v>235</v>
      </c>
      <c r="C226" s="578">
        <f>'[41]Sch D'!J9</f>
        <v>32</v>
      </c>
      <c r="D226" s="578"/>
      <c r="E226" s="235">
        <f>C226+D226</f>
        <v>32</v>
      </c>
      <c r="F226" s="234"/>
      <c r="G226" s="235">
        <f>E226+F226</f>
        <v>32</v>
      </c>
      <c r="H226" s="172">
        <f t="shared" si="58"/>
        <v>1.6820857863751051E-3</v>
      </c>
      <c r="I226" s="337"/>
      <c r="J226" s="168"/>
      <c r="K226" s="168"/>
    </row>
    <row r="227" spans="1:11">
      <c r="A227" s="163"/>
      <c r="B227" s="170" t="s">
        <v>179</v>
      </c>
      <c r="C227" s="578">
        <f>'[41]Sch D'!K9</f>
        <v>0</v>
      </c>
      <c r="D227" s="578"/>
      <c r="E227" s="235">
        <f t="shared" si="59"/>
        <v>0</v>
      </c>
      <c r="F227" s="234"/>
      <c r="G227" s="235">
        <f t="shared" si="57"/>
        <v>0</v>
      </c>
      <c r="H227" s="172">
        <f t="shared" si="58"/>
        <v>0</v>
      </c>
      <c r="I227" s="337"/>
      <c r="J227" s="168"/>
      <c r="K227" s="168"/>
    </row>
    <row r="228" spans="1:11" ht="13.5" thickBot="1">
      <c r="A228" s="163"/>
      <c r="B228" s="236" t="s">
        <v>75</v>
      </c>
      <c r="C228" s="578">
        <f>SUM(C219:C227)</f>
        <v>19024</v>
      </c>
      <c r="D228" s="578">
        <f>SUM(D219:D227)</f>
        <v>0</v>
      </c>
      <c r="E228" s="237">
        <f>SUM(E219:E227)</f>
        <v>19024</v>
      </c>
      <c r="F228" s="237">
        <f>SUM(F219:F227)</f>
        <v>0</v>
      </c>
      <c r="G228" s="237">
        <f>SUM(G219:G227)</f>
        <v>19024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620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619"/>
      <c r="D230" s="232"/>
      <c r="E230" s="232"/>
      <c r="F230" s="520"/>
      <c r="G230" s="232"/>
      <c r="H230" s="167"/>
      <c r="J230" s="168"/>
      <c r="K230" s="168"/>
    </row>
    <row r="231" spans="1:11">
      <c r="A231" s="163"/>
      <c r="B231" s="202" t="s">
        <v>219</v>
      </c>
      <c r="C231" s="579">
        <f>'[41]Sch D'!N22</f>
        <v>61</v>
      </c>
      <c r="D231" s="574"/>
      <c r="E231" s="235">
        <f>C231+D231</f>
        <v>61</v>
      </c>
      <c r="F231" s="235"/>
      <c r="G231" s="235">
        <f>E231+F231</f>
        <v>61</v>
      </c>
      <c r="H231" s="167"/>
      <c r="J231" s="168"/>
      <c r="K231" s="168"/>
    </row>
    <row r="232" spans="1:11">
      <c r="A232" s="163"/>
      <c r="B232" s="202" t="s">
        <v>290</v>
      </c>
      <c r="C232" s="579">
        <f>'[41]Sch D'!N24</f>
        <v>61</v>
      </c>
      <c r="D232" s="574"/>
      <c r="E232" s="235">
        <f>C232+D232</f>
        <v>61</v>
      </c>
      <c r="F232" s="521"/>
      <c r="G232" s="235">
        <f>E232+F232</f>
        <v>61</v>
      </c>
      <c r="H232" s="167"/>
      <c r="J232" s="168"/>
      <c r="K232" s="168"/>
    </row>
    <row r="233" spans="1:11">
      <c r="A233" s="163"/>
      <c r="B233" s="202" t="s">
        <v>76</v>
      </c>
      <c r="C233" s="579">
        <f>$C$4-$C$3+1</f>
        <v>365</v>
      </c>
      <c r="D233" s="489"/>
      <c r="E233" s="235">
        <f>C233+D233</f>
        <v>365</v>
      </c>
      <c r="F233" s="240"/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621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579">
        <f>'[41]Sch D'!N28</f>
        <v>22265</v>
      </c>
      <c r="D235" s="489"/>
      <c r="E235" s="234">
        <f>E231*E233</f>
        <v>22265</v>
      </c>
      <c r="F235" s="240"/>
      <c r="G235" s="234">
        <f>G231*G233</f>
        <v>22265</v>
      </c>
      <c r="H235" s="167"/>
      <c r="J235" s="168"/>
      <c r="K235" s="168"/>
    </row>
    <row r="236" spans="1:11" ht="26">
      <c r="A236" s="163"/>
      <c r="B236" s="244" t="s">
        <v>336</v>
      </c>
      <c r="C236" s="663">
        <f>'[41]Sch D'!N30</f>
        <v>0.85443521221648322</v>
      </c>
      <c r="D236" s="240"/>
      <c r="E236" s="245">
        <f>E228/E235</f>
        <v>0.85443521221648322</v>
      </c>
      <c r="F236" s="246"/>
      <c r="G236" s="245">
        <f>G228/G235</f>
        <v>0.85443521221648322</v>
      </c>
      <c r="H236" s="167"/>
      <c r="J236" s="168"/>
      <c r="K236" s="168"/>
    </row>
    <row r="237" spans="1:11" ht="26">
      <c r="A237" s="163"/>
      <c r="B237" s="244" t="s">
        <v>337</v>
      </c>
      <c r="C237" s="663">
        <f>'[41]Sch D'!N32</f>
        <v>0.76505726476532676</v>
      </c>
      <c r="D237" s="240"/>
      <c r="E237" s="245">
        <f>(E219+E220)/E235</f>
        <v>0.76505726476532676</v>
      </c>
      <c r="F237" s="246"/>
      <c r="G237" s="245">
        <f>(G219+G220)/G235</f>
        <v>0.76505726476532676</v>
      </c>
      <c r="H237" s="167"/>
      <c r="J237" s="168"/>
      <c r="K237" s="168"/>
    </row>
    <row r="238" spans="1:11" ht="26">
      <c r="A238" s="163"/>
      <c r="B238" s="244" t="s">
        <v>338</v>
      </c>
      <c r="C238" s="663">
        <f>'[41]Sch D'!N34</f>
        <v>0.89539529015979824</v>
      </c>
      <c r="D238" s="240"/>
      <c r="E238" s="245">
        <f>(E237/E236)</f>
        <v>0.89539529015979824</v>
      </c>
      <c r="F238" s="246"/>
      <c r="G238" s="245">
        <f>(G237/G236)</f>
        <v>0.89539529015979824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77">
        <f>'[41]Sch B'!C85</f>
        <v>125.50800000000001</v>
      </c>
    </row>
    <row r="242" spans="2:7">
      <c r="F242" s="142" t="s">
        <v>341</v>
      </c>
      <c r="G242" s="577">
        <f>'[41]Sch B'!E85</f>
        <v>125.508</v>
      </c>
    </row>
    <row r="243" spans="2:7">
      <c r="F243" s="142" t="s">
        <v>342</v>
      </c>
      <c r="G243" s="577">
        <f>'[41]Sch B'!G85</f>
        <v>125.508</v>
      </c>
    </row>
    <row r="244" spans="2:7">
      <c r="F244" s="142" t="s">
        <v>343</v>
      </c>
      <c r="G244" s="577">
        <f>'[41]Sch B'!I85</f>
        <v>125.508</v>
      </c>
    </row>
    <row r="245" spans="2:7">
      <c r="F245" s="142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" right="0" top="0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84">
    <tabColor rgb="FFE28CAB"/>
  </sheetPr>
  <dimension ref="A1:Q245"/>
  <sheetViews>
    <sheetView showGridLines="0" zoomScale="90" zoomScaleNormal="90" workbookViewId="0">
      <selection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662" t="s">
        <v>676</v>
      </c>
      <c r="D1" s="478"/>
      <c r="E1" s="478"/>
      <c r="F1" s="478"/>
      <c r="G1" s="478"/>
      <c r="H1" s="478"/>
      <c r="I1" s="479"/>
    </row>
    <row r="2" spans="1:14" ht="23">
      <c r="B2" s="143" t="s">
        <v>189</v>
      </c>
      <c r="C2" s="247" t="s">
        <v>534</v>
      </c>
      <c r="D2" s="144"/>
      <c r="E2" s="441" t="s">
        <v>535</v>
      </c>
    </row>
    <row r="3" spans="1:14">
      <c r="A3" s="145"/>
      <c r="B3" s="140" t="s">
        <v>79</v>
      </c>
      <c r="C3" s="495">
        <v>41821</v>
      </c>
      <c r="D3" s="144"/>
      <c r="E3" s="147"/>
    </row>
    <row r="4" spans="1:14">
      <c r="A4" s="145"/>
      <c r="B4" s="148" t="s">
        <v>80</v>
      </c>
      <c r="C4" s="495">
        <v>42185</v>
      </c>
      <c r="D4" s="144"/>
      <c r="E4" s="149"/>
      <c r="G4" s="150"/>
    </row>
    <row r="5" spans="1:14">
      <c r="A5" s="145"/>
      <c r="B5" s="148"/>
      <c r="C5" s="151"/>
      <c r="D5" s="144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144"/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573">
        <f>'[42]Sch B'!E10</f>
        <v>701947.83</v>
      </c>
      <c r="D11" s="573">
        <f>'[42]Sch B'!G10</f>
        <v>0</v>
      </c>
      <c r="E11" s="171">
        <f>C11+D11</f>
        <v>701947.83</v>
      </c>
      <c r="F11" s="171"/>
      <c r="G11" s="171">
        <f t="shared" ref="G11:G20" si="0">E11+F11</f>
        <v>701947.83</v>
      </c>
      <c r="H11" s="172">
        <f t="shared" ref="H11:H21" si="1">IF($G$21=0,0,G11/$G$21)</f>
        <v>0.3299315008478319</v>
      </c>
      <c r="I11" s="337"/>
      <c r="J11" s="368" t="s">
        <v>344</v>
      </c>
      <c r="K11" s="369">
        <f>G21</f>
        <v>2127556.2599999998</v>
      </c>
      <c r="M11" s="359">
        <f>IFERROR(G11/G219,0)</f>
        <v>156.64981700513277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573">
        <f>'[42]Sch B'!E15</f>
        <v>0</v>
      </c>
      <c r="D12" s="573">
        <f>'[42]Sch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7"/>
      <c r="J12" s="370" t="s">
        <v>345</v>
      </c>
      <c r="K12" s="371">
        <f>G208</f>
        <v>2216199.13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573">
        <f>'[42]Sch B'!E21</f>
        <v>525898.60000000009</v>
      </c>
      <c r="D13" s="573">
        <f>'[42]Sch B'!G21</f>
        <v>0</v>
      </c>
      <c r="E13" s="171">
        <f t="shared" si="2"/>
        <v>525898.60000000009</v>
      </c>
      <c r="F13" s="171"/>
      <c r="G13" s="171">
        <f t="shared" si="0"/>
        <v>525898.60000000009</v>
      </c>
      <c r="H13" s="172">
        <f t="shared" si="1"/>
        <v>0.24718434472797451</v>
      </c>
      <c r="I13" s="337"/>
      <c r="J13" s="370" t="s">
        <v>346</v>
      </c>
      <c r="K13" s="371">
        <f>G228</f>
        <v>10685</v>
      </c>
      <c r="M13" s="359">
        <f t="shared" si="3"/>
        <v>393.34225878833217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573">
        <f>'[42]Sch B'!E27</f>
        <v>204347.5</v>
      </c>
      <c r="D14" s="573">
        <f>'[42]Sch B'!G27</f>
        <v>0</v>
      </c>
      <c r="E14" s="171">
        <f t="shared" si="2"/>
        <v>204347.5</v>
      </c>
      <c r="F14" s="175"/>
      <c r="G14" s="175">
        <f>E14+F14</f>
        <v>204347.5</v>
      </c>
      <c r="H14" s="176">
        <f t="shared" si="1"/>
        <v>9.6047988879034402E-2</v>
      </c>
      <c r="I14" s="338"/>
      <c r="J14" s="370" t="s">
        <v>347</v>
      </c>
      <c r="K14" s="371">
        <f>G231</f>
        <v>38</v>
      </c>
      <c r="M14" s="359">
        <f t="shared" si="3"/>
        <v>268.52496714848883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573">
        <f>'[42]Sch B'!E32</f>
        <v>0</v>
      </c>
      <c r="D15" s="573">
        <f>'[42]Sch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7"/>
      <c r="J15" s="370" t="s">
        <v>348</v>
      </c>
      <c r="K15" s="371">
        <f>G235</f>
        <v>13870</v>
      </c>
      <c r="M15" s="359">
        <f t="shared" si="3"/>
        <v>0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573">
        <f>'[42]Sch B'!E37</f>
        <v>583128.09</v>
      </c>
      <c r="D16" s="573">
        <f>'[42]Sch B'!G37</f>
        <v>0</v>
      </c>
      <c r="E16" s="171">
        <f t="shared" si="2"/>
        <v>583128.09</v>
      </c>
      <c r="F16" s="171"/>
      <c r="G16" s="171">
        <f t="shared" si="0"/>
        <v>583128.09</v>
      </c>
      <c r="H16" s="172">
        <f t="shared" si="1"/>
        <v>0.27408351119231977</v>
      </c>
      <c r="I16" s="337"/>
      <c r="J16" s="372"/>
      <c r="K16" s="371"/>
      <c r="M16" s="359">
        <f t="shared" si="3"/>
        <v>164.77199491381745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573">
        <f>'[42]Sch B'!E42</f>
        <v>87844.09</v>
      </c>
      <c r="D17" s="573">
        <f>'[42]Sch B'!G42</f>
        <v>0</v>
      </c>
      <c r="E17" s="171">
        <f t="shared" si="2"/>
        <v>87844.09</v>
      </c>
      <c r="F17" s="171"/>
      <c r="G17" s="171">
        <f>E17+F17</f>
        <v>87844.09</v>
      </c>
      <c r="H17" s="172">
        <f t="shared" si="1"/>
        <v>4.1288727189757138E-2</v>
      </c>
      <c r="I17" s="337"/>
      <c r="J17" s="370" t="s">
        <v>156</v>
      </c>
      <c r="K17" s="371">
        <f>J208</f>
        <v>0</v>
      </c>
      <c r="M17" s="359">
        <f t="shared" si="3"/>
        <v>154.927848324515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573">
        <f>'[42]Sch B'!E47</f>
        <v>0</v>
      </c>
      <c r="D18" s="573">
        <f>'[42]Sch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337"/>
      <c r="J18" s="373" t="s">
        <v>252</v>
      </c>
      <c r="K18" s="374">
        <f>K208</f>
        <v>0</v>
      </c>
      <c r="M18" s="359">
        <f t="shared" si="3"/>
        <v>0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573">
        <f>'[42]Sch B'!E52</f>
        <v>0</v>
      </c>
      <c r="D19" s="573">
        <f>'[42]Sch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337"/>
      <c r="J19" s="168"/>
      <c r="K19" s="168"/>
      <c r="M19" s="359">
        <f t="shared" si="3"/>
        <v>0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573">
        <f>'[42]Sch B'!E67</f>
        <v>24390.15</v>
      </c>
      <c r="D20" s="573">
        <f>'[42]Sch B'!G67</f>
        <v>0</v>
      </c>
      <c r="E20" s="171">
        <f t="shared" si="2"/>
        <v>24390.15</v>
      </c>
      <c r="F20" s="171"/>
      <c r="G20" s="171">
        <f t="shared" si="0"/>
        <v>24390.15</v>
      </c>
      <c r="H20" s="172">
        <f t="shared" si="1"/>
        <v>1.1463927163082402E-2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573">
        <f>SUM(C11:C20)</f>
        <v>2127556.2599999998</v>
      </c>
      <c r="D21" s="573">
        <f>SUM(D11:D20)</f>
        <v>0</v>
      </c>
      <c r="E21" s="171">
        <f>SUM(E11:E20)</f>
        <v>2127556.2599999998</v>
      </c>
      <c r="F21" s="171">
        <f>SUM(F11:F20)</f>
        <v>0</v>
      </c>
      <c r="G21" s="171">
        <f>SUM(G11:G20)</f>
        <v>2127556.2599999998</v>
      </c>
      <c r="H21" s="172">
        <f t="shared" si="1"/>
        <v>1</v>
      </c>
      <c r="I21" s="337"/>
      <c r="J21" s="168"/>
      <c r="K21" s="168"/>
      <c r="M21" s="359">
        <f>IFERROR(G21/G228,0)</f>
        <v>199.11616846045857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4">
      <c r="A24" s="181" t="s">
        <v>161</v>
      </c>
      <c r="B24" s="148" t="s">
        <v>12</v>
      </c>
      <c r="M24" s="363"/>
      <c r="N24" s="363"/>
    </row>
    <row r="25" spans="1:14" s="167" customFormat="1">
      <c r="A25" s="169" t="s">
        <v>83</v>
      </c>
      <c r="B25" s="170" t="s">
        <v>14</v>
      </c>
      <c r="C25" s="573">
        <f>'[42]Sch C'!D10</f>
        <v>0</v>
      </c>
      <c r="D25" s="573">
        <f>'[42]Sch C'!F10</f>
        <v>0</v>
      </c>
      <c r="E25" s="171">
        <f t="shared" ref="E25:E60" si="4">C25+D25</f>
        <v>0</v>
      </c>
      <c r="F25" s="171">
        <v>59310</v>
      </c>
      <c r="G25" s="182">
        <f>E25+F25</f>
        <v>59310</v>
      </c>
      <c r="H25" s="172">
        <f>IF($G$208=0,0,G25/$G$208)</f>
        <v>2.6762035593796123E-2</v>
      </c>
      <c r="I25" s="337"/>
      <c r="J25" s="183"/>
      <c r="K25" s="183"/>
      <c r="M25" s="359">
        <f>G25/G$228</f>
        <v>5.5507721104351893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573">
        <f>'[42]Sch C'!D11</f>
        <v>0</v>
      </c>
      <c r="D26" s="573">
        <f>'[42]Sch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183"/>
      <c r="K26" s="183"/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573">
        <f>'[42]Sch C'!D12</f>
        <v>0</v>
      </c>
      <c r="D27" s="573">
        <f>'[42]Sch C'!F12</f>
        <v>0</v>
      </c>
      <c r="E27" s="171">
        <f t="shared" si="4"/>
        <v>0</v>
      </c>
      <c r="F27" s="171">
        <v>36015</v>
      </c>
      <c r="G27" s="171">
        <f t="shared" si="5"/>
        <v>36015</v>
      </c>
      <c r="H27" s="172">
        <f t="shared" si="6"/>
        <v>1.6250796019399213E-2</v>
      </c>
      <c r="I27" s="337"/>
      <c r="J27" s="185"/>
      <c r="K27" s="185"/>
      <c r="M27" s="359">
        <f t="shared" si="7"/>
        <v>3.3706130088909685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573">
        <f>'[42]Sch C'!D13</f>
        <v>249741.03</v>
      </c>
      <c r="D28" s="573">
        <f>'[42]Sch C'!F13</f>
        <v>-222015.29</v>
      </c>
      <c r="E28" s="171">
        <f t="shared" si="4"/>
        <v>27725.739999999991</v>
      </c>
      <c r="F28" s="171"/>
      <c r="G28" s="171">
        <f t="shared" si="5"/>
        <v>27725.739999999991</v>
      </c>
      <c r="H28" s="172">
        <f t="shared" si="6"/>
        <v>1.2510491329359916E-2</v>
      </c>
      <c r="I28" s="337"/>
      <c r="J28" s="168"/>
      <c r="K28" s="168"/>
      <c r="M28" s="359">
        <f t="shared" si="7"/>
        <v>2.5948282639213844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573">
        <f>'[42]Sch C'!D14</f>
        <v>0</v>
      </c>
      <c r="D29" s="573">
        <f>'[42]Sch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573">
        <f>'[42]Sch C'!D15</f>
        <v>0</v>
      </c>
      <c r="D30" s="573">
        <f>'[42]Sch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7"/>
      <c r="J30" s="168"/>
      <c r="K30" s="168"/>
      <c r="M30" s="359">
        <f t="shared" si="7"/>
        <v>0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573">
        <f>'[42]Sch C'!D16</f>
        <v>74522</v>
      </c>
      <c r="D31" s="573">
        <f>'[42]Sch C'!F16</f>
        <v>64076.28</v>
      </c>
      <c r="E31" s="171">
        <f t="shared" si="4"/>
        <v>138598.28</v>
      </c>
      <c r="F31" s="171"/>
      <c r="G31" s="171">
        <f t="shared" si="5"/>
        <v>138598.28</v>
      </c>
      <c r="H31" s="172">
        <f t="shared" si="6"/>
        <v>6.2538730443414625E-2</v>
      </c>
      <c r="I31" s="337"/>
      <c r="J31" s="168"/>
      <c r="K31" s="168"/>
      <c r="M31" s="359">
        <f t="shared" si="7"/>
        <v>12.971294337856808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573">
        <f>'[42]Sch C'!D17</f>
        <v>0</v>
      </c>
      <c r="D32" s="573">
        <f>'[42]Sch C'!F17</f>
        <v>0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7"/>
      <c r="J32" s="168"/>
      <c r="K32" s="168"/>
      <c r="M32" s="359">
        <f t="shared" si="7"/>
        <v>0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573">
        <f>'[42]Sch C'!D18</f>
        <v>16228</v>
      </c>
      <c r="D33" s="573">
        <f>'[42]Sch C'!F18</f>
        <v>0</v>
      </c>
      <c r="E33" s="171">
        <f t="shared" si="4"/>
        <v>16228</v>
      </c>
      <c r="F33" s="171"/>
      <c r="G33" s="171">
        <f t="shared" si="5"/>
        <v>16228</v>
      </c>
      <c r="H33" s="172">
        <f t="shared" si="6"/>
        <v>7.3224466972875314E-3</v>
      </c>
      <c r="I33" s="337"/>
      <c r="J33" s="168"/>
      <c r="K33" s="168"/>
      <c r="M33" s="359">
        <f t="shared" si="7"/>
        <v>1.5187646233036969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573">
        <f>'[42]Sch C'!D19</f>
        <v>8639.09</v>
      </c>
      <c r="D34" s="573">
        <f>'[42]Sch C'!F19</f>
        <v>0</v>
      </c>
      <c r="E34" s="171">
        <f t="shared" si="4"/>
        <v>8639.09</v>
      </c>
      <c r="F34" s="171"/>
      <c r="G34" s="171">
        <f t="shared" si="5"/>
        <v>8639.09</v>
      </c>
      <c r="H34" s="172">
        <f t="shared" si="6"/>
        <v>3.8981560289665851E-3</v>
      </c>
      <c r="I34" s="337"/>
      <c r="J34" s="168"/>
      <c r="K34" s="168"/>
      <c r="M34" s="359">
        <f t="shared" si="7"/>
        <v>0.80852503509592888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573">
        <f>'[42]Sch C'!D20</f>
        <v>3674.06</v>
      </c>
      <c r="D35" s="573">
        <f>'[42]Sch C'!F20</f>
        <v>0</v>
      </c>
      <c r="E35" s="171">
        <f t="shared" si="4"/>
        <v>3674.06</v>
      </c>
      <c r="F35" s="171">
        <v>1183</v>
      </c>
      <c r="G35" s="171">
        <f t="shared" si="5"/>
        <v>4857.0599999999995</v>
      </c>
      <c r="H35" s="172">
        <f t="shared" si="6"/>
        <v>2.1916171404687806E-3</v>
      </c>
      <c r="I35" s="337"/>
      <c r="J35" s="168"/>
      <c r="K35" s="168"/>
      <c r="M35" s="359">
        <f t="shared" si="7"/>
        <v>0.4545680861020121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573">
        <f>'[42]Sch C'!D21</f>
        <v>18717.939999999999</v>
      </c>
      <c r="D36" s="573">
        <f>'[42]Sch C'!F21</f>
        <v>0</v>
      </c>
      <c r="E36" s="171">
        <f t="shared" si="4"/>
        <v>18717.939999999999</v>
      </c>
      <c r="F36" s="171"/>
      <c r="G36" s="171">
        <f t="shared" si="5"/>
        <v>18717.939999999999</v>
      </c>
      <c r="H36" s="172">
        <f t="shared" si="6"/>
        <v>8.4459648713967328E-3</v>
      </c>
      <c r="I36" s="337"/>
      <c r="J36" s="168"/>
      <c r="K36" s="168"/>
      <c r="M36" s="359">
        <f t="shared" si="7"/>
        <v>1.7517959756668224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573">
        <f>'[42]Sch C'!D22</f>
        <v>0</v>
      </c>
      <c r="D37" s="573">
        <f>'[42]Sch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573">
        <f>'[42]Sch C'!D23</f>
        <v>4199.1899999999996</v>
      </c>
      <c r="D38" s="573">
        <f>'[42]Sch C'!F23</f>
        <v>0</v>
      </c>
      <c r="E38" s="171">
        <f t="shared" si="4"/>
        <v>4199.1899999999996</v>
      </c>
      <c r="F38" s="171">
        <v>3643</v>
      </c>
      <c r="G38" s="171">
        <f t="shared" si="5"/>
        <v>7842.19</v>
      </c>
      <c r="H38" s="172">
        <f t="shared" si="6"/>
        <v>3.5385764274711183E-3</v>
      </c>
      <c r="I38" s="337"/>
      <c r="J38" s="168"/>
      <c r="K38" s="168"/>
      <c r="M38" s="359">
        <f t="shared" si="7"/>
        <v>0.7339438465138044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573">
        <f>'[42]Sch C'!D24</f>
        <v>0</v>
      </c>
      <c r="D39" s="573">
        <f>'[42]Sch C'!F24</f>
        <v>0</v>
      </c>
      <c r="E39" s="171">
        <f t="shared" si="4"/>
        <v>0</v>
      </c>
      <c r="F39" s="171">
        <v>10457</v>
      </c>
      <c r="G39" s="171">
        <f t="shared" si="5"/>
        <v>10457</v>
      </c>
      <c r="H39" s="172">
        <f t="shared" si="6"/>
        <v>4.7184388164614073E-3</v>
      </c>
      <c r="I39" s="337"/>
      <c r="J39" s="168"/>
      <c r="K39" s="168"/>
      <c r="M39" s="359">
        <f t="shared" si="7"/>
        <v>0.97866167524567149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573">
        <f>'[42]Sch C'!D25</f>
        <v>0</v>
      </c>
      <c r="D40" s="573">
        <f>'[42]Sch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337"/>
      <c r="J40" s="168"/>
      <c r="K40" s="168"/>
      <c r="M40" s="359">
        <f t="shared" si="7"/>
        <v>0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573">
        <f>'[42]Sch C'!D26</f>
        <v>132671</v>
      </c>
      <c r="D41" s="573">
        <f>'[42]Sch C'!F26</f>
        <v>0</v>
      </c>
      <c r="E41" s="171">
        <f t="shared" si="4"/>
        <v>132671</v>
      </c>
      <c r="F41" s="171"/>
      <c r="G41" s="171">
        <f t="shared" si="5"/>
        <v>132671</v>
      </c>
      <c r="H41" s="172">
        <f t="shared" si="6"/>
        <v>5.9864205433561385E-2</v>
      </c>
      <c r="I41" s="337"/>
      <c r="J41" s="168"/>
      <c r="K41" s="168"/>
      <c r="M41" s="359">
        <f t="shared" si="7"/>
        <v>12.416565278427703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573">
        <f>'[42]Sch C'!D27</f>
        <v>0</v>
      </c>
      <c r="D42" s="573">
        <f>'[42]Sch C'!F27</f>
        <v>0</v>
      </c>
      <c r="E42" s="171">
        <f t="shared" si="4"/>
        <v>0</v>
      </c>
      <c r="F42" s="171">
        <v>2452</v>
      </c>
      <c r="G42" s="171">
        <f t="shared" si="5"/>
        <v>2452</v>
      </c>
      <c r="H42" s="172">
        <f t="shared" si="6"/>
        <v>1.1063987738322053E-3</v>
      </c>
      <c r="I42" s="337"/>
      <c r="J42" s="168"/>
      <c r="K42" s="168"/>
      <c r="M42" s="359">
        <f t="shared" si="7"/>
        <v>0.22948058025269069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573">
        <f>'[42]Sch C'!D28</f>
        <v>0</v>
      </c>
      <c r="D43" s="573">
        <f>'[42]Sch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573">
        <f>'[42]Sch C'!D29</f>
        <v>58336</v>
      </c>
      <c r="D44" s="573">
        <f>'[42]Sch C'!F29</f>
        <v>-58336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573">
        <f>'[42]Sch C'!D30</f>
        <v>0</v>
      </c>
      <c r="D45" s="573">
        <f>'[42]Sch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573">
        <f>'[42]Sch C'!D31</f>
        <v>0</v>
      </c>
      <c r="D46" s="573">
        <f>'[42]Sch C'!F31</f>
        <v>0</v>
      </c>
      <c r="E46" s="171">
        <f t="shared" si="4"/>
        <v>0</v>
      </c>
      <c r="F46" s="171"/>
      <c r="G46" s="171">
        <f t="shared" si="5"/>
        <v>0</v>
      </c>
      <c r="H46" s="172">
        <f t="shared" si="6"/>
        <v>0</v>
      </c>
      <c r="I46" s="337"/>
      <c r="J46" s="168"/>
      <c r="K46" s="168"/>
      <c r="M46" s="359">
        <f t="shared" si="7"/>
        <v>0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573">
        <f>'[42]Sch C'!D32</f>
        <v>19505.87</v>
      </c>
      <c r="D47" s="573">
        <f>'[42]Sch C'!F32</f>
        <v>0</v>
      </c>
      <c r="E47" s="171">
        <f t="shared" si="4"/>
        <v>19505.87</v>
      </c>
      <c r="F47" s="171"/>
      <c r="G47" s="171">
        <f t="shared" si="5"/>
        <v>19505.87</v>
      </c>
      <c r="H47" s="172">
        <f t="shared" si="6"/>
        <v>8.8014970026632933E-3</v>
      </c>
      <c r="I47" s="337"/>
      <c r="J47" s="168"/>
      <c r="K47" s="168"/>
      <c r="M47" s="359">
        <f t="shared" si="7"/>
        <v>1.8255376696303227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573">
        <f>'[42]Sch C'!D33</f>
        <v>0</v>
      </c>
      <c r="D48" s="573">
        <f>'[42]Sch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573">
        <f>'[42]Sch C'!D34</f>
        <v>0</v>
      </c>
      <c r="D49" s="573">
        <f>'[42]Sch C'!F34</f>
        <v>0</v>
      </c>
      <c r="E49" s="171">
        <f t="shared" si="4"/>
        <v>0</v>
      </c>
      <c r="F49" s="171"/>
      <c r="G49" s="171">
        <f t="shared" si="5"/>
        <v>0</v>
      </c>
      <c r="H49" s="172">
        <f t="shared" si="6"/>
        <v>0</v>
      </c>
      <c r="I49" s="337"/>
      <c r="J49" s="168"/>
      <c r="K49" s="168"/>
      <c r="M49" s="359">
        <f t="shared" si="7"/>
        <v>0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573">
        <f>'[42]Sch C'!D35</f>
        <v>0</v>
      </c>
      <c r="D50" s="573">
        <f>'[42]Sch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573">
        <f>'[42]Sch C'!D36</f>
        <v>0</v>
      </c>
      <c r="D51" s="573">
        <f>'[42]Sch C'!F36</f>
        <v>0</v>
      </c>
      <c r="E51" s="171">
        <f t="shared" si="4"/>
        <v>0</v>
      </c>
      <c r="F51" s="171"/>
      <c r="G51" s="171">
        <f t="shared" si="5"/>
        <v>0</v>
      </c>
      <c r="H51" s="172">
        <f t="shared" si="6"/>
        <v>0</v>
      </c>
      <c r="I51" s="337"/>
      <c r="J51" s="183"/>
      <c r="K51" s="183"/>
      <c r="M51" s="359">
        <f t="shared" si="7"/>
        <v>0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573">
        <f>'[42]Sch C'!D37</f>
        <v>0</v>
      </c>
      <c r="D52" s="573">
        <f>'[42]Sch C'!F37</f>
        <v>0</v>
      </c>
      <c r="E52" s="171">
        <f t="shared" si="4"/>
        <v>0</v>
      </c>
      <c r="F52" s="171"/>
      <c r="G52" s="171">
        <f t="shared" si="5"/>
        <v>0</v>
      </c>
      <c r="H52" s="172">
        <f t="shared" si="6"/>
        <v>0</v>
      </c>
      <c r="I52" s="337"/>
      <c r="J52" s="168"/>
      <c r="K52" s="168"/>
      <c r="M52" s="359">
        <f t="shared" si="7"/>
        <v>0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573">
        <f>'[42]Sch C'!D38</f>
        <v>0</v>
      </c>
      <c r="D53" s="573">
        <f>'[42]Sch C'!F38</f>
        <v>0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7"/>
      <c r="J53" s="168"/>
      <c r="K53" s="168"/>
      <c r="M53" s="359">
        <f t="shared" si="7"/>
        <v>0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573">
        <f>'[42]Sch C'!D39</f>
        <v>364.5</v>
      </c>
      <c r="D54" s="573">
        <f>'[42]Sch C'!F39</f>
        <v>0</v>
      </c>
      <c r="E54" s="171">
        <f t="shared" si="4"/>
        <v>364.5</v>
      </c>
      <c r="F54" s="171"/>
      <c r="G54" s="171">
        <f t="shared" si="5"/>
        <v>364.5</v>
      </c>
      <c r="H54" s="172">
        <f t="shared" si="6"/>
        <v>1.6447078020466509E-4</v>
      </c>
      <c r="I54" s="337"/>
      <c r="J54" s="168"/>
      <c r="K54" s="168"/>
      <c r="M54" s="359">
        <f t="shared" si="7"/>
        <v>3.4113242863827796E-2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573">
        <f>'[42]Sch C'!D40</f>
        <v>6924.82</v>
      </c>
      <c r="D55" s="573">
        <f>'[42]Sch C'!F40</f>
        <v>-6925</v>
      </c>
      <c r="E55" s="171">
        <f t="shared" si="4"/>
        <v>-0.18000000000029104</v>
      </c>
      <c r="F55" s="171"/>
      <c r="G55" s="171">
        <f t="shared" si="5"/>
        <v>-0.18000000000029104</v>
      </c>
      <c r="H55" s="172">
        <f t="shared" si="6"/>
        <v>-8.1220138372805451E-8</v>
      </c>
      <c r="I55" s="337"/>
      <c r="J55" s="168"/>
      <c r="K55" s="168"/>
      <c r="M55" s="359">
        <f t="shared" si="7"/>
        <v>-1.684604585870763E-5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573">
        <f>'[42]Sch C'!D41</f>
        <v>102647.13</v>
      </c>
      <c r="D56" s="573">
        <f>'[42]Sch C'!F41</f>
        <v>0</v>
      </c>
      <c r="E56" s="171">
        <f t="shared" si="4"/>
        <v>102647.13</v>
      </c>
      <c r="F56" s="171">
        <f>-102647+4397</f>
        <v>-98250</v>
      </c>
      <c r="G56" s="171">
        <f t="shared" si="5"/>
        <v>4397.1300000000047</v>
      </c>
      <c r="H56" s="172">
        <f t="shared" si="6"/>
        <v>1.9840861502368719E-3</v>
      </c>
      <c r="I56" s="337"/>
      <c r="J56" s="168"/>
      <c r="K56" s="168"/>
      <c r="M56" s="359">
        <f t="shared" si="7"/>
        <v>0.41152363125877439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573">
        <f>'[42]Sch C'!D42</f>
        <v>6300.8899999999994</v>
      </c>
      <c r="D57" s="573">
        <f>'[42]Sch C'!F42</f>
        <v>0</v>
      </c>
      <c r="E57" s="171">
        <f t="shared" si="4"/>
        <v>6300.8899999999994</v>
      </c>
      <c r="F57" s="171"/>
      <c r="G57" s="171">
        <f t="shared" si="5"/>
        <v>6300.8899999999994</v>
      </c>
      <c r="H57" s="172">
        <f t="shared" si="6"/>
        <v>2.8431064315055481E-3</v>
      </c>
      <c r="I57" s="337"/>
      <c r="J57" s="168"/>
      <c r="K57" s="168"/>
      <c r="M57" s="359">
        <f t="shared" si="7"/>
        <v>0.58969489939167052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573">
        <f>'[42]Sch C'!D43</f>
        <v>6713.31</v>
      </c>
      <c r="D58" s="573">
        <f>'[42]Sch C'!F43</f>
        <v>0</v>
      </c>
      <c r="E58" s="171">
        <f t="shared" si="4"/>
        <v>6713.31</v>
      </c>
      <c r="F58" s="171"/>
      <c r="G58" s="171">
        <f t="shared" si="5"/>
        <v>6713.31</v>
      </c>
      <c r="H58" s="172">
        <f t="shared" si="6"/>
        <v>3.0291998174369829E-3</v>
      </c>
      <c r="I58" s="337"/>
      <c r="J58" s="168"/>
      <c r="K58" s="168"/>
      <c r="M58" s="359">
        <f t="shared" si="7"/>
        <v>0.6282929340196538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573">
        <f>'[42]Sch C'!D44</f>
        <v>0</v>
      </c>
      <c r="D59" s="573">
        <f>'[42]Sch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7"/>
      <c r="J59" s="168"/>
      <c r="K59" s="168"/>
      <c r="M59" s="359">
        <f t="shared" si="7"/>
        <v>0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573">
        <f>'[42]Sch C'!D45</f>
        <v>26119.530000000002</v>
      </c>
      <c r="D60" s="573">
        <f>'[42]Sch C'!F45</f>
        <v>-1734.69</v>
      </c>
      <c r="E60" s="171">
        <f t="shared" si="4"/>
        <v>24384.840000000004</v>
      </c>
      <c r="F60" s="171">
        <f>-3643-18753</f>
        <v>-22396</v>
      </c>
      <c r="G60" s="171">
        <f t="shared" si="5"/>
        <v>1988.8400000000038</v>
      </c>
      <c r="H60" s="172">
        <f t="shared" si="6"/>
        <v>8.9741033333949724E-4</v>
      </c>
      <c r="I60" s="337"/>
      <c r="J60" s="168"/>
      <c r="K60" s="168"/>
      <c r="M60" s="359">
        <f t="shared" si="7"/>
        <v>0.18613383247543319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573">
        <f>SUM(C25:C60)</f>
        <v>735304.3600000001</v>
      </c>
      <c r="D61" s="573">
        <f>SUM(D25:D60)</f>
        <v>-224934.7</v>
      </c>
      <c r="E61" s="171">
        <f t="shared" ref="E61" si="8">SUM(E25:E60)</f>
        <v>510369.66000000003</v>
      </c>
      <c r="F61" s="171">
        <f>SUM(F25:F60)</f>
        <v>-7586</v>
      </c>
      <c r="G61" s="171">
        <f>SUM(G25:G60)</f>
        <v>502783.66000000009</v>
      </c>
      <c r="H61" s="186">
        <f t="shared" si="6"/>
        <v>0.22686754687066416</v>
      </c>
      <c r="I61" s="339"/>
      <c r="J61" s="168"/>
      <c r="K61" s="168"/>
      <c r="M61" s="364">
        <f>G61/G$228</f>
        <v>47.055092185306513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I62" s="340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573">
        <f>'[42]Sch C'!D57</f>
        <v>17555.2</v>
      </c>
      <c r="D64" s="573">
        <f>'[42]Sch C'!F57</f>
        <v>92267</v>
      </c>
      <c r="E64" s="171">
        <f t="shared" ref="E64:E78" si="9">C64+D64</f>
        <v>109822.2</v>
      </c>
      <c r="F64" s="171">
        <v>-109822</v>
      </c>
      <c r="G64" s="171">
        <f t="shared" ref="G64:G78" si="10">E64+F64</f>
        <v>0.19999999999708962</v>
      </c>
      <c r="H64" s="172">
        <f t="shared" ref="H64:H79" si="11">IF($G$208=0,0,G64/$G$208)</f>
        <v>9.02445981905469E-8</v>
      </c>
      <c r="I64" s="337"/>
      <c r="J64" s="190"/>
      <c r="K64" s="168"/>
      <c r="M64" s="359">
        <f t="shared" ref="M64:M79" si="12">G64/G$228</f>
        <v>1.8717828731594722E-5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573">
        <f>'[42]Sch C'!D58</f>
        <v>0</v>
      </c>
      <c r="D65" s="573">
        <f>'[42]Sch C'!F58</f>
        <v>0</v>
      </c>
      <c r="E65" s="171">
        <f t="shared" si="9"/>
        <v>0</v>
      </c>
      <c r="F65" s="171">
        <v>56783</v>
      </c>
      <c r="G65" s="171">
        <f t="shared" si="10"/>
        <v>56783</v>
      </c>
      <c r="H65" s="172">
        <f t="shared" si="11"/>
        <v>2.5621795095641969E-2</v>
      </c>
      <c r="I65" s="337"/>
      <c r="J65" s="190"/>
      <c r="K65" s="168"/>
      <c r="M65" s="359">
        <f t="shared" si="12"/>
        <v>5.3142723444080486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573">
        <f>'[42]Sch C'!D59</f>
        <v>0</v>
      </c>
      <c r="D66" s="573">
        <f>'[42]Sch C'!F59</f>
        <v>0</v>
      </c>
      <c r="E66" s="171">
        <f t="shared" si="9"/>
        <v>0</v>
      </c>
      <c r="F66" s="171">
        <v>17145</v>
      </c>
      <c r="G66" s="171">
        <f t="shared" si="10"/>
        <v>17145</v>
      </c>
      <c r="H66" s="172">
        <f t="shared" si="11"/>
        <v>7.7362181799972103E-3</v>
      </c>
      <c r="I66" s="337"/>
      <c r="J66" s="190"/>
      <c r="K66" s="168"/>
      <c r="M66" s="359">
        <f t="shared" si="12"/>
        <v>1.6045858680393075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573">
        <f>'[42]Sch C'!D60</f>
        <v>0</v>
      </c>
      <c r="D67" s="573">
        <f>'[42]Sch C'!F60</f>
        <v>0</v>
      </c>
      <c r="E67" s="171">
        <f t="shared" si="9"/>
        <v>0</v>
      </c>
      <c r="F67" s="171"/>
      <c r="G67" s="171">
        <f t="shared" si="10"/>
        <v>0</v>
      </c>
      <c r="H67" s="172">
        <f t="shared" si="11"/>
        <v>0</v>
      </c>
      <c r="I67" s="337"/>
      <c r="J67" s="193"/>
      <c r="K67" s="168"/>
      <c r="M67" s="359">
        <f t="shared" si="12"/>
        <v>0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573">
        <f>'[42]Sch C'!D61</f>
        <v>4121.9399999999996</v>
      </c>
      <c r="D68" s="573">
        <f>'[42]Sch C'!F61</f>
        <v>0</v>
      </c>
      <c r="E68" s="171">
        <f t="shared" si="9"/>
        <v>4121.9399999999996</v>
      </c>
      <c r="F68" s="171"/>
      <c r="G68" s="171">
        <f t="shared" si="10"/>
        <v>4121.9399999999996</v>
      </c>
      <c r="H68" s="172">
        <f t="shared" si="11"/>
        <v>1.8599140953547797E-3</v>
      </c>
      <c r="I68" s="337"/>
      <c r="J68" s="193"/>
      <c r="K68" s="168"/>
      <c r="M68" s="359">
        <f t="shared" si="12"/>
        <v>0.38576883481516139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573">
        <f>'[42]Sch C'!D62</f>
        <v>0</v>
      </c>
      <c r="D69" s="573">
        <f>'[42]Sch C'!F62</f>
        <v>0</v>
      </c>
      <c r="E69" s="171">
        <f t="shared" si="9"/>
        <v>0</v>
      </c>
      <c r="F69" s="171">
        <v>4693</v>
      </c>
      <c r="G69" s="171">
        <f t="shared" si="10"/>
        <v>4693</v>
      </c>
      <c r="H69" s="172">
        <f t="shared" si="11"/>
        <v>2.1175894965719979E-3</v>
      </c>
      <c r="I69" s="337"/>
      <c r="J69" s="195"/>
      <c r="K69" s="168"/>
      <c r="M69" s="359">
        <f t="shared" si="12"/>
        <v>0.43921385119326156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573">
        <f>'[42]Sch C'!D63</f>
        <v>0</v>
      </c>
      <c r="D70" s="573">
        <f>'[42]Sch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7"/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573">
        <f>'[42]Sch C'!D64</f>
        <v>0</v>
      </c>
      <c r="D71" s="573">
        <f>'[42]Sch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573">
        <f>'[42]Sch C'!D65</f>
        <v>5798.67</v>
      </c>
      <c r="D72" s="573">
        <f>'[42]Sch C'!F65</f>
        <v>0</v>
      </c>
      <c r="E72" s="171">
        <f t="shared" si="9"/>
        <v>5798.67</v>
      </c>
      <c r="F72" s="171"/>
      <c r="G72" s="171">
        <f t="shared" si="10"/>
        <v>5798.67</v>
      </c>
      <c r="H72" s="172">
        <f t="shared" si="11"/>
        <v>2.6164932209859684E-3</v>
      </c>
      <c r="I72" s="337"/>
      <c r="J72" s="195"/>
      <c r="K72" s="168"/>
      <c r="M72" s="359">
        <f t="shared" si="12"/>
        <v>0.54269255966307905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573">
        <f>'[42]Sch C'!D66</f>
        <v>0</v>
      </c>
      <c r="D73" s="573">
        <f>'[42]Sch C'!F66</f>
        <v>0</v>
      </c>
      <c r="E73" s="171">
        <f t="shared" si="9"/>
        <v>0</v>
      </c>
      <c r="F73" s="171"/>
      <c r="G73" s="171">
        <f t="shared" si="10"/>
        <v>0</v>
      </c>
      <c r="H73" s="172">
        <f t="shared" si="11"/>
        <v>0</v>
      </c>
      <c r="I73" s="337"/>
      <c r="J73" s="195"/>
      <c r="K73" s="168"/>
      <c r="M73" s="359">
        <f t="shared" si="12"/>
        <v>0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573">
        <f>'[42]Sch C'!D67</f>
        <v>0</v>
      </c>
      <c r="D74" s="573">
        <f>'[42]Sch C'!F67</f>
        <v>0</v>
      </c>
      <c r="E74" s="171">
        <f t="shared" si="9"/>
        <v>0</v>
      </c>
      <c r="F74" s="171">
        <v>31201</v>
      </c>
      <c r="G74" s="171">
        <f t="shared" si="10"/>
        <v>31201</v>
      </c>
      <c r="H74" s="172">
        <f t="shared" si="11"/>
        <v>1.4078608540921141E-2</v>
      </c>
      <c r="I74" s="337"/>
      <c r="J74" s="195"/>
      <c r="K74" s="168"/>
      <c r="M74" s="359">
        <f t="shared" si="12"/>
        <v>2.9200748713149274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573">
        <f>'[42]Sch C'!D68</f>
        <v>0</v>
      </c>
      <c r="D75" s="573">
        <f>'[42]Sch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573">
        <f>'[42]Sch C'!D69</f>
        <v>0</v>
      </c>
      <c r="D76" s="573">
        <f>'[42]Sch C'!F69</f>
        <v>0</v>
      </c>
      <c r="E76" s="171">
        <f t="shared" si="9"/>
        <v>0</v>
      </c>
      <c r="F76" s="171"/>
      <c r="G76" s="171">
        <f t="shared" si="10"/>
        <v>0</v>
      </c>
      <c r="H76" s="172">
        <f t="shared" si="11"/>
        <v>0</v>
      </c>
      <c r="I76" s="337"/>
      <c r="J76" s="195"/>
      <c r="K76" s="168"/>
      <c r="M76" s="359">
        <f t="shared" si="12"/>
        <v>0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573">
        <f>'[42]Sch C'!D70</f>
        <v>0</v>
      </c>
      <c r="D77" s="573">
        <f>'[42]Sch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7"/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573">
        <f>'[42]Sch C'!D71</f>
        <v>0</v>
      </c>
      <c r="D78" s="573">
        <f>'[42]Sch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7"/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573">
        <f>SUM(C64:C78)</f>
        <v>27475.809999999998</v>
      </c>
      <c r="D79" s="573">
        <f>SUM(D64:D78)</f>
        <v>92267</v>
      </c>
      <c r="E79" s="171">
        <f t="shared" ref="E79" si="13">SUM(E64:E78)</f>
        <v>119742.81</v>
      </c>
      <c r="F79" s="171">
        <f>SUM(F64:F78)</f>
        <v>0</v>
      </c>
      <c r="G79" s="171">
        <f>SUM(G64:G78)</f>
        <v>119742.81</v>
      </c>
      <c r="H79" s="172">
        <f t="shared" si="11"/>
        <v>5.4030708874071257E-2</v>
      </c>
      <c r="I79" s="337"/>
      <c r="J79" s="195"/>
      <c r="K79" s="168"/>
      <c r="M79" s="359">
        <f t="shared" si="12"/>
        <v>11.206627047262517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573">
        <f>'[42]Sch C'!D75</f>
        <v>0</v>
      </c>
      <c r="D82" s="573">
        <f>'[42]Sch C'!F75</f>
        <v>0</v>
      </c>
      <c r="E82" s="171">
        <f t="shared" ref="E82:E92" si="14">C82+D82</f>
        <v>0</v>
      </c>
      <c r="F82" s="171">
        <v>28943</v>
      </c>
      <c r="G82" s="171">
        <f t="shared" ref="G82:G92" si="15">E82+F82</f>
        <v>28943</v>
      </c>
      <c r="H82" s="172">
        <f t="shared" ref="H82:H93" si="16">IF($G$208=0,0,G82/$G$208)</f>
        <v>1.3059747027335041E-2</v>
      </c>
      <c r="I82" s="337"/>
      <c r="J82" s="183"/>
      <c r="K82" s="183"/>
      <c r="M82" s="359">
        <f t="shared" ref="M82:M92" si="17">G82/G$228</f>
        <v>2.7087505849321478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573">
        <f>'[42]Sch C'!D76</f>
        <v>0</v>
      </c>
      <c r="D83" s="573">
        <f>'[42]Sch C'!F76</f>
        <v>7817.77</v>
      </c>
      <c r="E83" s="171">
        <f t="shared" si="14"/>
        <v>7817.77</v>
      </c>
      <c r="F83" s="171"/>
      <c r="G83" s="171">
        <f t="shared" si="15"/>
        <v>7817.77</v>
      </c>
      <c r="H83" s="172">
        <f t="shared" si="16"/>
        <v>3.5275575620318921E-3</v>
      </c>
      <c r="I83" s="337"/>
      <c r="J83" s="168"/>
      <c r="K83" s="168"/>
      <c r="M83" s="359">
        <f t="shared" si="17"/>
        <v>0.7316583996256435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573">
        <f>'[42]Sch C'!D77</f>
        <v>20601.05</v>
      </c>
      <c r="D84" s="573">
        <f>'[42]Sch C'!F77</f>
        <v>0</v>
      </c>
      <c r="E84" s="171">
        <f t="shared" si="14"/>
        <v>20601.05</v>
      </c>
      <c r="F84" s="171"/>
      <c r="G84" s="171">
        <f t="shared" si="15"/>
        <v>20601.05</v>
      </c>
      <c r="H84" s="172">
        <f t="shared" si="16"/>
        <v>9.2956673979021007E-3</v>
      </c>
      <c r="I84" s="337"/>
      <c r="J84" s="168"/>
      <c r="K84" s="168"/>
      <c r="M84" s="359">
        <f t="shared" si="17"/>
        <v>1.9280346279831539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573">
        <f>'[42]Sch C'!D78</f>
        <v>0</v>
      </c>
      <c r="D85" s="573">
        <f>'[42]Sch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I85" s="337"/>
      <c r="J85" s="168"/>
      <c r="K85" s="168"/>
      <c r="M85" s="359">
        <f t="shared" si="17"/>
        <v>0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573">
        <f>'[42]Sch C'!D79</f>
        <v>0</v>
      </c>
      <c r="D86" s="573">
        <f>'[42]Sch C'!F79</f>
        <v>0</v>
      </c>
      <c r="E86" s="171">
        <f t="shared" si="14"/>
        <v>0</v>
      </c>
      <c r="F86" s="171"/>
      <c r="G86" s="171">
        <f>E86+F86</f>
        <v>0</v>
      </c>
      <c r="H86" s="172">
        <f t="shared" si="16"/>
        <v>0</v>
      </c>
      <c r="I86" s="337"/>
      <c r="J86" s="168"/>
      <c r="K86" s="168"/>
      <c r="M86" s="359">
        <f t="shared" si="17"/>
        <v>0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573">
        <f>'[42]Sch C'!D80</f>
        <v>58613.729999999996</v>
      </c>
      <c r="D87" s="573">
        <f>'[42]Sch C'!F80</f>
        <v>0</v>
      </c>
      <c r="E87" s="171">
        <f t="shared" si="14"/>
        <v>58613.729999999996</v>
      </c>
      <c r="F87" s="171">
        <v>-28943</v>
      </c>
      <c r="G87" s="171">
        <f t="shared" si="15"/>
        <v>29670.729999999996</v>
      </c>
      <c r="H87" s="172">
        <f t="shared" si="16"/>
        <v>1.3388115534545849E-2</v>
      </c>
      <c r="I87" s="337"/>
      <c r="J87" s="168"/>
      <c r="K87" s="168"/>
      <c r="M87" s="359">
        <f t="shared" si="17"/>
        <v>2.7768582124473555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573">
        <f>'[42]Sch C'!D81</f>
        <v>0</v>
      </c>
      <c r="D88" s="573">
        <f>'[42]Sch C'!F81</f>
        <v>0</v>
      </c>
      <c r="E88" s="171">
        <f t="shared" si="14"/>
        <v>0</v>
      </c>
      <c r="F88" s="171"/>
      <c r="G88" s="171">
        <f t="shared" si="15"/>
        <v>0</v>
      </c>
      <c r="H88" s="172">
        <f t="shared" si="16"/>
        <v>0</v>
      </c>
      <c r="I88" s="337"/>
      <c r="J88" s="168"/>
      <c r="K88" s="168"/>
      <c r="M88" s="359">
        <f t="shared" si="17"/>
        <v>0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573">
        <f>'[42]Sch C'!D82</f>
        <v>0</v>
      </c>
      <c r="D89" s="573">
        <f>'[42]Sch C'!F82</f>
        <v>0</v>
      </c>
      <c r="E89" s="171">
        <f t="shared" si="14"/>
        <v>0</v>
      </c>
      <c r="F89" s="171"/>
      <c r="G89" s="171">
        <f t="shared" si="15"/>
        <v>0</v>
      </c>
      <c r="H89" s="172">
        <f t="shared" si="16"/>
        <v>0</v>
      </c>
      <c r="I89" s="337"/>
      <c r="J89" s="168"/>
      <c r="K89" s="168"/>
      <c r="M89" s="359">
        <f t="shared" si="17"/>
        <v>0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573">
        <f>'[42]Sch C'!D83</f>
        <v>0</v>
      </c>
      <c r="D90" s="573">
        <f>'[42]Sch C'!F83</f>
        <v>0</v>
      </c>
      <c r="E90" s="171">
        <f t="shared" si="14"/>
        <v>0</v>
      </c>
      <c r="F90" s="171">
        <v>264</v>
      </c>
      <c r="G90" s="171">
        <f t="shared" si="15"/>
        <v>264</v>
      </c>
      <c r="H90" s="172">
        <f t="shared" si="16"/>
        <v>1.1912286961325538E-4</v>
      </c>
      <c r="I90" s="337"/>
      <c r="J90" s="168"/>
      <c r="K90" s="168"/>
      <c r="M90" s="359">
        <f t="shared" si="17"/>
        <v>2.4707533926064576E-2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573">
        <f>'[42]Sch C'!D84</f>
        <v>71053.22</v>
      </c>
      <c r="D91" s="573">
        <f>'[42]Sch C'!F84</f>
        <v>0</v>
      </c>
      <c r="E91" s="171">
        <f t="shared" si="14"/>
        <v>71053.22</v>
      </c>
      <c r="F91" s="171"/>
      <c r="G91" s="171">
        <f t="shared" si="15"/>
        <v>71053.22</v>
      </c>
      <c r="H91" s="172">
        <f t="shared" si="16"/>
        <v>3.2060846445689205E-2</v>
      </c>
      <c r="I91" s="337"/>
      <c r="J91" s="168"/>
      <c r="K91" s="168"/>
      <c r="M91" s="359">
        <f t="shared" si="17"/>
        <v>6.6498100140383718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573">
        <f>'[42]Sch C'!D85</f>
        <v>0</v>
      </c>
      <c r="D92" s="573">
        <f>'[42]Sch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7"/>
      <c r="J92" s="168"/>
      <c r="K92" s="168"/>
      <c r="M92" s="359">
        <f t="shared" si="17"/>
        <v>0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573">
        <f>SUM(C82:C92)</f>
        <v>150268</v>
      </c>
      <c r="D93" s="573">
        <f>SUM(D82:D92)</f>
        <v>7817.77</v>
      </c>
      <c r="E93" s="171">
        <f t="shared" ref="E93" si="18">SUM(E82:E92)</f>
        <v>158085.76999999999</v>
      </c>
      <c r="F93" s="171">
        <f>SUM(F82:F92)</f>
        <v>264</v>
      </c>
      <c r="G93" s="171">
        <f>SUM(G82:G92)</f>
        <v>158349.77000000002</v>
      </c>
      <c r="H93" s="172">
        <f t="shared" si="16"/>
        <v>7.1451056837117347E-2</v>
      </c>
      <c r="I93" s="337"/>
      <c r="J93" s="168"/>
      <c r="K93" s="168"/>
      <c r="M93" s="364">
        <f>G93/G$228</f>
        <v>14.81981937295274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573">
        <f>'[42]Sch C'!D89</f>
        <v>0</v>
      </c>
      <c r="D96" s="573">
        <f>'[42]Sch C'!F89</f>
        <v>0</v>
      </c>
      <c r="E96" s="171">
        <f t="shared" ref="E96:E101" si="19">C96+D96</f>
        <v>0</v>
      </c>
      <c r="F96" s="171">
        <v>95141</v>
      </c>
      <c r="G96" s="171">
        <f t="shared" ref="G96:G101" si="20">E96+F96</f>
        <v>95141</v>
      </c>
      <c r="H96" s="172">
        <f t="shared" ref="H96:H102" si="21">IF($G$208=0,0,G96/$G$208)</f>
        <v>4.2929806582858825E-2</v>
      </c>
      <c r="I96" s="337"/>
      <c r="J96" s="183"/>
      <c r="K96" s="183"/>
      <c r="M96" s="364">
        <f t="shared" ref="M96:M101" si="22">G96/G$228</f>
        <v>8.9041647168928399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573">
        <f>'[42]Sch C'!D90</f>
        <v>0</v>
      </c>
      <c r="D97" s="573">
        <f>'[42]Sch C'!F90</f>
        <v>25698.41</v>
      </c>
      <c r="E97" s="171">
        <f t="shared" si="19"/>
        <v>25698.41</v>
      </c>
      <c r="F97" s="171"/>
      <c r="G97" s="171">
        <f t="shared" si="20"/>
        <v>25698.41</v>
      </c>
      <c r="H97" s="172">
        <f t="shared" si="21"/>
        <v>1.1595713423098402E-2</v>
      </c>
      <c r="I97" s="337"/>
      <c r="J97" s="168"/>
      <c r="K97" s="168"/>
      <c r="M97" s="364">
        <f t="shared" si="22"/>
        <v>2.4050921853065046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573">
        <f>'[42]Sch C'!D91</f>
        <v>95141.46</v>
      </c>
      <c r="D98" s="573">
        <f>'[42]Sch C'!F91</f>
        <v>0</v>
      </c>
      <c r="E98" s="171">
        <f t="shared" si="19"/>
        <v>95141.46</v>
      </c>
      <c r="F98" s="171">
        <v>-95141</v>
      </c>
      <c r="G98" s="171">
        <f t="shared" si="20"/>
        <v>0.46000000000640284</v>
      </c>
      <c r="H98" s="172">
        <f t="shared" si="21"/>
        <v>2.0756257584416742E-7</v>
      </c>
      <c r="I98" s="337"/>
      <c r="J98" s="168"/>
      <c r="K98" s="168"/>
      <c r="M98" s="364">
        <f t="shared" si="22"/>
        <v>4.3051006083893573E-5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573">
        <f>'[42]Sch C'!D92</f>
        <v>68697.960000000006</v>
      </c>
      <c r="D99" s="573">
        <f>'[42]Sch C'!F92</f>
        <v>-704</v>
      </c>
      <c r="E99" s="171">
        <f t="shared" si="19"/>
        <v>67993.960000000006</v>
      </c>
      <c r="F99" s="171"/>
      <c r="G99" s="171">
        <f t="shared" si="20"/>
        <v>67993.960000000006</v>
      </c>
      <c r="H99" s="172">
        <f t="shared" si="21"/>
        <v>3.0680437998367057E-2</v>
      </c>
      <c r="I99" s="337"/>
      <c r="J99" s="168"/>
      <c r="K99" s="168"/>
      <c r="M99" s="364">
        <f t="shared" si="22"/>
        <v>6.3634964904071136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573">
        <f>'[42]Sch C'!D93</f>
        <v>6740.19</v>
      </c>
      <c r="D100" s="573">
        <f>'[42]Sch C'!F93</f>
        <v>0</v>
      </c>
      <c r="E100" s="171">
        <f t="shared" si="19"/>
        <v>6740.19</v>
      </c>
      <c r="F100" s="171"/>
      <c r="G100" s="171">
        <f t="shared" si="20"/>
        <v>6740.19</v>
      </c>
      <c r="H100" s="172">
        <f t="shared" si="21"/>
        <v>3.0413286914339689E-3</v>
      </c>
      <c r="I100" s="337"/>
      <c r="J100" s="168"/>
      <c r="K100" s="168"/>
      <c r="M100" s="364">
        <f t="shared" si="22"/>
        <v>0.63080861020121659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573">
        <f>'[42]Sch C'!D94</f>
        <v>0</v>
      </c>
      <c r="D101" s="573">
        <f>'[42]Sch C'!F94</f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I101" s="337"/>
      <c r="J101" s="168"/>
      <c r="K101" s="168"/>
      <c r="M101" s="364">
        <f t="shared" si="22"/>
        <v>0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573">
        <f>SUM(C96:C101)</f>
        <v>170579.61000000002</v>
      </c>
      <c r="D102" s="573">
        <f>SUM(D96:D101)</f>
        <v>24994.41</v>
      </c>
      <c r="E102" s="171">
        <f t="shared" ref="E102" si="23">SUM(E96:E101)</f>
        <v>195574.02000000002</v>
      </c>
      <c r="F102" s="171">
        <f>SUM(F96:F101)</f>
        <v>0</v>
      </c>
      <c r="G102" s="171">
        <f>SUM(G96:G101)</f>
        <v>195574.02000000002</v>
      </c>
      <c r="H102" s="172">
        <f t="shared" si="21"/>
        <v>8.82474942583341E-2</v>
      </c>
      <c r="I102" s="337"/>
      <c r="J102" s="168"/>
      <c r="K102" s="168"/>
      <c r="M102" s="364">
        <f>G102/G$228</f>
        <v>18.303605053813758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573">
        <f>'[42]Sch C'!D98</f>
        <v>0</v>
      </c>
      <c r="D105" s="573">
        <f>'[42]Sch C'!F98</f>
        <v>0</v>
      </c>
      <c r="E105" s="171">
        <f t="shared" ref="E105:E110" si="24">C105+D105</f>
        <v>0</v>
      </c>
      <c r="F105" s="171">
        <v>29037</v>
      </c>
      <c r="G105" s="171">
        <f t="shared" ref="G105:G110" si="25">E105+F105</f>
        <v>29037</v>
      </c>
      <c r="H105" s="172">
        <f t="shared" ref="H105:H111" si="26">IF($G$208=0,0,G105/$G$208)</f>
        <v>1.3102161988485215E-2</v>
      </c>
      <c r="I105" s="337"/>
      <c r="J105" s="183"/>
      <c r="K105" s="183"/>
      <c r="M105" s="364">
        <f t="shared" ref="M105:M110" si="27">G105/G$228</f>
        <v>2.7175479644361253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573">
        <f>'[42]Sch C'!D99</f>
        <v>0</v>
      </c>
      <c r="D106" s="573">
        <f>'[42]Sch C'!F99</f>
        <v>7843.22</v>
      </c>
      <c r="E106" s="171">
        <f t="shared" si="24"/>
        <v>7843.22</v>
      </c>
      <c r="F106" s="171"/>
      <c r="G106" s="171">
        <f t="shared" si="25"/>
        <v>7843.22</v>
      </c>
      <c r="H106" s="172">
        <f t="shared" si="26"/>
        <v>3.5390411871518064E-3</v>
      </c>
      <c r="I106" s="337"/>
      <c r="J106" s="168"/>
      <c r="K106" s="168"/>
      <c r="M106" s="364">
        <f t="shared" si="27"/>
        <v>0.73404024333177353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573">
        <f>'[42]Sch C'!D100</f>
        <v>4449.08</v>
      </c>
      <c r="D107" s="573">
        <f>'[42]Sch C'!F100</f>
        <v>0</v>
      </c>
      <c r="E107" s="171">
        <f t="shared" si="24"/>
        <v>4449.08</v>
      </c>
      <c r="F107" s="171"/>
      <c r="G107" s="171">
        <f t="shared" si="25"/>
        <v>4449.08</v>
      </c>
      <c r="H107" s="172">
        <f t="shared" si="26"/>
        <v>2.0075271846172055E-3</v>
      </c>
      <c r="I107" s="337"/>
      <c r="J107" s="168"/>
      <c r="K107" s="168"/>
      <c r="M107" s="364">
        <f t="shared" si="27"/>
        <v>0.41638558727187647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573">
        <f>'[42]Sch C'!D101</f>
        <v>29037.4</v>
      </c>
      <c r="D108" s="573">
        <f>'[42]Sch C'!F101</f>
        <v>0</v>
      </c>
      <c r="E108" s="171">
        <f t="shared" si="24"/>
        <v>29037.4</v>
      </c>
      <c r="F108" s="171">
        <v>-29037</v>
      </c>
      <c r="G108" s="171">
        <f t="shared" si="25"/>
        <v>0.40000000000145519</v>
      </c>
      <c r="H108" s="172">
        <f t="shared" si="26"/>
        <v>1.804891963843769E-7</v>
      </c>
      <c r="I108" s="337"/>
      <c r="J108" s="168"/>
      <c r="K108" s="168"/>
      <c r="M108" s="364">
        <f t="shared" si="27"/>
        <v>3.7435657463870398E-5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573">
        <f>'[42]Sch C'!D102</f>
        <v>1337.58</v>
      </c>
      <c r="D109" s="573">
        <f>'[42]Sch C'!F102</f>
        <v>0</v>
      </c>
      <c r="E109" s="171">
        <f t="shared" si="24"/>
        <v>1337.58</v>
      </c>
      <c r="F109" s="171"/>
      <c r="G109" s="171">
        <f t="shared" si="25"/>
        <v>1337.58</v>
      </c>
      <c r="H109" s="172">
        <f t="shared" si="26"/>
        <v>6.0354684824734134E-4</v>
      </c>
      <c r="I109" s="337"/>
      <c r="J109" s="168"/>
      <c r="K109" s="168"/>
      <c r="M109" s="364">
        <f t="shared" si="27"/>
        <v>0.125182966775854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573">
        <f>'[42]Sch C'!D103</f>
        <v>0</v>
      </c>
      <c r="D110" s="573">
        <f>'[42]Sch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7"/>
      <c r="J110" s="168"/>
      <c r="K110" s="168"/>
      <c r="M110" s="364">
        <f t="shared" si="27"/>
        <v>0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573">
        <f>SUM(C105:C110)</f>
        <v>34824.060000000005</v>
      </c>
      <c r="D111" s="573">
        <f>SUM(D105:D110)</f>
        <v>7843.22</v>
      </c>
      <c r="E111" s="171">
        <f t="shared" ref="E111" si="28">SUM(E105:E110)</f>
        <v>42667.28</v>
      </c>
      <c r="F111" s="171">
        <f>SUM(F105:F110)</f>
        <v>0</v>
      </c>
      <c r="G111" s="171">
        <f>SUM(G105:G110)</f>
        <v>42667.280000000006</v>
      </c>
      <c r="H111" s="172">
        <f t="shared" si="26"/>
        <v>1.9252457697697952E-2</v>
      </c>
      <c r="I111" s="337"/>
      <c r="J111" s="168"/>
      <c r="K111" s="168"/>
      <c r="M111" s="364">
        <f>G111/G$228</f>
        <v>3.9931941974730938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573">
        <f>'[42]Sch C'!D115</f>
        <v>0</v>
      </c>
      <c r="D114" s="573">
        <f>'[42]Sch C'!F115</f>
        <v>0</v>
      </c>
      <c r="E114" s="171">
        <f t="shared" ref="E114:E118" si="29">C114+D114</f>
        <v>0</v>
      </c>
      <c r="F114" s="171">
        <v>19996</v>
      </c>
      <c r="G114" s="171">
        <f>E114+F114</f>
        <v>19996</v>
      </c>
      <c r="H114" s="172">
        <f t="shared" ref="H114:H119" si="30">IF($G$208=0,0,G114/$G$208)</f>
        <v>9.0226549272221773E-3</v>
      </c>
      <c r="I114" s="337"/>
      <c r="J114" s="183"/>
      <c r="K114" s="183"/>
      <c r="M114" s="364">
        <f t="shared" ref="M114:M119" si="31">G114/G$228</f>
        <v>1.8714085166120731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573">
        <f>'[42]Sch C'!D116</f>
        <v>0</v>
      </c>
      <c r="D115" s="573">
        <f>'[42]Sch C'!F116</f>
        <v>5401.19</v>
      </c>
      <c r="E115" s="171">
        <f t="shared" si="29"/>
        <v>5401.19</v>
      </c>
      <c r="F115" s="171"/>
      <c r="G115" s="171">
        <f>E115+F115</f>
        <v>5401.19</v>
      </c>
      <c r="H115" s="172">
        <f t="shared" si="30"/>
        <v>2.4371411065394651E-3</v>
      </c>
      <c r="I115" s="337"/>
      <c r="J115" s="168"/>
      <c r="K115" s="168"/>
      <c r="M115" s="364">
        <f t="shared" si="31"/>
        <v>0.50549274684136636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573">
        <f>'[42]Sch C'!D117</f>
        <v>9005.48</v>
      </c>
      <c r="D116" s="573">
        <f>'[42]Sch C'!F117</f>
        <v>0</v>
      </c>
      <c r="E116" s="171">
        <f t="shared" si="29"/>
        <v>9005.48</v>
      </c>
      <c r="F116" s="171"/>
      <c r="G116" s="171">
        <f>E116+F116</f>
        <v>9005.48</v>
      </c>
      <c r="H116" s="172">
        <f t="shared" si="30"/>
        <v>4.0634796206241632E-3</v>
      </c>
      <c r="I116" s="337"/>
      <c r="J116" s="168"/>
      <c r="K116" s="168"/>
      <c r="M116" s="364">
        <f t="shared" si="31"/>
        <v>0.84281516144127278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573">
        <f>'[42]Sch C'!D118</f>
        <v>19996.45</v>
      </c>
      <c r="D117" s="573">
        <f>'[42]Sch C'!F118</f>
        <v>0</v>
      </c>
      <c r="E117" s="171">
        <f t="shared" si="29"/>
        <v>19996.45</v>
      </c>
      <c r="F117" s="171">
        <v>-19996</v>
      </c>
      <c r="G117" s="171">
        <f>E117+F117</f>
        <v>0.4500000000007276</v>
      </c>
      <c r="H117" s="172">
        <f t="shared" si="30"/>
        <v>2.0305034593201361E-7</v>
      </c>
      <c r="I117" s="337"/>
      <c r="J117" s="168"/>
      <c r="K117" s="168"/>
      <c r="M117" s="364">
        <f t="shared" si="31"/>
        <v>4.2115114646769081E-5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573">
        <f>'[42]Sch C'!D119</f>
        <v>0</v>
      </c>
      <c r="D118" s="573">
        <f>'[42]Sch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337"/>
      <c r="J118" s="168"/>
      <c r="K118" s="168"/>
      <c r="M118" s="364">
        <f t="shared" si="31"/>
        <v>0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573">
        <f>SUM(C114:C118)</f>
        <v>29001.93</v>
      </c>
      <c r="D119" s="573">
        <f>SUM(D114:D118)</f>
        <v>5401.19</v>
      </c>
      <c r="E119" s="171">
        <f t="shared" ref="E119" si="32">SUM(E114:E118)</f>
        <v>34403.119999999995</v>
      </c>
      <c r="F119" s="171">
        <f>SUM(F114:F118)</f>
        <v>0</v>
      </c>
      <c r="G119" s="171">
        <f>SUM(G114:G118)</f>
        <v>34403.119999999995</v>
      </c>
      <c r="H119" s="172">
        <f t="shared" si="30"/>
        <v>1.5523478704731735E-2</v>
      </c>
      <c r="I119" s="337"/>
      <c r="J119" s="168"/>
      <c r="K119" s="168"/>
      <c r="M119" s="364">
        <f t="shared" si="31"/>
        <v>3.2197585400093587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1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573">
        <f>'[42]Sch C'!D124</f>
        <v>0</v>
      </c>
      <c r="D123" s="573">
        <f>'[42]Sch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7"/>
      <c r="J123" s="183"/>
      <c r="K123" s="183"/>
      <c r="M123" s="364">
        <f t="shared" ref="M123:M160" si="34">G123/G$228</f>
        <v>0</v>
      </c>
      <c r="N123" s="359">
        <f>SUMMARY!J126</f>
        <v>0.77002560279620991</v>
      </c>
    </row>
    <row r="124" spans="1:14" s="167" customFormat="1">
      <c r="B124" s="163" t="s">
        <v>194</v>
      </c>
      <c r="C124" s="573">
        <f>'[42]Sch C'!D125</f>
        <v>0</v>
      </c>
      <c r="D124" s="573">
        <f>'[42]Sch C'!F125</f>
        <v>0</v>
      </c>
      <c r="E124" s="171">
        <f t="shared" si="33"/>
        <v>0</v>
      </c>
      <c r="F124" s="171">
        <v>64145</v>
      </c>
      <c r="G124" s="171">
        <f>E124+F124</f>
        <v>64145</v>
      </c>
      <c r="H124" s="172">
        <f>IF($G$208=0,0,G124/$G$208)</f>
        <v>2.8943698755084343E-2</v>
      </c>
      <c r="I124" s="337"/>
      <c r="J124" s="183"/>
      <c r="K124" s="183"/>
      <c r="M124" s="364">
        <f t="shared" si="34"/>
        <v>6.0032756200280764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573">
        <f>'[42]Sch C'!D126</f>
        <v>0</v>
      </c>
      <c r="D125" s="573">
        <f>'[42]Sch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7"/>
      <c r="J125" s="183"/>
      <c r="K125" s="183"/>
      <c r="M125" s="364">
        <f t="shared" si="34"/>
        <v>0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573">
        <f>'[42]Sch C'!D127</f>
        <v>0</v>
      </c>
      <c r="D126" s="573">
        <f>'[42]Sch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7"/>
      <c r="J126" s="183"/>
      <c r="K126" s="183"/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573">
        <f>'[42]Sch C'!D128</f>
        <v>0</v>
      </c>
      <c r="D127" s="573">
        <f>'[42]Sch C'!F128</f>
        <v>0</v>
      </c>
      <c r="E127" s="171">
        <f t="shared" si="33"/>
        <v>0</v>
      </c>
      <c r="F127" s="171"/>
      <c r="G127" s="171">
        <f>E127+F127</f>
        <v>0</v>
      </c>
      <c r="H127" s="172">
        <f>IF($G$208=0,0,G127/$G$208)</f>
        <v>0</v>
      </c>
      <c r="I127" s="337"/>
      <c r="J127" s="183"/>
      <c r="K127" s="183"/>
      <c r="M127" s="364">
        <f t="shared" si="34"/>
        <v>0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205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573">
        <f>'[42]Sch C'!D130</f>
        <v>0</v>
      </c>
      <c r="D129" s="573">
        <f>'[42]Sch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7"/>
      <c r="J129" s="204"/>
      <c r="K129" s="204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573">
        <f>'[42]Sch C'!D131</f>
        <v>0</v>
      </c>
      <c r="D130" s="573">
        <f>'[42]Sch C'!F131</f>
        <v>0</v>
      </c>
      <c r="E130" s="171">
        <f t="shared" si="35"/>
        <v>0</v>
      </c>
      <c r="F130" s="171"/>
      <c r="G130" s="171">
        <f>E130+F130</f>
        <v>0</v>
      </c>
      <c r="H130" s="172">
        <f>IF($G$208=0,0,G130/$G$208)</f>
        <v>0</v>
      </c>
      <c r="I130" s="337"/>
      <c r="J130" s="204"/>
      <c r="K130" s="204"/>
      <c r="M130" s="364">
        <f t="shared" si="34"/>
        <v>0</v>
      </c>
      <c r="N130" s="359">
        <f>SUMMARY!J133</f>
        <v>1.0792348507966931</v>
      </c>
    </row>
    <row r="131" spans="1:14" s="167" customFormat="1">
      <c r="B131" s="163" t="s">
        <v>195</v>
      </c>
      <c r="C131" s="573">
        <f>'[42]Sch C'!D132</f>
        <v>0</v>
      </c>
      <c r="D131" s="573">
        <f>'[42]Sch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7"/>
      <c r="J131" s="168"/>
      <c r="K131" s="168"/>
      <c r="M131" s="364">
        <f t="shared" si="34"/>
        <v>0</v>
      </c>
      <c r="N131" s="359">
        <f>SUMMARY!J134</f>
        <v>8.2765628075518377E-2</v>
      </c>
    </row>
    <row r="132" spans="1:14" s="167" customFormat="1">
      <c r="B132" s="163" t="s">
        <v>196</v>
      </c>
      <c r="C132" s="573">
        <f>'[42]Sch C'!D133</f>
        <v>0</v>
      </c>
      <c r="D132" s="573">
        <f>'[42]Sch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573">
        <f>'[42]Sch C'!D134</f>
        <v>0</v>
      </c>
      <c r="D133" s="573">
        <f>'[42]Sch C'!F134</f>
        <v>0</v>
      </c>
      <c r="E133" s="171">
        <f t="shared" si="35"/>
        <v>0</v>
      </c>
      <c r="F133" s="171"/>
      <c r="G133" s="171">
        <f>E133+F133</f>
        <v>0</v>
      </c>
      <c r="H133" s="172">
        <f>IF($G$208=0,0,G133/$G$208)</f>
        <v>0</v>
      </c>
      <c r="I133" s="337"/>
      <c r="J133" s="168"/>
      <c r="K133" s="168"/>
      <c r="M133" s="364">
        <f t="shared" si="34"/>
        <v>0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573">
        <f>'[42]Sch C'!D136</f>
        <v>0</v>
      </c>
      <c r="D135" s="573">
        <f>'[42]Sch C'!F136</f>
        <v>0</v>
      </c>
      <c r="E135" s="171">
        <f t="shared" ref="E135:E138" si="36">C135+D135</f>
        <v>0</v>
      </c>
      <c r="F135" s="171">
        <v>159658</v>
      </c>
      <c r="G135" s="171">
        <f>E135+F135</f>
        <v>159658</v>
      </c>
      <c r="H135" s="172">
        <f>IF($G$208=0,0,G135/$G$208)</f>
        <v>7.2041360290580031E-2</v>
      </c>
      <c r="I135" s="337"/>
      <c r="J135" s="183"/>
      <c r="K135" s="183"/>
      <c r="M135" s="364">
        <f t="shared" si="34"/>
        <v>14.94225549836219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573">
        <f>'[42]Sch C'!D137</f>
        <v>0</v>
      </c>
      <c r="D136" s="573">
        <f>'[42]Sch C'!F137</f>
        <v>0</v>
      </c>
      <c r="E136" s="171">
        <f t="shared" si="36"/>
        <v>0</v>
      </c>
      <c r="F136" s="171">
        <v>80092</v>
      </c>
      <c r="G136" s="171">
        <f>E136+F136</f>
        <v>80092</v>
      </c>
      <c r="H136" s="172">
        <f>IF($G$208=0,0,G136/$G$208)</f>
        <v>3.6139351791912314E-2</v>
      </c>
      <c r="I136" s="337"/>
      <c r="J136" s="183"/>
      <c r="K136" s="183"/>
      <c r="M136" s="364">
        <f t="shared" si="34"/>
        <v>7.4957416939635007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573">
        <f>'[42]Sch C'!D138</f>
        <v>0</v>
      </c>
      <c r="D137" s="573">
        <f>'[42]Sch C'!F138</f>
        <v>0</v>
      </c>
      <c r="E137" s="171">
        <f t="shared" si="36"/>
        <v>0</v>
      </c>
      <c r="F137" s="171">
        <v>286794</v>
      </c>
      <c r="G137" s="171">
        <f>E137+F137</f>
        <v>286794</v>
      </c>
      <c r="H137" s="172">
        <f>IF($G$208=0,0,G137/$G$208)</f>
        <v>0.12940804646918169</v>
      </c>
      <c r="I137" s="337"/>
      <c r="J137" s="183"/>
      <c r="K137" s="183"/>
      <c r="M137" s="364">
        <f t="shared" si="34"/>
        <v>26.840804866635469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573">
        <f>'[42]Sch C'!D139</f>
        <v>0</v>
      </c>
      <c r="D138" s="573">
        <f>'[42]Sch C'!F139</f>
        <v>0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7"/>
      <c r="J138" s="183"/>
      <c r="K138" s="183"/>
      <c r="M138" s="364">
        <f t="shared" si="34"/>
        <v>0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7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573">
        <f>'[42]Sch C'!D141</f>
        <v>0</v>
      </c>
      <c r="D140" s="573">
        <f>'[42]Sch C'!F141</f>
        <v>58473.1</v>
      </c>
      <c r="E140" s="171">
        <f t="shared" ref="E140:E143" si="37">C140+D140</f>
        <v>58473.1</v>
      </c>
      <c r="F140" s="171"/>
      <c r="G140" s="171">
        <f>E140+F140</f>
        <v>58473.1</v>
      </c>
      <c r="H140" s="172">
        <f>IF($G$208=0,0,G140/$G$208)</f>
        <v>2.6384407072662285E-2</v>
      </c>
      <c r="I140" s="337"/>
      <c r="J140" s="168"/>
      <c r="K140" s="168"/>
      <c r="M140" s="364">
        <f t="shared" si="34"/>
        <v>5.4724473561066915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573">
        <f>'[42]Sch C'!D142</f>
        <v>0</v>
      </c>
      <c r="D141" s="573">
        <f>'[42]Sch C'!F142</f>
        <v>21633.35</v>
      </c>
      <c r="E141" s="171">
        <f t="shared" si="37"/>
        <v>21633.35</v>
      </c>
      <c r="F141" s="171"/>
      <c r="G141" s="171">
        <f>E141+F141</f>
        <v>21633.35</v>
      </c>
      <c r="H141" s="172">
        <f>IF($G$208=0,0,G141/$G$208)</f>
        <v>9.7614648914693871E-3</v>
      </c>
      <c r="I141" s="337"/>
      <c r="J141" s="168"/>
      <c r="K141" s="168"/>
      <c r="M141" s="364">
        <f t="shared" si="34"/>
        <v>2.0246467009826858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573">
        <f>'[42]Sch C'!D143</f>
        <v>0</v>
      </c>
      <c r="D142" s="573">
        <f>'[42]Sch C'!F143</f>
        <v>83054.75</v>
      </c>
      <c r="E142" s="171">
        <f t="shared" si="37"/>
        <v>83054.75</v>
      </c>
      <c r="F142" s="171"/>
      <c r="G142" s="171">
        <f>E142+F142</f>
        <v>83054.75</v>
      </c>
      <c r="H142" s="172">
        <f>IF($G$208=0,0,G142/$G$208)</f>
        <v>3.7476212708376977E-2</v>
      </c>
      <c r="I142" s="337"/>
      <c r="J142" s="168"/>
      <c r="K142" s="168"/>
      <c r="M142" s="364">
        <f t="shared" si="34"/>
        <v>7.7730229293401969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573">
        <f>'[42]Sch C'!D144</f>
        <v>0</v>
      </c>
      <c r="D143" s="573">
        <f>'[42]Sch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7"/>
      <c r="J143" s="168"/>
      <c r="K143" s="168"/>
      <c r="M143" s="364">
        <f t="shared" si="34"/>
        <v>0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7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573">
        <f>'[42]Sch C'!D146</f>
        <v>8400</v>
      </c>
      <c r="D145" s="573">
        <f>'[42]Sch C'!F146</f>
        <v>0</v>
      </c>
      <c r="E145" s="171">
        <f t="shared" ref="E145:E153" si="38">C145+D145</f>
        <v>8400</v>
      </c>
      <c r="F145" s="171"/>
      <c r="G145" s="171">
        <f t="shared" ref="G145:G153" si="39">E145+F145</f>
        <v>8400</v>
      </c>
      <c r="H145" s="172">
        <f t="shared" ref="H145:H153" si="40">IF($G$208=0,0,G145/$G$208)</f>
        <v>3.7902731240581256E-3</v>
      </c>
      <c r="I145" s="337"/>
      <c r="J145" s="183"/>
      <c r="K145" s="183"/>
      <c r="M145" s="364">
        <f t="shared" si="34"/>
        <v>0.78614880673841836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573">
        <f>'[42]Sch C'!D147</f>
        <v>216480.99</v>
      </c>
      <c r="D146" s="573">
        <f>'[42]Sch C'!F147</f>
        <v>0</v>
      </c>
      <c r="E146" s="171">
        <f t="shared" si="38"/>
        <v>216480.99</v>
      </c>
      <c r="F146" s="171">
        <v>-216481</v>
      </c>
      <c r="G146" s="171">
        <f t="shared" si="39"/>
        <v>-1.0000000009313226E-2</v>
      </c>
      <c r="H146" s="172">
        <f t="shared" si="40"/>
        <v>-4.5122299137953483E-9</v>
      </c>
      <c r="I146" s="337"/>
      <c r="J146" s="183"/>
      <c r="K146" s="183"/>
      <c r="M146" s="364">
        <f t="shared" si="34"/>
        <v>-9.3589143746497204E-7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573">
        <f>'[42]Sch C'!D148</f>
        <v>80091.66</v>
      </c>
      <c r="D147" s="573">
        <f>'[42]Sch C'!F148</f>
        <v>0</v>
      </c>
      <c r="E147" s="171">
        <f t="shared" si="38"/>
        <v>80091.66</v>
      </c>
      <c r="F147" s="171">
        <v>-80092</v>
      </c>
      <c r="G147" s="171">
        <f t="shared" si="39"/>
        <v>-0.33999999999650754</v>
      </c>
      <c r="H147" s="172">
        <f t="shared" si="40"/>
        <v>-1.5341581692458635E-7</v>
      </c>
      <c r="I147" s="337"/>
      <c r="J147" s="183"/>
      <c r="K147" s="183"/>
      <c r="M147" s="364">
        <f t="shared" si="34"/>
        <v>-3.1820308843847222E-5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573">
        <f>'[42]Sch C'!D149</f>
        <v>308381.14999999997</v>
      </c>
      <c r="D148" s="573">
        <f>'[42]Sch C'!F149</f>
        <v>0</v>
      </c>
      <c r="E148" s="171">
        <f t="shared" si="38"/>
        <v>308381.14999999997</v>
      </c>
      <c r="F148" s="171">
        <v>-307487</v>
      </c>
      <c r="G148" s="171">
        <f t="shared" si="39"/>
        <v>894.14999999996508</v>
      </c>
      <c r="H148" s="172">
        <f t="shared" si="40"/>
        <v>4.0346103736624294E-4</v>
      </c>
      <c r="I148" s="337"/>
      <c r="J148" s="183"/>
      <c r="K148" s="183"/>
      <c r="M148" s="364">
        <f t="shared" si="34"/>
        <v>8.3682732802991586E-2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573">
        <f>'[42]Sch C'!D150</f>
        <v>460.2</v>
      </c>
      <c r="D149" s="573">
        <f>'[42]Sch C'!F150</f>
        <v>0</v>
      </c>
      <c r="E149" s="171">
        <f t="shared" si="38"/>
        <v>460.2</v>
      </c>
      <c r="F149" s="171"/>
      <c r="G149" s="171">
        <f t="shared" si="39"/>
        <v>460.2</v>
      </c>
      <c r="H149" s="172">
        <f t="shared" si="40"/>
        <v>2.0765282043947017E-4</v>
      </c>
      <c r="I149" s="337"/>
      <c r="J149" s="183"/>
      <c r="K149" s="183"/>
      <c r="M149" s="364">
        <f t="shared" si="34"/>
        <v>4.3069723912026202E-2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573">
        <f>'[42]Sch C'!D151</f>
        <v>56974</v>
      </c>
      <c r="D150" s="573">
        <f>'[42]Sch C'!F151</f>
        <v>0</v>
      </c>
      <c r="E150" s="171">
        <f t="shared" si="38"/>
        <v>56974</v>
      </c>
      <c r="F150" s="171"/>
      <c r="G150" s="171">
        <f t="shared" si="39"/>
        <v>56974</v>
      </c>
      <c r="H150" s="172">
        <f t="shared" si="40"/>
        <v>2.5707978686915198E-2</v>
      </c>
      <c r="I150" s="337"/>
      <c r="J150" s="168"/>
      <c r="K150" s="168"/>
      <c r="M150" s="364">
        <f t="shared" si="34"/>
        <v>5.3321478708469821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573">
        <f>'[42]Sch C'!D152</f>
        <v>0</v>
      </c>
      <c r="D151" s="573">
        <f>'[42]Sch C'!F152</f>
        <v>0</v>
      </c>
      <c r="E151" s="171">
        <f t="shared" si="38"/>
        <v>0</v>
      </c>
      <c r="F151" s="171"/>
      <c r="G151" s="171">
        <f t="shared" si="39"/>
        <v>0</v>
      </c>
      <c r="H151" s="172">
        <f t="shared" si="40"/>
        <v>0</v>
      </c>
      <c r="I151" s="337"/>
      <c r="J151" s="168"/>
      <c r="K151" s="168"/>
      <c r="M151" s="364">
        <f t="shared" si="34"/>
        <v>0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573">
        <f>'[42]Sch C'!D153</f>
        <v>0</v>
      </c>
      <c r="D152" s="573">
        <f>'[42]Sch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7"/>
      <c r="J152" s="168"/>
      <c r="K152" s="168"/>
      <c r="M152" s="364">
        <f t="shared" si="34"/>
        <v>0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573">
        <f>'[42]Sch C'!D154</f>
        <v>0</v>
      </c>
      <c r="D153" s="573">
        <f>'[42]Sch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210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573">
        <f>'[42]Sch C'!D156</f>
        <v>0</v>
      </c>
      <c r="D155" s="573">
        <f>'[42]Sch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573">
        <f>'[42]Sch C'!D157</f>
        <v>0</v>
      </c>
      <c r="D156" s="573">
        <f>'[42]Sch C'!F157</f>
        <v>0</v>
      </c>
      <c r="E156" s="171">
        <f t="shared" si="41"/>
        <v>0</v>
      </c>
      <c r="F156" s="171">
        <v>20693</v>
      </c>
      <c r="G156" s="171">
        <f t="shared" si="42"/>
        <v>20693</v>
      </c>
      <c r="H156" s="172">
        <f t="shared" si="43"/>
        <v>9.3371573519208089E-3</v>
      </c>
      <c r="I156" s="337"/>
      <c r="J156" s="168"/>
      <c r="K156" s="168"/>
      <c r="M156" s="364">
        <f t="shared" si="34"/>
        <v>1.9366401497426298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573">
        <f>'[42]Sch C'!D158</f>
        <v>0</v>
      </c>
      <c r="D157" s="573">
        <f>'[42]Sch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7"/>
      <c r="J157" s="168"/>
      <c r="K157" s="168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573">
        <f>'[42]Sch C'!D159</f>
        <v>0</v>
      </c>
      <c r="D158" s="573">
        <f>'[42]Sch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573">
        <f>'[42]Sch C'!D160</f>
        <v>0</v>
      </c>
      <c r="D159" s="573">
        <f>'[42]Sch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7"/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573">
        <f>'[42]Sch C'!D161</f>
        <v>5331.98</v>
      </c>
      <c r="D160" s="573">
        <f>'[42]Sch C'!F161</f>
        <v>0</v>
      </c>
      <c r="E160" s="171">
        <f t="shared" si="41"/>
        <v>5331.98</v>
      </c>
      <c r="F160" s="171"/>
      <c r="G160" s="171">
        <f t="shared" si="42"/>
        <v>5331.98</v>
      </c>
      <c r="H160" s="172">
        <f t="shared" si="43"/>
        <v>2.4059119633351718E-3</v>
      </c>
      <c r="I160" s="337"/>
      <c r="J160" s="168"/>
      <c r="K160" s="168"/>
      <c r="M160" s="364">
        <f t="shared" si="34"/>
        <v>0.49901544220870375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573">
        <f>SUM(C123:C160)</f>
        <v>676119.98</v>
      </c>
      <c r="D161" s="573">
        <f>SUM(D123:D160)</f>
        <v>163161.20000000001</v>
      </c>
      <c r="E161" s="171">
        <f t="shared" ref="E161" si="44">SUM(E123:E160)</f>
        <v>839281.17999999993</v>
      </c>
      <c r="F161" s="171">
        <f>SUM(F123:F160)</f>
        <v>7322</v>
      </c>
      <c r="G161" s="171">
        <f>SUM(G123:G160)</f>
        <v>846603.17999999993</v>
      </c>
      <c r="H161" s="172">
        <f t="shared" si="43"/>
        <v>0.38200681903525519</v>
      </c>
      <c r="I161" s="337"/>
      <c r="J161" s="168"/>
      <c r="K161" s="168"/>
      <c r="M161" s="364">
        <f>G161/G$228</f>
        <v>79.232866635470273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337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7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573">
        <f>'[42]Sch C'!D175</f>
        <v>0</v>
      </c>
      <c r="D164" s="573">
        <f>'[42]Sch C'!F175</f>
        <v>0</v>
      </c>
      <c r="E164" s="171">
        <f t="shared" ref="E164:E196" si="45">C164+D164</f>
        <v>0</v>
      </c>
      <c r="F164" s="665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/>
      <c r="K164" s="217"/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573">
        <f>'[42]Sch C'!D176</f>
        <v>0</v>
      </c>
      <c r="D165" s="573">
        <f>'[42]Sch C'!F176</f>
        <v>0</v>
      </c>
      <c r="E165" s="171">
        <f t="shared" si="45"/>
        <v>0</v>
      </c>
      <c r="F165" s="665"/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573">
        <f>'[42]Sch C'!D177</f>
        <v>0</v>
      </c>
      <c r="D166" s="573">
        <f>'[42]Sch C'!F177</f>
        <v>0</v>
      </c>
      <c r="E166" s="171">
        <f t="shared" si="45"/>
        <v>0</v>
      </c>
      <c r="F166" s="665"/>
      <c r="G166" s="171">
        <f t="shared" si="46"/>
        <v>0</v>
      </c>
      <c r="H166" s="172">
        <f t="shared" si="47"/>
        <v>0</v>
      </c>
      <c r="I166" s="343"/>
      <c r="J166" s="217"/>
      <c r="K166" s="217"/>
      <c r="L166" s="218"/>
      <c r="M166" s="364">
        <f t="shared" si="48"/>
        <v>0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573">
        <f>'[42]Sch C'!D178</f>
        <v>0</v>
      </c>
      <c r="D167" s="573">
        <f>'[42]Sch C'!F178</f>
        <v>0</v>
      </c>
      <c r="E167" s="171">
        <f t="shared" si="45"/>
        <v>0</v>
      </c>
      <c r="F167" s="665"/>
      <c r="G167" s="171">
        <f t="shared" si="46"/>
        <v>0</v>
      </c>
      <c r="H167" s="172">
        <f t="shared" si="47"/>
        <v>0</v>
      </c>
      <c r="I167" s="344"/>
      <c r="J167" s="222"/>
      <c r="K167" s="222"/>
      <c r="L167" s="218"/>
      <c r="M167" s="364">
        <f t="shared" si="48"/>
        <v>0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573">
        <f>'[42]Sch C'!D179</f>
        <v>0</v>
      </c>
      <c r="D168" s="573">
        <f>'[42]Sch C'!F179</f>
        <v>0</v>
      </c>
      <c r="E168" s="171">
        <f t="shared" si="45"/>
        <v>0</v>
      </c>
      <c r="F168" s="665"/>
      <c r="G168" s="171">
        <f t="shared" si="46"/>
        <v>0</v>
      </c>
      <c r="H168" s="172">
        <f t="shared" si="47"/>
        <v>0</v>
      </c>
      <c r="I168" s="343"/>
      <c r="J168" s="217"/>
      <c r="K168" s="217"/>
      <c r="L168" s="218"/>
      <c r="M168" s="364">
        <f t="shared" si="48"/>
        <v>0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573">
        <f>'[42]Sch C'!D180</f>
        <v>0</v>
      </c>
      <c r="D169" s="573">
        <f>'[42]Sch C'!F180</f>
        <v>0</v>
      </c>
      <c r="E169" s="171">
        <f t="shared" si="45"/>
        <v>0</v>
      </c>
      <c r="F169" s="665"/>
      <c r="G169" s="171">
        <f t="shared" si="46"/>
        <v>0</v>
      </c>
      <c r="H169" s="172">
        <f t="shared" si="47"/>
        <v>0</v>
      </c>
      <c r="I169" s="344"/>
      <c r="J169" s="222"/>
      <c r="K169" s="222"/>
      <c r="L169" s="218"/>
      <c r="M169" s="364">
        <f t="shared" si="48"/>
        <v>0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573">
        <f>'[42]Sch C'!D181</f>
        <v>0</v>
      </c>
      <c r="D170" s="573">
        <f>'[42]Sch C'!F181</f>
        <v>0</v>
      </c>
      <c r="E170" s="171">
        <f t="shared" si="45"/>
        <v>0</v>
      </c>
      <c r="F170" s="665"/>
      <c r="G170" s="171">
        <f t="shared" si="46"/>
        <v>0</v>
      </c>
      <c r="H170" s="172">
        <f t="shared" si="47"/>
        <v>0</v>
      </c>
      <c r="I170" s="343"/>
      <c r="J170" s="217"/>
      <c r="K170" s="217"/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573">
        <f>'[42]Sch C'!D182</f>
        <v>0</v>
      </c>
      <c r="D171" s="573">
        <f>'[42]Sch C'!F182</f>
        <v>0</v>
      </c>
      <c r="E171" s="171">
        <f t="shared" si="45"/>
        <v>0</v>
      </c>
      <c r="F171" s="665"/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573">
        <f>'[42]Sch C'!D183</f>
        <v>0</v>
      </c>
      <c r="D172" s="573">
        <f>'[42]Sch C'!F183</f>
        <v>0</v>
      </c>
      <c r="E172" s="171">
        <f t="shared" si="45"/>
        <v>0</v>
      </c>
      <c r="F172" s="665"/>
      <c r="G172" s="171">
        <f t="shared" si="46"/>
        <v>0</v>
      </c>
      <c r="H172" s="172">
        <f t="shared" si="47"/>
        <v>0</v>
      </c>
      <c r="I172" s="343"/>
      <c r="J172" s="217"/>
      <c r="K172" s="217"/>
      <c r="L172" s="218"/>
      <c r="M172" s="364">
        <f t="shared" si="48"/>
        <v>0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573">
        <f>'[42]Sch C'!D184</f>
        <v>0</v>
      </c>
      <c r="D173" s="573">
        <f>'[42]Sch C'!F184</f>
        <v>0</v>
      </c>
      <c r="E173" s="171">
        <f t="shared" si="45"/>
        <v>0</v>
      </c>
      <c r="F173" s="665"/>
      <c r="G173" s="171">
        <f t="shared" si="46"/>
        <v>0</v>
      </c>
      <c r="H173" s="172">
        <f t="shared" si="47"/>
        <v>0</v>
      </c>
      <c r="I173" s="344"/>
      <c r="J173" s="222"/>
      <c r="K173" s="222"/>
      <c r="L173" s="218"/>
      <c r="M173" s="364">
        <f t="shared" si="48"/>
        <v>0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573">
        <f>'[42]Sch C'!D185</f>
        <v>0</v>
      </c>
      <c r="D174" s="573">
        <f>'[42]Sch C'!F185</f>
        <v>0</v>
      </c>
      <c r="E174" s="171">
        <f t="shared" si="45"/>
        <v>0</v>
      </c>
      <c r="F174" s="665"/>
      <c r="G174" s="171">
        <f t="shared" si="46"/>
        <v>0</v>
      </c>
      <c r="H174" s="172">
        <f t="shared" si="47"/>
        <v>0</v>
      </c>
      <c r="I174" s="343"/>
      <c r="J174" s="217"/>
      <c r="K174" s="217"/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573">
        <f>'[42]Sch C'!D186</f>
        <v>0</v>
      </c>
      <c r="D175" s="573">
        <f>'[42]Sch C'!F186</f>
        <v>0</v>
      </c>
      <c r="E175" s="171">
        <f t="shared" si="45"/>
        <v>0</v>
      </c>
      <c r="F175" s="665"/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573">
        <f>'[42]Sch C'!D187</f>
        <v>0</v>
      </c>
      <c r="D176" s="573">
        <f>'[42]Sch C'!F187</f>
        <v>0</v>
      </c>
      <c r="E176" s="171">
        <f t="shared" si="45"/>
        <v>0</v>
      </c>
      <c r="F176" s="665"/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573">
        <f>'[42]Sch C'!D188</f>
        <v>0</v>
      </c>
      <c r="D177" s="573">
        <f>'[42]Sch C'!F188</f>
        <v>0</v>
      </c>
      <c r="E177" s="171">
        <f t="shared" si="45"/>
        <v>0</v>
      </c>
      <c r="F177" s="665"/>
      <c r="G177" s="171">
        <f t="shared" si="46"/>
        <v>0</v>
      </c>
      <c r="H177" s="172">
        <f t="shared" si="47"/>
        <v>0</v>
      </c>
      <c r="I177" s="337"/>
      <c r="J177" s="223"/>
      <c r="K177" s="218"/>
      <c r="L177" s="220"/>
      <c r="M177" s="364">
        <f t="shared" si="48"/>
        <v>0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573">
        <f>'[42]Sch C'!D189</f>
        <v>0</v>
      </c>
      <c r="D178" s="573">
        <f>'[42]Sch C'!F189</f>
        <v>0</v>
      </c>
      <c r="E178" s="171">
        <f t="shared" si="45"/>
        <v>0</v>
      </c>
      <c r="F178" s="665"/>
      <c r="G178" s="171">
        <f t="shared" si="46"/>
        <v>0</v>
      </c>
      <c r="H178" s="172">
        <f t="shared" si="47"/>
        <v>0</v>
      </c>
      <c r="I178" s="337"/>
      <c r="J178" s="223"/>
      <c r="K178" s="218"/>
      <c r="L178" s="220"/>
      <c r="M178" s="364">
        <f t="shared" si="48"/>
        <v>0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573">
        <f>'[42]Sch C'!D190</f>
        <v>0</v>
      </c>
      <c r="D179" s="573">
        <f>'[42]Sch C'!F190</f>
        <v>0</v>
      </c>
      <c r="E179" s="171">
        <f t="shared" si="45"/>
        <v>0</v>
      </c>
      <c r="F179" s="665"/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573">
        <f>'[42]Sch C'!D191</f>
        <v>0</v>
      </c>
      <c r="D180" s="573">
        <f>'[42]Sch C'!F191</f>
        <v>0</v>
      </c>
      <c r="E180" s="171">
        <f t="shared" si="45"/>
        <v>0</v>
      </c>
      <c r="F180" s="665"/>
      <c r="G180" s="171">
        <f t="shared" si="46"/>
        <v>0</v>
      </c>
      <c r="H180" s="172">
        <f t="shared" si="47"/>
        <v>0</v>
      </c>
      <c r="I180" s="337"/>
      <c r="J180" s="223"/>
      <c r="K180" s="218"/>
      <c r="L180" s="220"/>
      <c r="M180" s="364">
        <f t="shared" si="48"/>
        <v>0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573">
        <f>'[42]Sch C'!D192</f>
        <v>0</v>
      </c>
      <c r="D181" s="573">
        <f>'[42]Sch C'!F192</f>
        <v>0</v>
      </c>
      <c r="E181" s="171">
        <f t="shared" si="45"/>
        <v>0</v>
      </c>
      <c r="F181" s="665"/>
      <c r="G181" s="171">
        <f t="shared" si="46"/>
        <v>0</v>
      </c>
      <c r="H181" s="172">
        <f t="shared" si="47"/>
        <v>0</v>
      </c>
      <c r="I181" s="337"/>
      <c r="J181" s="223"/>
      <c r="K181" s="218"/>
      <c r="L181" s="220"/>
      <c r="M181" s="364">
        <f t="shared" si="48"/>
        <v>0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573">
        <f>'[42]Sch C'!D193</f>
        <v>0</v>
      </c>
      <c r="D182" s="573">
        <f>'[42]Sch C'!F193</f>
        <v>0</v>
      </c>
      <c r="E182" s="171">
        <f t="shared" si="45"/>
        <v>0</v>
      </c>
      <c r="F182" s="665"/>
      <c r="G182" s="171">
        <f t="shared" si="46"/>
        <v>0</v>
      </c>
      <c r="H182" s="172">
        <f t="shared" si="47"/>
        <v>0</v>
      </c>
      <c r="I182" s="337"/>
      <c r="J182" s="223"/>
      <c r="K182" s="218"/>
      <c r="L182" s="220"/>
      <c r="M182" s="364">
        <f t="shared" si="48"/>
        <v>0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573">
        <f>'[42]Sch C'!D194</f>
        <v>96232.18</v>
      </c>
      <c r="D183" s="573">
        <f>'[42]Sch C'!F194</f>
        <v>0</v>
      </c>
      <c r="E183" s="171">
        <f t="shared" si="45"/>
        <v>96232.18</v>
      </c>
      <c r="F183" s="665"/>
      <c r="G183" s="171">
        <f t="shared" si="46"/>
        <v>96232.18</v>
      </c>
      <c r="H183" s="172">
        <f t="shared" si="47"/>
        <v>4.3422172086133796E-2</v>
      </c>
      <c r="I183" s="337"/>
      <c r="J183" s="223"/>
      <c r="K183" s="218"/>
      <c r="M183" s="364">
        <f t="shared" si="48"/>
        <v>9.006287318671033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573">
        <f>'[42]Sch C'!D195</f>
        <v>72139.02</v>
      </c>
      <c r="D184" s="573">
        <f>'[42]Sch C'!F195</f>
        <v>0</v>
      </c>
      <c r="E184" s="171">
        <f t="shared" si="45"/>
        <v>72139.02</v>
      </c>
      <c r="F184" s="665"/>
      <c r="G184" s="171">
        <f t="shared" si="46"/>
        <v>72139.02</v>
      </c>
      <c r="H184" s="172">
        <f t="shared" si="47"/>
        <v>3.2550784369272813E-2</v>
      </c>
      <c r="I184" s="337"/>
      <c r="J184" s="223"/>
      <c r="K184" s="218"/>
      <c r="M184" s="364">
        <f t="shared" si="48"/>
        <v>6.7514291062236786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573">
        <f>'[42]Sch C'!D196</f>
        <v>0</v>
      </c>
      <c r="D185" s="573">
        <f>'[42]Sch C'!F196</f>
        <v>0</v>
      </c>
      <c r="E185" s="171">
        <f t="shared" si="45"/>
        <v>0</v>
      </c>
      <c r="F185" s="665"/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573">
        <f>'[42]Sch C'!D197</f>
        <v>8477.64</v>
      </c>
      <c r="D186" s="573">
        <f>'[42]Sch C'!F197</f>
        <v>0</v>
      </c>
      <c r="E186" s="171">
        <f t="shared" si="45"/>
        <v>8477.64</v>
      </c>
      <c r="F186" s="665"/>
      <c r="G186" s="171">
        <f t="shared" si="46"/>
        <v>8477.64</v>
      </c>
      <c r="H186" s="172">
        <f t="shared" si="47"/>
        <v>3.8253060770762058E-3</v>
      </c>
      <c r="I186" s="337"/>
      <c r="J186" s="223"/>
      <c r="K186" s="218"/>
      <c r="M186" s="364">
        <f t="shared" si="48"/>
        <v>0.79341506785212912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573">
        <f>'[42]Sch C'!D198</f>
        <v>585.80999999999995</v>
      </c>
      <c r="D187" s="573">
        <f>'[42]Sch C'!F198</f>
        <v>0</v>
      </c>
      <c r="E187" s="171">
        <f t="shared" si="45"/>
        <v>585.80999999999995</v>
      </c>
      <c r="F187" s="665"/>
      <c r="G187" s="171">
        <f t="shared" si="46"/>
        <v>585.80999999999995</v>
      </c>
      <c r="H187" s="172">
        <f t="shared" si="47"/>
        <v>2.6433094033386791E-4</v>
      </c>
      <c r="I187" s="337"/>
      <c r="J187" s="223"/>
      <c r="K187" s="218"/>
      <c r="M187" s="364">
        <f t="shared" si="48"/>
        <v>5.4825456247075334E-2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573">
        <f>'[42]Sch C'!D199</f>
        <v>0</v>
      </c>
      <c r="D188" s="573">
        <f>'[42]Sch C'!F199</f>
        <v>0</v>
      </c>
      <c r="E188" s="171">
        <f t="shared" si="45"/>
        <v>0</v>
      </c>
      <c r="F188" s="665"/>
      <c r="G188" s="171">
        <f t="shared" si="46"/>
        <v>0</v>
      </c>
      <c r="H188" s="172">
        <f t="shared" si="47"/>
        <v>0</v>
      </c>
      <c r="I188" s="337"/>
      <c r="J188" s="223"/>
      <c r="K188" s="218"/>
      <c r="M188" s="364">
        <f t="shared" si="48"/>
        <v>0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573">
        <f>'[42]Sch C'!D200</f>
        <v>0</v>
      </c>
      <c r="D189" s="573">
        <f>'[42]Sch C'!F200</f>
        <v>0</v>
      </c>
      <c r="E189" s="171">
        <f t="shared" si="45"/>
        <v>0</v>
      </c>
      <c r="F189" s="665"/>
      <c r="G189" s="171">
        <f t="shared" si="46"/>
        <v>0</v>
      </c>
      <c r="H189" s="172">
        <f t="shared" si="47"/>
        <v>0</v>
      </c>
      <c r="I189" s="337"/>
      <c r="J189" s="223"/>
      <c r="K189" s="218"/>
      <c r="M189" s="364">
        <f t="shared" si="48"/>
        <v>0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573">
        <f>'[42]Sch C'!D201</f>
        <v>0</v>
      </c>
      <c r="D190" s="573">
        <f>'[42]Sch C'!F201</f>
        <v>0</v>
      </c>
      <c r="E190" s="171">
        <f t="shared" si="45"/>
        <v>0</v>
      </c>
      <c r="F190" s="665"/>
      <c r="G190" s="171">
        <f t="shared" si="46"/>
        <v>0</v>
      </c>
      <c r="H190" s="172">
        <f t="shared" si="47"/>
        <v>0</v>
      </c>
      <c r="I190" s="337"/>
      <c r="J190" s="223"/>
      <c r="K190" s="218"/>
      <c r="M190" s="364">
        <f t="shared" si="48"/>
        <v>0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573">
        <f>'[42]Sch C'!D202</f>
        <v>0</v>
      </c>
      <c r="D191" s="573">
        <f>'[42]Sch C'!F202</f>
        <v>0</v>
      </c>
      <c r="E191" s="171">
        <f t="shared" si="45"/>
        <v>0</v>
      </c>
      <c r="F191" s="665"/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573">
        <f>'[42]Sch C'!D203</f>
        <v>0</v>
      </c>
      <c r="D192" s="573">
        <f>'[42]Sch C'!F203</f>
        <v>0</v>
      </c>
      <c r="E192" s="171">
        <f t="shared" si="45"/>
        <v>0</v>
      </c>
      <c r="F192" s="665"/>
      <c r="G192" s="171">
        <f t="shared" si="46"/>
        <v>0</v>
      </c>
      <c r="H192" s="172">
        <f t="shared" si="47"/>
        <v>0</v>
      </c>
      <c r="I192" s="337"/>
      <c r="J192" s="223"/>
      <c r="K192" s="218"/>
      <c r="M192" s="364">
        <f t="shared" si="48"/>
        <v>0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573">
        <f>'[42]Sch C'!D204</f>
        <v>0</v>
      </c>
      <c r="D193" s="573">
        <f>'[42]Sch C'!F204</f>
        <v>0</v>
      </c>
      <c r="E193" s="171">
        <f t="shared" si="45"/>
        <v>0</v>
      </c>
      <c r="F193" s="665"/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573">
        <f>'[42]Sch C'!D205</f>
        <v>77094.179999999993</v>
      </c>
      <c r="D194" s="573">
        <f>'[42]Sch C'!F205</f>
        <v>0</v>
      </c>
      <c r="E194" s="171">
        <f t="shared" si="45"/>
        <v>77094.179999999993</v>
      </c>
      <c r="F194" s="665"/>
      <c r="G194" s="171">
        <f t="shared" si="46"/>
        <v>77094.179999999993</v>
      </c>
      <c r="H194" s="172">
        <f t="shared" si="47"/>
        <v>3.4786666485154695E-2</v>
      </c>
      <c r="I194" s="337"/>
      <c r="J194" s="223"/>
      <c r="K194" s="218"/>
      <c r="M194" s="364">
        <f t="shared" si="48"/>
        <v>7.2151782873186701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573">
        <f>'[42]Sch C'!D206</f>
        <v>1886.41</v>
      </c>
      <c r="D195" s="573">
        <f>'[42]Sch C'!F206</f>
        <v>0</v>
      </c>
      <c r="E195" s="171">
        <f t="shared" si="45"/>
        <v>1886.41</v>
      </c>
      <c r="F195" s="665"/>
      <c r="G195" s="171">
        <f t="shared" si="46"/>
        <v>1886.41</v>
      </c>
      <c r="H195" s="172">
        <f t="shared" si="47"/>
        <v>8.5119156237553444E-4</v>
      </c>
      <c r="I195" s="337"/>
      <c r="J195" s="223"/>
      <c r="K195" s="218"/>
      <c r="M195" s="364">
        <f t="shared" si="48"/>
        <v>0.17654749649040713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573">
        <f>'[42]Sch C'!D207</f>
        <v>0</v>
      </c>
      <c r="D196" s="573">
        <f>'[42]Sch C'!F207</f>
        <v>0</v>
      </c>
      <c r="E196" s="171">
        <f t="shared" si="45"/>
        <v>0</v>
      </c>
      <c r="F196" s="665"/>
      <c r="G196" s="171">
        <f t="shared" si="46"/>
        <v>0</v>
      </c>
      <c r="H196" s="172">
        <f t="shared" si="47"/>
        <v>0</v>
      </c>
      <c r="I196" s="337"/>
      <c r="J196" s="223"/>
      <c r="K196" s="218"/>
      <c r="M196" s="364">
        <f t="shared" si="48"/>
        <v>0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573">
        <f>SUM(C164:C196)</f>
        <v>256415.24000000002</v>
      </c>
      <c r="D197" s="573">
        <f>SUM(D164:D196)</f>
        <v>0</v>
      </c>
      <c r="E197" s="171">
        <f t="shared" ref="E197" si="49">SUM(E164:E196)</f>
        <v>256415.24000000002</v>
      </c>
      <c r="F197" s="171">
        <f>SUM(F164:F196)</f>
        <v>0</v>
      </c>
      <c r="G197" s="171">
        <f>SUM(G164:G196)</f>
        <v>256415.24000000002</v>
      </c>
      <c r="H197" s="172">
        <f>IF($G$208=0,0,G197/$G$208)</f>
        <v>0.11570045152034693</v>
      </c>
      <c r="I197" s="337"/>
      <c r="J197" s="168"/>
      <c r="K197" s="168"/>
      <c r="M197" s="364">
        <f>G197/G$228</f>
        <v>23.997682732802996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165"/>
      <c r="G198" s="165"/>
      <c r="H198" s="198"/>
      <c r="I198" s="341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1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573">
        <f>'[42]Sch C'!D211</f>
        <v>0</v>
      </c>
      <c r="D200" s="573">
        <f>'[42]Sch C'!F211</f>
        <v>0</v>
      </c>
      <c r="E200" s="171">
        <f t="shared" ref="E200:E205" si="50">C200+D200</f>
        <v>0</v>
      </c>
      <c r="F200" s="171">
        <v>44663</v>
      </c>
      <c r="G200" s="171">
        <f t="shared" ref="G200:G205" si="51">E200+F200</f>
        <v>44663</v>
      </c>
      <c r="H200" s="172">
        <f t="shared" ref="H200:H206" si="52">IF($G$208=0,0,G200/$G$208)</f>
        <v>2.0152972445215248E-2</v>
      </c>
      <c r="I200" s="337"/>
      <c r="J200" s="183"/>
      <c r="K200" s="183"/>
      <c r="M200" s="364">
        <f t="shared" ref="M200:M205" si="53">G200/G$228</f>
        <v>4.1799719232569021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573">
        <f>'[42]Sch C'!D212</f>
        <v>0</v>
      </c>
      <c r="D201" s="573">
        <f>'[42]Sch C'!F212</f>
        <v>12093.51</v>
      </c>
      <c r="E201" s="171">
        <f t="shared" si="50"/>
        <v>12093.51</v>
      </c>
      <c r="F201" s="171"/>
      <c r="G201" s="171">
        <f t="shared" si="51"/>
        <v>12093.51</v>
      </c>
      <c r="H201" s="172">
        <f t="shared" si="52"/>
        <v>5.4568697533962122E-3</v>
      </c>
      <c r="I201" s="337"/>
      <c r="J201" s="168"/>
      <c r="K201" s="168"/>
      <c r="M201" s="364">
        <f t="shared" si="53"/>
        <v>1.1318212447356106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573">
        <f>'[42]Sch C'!D213</f>
        <v>46083.03</v>
      </c>
      <c r="D202" s="573">
        <f>'[42]Sch C'!F213</f>
        <v>0</v>
      </c>
      <c r="E202" s="171">
        <f t="shared" si="50"/>
        <v>46083.03</v>
      </c>
      <c r="F202" s="171">
        <v>-44663</v>
      </c>
      <c r="G202" s="171">
        <f t="shared" si="51"/>
        <v>1420.0299999999988</v>
      </c>
      <c r="H202" s="172">
        <f t="shared" si="52"/>
        <v>6.4075018385193524E-4</v>
      </c>
      <c r="I202" s="337"/>
      <c r="J202" s="168"/>
      <c r="K202" s="168"/>
      <c r="M202" s="364">
        <f t="shared" si="53"/>
        <v>0.13289939167056611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573">
        <f>'[42]Sch C'!D214</f>
        <v>0</v>
      </c>
      <c r="D203" s="573">
        <f>'[42]Sch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>
        <f t="shared" si="53"/>
        <v>0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573">
        <f>'[42]Sch C'!D215</f>
        <v>0</v>
      </c>
      <c r="D204" s="573">
        <f>'[42]Sch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573">
        <f>'[42]Sch C'!D216</f>
        <v>1483.51</v>
      </c>
      <c r="D205" s="573">
        <f>'[42]Sch C'!F216</f>
        <v>0</v>
      </c>
      <c r="E205" s="171">
        <f t="shared" si="50"/>
        <v>1483.51</v>
      </c>
      <c r="F205" s="171"/>
      <c r="G205" s="171">
        <f t="shared" si="51"/>
        <v>1483.51</v>
      </c>
      <c r="H205" s="172">
        <f t="shared" si="52"/>
        <v>6.6939381931803215E-4</v>
      </c>
      <c r="I205" s="337"/>
      <c r="J205" s="168"/>
      <c r="K205" s="168"/>
      <c r="M205" s="364">
        <f t="shared" si="53"/>
        <v>0.13884043051006084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573">
        <f>SUM(C200:C205)</f>
        <v>47566.54</v>
      </c>
      <c r="D206" s="573">
        <f>SUM(D200:D205)</f>
        <v>12093.51</v>
      </c>
      <c r="E206" s="171">
        <f t="shared" ref="E206" si="54">SUM(E200:E205)</f>
        <v>59660.05</v>
      </c>
      <c r="F206" s="171">
        <f>SUM(F200:F205)</f>
        <v>0</v>
      </c>
      <c r="G206" s="171">
        <f>SUM(G200:G205)</f>
        <v>59660.05</v>
      </c>
      <c r="H206" s="172">
        <f t="shared" si="52"/>
        <v>2.6919986201781428E-2</v>
      </c>
      <c r="I206" s="337"/>
      <c r="J206" s="168"/>
      <c r="K206" s="168"/>
      <c r="M206" s="364">
        <f>G206/G$228</f>
        <v>5.5835329901731399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573">
        <f>SUM(C25:C206)/2</f>
        <v>2127555.5300000007</v>
      </c>
      <c r="D208" s="573">
        <f>SUM(D25:D206)/2</f>
        <v>88643.6</v>
      </c>
      <c r="E208" s="171">
        <f t="shared" ref="E208:F208" si="55">SUM(E25:E206)/2</f>
        <v>2216199.13</v>
      </c>
      <c r="F208" s="171">
        <f t="shared" si="55"/>
        <v>0</v>
      </c>
      <c r="G208" s="171">
        <f>SUM(G25:G206)/2</f>
        <v>2216199.13</v>
      </c>
      <c r="H208" s="172">
        <f>IF($G$208=0,0,G208/$G$208)</f>
        <v>1</v>
      </c>
      <c r="I208" s="337"/>
      <c r="J208" s="183">
        <f>SUM(J25:J200)</f>
        <v>0</v>
      </c>
      <c r="K208" s="183">
        <f>SUM(K25:K200)</f>
        <v>0</v>
      </c>
      <c r="M208" s="364">
        <f>G208/G$228</f>
        <v>207.41217875526439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573">
        <f>'[42]Sch C'!D221</f>
        <v>2127555.84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573">
        <f>C208-C211</f>
        <v>-0.30999999912455678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619"/>
      <c r="D213" s="232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573">
        <f>C21-C208</f>
        <v>0.72999999905005097</v>
      </c>
      <c r="D215" s="573">
        <f>D21-D208</f>
        <v>-88643.6</v>
      </c>
      <c r="E215" s="171">
        <f t="shared" ref="E215:F215" si="56">E21-E208</f>
        <v>-88642.870000000112</v>
      </c>
      <c r="F215" s="171">
        <f t="shared" si="56"/>
        <v>0</v>
      </c>
      <c r="G215" s="171">
        <f>G21-G208</f>
        <v>-88642.870000000112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653">
        <f>'[42]Sch D'!C9</f>
        <v>4481</v>
      </c>
      <c r="D219" s="653"/>
      <c r="E219" s="235">
        <f t="shared" ref="E219:G227" si="57">C219+D219</f>
        <v>4481</v>
      </c>
      <c r="F219" s="234"/>
      <c r="G219" s="235">
        <f t="shared" si="57"/>
        <v>4481</v>
      </c>
      <c r="H219" s="172">
        <f t="shared" ref="H219:H228" si="58">IF($G$228=0,0,G219/$G$228)</f>
        <v>0.41937295273748243</v>
      </c>
      <c r="I219" s="337"/>
      <c r="J219" s="168"/>
      <c r="K219" s="168"/>
    </row>
    <row r="220" spans="1:14">
      <c r="A220" s="163"/>
      <c r="B220" s="170" t="s">
        <v>217</v>
      </c>
      <c r="C220" s="653">
        <f>'[42]Sch D'!D9</f>
        <v>0</v>
      </c>
      <c r="D220" s="653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7"/>
      <c r="J220" s="168"/>
      <c r="K220" s="168"/>
    </row>
    <row r="221" spans="1:14">
      <c r="A221" s="163"/>
      <c r="B221" s="170" t="s">
        <v>72</v>
      </c>
      <c r="C221" s="653">
        <f>'[42]Sch D'!E9</f>
        <v>1337</v>
      </c>
      <c r="D221" s="653"/>
      <c r="E221" s="235">
        <f t="shared" si="59"/>
        <v>1337</v>
      </c>
      <c r="F221" s="234"/>
      <c r="G221" s="235">
        <f t="shared" si="57"/>
        <v>1337</v>
      </c>
      <c r="H221" s="172">
        <f t="shared" si="58"/>
        <v>0.12512868507253158</v>
      </c>
      <c r="I221" s="337"/>
      <c r="J221" s="168"/>
      <c r="K221" s="168"/>
    </row>
    <row r="222" spans="1:14">
      <c r="A222" s="163"/>
      <c r="B222" s="202" t="s">
        <v>334</v>
      </c>
      <c r="C222" s="653">
        <f>'[42]Sch D'!F9</f>
        <v>761</v>
      </c>
      <c r="D222" s="653"/>
      <c r="E222" s="235">
        <f>C222+D222</f>
        <v>761</v>
      </c>
      <c r="F222" s="234"/>
      <c r="G222" s="235">
        <f>E222+F222</f>
        <v>761</v>
      </c>
      <c r="H222" s="172">
        <f t="shared" si="58"/>
        <v>7.122133832475433E-2</v>
      </c>
      <c r="I222" s="337"/>
      <c r="J222" s="168"/>
      <c r="K222" s="168"/>
    </row>
    <row r="223" spans="1:14">
      <c r="A223" s="163"/>
      <c r="B223" s="170" t="s">
        <v>73</v>
      </c>
      <c r="C223" s="653">
        <f>'[42]Sch D'!G9</f>
        <v>0</v>
      </c>
      <c r="D223" s="653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7"/>
      <c r="J223" s="168"/>
      <c r="K223" s="168"/>
    </row>
    <row r="224" spans="1:14">
      <c r="A224" s="163"/>
      <c r="B224" s="170" t="s">
        <v>74</v>
      </c>
      <c r="C224" s="653">
        <f>'[42]Sch D'!H9</f>
        <v>3539</v>
      </c>
      <c r="D224" s="653"/>
      <c r="E224" s="235">
        <f t="shared" si="59"/>
        <v>3539</v>
      </c>
      <c r="F224" s="234"/>
      <c r="G224" s="235">
        <f t="shared" si="57"/>
        <v>3539</v>
      </c>
      <c r="H224" s="172">
        <f t="shared" si="58"/>
        <v>0.33121197941038838</v>
      </c>
      <c r="I224" s="337"/>
      <c r="J224" s="168"/>
      <c r="K224" s="168"/>
    </row>
    <row r="225" spans="1:11">
      <c r="A225" s="163"/>
      <c r="B225" s="170" t="s">
        <v>236</v>
      </c>
      <c r="C225" s="653">
        <f>'[42]Sch D'!I9</f>
        <v>567</v>
      </c>
      <c r="D225" s="653"/>
      <c r="E225" s="235">
        <f t="shared" si="59"/>
        <v>567</v>
      </c>
      <c r="F225" s="234"/>
      <c r="G225" s="235">
        <f t="shared" si="57"/>
        <v>567</v>
      </c>
      <c r="H225" s="172">
        <f t="shared" si="58"/>
        <v>5.3065044454843238E-2</v>
      </c>
      <c r="I225" s="337"/>
      <c r="J225" s="168"/>
      <c r="K225" s="168"/>
    </row>
    <row r="226" spans="1:11">
      <c r="A226" s="163"/>
      <c r="B226" s="170" t="s">
        <v>235</v>
      </c>
      <c r="C226" s="653">
        <f>'[42]Sch D'!J9</f>
        <v>0</v>
      </c>
      <c r="D226" s="653"/>
      <c r="E226" s="235">
        <f>C226+D226</f>
        <v>0</v>
      </c>
      <c r="F226" s="234"/>
      <c r="G226" s="235">
        <f>E226+F226</f>
        <v>0</v>
      </c>
      <c r="H226" s="172">
        <f t="shared" si="58"/>
        <v>0</v>
      </c>
      <c r="I226" s="337"/>
      <c r="J226" s="168"/>
      <c r="K226" s="168"/>
    </row>
    <row r="227" spans="1:11">
      <c r="A227" s="163"/>
      <c r="B227" s="170" t="s">
        <v>179</v>
      </c>
      <c r="C227" s="653">
        <f>'[42]Sch D'!K9</f>
        <v>0</v>
      </c>
      <c r="D227" s="653"/>
      <c r="E227" s="235">
        <f t="shared" si="59"/>
        <v>0</v>
      </c>
      <c r="F227" s="234"/>
      <c r="G227" s="235">
        <f t="shared" si="57"/>
        <v>0</v>
      </c>
      <c r="H227" s="172">
        <f t="shared" si="58"/>
        <v>0</v>
      </c>
      <c r="I227" s="337"/>
      <c r="J227" s="168"/>
      <c r="K227" s="168"/>
    </row>
    <row r="228" spans="1:11" ht="13.5" thickBot="1">
      <c r="A228" s="163"/>
      <c r="B228" s="236" t="s">
        <v>75</v>
      </c>
      <c r="C228" s="653">
        <f>SUM(C219:C227)</f>
        <v>10685</v>
      </c>
      <c r="D228" s="653">
        <f>SUM(D219:D227)</f>
        <v>0</v>
      </c>
      <c r="E228" s="237">
        <f>SUM(E219:E227)</f>
        <v>10685</v>
      </c>
      <c r="F228" s="237">
        <f>SUM(F219:F227)</f>
        <v>0</v>
      </c>
      <c r="G228" s="237">
        <f>SUM(G219:G227)</f>
        <v>10685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620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619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654">
        <f>'[42]Sch D'!N22</f>
        <v>38</v>
      </c>
      <c r="D231" s="574"/>
      <c r="E231" s="235">
        <f>C231+D231</f>
        <v>38</v>
      </c>
      <c r="F231" s="235"/>
      <c r="G231" s="235">
        <f>E231+F231</f>
        <v>38</v>
      </c>
      <c r="H231" s="167"/>
      <c r="J231" s="168"/>
      <c r="K231" s="168"/>
    </row>
    <row r="232" spans="1:11">
      <c r="A232" s="163"/>
      <c r="B232" s="202" t="s">
        <v>290</v>
      </c>
      <c r="C232" s="654">
        <f>'[42]Sch D'!N24</f>
        <v>38</v>
      </c>
      <c r="D232" s="574"/>
      <c r="E232" s="235">
        <f>C232+D232</f>
        <v>38</v>
      </c>
      <c r="F232" s="235"/>
      <c r="G232" s="235">
        <f>E232+F232</f>
        <v>38</v>
      </c>
      <c r="H232" s="167"/>
      <c r="J232" s="168"/>
      <c r="K232" s="168"/>
    </row>
    <row r="233" spans="1:11">
      <c r="A233" s="163"/>
      <c r="B233" s="202" t="s">
        <v>76</v>
      </c>
      <c r="C233" s="654">
        <f>$C$4-$C$3+1</f>
        <v>365</v>
      </c>
      <c r="D233" s="489"/>
      <c r="E233" s="235">
        <f>C233+D233</f>
        <v>365</v>
      </c>
      <c r="F233" s="240"/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621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654">
        <f>'[42]Sch D'!N28</f>
        <v>13870</v>
      </c>
      <c r="D235" s="489"/>
      <c r="E235" s="234">
        <f>E231*E233</f>
        <v>13870</v>
      </c>
      <c r="F235" s="240"/>
      <c r="G235" s="234">
        <f>G231*G233</f>
        <v>13870</v>
      </c>
      <c r="H235" s="167"/>
      <c r="J235" s="168"/>
      <c r="K235" s="168"/>
    </row>
    <row r="236" spans="1:11" ht="26">
      <c r="A236" s="163"/>
      <c r="B236" s="244" t="s">
        <v>336</v>
      </c>
      <c r="C236" s="655">
        <f>'[42]Sch D'!N30</f>
        <v>0.77036770007209809</v>
      </c>
      <c r="D236" s="240"/>
      <c r="E236" s="245">
        <f>E228/E235</f>
        <v>0.77036770007209809</v>
      </c>
      <c r="F236" s="246"/>
      <c r="G236" s="245">
        <f>G228/G235</f>
        <v>0.77036770007209809</v>
      </c>
      <c r="H236" s="167"/>
      <c r="J236" s="168"/>
      <c r="K236" s="168"/>
    </row>
    <row r="237" spans="1:11" ht="26">
      <c r="A237" s="163"/>
      <c r="B237" s="244" t="s">
        <v>337</v>
      </c>
      <c r="C237" s="655">
        <f>'[42]Sch D'!N32</f>
        <v>0.32307137707281902</v>
      </c>
      <c r="D237" s="240"/>
      <c r="E237" s="245">
        <f>(E219+E220)/E235</f>
        <v>0.32307137707281902</v>
      </c>
      <c r="F237" s="246"/>
      <c r="G237" s="245">
        <f>(G219+G220)/G235</f>
        <v>0.32307137707281902</v>
      </c>
      <c r="H237" s="167"/>
      <c r="J237" s="168"/>
      <c r="K237" s="168"/>
    </row>
    <row r="238" spans="1:11" ht="26">
      <c r="A238" s="163"/>
      <c r="B238" s="244" t="s">
        <v>338</v>
      </c>
      <c r="C238" s="655">
        <f>'[42]Sch D'!N34</f>
        <v>0.41937295273748243</v>
      </c>
      <c r="D238" s="240"/>
      <c r="E238" s="245">
        <f>(E237/E236)</f>
        <v>0.41937295273748243</v>
      </c>
      <c r="F238" s="246"/>
      <c r="G238" s="245">
        <f>(G237/G236)</f>
        <v>0.41937295273748243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73">
        <f>'[42]Sch B'!C85</f>
        <v>161.43142144638404</v>
      </c>
    </row>
    <row r="242" spans="2:7">
      <c r="F242" s="142" t="s">
        <v>341</v>
      </c>
      <c r="G242" s="573">
        <f>'[42]Sch B'!E85</f>
        <v>164.68717548076921</v>
      </c>
    </row>
    <row r="243" spans="2:7">
      <c r="F243" s="142" t="s">
        <v>342</v>
      </c>
      <c r="G243" s="573">
        <f>'[42]Sch B'!G85</f>
        <v>164.24494949494951</v>
      </c>
    </row>
    <row r="244" spans="2:7">
      <c r="F244" s="142" t="s">
        <v>343</v>
      </c>
      <c r="G244" s="573">
        <f>'[42]Sch B'!I85</f>
        <v>171.10112359550561</v>
      </c>
    </row>
    <row r="245" spans="2:7">
      <c r="F245" s="142"/>
    </row>
  </sheetData>
  <phoneticPr fontId="16" type="noConversion"/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E28CAB"/>
  </sheetPr>
  <dimension ref="A1:Z245"/>
  <sheetViews>
    <sheetView showGridLines="0" zoomScale="90" zoomScaleNormal="90" workbookViewId="0">
      <pane xSplit="2" topLeftCell="C1" activePane="topRight" state="frozen"/>
      <selection activeCell="N1" sqref="N1"/>
      <selection pane="topRight"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22" width="8.6640625" style="140"/>
    <col min="23" max="24" width="8.6640625" style="567"/>
    <col min="25" max="16384" width="8.6640625" style="140"/>
  </cols>
  <sheetData>
    <row r="1" spans="1:24" ht="36.75" customHeight="1">
      <c r="A1" s="138" t="str">
        <f>'ALPINE VALLEY'!A1</f>
        <v>schedules revised 7/9/15</v>
      </c>
      <c r="B1" s="139" t="s">
        <v>304</v>
      </c>
      <c r="C1" s="483" t="s">
        <v>676</v>
      </c>
      <c r="D1" s="478"/>
      <c r="E1" s="478"/>
      <c r="F1" s="576"/>
      <c r="G1" s="478"/>
      <c r="H1" s="478"/>
      <c r="I1" s="479"/>
    </row>
    <row r="2" spans="1:24" ht="23">
      <c r="B2" s="143" t="s">
        <v>189</v>
      </c>
      <c r="C2" s="247" t="s">
        <v>514</v>
      </c>
      <c r="D2" s="247"/>
      <c r="E2" s="144"/>
    </row>
    <row r="3" spans="1:24">
      <c r="A3" s="145"/>
      <c r="B3" s="140" t="s">
        <v>79</v>
      </c>
      <c r="C3" s="146">
        <v>41821</v>
      </c>
      <c r="D3" s="377"/>
      <c r="E3" s="147"/>
      <c r="F3" s="524"/>
    </row>
    <row r="4" spans="1:24">
      <c r="A4" s="145"/>
      <c r="B4" s="148" t="s">
        <v>80</v>
      </c>
      <c r="C4" s="631">
        <v>42185</v>
      </c>
      <c r="D4" s="630" t="s">
        <v>593</v>
      </c>
      <c r="E4" s="149"/>
      <c r="F4" s="565"/>
      <c r="I4" s="652" t="s">
        <v>633</v>
      </c>
    </row>
    <row r="5" spans="1:24">
      <c r="A5" s="145"/>
      <c r="B5" s="148"/>
      <c r="C5" s="151"/>
      <c r="F5" s="566"/>
    </row>
    <row r="6" spans="1:2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2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2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24">
      <c r="A9" s="145"/>
      <c r="C9" s="151"/>
      <c r="D9" s="144"/>
      <c r="F9" s="144"/>
      <c r="G9" s="144"/>
    </row>
    <row r="10" spans="1:24" s="167" customFormat="1" ht="16" thickBot="1">
      <c r="A10" s="163" t="s">
        <v>245</v>
      </c>
      <c r="B10" s="164" t="s">
        <v>246</v>
      </c>
      <c r="C10" s="628"/>
      <c r="D10" s="165"/>
      <c r="E10" s="165"/>
      <c r="F10"/>
      <c r="G10" s="165"/>
      <c r="H10" s="166"/>
      <c r="I10" s="336"/>
      <c r="J10" s="168"/>
      <c r="K10" s="168"/>
      <c r="W10" s="527"/>
      <c r="X10" s="527"/>
    </row>
    <row r="11" spans="1:24" s="167" customFormat="1">
      <c r="A11" s="169" t="s">
        <v>13</v>
      </c>
      <c r="B11" s="170" t="s">
        <v>213</v>
      </c>
      <c r="C11" s="573">
        <f>'[43]Sch B'!E10</f>
        <v>1551563.96</v>
      </c>
      <c r="D11" s="573">
        <f>'[43]Sch B'!G10</f>
        <v>0</v>
      </c>
      <c r="E11" s="171">
        <f>C11+D11</f>
        <v>1551563.96</v>
      </c>
      <c r="F11" s="486">
        <v>458411</v>
      </c>
      <c r="G11" s="171">
        <f t="shared" ref="G11:G20" si="0">E11+F11</f>
        <v>2009974.96</v>
      </c>
      <c r="H11" s="172">
        <f t="shared" ref="H11:H21" si="1">IF($G$21=0,0,G11/$G$21)</f>
        <v>0.63742722389244488</v>
      </c>
      <c r="I11" s="337"/>
      <c r="J11" s="368" t="s">
        <v>344</v>
      </c>
      <c r="K11" s="369">
        <f>G21</f>
        <v>3153261.8700000006</v>
      </c>
      <c r="M11" s="359">
        <f>IFERROR(G11/G219,0)</f>
        <v>205.8346093189964</v>
      </c>
      <c r="N11" s="359">
        <f>SUMMARY!J14</f>
        <v>202.14403866920762</v>
      </c>
      <c r="W11" s="527"/>
      <c r="X11" s="527"/>
    </row>
    <row r="12" spans="1:24" s="167" customFormat="1">
      <c r="A12" s="169" t="s">
        <v>15</v>
      </c>
      <c r="B12" s="170" t="s">
        <v>212</v>
      </c>
      <c r="C12" s="573">
        <f>'[43]Sch B'!E15</f>
        <v>0</v>
      </c>
      <c r="D12" s="573">
        <f>'[43]Sch B'!G15</f>
        <v>0</v>
      </c>
      <c r="E12" s="171">
        <f t="shared" ref="E12:E20" si="2">C12+D12</f>
        <v>0</v>
      </c>
      <c r="F12" s="486"/>
      <c r="G12" s="171">
        <f>E12+F12</f>
        <v>0</v>
      </c>
      <c r="H12" s="172">
        <f t="shared" si="1"/>
        <v>0</v>
      </c>
      <c r="I12" s="337"/>
      <c r="J12" s="370" t="s">
        <v>345</v>
      </c>
      <c r="K12" s="371">
        <f>G208</f>
        <v>2560442.8899999992</v>
      </c>
      <c r="M12" s="359">
        <f t="shared" ref="M12:M19" si="3">IFERROR(G12/G220,0)</f>
        <v>0</v>
      </c>
      <c r="N12" s="359">
        <f>SUMMARY!J15</f>
        <v>201.43485675885972</v>
      </c>
      <c r="W12" s="527"/>
      <c r="X12" s="527"/>
    </row>
    <row r="13" spans="1:24" s="167" customFormat="1">
      <c r="A13" s="169" t="s">
        <v>16</v>
      </c>
      <c r="B13" s="170" t="s">
        <v>170</v>
      </c>
      <c r="C13" s="573">
        <f>'[43]Sch B'!E21</f>
        <v>474652.49</v>
      </c>
      <c r="D13" s="573">
        <f>'[43]Sch B'!G21</f>
        <v>0</v>
      </c>
      <c r="E13" s="171">
        <f t="shared" si="2"/>
        <v>474652.49</v>
      </c>
      <c r="F13" s="486"/>
      <c r="G13" s="171">
        <f t="shared" si="0"/>
        <v>474652.49</v>
      </c>
      <c r="H13" s="172">
        <f t="shared" si="1"/>
        <v>0.15052745682679375</v>
      </c>
      <c r="I13" s="337"/>
      <c r="J13" s="370" t="s">
        <v>346</v>
      </c>
      <c r="K13" s="371">
        <f>G228</f>
        <v>14668</v>
      </c>
      <c r="M13" s="359">
        <f t="shared" si="3"/>
        <v>413.82082824760244</v>
      </c>
      <c r="N13" s="359">
        <f>SUMMARY!J16</f>
        <v>505.71464085235812</v>
      </c>
      <c r="W13" s="527"/>
      <c r="X13" s="527"/>
    </row>
    <row r="14" spans="1:24" s="167" customFormat="1">
      <c r="A14" s="173" t="s">
        <v>18</v>
      </c>
      <c r="B14" s="174" t="s">
        <v>306</v>
      </c>
      <c r="C14" s="573">
        <f>'[43]Sch B'!E27</f>
        <v>38968.89</v>
      </c>
      <c r="D14" s="573">
        <f>'[43]Sch B'!G27</f>
        <v>0</v>
      </c>
      <c r="E14" s="171">
        <f t="shared" si="2"/>
        <v>38968.89</v>
      </c>
      <c r="F14" s="486"/>
      <c r="G14" s="175">
        <f>E14+F14</f>
        <v>38968.89</v>
      </c>
      <c r="H14" s="176">
        <f t="shared" si="1"/>
        <v>1.2358279016008269E-2</v>
      </c>
      <c r="I14" s="338"/>
      <c r="J14" s="370" t="s">
        <v>347</v>
      </c>
      <c r="K14" s="371">
        <f>G231</f>
        <v>46</v>
      </c>
      <c r="M14" s="359">
        <f t="shared" si="3"/>
        <v>481.09740740740739</v>
      </c>
      <c r="N14" s="359">
        <f>SUMMARY!J17</f>
        <v>434.5752101579231</v>
      </c>
      <c r="W14" s="527"/>
      <c r="X14" s="527"/>
    </row>
    <row r="15" spans="1:24" s="167" customFormat="1">
      <c r="A15" s="169" t="s">
        <v>19</v>
      </c>
      <c r="B15" s="170" t="s">
        <v>171</v>
      </c>
      <c r="C15" s="573">
        <f>'[43]Sch B'!E32</f>
        <v>0</v>
      </c>
      <c r="D15" s="573">
        <f>'[43]Sch B'!G32</f>
        <v>0</v>
      </c>
      <c r="E15" s="171">
        <f t="shared" si="2"/>
        <v>0</v>
      </c>
      <c r="F15" s="486"/>
      <c r="G15" s="171">
        <f t="shared" si="0"/>
        <v>0</v>
      </c>
      <c r="H15" s="172">
        <f t="shared" si="1"/>
        <v>0</v>
      </c>
      <c r="I15" s="337"/>
      <c r="J15" s="370" t="s">
        <v>348</v>
      </c>
      <c r="K15" s="371">
        <f>G235</f>
        <v>16790</v>
      </c>
      <c r="M15" s="359">
        <f t="shared" si="3"/>
        <v>0</v>
      </c>
      <c r="N15" s="359">
        <f>SUMMARY!J18</f>
        <v>315.99060013046318</v>
      </c>
      <c r="W15" s="527"/>
      <c r="X15" s="527"/>
    </row>
    <row r="16" spans="1:24" s="167" customFormat="1">
      <c r="A16" s="169" t="s">
        <v>21</v>
      </c>
      <c r="B16" s="170" t="s">
        <v>172</v>
      </c>
      <c r="C16" s="573">
        <f>'[43]Sch B'!E37</f>
        <v>529274.72</v>
      </c>
      <c r="D16" s="573">
        <f>'[43]Sch B'!G37</f>
        <v>0</v>
      </c>
      <c r="E16" s="171">
        <f t="shared" si="2"/>
        <v>529274.72</v>
      </c>
      <c r="F16" s="486"/>
      <c r="G16" s="171">
        <f t="shared" si="0"/>
        <v>529274.72</v>
      </c>
      <c r="H16" s="172">
        <f t="shared" si="1"/>
        <v>0.16784990965561636</v>
      </c>
      <c r="I16" s="337"/>
      <c r="J16" s="372"/>
      <c r="K16" s="371"/>
      <c r="M16" s="359">
        <f t="shared" si="3"/>
        <v>165.50178861788618</v>
      </c>
      <c r="N16" s="359">
        <f>SUMMARY!J19</f>
        <v>199.44117347347731</v>
      </c>
      <c r="W16" s="527"/>
      <c r="X16" s="527"/>
    </row>
    <row r="17" spans="1:26" s="167" customFormat="1">
      <c r="A17" s="169" t="s">
        <v>215</v>
      </c>
      <c r="B17" s="170" t="s">
        <v>228</v>
      </c>
      <c r="C17" s="573">
        <f>'[43]Sch B'!E42</f>
        <v>74543.850000000006</v>
      </c>
      <c r="D17" s="573">
        <f>'[43]Sch B'!G42</f>
        <v>0</v>
      </c>
      <c r="E17" s="171">
        <f t="shared" si="2"/>
        <v>74543.850000000006</v>
      </c>
      <c r="F17" s="486"/>
      <c r="G17" s="171">
        <f>E17+F17</f>
        <v>74543.850000000006</v>
      </c>
      <c r="H17" s="172">
        <f t="shared" si="1"/>
        <v>2.3640234485187237E-2</v>
      </c>
      <c r="I17" s="337"/>
      <c r="J17" s="370" t="s">
        <v>156</v>
      </c>
      <c r="K17" s="371">
        <f>J208</f>
        <v>0</v>
      </c>
      <c r="M17" s="359">
        <f t="shared" si="3"/>
        <v>156.27641509433963</v>
      </c>
      <c r="N17" s="359">
        <f>SUMMARY!J20</f>
        <v>174.81134252751988</v>
      </c>
      <c r="W17" s="527"/>
      <c r="X17" s="527"/>
    </row>
    <row r="18" spans="1:26" s="167" customFormat="1" ht="13.5" thickBot="1">
      <c r="A18" s="169" t="s">
        <v>216</v>
      </c>
      <c r="B18" s="170" t="s">
        <v>229</v>
      </c>
      <c r="C18" s="573">
        <f>'[43]Sch B'!E47</f>
        <v>0</v>
      </c>
      <c r="D18" s="573">
        <f>'[43]Sch B'!G47</f>
        <v>0</v>
      </c>
      <c r="E18" s="171">
        <f t="shared" si="2"/>
        <v>0</v>
      </c>
      <c r="F18" s="486"/>
      <c r="G18" s="171">
        <f>E18+F18</f>
        <v>0</v>
      </c>
      <c r="H18" s="172">
        <f t="shared" si="1"/>
        <v>0</v>
      </c>
      <c r="I18" s="337"/>
      <c r="J18" s="373" t="s">
        <v>252</v>
      </c>
      <c r="K18" s="374">
        <f>K208</f>
        <v>0</v>
      </c>
      <c r="M18" s="359">
        <f t="shared" si="3"/>
        <v>0</v>
      </c>
      <c r="N18" s="359">
        <f>SUMMARY!J21</f>
        <v>183.50924381494963</v>
      </c>
      <c r="W18" s="527"/>
      <c r="X18" s="527"/>
    </row>
    <row r="19" spans="1:26" s="167" customFormat="1">
      <c r="A19" s="169" t="s">
        <v>227</v>
      </c>
      <c r="B19" s="177" t="s">
        <v>173</v>
      </c>
      <c r="C19" s="573">
        <f>'[43]Sch B'!E52</f>
        <v>0</v>
      </c>
      <c r="D19" s="573">
        <f>'[43]Sch B'!G52</f>
        <v>0</v>
      </c>
      <c r="E19" s="171">
        <f t="shared" si="2"/>
        <v>0</v>
      </c>
      <c r="F19" s="486"/>
      <c r="G19" s="171">
        <f t="shared" si="0"/>
        <v>0</v>
      </c>
      <c r="H19" s="172">
        <f t="shared" si="1"/>
        <v>0</v>
      </c>
      <c r="I19" s="337"/>
      <c r="J19" s="168"/>
      <c r="K19" s="168"/>
      <c r="M19" s="359">
        <f t="shared" si="3"/>
        <v>0</v>
      </c>
      <c r="N19" s="359">
        <f>SUMMARY!J22</f>
        <v>376.584981890248</v>
      </c>
      <c r="W19" s="527"/>
      <c r="X19" s="527"/>
    </row>
    <row r="20" spans="1:26" s="167" customFormat="1">
      <c r="A20" s="169" t="s">
        <v>183</v>
      </c>
      <c r="B20" s="23" t="s">
        <v>180</v>
      </c>
      <c r="C20" s="573">
        <f>'[43]Sch B'!E67</f>
        <v>898653.96</v>
      </c>
      <c r="D20" s="573">
        <f>'[43]Sch B'!G67</f>
        <v>0</v>
      </c>
      <c r="E20" s="171">
        <f t="shared" si="2"/>
        <v>898653.96</v>
      </c>
      <c r="F20" s="486">
        <f>-458411-414396</f>
        <v>-872807</v>
      </c>
      <c r="G20" s="171">
        <f t="shared" si="0"/>
        <v>25846.959999999963</v>
      </c>
      <c r="H20" s="172">
        <f t="shared" si="1"/>
        <v>8.1968961239492488E-3</v>
      </c>
      <c r="I20" s="337"/>
      <c r="J20" s="168"/>
      <c r="K20" s="168"/>
      <c r="M20" s="362" t="s">
        <v>200</v>
      </c>
      <c r="N20" s="362" t="s">
        <v>200</v>
      </c>
      <c r="W20" s="527"/>
      <c r="X20" s="527"/>
    </row>
    <row r="21" spans="1:26" s="167" customFormat="1">
      <c r="A21" s="169"/>
      <c r="B21" s="178" t="s">
        <v>77</v>
      </c>
      <c r="C21" s="573">
        <f>SUM(C11:C20)</f>
        <v>3567657.8699999996</v>
      </c>
      <c r="D21" s="573">
        <f>SUM(D11:D20)</f>
        <v>0</v>
      </c>
      <c r="E21" s="171">
        <f>SUM(E11:E20)</f>
        <v>3567657.8699999996</v>
      </c>
      <c r="F21" s="171">
        <f>SUM(F11:F20)</f>
        <v>-414396</v>
      </c>
      <c r="G21" s="171">
        <f>SUM(G11:G20)</f>
        <v>3153261.8700000006</v>
      </c>
      <c r="H21" s="172">
        <f t="shared" si="1"/>
        <v>1</v>
      </c>
      <c r="I21" s="337"/>
      <c r="J21" s="168"/>
      <c r="K21" s="168"/>
      <c r="M21" s="359">
        <f>IFERROR(G21/G228,0)</f>
        <v>214.97558426506686</v>
      </c>
      <c r="N21" s="359">
        <f>SUMMARY!J24</f>
        <v>264.67475627099196</v>
      </c>
      <c r="W21" s="527"/>
      <c r="X21" s="527"/>
    </row>
    <row r="22" spans="1:26" ht="12" customHeight="1">
      <c r="A22" s="145"/>
      <c r="B22" s="179"/>
      <c r="C22" s="151"/>
      <c r="D22" s="144"/>
      <c r="F22" s="144"/>
      <c r="G22" s="144"/>
      <c r="J22"/>
      <c r="K22"/>
      <c r="M22" s="363"/>
      <c r="N22" s="363"/>
    </row>
    <row r="23" spans="1:26" ht="26.5">
      <c r="A23" s="180" t="s">
        <v>231</v>
      </c>
      <c r="B23" s="179" t="s">
        <v>222</v>
      </c>
      <c r="C23" s="151"/>
      <c r="D23" s="144"/>
      <c r="F23" s="144"/>
      <c r="G23" s="144"/>
      <c r="J23"/>
      <c r="K23"/>
      <c r="M23" s="363"/>
      <c r="N23" s="363"/>
      <c r="Y23" s="140" t="s">
        <v>433</v>
      </c>
    </row>
    <row r="24" spans="1:26" ht="15.5">
      <c r="A24" s="181" t="s">
        <v>161</v>
      </c>
      <c r="B24" s="148" t="s">
        <v>12</v>
      </c>
      <c r="F24"/>
      <c r="J24"/>
      <c r="K24"/>
      <c r="M24" s="363"/>
      <c r="N24" s="363"/>
      <c r="Y24" s="140" t="s">
        <v>498</v>
      </c>
      <c r="Z24" s="140" t="s">
        <v>499</v>
      </c>
    </row>
    <row r="25" spans="1:26" s="167" customFormat="1">
      <c r="A25" s="169" t="s">
        <v>83</v>
      </c>
      <c r="B25" s="170" t="s">
        <v>14</v>
      </c>
      <c r="C25" s="573">
        <f>'[43]Sch C'!D10</f>
        <v>0</v>
      </c>
      <c r="D25" s="573">
        <f>'[43]Sch C'!F10</f>
        <v>0</v>
      </c>
      <c r="E25" s="171">
        <f t="shared" ref="E25:E60" si="4">C25+D25</f>
        <v>0</v>
      </c>
      <c r="F25" s="486">
        <f>94113-23179</f>
        <v>70934</v>
      </c>
      <c r="G25" s="182">
        <f>E25+F25</f>
        <v>70934</v>
      </c>
      <c r="H25" s="172">
        <f>IF($G$208=0,0,G25/$G$208)</f>
        <v>2.7703800884229066E-2</v>
      </c>
      <c r="I25" s="337"/>
      <c r="J25" s="183">
        <v>0</v>
      </c>
      <c r="K25" s="183">
        <v>0</v>
      </c>
      <c r="M25" s="359">
        <f>G25/G$228</f>
        <v>4.8359694573220615</v>
      </c>
      <c r="N25" s="359">
        <f>SUMMARY!J28</f>
        <v>5.1446587373365018</v>
      </c>
      <c r="W25" s="568">
        <v>425.35</v>
      </c>
      <c r="X25" s="568">
        <v>433.35</v>
      </c>
      <c r="Y25" s="488">
        <v>1647</v>
      </c>
      <c r="Z25" s="488">
        <v>1647</v>
      </c>
    </row>
    <row r="26" spans="1:26" s="167" customFormat="1">
      <c r="A26" s="169" t="s">
        <v>84</v>
      </c>
      <c r="B26" s="170" t="s">
        <v>176</v>
      </c>
      <c r="C26" s="573">
        <f>'[43]Sch C'!D11</f>
        <v>0</v>
      </c>
      <c r="D26" s="573">
        <f>'[43]Sch C'!F11</f>
        <v>0</v>
      </c>
      <c r="E26" s="171">
        <f t="shared" si="4"/>
        <v>0</v>
      </c>
      <c r="F26" s="486"/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  <c r="W26" s="568">
        <v>0</v>
      </c>
      <c r="X26" s="568">
        <v>0</v>
      </c>
      <c r="Y26" s="488">
        <v>1647</v>
      </c>
      <c r="Z26" s="488">
        <v>1647</v>
      </c>
    </row>
    <row r="27" spans="1:26" s="167" customFormat="1">
      <c r="A27" s="169" t="s">
        <v>85</v>
      </c>
      <c r="B27" s="170" t="s">
        <v>17</v>
      </c>
      <c r="C27" s="573">
        <f>'[43]Sch C'!D12</f>
        <v>0</v>
      </c>
      <c r="D27" s="573">
        <f>'[43]Sch C'!F12</f>
        <v>0</v>
      </c>
      <c r="E27" s="171">
        <f t="shared" si="4"/>
        <v>0</v>
      </c>
      <c r="F27" s="486">
        <f>47596-11722</f>
        <v>35874</v>
      </c>
      <c r="G27" s="171">
        <f t="shared" si="5"/>
        <v>35874</v>
      </c>
      <c r="H27" s="172">
        <f t="shared" si="6"/>
        <v>1.401085731695426E-2</v>
      </c>
      <c r="I27" s="337"/>
      <c r="J27" s="183">
        <v>0</v>
      </c>
      <c r="K27" s="183">
        <v>0</v>
      </c>
      <c r="M27" s="359">
        <f t="shared" si="7"/>
        <v>2.445732206163076</v>
      </c>
      <c r="N27" s="359">
        <f>SUMMARY!J30</f>
        <v>6.5653829268620019</v>
      </c>
      <c r="W27" s="568">
        <v>538.7299999999999</v>
      </c>
      <c r="X27" s="568">
        <v>554.73</v>
      </c>
      <c r="Y27" s="488">
        <v>1647</v>
      </c>
      <c r="Z27" s="488">
        <v>1647</v>
      </c>
    </row>
    <row r="28" spans="1:26" s="167" customFormat="1" ht="15.5">
      <c r="A28" s="169" t="s">
        <v>86</v>
      </c>
      <c r="B28" s="170" t="s">
        <v>45</v>
      </c>
      <c r="C28" s="573">
        <f>'[43]Sch C'!D13</f>
        <v>354299.52</v>
      </c>
      <c r="D28" s="573">
        <f>'[43]Sch C'!F13</f>
        <v>-315721.92</v>
      </c>
      <c r="E28" s="171">
        <f t="shared" si="4"/>
        <v>38577.600000000035</v>
      </c>
      <c r="F28" s="486">
        <v>-9501</v>
      </c>
      <c r="G28" s="171">
        <f t="shared" si="5"/>
        <v>29076.600000000035</v>
      </c>
      <c r="H28" s="172">
        <f t="shared" si="6"/>
        <v>1.1356082228414804E-2</v>
      </c>
      <c r="I28" s="337"/>
      <c r="J28" s="168"/>
      <c r="K28" s="168"/>
      <c r="M28" s="359">
        <f t="shared" si="7"/>
        <v>1.9823152440687235</v>
      </c>
      <c r="N28" s="359">
        <f>SUMMARY!J31</f>
        <v>2.1760486719355461</v>
      </c>
      <c r="W28" s="563"/>
      <c r="X28" s="563"/>
      <c r="Y28" s="527"/>
      <c r="Z28" s="527"/>
    </row>
    <row r="29" spans="1:26" s="167" customFormat="1" ht="15.5">
      <c r="A29" s="169" t="s">
        <v>175</v>
      </c>
      <c r="B29" s="170" t="s">
        <v>20</v>
      </c>
      <c r="C29" s="573">
        <f>'[43]Sch C'!D14</f>
        <v>0</v>
      </c>
      <c r="D29" s="573">
        <f>'[43]Sch C'!F14</f>
        <v>0</v>
      </c>
      <c r="E29" s="171">
        <f t="shared" si="4"/>
        <v>0</v>
      </c>
      <c r="F29" s="486"/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  <c r="W29" s="563"/>
      <c r="X29" s="563"/>
      <c r="Y29" s="527"/>
      <c r="Z29" s="527"/>
    </row>
    <row r="30" spans="1:26" s="167" customFormat="1" ht="15.5">
      <c r="A30" s="169" t="s">
        <v>88</v>
      </c>
      <c r="B30" s="170" t="s">
        <v>22</v>
      </c>
      <c r="C30" s="573">
        <f>'[43]Sch C'!D15</f>
        <v>0</v>
      </c>
      <c r="D30" s="573">
        <f>'[43]Sch C'!F15</f>
        <v>0</v>
      </c>
      <c r="E30" s="171">
        <f t="shared" si="4"/>
        <v>0</v>
      </c>
      <c r="F30" s="486"/>
      <c r="G30" s="171">
        <f t="shared" si="5"/>
        <v>0</v>
      </c>
      <c r="H30" s="172">
        <f t="shared" si="6"/>
        <v>0</v>
      </c>
      <c r="I30" s="337"/>
      <c r="J30" s="168"/>
      <c r="K30" s="168"/>
      <c r="M30" s="359">
        <f t="shared" si="7"/>
        <v>0</v>
      </c>
      <c r="N30" s="359">
        <f>SUMMARY!J33</f>
        <v>1.6617191665983997</v>
      </c>
      <c r="W30" s="563"/>
      <c r="X30" s="563"/>
      <c r="Y30" s="527"/>
      <c r="Z30" s="527"/>
    </row>
    <row r="31" spans="1:26" s="167" customFormat="1" ht="15.5">
      <c r="A31" s="169" t="s">
        <v>89</v>
      </c>
      <c r="B31" s="170" t="s">
        <v>148</v>
      </c>
      <c r="C31" s="573">
        <f>'[43]Sch C'!D16</f>
        <v>282251</v>
      </c>
      <c r="D31" s="573">
        <f>'[43]Sch C'!F16</f>
        <v>-70527</v>
      </c>
      <c r="E31" s="171">
        <f t="shared" si="4"/>
        <v>211724</v>
      </c>
      <c r="F31" s="486">
        <v>-23474</v>
      </c>
      <c r="G31" s="171">
        <f t="shared" si="5"/>
        <v>188250</v>
      </c>
      <c r="H31" s="172">
        <f t="shared" si="6"/>
        <v>7.3522436581274442E-2</v>
      </c>
      <c r="I31" s="337"/>
      <c r="J31" s="168"/>
      <c r="K31" s="168"/>
      <c r="M31" s="359">
        <f t="shared" si="7"/>
        <v>12.834060539950913</v>
      </c>
      <c r="N31" s="359">
        <f>SUMMARY!J34</f>
        <v>11.049930353021256</v>
      </c>
      <c r="W31" s="563"/>
      <c r="X31" s="563"/>
      <c r="Y31" s="527"/>
      <c r="Z31" s="527"/>
    </row>
    <row r="32" spans="1:26" s="167" customFormat="1" ht="15.5">
      <c r="A32" s="169" t="s">
        <v>90</v>
      </c>
      <c r="B32" s="170" t="s">
        <v>23</v>
      </c>
      <c r="C32" s="573">
        <f>'[43]Sch C'!D17</f>
        <v>0</v>
      </c>
      <c r="D32" s="573">
        <f>'[43]Sch C'!F17</f>
        <v>0</v>
      </c>
      <c r="E32" s="171">
        <f t="shared" si="4"/>
        <v>0</v>
      </c>
      <c r="F32" s="486"/>
      <c r="G32" s="171">
        <f t="shared" si="5"/>
        <v>0</v>
      </c>
      <c r="H32" s="172">
        <f t="shared" si="6"/>
        <v>0</v>
      </c>
      <c r="I32" s="337"/>
      <c r="J32" s="168"/>
      <c r="K32" s="168"/>
      <c r="M32" s="359">
        <f t="shared" si="7"/>
        <v>0</v>
      </c>
      <c r="N32" s="359">
        <f>SUMMARY!J35</f>
        <v>0.14536890308839193</v>
      </c>
      <c r="W32" s="563"/>
      <c r="X32" s="563"/>
      <c r="Y32" s="527"/>
      <c r="Z32" s="527"/>
    </row>
    <row r="33" spans="1:26" s="167" customFormat="1" ht="15.5">
      <c r="A33" s="169" t="s">
        <v>91</v>
      </c>
      <c r="B33" s="170" t="s">
        <v>24</v>
      </c>
      <c r="C33" s="573">
        <f>'[43]Sch C'!D18</f>
        <v>18126.599999999999</v>
      </c>
      <c r="D33" s="573">
        <f>'[43]Sch C'!F18</f>
        <v>0</v>
      </c>
      <c r="E33" s="171">
        <f t="shared" si="4"/>
        <v>18126.599999999999</v>
      </c>
      <c r="F33" s="486">
        <v>-2010</v>
      </c>
      <c r="G33" s="171">
        <f t="shared" si="5"/>
        <v>16116.599999999999</v>
      </c>
      <c r="H33" s="172">
        <f t="shared" si="6"/>
        <v>6.2944579091939847E-3</v>
      </c>
      <c r="I33" s="337"/>
      <c r="J33" s="168"/>
      <c r="K33" s="168"/>
      <c r="M33" s="359">
        <f t="shared" si="7"/>
        <v>1.0987592037087537</v>
      </c>
      <c r="N33" s="359">
        <f>SUMMARY!J36</f>
        <v>0.8867545233609132</v>
      </c>
      <c r="W33" s="563"/>
      <c r="X33" s="563"/>
      <c r="Y33" s="527"/>
      <c r="Z33" s="527"/>
    </row>
    <row r="34" spans="1:26" s="167" customFormat="1" ht="15.5">
      <c r="A34" s="169" t="s">
        <v>92</v>
      </c>
      <c r="B34" s="170" t="s">
        <v>25</v>
      </c>
      <c r="C34" s="573">
        <f>'[43]Sch C'!D19</f>
        <v>11082.130000000001</v>
      </c>
      <c r="D34" s="573">
        <f>'[43]Sch C'!F19</f>
        <v>0</v>
      </c>
      <c r="E34" s="171">
        <f t="shared" si="4"/>
        <v>11082.130000000001</v>
      </c>
      <c r="F34" s="486">
        <v>-1229</v>
      </c>
      <c r="G34" s="171">
        <f t="shared" si="5"/>
        <v>9853.130000000001</v>
      </c>
      <c r="H34" s="172">
        <f t="shared" si="6"/>
        <v>3.8482131503429096E-3</v>
      </c>
      <c r="I34" s="337"/>
      <c r="J34" s="168"/>
      <c r="K34" s="168"/>
      <c r="M34" s="359">
        <f t="shared" si="7"/>
        <v>0.67174325061358064</v>
      </c>
      <c r="N34" s="359">
        <f>SUMMARY!J37</f>
        <v>0.90101991185385411</v>
      </c>
      <c r="W34" s="563"/>
      <c r="X34" s="563"/>
      <c r="Y34" s="527"/>
      <c r="Z34" s="527"/>
    </row>
    <row r="35" spans="1:26" s="167" customFormat="1" ht="15.5">
      <c r="A35" s="169" t="s">
        <v>93</v>
      </c>
      <c r="B35" s="170" t="s">
        <v>26</v>
      </c>
      <c r="C35" s="573">
        <f>'[43]Sch C'!D20</f>
        <v>12254.08</v>
      </c>
      <c r="D35" s="573">
        <f>'[43]Sch C'!F20</f>
        <v>0</v>
      </c>
      <c r="E35" s="171">
        <f t="shared" si="4"/>
        <v>12254.08</v>
      </c>
      <c r="F35" s="486">
        <v>-1359</v>
      </c>
      <c r="G35" s="171">
        <f t="shared" si="5"/>
        <v>10895.08</v>
      </c>
      <c r="H35" s="172">
        <f t="shared" si="6"/>
        <v>4.2551544666555724E-3</v>
      </c>
      <c r="I35" s="337"/>
      <c r="J35" s="168"/>
      <c r="K35" s="168"/>
      <c r="M35" s="359">
        <f t="shared" si="7"/>
        <v>0.74277883828742841</v>
      </c>
      <c r="N35" s="359">
        <f>SUMMARY!J38</f>
        <v>0.79427546489719036</v>
      </c>
      <c r="W35" s="563"/>
      <c r="X35" s="563"/>
      <c r="Y35" s="527"/>
      <c r="Z35" s="527"/>
    </row>
    <row r="36" spans="1:26" s="167" customFormat="1" ht="15.5">
      <c r="A36" s="169" t="s">
        <v>94</v>
      </c>
      <c r="B36" s="170" t="s">
        <v>27</v>
      </c>
      <c r="C36" s="573">
        <f>'[43]Sch C'!D21</f>
        <v>20039.75</v>
      </c>
      <c r="D36" s="573">
        <f>'[43]Sch C'!F21</f>
        <v>0</v>
      </c>
      <c r="E36" s="171">
        <f t="shared" si="4"/>
        <v>20039.75</v>
      </c>
      <c r="F36" s="486">
        <f>-2222+11191</f>
        <v>8969</v>
      </c>
      <c r="G36" s="171">
        <f t="shared" si="5"/>
        <v>29008.75</v>
      </c>
      <c r="H36" s="172">
        <f t="shared" si="6"/>
        <v>1.1329582906650969E-2</v>
      </c>
      <c r="I36" s="337"/>
      <c r="J36" s="168"/>
      <c r="K36" s="168"/>
      <c r="M36" s="359">
        <f t="shared" si="7"/>
        <v>1.9776895282247069</v>
      </c>
      <c r="N36" s="359">
        <f>SUMMARY!J39</f>
        <v>0.98747949537150814</v>
      </c>
      <c r="W36" s="563"/>
      <c r="X36" s="563"/>
      <c r="Y36" s="527"/>
      <c r="Z36" s="527"/>
    </row>
    <row r="37" spans="1:26" s="167" customFormat="1" ht="15.5">
      <c r="A37" s="163">
        <v>130</v>
      </c>
      <c r="B37" s="170" t="s">
        <v>28</v>
      </c>
      <c r="C37" s="573">
        <f>'[43]Sch C'!D22</f>
        <v>0</v>
      </c>
      <c r="D37" s="573">
        <f>'[43]Sch C'!F22</f>
        <v>0</v>
      </c>
      <c r="E37" s="171">
        <f t="shared" si="4"/>
        <v>0</v>
      </c>
      <c r="F37" s="486"/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  <c r="W37" s="563"/>
      <c r="X37" s="563"/>
      <c r="Y37" s="527"/>
      <c r="Z37" s="527"/>
    </row>
    <row r="38" spans="1:26" s="167" customFormat="1" ht="15.5">
      <c r="A38" s="163">
        <v>140</v>
      </c>
      <c r="B38" s="170" t="s">
        <v>149</v>
      </c>
      <c r="C38" s="573">
        <f>'[43]Sch C'!D23</f>
        <v>1464.94</v>
      </c>
      <c r="D38" s="573">
        <f>'[43]Sch C'!F23</f>
        <v>0</v>
      </c>
      <c r="E38" s="171">
        <f t="shared" si="4"/>
        <v>1464.94</v>
      </c>
      <c r="F38" s="486">
        <f>6167-162</f>
        <v>6005</v>
      </c>
      <c r="G38" s="171">
        <f t="shared" si="5"/>
        <v>7469.9400000000005</v>
      </c>
      <c r="H38" s="172">
        <f t="shared" si="6"/>
        <v>2.9174405838827372E-3</v>
      </c>
      <c r="I38" s="337"/>
      <c r="J38" s="168"/>
      <c r="K38" s="168"/>
      <c r="M38" s="359">
        <f t="shared" si="7"/>
        <v>0.509267793836924</v>
      </c>
      <c r="N38" s="359">
        <f>SUMMARY!J41</f>
        <v>0.63060479506294209</v>
      </c>
      <c r="W38" s="563"/>
      <c r="X38" s="563"/>
      <c r="Y38" s="527"/>
      <c r="Z38" s="527"/>
    </row>
    <row r="39" spans="1:26" s="167" customFormat="1" ht="15.5">
      <c r="A39" s="163">
        <v>150</v>
      </c>
      <c r="B39" s="170" t="s">
        <v>29</v>
      </c>
      <c r="C39" s="573">
        <f>'[43]Sch C'!D24</f>
        <v>0</v>
      </c>
      <c r="D39" s="573">
        <f>'[43]Sch C'!F24</f>
        <v>0</v>
      </c>
      <c r="E39" s="171">
        <f t="shared" si="4"/>
        <v>0</v>
      </c>
      <c r="F39" s="486"/>
      <c r="G39" s="171">
        <f t="shared" si="5"/>
        <v>0</v>
      </c>
      <c r="H39" s="172">
        <f t="shared" si="6"/>
        <v>0</v>
      </c>
      <c r="I39" s="337"/>
      <c r="J39" s="168"/>
      <c r="K39" s="168"/>
      <c r="M39" s="359">
        <f t="shared" si="7"/>
        <v>0</v>
      </c>
      <c r="N39" s="359">
        <f>SUMMARY!J42</f>
        <v>0.77563123344529072</v>
      </c>
      <c r="W39" s="563"/>
      <c r="X39" s="563"/>
      <c r="Y39" s="527"/>
      <c r="Z39" s="527"/>
    </row>
    <row r="40" spans="1:26" s="167" customFormat="1" ht="15.5">
      <c r="A40" s="163">
        <v>160</v>
      </c>
      <c r="B40" s="170" t="s">
        <v>30</v>
      </c>
      <c r="C40" s="573">
        <f>'[43]Sch C'!D25</f>
        <v>0</v>
      </c>
      <c r="D40" s="573">
        <f>'[43]Sch C'!F25</f>
        <v>0</v>
      </c>
      <c r="E40" s="171">
        <f t="shared" si="4"/>
        <v>0</v>
      </c>
      <c r="F40" s="486"/>
      <c r="G40" s="171">
        <f t="shared" si="5"/>
        <v>0</v>
      </c>
      <c r="H40" s="172">
        <f t="shared" si="6"/>
        <v>0</v>
      </c>
      <c r="I40" s="337"/>
      <c r="J40" s="168"/>
      <c r="K40" s="168"/>
      <c r="M40" s="359">
        <f t="shared" si="7"/>
        <v>0</v>
      </c>
      <c r="N40" s="359">
        <f>SUMMARY!J43</f>
        <v>2.6613926435651674E-2</v>
      </c>
      <c r="W40" s="563"/>
      <c r="X40" s="563"/>
      <c r="Y40" s="527"/>
      <c r="Z40" s="527"/>
    </row>
    <row r="41" spans="1:26" s="167" customFormat="1" ht="15.5">
      <c r="A41" s="163">
        <v>170</v>
      </c>
      <c r="B41" s="170" t="s">
        <v>31</v>
      </c>
      <c r="C41" s="573">
        <f>'[43]Sch C'!D26</f>
        <v>210779.8</v>
      </c>
      <c r="D41" s="573">
        <f>'[43]Sch C'!F26</f>
        <v>0</v>
      </c>
      <c r="E41" s="171">
        <f t="shared" si="4"/>
        <v>210779.8</v>
      </c>
      <c r="F41" s="486"/>
      <c r="G41" s="171">
        <f t="shared" si="5"/>
        <v>210779.8</v>
      </c>
      <c r="H41" s="172">
        <f t="shared" si="6"/>
        <v>8.2321617413618653E-2</v>
      </c>
      <c r="I41" s="337"/>
      <c r="J41" s="168"/>
      <c r="K41" s="168"/>
      <c r="M41" s="359">
        <f t="shared" si="7"/>
        <v>14.370043632397055</v>
      </c>
      <c r="N41" s="359">
        <f>SUMMARY!J44</f>
        <v>10.987269304497419</v>
      </c>
      <c r="W41" s="563"/>
      <c r="X41" s="563"/>
      <c r="Y41" s="527"/>
      <c r="Z41" s="527"/>
    </row>
    <row r="42" spans="1:26" s="167" customFormat="1" ht="15.5">
      <c r="A42" s="163">
        <v>180</v>
      </c>
      <c r="B42" s="170" t="s">
        <v>32</v>
      </c>
      <c r="C42" s="573">
        <f>'[43]Sch C'!D27</f>
        <v>0</v>
      </c>
      <c r="D42" s="573">
        <f>'[43]Sch C'!F27</f>
        <v>0</v>
      </c>
      <c r="E42" s="171">
        <f t="shared" si="4"/>
        <v>0</v>
      </c>
      <c r="F42" s="581"/>
      <c r="G42" s="171">
        <f t="shared" si="5"/>
        <v>0</v>
      </c>
      <c r="H42" s="172">
        <f t="shared" si="6"/>
        <v>0</v>
      </c>
      <c r="I42" s="570"/>
      <c r="J42" s="168"/>
      <c r="K42" s="168"/>
      <c r="M42" s="359">
        <f t="shared" si="7"/>
        <v>0</v>
      </c>
      <c r="N42" s="359">
        <f>SUMMARY!J45</f>
        <v>0.64134655143223829</v>
      </c>
      <c r="W42" s="563"/>
      <c r="X42" s="563"/>
      <c r="Y42" s="527"/>
      <c r="Z42" s="527"/>
    </row>
    <row r="43" spans="1:26" s="167" customFormat="1" ht="15.5">
      <c r="A43" s="163">
        <v>190</v>
      </c>
      <c r="B43" s="170" t="s">
        <v>33</v>
      </c>
      <c r="C43" s="573">
        <f>'[43]Sch C'!D28</f>
        <v>0</v>
      </c>
      <c r="D43" s="573">
        <f>'[43]Sch C'!F28</f>
        <v>0</v>
      </c>
      <c r="E43" s="171">
        <f t="shared" si="4"/>
        <v>0</v>
      </c>
      <c r="F43" s="486"/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  <c r="W43" s="563"/>
      <c r="X43" s="563"/>
      <c r="Y43" s="527"/>
      <c r="Z43" s="527"/>
    </row>
    <row r="44" spans="1:26" s="167" customFormat="1" ht="15.5">
      <c r="A44" s="163">
        <v>200</v>
      </c>
      <c r="B44" s="170" t="s">
        <v>34</v>
      </c>
      <c r="C44" s="573">
        <f>'[43]Sch C'!D29</f>
        <v>83115</v>
      </c>
      <c r="D44" s="573">
        <f>'[43]Sch C'!F29</f>
        <v>-83115</v>
      </c>
      <c r="E44" s="171">
        <f t="shared" si="4"/>
        <v>0</v>
      </c>
      <c r="F44" s="486"/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  <c r="W44" s="563"/>
      <c r="X44" s="563"/>
      <c r="Y44" s="527"/>
      <c r="Z44" s="527"/>
    </row>
    <row r="45" spans="1:26" s="167" customFormat="1" ht="15.5">
      <c r="A45" s="163">
        <v>210</v>
      </c>
      <c r="B45" s="170" t="s">
        <v>35</v>
      </c>
      <c r="C45" s="573">
        <f>'[43]Sch C'!D30</f>
        <v>0</v>
      </c>
      <c r="D45" s="573">
        <f>'[43]Sch C'!F30</f>
        <v>0</v>
      </c>
      <c r="E45" s="171">
        <f t="shared" si="4"/>
        <v>0</v>
      </c>
      <c r="F45" s="486"/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  <c r="W45" s="563"/>
      <c r="X45" s="563"/>
      <c r="Y45" s="527"/>
      <c r="Z45" s="527"/>
    </row>
    <row r="46" spans="1:26" s="167" customFormat="1" ht="15.5">
      <c r="A46" s="163">
        <v>220</v>
      </c>
      <c r="B46" s="170" t="s">
        <v>190</v>
      </c>
      <c r="C46" s="573">
        <f>'[43]Sch C'!D31</f>
        <v>0</v>
      </c>
      <c r="D46" s="573">
        <f>'[43]Sch C'!F31</f>
        <v>0</v>
      </c>
      <c r="E46" s="171">
        <f t="shared" si="4"/>
        <v>0</v>
      </c>
      <c r="F46" s="486"/>
      <c r="G46" s="171">
        <f t="shared" si="5"/>
        <v>0</v>
      </c>
      <c r="H46" s="172">
        <f t="shared" si="6"/>
        <v>0</v>
      </c>
      <c r="I46" s="337"/>
      <c r="J46" s="168"/>
      <c r="K46" s="168"/>
      <c r="M46" s="359">
        <f t="shared" si="7"/>
        <v>0</v>
      </c>
      <c r="N46" s="359">
        <f>SUMMARY!J49</f>
        <v>1.2092098577319024</v>
      </c>
      <c r="W46" s="563"/>
      <c r="X46" s="563"/>
      <c r="Y46" s="527"/>
      <c r="Z46" s="527"/>
    </row>
    <row r="47" spans="1:26" s="167" customFormat="1" ht="15.5">
      <c r="A47" s="163">
        <v>230</v>
      </c>
      <c r="B47" s="170" t="s">
        <v>191</v>
      </c>
      <c r="C47" s="573">
        <f>'[43]Sch C'!D32</f>
        <v>23783.82</v>
      </c>
      <c r="D47" s="573">
        <f>'[43]Sch C'!F32</f>
        <v>0</v>
      </c>
      <c r="E47" s="171">
        <f t="shared" si="4"/>
        <v>23783.82</v>
      </c>
      <c r="F47" s="486">
        <v>-2637</v>
      </c>
      <c r="G47" s="171">
        <f t="shared" si="5"/>
        <v>21146.82</v>
      </c>
      <c r="H47" s="172">
        <f t="shared" si="6"/>
        <v>8.2590477149834043E-3</v>
      </c>
      <c r="I47" s="337"/>
      <c r="J47" s="168"/>
      <c r="K47" s="168"/>
      <c r="M47" s="359">
        <f t="shared" si="7"/>
        <v>1.4416975729479138</v>
      </c>
      <c r="N47" s="359">
        <f>SUMMARY!J50</f>
        <v>2.2270835363825316</v>
      </c>
      <c r="W47" s="563"/>
      <c r="X47" s="563"/>
      <c r="Y47" s="527"/>
      <c r="Z47" s="527"/>
    </row>
    <row r="48" spans="1:26" s="167" customFormat="1" ht="15.5">
      <c r="A48" s="163">
        <v>240</v>
      </c>
      <c r="B48" s="170" t="s">
        <v>201</v>
      </c>
      <c r="C48" s="573">
        <f>'[43]Sch C'!D33</f>
        <v>0</v>
      </c>
      <c r="D48" s="573">
        <f>'[43]Sch C'!F33</f>
        <v>0</v>
      </c>
      <c r="E48" s="171">
        <f t="shared" si="4"/>
        <v>0</v>
      </c>
      <c r="F48" s="486"/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  <c r="W48" s="563"/>
      <c r="X48" s="563"/>
      <c r="Y48" s="527"/>
      <c r="Z48" s="527"/>
    </row>
    <row r="49" spans="1:26" s="167" customFormat="1" ht="15.5">
      <c r="A49" s="163">
        <v>250</v>
      </c>
      <c r="B49" s="170" t="s">
        <v>202</v>
      </c>
      <c r="C49" s="573">
        <f>'[43]Sch C'!D34</f>
        <v>0</v>
      </c>
      <c r="D49" s="573">
        <f>'[43]Sch C'!F34</f>
        <v>0</v>
      </c>
      <c r="E49" s="171">
        <f t="shared" si="4"/>
        <v>0</v>
      </c>
      <c r="F49" s="486"/>
      <c r="G49" s="171">
        <f t="shared" si="5"/>
        <v>0</v>
      </c>
      <c r="H49" s="172">
        <f t="shared" si="6"/>
        <v>0</v>
      </c>
      <c r="I49" s="337"/>
      <c r="J49" s="168"/>
      <c r="K49" s="168"/>
      <c r="M49" s="359">
        <f t="shared" si="7"/>
        <v>0</v>
      </c>
      <c r="N49" s="359">
        <f>SUMMARY!J52</f>
        <v>1.5242074219710003E-2</v>
      </c>
      <c r="W49" s="563"/>
      <c r="X49" s="563"/>
      <c r="Y49" s="527"/>
      <c r="Z49" s="527"/>
    </row>
    <row r="50" spans="1:26" s="167" customFormat="1" ht="15.5">
      <c r="A50" s="163">
        <v>270</v>
      </c>
      <c r="B50" s="170" t="s">
        <v>203</v>
      </c>
      <c r="C50" s="573">
        <f>'[43]Sch C'!D35</f>
        <v>0</v>
      </c>
      <c r="D50" s="573">
        <f>'[43]Sch C'!F35</f>
        <v>0</v>
      </c>
      <c r="E50" s="171">
        <f t="shared" si="4"/>
        <v>0</v>
      </c>
      <c r="F50" s="486"/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  <c r="W50" s="563"/>
      <c r="X50" s="563"/>
      <c r="Y50" s="527"/>
      <c r="Z50" s="527"/>
    </row>
    <row r="51" spans="1:26" s="167" customFormat="1">
      <c r="A51" s="163">
        <v>280</v>
      </c>
      <c r="B51" s="170" t="s">
        <v>204</v>
      </c>
      <c r="C51" s="573">
        <f>'[43]Sch C'!D36</f>
        <v>0</v>
      </c>
      <c r="D51" s="573">
        <f>'[43]Sch C'!F36</f>
        <v>0</v>
      </c>
      <c r="E51" s="171">
        <f t="shared" si="4"/>
        <v>0</v>
      </c>
      <c r="F51" s="486"/>
      <c r="G51" s="171">
        <f t="shared" si="5"/>
        <v>0</v>
      </c>
      <c r="H51" s="172">
        <f t="shared" si="6"/>
        <v>0</v>
      </c>
      <c r="I51" s="337"/>
      <c r="J51" s="183">
        <v>0</v>
      </c>
      <c r="K51" s="183">
        <v>0</v>
      </c>
      <c r="M51" s="359">
        <f t="shared" si="7"/>
        <v>0</v>
      </c>
      <c r="N51" s="359">
        <f>SUMMARY!J54</f>
        <v>0.46828948963709344</v>
      </c>
      <c r="W51" s="568">
        <v>161.69999999999999</v>
      </c>
      <c r="X51" s="568">
        <v>161.69999999999999</v>
      </c>
      <c r="Y51" s="488">
        <v>0</v>
      </c>
      <c r="Z51" s="488">
        <v>0</v>
      </c>
    </row>
    <row r="52" spans="1:26" s="167" customFormat="1" ht="15.5">
      <c r="A52" s="163">
        <v>290</v>
      </c>
      <c r="B52" s="170" t="s">
        <v>205</v>
      </c>
      <c r="C52" s="573">
        <f>'[43]Sch C'!D37</f>
        <v>0</v>
      </c>
      <c r="D52" s="573">
        <f>'[43]Sch C'!F37</f>
        <v>0</v>
      </c>
      <c r="E52" s="171">
        <f t="shared" si="4"/>
        <v>0</v>
      </c>
      <c r="F52" s="486"/>
      <c r="G52" s="171">
        <f t="shared" si="5"/>
        <v>0</v>
      </c>
      <c r="H52" s="172">
        <f t="shared" si="6"/>
        <v>0</v>
      </c>
      <c r="I52" s="337"/>
      <c r="J52" s="168"/>
      <c r="K52" s="168"/>
      <c r="M52" s="359">
        <f t="shared" si="7"/>
        <v>0</v>
      </c>
      <c r="N52" s="359">
        <f>SUMMARY!J55</f>
        <v>7.2094073659366972E-2</v>
      </c>
      <c r="W52" s="563"/>
      <c r="X52" s="563"/>
      <c r="Y52" s="527"/>
      <c r="Z52" s="527"/>
    </row>
    <row r="53" spans="1:26" s="167" customFormat="1" ht="15.5">
      <c r="A53" s="163">
        <v>300</v>
      </c>
      <c r="B53" s="170" t="s">
        <v>206</v>
      </c>
      <c r="C53" s="573">
        <f>'[43]Sch C'!D38</f>
        <v>0</v>
      </c>
      <c r="D53" s="573">
        <f>'[43]Sch C'!F38</f>
        <v>0</v>
      </c>
      <c r="E53" s="171">
        <f t="shared" si="4"/>
        <v>0</v>
      </c>
      <c r="F53" s="486"/>
      <c r="G53" s="171">
        <f t="shared" si="5"/>
        <v>0</v>
      </c>
      <c r="H53" s="172">
        <f t="shared" si="6"/>
        <v>0</v>
      </c>
      <c r="I53" s="337"/>
      <c r="J53" s="168"/>
      <c r="K53" s="168"/>
      <c r="M53" s="359">
        <f t="shared" si="7"/>
        <v>0</v>
      </c>
      <c r="N53" s="359">
        <f>SUMMARY!J56</f>
        <v>3.3816553343709896E-3</v>
      </c>
      <c r="W53" s="563"/>
      <c r="X53" s="563"/>
      <c r="Y53" s="527"/>
      <c r="Z53" s="527"/>
    </row>
    <row r="54" spans="1:26" s="167" customFormat="1" ht="15.5">
      <c r="A54" s="163">
        <v>310</v>
      </c>
      <c r="B54" s="170" t="s">
        <v>207</v>
      </c>
      <c r="C54" s="573">
        <f>'[43]Sch C'!D39</f>
        <v>7180.8099999999995</v>
      </c>
      <c r="D54" s="573">
        <f>'[43]Sch C'!F39</f>
        <v>0</v>
      </c>
      <c r="E54" s="171">
        <f t="shared" si="4"/>
        <v>7180.8099999999995</v>
      </c>
      <c r="F54" s="486">
        <v>-796</v>
      </c>
      <c r="G54" s="171">
        <f t="shared" si="5"/>
        <v>6384.8099999999995</v>
      </c>
      <c r="H54" s="172">
        <f t="shared" si="6"/>
        <v>2.4936349976546444E-3</v>
      </c>
      <c r="I54" s="337"/>
      <c r="J54" s="168"/>
      <c r="K54" s="168"/>
      <c r="M54" s="359">
        <f t="shared" si="7"/>
        <v>0.43528838287428412</v>
      </c>
      <c r="N54" s="359">
        <f>SUMMARY!J57</f>
        <v>0.29995180907129787</v>
      </c>
      <c r="W54" s="563"/>
      <c r="X54" s="563"/>
      <c r="Y54" s="527"/>
      <c r="Z54" s="527"/>
    </row>
    <row r="55" spans="1:26" s="167" customFormat="1" ht="15.5">
      <c r="A55" s="163">
        <v>320</v>
      </c>
      <c r="B55" s="170" t="s">
        <v>208</v>
      </c>
      <c r="C55" s="573">
        <f>'[43]Sch C'!D40</f>
        <v>10154.07</v>
      </c>
      <c r="D55" s="573">
        <f>'[43]Sch C'!F40</f>
        <v>-10154</v>
      </c>
      <c r="E55" s="171">
        <f t="shared" si="4"/>
        <v>6.9999999999708962E-2</v>
      </c>
      <c r="F55" s="486"/>
      <c r="G55" s="171">
        <f t="shared" si="5"/>
        <v>6.9999999999708962E-2</v>
      </c>
      <c r="H55" s="172">
        <f t="shared" si="6"/>
        <v>2.7339020242591305E-8</v>
      </c>
      <c r="I55" s="337"/>
      <c r="J55" s="168"/>
      <c r="K55" s="168"/>
      <c r="M55" s="359">
        <f t="shared" si="7"/>
        <v>4.7722934278503516E-6</v>
      </c>
      <c r="N55" s="359">
        <f>SUMMARY!J58</f>
        <v>0.15756469785095983</v>
      </c>
      <c r="W55" s="563"/>
      <c r="X55" s="563"/>
      <c r="Y55" s="527"/>
      <c r="Z55" s="527"/>
    </row>
    <row r="56" spans="1:26" s="167" customFormat="1" ht="15.5">
      <c r="A56" s="163">
        <v>330</v>
      </c>
      <c r="B56" s="170" t="s">
        <v>48</v>
      </c>
      <c r="C56" s="573">
        <f>'[43]Sch C'!D41</f>
        <v>145708.46999999997</v>
      </c>
      <c r="D56" s="573">
        <f>'[43]Sch C'!F41</f>
        <v>0</v>
      </c>
      <c r="E56" s="171">
        <f t="shared" si="4"/>
        <v>145708.46999999997</v>
      </c>
      <c r="F56" s="486">
        <f>3505-141708-443</f>
        <v>-138646</v>
      </c>
      <c r="G56" s="171">
        <f t="shared" si="5"/>
        <v>7062.4699999999721</v>
      </c>
      <c r="H56" s="172">
        <f t="shared" si="6"/>
        <v>2.7583001470499404E-3</v>
      </c>
      <c r="I56" s="337"/>
      <c r="J56" s="168"/>
      <c r="K56" s="168"/>
      <c r="M56" s="359">
        <f t="shared" si="7"/>
        <v>0.48148827379328962</v>
      </c>
      <c r="N56" s="359">
        <f>SUMMARY!J59</f>
        <v>1.9820866333524478</v>
      </c>
      <c r="W56" s="563"/>
      <c r="X56" s="563"/>
      <c r="Y56" s="527"/>
      <c r="Z56" s="527"/>
    </row>
    <row r="57" spans="1:26" s="167" customFormat="1" ht="15.5">
      <c r="A57" s="163">
        <v>340</v>
      </c>
      <c r="B57" s="170" t="s">
        <v>209</v>
      </c>
      <c r="C57" s="573">
        <f>'[43]Sch C'!D42</f>
        <v>3040.7</v>
      </c>
      <c r="D57" s="573">
        <f>'[43]Sch C'!F42</f>
        <v>0</v>
      </c>
      <c r="E57" s="171">
        <f t="shared" si="4"/>
        <v>3040.7</v>
      </c>
      <c r="F57" s="486">
        <v>-337</v>
      </c>
      <c r="G57" s="171">
        <f t="shared" si="5"/>
        <v>2703.7</v>
      </c>
      <c r="H57" s="172">
        <f t="shared" si="6"/>
        <v>1.0559501290028776E-3</v>
      </c>
      <c r="I57" s="337"/>
      <c r="J57" s="168"/>
      <c r="K57" s="168"/>
      <c r="M57" s="359">
        <f t="shared" si="7"/>
        <v>0.1843264248704663</v>
      </c>
      <c r="N57" s="359">
        <f>SUMMARY!J60</f>
        <v>0.1328047459108162</v>
      </c>
      <c r="W57" s="563"/>
      <c r="X57" s="563"/>
      <c r="Y57" s="527"/>
      <c r="Z57" s="527"/>
    </row>
    <row r="58" spans="1:26" s="167" customFormat="1" ht="15.5">
      <c r="A58" s="163">
        <v>350</v>
      </c>
      <c r="B58" s="170" t="s">
        <v>210</v>
      </c>
      <c r="C58" s="573">
        <f>'[43]Sch C'!D43</f>
        <v>10902.71</v>
      </c>
      <c r="D58" s="573">
        <f>'[43]Sch C'!F43</f>
        <v>0</v>
      </c>
      <c r="E58" s="171">
        <f t="shared" si="4"/>
        <v>10902.71</v>
      </c>
      <c r="F58" s="486">
        <v>-1209</v>
      </c>
      <c r="G58" s="171">
        <f t="shared" si="5"/>
        <v>9693.7099999999991</v>
      </c>
      <c r="H58" s="172">
        <f t="shared" si="6"/>
        <v>3.7859504845273086E-3</v>
      </c>
      <c r="I58" s="337"/>
      <c r="J58" s="168"/>
      <c r="K58" s="168"/>
      <c r="M58" s="359">
        <f t="shared" si="7"/>
        <v>0.66087469320970815</v>
      </c>
      <c r="N58" s="359">
        <f>SUMMARY!J61</f>
        <v>0.16717675650583</v>
      </c>
      <c r="W58" s="563"/>
      <c r="X58" s="563"/>
      <c r="Y58" s="527"/>
      <c r="Z58" s="527"/>
    </row>
    <row r="59" spans="1:26" s="167" customFormat="1" ht="15.5">
      <c r="A59" s="163">
        <v>360</v>
      </c>
      <c r="B59" s="170" t="s">
        <v>211</v>
      </c>
      <c r="C59" s="573">
        <f>'[43]Sch C'!D44</f>
        <v>0</v>
      </c>
      <c r="D59" s="573">
        <f>'[43]Sch C'!F44</f>
        <v>0</v>
      </c>
      <c r="E59" s="171">
        <f t="shared" si="4"/>
        <v>0</v>
      </c>
      <c r="F59" s="486"/>
      <c r="G59" s="171">
        <f t="shared" si="5"/>
        <v>0</v>
      </c>
      <c r="H59" s="172">
        <f t="shared" si="6"/>
        <v>0</v>
      </c>
      <c r="I59" s="337"/>
      <c r="J59" s="168"/>
      <c r="K59" s="168"/>
      <c r="M59" s="359">
        <f t="shared" si="7"/>
        <v>0</v>
      </c>
      <c r="N59" s="359">
        <f>SUMMARY!J62</f>
        <v>8.7222686436743951E-3</v>
      </c>
      <c r="W59" s="563"/>
      <c r="X59" s="563"/>
      <c r="Y59" s="527"/>
      <c r="Z59" s="527"/>
    </row>
    <row r="60" spans="1:26" s="167" customFormat="1" ht="15.5">
      <c r="A60" s="163">
        <v>490</v>
      </c>
      <c r="B60" s="170" t="s">
        <v>36</v>
      </c>
      <c r="C60" s="573">
        <f>'[43]Sch C'!D45</f>
        <v>34571.990000000005</v>
      </c>
      <c r="D60" s="573">
        <f>'[43]Sch C'!F45</f>
        <v>-5477</v>
      </c>
      <c r="E60" s="171">
        <f t="shared" si="4"/>
        <v>29094.990000000005</v>
      </c>
      <c r="F60" s="486">
        <f>-9672-3226</f>
        <v>-12898</v>
      </c>
      <c r="G60" s="171">
        <f t="shared" si="5"/>
        <v>16196.990000000005</v>
      </c>
      <c r="H60" s="172">
        <f t="shared" si="6"/>
        <v>6.3258548211555738E-3</v>
      </c>
      <c r="I60" s="337"/>
      <c r="J60" s="168"/>
      <c r="K60" s="168"/>
      <c r="M60" s="359">
        <f t="shared" si="7"/>
        <v>1.104239841832561</v>
      </c>
      <c r="N60" s="359">
        <f>SUMMARY!J63</f>
        <v>0.27778677807815194</v>
      </c>
      <c r="W60" s="563"/>
      <c r="X60" s="563"/>
      <c r="Y60" s="527"/>
      <c r="Z60" s="527"/>
    </row>
    <row r="61" spans="1:26" s="167" customFormat="1" ht="15.5">
      <c r="A61" s="163"/>
      <c r="B61" s="170" t="s">
        <v>177</v>
      </c>
      <c r="C61" s="573">
        <f>SUM(C25:C60)</f>
        <v>1228755.3899999997</v>
      </c>
      <c r="D61" s="573">
        <f>SUM(D25:D60)</f>
        <v>-484994.92</v>
      </c>
      <c r="E61" s="171">
        <f t="shared" ref="E61" si="8">SUM(E25:E60)</f>
        <v>743760.46999999986</v>
      </c>
      <c r="F61" s="171">
        <f>SUM(F25:F60)</f>
        <v>-72314</v>
      </c>
      <c r="G61" s="171">
        <f>SUM(G25:G60)</f>
        <v>671446.46999999986</v>
      </c>
      <c r="H61" s="186">
        <f t="shared" si="6"/>
        <v>0.26223840907461132</v>
      </c>
      <c r="I61" s="339"/>
      <c r="J61" s="168"/>
      <c r="K61" s="168"/>
      <c r="M61" s="364">
        <f>G61/G$228</f>
        <v>45.776279656394863</v>
      </c>
      <c r="N61" s="359">
        <f>SUMMARY!J64</f>
        <v>50.526072695090264</v>
      </c>
      <c r="W61" s="563"/>
      <c r="X61" s="563"/>
      <c r="Y61" s="527"/>
      <c r="Z61" s="527"/>
    </row>
    <row r="62" spans="1:26" s="167" customFormat="1" ht="15.5">
      <c r="A62" s="163"/>
      <c r="C62" s="165"/>
      <c r="D62" s="165"/>
      <c r="E62" s="165"/>
      <c r="F62" s="165"/>
      <c r="G62" s="165"/>
      <c r="H62" s="187"/>
      <c r="I62" s="340"/>
      <c r="J62" s="168"/>
      <c r="K62" s="168"/>
      <c r="M62" s="359"/>
      <c r="N62" s="359"/>
      <c r="W62" s="563"/>
      <c r="X62" s="563"/>
      <c r="Y62" s="527"/>
      <c r="Z62" s="527"/>
    </row>
    <row r="63" spans="1:26" s="167" customFormat="1" ht="15.5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40"/>
      <c r="J63" s="168"/>
      <c r="K63" s="168"/>
      <c r="M63" s="359"/>
      <c r="N63" s="359"/>
      <c r="W63" s="563"/>
      <c r="X63" s="563"/>
      <c r="Y63" s="527"/>
      <c r="Z63" s="527"/>
    </row>
    <row r="64" spans="1:26" s="167" customFormat="1" ht="15.5">
      <c r="A64" s="188">
        <v>230</v>
      </c>
      <c r="B64" s="189" t="s">
        <v>253</v>
      </c>
      <c r="C64" s="573">
        <f>'[43]Sch C'!D57</f>
        <v>335508</v>
      </c>
      <c r="D64" s="573">
        <f>'[43]Sch C'!F57</f>
        <v>-214877</v>
      </c>
      <c r="E64" s="171">
        <f t="shared" ref="E64:E78" si="9">C64+D64</f>
        <v>120631</v>
      </c>
      <c r="F64" s="581">
        <v>-120631</v>
      </c>
      <c r="G64" s="171">
        <f t="shared" ref="G64:G78" si="10">E64+F64</f>
        <v>0</v>
      </c>
      <c r="H64" s="172">
        <f t="shared" ref="H64:H79" si="11">IF($G$208=0,0,G64/$G$208)</f>
        <v>0</v>
      </c>
      <c r="I64" s="570"/>
      <c r="J64" s="190"/>
      <c r="K64" s="168"/>
      <c r="M64" s="359">
        <f t="shared" ref="M64:M79" si="12">G64/G$228</f>
        <v>0</v>
      </c>
      <c r="N64" s="359">
        <f>SUMMARY!J67</f>
        <v>6.8038026869828787</v>
      </c>
      <c r="W64" s="563"/>
      <c r="X64" s="563"/>
      <c r="Y64" s="528"/>
      <c r="Z64" s="527"/>
    </row>
    <row r="65" spans="1:26" s="167" customFormat="1" ht="15.5">
      <c r="A65" s="191">
        <v>240</v>
      </c>
      <c r="B65" s="189" t="s">
        <v>254</v>
      </c>
      <c r="C65" s="573">
        <f>'[43]Sch C'!D58</f>
        <v>0</v>
      </c>
      <c r="D65" s="573">
        <f>'[43]Sch C'!F58</f>
        <v>0</v>
      </c>
      <c r="E65" s="171">
        <f t="shared" si="9"/>
        <v>0</v>
      </c>
      <c r="F65" s="581">
        <v>65899</v>
      </c>
      <c r="G65" s="171">
        <f t="shared" si="10"/>
        <v>65899</v>
      </c>
      <c r="H65" s="172">
        <f t="shared" si="11"/>
        <v>2.57373442139145E-2</v>
      </c>
      <c r="I65" s="337"/>
      <c r="J65" s="190"/>
      <c r="K65" s="168"/>
      <c r="M65" s="359">
        <f t="shared" si="12"/>
        <v>4.4927052086173989</v>
      </c>
      <c r="N65" s="359">
        <f>SUMMARY!J68</f>
        <v>4.9854394272867122</v>
      </c>
      <c r="W65" s="563"/>
      <c r="X65" s="563"/>
      <c r="Y65" s="528"/>
      <c r="Z65" s="527"/>
    </row>
    <row r="66" spans="1:26" s="167" customFormat="1" ht="15.5">
      <c r="A66" s="142">
        <v>250</v>
      </c>
      <c r="B66" s="189" t="s">
        <v>307</v>
      </c>
      <c r="C66" s="573">
        <f>'[43]Sch C'!D59</f>
        <v>0</v>
      </c>
      <c r="D66" s="573">
        <f>'[43]Sch C'!F59</f>
        <v>0</v>
      </c>
      <c r="E66" s="171">
        <f t="shared" si="9"/>
        <v>0</v>
      </c>
      <c r="F66" s="486"/>
      <c r="G66" s="171">
        <f t="shared" si="10"/>
        <v>0</v>
      </c>
      <c r="H66" s="172">
        <f t="shared" si="11"/>
        <v>0</v>
      </c>
      <c r="I66" s="337"/>
      <c r="J66" s="190"/>
      <c r="K66" s="168"/>
      <c r="M66" s="359">
        <f t="shared" si="12"/>
        <v>0</v>
      </c>
      <c r="N66" s="359">
        <f>SUMMARY!J69</f>
        <v>3.9573657628136862</v>
      </c>
      <c r="W66" s="563"/>
      <c r="X66" s="563"/>
      <c r="Y66" s="528"/>
      <c r="Z66" s="527"/>
    </row>
    <row r="67" spans="1:26" s="167" customFormat="1" ht="15.5">
      <c r="A67" s="142">
        <v>260</v>
      </c>
      <c r="B67" s="192" t="s">
        <v>308</v>
      </c>
      <c r="C67" s="573">
        <f>'[43]Sch C'!D60</f>
        <v>42572.42</v>
      </c>
      <c r="D67" s="573">
        <f>'[43]Sch C'!F60</f>
        <v>0</v>
      </c>
      <c r="E67" s="171">
        <f t="shared" si="9"/>
        <v>42572.42</v>
      </c>
      <c r="F67" s="581">
        <f>-12526+8018</f>
        <v>-4508</v>
      </c>
      <c r="G67" s="171">
        <f t="shared" si="10"/>
        <v>38064.42</v>
      </c>
      <c r="H67" s="172">
        <f t="shared" si="11"/>
        <v>1.4866342127240343E-2</v>
      </c>
      <c r="I67" s="570"/>
      <c r="J67" s="193"/>
      <c r="K67" s="168"/>
      <c r="M67" s="359">
        <f t="shared" si="12"/>
        <v>2.595065448595582</v>
      </c>
      <c r="N67" s="359">
        <f>SUMMARY!J70</f>
        <v>1.1060813959203737</v>
      </c>
      <c r="W67" s="563"/>
      <c r="X67" s="563"/>
      <c r="Y67" s="529"/>
      <c r="Z67" s="527"/>
    </row>
    <row r="68" spans="1:26" s="167" customFormat="1" ht="15.5">
      <c r="A68" s="142">
        <v>270</v>
      </c>
      <c r="B68" s="192" t="s">
        <v>309</v>
      </c>
      <c r="C68" s="573">
        <f>'[43]Sch C'!D61</f>
        <v>1942.71</v>
      </c>
      <c r="D68" s="573">
        <f>'[43]Sch C'!F61</f>
        <v>0</v>
      </c>
      <c r="E68" s="171">
        <f t="shared" si="9"/>
        <v>1942.71</v>
      </c>
      <c r="F68" s="581">
        <v>-572</v>
      </c>
      <c r="G68" s="171">
        <f t="shared" si="10"/>
        <v>1370.71</v>
      </c>
      <c r="H68" s="172">
        <f t="shared" si="11"/>
        <v>5.3534097766968765E-4</v>
      </c>
      <c r="I68" s="337"/>
      <c r="J68" s="193"/>
      <c r="K68" s="168"/>
      <c r="M68" s="359">
        <f t="shared" si="12"/>
        <v>9.344900463594219E-2</v>
      </c>
      <c r="N68" s="359">
        <f>SUMMARY!J71</f>
        <v>0.49146009120450013</v>
      </c>
      <c r="W68" s="563"/>
      <c r="X68" s="563"/>
      <c r="Y68" s="529"/>
      <c r="Z68" s="527"/>
    </row>
    <row r="69" spans="1:26" s="167" customFormat="1" ht="15.5">
      <c r="A69" s="142">
        <v>280</v>
      </c>
      <c r="B69" s="194" t="s">
        <v>258</v>
      </c>
      <c r="C69" s="573">
        <f>'[43]Sch C'!D62</f>
        <v>0</v>
      </c>
      <c r="D69" s="573">
        <f>'[43]Sch C'!F62</f>
        <v>0</v>
      </c>
      <c r="E69" s="171">
        <f t="shared" si="9"/>
        <v>0</v>
      </c>
      <c r="F69" s="486"/>
      <c r="G69" s="171">
        <f t="shared" si="10"/>
        <v>0</v>
      </c>
      <c r="H69" s="172">
        <f t="shared" si="11"/>
        <v>0</v>
      </c>
      <c r="I69" s="337"/>
      <c r="J69" s="195"/>
      <c r="K69" s="168"/>
      <c r="M69" s="359">
        <f t="shared" si="12"/>
        <v>0</v>
      </c>
      <c r="N69" s="359">
        <f>SUMMARY!J72</f>
        <v>0.1883559924633407</v>
      </c>
      <c r="W69" s="563"/>
      <c r="X69" s="563"/>
      <c r="Y69" s="530"/>
      <c r="Z69" s="527"/>
    </row>
    <row r="70" spans="1:26" s="167" customFormat="1" ht="15.5">
      <c r="A70" s="142">
        <v>290</v>
      </c>
      <c r="B70" s="194" t="s">
        <v>259</v>
      </c>
      <c r="C70" s="573">
        <f>'[43]Sch C'!D63</f>
        <v>0</v>
      </c>
      <c r="D70" s="573">
        <f>'[43]Sch C'!F63</f>
        <v>0</v>
      </c>
      <c r="E70" s="171">
        <f t="shared" si="9"/>
        <v>0</v>
      </c>
      <c r="F70" s="486"/>
      <c r="G70" s="171">
        <f t="shared" si="10"/>
        <v>0</v>
      </c>
      <c r="H70" s="172">
        <f t="shared" si="11"/>
        <v>0</v>
      </c>
      <c r="I70" s="337"/>
      <c r="J70" s="195"/>
      <c r="K70" s="168"/>
      <c r="M70" s="359">
        <f t="shared" si="12"/>
        <v>0</v>
      </c>
      <c r="N70" s="359">
        <f>SUMMARY!J73</f>
        <v>5.2595996832418557E-3</v>
      </c>
      <c r="W70" s="563"/>
      <c r="X70" s="563"/>
      <c r="Y70" s="530"/>
      <c r="Z70" s="527"/>
    </row>
    <row r="71" spans="1:26" s="167" customFormat="1" ht="15.5">
      <c r="A71" s="142">
        <v>300</v>
      </c>
      <c r="B71" s="194" t="s">
        <v>260</v>
      </c>
      <c r="C71" s="573">
        <f>'[43]Sch C'!D64</f>
        <v>0</v>
      </c>
      <c r="D71" s="573">
        <f>'[43]Sch C'!F64</f>
        <v>0</v>
      </c>
      <c r="E71" s="171">
        <f t="shared" si="9"/>
        <v>0</v>
      </c>
      <c r="F71" s="486"/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  <c r="W71" s="563"/>
      <c r="X71" s="563"/>
      <c r="Y71" s="530"/>
      <c r="Z71" s="527"/>
    </row>
    <row r="72" spans="1:26" s="167" customFormat="1" ht="15.5">
      <c r="A72" s="142">
        <v>310</v>
      </c>
      <c r="B72" s="194" t="s">
        <v>310</v>
      </c>
      <c r="C72" s="573">
        <f>'[43]Sch C'!D65</f>
        <v>2421</v>
      </c>
      <c r="D72" s="573">
        <f>'[43]Sch C'!F65</f>
        <v>0</v>
      </c>
      <c r="E72" s="171">
        <f t="shared" si="9"/>
        <v>2421</v>
      </c>
      <c r="F72" s="486">
        <v>-712</v>
      </c>
      <c r="G72" s="171">
        <f t="shared" si="10"/>
        <v>1709</v>
      </c>
      <c r="H72" s="172">
        <f t="shared" si="11"/>
        <v>6.6746265135404E-4</v>
      </c>
      <c r="I72" s="337"/>
      <c r="J72" s="195"/>
      <c r="K72" s="168"/>
      <c r="M72" s="359">
        <f t="shared" si="12"/>
        <v>0.11651213526043087</v>
      </c>
      <c r="N72" s="359">
        <f>SUMMARY!J75</f>
        <v>0.1407368559023511</v>
      </c>
      <c r="W72" s="563"/>
      <c r="X72" s="563"/>
      <c r="Y72" s="530"/>
      <c r="Z72" s="527"/>
    </row>
    <row r="73" spans="1:26" s="167" customFormat="1" ht="15.5">
      <c r="A73" s="142">
        <v>320</v>
      </c>
      <c r="B73" s="194" t="s">
        <v>262</v>
      </c>
      <c r="C73" s="573">
        <f>'[43]Sch C'!D66</f>
        <v>0</v>
      </c>
      <c r="D73" s="573">
        <f>'[43]Sch C'!F66</f>
        <v>0</v>
      </c>
      <c r="E73" s="171">
        <f t="shared" si="9"/>
        <v>0</v>
      </c>
      <c r="F73" s="486"/>
      <c r="G73" s="171">
        <f t="shared" si="10"/>
        <v>0</v>
      </c>
      <c r="H73" s="172">
        <f t="shared" si="11"/>
        <v>0</v>
      </c>
      <c r="I73" s="337"/>
      <c r="J73" s="195"/>
      <c r="K73" s="168"/>
      <c r="M73" s="359">
        <f t="shared" si="12"/>
        <v>0</v>
      </c>
      <c r="N73" s="359">
        <f>SUMMARY!J76</f>
        <v>1.0094065700008192</v>
      </c>
      <c r="W73" s="563"/>
      <c r="X73" s="563"/>
      <c r="Y73" s="530"/>
      <c r="Z73" s="527"/>
    </row>
    <row r="74" spans="1:26" s="167" customFormat="1" ht="15.5">
      <c r="A74" s="142">
        <v>330</v>
      </c>
      <c r="B74" s="194" t="s">
        <v>263</v>
      </c>
      <c r="C74" s="573">
        <f>'[43]Sch C'!D67</f>
        <v>59.4</v>
      </c>
      <c r="D74" s="573">
        <f>'[43]Sch C'!F67</f>
        <v>0</v>
      </c>
      <c r="E74" s="171">
        <f t="shared" si="9"/>
        <v>59.4</v>
      </c>
      <c r="F74" s="581">
        <v>-17</v>
      </c>
      <c r="G74" s="171">
        <f t="shared" si="10"/>
        <v>42.4</v>
      </c>
      <c r="H74" s="172">
        <f t="shared" si="11"/>
        <v>1.6559635118438441E-5</v>
      </c>
      <c r="I74" s="337"/>
      <c r="J74" s="195"/>
      <c r="K74" s="168"/>
      <c r="M74" s="359">
        <f t="shared" si="12"/>
        <v>2.8906463048813742E-3</v>
      </c>
      <c r="N74" s="359">
        <f>SUMMARY!J77</f>
        <v>2.7436852176043502</v>
      </c>
      <c r="W74" s="563"/>
      <c r="X74" s="563"/>
      <c r="Y74" s="530"/>
      <c r="Z74" s="527"/>
    </row>
    <row r="75" spans="1:26" s="167" customFormat="1" ht="15.5">
      <c r="A75" s="142">
        <v>340</v>
      </c>
      <c r="B75" s="194" t="s">
        <v>264</v>
      </c>
      <c r="C75" s="573">
        <f>'[43]Sch C'!D68</f>
        <v>0</v>
      </c>
      <c r="D75" s="573">
        <f>'[43]Sch C'!F68</f>
        <v>0</v>
      </c>
      <c r="E75" s="171">
        <f t="shared" si="9"/>
        <v>0</v>
      </c>
      <c r="F75" s="486"/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  <c r="W75" s="563"/>
      <c r="X75" s="563"/>
      <c r="Y75" s="530"/>
      <c r="Z75" s="527"/>
    </row>
    <row r="76" spans="1:26" s="167" customFormat="1" ht="15.5">
      <c r="A76" s="167">
        <v>350</v>
      </c>
      <c r="B76" s="194" t="s">
        <v>311</v>
      </c>
      <c r="C76" s="573">
        <f>'[43]Sch C'!D69</f>
        <v>0</v>
      </c>
      <c r="D76" s="573">
        <f>'[43]Sch C'!F69</f>
        <v>0</v>
      </c>
      <c r="E76" s="171">
        <f t="shared" si="9"/>
        <v>0</v>
      </c>
      <c r="F76" s="486"/>
      <c r="G76" s="171">
        <f t="shared" si="10"/>
        <v>0</v>
      </c>
      <c r="H76" s="172">
        <f t="shared" si="11"/>
        <v>0</v>
      </c>
      <c r="I76" s="337"/>
      <c r="J76" s="195"/>
      <c r="K76" s="168"/>
      <c r="M76" s="359">
        <f t="shared" si="12"/>
        <v>0</v>
      </c>
      <c r="N76" s="359">
        <f>SUMMARY!J79</f>
        <v>0.13125994920946998</v>
      </c>
      <c r="W76" s="563"/>
      <c r="X76" s="563"/>
      <c r="Y76" s="530"/>
      <c r="Z76" s="527"/>
    </row>
    <row r="77" spans="1:26" s="167" customFormat="1" ht="15.5">
      <c r="A77" s="142">
        <v>360</v>
      </c>
      <c r="B77" s="194" t="s">
        <v>192</v>
      </c>
      <c r="C77" s="573">
        <f>'[43]Sch C'!D70</f>
        <v>0</v>
      </c>
      <c r="D77" s="573">
        <f>'[43]Sch C'!F70</f>
        <v>0</v>
      </c>
      <c r="E77" s="171">
        <f t="shared" si="9"/>
        <v>0</v>
      </c>
      <c r="F77" s="486"/>
      <c r="G77" s="171">
        <f t="shared" si="10"/>
        <v>0</v>
      </c>
      <c r="H77" s="172">
        <f t="shared" si="11"/>
        <v>0</v>
      </c>
      <c r="I77" s="337"/>
      <c r="J77" s="195"/>
      <c r="K77" s="168"/>
      <c r="M77" s="359">
        <f t="shared" si="12"/>
        <v>0</v>
      </c>
      <c r="N77" s="359">
        <f>SUMMARY!J80</f>
        <v>-2.2034898009338905E-2</v>
      </c>
      <c r="W77" s="563"/>
      <c r="X77" s="563"/>
      <c r="Y77" s="530"/>
      <c r="Z77" s="527"/>
    </row>
    <row r="78" spans="1:26" s="167" customFormat="1" ht="15.5">
      <c r="A78" s="142">
        <v>490</v>
      </c>
      <c r="B78" s="194" t="s">
        <v>312</v>
      </c>
      <c r="C78" s="573">
        <f>'[43]Sch C'!D71</f>
        <v>0</v>
      </c>
      <c r="D78" s="573">
        <f>'[43]Sch C'!F71</f>
        <v>0</v>
      </c>
      <c r="E78" s="171">
        <f t="shared" si="9"/>
        <v>0</v>
      </c>
      <c r="F78" s="581"/>
      <c r="G78" s="171">
        <f t="shared" si="10"/>
        <v>0</v>
      </c>
      <c r="H78" s="172">
        <f t="shared" si="11"/>
        <v>0</v>
      </c>
      <c r="I78" s="570"/>
      <c r="J78" s="195"/>
      <c r="K78" s="168"/>
      <c r="M78" s="359">
        <f t="shared" si="12"/>
        <v>0</v>
      </c>
      <c r="N78" s="359">
        <f>SUMMARY!J81</f>
        <v>3.1060648261926221E-3</v>
      </c>
      <c r="W78" s="563"/>
      <c r="X78" s="563"/>
      <c r="Y78" s="530"/>
      <c r="Z78" s="527"/>
    </row>
    <row r="79" spans="1:26" s="167" customFormat="1" ht="15.5">
      <c r="A79" s="163"/>
      <c r="B79" s="170" t="s">
        <v>150</v>
      </c>
      <c r="C79" s="573">
        <f>SUM(C64:C78)</f>
        <v>382503.53</v>
      </c>
      <c r="D79" s="573">
        <f>SUM(D64:D78)</f>
        <v>-214877</v>
      </c>
      <c r="E79" s="171">
        <f t="shared" ref="E79" si="13">SUM(E64:E78)</f>
        <v>167626.52999999997</v>
      </c>
      <c r="F79" s="171">
        <f>SUM(F64:F78)</f>
        <v>-60541</v>
      </c>
      <c r="G79" s="171">
        <f>SUM(G64:G78)</f>
        <v>107085.53</v>
      </c>
      <c r="H79" s="172">
        <f t="shared" si="11"/>
        <v>4.1823049605297008E-2</v>
      </c>
      <c r="I79" s="337"/>
      <c r="J79" s="195"/>
      <c r="K79" s="168"/>
      <c r="M79" s="359">
        <f t="shared" si="12"/>
        <v>7.3006224434142348</v>
      </c>
      <c r="N79" s="359">
        <f>SUMMARY!J82</f>
        <v>21.548739024618541</v>
      </c>
      <c r="W79" s="563"/>
      <c r="X79" s="563"/>
      <c r="Y79" s="530"/>
      <c r="Z79" s="527"/>
    </row>
    <row r="80" spans="1:26" s="167" customFormat="1" ht="15.5">
      <c r="A80" s="163"/>
      <c r="B80" s="170"/>
      <c r="C80" s="196"/>
      <c r="D80" s="196"/>
      <c r="E80" s="196"/>
      <c r="F80" s="196"/>
      <c r="G80" s="196"/>
      <c r="H80" s="197"/>
      <c r="I80" s="337"/>
      <c r="J80" s="168"/>
      <c r="K80" s="168"/>
      <c r="M80" s="359"/>
      <c r="N80" s="359"/>
      <c r="W80" s="563"/>
      <c r="X80" s="563"/>
      <c r="Y80" s="527"/>
      <c r="Z80" s="527"/>
    </row>
    <row r="81" spans="1:26" s="167" customFormat="1" ht="15.5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1"/>
      <c r="J81" s="168"/>
      <c r="K81" s="168"/>
      <c r="M81" s="359"/>
      <c r="N81" s="359"/>
      <c r="W81" s="563"/>
      <c r="X81" s="563"/>
      <c r="Y81" s="527"/>
      <c r="Z81" s="527"/>
    </row>
    <row r="82" spans="1:26" s="167" customFormat="1">
      <c r="A82" s="169" t="s">
        <v>85</v>
      </c>
      <c r="B82" s="148" t="s">
        <v>44</v>
      </c>
      <c r="C82" s="573">
        <f>'[43]Sch C'!D75</f>
        <v>0</v>
      </c>
      <c r="D82" s="573">
        <f>'[43]Sch C'!F75</f>
        <v>0</v>
      </c>
      <c r="E82" s="171">
        <f t="shared" ref="E82:E92" si="14">C82+D82</f>
        <v>0</v>
      </c>
      <c r="F82" s="486">
        <f>45914-13510</f>
        <v>32404</v>
      </c>
      <c r="G82" s="171">
        <f t="shared" ref="G82:G92" si="15">E82+F82</f>
        <v>32404</v>
      </c>
      <c r="H82" s="172">
        <f t="shared" ref="H82:H93" si="16">IF($G$208=0,0,G82/$G$208)</f>
        <v>1.265562302778017E-2</v>
      </c>
      <c r="I82" s="337"/>
      <c r="J82" s="183">
        <v>0</v>
      </c>
      <c r="K82" s="183">
        <v>0</v>
      </c>
      <c r="M82" s="359">
        <f t="shared" ref="M82:M92" si="17">G82/G$228</f>
        <v>2.2091628033815107</v>
      </c>
      <c r="N82" s="359">
        <f>SUMMARY!J85</f>
        <v>2.3611771060320579</v>
      </c>
      <c r="W82" s="568">
        <v>365.84</v>
      </c>
      <c r="X82" s="568">
        <v>374</v>
      </c>
      <c r="Y82" s="488">
        <v>1844</v>
      </c>
      <c r="Z82" s="488">
        <v>1844</v>
      </c>
    </row>
    <row r="83" spans="1:26" s="167" customFormat="1" ht="15.5">
      <c r="A83" s="169" t="s">
        <v>86</v>
      </c>
      <c r="B83" s="199" t="s">
        <v>45</v>
      </c>
      <c r="C83" s="573">
        <f>'[43]Sch C'!D76</f>
        <v>0</v>
      </c>
      <c r="D83" s="573">
        <f>'[43]Sch C'!F76</f>
        <v>12156.32</v>
      </c>
      <c r="E83" s="171">
        <f t="shared" si="14"/>
        <v>12156.32</v>
      </c>
      <c r="F83" s="486">
        <v>-3577</v>
      </c>
      <c r="G83" s="171">
        <f t="shared" si="15"/>
        <v>8579.32</v>
      </c>
      <c r="H83" s="172">
        <f t="shared" si="16"/>
        <v>3.3507171878377662E-3</v>
      </c>
      <c r="I83" s="337"/>
      <c r="J83" s="168"/>
      <c r="K83" s="168"/>
      <c r="M83" s="359">
        <f t="shared" si="17"/>
        <v>0.58490046359421866</v>
      </c>
      <c r="N83" s="359">
        <f>SUMMARY!J86</f>
        <v>0.43858787942165905</v>
      </c>
      <c r="W83" s="563"/>
      <c r="X83" s="563"/>
      <c r="Y83" s="527"/>
      <c r="Z83" s="527"/>
    </row>
    <row r="84" spans="1:26" s="167" customFormat="1" ht="15.5">
      <c r="A84" s="169" t="s">
        <v>93</v>
      </c>
      <c r="B84" s="199" t="s">
        <v>47</v>
      </c>
      <c r="C84" s="573">
        <f>'[43]Sch C'!D77</f>
        <v>15225.41</v>
      </c>
      <c r="D84" s="573">
        <f>'[43]Sch C'!F77</f>
        <v>0</v>
      </c>
      <c r="E84" s="171">
        <f t="shared" si="14"/>
        <v>15225.41</v>
      </c>
      <c r="F84" s="486">
        <v>-4480</v>
      </c>
      <c r="G84" s="171">
        <f t="shared" si="15"/>
        <v>10745.41</v>
      </c>
      <c r="H84" s="172">
        <f t="shared" si="16"/>
        <v>4.1966997358023495E-3</v>
      </c>
      <c r="I84" s="337"/>
      <c r="J84" s="168"/>
      <c r="K84" s="168"/>
      <c r="M84" s="359">
        <f t="shared" si="17"/>
        <v>0.73257499318243791</v>
      </c>
      <c r="N84" s="359">
        <f>SUMMARY!J87</f>
        <v>0.65296275361131606</v>
      </c>
      <c r="W84" s="563"/>
      <c r="X84" s="563"/>
      <c r="Y84" s="527"/>
      <c r="Z84" s="527"/>
    </row>
    <row r="85" spans="1:26" s="167" customFormat="1" ht="15.5">
      <c r="A85" s="169">
        <v>230</v>
      </c>
      <c r="B85" s="199" t="s">
        <v>46</v>
      </c>
      <c r="C85" s="573">
        <f>'[43]Sch C'!D78</f>
        <v>0</v>
      </c>
      <c r="D85" s="573">
        <f>'[43]Sch C'!F78</f>
        <v>0</v>
      </c>
      <c r="E85" s="171">
        <f t="shared" si="14"/>
        <v>0</v>
      </c>
      <c r="F85" s="581"/>
      <c r="G85" s="171">
        <f t="shared" si="15"/>
        <v>0</v>
      </c>
      <c r="H85" s="172">
        <f t="shared" si="16"/>
        <v>0</v>
      </c>
      <c r="I85" s="337"/>
      <c r="J85" s="168"/>
      <c r="K85" s="168"/>
      <c r="M85" s="359">
        <f t="shared" si="17"/>
        <v>0</v>
      </c>
      <c r="N85" s="359">
        <f>SUMMARY!J88</f>
        <v>0.36999472433849429</v>
      </c>
      <c r="W85" s="563"/>
      <c r="X85" s="563"/>
      <c r="Y85" s="527"/>
      <c r="Z85" s="527"/>
    </row>
    <row r="86" spans="1:26" s="167" customFormat="1" ht="15.5">
      <c r="A86" s="169">
        <v>240</v>
      </c>
      <c r="B86" s="200" t="s">
        <v>267</v>
      </c>
      <c r="C86" s="573">
        <f>'[43]Sch C'!D79</f>
        <v>0</v>
      </c>
      <c r="D86" s="573">
        <f>'[43]Sch C'!F79</f>
        <v>0</v>
      </c>
      <c r="E86" s="171">
        <f t="shared" si="14"/>
        <v>0</v>
      </c>
      <c r="F86" s="486"/>
      <c r="G86" s="171">
        <f>E86+F86</f>
        <v>0</v>
      </c>
      <c r="H86" s="172">
        <f t="shared" si="16"/>
        <v>0</v>
      </c>
      <c r="I86" s="337"/>
      <c r="J86" s="168"/>
      <c r="K86" s="168"/>
      <c r="M86" s="359">
        <f t="shared" si="17"/>
        <v>0</v>
      </c>
      <c r="N86" s="359">
        <f>SUMMARY!J89</f>
        <v>0.47828681903825671</v>
      </c>
      <c r="W86" s="563"/>
      <c r="X86" s="563"/>
      <c r="Y86" s="527"/>
      <c r="Z86" s="527"/>
    </row>
    <row r="87" spans="1:26" s="167" customFormat="1" ht="15.5">
      <c r="A87" s="169">
        <v>310</v>
      </c>
      <c r="B87" s="199" t="s">
        <v>54</v>
      </c>
      <c r="C87" s="573">
        <f>'[43]Sch C'!D80</f>
        <v>62382.41</v>
      </c>
      <c r="D87" s="573">
        <f>'[43]Sch C'!F80</f>
        <v>0</v>
      </c>
      <c r="E87" s="171">
        <f t="shared" si="14"/>
        <v>62382.41</v>
      </c>
      <c r="F87" s="486">
        <f>-45914-4846</f>
        <v>-50760</v>
      </c>
      <c r="G87" s="171">
        <f t="shared" si="15"/>
        <v>11622.410000000003</v>
      </c>
      <c r="H87" s="172">
        <f t="shared" si="16"/>
        <v>4.5392186037002402E-3</v>
      </c>
      <c r="I87" s="337"/>
      <c r="J87" s="168"/>
      <c r="K87" s="168"/>
      <c r="M87" s="359">
        <f t="shared" si="17"/>
        <v>0.79236501227161193</v>
      </c>
      <c r="N87" s="359">
        <f>SUMMARY!J90</f>
        <v>0.92217461565768266</v>
      </c>
      <c r="W87" s="563"/>
      <c r="X87" s="563"/>
      <c r="Y87" s="527"/>
      <c r="Z87" s="527"/>
    </row>
    <row r="88" spans="1:26" s="167" customFormat="1" ht="15.5">
      <c r="A88" s="169">
        <v>320</v>
      </c>
      <c r="B88" s="201" t="s">
        <v>313</v>
      </c>
      <c r="C88" s="573">
        <f>'[43]Sch C'!D81</f>
        <v>0</v>
      </c>
      <c r="D88" s="573">
        <f>'[43]Sch C'!F81</f>
        <v>0</v>
      </c>
      <c r="E88" s="171">
        <f t="shared" si="14"/>
        <v>0</v>
      </c>
      <c r="F88" s="486"/>
      <c r="G88" s="171">
        <f t="shared" si="15"/>
        <v>0</v>
      </c>
      <c r="H88" s="172">
        <f t="shared" si="16"/>
        <v>0</v>
      </c>
      <c r="I88" s="337"/>
      <c r="J88" s="168"/>
      <c r="K88" s="168"/>
      <c r="M88" s="359">
        <f t="shared" si="17"/>
        <v>0</v>
      </c>
      <c r="N88" s="359">
        <f>SUMMARY!J91</f>
        <v>0.61441790229649651</v>
      </c>
      <c r="W88" s="563"/>
      <c r="X88" s="563"/>
      <c r="Y88" s="527"/>
      <c r="Z88" s="527"/>
    </row>
    <row r="89" spans="1:26" s="167" customFormat="1" ht="15.5">
      <c r="A89" s="169">
        <v>330</v>
      </c>
      <c r="B89" s="201" t="s">
        <v>314</v>
      </c>
      <c r="C89" s="573">
        <f>'[43]Sch C'!D82</f>
        <v>3758.99</v>
      </c>
      <c r="D89" s="573">
        <f>'[43]Sch C'!F82</f>
        <v>0</v>
      </c>
      <c r="E89" s="171">
        <f t="shared" si="14"/>
        <v>3758.99</v>
      </c>
      <c r="F89" s="486">
        <v>-1106</v>
      </c>
      <c r="G89" s="171">
        <f t="shared" si="15"/>
        <v>2652.99</v>
      </c>
      <c r="H89" s="172">
        <f t="shared" si="16"/>
        <v>1.0361449616241979E-3</v>
      </c>
      <c r="I89" s="337"/>
      <c r="J89" s="168"/>
      <c r="K89" s="168"/>
      <c r="M89" s="359">
        <f t="shared" si="17"/>
        <v>0.18086923916007633</v>
      </c>
      <c r="N89" s="359">
        <f>SUMMARY!J92</f>
        <v>0.48799148575953694</v>
      </c>
      <c r="W89" s="563"/>
      <c r="X89" s="563"/>
      <c r="Y89" s="527"/>
      <c r="Z89" s="527"/>
    </row>
    <row r="90" spans="1:26" s="167" customFormat="1" ht="15.5">
      <c r="A90" s="163">
        <v>340</v>
      </c>
      <c r="B90" s="201" t="s">
        <v>300</v>
      </c>
      <c r="C90" s="573">
        <f>'[43]Sch C'!D83</f>
        <v>0</v>
      </c>
      <c r="D90" s="573">
        <f>'[43]Sch C'!F83</f>
        <v>0</v>
      </c>
      <c r="E90" s="171">
        <f t="shared" si="14"/>
        <v>0</v>
      </c>
      <c r="F90" s="486"/>
      <c r="G90" s="171">
        <f t="shared" si="15"/>
        <v>0</v>
      </c>
      <c r="H90" s="172">
        <f t="shared" si="16"/>
        <v>0</v>
      </c>
      <c r="I90" s="337"/>
      <c r="J90" s="168"/>
      <c r="K90" s="168"/>
      <c r="M90" s="359">
        <f t="shared" si="17"/>
        <v>0</v>
      </c>
      <c r="N90" s="359">
        <f>SUMMARY!J93</f>
        <v>0.19293963026678682</v>
      </c>
      <c r="W90" s="563"/>
      <c r="X90" s="563"/>
      <c r="Y90" s="527"/>
      <c r="Z90" s="527"/>
    </row>
    <row r="91" spans="1:26" s="167" customFormat="1" ht="15.5">
      <c r="A91" s="163">
        <v>350</v>
      </c>
      <c r="B91" s="199" t="s">
        <v>49</v>
      </c>
      <c r="C91" s="573">
        <f>'[43]Sch C'!D84</f>
        <v>54299.479999999996</v>
      </c>
      <c r="D91" s="573">
        <f>'[43]Sch C'!F84</f>
        <v>0</v>
      </c>
      <c r="E91" s="171">
        <f t="shared" si="14"/>
        <v>54299.479999999996</v>
      </c>
      <c r="F91" s="486">
        <v>-15977</v>
      </c>
      <c r="G91" s="171">
        <f t="shared" si="15"/>
        <v>38322.479999999996</v>
      </c>
      <c r="H91" s="172">
        <f t="shared" si="16"/>
        <v>1.4967129378152234E-2</v>
      </c>
      <c r="I91" s="337"/>
      <c r="J91" s="168"/>
      <c r="K91" s="168"/>
      <c r="M91" s="359">
        <f t="shared" si="17"/>
        <v>2.6126588491955274</v>
      </c>
      <c r="N91" s="359">
        <f>SUMMARY!J94</f>
        <v>4.5521505201933312</v>
      </c>
      <c r="W91" s="563"/>
      <c r="X91" s="563"/>
      <c r="Y91" s="527"/>
      <c r="Z91" s="527"/>
    </row>
    <row r="92" spans="1:26" s="167" customFormat="1" ht="15.5">
      <c r="A92" s="163">
        <v>490</v>
      </c>
      <c r="B92" s="148" t="s">
        <v>312</v>
      </c>
      <c r="C92" s="573">
        <f>'[43]Sch C'!D85</f>
        <v>2619.77</v>
      </c>
      <c r="D92" s="573">
        <f>'[43]Sch C'!F85</f>
        <v>0</v>
      </c>
      <c r="E92" s="171">
        <f t="shared" si="14"/>
        <v>2619.77</v>
      </c>
      <c r="F92" s="486">
        <v>-771</v>
      </c>
      <c r="G92" s="171">
        <f t="shared" si="15"/>
        <v>1848.77</v>
      </c>
      <c r="H92" s="172">
        <f t="shared" si="16"/>
        <v>7.2205086363008098E-4</v>
      </c>
      <c r="I92" s="337"/>
      <c r="J92" s="168"/>
      <c r="K92" s="168"/>
      <c r="M92" s="359">
        <f t="shared" si="17"/>
        <v>0.12604104172347969</v>
      </c>
      <c r="N92" s="359">
        <f>SUMMARY!J95</f>
        <v>0.10456320690314301</v>
      </c>
      <c r="W92" s="563"/>
      <c r="X92" s="563"/>
      <c r="Y92" s="527"/>
      <c r="Z92" s="527"/>
    </row>
    <row r="93" spans="1:26" s="167" customFormat="1" ht="15.5">
      <c r="A93" s="163"/>
      <c r="B93" s="170" t="s">
        <v>50</v>
      </c>
      <c r="C93" s="573">
        <f>SUM(C82:C92)</f>
        <v>138286.06</v>
      </c>
      <c r="D93" s="573">
        <f>SUM(D82:D92)</f>
        <v>12156.32</v>
      </c>
      <c r="E93" s="171">
        <f t="shared" ref="E93" si="18">SUM(E82:E92)</f>
        <v>150442.37999999998</v>
      </c>
      <c r="F93" s="171">
        <f>SUM(F82:F92)</f>
        <v>-44267</v>
      </c>
      <c r="G93" s="171">
        <f>SUM(G82:G92)</f>
        <v>106175.38</v>
      </c>
      <c r="H93" s="172">
        <f t="shared" si="16"/>
        <v>4.1467583758527042E-2</v>
      </c>
      <c r="I93" s="337"/>
      <c r="J93" s="168"/>
      <c r="K93" s="168"/>
      <c r="M93" s="364">
        <f>G93/G$228</f>
        <v>7.2385724025088631</v>
      </c>
      <c r="N93" s="359">
        <f>SUMMARY!J96</f>
        <v>11.17524664351876</v>
      </c>
      <c r="W93" s="563"/>
      <c r="X93" s="563"/>
      <c r="Y93" s="527"/>
      <c r="Z93" s="527"/>
    </row>
    <row r="94" spans="1:26" s="167" customFormat="1" ht="15.5">
      <c r="A94" s="163"/>
      <c r="C94" s="165"/>
      <c r="D94" s="165"/>
      <c r="E94" s="165"/>
      <c r="F94" s="165"/>
      <c r="G94" s="165"/>
      <c r="H94" s="198"/>
      <c r="I94" s="341"/>
      <c r="J94" s="168"/>
      <c r="K94" s="168"/>
      <c r="M94" s="359"/>
      <c r="N94" s="359"/>
      <c r="W94" s="563"/>
      <c r="X94" s="563"/>
      <c r="Y94" s="527"/>
      <c r="Z94" s="527"/>
    </row>
    <row r="95" spans="1:26" s="167" customFormat="1" ht="15.5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1"/>
      <c r="J95" s="168"/>
      <c r="K95" s="168"/>
      <c r="M95" s="359"/>
      <c r="N95" s="359"/>
      <c r="W95" s="563"/>
      <c r="X95" s="563"/>
      <c r="Y95" s="527"/>
      <c r="Z95" s="527"/>
    </row>
    <row r="96" spans="1:26" s="167" customFormat="1">
      <c r="A96" s="169" t="s">
        <v>85</v>
      </c>
      <c r="B96" s="170" t="s">
        <v>44</v>
      </c>
      <c r="C96" s="573">
        <f>'[43]Sch C'!D89</f>
        <v>0</v>
      </c>
      <c r="D96" s="573">
        <f>'[43]Sch C'!F89</f>
        <v>0</v>
      </c>
      <c r="E96" s="171">
        <f t="shared" ref="E96:E101" si="19">C96+D96</f>
        <v>0</v>
      </c>
      <c r="F96" s="486">
        <f>160910-39505</f>
        <v>121405</v>
      </c>
      <c r="G96" s="171">
        <f t="shared" ref="G96:G101" si="20">E96+F96</f>
        <v>121405</v>
      </c>
      <c r="H96" s="172">
        <f t="shared" ref="H96:H102" si="21">IF($G$208=0,0,G96/$G$208)</f>
        <v>4.7415625036651386E-2</v>
      </c>
      <c r="I96" s="337"/>
      <c r="J96" s="183">
        <v>0</v>
      </c>
      <c r="K96" s="183">
        <v>0</v>
      </c>
      <c r="M96" s="364">
        <f t="shared" ref="M96:M101" si="22">G96/G$228</f>
        <v>8.2768611944368686</v>
      </c>
      <c r="N96" s="359">
        <f>SUMMARY!J99</f>
        <v>8.2060376122989549</v>
      </c>
      <c r="W96" s="568">
        <v>2478.17</v>
      </c>
      <c r="X96" s="568">
        <v>2518.17</v>
      </c>
      <c r="Y96" s="488">
        <v>12954</v>
      </c>
      <c r="Z96" s="488">
        <v>12954</v>
      </c>
    </row>
    <row r="97" spans="1:26" s="167" customFormat="1" ht="15.5">
      <c r="A97" s="169" t="s">
        <v>86</v>
      </c>
      <c r="B97" s="170" t="s">
        <v>45</v>
      </c>
      <c r="C97" s="573">
        <f>'[43]Sch C'!D90</f>
        <v>0</v>
      </c>
      <c r="D97" s="573">
        <f>'[43]Sch C'!F90</f>
        <v>42602.78</v>
      </c>
      <c r="E97" s="171">
        <f t="shared" si="19"/>
        <v>42602.78</v>
      </c>
      <c r="F97" s="486">
        <v>-10460</v>
      </c>
      <c r="G97" s="171">
        <f t="shared" si="20"/>
        <v>32142.78</v>
      </c>
      <c r="H97" s="172">
        <f t="shared" si="21"/>
        <v>1.2553601615383035E-2</v>
      </c>
      <c r="I97" s="337"/>
      <c r="J97" s="168"/>
      <c r="K97" s="168"/>
      <c r="M97" s="364">
        <f t="shared" si="22"/>
        <v>2.1913539678211071</v>
      </c>
      <c r="N97" s="359">
        <f>SUMMARY!J100</f>
        <v>1.4669439852641635</v>
      </c>
      <c r="W97" s="563"/>
      <c r="X97" s="563"/>
      <c r="Y97" s="527"/>
      <c r="Z97" s="527"/>
    </row>
    <row r="98" spans="1:26" s="167" customFormat="1" ht="15.5">
      <c r="A98" s="169">
        <v>310</v>
      </c>
      <c r="B98" s="170" t="s">
        <v>54</v>
      </c>
      <c r="C98" s="573">
        <f>'[43]Sch C'!D91</f>
        <v>162184.67000000001</v>
      </c>
      <c r="D98" s="573">
        <f>'[43]Sch C'!F91</f>
        <v>0</v>
      </c>
      <c r="E98" s="171">
        <f t="shared" si="19"/>
        <v>162184.67000000001</v>
      </c>
      <c r="F98" s="486">
        <f>-160910-313</f>
        <v>-161223</v>
      </c>
      <c r="G98" s="171">
        <f t="shared" si="20"/>
        <v>961.67000000001281</v>
      </c>
      <c r="H98" s="172">
        <f t="shared" si="21"/>
        <v>3.7558736566860632E-4</v>
      </c>
      <c r="I98" s="337"/>
      <c r="J98" s="168"/>
      <c r="K98" s="168"/>
      <c r="M98" s="364">
        <f t="shared" si="22"/>
        <v>6.5562448868285578E-2</v>
      </c>
      <c r="N98" s="359">
        <f>SUMMARY!J101</f>
        <v>1.183530597198329</v>
      </c>
      <c r="W98" s="563"/>
      <c r="X98" s="563"/>
      <c r="Y98" s="527"/>
      <c r="Z98" s="527"/>
    </row>
    <row r="99" spans="1:26" s="167" customFormat="1" ht="15.5">
      <c r="A99" s="169">
        <v>380</v>
      </c>
      <c r="B99" s="170" t="s">
        <v>52</v>
      </c>
      <c r="C99" s="573">
        <f>'[43]Sch C'!D92</f>
        <v>141500.66</v>
      </c>
      <c r="D99" s="573">
        <f>'[43]Sch C'!F92</f>
        <v>-1085</v>
      </c>
      <c r="E99" s="171">
        <f t="shared" si="19"/>
        <v>140415.66</v>
      </c>
      <c r="F99" s="486">
        <v>-34474</v>
      </c>
      <c r="G99" s="171">
        <f t="shared" si="20"/>
        <v>105941.66</v>
      </c>
      <c r="H99" s="172">
        <f t="shared" si="21"/>
        <v>4.137630267551097E-2</v>
      </c>
      <c r="I99" s="337"/>
      <c r="J99" s="168"/>
      <c r="K99" s="168"/>
      <c r="M99" s="364">
        <f t="shared" si="22"/>
        <v>7.2226383965094083</v>
      </c>
      <c r="N99" s="359">
        <f>SUMMARY!J102</f>
        <v>7.0821094672455693</v>
      </c>
      <c r="W99" s="563"/>
      <c r="X99" s="563"/>
      <c r="Y99" s="527"/>
      <c r="Z99" s="527"/>
    </row>
    <row r="100" spans="1:26" s="167" customFormat="1" ht="15.5">
      <c r="A100" s="169">
        <v>390</v>
      </c>
      <c r="B100" s="170" t="s">
        <v>53</v>
      </c>
      <c r="C100" s="573">
        <f>'[43]Sch C'!D93</f>
        <v>19674.46</v>
      </c>
      <c r="D100" s="573">
        <f>'[43]Sch C'!F93</f>
        <v>0</v>
      </c>
      <c r="E100" s="171">
        <f t="shared" si="19"/>
        <v>19674.46</v>
      </c>
      <c r="F100" s="486">
        <v>-4830</v>
      </c>
      <c r="G100" s="171">
        <f t="shared" si="20"/>
        <v>14844.46</v>
      </c>
      <c r="H100" s="172">
        <f t="shared" si="21"/>
        <v>5.7976141776003463E-3</v>
      </c>
      <c r="I100" s="337"/>
      <c r="J100" s="168"/>
      <c r="K100" s="168"/>
      <c r="M100" s="364">
        <f t="shared" si="22"/>
        <v>1.0120302699754566</v>
      </c>
      <c r="N100" s="359">
        <f>SUMMARY!J103</f>
        <v>0.68088587422517122</v>
      </c>
      <c r="W100" s="563"/>
      <c r="X100" s="563"/>
      <c r="Y100" s="527"/>
      <c r="Z100" s="527"/>
    </row>
    <row r="101" spans="1:26" s="167" customFormat="1" ht="15.5">
      <c r="A101" s="169">
        <v>490</v>
      </c>
      <c r="B101" s="202" t="s">
        <v>312</v>
      </c>
      <c r="C101" s="573">
        <f>'[43]Sch C'!D94</f>
        <v>544.66</v>
      </c>
      <c r="D101" s="573">
        <f>'[43]Sch C'!F94</f>
        <v>0</v>
      </c>
      <c r="E101" s="171">
        <f t="shared" si="19"/>
        <v>544.66</v>
      </c>
      <c r="F101" s="486">
        <v>-134</v>
      </c>
      <c r="G101" s="171">
        <f t="shared" si="20"/>
        <v>410.65999999999997</v>
      </c>
      <c r="H101" s="172">
        <f t="shared" si="21"/>
        <v>1.6038631504098889E-4</v>
      </c>
      <c r="I101" s="337"/>
      <c r="J101" s="168"/>
      <c r="K101" s="168"/>
      <c r="M101" s="364">
        <f t="shared" si="22"/>
        <v>2.799700027270248E-2</v>
      </c>
      <c r="N101" s="359">
        <f>SUMMARY!J104</f>
        <v>6.9797777231643043E-2</v>
      </c>
      <c r="W101" s="563"/>
      <c r="X101" s="563"/>
      <c r="Y101" s="527"/>
      <c r="Z101" s="527"/>
    </row>
    <row r="102" spans="1:26" s="167" customFormat="1" ht="15.5">
      <c r="A102" s="169"/>
      <c r="B102" s="170" t="s">
        <v>55</v>
      </c>
      <c r="C102" s="573">
        <f>SUM(C96:C101)</f>
        <v>323904.45</v>
      </c>
      <c r="D102" s="573">
        <f>SUM(D96:D101)</f>
        <v>41517.78</v>
      </c>
      <c r="E102" s="171">
        <f t="shared" ref="E102" si="23">SUM(E96:E101)</f>
        <v>365422.23</v>
      </c>
      <c r="F102" s="171">
        <f>SUM(F96:F101)</f>
        <v>-89716</v>
      </c>
      <c r="G102" s="171">
        <f>SUM(G96:G101)</f>
        <v>275706.23</v>
      </c>
      <c r="H102" s="172">
        <f t="shared" si="21"/>
        <v>0.10767911718585532</v>
      </c>
      <c r="I102" s="337"/>
      <c r="J102" s="168"/>
      <c r="K102" s="168"/>
      <c r="M102" s="364">
        <f>G102/G$228</f>
        <v>18.796443277883828</v>
      </c>
      <c r="N102" s="359">
        <f>SUMMARY!J105</f>
        <v>18.68930531346383</v>
      </c>
      <c r="W102" s="563"/>
      <c r="X102" s="563"/>
      <c r="Y102" s="527"/>
      <c r="Z102" s="527"/>
    </row>
    <row r="103" spans="1:26" s="167" customFormat="1" ht="15.5">
      <c r="A103" s="163"/>
      <c r="C103" s="165"/>
      <c r="D103" s="165"/>
      <c r="E103" s="165"/>
      <c r="F103" s="165"/>
      <c r="G103" s="165"/>
      <c r="H103" s="198"/>
      <c r="I103" s="341"/>
      <c r="J103" s="168"/>
      <c r="K103" s="168"/>
      <c r="M103" s="359"/>
      <c r="N103" s="359"/>
      <c r="W103" s="563"/>
      <c r="X103" s="563"/>
      <c r="Y103" s="527"/>
      <c r="Z103" s="527"/>
    </row>
    <row r="104" spans="1:26" s="167" customFormat="1" ht="15.5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1"/>
      <c r="J104" s="168"/>
      <c r="K104" s="168"/>
      <c r="M104" s="359"/>
      <c r="N104" s="359"/>
      <c r="W104" s="563"/>
      <c r="X104" s="563"/>
      <c r="Y104" s="527"/>
      <c r="Z104" s="527"/>
    </row>
    <row r="105" spans="1:26" s="167" customFormat="1">
      <c r="A105" s="169" t="s">
        <v>85</v>
      </c>
      <c r="B105" s="170" t="s">
        <v>44</v>
      </c>
      <c r="C105" s="573">
        <f>'[43]Sch C'!D98</f>
        <v>0</v>
      </c>
      <c r="D105" s="573">
        <f>'[43]Sch C'!F98</f>
        <v>0</v>
      </c>
      <c r="E105" s="171">
        <f t="shared" ref="E105:E110" si="24">C105+D105</f>
        <v>0</v>
      </c>
      <c r="F105" s="486">
        <v>26289</v>
      </c>
      <c r="G105" s="171">
        <f t="shared" ref="G105:G110" si="25">E105+F105</f>
        <v>26289</v>
      </c>
      <c r="H105" s="172">
        <f t="shared" ref="H105:H111" si="26">IF($G$208=0,0,G105/$G$208)</f>
        <v>1.0267364330863872E-2</v>
      </c>
      <c r="I105" s="337"/>
      <c r="J105" s="183">
        <v>0</v>
      </c>
      <c r="K105" s="183">
        <v>0</v>
      </c>
      <c r="M105" s="364">
        <f t="shared" ref="M105:M110" si="27">G105/G$228</f>
        <v>1.7922688846468502</v>
      </c>
      <c r="N105" s="359">
        <f>SUMMARY!J108</f>
        <v>0.86506273995794769</v>
      </c>
      <c r="W105" s="568"/>
      <c r="X105" s="568">
        <v>465</v>
      </c>
      <c r="Y105" s="488">
        <v>2993</v>
      </c>
      <c r="Z105" s="488">
        <v>2993</v>
      </c>
    </row>
    <row r="106" spans="1:26" s="167" customFormat="1" ht="15.5">
      <c r="A106" s="169" t="s">
        <v>86</v>
      </c>
      <c r="B106" s="170" t="s">
        <v>45</v>
      </c>
      <c r="C106" s="573">
        <f>'[43]Sch C'!D99</f>
        <v>0</v>
      </c>
      <c r="D106" s="573">
        <f>'[43]Sch C'!F99</f>
        <v>6960.44</v>
      </c>
      <c r="E106" s="171">
        <f t="shared" si="24"/>
        <v>6960.44</v>
      </c>
      <c r="F106" s="486"/>
      <c r="G106" s="171">
        <f t="shared" si="25"/>
        <v>6960.44</v>
      </c>
      <c r="H106" s="172">
        <f t="shared" si="26"/>
        <v>2.7184515722590485E-3</v>
      </c>
      <c r="I106" s="337"/>
      <c r="J106" s="168"/>
      <c r="K106" s="168"/>
      <c r="M106" s="364">
        <f t="shared" si="27"/>
        <v>0.47453231524406869</v>
      </c>
      <c r="N106" s="359">
        <f>SUMMARY!J109</f>
        <v>0.16496038159209525</v>
      </c>
      <c r="W106"/>
      <c r="X106"/>
      <c r="Y106" s="527"/>
      <c r="Z106" s="527"/>
    </row>
    <row r="107" spans="1:26" s="167" customFormat="1" ht="15.5">
      <c r="A107" s="169">
        <v>110</v>
      </c>
      <c r="B107" s="170" t="s">
        <v>47</v>
      </c>
      <c r="C107" s="573">
        <f>'[43]Sch C'!D100</f>
        <v>2055.73</v>
      </c>
      <c r="D107" s="573">
        <f>'[43]Sch C'!F100</f>
        <v>0</v>
      </c>
      <c r="E107" s="171">
        <f t="shared" si="24"/>
        <v>2055.73</v>
      </c>
      <c r="F107" s="486"/>
      <c r="G107" s="171">
        <f t="shared" si="25"/>
        <v>2055.73</v>
      </c>
      <c r="H107" s="172">
        <f t="shared" si="26"/>
        <v>8.0288062976479853E-4</v>
      </c>
      <c r="I107" s="337"/>
      <c r="J107" s="168"/>
      <c r="K107" s="168"/>
      <c r="M107" s="364">
        <f t="shared" si="27"/>
        <v>0.1401506681210799</v>
      </c>
      <c r="N107" s="359">
        <f>SUMMARY!J110</f>
        <v>0.16555549548073512</v>
      </c>
      <c r="W107"/>
      <c r="X107"/>
      <c r="Y107" s="527"/>
      <c r="Z107" s="527"/>
    </row>
    <row r="108" spans="1:26" s="167" customFormat="1" ht="15.5">
      <c r="A108" s="169">
        <v>310</v>
      </c>
      <c r="B108" s="170" t="s">
        <v>54</v>
      </c>
      <c r="C108" s="573">
        <f>'[43]Sch C'!D101</f>
        <v>26292.400000000001</v>
      </c>
      <c r="D108" s="573">
        <f>'[43]Sch C'!F101</f>
        <v>0</v>
      </c>
      <c r="E108" s="171">
        <f t="shared" si="24"/>
        <v>26292.400000000001</v>
      </c>
      <c r="F108" s="486">
        <v>-26289</v>
      </c>
      <c r="G108" s="171">
        <f t="shared" si="25"/>
        <v>3.4000000000014552</v>
      </c>
      <c r="H108" s="172">
        <f t="shared" si="26"/>
        <v>1.3278952689319527E-6</v>
      </c>
      <c r="I108" s="337"/>
      <c r="J108" s="168"/>
      <c r="K108" s="168"/>
      <c r="M108" s="364">
        <f t="shared" si="27"/>
        <v>2.3179710935379433E-4</v>
      </c>
      <c r="N108" s="359">
        <f>SUMMARY!J111</f>
        <v>0.8274336200540674</v>
      </c>
      <c r="W108"/>
      <c r="X108"/>
      <c r="Y108" s="527"/>
      <c r="Z108" s="527"/>
    </row>
    <row r="109" spans="1:26" s="167" customFormat="1" ht="15.5">
      <c r="A109" s="169">
        <v>410</v>
      </c>
      <c r="B109" s="170" t="s">
        <v>57</v>
      </c>
      <c r="C109" s="573">
        <f>'[43]Sch C'!D102</f>
        <v>4219.6899999999996</v>
      </c>
      <c r="D109" s="573">
        <f>'[43]Sch C'!F102</f>
        <v>0</v>
      </c>
      <c r="E109" s="171">
        <f t="shared" si="24"/>
        <v>4219.6899999999996</v>
      </c>
      <c r="F109" s="486"/>
      <c r="G109" s="171">
        <f t="shared" si="25"/>
        <v>4219.6899999999996</v>
      </c>
      <c r="H109" s="172">
        <f t="shared" si="26"/>
        <v>1.6480312903991391E-3</v>
      </c>
      <c r="I109" s="337"/>
      <c r="J109" s="168"/>
      <c r="K109" s="168"/>
      <c r="M109" s="364">
        <f t="shared" si="27"/>
        <v>0.28767998363785108</v>
      </c>
      <c r="N109" s="359">
        <f>SUMMARY!J112</f>
        <v>0.23955234428333469</v>
      </c>
      <c r="W109"/>
      <c r="X109"/>
      <c r="Y109" s="527"/>
      <c r="Z109" s="527"/>
    </row>
    <row r="110" spans="1:26" s="167" customFormat="1" ht="15.5">
      <c r="A110" s="169">
        <v>490</v>
      </c>
      <c r="B110" s="202" t="s">
        <v>312</v>
      </c>
      <c r="C110" s="573">
        <f>'[43]Sch C'!D103</f>
        <v>0</v>
      </c>
      <c r="D110" s="573">
        <f>'[43]Sch C'!F103</f>
        <v>0</v>
      </c>
      <c r="E110" s="171">
        <f t="shared" si="24"/>
        <v>0</v>
      </c>
      <c r="F110" s="486"/>
      <c r="G110" s="171">
        <f t="shared" si="25"/>
        <v>0</v>
      </c>
      <c r="H110" s="172">
        <f t="shared" si="26"/>
        <v>0</v>
      </c>
      <c r="I110" s="337"/>
      <c r="J110" s="168"/>
      <c r="K110" s="168"/>
      <c r="M110" s="364">
        <f t="shared" si="27"/>
        <v>0</v>
      </c>
      <c r="N110" s="359">
        <f>SUMMARY!J113</f>
        <v>7.1067748013434922E-3</v>
      </c>
      <c r="W110"/>
      <c r="X110"/>
      <c r="Y110" s="527"/>
      <c r="Z110" s="527"/>
    </row>
    <row r="111" spans="1:26" s="167" customFormat="1" ht="15.5">
      <c r="A111" s="163"/>
      <c r="B111" s="170" t="s">
        <v>58</v>
      </c>
      <c r="C111" s="573">
        <f>SUM(C105:C110)</f>
        <v>32567.82</v>
      </c>
      <c r="D111" s="573">
        <f>SUM(D105:D110)</f>
        <v>6960.44</v>
      </c>
      <c r="E111" s="171">
        <f t="shared" ref="E111" si="28">SUM(E105:E110)</f>
        <v>39528.26</v>
      </c>
      <c r="F111" s="171">
        <f>SUM(F105:F110)</f>
        <v>0</v>
      </c>
      <c r="G111" s="171">
        <f>SUM(G105:G110)</f>
        <v>39528.260000000009</v>
      </c>
      <c r="H111" s="172">
        <f t="shared" si="26"/>
        <v>1.5438055718555794E-2</v>
      </c>
      <c r="I111" s="337"/>
      <c r="J111" s="168"/>
      <c r="K111" s="168"/>
      <c r="M111" s="364">
        <f>G111/G$228</f>
        <v>2.6948636487592044</v>
      </c>
      <c r="N111" s="359">
        <f>SUMMARY!J114</f>
        <v>2.269671356169523</v>
      </c>
      <c r="W111"/>
      <c r="X111"/>
      <c r="Y111" s="527"/>
      <c r="Z111" s="527"/>
    </row>
    <row r="112" spans="1:26" s="167" customFormat="1" ht="15.5">
      <c r="A112" s="163"/>
      <c r="C112" s="165"/>
      <c r="D112" s="165"/>
      <c r="E112" s="165"/>
      <c r="F112" s="165"/>
      <c r="G112" s="165"/>
      <c r="H112" s="198"/>
      <c r="I112" s="341"/>
      <c r="J112" s="168"/>
      <c r="K112" s="168"/>
      <c r="M112" s="359"/>
      <c r="N112" s="359"/>
      <c r="W112"/>
      <c r="X112"/>
      <c r="Y112" s="527"/>
      <c r="Z112" s="527"/>
    </row>
    <row r="113" spans="1:26" s="167" customFormat="1" ht="15.5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1"/>
      <c r="J113" s="168"/>
      <c r="K113" s="168"/>
      <c r="M113" s="359"/>
      <c r="N113" s="359"/>
      <c r="W113"/>
      <c r="X113"/>
      <c r="Y113" s="527"/>
      <c r="Z113" s="527"/>
    </row>
    <row r="114" spans="1:26" s="167" customFormat="1">
      <c r="A114" s="169" t="s">
        <v>85</v>
      </c>
      <c r="B114" s="170" t="s">
        <v>44</v>
      </c>
      <c r="C114" s="573">
        <f>'[43]Sch C'!D115</f>
        <v>0</v>
      </c>
      <c r="D114" s="573">
        <f>'[43]Sch C'!F115</f>
        <v>0</v>
      </c>
      <c r="E114" s="171">
        <f t="shared" ref="E114:E118" si="29">C114+D114</f>
        <v>0</v>
      </c>
      <c r="F114" s="486">
        <v>25496</v>
      </c>
      <c r="G114" s="171">
        <f>E114+F114</f>
        <v>25496</v>
      </c>
      <c r="H114" s="172">
        <f t="shared" ref="H114:H119" si="30">IF($G$208=0,0,G114/$G$208)</f>
        <v>9.9576522872572275E-3</v>
      </c>
      <c r="I114" s="337"/>
      <c r="J114" s="183">
        <v>0</v>
      </c>
      <c r="K114" s="183">
        <v>0</v>
      </c>
      <c r="M114" s="364">
        <f t="shared" ref="M114:M119" si="31">G114/G$228</f>
        <v>1.7382056176711209</v>
      </c>
      <c r="N114" s="359">
        <f>SUMMARY!J117</f>
        <v>2.9289001010349254</v>
      </c>
      <c r="W114" s="568">
        <v>620</v>
      </c>
      <c r="X114" s="568">
        <v>628</v>
      </c>
      <c r="Y114" s="488">
        <v>2516</v>
      </c>
      <c r="Z114" s="488">
        <v>2516</v>
      </c>
    </row>
    <row r="115" spans="1:26" s="167" customFormat="1" ht="15.5">
      <c r="A115" s="169" t="s">
        <v>86</v>
      </c>
      <c r="B115" s="170" t="s">
        <v>151</v>
      </c>
      <c r="C115" s="573">
        <f>'[43]Sch C'!D116</f>
        <v>0</v>
      </c>
      <c r="D115" s="573">
        <f>'[43]Sch C'!F116</f>
        <v>6750.46</v>
      </c>
      <c r="E115" s="171">
        <f t="shared" si="29"/>
        <v>6750.46</v>
      </c>
      <c r="F115" s="486"/>
      <c r="G115" s="171">
        <f>E115+F115</f>
        <v>6750.46</v>
      </c>
      <c r="H115" s="172">
        <f t="shared" si="30"/>
        <v>2.6364423226795746E-3</v>
      </c>
      <c r="I115" s="337"/>
      <c r="J115" s="168"/>
      <c r="K115" s="168"/>
      <c r="M115" s="364">
        <f t="shared" si="31"/>
        <v>0.46021679847286612</v>
      </c>
      <c r="N115" s="359">
        <f>SUMMARY!J118</f>
        <v>0.58319440810868606</v>
      </c>
      <c r="W115"/>
      <c r="X115"/>
      <c r="Y115" s="527"/>
      <c r="Z115" s="527"/>
    </row>
    <row r="116" spans="1:26" s="167" customFormat="1" ht="15.5">
      <c r="A116" s="169" t="s">
        <v>93</v>
      </c>
      <c r="B116" s="170" t="s">
        <v>47</v>
      </c>
      <c r="C116" s="573">
        <f>'[43]Sch C'!D117</f>
        <v>12246.77</v>
      </c>
      <c r="D116" s="573">
        <f>'[43]Sch C'!F117</f>
        <v>0</v>
      </c>
      <c r="E116" s="171">
        <f t="shared" si="29"/>
        <v>12246.77</v>
      </c>
      <c r="F116" s="486"/>
      <c r="G116" s="171">
        <f>E116+F116</f>
        <v>12246.77</v>
      </c>
      <c r="H116" s="172">
        <f t="shared" si="30"/>
        <v>4.783067041967886E-3</v>
      </c>
      <c r="I116" s="337"/>
      <c r="J116" s="168"/>
      <c r="K116" s="168"/>
      <c r="M116" s="364">
        <f t="shared" si="31"/>
        <v>0.83493114262339785</v>
      </c>
      <c r="N116" s="359">
        <f>SUMMARY!J119</f>
        <v>0.8285773354086452</v>
      </c>
      <c r="W116"/>
      <c r="X116"/>
      <c r="Y116" s="527"/>
      <c r="Z116" s="527"/>
    </row>
    <row r="117" spans="1:26" s="167" customFormat="1" ht="15.5">
      <c r="A117" s="169">
        <v>310</v>
      </c>
      <c r="B117" s="170" t="s">
        <v>60</v>
      </c>
      <c r="C117" s="573">
        <f>'[43]Sch C'!D118</f>
        <v>26084.52</v>
      </c>
      <c r="D117" s="573">
        <f>'[43]Sch C'!F118</f>
        <v>0</v>
      </c>
      <c r="E117" s="171">
        <f t="shared" si="29"/>
        <v>26084.52</v>
      </c>
      <c r="F117" s="486">
        <v>-25496</v>
      </c>
      <c r="G117" s="171">
        <f>E117+F117</f>
        <v>588.52000000000044</v>
      </c>
      <c r="H117" s="172">
        <f t="shared" si="30"/>
        <v>2.2985085990338204E-4</v>
      </c>
      <c r="I117" s="337"/>
      <c r="J117" s="168"/>
      <c r="K117" s="168"/>
      <c r="M117" s="364">
        <f t="shared" si="31"/>
        <v>4.0122716116716695E-2</v>
      </c>
      <c r="N117" s="359">
        <f>SUMMARY!J120</f>
        <v>1.394217388929849</v>
      </c>
      <c r="W117"/>
      <c r="X117"/>
      <c r="Y117" s="527"/>
      <c r="Z117" s="527"/>
    </row>
    <row r="118" spans="1:26" s="167" customFormat="1" ht="15.5">
      <c r="A118" s="169">
        <v>490</v>
      </c>
      <c r="B118" s="202" t="s">
        <v>312</v>
      </c>
      <c r="C118" s="573">
        <f>'[43]Sch C'!D119</f>
        <v>0</v>
      </c>
      <c r="D118" s="573">
        <f>'[43]Sch C'!F119</f>
        <v>0</v>
      </c>
      <c r="E118" s="171">
        <f t="shared" si="29"/>
        <v>0</v>
      </c>
      <c r="F118" s="486"/>
      <c r="G118" s="171">
        <f>E118+F118</f>
        <v>0</v>
      </c>
      <c r="H118" s="172">
        <f t="shared" si="30"/>
        <v>0</v>
      </c>
      <c r="I118" s="337"/>
      <c r="J118" s="168"/>
      <c r="K118" s="168"/>
      <c r="M118" s="364">
        <f t="shared" si="31"/>
        <v>0</v>
      </c>
      <c r="N118" s="359">
        <f>SUMMARY!J121</f>
        <v>1.5050905218317359E-2</v>
      </c>
      <c r="W118"/>
      <c r="X118"/>
      <c r="Y118" s="527"/>
      <c r="Z118" s="527"/>
    </row>
    <row r="119" spans="1:26" s="167" customFormat="1" ht="15.5">
      <c r="A119" s="163"/>
      <c r="B119" s="170" t="s">
        <v>61</v>
      </c>
      <c r="C119" s="573">
        <f>SUM(C114:C118)</f>
        <v>38331.29</v>
      </c>
      <c r="D119" s="573">
        <f>SUM(D114:D118)</f>
        <v>6750.46</v>
      </c>
      <c r="E119" s="171">
        <f t="shared" ref="E119" si="32">SUM(E114:E118)</f>
        <v>45081.75</v>
      </c>
      <c r="F119" s="171">
        <f>SUM(F114:F118)</f>
        <v>0</v>
      </c>
      <c r="G119" s="171">
        <f>SUM(G114:G118)</f>
        <v>45081.75</v>
      </c>
      <c r="H119" s="172">
        <f t="shared" si="30"/>
        <v>1.760701251180807E-2</v>
      </c>
      <c r="I119" s="337"/>
      <c r="J119" s="168"/>
      <c r="K119" s="168"/>
      <c r="M119" s="364">
        <f t="shared" si="31"/>
        <v>3.0734762748841016</v>
      </c>
      <c r="N119" s="359">
        <f>SUMMARY!J122</f>
        <v>5.7499401387004214</v>
      </c>
      <c r="W119"/>
      <c r="X119"/>
      <c r="Y119" s="527"/>
      <c r="Z119" s="527"/>
    </row>
    <row r="120" spans="1:26" s="167" customFormat="1" ht="15.5">
      <c r="A120" s="163"/>
      <c r="B120" s="170"/>
      <c r="C120" s="196"/>
      <c r="D120" s="196"/>
      <c r="E120" s="196"/>
      <c r="F120" s="196"/>
      <c r="G120" s="196"/>
      <c r="H120" s="197"/>
      <c r="I120" s="337"/>
      <c r="J120" s="203"/>
      <c r="K120" s="203"/>
      <c r="M120" s="359"/>
      <c r="N120" s="359"/>
      <c r="W120"/>
      <c r="X120"/>
      <c r="Y120" s="203"/>
      <c r="Z120" s="203"/>
    </row>
    <row r="121" spans="1:26" s="167" customFormat="1" ht="15.5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1"/>
      <c r="J121" s="204"/>
      <c r="K121" s="204"/>
      <c r="M121" s="359"/>
      <c r="N121" s="359"/>
      <c r="W121"/>
      <c r="X121"/>
      <c r="Y121" s="489"/>
      <c r="Z121" s="489"/>
    </row>
    <row r="122" spans="1:26" s="167" customFormat="1" ht="15.5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1"/>
      <c r="J122" s="204"/>
      <c r="K122" s="204"/>
      <c r="M122" s="359"/>
      <c r="N122" s="359"/>
      <c r="W122"/>
      <c r="X122"/>
      <c r="Y122" s="489"/>
      <c r="Z122" s="489"/>
    </row>
    <row r="123" spans="1:26" s="167" customFormat="1">
      <c r="B123" s="163" t="s">
        <v>232</v>
      </c>
      <c r="C123" s="573">
        <f>'[43]Sch C'!D124</f>
        <v>0</v>
      </c>
      <c r="D123" s="573">
        <f>'[43]Sch C'!F124</f>
        <v>0</v>
      </c>
      <c r="E123" s="171">
        <f t="shared" ref="E123:E127" si="33">C123+D123</f>
        <v>0</v>
      </c>
      <c r="F123" s="486"/>
      <c r="G123" s="171">
        <f>E123+F123</f>
        <v>0</v>
      </c>
      <c r="H123" s="172">
        <f>IF($G$208=0,0,G123/$G$208)</f>
        <v>0</v>
      </c>
      <c r="I123" s="337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0.77002560279620991</v>
      </c>
      <c r="W123" s="568">
        <v>0</v>
      </c>
      <c r="X123" s="568">
        <v>0</v>
      </c>
      <c r="Y123" s="488">
        <v>0</v>
      </c>
      <c r="Z123" s="488">
        <v>0</v>
      </c>
    </row>
    <row r="124" spans="1:26" s="167" customFormat="1">
      <c r="B124" s="163" t="s">
        <v>194</v>
      </c>
      <c r="C124" s="573">
        <f>'[43]Sch C'!D125</f>
        <v>0</v>
      </c>
      <c r="D124" s="573">
        <f>'[43]Sch C'!F125</f>
        <v>0</v>
      </c>
      <c r="E124" s="171">
        <f t="shared" si="33"/>
        <v>0</v>
      </c>
      <c r="F124" s="486"/>
      <c r="G124" s="171">
        <f>E124+F124</f>
        <v>0</v>
      </c>
      <c r="H124" s="172">
        <f>IF($G$208=0,0,G124/$G$208)</f>
        <v>0</v>
      </c>
      <c r="I124" s="337"/>
      <c r="J124" s="183">
        <v>0</v>
      </c>
      <c r="K124" s="183">
        <v>0</v>
      </c>
      <c r="M124" s="364">
        <f t="shared" si="34"/>
        <v>0</v>
      </c>
      <c r="N124" s="359">
        <f>SUMMARY!J127</f>
        <v>7.8410343245678709</v>
      </c>
      <c r="W124" s="568">
        <v>541.36</v>
      </c>
      <c r="X124" s="568">
        <v>553.80999999999995</v>
      </c>
      <c r="Y124" s="488">
        <v>3716</v>
      </c>
      <c r="Z124" s="488">
        <v>3716</v>
      </c>
    </row>
    <row r="125" spans="1:26" s="167" customFormat="1">
      <c r="A125" s="163" t="s">
        <v>198</v>
      </c>
      <c r="B125" s="163" t="s">
        <v>195</v>
      </c>
      <c r="C125" s="573">
        <f>'[43]Sch C'!D126</f>
        <v>0</v>
      </c>
      <c r="D125" s="573">
        <f>'[43]Sch C'!F126</f>
        <v>0</v>
      </c>
      <c r="E125" s="171">
        <f t="shared" si="33"/>
        <v>0</v>
      </c>
      <c r="F125" s="486"/>
      <c r="G125" s="171">
        <f>E125+F125</f>
        <v>0</v>
      </c>
      <c r="H125" s="172">
        <f>IF($G$208=0,0,G125/$G$208)</f>
        <v>0</v>
      </c>
      <c r="I125" s="337"/>
      <c r="J125" s="183">
        <v>0</v>
      </c>
      <c r="K125" s="183">
        <v>0</v>
      </c>
      <c r="M125" s="364">
        <f t="shared" si="34"/>
        <v>0</v>
      </c>
      <c r="N125" s="359">
        <f>SUMMARY!J128</f>
        <v>0.58591518527620767</v>
      </c>
      <c r="W125" s="568">
        <v>0</v>
      </c>
      <c r="X125" s="568">
        <v>0</v>
      </c>
      <c r="Y125" s="488">
        <v>0</v>
      </c>
      <c r="Z125" s="488">
        <v>0</v>
      </c>
    </row>
    <row r="126" spans="1:26" s="167" customFormat="1">
      <c r="A126" s="169"/>
      <c r="B126" s="163" t="s">
        <v>196</v>
      </c>
      <c r="C126" s="573">
        <f>'[43]Sch C'!D127</f>
        <v>0</v>
      </c>
      <c r="D126" s="573">
        <f>'[43]Sch C'!F127</f>
        <v>0</v>
      </c>
      <c r="E126" s="171">
        <f t="shared" si="33"/>
        <v>0</v>
      </c>
      <c r="F126" s="486"/>
      <c r="G126" s="171">
        <f>E126+F126</f>
        <v>0</v>
      </c>
      <c r="H126" s="172">
        <f>IF($G$208=0,0,G126/$G$208)</f>
        <v>0</v>
      </c>
      <c r="I126" s="337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  <c r="W126" s="568">
        <v>0</v>
      </c>
      <c r="X126" s="568">
        <v>0</v>
      </c>
      <c r="Y126" s="488">
        <v>0</v>
      </c>
      <c r="Z126" s="488">
        <v>0</v>
      </c>
    </row>
    <row r="127" spans="1:26" s="167" customFormat="1">
      <c r="A127" s="169"/>
      <c r="B127" s="163" t="s">
        <v>197</v>
      </c>
      <c r="C127" s="573">
        <f>'[43]Sch C'!D128</f>
        <v>0</v>
      </c>
      <c r="D127" s="573">
        <f>'[43]Sch C'!F128</f>
        <v>0</v>
      </c>
      <c r="E127" s="171">
        <f t="shared" si="33"/>
        <v>0</v>
      </c>
      <c r="F127" s="486">
        <f>17024-1932</f>
        <v>15092</v>
      </c>
      <c r="G127" s="171">
        <f>E127+F127</f>
        <v>15092</v>
      </c>
      <c r="H127" s="172">
        <f>IF($G$208=0,0,G127/$G$208)</f>
        <v>5.8942927643271924E-3</v>
      </c>
      <c r="I127" s="337"/>
      <c r="J127" s="183">
        <v>0</v>
      </c>
      <c r="K127" s="183">
        <v>0</v>
      </c>
      <c r="M127" s="364">
        <f t="shared" si="34"/>
        <v>1.0289064630488138</v>
      </c>
      <c r="N127" s="359">
        <f>SUMMARY!J130</f>
        <v>2.5140796974413586</v>
      </c>
      <c r="W127" s="568">
        <v>160.4</v>
      </c>
      <c r="X127" s="568">
        <v>160.4</v>
      </c>
      <c r="Y127" s="488">
        <v>1349</v>
      </c>
      <c r="Z127" s="488">
        <v>1349</v>
      </c>
    </row>
    <row r="128" spans="1:26" s="167" customFormat="1" ht="14" customHeight="1">
      <c r="A128" s="169" t="s">
        <v>95</v>
      </c>
      <c r="B128" s="170" t="s">
        <v>152</v>
      </c>
      <c r="C128" s="580"/>
      <c r="D128" s="580"/>
      <c r="E128" s="205"/>
      <c r="F128" s="564"/>
      <c r="G128" s="205"/>
      <c r="H128" s="206"/>
      <c r="I128" s="342"/>
      <c r="J128" s="207"/>
      <c r="K128" s="207"/>
      <c r="M128" s="364"/>
      <c r="N128" s="359"/>
      <c r="W128"/>
      <c r="X128"/>
      <c r="Y128" s="531"/>
      <c r="Z128" s="531"/>
    </row>
    <row r="129" spans="1:26" s="167" customFormat="1" ht="15.5">
      <c r="A129" s="169"/>
      <c r="B129" s="163" t="s">
        <v>232</v>
      </c>
      <c r="C129" s="573">
        <f>'[43]Sch C'!D130</f>
        <v>0</v>
      </c>
      <c r="D129" s="573">
        <f>'[43]Sch C'!F130</f>
        <v>0</v>
      </c>
      <c r="E129" s="171">
        <f t="shared" ref="E129:E133" si="35">C129+D129</f>
        <v>0</v>
      </c>
      <c r="F129" s="486"/>
      <c r="G129" s="171">
        <f>E129+F129</f>
        <v>0</v>
      </c>
      <c r="H129" s="172">
        <f>IF($G$208=0,0,G129/$G$208)</f>
        <v>0</v>
      </c>
      <c r="I129" s="337"/>
      <c r="J129" s="204"/>
      <c r="K129" s="204"/>
      <c r="M129" s="364">
        <f t="shared" si="34"/>
        <v>0</v>
      </c>
      <c r="N129" s="359">
        <f>SUMMARY!J132</f>
        <v>0.14225268616367659</v>
      </c>
      <c r="W129"/>
      <c r="X129"/>
      <c r="Y129" s="489"/>
      <c r="Z129" s="489"/>
    </row>
    <row r="130" spans="1:26" s="167" customFormat="1" ht="15.5">
      <c r="A130" s="169"/>
      <c r="B130" s="163" t="s">
        <v>194</v>
      </c>
      <c r="C130" s="573">
        <f>'[43]Sch C'!D131</f>
        <v>0</v>
      </c>
      <c r="D130" s="573">
        <f>'[43]Sch C'!F131</f>
        <v>0</v>
      </c>
      <c r="E130" s="171">
        <f t="shared" si="35"/>
        <v>0</v>
      </c>
      <c r="F130" s="486"/>
      <c r="G130" s="171">
        <f>E130+F130</f>
        <v>0</v>
      </c>
      <c r="H130" s="172">
        <f>IF($G$208=0,0,G130/$G$208)</f>
        <v>0</v>
      </c>
      <c r="I130" s="337"/>
      <c r="J130" s="204"/>
      <c r="K130" s="204"/>
      <c r="M130" s="364">
        <f t="shared" si="34"/>
        <v>0</v>
      </c>
      <c r="N130" s="359">
        <f>SUMMARY!J133</f>
        <v>1.0792348507966931</v>
      </c>
      <c r="W130"/>
      <c r="X130"/>
      <c r="Y130" s="489"/>
      <c r="Z130" s="489"/>
    </row>
    <row r="131" spans="1:26" s="167" customFormat="1" ht="15.5">
      <c r="B131" s="163" t="s">
        <v>195</v>
      </c>
      <c r="C131" s="573">
        <f>'[43]Sch C'!D132</f>
        <v>0</v>
      </c>
      <c r="D131" s="573">
        <f>'[43]Sch C'!F132</f>
        <v>0</v>
      </c>
      <c r="E131" s="171">
        <f t="shared" si="35"/>
        <v>0</v>
      </c>
      <c r="F131" s="486"/>
      <c r="G131" s="171">
        <f>E131+F131</f>
        <v>0</v>
      </c>
      <c r="H131" s="172">
        <f>IF($G$208=0,0,G131/$G$208)</f>
        <v>0</v>
      </c>
      <c r="I131" s="337"/>
      <c r="J131" s="168"/>
      <c r="K131" s="168"/>
      <c r="M131" s="364">
        <f t="shared" si="34"/>
        <v>0</v>
      </c>
      <c r="N131" s="359">
        <f>SUMMARY!J134</f>
        <v>8.2765628075518377E-2</v>
      </c>
      <c r="W131"/>
      <c r="X131"/>
      <c r="Y131" s="527"/>
      <c r="Z131" s="527"/>
    </row>
    <row r="132" spans="1:26" s="167" customFormat="1" ht="15.5">
      <c r="B132" s="163" t="s">
        <v>196</v>
      </c>
      <c r="C132" s="573">
        <f>'[43]Sch C'!D133</f>
        <v>0</v>
      </c>
      <c r="D132" s="573">
        <f>'[43]Sch C'!F133</f>
        <v>0</v>
      </c>
      <c r="E132" s="171">
        <f t="shared" si="35"/>
        <v>0</v>
      </c>
      <c r="F132" s="486"/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  <c r="W132"/>
      <c r="X132"/>
      <c r="Y132" s="527"/>
      <c r="Z132" s="527"/>
    </row>
    <row r="133" spans="1:26" s="167" customFormat="1" ht="15.5">
      <c r="B133" s="163" t="s">
        <v>197</v>
      </c>
      <c r="C133" s="573">
        <f>'[43]Sch C'!D134</f>
        <v>0</v>
      </c>
      <c r="D133" s="573">
        <f>'[43]Sch C'!F134</f>
        <v>0</v>
      </c>
      <c r="E133" s="171">
        <f t="shared" si="35"/>
        <v>0</v>
      </c>
      <c r="F133" s="486"/>
      <c r="G133" s="171">
        <f>E133+F133</f>
        <v>0</v>
      </c>
      <c r="H133" s="172">
        <f>IF($G$208=0,0,G133/$G$208)</f>
        <v>0</v>
      </c>
      <c r="I133" s="337"/>
      <c r="J133" s="168"/>
      <c r="K133" s="168"/>
      <c r="M133" s="364">
        <f t="shared" si="34"/>
        <v>0</v>
      </c>
      <c r="N133" s="359">
        <f>SUMMARY!J136</f>
        <v>0.48951420004915208</v>
      </c>
      <c r="W133"/>
      <c r="X133"/>
      <c r="Y133" s="527"/>
      <c r="Z133" s="527"/>
    </row>
    <row r="134" spans="1:26" s="167" customFormat="1" ht="15.5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7"/>
      <c r="J134" s="204"/>
      <c r="K134" s="204"/>
      <c r="M134" s="364"/>
      <c r="N134" s="359"/>
      <c r="W134"/>
      <c r="X134"/>
      <c r="Y134" s="489"/>
      <c r="Z134" s="489"/>
    </row>
    <row r="135" spans="1:26" s="167" customFormat="1">
      <c r="A135" s="169"/>
      <c r="B135" s="163" t="s">
        <v>194</v>
      </c>
      <c r="C135" s="573">
        <f>'[43]Sch C'!D136</f>
        <v>0</v>
      </c>
      <c r="D135" s="573">
        <f>'[43]Sch C'!F136</f>
        <v>0</v>
      </c>
      <c r="E135" s="171">
        <f t="shared" ref="E135:E138" si="36">C135+D135</f>
        <v>0</v>
      </c>
      <c r="F135" s="486">
        <v>172026</v>
      </c>
      <c r="G135" s="171">
        <f>E135+F135</f>
        <v>172026</v>
      </c>
      <c r="H135" s="172">
        <f>IF($G$208=0,0,G135/$G$208)</f>
        <v>6.7186032803879511E-2</v>
      </c>
      <c r="I135" s="337"/>
      <c r="J135" s="183">
        <v>0</v>
      </c>
      <c r="K135" s="183">
        <v>0</v>
      </c>
      <c r="M135" s="364">
        <f t="shared" si="34"/>
        <v>11.7279792746114</v>
      </c>
      <c r="N135" s="359">
        <f>SUMMARY!J138</f>
        <v>22.542001283416617</v>
      </c>
      <c r="W135" s="568">
        <v>919.46</v>
      </c>
      <c r="X135" s="568">
        <v>951.46</v>
      </c>
      <c r="Y135" s="488">
        <v>3900</v>
      </c>
      <c r="Z135" s="488">
        <v>3900</v>
      </c>
    </row>
    <row r="136" spans="1:26" s="167" customFormat="1">
      <c r="A136" s="169"/>
      <c r="B136" s="163" t="s">
        <v>195</v>
      </c>
      <c r="C136" s="573">
        <f>'[43]Sch C'!D137</f>
        <v>0</v>
      </c>
      <c r="D136" s="573">
        <f>'[43]Sch C'!F137</f>
        <v>0</v>
      </c>
      <c r="E136" s="171">
        <f t="shared" si="36"/>
        <v>0</v>
      </c>
      <c r="F136" s="486">
        <v>202991</v>
      </c>
      <c r="G136" s="171">
        <f>E136+F136</f>
        <v>202991</v>
      </c>
      <c r="H136" s="172">
        <f>IF($G$208=0,0,G136/$G$208)</f>
        <v>7.9279643686956072E-2</v>
      </c>
      <c r="I136" s="337"/>
      <c r="J136" s="183">
        <v>0</v>
      </c>
      <c r="K136" s="183">
        <v>0</v>
      </c>
      <c r="M136" s="364">
        <f t="shared" si="34"/>
        <v>13.839037360239978</v>
      </c>
      <c r="N136" s="359">
        <f>SUMMARY!J139</f>
        <v>10.249133857622674</v>
      </c>
      <c r="W136" s="568">
        <v>1745.82</v>
      </c>
      <c r="X136" s="568">
        <v>1785.82</v>
      </c>
      <c r="Y136" s="488">
        <v>8625</v>
      </c>
      <c r="Z136" s="488">
        <v>8625</v>
      </c>
    </row>
    <row r="137" spans="1:26" s="167" customFormat="1">
      <c r="A137" s="169"/>
      <c r="B137" s="163" t="s">
        <v>196</v>
      </c>
      <c r="C137" s="573">
        <f>'[43]Sch C'!D138</f>
        <v>0</v>
      </c>
      <c r="D137" s="573">
        <f>'[43]Sch C'!F138</f>
        <v>0</v>
      </c>
      <c r="E137" s="171">
        <f t="shared" si="36"/>
        <v>0</v>
      </c>
      <c r="F137" s="486">
        <v>309754</v>
      </c>
      <c r="G137" s="171">
        <f>E137+F137</f>
        <v>309754</v>
      </c>
      <c r="H137" s="172">
        <f>IF($G$208=0,0,G137/$G$208)</f>
        <v>0.12097672680369766</v>
      </c>
      <c r="I137" s="337"/>
      <c r="J137" s="183">
        <v>0</v>
      </c>
      <c r="K137" s="183">
        <v>0</v>
      </c>
      <c r="M137" s="364">
        <f t="shared" si="34"/>
        <v>21.117671120807199</v>
      </c>
      <c r="N137" s="359">
        <f>SUMMARY!J140</f>
        <v>27.843137668277773</v>
      </c>
      <c r="W137" s="568">
        <v>7695.99</v>
      </c>
      <c r="X137" s="568">
        <v>7783.99</v>
      </c>
      <c r="Y137" s="488">
        <v>36420</v>
      </c>
      <c r="Z137" s="488">
        <v>36420</v>
      </c>
    </row>
    <row r="138" spans="1:26" s="167" customFormat="1">
      <c r="A138" s="169"/>
      <c r="B138" s="163" t="s">
        <v>197</v>
      </c>
      <c r="C138" s="573">
        <f>'[43]Sch C'!D139</f>
        <v>0</v>
      </c>
      <c r="D138" s="573">
        <f>'[43]Sch C'!F139</f>
        <v>0</v>
      </c>
      <c r="E138" s="171">
        <f t="shared" si="36"/>
        <v>0</v>
      </c>
      <c r="F138" s="486"/>
      <c r="G138" s="171">
        <f>E138+F138</f>
        <v>0</v>
      </c>
      <c r="H138" s="172">
        <f>IF($G$208=0,0,G138/$G$208)</f>
        <v>0</v>
      </c>
      <c r="I138" s="337"/>
      <c r="J138" s="183">
        <v>0</v>
      </c>
      <c r="K138" s="183">
        <v>0</v>
      </c>
      <c r="M138" s="364">
        <f t="shared" si="34"/>
        <v>0</v>
      </c>
      <c r="N138" s="359">
        <f>SUMMARY!J141</f>
        <v>2.553029289205647</v>
      </c>
      <c r="W138" s="568">
        <v>0</v>
      </c>
      <c r="X138" s="568">
        <v>0</v>
      </c>
      <c r="Y138" s="488">
        <v>0</v>
      </c>
      <c r="Z138" s="488">
        <v>0</v>
      </c>
    </row>
    <row r="139" spans="1:26" s="167" customFormat="1" ht="15.5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7"/>
      <c r="J139" s="406"/>
      <c r="K139" s="406"/>
      <c r="M139" s="364"/>
      <c r="N139" s="359"/>
      <c r="W139"/>
      <c r="X139"/>
      <c r="Y139" s="532"/>
      <c r="Z139" s="532"/>
    </row>
    <row r="140" spans="1:26" s="167" customFormat="1" ht="15.5">
      <c r="A140" s="169"/>
      <c r="B140" s="163" t="s">
        <v>194</v>
      </c>
      <c r="C140" s="573">
        <f>'[43]Sch C'!D141</f>
        <v>0</v>
      </c>
      <c r="D140" s="573">
        <f>'[43]Sch C'!F141</f>
        <v>45545.9</v>
      </c>
      <c r="E140" s="171">
        <f t="shared" ref="E140:E143" si="37">C140+D140</f>
        <v>45545.9</v>
      </c>
      <c r="F140" s="486"/>
      <c r="G140" s="171">
        <f>E140+F140</f>
        <v>45545.9</v>
      </c>
      <c r="H140" s="172">
        <f>IF($G$208=0,0,G140/$G$208)</f>
        <v>1.7788289743888807E-2</v>
      </c>
      <c r="I140" s="337"/>
      <c r="J140" s="168"/>
      <c r="K140" s="168"/>
      <c r="M140" s="364">
        <f t="shared" si="34"/>
        <v>3.105119989091901</v>
      </c>
      <c r="N140" s="359">
        <f>SUMMARY!J143</f>
        <v>3.8870567805088321</v>
      </c>
      <c r="W140"/>
      <c r="X140"/>
      <c r="Y140" s="527"/>
      <c r="Z140" s="527"/>
    </row>
    <row r="141" spans="1:26" s="167" customFormat="1" ht="15.5">
      <c r="A141" s="169"/>
      <c r="B141" s="163" t="s">
        <v>195</v>
      </c>
      <c r="C141" s="573">
        <f>'[43]Sch C'!D142</f>
        <v>0</v>
      </c>
      <c r="D141" s="573">
        <f>'[43]Sch C'!F142</f>
        <v>53744.36</v>
      </c>
      <c r="E141" s="171">
        <f t="shared" si="37"/>
        <v>53744.36</v>
      </c>
      <c r="F141" s="486"/>
      <c r="G141" s="171">
        <f>E141+F141</f>
        <v>53744.36</v>
      </c>
      <c r="H141" s="172">
        <f>IF($G$208=0,0,G141/$G$208)</f>
        <v>2.0990259228160335E-2</v>
      </c>
      <c r="I141" s="337"/>
      <c r="J141" s="168"/>
      <c r="K141" s="168"/>
      <c r="M141" s="364">
        <f t="shared" si="34"/>
        <v>3.6640550859012819</v>
      </c>
      <c r="N141" s="359">
        <f>SUMMARY!J144</f>
        <v>1.7548113884114069</v>
      </c>
      <c r="W141"/>
      <c r="X141"/>
      <c r="Y141" s="527"/>
      <c r="Z141" s="527"/>
    </row>
    <row r="142" spans="1:26" s="167" customFormat="1" ht="15.5">
      <c r="A142" s="169"/>
      <c r="B142" s="163" t="s">
        <v>196</v>
      </c>
      <c r="C142" s="573">
        <f>'[43]Sch C'!D143</f>
        <v>0</v>
      </c>
      <c r="D142" s="573">
        <f>'[43]Sch C'!F143</f>
        <v>82011.09</v>
      </c>
      <c r="E142" s="171">
        <f t="shared" si="37"/>
        <v>82011.09</v>
      </c>
      <c r="F142" s="486"/>
      <c r="G142" s="171">
        <f>E142+F142</f>
        <v>82011.09</v>
      </c>
      <c r="H142" s="172">
        <f>IF($G$208=0,0,G142/$G$208)</f>
        <v>3.2030040709089991E-2</v>
      </c>
      <c r="I142" s="337"/>
      <c r="J142" s="168"/>
      <c r="K142" s="168"/>
      <c r="M142" s="364">
        <f t="shared" si="34"/>
        <v>5.5911569402781565</v>
      </c>
      <c r="N142" s="359">
        <f>SUMMARY!J145</f>
        <v>5.0558410725664986</v>
      </c>
      <c r="W142"/>
      <c r="X142"/>
      <c r="Y142" s="527"/>
      <c r="Z142" s="527"/>
    </row>
    <row r="143" spans="1:26" s="167" customFormat="1" ht="15.5">
      <c r="A143" s="169"/>
      <c r="B143" s="163" t="s">
        <v>197</v>
      </c>
      <c r="C143" s="573">
        <f>'[43]Sch C'!D144</f>
        <v>0</v>
      </c>
      <c r="D143" s="573">
        <f>'[43]Sch C'!F144</f>
        <v>4507.4399999999996</v>
      </c>
      <c r="E143" s="171">
        <f t="shared" si="37"/>
        <v>4507.4399999999996</v>
      </c>
      <c r="F143" s="486"/>
      <c r="G143" s="171">
        <f>E143+F143</f>
        <v>4507.4399999999996</v>
      </c>
      <c r="H143" s="172">
        <f>IF($G$208=0,0,G143/$G$208)</f>
        <v>1.7604141914682584E-3</v>
      </c>
      <c r="I143" s="337"/>
      <c r="J143" s="168"/>
      <c r="K143" s="168"/>
      <c r="M143" s="364">
        <f t="shared" si="34"/>
        <v>0.30729751840741748</v>
      </c>
      <c r="N143" s="359">
        <f>SUMMARY!J146</f>
        <v>0.71727598372518497</v>
      </c>
      <c r="W143"/>
      <c r="X143"/>
      <c r="Y143" s="527"/>
      <c r="Z143" s="527"/>
    </row>
    <row r="144" spans="1:26" s="167" customFormat="1" ht="15.5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7"/>
      <c r="J144" s="204"/>
      <c r="K144" s="204"/>
      <c r="M144" s="364"/>
      <c r="N144" s="359"/>
      <c r="W144"/>
      <c r="X144"/>
      <c r="Y144" s="489"/>
      <c r="Z144" s="489"/>
    </row>
    <row r="145" spans="1:26" s="167" customFormat="1">
      <c r="A145" s="169"/>
      <c r="B145" s="163" t="s">
        <v>232</v>
      </c>
      <c r="C145" s="573">
        <f>'[43]Sch C'!D146</f>
        <v>15500</v>
      </c>
      <c r="D145" s="573">
        <f>'[43]Sch C'!F146</f>
        <v>0</v>
      </c>
      <c r="E145" s="171">
        <f t="shared" ref="E145:E153" si="38">C145+D145</f>
        <v>15500</v>
      </c>
      <c r="F145" s="486"/>
      <c r="G145" s="171">
        <f t="shared" ref="G145:G153" si="39">E145+F145</f>
        <v>15500</v>
      </c>
      <c r="H145" s="172">
        <f t="shared" ref="H145:H153" si="40">IF($G$208=0,0,G145/$G$208)</f>
        <v>6.0536401965989584E-3</v>
      </c>
      <c r="I145" s="337"/>
      <c r="J145" s="183">
        <v>0</v>
      </c>
      <c r="K145" s="183">
        <v>0</v>
      </c>
      <c r="M145" s="364">
        <f t="shared" si="34"/>
        <v>1.0567221161712572</v>
      </c>
      <c r="N145" s="359">
        <f>SUMMARY!J148</f>
        <v>1.6388888069686796</v>
      </c>
      <c r="W145" s="568">
        <v>0</v>
      </c>
      <c r="X145" s="568">
        <v>0</v>
      </c>
      <c r="Y145" s="488">
        <v>0</v>
      </c>
      <c r="Z145" s="488">
        <v>0</v>
      </c>
    </row>
    <row r="146" spans="1:26" s="167" customFormat="1">
      <c r="A146" s="169"/>
      <c r="B146" s="163" t="s">
        <v>194</v>
      </c>
      <c r="C146" s="573">
        <f>'[43]Sch C'!D147</f>
        <v>175320.53</v>
      </c>
      <c r="D146" s="573">
        <f>'[43]Sch C'!F147</f>
        <v>0</v>
      </c>
      <c r="E146" s="171">
        <f t="shared" si="38"/>
        <v>175320.53</v>
      </c>
      <c r="F146" s="486">
        <v>-172026</v>
      </c>
      <c r="G146" s="171">
        <f t="shared" si="39"/>
        <v>3294.5299999999988</v>
      </c>
      <c r="H146" s="172">
        <f t="shared" si="40"/>
        <v>1.2867031765742684E-3</v>
      </c>
      <c r="I146" s="337"/>
      <c r="J146" s="183">
        <v>0</v>
      </c>
      <c r="K146" s="183">
        <v>0</v>
      </c>
      <c r="M146" s="364">
        <f t="shared" si="34"/>
        <v>0.22460662667030262</v>
      </c>
      <c r="N146" s="359">
        <f>SUMMARY!J149</f>
        <v>0.18124216706261434</v>
      </c>
      <c r="W146" s="568">
        <v>0</v>
      </c>
      <c r="X146" s="568">
        <v>0</v>
      </c>
      <c r="Y146" s="488">
        <v>0</v>
      </c>
      <c r="Z146" s="488">
        <v>0</v>
      </c>
    </row>
    <row r="147" spans="1:26" s="167" customFormat="1">
      <c r="A147" s="169"/>
      <c r="B147" s="163" t="s">
        <v>195</v>
      </c>
      <c r="C147" s="573">
        <f>'[43]Sch C'!D148</f>
        <v>202991.17</v>
      </c>
      <c r="D147" s="573">
        <f>'[43]Sch C'!F148</f>
        <v>0</v>
      </c>
      <c r="E147" s="171">
        <f t="shared" si="38"/>
        <v>202991.17</v>
      </c>
      <c r="F147" s="486">
        <v>-202991</v>
      </c>
      <c r="G147" s="171">
        <f t="shared" si="39"/>
        <v>0.17000000001280569</v>
      </c>
      <c r="H147" s="172">
        <f t="shared" si="40"/>
        <v>6.6394763451570569E-8</v>
      </c>
      <c r="I147" s="337"/>
      <c r="J147" s="183">
        <v>0</v>
      </c>
      <c r="K147" s="183">
        <v>0</v>
      </c>
      <c r="M147" s="364">
        <f t="shared" si="34"/>
        <v>1.1589855468557792E-5</v>
      </c>
      <c r="N147" s="359">
        <f>SUMMARY!J150</f>
        <v>3.2513399415635851E-2</v>
      </c>
      <c r="W147" s="568">
        <v>0</v>
      </c>
      <c r="X147" s="568">
        <v>0</v>
      </c>
      <c r="Y147" s="488">
        <v>0</v>
      </c>
      <c r="Z147" s="488">
        <v>0</v>
      </c>
    </row>
    <row r="148" spans="1:26" s="167" customFormat="1">
      <c r="A148" s="169"/>
      <c r="B148" s="163" t="s">
        <v>196</v>
      </c>
      <c r="C148" s="573">
        <f>'[43]Sch C'!D149</f>
        <v>309753.91000000003</v>
      </c>
      <c r="D148" s="573">
        <f>'[43]Sch C'!F149</f>
        <v>0</v>
      </c>
      <c r="E148" s="171">
        <f t="shared" si="38"/>
        <v>309753.91000000003</v>
      </c>
      <c r="F148" s="486">
        <v>-309754</v>
      </c>
      <c r="G148" s="171">
        <f t="shared" si="39"/>
        <v>-8.999999996740371E-2</v>
      </c>
      <c r="H148" s="172">
        <f t="shared" si="40"/>
        <v>-3.5150168870747098E-8</v>
      </c>
      <c r="I148" s="337"/>
      <c r="J148" s="183">
        <v>0</v>
      </c>
      <c r="K148" s="183">
        <v>0</v>
      </c>
      <c r="M148" s="364">
        <f t="shared" si="34"/>
        <v>-6.1358058336108336E-6</v>
      </c>
      <c r="N148" s="359">
        <f>SUMMARY!J151</f>
        <v>9.6307730537123507E-2</v>
      </c>
      <c r="W148" s="568">
        <v>0</v>
      </c>
      <c r="X148" s="568">
        <v>0</v>
      </c>
      <c r="Y148" s="488">
        <v>0</v>
      </c>
      <c r="Z148" s="488">
        <v>0</v>
      </c>
    </row>
    <row r="149" spans="1:26" s="167" customFormat="1">
      <c r="A149" s="169"/>
      <c r="B149" s="163" t="s">
        <v>197</v>
      </c>
      <c r="C149" s="573">
        <f>'[43]Sch C'!D150</f>
        <v>17428.13</v>
      </c>
      <c r="D149" s="573">
        <f>'[43]Sch C'!F150</f>
        <v>0</v>
      </c>
      <c r="E149" s="171">
        <f t="shared" si="38"/>
        <v>17428.13</v>
      </c>
      <c r="F149" s="486">
        <v>-17024</v>
      </c>
      <c r="G149" s="171">
        <f t="shared" si="39"/>
        <v>404.13000000000102</v>
      </c>
      <c r="H149" s="172">
        <f t="shared" si="40"/>
        <v>1.5783597500977699E-4</v>
      </c>
      <c r="I149" s="337"/>
      <c r="J149" s="183">
        <v>0</v>
      </c>
      <c r="K149" s="183">
        <v>0</v>
      </c>
      <c r="M149" s="364">
        <f t="shared" si="34"/>
        <v>2.7551813471502661E-2</v>
      </c>
      <c r="N149" s="359">
        <f>SUMMARY!J152</f>
        <v>0.33970063624696212</v>
      </c>
      <c r="W149" s="568">
        <v>0</v>
      </c>
      <c r="X149" s="568">
        <v>0</v>
      </c>
      <c r="Y149" s="488">
        <v>0</v>
      </c>
      <c r="Z149" s="488">
        <v>0</v>
      </c>
    </row>
    <row r="150" spans="1:26" s="167" customFormat="1" ht="15.5">
      <c r="A150" s="169">
        <v>110</v>
      </c>
      <c r="B150" s="167" t="s">
        <v>65</v>
      </c>
      <c r="C150" s="573">
        <f>'[43]Sch C'!D151</f>
        <v>93003.780000000013</v>
      </c>
      <c r="D150" s="573">
        <f>'[43]Sch C'!F151</f>
        <v>0</v>
      </c>
      <c r="E150" s="171">
        <f t="shared" si="38"/>
        <v>93003.780000000013</v>
      </c>
      <c r="F150" s="486"/>
      <c r="G150" s="171">
        <f t="shared" si="39"/>
        <v>93003.780000000013</v>
      </c>
      <c r="H150" s="172">
        <f t="shared" si="40"/>
        <v>3.6323317486686858E-2</v>
      </c>
      <c r="I150" s="337"/>
      <c r="J150" s="168"/>
      <c r="K150" s="168"/>
      <c r="M150" s="364">
        <f t="shared" si="34"/>
        <v>6.3405904008726486</v>
      </c>
      <c r="N150" s="359">
        <f>SUMMARY!J153</f>
        <v>5.9639933098495392</v>
      </c>
      <c r="W150"/>
      <c r="X150"/>
      <c r="Y150" s="527"/>
      <c r="Z150" s="527"/>
    </row>
    <row r="151" spans="1:26" s="167" customFormat="1" ht="15.5">
      <c r="A151" s="169">
        <v>111</v>
      </c>
      <c r="B151" s="170" t="s">
        <v>97</v>
      </c>
      <c r="C151" s="573">
        <f>'[43]Sch C'!D152</f>
        <v>0</v>
      </c>
      <c r="D151" s="573">
        <f>'[43]Sch C'!F152</f>
        <v>0</v>
      </c>
      <c r="E151" s="171">
        <f t="shared" si="38"/>
        <v>0</v>
      </c>
      <c r="F151" s="486"/>
      <c r="G151" s="171">
        <f t="shared" si="39"/>
        <v>0</v>
      </c>
      <c r="H151" s="172">
        <f t="shared" si="40"/>
        <v>0</v>
      </c>
      <c r="I151" s="337"/>
      <c r="J151" s="168"/>
      <c r="K151" s="168"/>
      <c r="M151" s="364">
        <f t="shared" si="34"/>
        <v>0</v>
      </c>
      <c r="N151" s="359">
        <f>SUMMARY!J154</f>
        <v>0.31252846181152888</v>
      </c>
      <c r="W151"/>
      <c r="X151"/>
      <c r="Y151" s="527"/>
      <c r="Z151" s="527"/>
    </row>
    <row r="152" spans="1:26" s="167" customFormat="1" ht="15.5">
      <c r="A152" s="169">
        <v>230</v>
      </c>
      <c r="B152" s="170" t="s">
        <v>66</v>
      </c>
      <c r="C152" s="573">
        <f>'[43]Sch C'!D153</f>
        <v>0</v>
      </c>
      <c r="D152" s="573">
        <f>'[43]Sch C'!F153</f>
        <v>0</v>
      </c>
      <c r="E152" s="171">
        <f t="shared" si="38"/>
        <v>0</v>
      </c>
      <c r="F152" s="486"/>
      <c r="G152" s="171">
        <f t="shared" si="39"/>
        <v>0</v>
      </c>
      <c r="H152" s="172">
        <f t="shared" si="40"/>
        <v>0</v>
      </c>
      <c r="I152" s="337"/>
      <c r="J152" s="168"/>
      <c r="K152" s="168"/>
      <c r="M152" s="364">
        <f t="shared" si="34"/>
        <v>0</v>
      </c>
      <c r="N152" s="359">
        <f>SUMMARY!J155</f>
        <v>0.16356998443516016</v>
      </c>
      <c r="W152"/>
      <c r="X152"/>
      <c r="Y152" s="527"/>
      <c r="Z152" s="527"/>
    </row>
    <row r="153" spans="1:26" s="167" customFormat="1" ht="15.5">
      <c r="A153" s="169">
        <v>430</v>
      </c>
      <c r="B153" s="170" t="s">
        <v>99</v>
      </c>
      <c r="C153" s="573">
        <f>'[43]Sch C'!D154</f>
        <v>0</v>
      </c>
      <c r="D153" s="573">
        <f>'[43]Sch C'!F154</f>
        <v>0</v>
      </c>
      <c r="E153" s="171">
        <f t="shared" si="38"/>
        <v>0</v>
      </c>
      <c r="F153" s="486"/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>
        <f t="shared" si="34"/>
        <v>0</v>
      </c>
      <c r="N153" s="359">
        <f>SUMMARY!J156</f>
        <v>0.98203545506676493</v>
      </c>
      <c r="W153"/>
      <c r="X153"/>
      <c r="Y153" s="527"/>
      <c r="Z153" s="527"/>
    </row>
    <row r="154" spans="1:26" s="167" customFormat="1" ht="15.5">
      <c r="A154" s="169"/>
      <c r="B154" s="209" t="s">
        <v>101</v>
      </c>
      <c r="C154" s="572"/>
      <c r="D154" s="572"/>
      <c r="E154" s="210"/>
      <c r="F154" s="210"/>
      <c r="G154" s="210"/>
      <c r="H154" s="211"/>
      <c r="I154" s="337"/>
      <c r="J154" s="168"/>
      <c r="K154" s="168"/>
      <c r="M154" s="364"/>
      <c r="N154" s="359"/>
      <c r="W154"/>
      <c r="X154"/>
      <c r="Y154" s="527"/>
      <c r="Z154" s="527"/>
    </row>
    <row r="155" spans="1:26" s="167" customFormat="1" ht="15.5">
      <c r="A155" s="169">
        <v>440.1</v>
      </c>
      <c r="B155" s="163" t="s">
        <v>223</v>
      </c>
      <c r="C155" s="573">
        <f>'[43]Sch C'!D156</f>
        <v>0</v>
      </c>
      <c r="D155" s="573">
        <f>'[43]Sch C'!F156</f>
        <v>0</v>
      </c>
      <c r="E155" s="171">
        <f t="shared" ref="E155:E160" si="41">C155+D155</f>
        <v>0</v>
      </c>
      <c r="F155" s="486"/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  <c r="W155"/>
      <c r="X155"/>
      <c r="Y155" s="527"/>
      <c r="Z155" s="527"/>
    </row>
    <row r="156" spans="1:26" s="167" customFormat="1" ht="15.5">
      <c r="A156" s="169">
        <v>440.2</v>
      </c>
      <c r="B156" s="163" t="s">
        <v>224</v>
      </c>
      <c r="C156" s="573">
        <f>'[43]Sch C'!D157</f>
        <v>0</v>
      </c>
      <c r="D156" s="573">
        <f>'[43]Sch C'!F157</f>
        <v>0</v>
      </c>
      <c r="E156" s="171">
        <f t="shared" si="41"/>
        <v>0</v>
      </c>
      <c r="F156" s="486"/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>
        <f t="shared" si="34"/>
        <v>0</v>
      </c>
      <c r="N156" s="359">
        <f>SUMMARY!J159</f>
        <v>2.1257535293957019E-2</v>
      </c>
      <c r="W156"/>
      <c r="X156"/>
      <c r="Y156" s="527"/>
      <c r="Z156" s="527"/>
    </row>
    <row r="157" spans="1:26" s="167" customFormat="1" ht="15.5">
      <c r="A157" s="169">
        <v>440.3</v>
      </c>
      <c r="B157" s="163" t="s">
        <v>225</v>
      </c>
      <c r="C157" s="573">
        <f>'[43]Sch C'!D158</f>
        <v>0</v>
      </c>
      <c r="D157" s="573">
        <f>'[43]Sch C'!F158</f>
        <v>0</v>
      </c>
      <c r="E157" s="171">
        <f t="shared" si="41"/>
        <v>0</v>
      </c>
      <c r="F157" s="486"/>
      <c r="G157" s="171">
        <f t="shared" si="42"/>
        <v>0</v>
      </c>
      <c r="H157" s="172">
        <f t="shared" si="43"/>
        <v>0</v>
      </c>
      <c r="I157" s="337"/>
      <c r="J157" s="168"/>
      <c r="K157" s="168"/>
      <c r="M157" s="364">
        <f t="shared" si="34"/>
        <v>0</v>
      </c>
      <c r="N157" s="359">
        <f>SUMMARY!J160</f>
        <v>4.0452199557630868E-3</v>
      </c>
      <c r="W157"/>
      <c r="X157"/>
      <c r="Y157" s="527"/>
      <c r="Z157" s="527"/>
    </row>
    <row r="158" spans="1:26" s="167" customFormat="1" ht="15.5">
      <c r="A158" s="169">
        <v>440.4</v>
      </c>
      <c r="B158" s="163" t="s">
        <v>226</v>
      </c>
      <c r="C158" s="573">
        <f>'[43]Sch C'!D159</f>
        <v>0</v>
      </c>
      <c r="D158" s="573">
        <f>'[43]Sch C'!F159</f>
        <v>0</v>
      </c>
      <c r="E158" s="171">
        <f t="shared" si="41"/>
        <v>0</v>
      </c>
      <c r="F158" s="486"/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  <c r="W158"/>
      <c r="X158"/>
      <c r="Y158" s="527"/>
      <c r="Z158" s="527"/>
    </row>
    <row r="159" spans="1:26" s="167" customFormat="1" ht="15.5">
      <c r="A159" s="169">
        <v>440.5</v>
      </c>
      <c r="B159" s="163" t="s">
        <v>301</v>
      </c>
      <c r="C159" s="573">
        <f>'[43]Sch C'!D160</f>
        <v>0</v>
      </c>
      <c r="D159" s="573">
        <f>'[43]Sch C'!F160</f>
        <v>0</v>
      </c>
      <c r="E159" s="171">
        <f t="shared" si="41"/>
        <v>0</v>
      </c>
      <c r="F159" s="486"/>
      <c r="G159" s="171">
        <f t="shared" si="42"/>
        <v>0</v>
      </c>
      <c r="H159" s="172">
        <f>IF($G$208=0,0,G159/$G$208)</f>
        <v>0</v>
      </c>
      <c r="I159" s="337"/>
      <c r="J159" s="168"/>
      <c r="K159" s="168"/>
      <c r="M159" s="364">
        <f t="shared" si="34"/>
        <v>0</v>
      </c>
      <c r="N159" s="359">
        <f>SUMMARY!J162</f>
        <v>6.5155839545615896E-3</v>
      </c>
      <c r="W159"/>
      <c r="X159"/>
      <c r="Y159" s="527"/>
      <c r="Z159" s="527"/>
    </row>
    <row r="160" spans="1:26" s="167" customFormat="1" ht="15.5">
      <c r="A160" s="169">
        <v>490</v>
      </c>
      <c r="B160" s="202" t="s">
        <v>315</v>
      </c>
      <c r="C160" s="573">
        <f>'[43]Sch C'!D161</f>
        <v>1474.74</v>
      </c>
      <c r="D160" s="573">
        <f>'[43]Sch C'!F161</f>
        <v>0</v>
      </c>
      <c r="E160" s="171">
        <f t="shared" si="41"/>
        <v>1474.74</v>
      </c>
      <c r="F160" s="486"/>
      <c r="G160" s="171">
        <f t="shared" si="42"/>
        <v>1474.74</v>
      </c>
      <c r="H160" s="172">
        <f t="shared" si="43"/>
        <v>5.7597066732466761E-4</v>
      </c>
      <c r="I160" s="337"/>
      <c r="J160" s="168"/>
      <c r="K160" s="168"/>
      <c r="M160" s="364">
        <f t="shared" si="34"/>
        <v>0.10054131442596127</v>
      </c>
      <c r="N160" s="359">
        <f>SUMMARY!J163</f>
        <v>0.61572967423063263</v>
      </c>
      <c r="W160"/>
      <c r="X160"/>
      <c r="Y160" s="527"/>
      <c r="Z160" s="527"/>
    </row>
    <row r="161" spans="1:26" s="167" customFormat="1" ht="15.5">
      <c r="A161" s="169"/>
      <c r="B161" s="170" t="s">
        <v>233</v>
      </c>
      <c r="C161" s="573">
        <f>SUM(C123:C160)</f>
        <v>815472.26000000013</v>
      </c>
      <c r="D161" s="573">
        <f>SUM(D123:D160)</f>
        <v>185808.79</v>
      </c>
      <c r="E161" s="171">
        <f t="shared" ref="E161" si="44">SUM(E123:E160)</f>
        <v>1001281.05</v>
      </c>
      <c r="F161" s="171">
        <f>SUM(F123:F160)</f>
        <v>-1932</v>
      </c>
      <c r="G161" s="171">
        <f>SUM(G123:G160)</f>
        <v>999349.05</v>
      </c>
      <c r="H161" s="172">
        <f t="shared" si="43"/>
        <v>0.39030319867825691</v>
      </c>
      <c r="I161" s="337"/>
      <c r="J161" s="168"/>
      <c r="K161" s="168"/>
      <c r="M161" s="364">
        <f>G161/G$228</f>
        <v>68.131241478047457</v>
      </c>
      <c r="N161" s="359">
        <f>SUMMARY!J164</f>
        <v>98.597321527877028</v>
      </c>
      <c r="W161"/>
      <c r="X161"/>
      <c r="Y161" s="527"/>
      <c r="Z161" s="527"/>
    </row>
    <row r="162" spans="1:26" s="167" customFormat="1" ht="15.5">
      <c r="A162" s="169"/>
      <c r="B162" s="170"/>
      <c r="C162" s="196"/>
      <c r="D162" s="196"/>
      <c r="E162" s="196"/>
      <c r="F162" s="196"/>
      <c r="G162" s="196"/>
      <c r="H162" s="197"/>
      <c r="I162" s="337"/>
      <c r="J162" s="168"/>
      <c r="K162" s="168"/>
      <c r="M162" s="359"/>
      <c r="N162" s="359"/>
      <c r="W162"/>
      <c r="X162"/>
      <c r="Y162" s="527"/>
      <c r="Z162" s="527"/>
    </row>
    <row r="163" spans="1:26" s="167" customFormat="1" ht="15.5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7"/>
      <c r="J163" s="168"/>
      <c r="K163" s="168"/>
      <c r="M163" s="359"/>
      <c r="N163" s="359"/>
      <c r="W163"/>
      <c r="X163"/>
      <c r="Y163" s="527"/>
      <c r="Z163" s="527"/>
    </row>
    <row r="164" spans="1:26" s="221" customFormat="1">
      <c r="A164" s="215" t="s">
        <v>95</v>
      </c>
      <c r="B164" s="148" t="s">
        <v>102</v>
      </c>
      <c r="C164" s="573">
        <f>'[43]Sch C'!D175</f>
        <v>0</v>
      </c>
      <c r="D164" s="573">
        <f>'[43]Sch C'!F175</f>
        <v>0</v>
      </c>
      <c r="E164" s="171">
        <f t="shared" ref="E164:E196" si="45">C164+D164</f>
        <v>0</v>
      </c>
      <c r="F164" s="486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183">
        <v>0</v>
      </c>
      <c r="K164" s="183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  <c r="W164" s="569">
        <v>0</v>
      </c>
      <c r="X164" s="569">
        <v>0</v>
      </c>
      <c r="Y164" s="488">
        <v>0</v>
      </c>
      <c r="Z164" s="488">
        <v>0</v>
      </c>
    </row>
    <row r="165" spans="1:26" s="221" customFormat="1" ht="15.5">
      <c r="A165" s="215" t="s">
        <v>123</v>
      </c>
      <c r="B165" s="148" t="s">
        <v>103</v>
      </c>
      <c r="C165" s="573">
        <f>'[43]Sch C'!D176</f>
        <v>0</v>
      </c>
      <c r="D165" s="573">
        <f>'[43]Sch C'!F176</f>
        <v>0</v>
      </c>
      <c r="E165" s="171">
        <f t="shared" si="45"/>
        <v>0</v>
      </c>
      <c r="F165" s="486"/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  <c r="W165"/>
      <c r="X165"/>
      <c r="Y165" s="533"/>
      <c r="Z165" s="533"/>
    </row>
    <row r="166" spans="1:26" s="221" customFormat="1">
      <c r="A166" s="215" t="s">
        <v>124</v>
      </c>
      <c r="B166" s="148" t="s">
        <v>104</v>
      </c>
      <c r="C166" s="573">
        <f>'[43]Sch C'!D177</f>
        <v>0</v>
      </c>
      <c r="D166" s="573">
        <f>'[43]Sch C'!F177</f>
        <v>0</v>
      </c>
      <c r="E166" s="171">
        <f t="shared" si="45"/>
        <v>0</v>
      </c>
      <c r="F166" s="486"/>
      <c r="G166" s="171">
        <f t="shared" si="46"/>
        <v>0</v>
      </c>
      <c r="H166" s="172">
        <f t="shared" si="47"/>
        <v>0</v>
      </c>
      <c r="I166" s="343"/>
      <c r="J166" s="183">
        <v>0</v>
      </c>
      <c r="K166" s="183">
        <v>0</v>
      </c>
      <c r="L166" s="218"/>
      <c r="M166" s="364">
        <f t="shared" si="48"/>
        <v>0</v>
      </c>
      <c r="N166" s="359">
        <f>SUMMARY!J169</f>
        <v>4.5899160973212085</v>
      </c>
      <c r="O166" s="220"/>
      <c r="P166" s="220"/>
      <c r="Q166" s="220"/>
      <c r="W166" s="569">
        <v>0</v>
      </c>
      <c r="X166" s="569">
        <v>0</v>
      </c>
      <c r="Y166" s="488">
        <v>0</v>
      </c>
      <c r="Z166" s="488">
        <v>0</v>
      </c>
    </row>
    <row r="167" spans="1:26" s="221" customFormat="1" ht="15.5">
      <c r="A167" s="215" t="s">
        <v>157</v>
      </c>
      <c r="B167" s="148" t="s">
        <v>105</v>
      </c>
      <c r="C167" s="573">
        <f>'[43]Sch C'!D178</f>
        <v>0</v>
      </c>
      <c r="D167" s="573">
        <f>'[43]Sch C'!F178</f>
        <v>0</v>
      </c>
      <c r="E167" s="171">
        <f t="shared" si="45"/>
        <v>0</v>
      </c>
      <c r="F167" s="486"/>
      <c r="G167" s="171">
        <f t="shared" si="46"/>
        <v>0</v>
      </c>
      <c r="H167" s="172">
        <f t="shared" si="47"/>
        <v>0</v>
      </c>
      <c r="I167" s="344"/>
      <c r="J167" s="222"/>
      <c r="K167" s="222"/>
      <c r="L167" s="218"/>
      <c r="M167" s="364">
        <f t="shared" si="48"/>
        <v>0</v>
      </c>
      <c r="N167" s="359">
        <f>SUMMARY!J170</f>
        <v>0.83466769369350857</v>
      </c>
      <c r="O167" s="220"/>
      <c r="P167" s="220"/>
      <c r="Q167" s="220"/>
      <c r="W167"/>
      <c r="X167"/>
      <c r="Y167" s="533"/>
      <c r="Z167" s="533"/>
    </row>
    <row r="168" spans="1:26" s="221" customFormat="1">
      <c r="A168" s="215" t="s">
        <v>158</v>
      </c>
      <c r="B168" s="148" t="s">
        <v>316</v>
      </c>
      <c r="C168" s="573">
        <f>'[43]Sch C'!D179</f>
        <v>0</v>
      </c>
      <c r="D168" s="573">
        <f>'[43]Sch C'!F179</f>
        <v>0</v>
      </c>
      <c r="E168" s="171">
        <f t="shared" si="45"/>
        <v>0</v>
      </c>
      <c r="F168" s="486"/>
      <c r="G168" s="171">
        <f t="shared" si="46"/>
        <v>0</v>
      </c>
      <c r="H168" s="172">
        <f t="shared" si="47"/>
        <v>0</v>
      </c>
      <c r="I168" s="343"/>
      <c r="J168" s="183">
        <v>0</v>
      </c>
      <c r="K168" s="183">
        <v>0</v>
      </c>
      <c r="L168" s="218"/>
      <c r="M168" s="364">
        <f t="shared" si="48"/>
        <v>0</v>
      </c>
      <c r="N168" s="359">
        <f>SUMMARY!J171</f>
        <v>0.77161464733349716</v>
      </c>
      <c r="O168" s="220"/>
      <c r="P168" s="220"/>
      <c r="Q168" s="220"/>
      <c r="W168" s="569">
        <v>0</v>
      </c>
      <c r="X168" s="569">
        <v>0</v>
      </c>
      <c r="Y168" s="488">
        <v>0</v>
      </c>
      <c r="Z168" s="488">
        <v>0</v>
      </c>
    </row>
    <row r="169" spans="1:26" s="221" customFormat="1" ht="15.5">
      <c r="A169" s="215" t="s">
        <v>86</v>
      </c>
      <c r="B169" s="148" t="s">
        <v>317</v>
      </c>
      <c r="C169" s="573">
        <f>'[43]Sch C'!D180</f>
        <v>0</v>
      </c>
      <c r="D169" s="573">
        <f>'[43]Sch C'!F180</f>
        <v>0</v>
      </c>
      <c r="E169" s="171">
        <f t="shared" si="45"/>
        <v>0</v>
      </c>
      <c r="F169" s="486"/>
      <c r="G169" s="171">
        <f t="shared" si="46"/>
        <v>0</v>
      </c>
      <c r="H169" s="172">
        <f t="shared" si="47"/>
        <v>0</v>
      </c>
      <c r="I169" s="344"/>
      <c r="J169" s="222"/>
      <c r="K169" s="222"/>
      <c r="L169" s="218"/>
      <c r="M169" s="364">
        <f t="shared" si="48"/>
        <v>0</v>
      </c>
      <c r="N169" s="359">
        <f>SUMMARY!J172</f>
        <v>0.13394964091641409</v>
      </c>
      <c r="O169" s="220"/>
      <c r="P169" s="220"/>
      <c r="Q169" s="220"/>
      <c r="W169"/>
      <c r="X169"/>
      <c r="Y169" s="533"/>
      <c r="Z169" s="533"/>
    </row>
    <row r="170" spans="1:26" s="221" customFormat="1">
      <c r="A170" s="215" t="s">
        <v>96</v>
      </c>
      <c r="B170" s="148" t="s">
        <v>318</v>
      </c>
      <c r="C170" s="573">
        <f>'[43]Sch C'!D181</f>
        <v>0</v>
      </c>
      <c r="D170" s="573">
        <f>'[43]Sch C'!F181</f>
        <v>0</v>
      </c>
      <c r="E170" s="171">
        <f t="shared" si="45"/>
        <v>0</v>
      </c>
      <c r="F170" s="486"/>
      <c r="G170" s="171">
        <f t="shared" si="46"/>
        <v>0</v>
      </c>
      <c r="H170" s="172">
        <f t="shared" si="47"/>
        <v>0</v>
      </c>
      <c r="I170" s="343"/>
      <c r="J170" s="183">
        <v>0</v>
      </c>
      <c r="K170" s="183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  <c r="W170" s="569">
        <v>0</v>
      </c>
      <c r="X170" s="569">
        <v>0</v>
      </c>
      <c r="Y170" s="488">
        <v>0</v>
      </c>
      <c r="Z170" s="488">
        <v>0</v>
      </c>
    </row>
    <row r="171" spans="1:26" s="221" customFormat="1" ht="15.5">
      <c r="A171" s="215" t="s">
        <v>125</v>
      </c>
      <c r="B171" s="148" t="s">
        <v>109</v>
      </c>
      <c r="C171" s="573">
        <f>'[43]Sch C'!D182</f>
        <v>0</v>
      </c>
      <c r="D171" s="573">
        <f>'[43]Sch C'!F182</f>
        <v>0</v>
      </c>
      <c r="E171" s="171">
        <f t="shared" si="45"/>
        <v>0</v>
      </c>
      <c r="F171" s="486"/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  <c r="W171"/>
      <c r="X171"/>
      <c r="Y171" s="533"/>
      <c r="Z171" s="533"/>
    </row>
    <row r="172" spans="1:26" s="221" customFormat="1">
      <c r="A172" s="215" t="s">
        <v>126</v>
      </c>
      <c r="B172" s="148" t="s">
        <v>319</v>
      </c>
      <c r="C172" s="573">
        <f>'[43]Sch C'!D183</f>
        <v>0</v>
      </c>
      <c r="D172" s="573">
        <f>'[43]Sch C'!F183</f>
        <v>0</v>
      </c>
      <c r="E172" s="171">
        <f t="shared" si="45"/>
        <v>0</v>
      </c>
      <c r="F172" s="486"/>
      <c r="G172" s="171">
        <f t="shared" si="46"/>
        <v>0</v>
      </c>
      <c r="H172" s="172">
        <f t="shared" si="47"/>
        <v>0</v>
      </c>
      <c r="I172" s="343"/>
      <c r="J172" s="183">
        <v>0</v>
      </c>
      <c r="K172" s="183">
        <v>0</v>
      </c>
      <c r="L172" s="218"/>
      <c r="M172" s="364">
        <f t="shared" si="48"/>
        <v>0</v>
      </c>
      <c r="N172" s="359">
        <f>SUMMARY!J175</f>
        <v>2.5941162939297122</v>
      </c>
      <c r="O172" s="220"/>
      <c r="P172" s="220"/>
      <c r="Q172" s="220"/>
      <c r="W172" s="569">
        <v>0</v>
      </c>
      <c r="X172" s="569">
        <v>0</v>
      </c>
      <c r="Y172" s="488">
        <v>0</v>
      </c>
      <c r="Z172" s="488">
        <v>0</v>
      </c>
    </row>
    <row r="173" spans="1:26" s="221" customFormat="1" ht="15.5">
      <c r="A173" s="215" t="s">
        <v>127</v>
      </c>
      <c r="B173" s="148" t="s">
        <v>111</v>
      </c>
      <c r="C173" s="573">
        <f>'[43]Sch C'!D184</f>
        <v>0</v>
      </c>
      <c r="D173" s="573">
        <f>'[43]Sch C'!F184</f>
        <v>0</v>
      </c>
      <c r="E173" s="171">
        <f t="shared" si="45"/>
        <v>0</v>
      </c>
      <c r="F173" s="486"/>
      <c r="G173" s="171">
        <f t="shared" si="46"/>
        <v>0</v>
      </c>
      <c r="H173" s="172">
        <f t="shared" si="47"/>
        <v>0</v>
      </c>
      <c r="I173" s="344"/>
      <c r="J173" s="222"/>
      <c r="K173" s="222"/>
      <c r="L173" s="218"/>
      <c r="M173" s="364">
        <f t="shared" si="48"/>
        <v>0</v>
      </c>
      <c r="N173" s="359">
        <f>SUMMARY!J176</f>
        <v>0.43431776693811036</v>
      </c>
      <c r="O173" s="220"/>
      <c r="P173" s="220"/>
      <c r="Q173" s="220"/>
      <c r="W173"/>
      <c r="X173"/>
      <c r="Y173" s="533"/>
      <c r="Z173" s="533"/>
    </row>
    <row r="174" spans="1:26" s="221" customFormat="1">
      <c r="A174" s="215" t="s">
        <v>128</v>
      </c>
      <c r="B174" s="148" t="s">
        <v>320</v>
      </c>
      <c r="C174" s="573">
        <f>'[43]Sch C'!D185</f>
        <v>0</v>
      </c>
      <c r="D174" s="573">
        <f>'[43]Sch C'!F185</f>
        <v>0</v>
      </c>
      <c r="E174" s="171">
        <f t="shared" si="45"/>
        <v>0</v>
      </c>
      <c r="F174" s="486"/>
      <c r="G174" s="171">
        <f t="shared" si="46"/>
        <v>0</v>
      </c>
      <c r="H174" s="172">
        <f t="shared" si="47"/>
        <v>0</v>
      </c>
      <c r="I174" s="343"/>
      <c r="J174" s="183">
        <v>0</v>
      </c>
      <c r="K174" s="183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  <c r="W174" s="569">
        <v>0</v>
      </c>
      <c r="X174" s="569">
        <v>0</v>
      </c>
      <c r="Y174" s="488">
        <v>0</v>
      </c>
      <c r="Z174" s="488">
        <v>0</v>
      </c>
    </row>
    <row r="175" spans="1:26" s="221" customFormat="1" ht="15.5">
      <c r="A175" s="215" t="s">
        <v>129</v>
      </c>
      <c r="B175" s="148" t="s">
        <v>321</v>
      </c>
      <c r="C175" s="573">
        <f>'[43]Sch C'!D186</f>
        <v>0</v>
      </c>
      <c r="D175" s="573">
        <f>'[43]Sch C'!F186</f>
        <v>0</v>
      </c>
      <c r="E175" s="171">
        <f t="shared" si="45"/>
        <v>0</v>
      </c>
      <c r="F175" s="486"/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  <c r="W175"/>
      <c r="X175"/>
      <c r="Y175" s="534"/>
      <c r="Z175" s="535"/>
    </row>
    <row r="176" spans="1:26" s="221" customFormat="1" ht="15.5">
      <c r="A176" s="224" t="s">
        <v>293</v>
      </c>
      <c r="B176" s="148" t="s">
        <v>154</v>
      </c>
      <c r="C176" s="573">
        <f>'[43]Sch C'!D187</f>
        <v>0</v>
      </c>
      <c r="D176" s="573">
        <f>'[43]Sch C'!F187</f>
        <v>0</v>
      </c>
      <c r="E176" s="171">
        <f t="shared" si="45"/>
        <v>0</v>
      </c>
      <c r="F176" s="486"/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  <c r="W176"/>
      <c r="X176"/>
      <c r="Y176" s="534"/>
      <c r="Z176" s="535"/>
    </row>
    <row r="177" spans="1:26" s="221" customFormat="1" ht="15.5">
      <c r="A177" s="224" t="s">
        <v>294</v>
      </c>
      <c r="B177" s="148" t="s">
        <v>322</v>
      </c>
      <c r="C177" s="573">
        <f>'[43]Sch C'!D188</f>
        <v>0</v>
      </c>
      <c r="D177" s="573">
        <f>'[43]Sch C'!F188</f>
        <v>0</v>
      </c>
      <c r="E177" s="171">
        <f t="shared" si="45"/>
        <v>0</v>
      </c>
      <c r="F177" s="486"/>
      <c r="G177" s="171">
        <f t="shared" si="46"/>
        <v>0</v>
      </c>
      <c r="H177" s="172">
        <f t="shared" si="47"/>
        <v>0</v>
      </c>
      <c r="I177" s="337"/>
      <c r="J177" s="223"/>
      <c r="K177" s="218"/>
      <c r="L177" s="220"/>
      <c r="M177" s="364">
        <f t="shared" si="48"/>
        <v>0</v>
      </c>
      <c r="N177" s="359">
        <f>SUMMARY!J180</f>
        <v>9.0641762922913108E-2</v>
      </c>
      <c r="O177" s="220"/>
      <c r="P177" s="220"/>
      <c r="W177"/>
      <c r="X177"/>
      <c r="Y177" s="534"/>
      <c r="Z177" s="535"/>
    </row>
    <row r="178" spans="1:26" s="221" customFormat="1" ht="15.5">
      <c r="A178" s="224" t="s">
        <v>295</v>
      </c>
      <c r="B178" s="148" t="s">
        <v>323</v>
      </c>
      <c r="C178" s="573">
        <f>'[43]Sch C'!D189</f>
        <v>0</v>
      </c>
      <c r="D178" s="573">
        <f>'[43]Sch C'!F189</f>
        <v>0</v>
      </c>
      <c r="E178" s="171">
        <f t="shared" si="45"/>
        <v>0</v>
      </c>
      <c r="F178" s="486"/>
      <c r="G178" s="171">
        <f t="shared" si="46"/>
        <v>0</v>
      </c>
      <c r="H178" s="172">
        <f t="shared" si="47"/>
        <v>0</v>
      </c>
      <c r="I178" s="337"/>
      <c r="J178" s="223"/>
      <c r="K178" s="218"/>
      <c r="L178" s="220"/>
      <c r="M178" s="364">
        <f t="shared" si="48"/>
        <v>0</v>
      </c>
      <c r="N178" s="359">
        <f>SUMMARY!J181</f>
        <v>1.778645585866033E-2</v>
      </c>
      <c r="O178" s="220"/>
      <c r="P178" s="220"/>
      <c r="W178"/>
      <c r="X178"/>
      <c r="Y178" s="534"/>
      <c r="Z178" s="535"/>
    </row>
    <row r="179" spans="1:26" s="221" customFormat="1" ht="15.5">
      <c r="A179" s="224" t="s">
        <v>296</v>
      </c>
      <c r="B179" s="148" t="s">
        <v>324</v>
      </c>
      <c r="C179" s="573">
        <f>'[43]Sch C'!D190</f>
        <v>0</v>
      </c>
      <c r="D179" s="573">
        <f>'[43]Sch C'!F190</f>
        <v>0</v>
      </c>
      <c r="E179" s="171">
        <f t="shared" si="45"/>
        <v>0</v>
      </c>
      <c r="F179" s="486"/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  <c r="W179"/>
      <c r="X179"/>
      <c r="Y179" s="534"/>
      <c r="Z179" s="535"/>
    </row>
    <row r="180" spans="1:26" s="221" customFormat="1" ht="15.5">
      <c r="A180" s="224" t="s">
        <v>297</v>
      </c>
      <c r="B180" s="148" t="s">
        <v>325</v>
      </c>
      <c r="C180" s="573">
        <f>'[43]Sch C'!D191</f>
        <v>0</v>
      </c>
      <c r="D180" s="573">
        <f>'[43]Sch C'!F191</f>
        <v>0</v>
      </c>
      <c r="E180" s="171">
        <f t="shared" si="45"/>
        <v>0</v>
      </c>
      <c r="F180" s="486"/>
      <c r="G180" s="171">
        <f t="shared" si="46"/>
        <v>0</v>
      </c>
      <c r="H180" s="172">
        <f t="shared" si="47"/>
        <v>0</v>
      </c>
      <c r="I180" s="337"/>
      <c r="J180" s="223"/>
      <c r="K180" s="218"/>
      <c r="L180" s="220"/>
      <c r="M180" s="364">
        <f t="shared" si="48"/>
        <v>0</v>
      </c>
      <c r="N180" s="359">
        <f>SUMMARY!J183</f>
        <v>1.8462734496600307E-2</v>
      </c>
      <c r="O180" s="220"/>
      <c r="P180" s="220"/>
      <c r="W180"/>
      <c r="X180"/>
      <c r="Y180" s="534"/>
      <c r="Z180" s="535"/>
    </row>
    <row r="181" spans="1:26" s="221" customFormat="1" ht="15.5">
      <c r="A181" s="224" t="s">
        <v>298</v>
      </c>
      <c r="B181" s="148" t="s">
        <v>117</v>
      </c>
      <c r="C181" s="573">
        <f>'[43]Sch C'!D192</f>
        <v>0</v>
      </c>
      <c r="D181" s="573">
        <f>'[43]Sch C'!F192</f>
        <v>0</v>
      </c>
      <c r="E181" s="171">
        <f t="shared" si="45"/>
        <v>0</v>
      </c>
      <c r="F181" s="486"/>
      <c r="G181" s="171">
        <f t="shared" si="46"/>
        <v>0</v>
      </c>
      <c r="H181" s="172">
        <f t="shared" si="47"/>
        <v>0</v>
      </c>
      <c r="I181" s="337"/>
      <c r="J181" s="223"/>
      <c r="K181" s="218"/>
      <c r="L181" s="220"/>
      <c r="M181" s="364">
        <f t="shared" si="48"/>
        <v>0</v>
      </c>
      <c r="N181" s="359">
        <f>SUMMARY!J184</f>
        <v>0.21032919363206901</v>
      </c>
      <c r="O181" s="220"/>
      <c r="P181" s="220"/>
      <c r="W181"/>
      <c r="X181"/>
      <c r="Y181" s="534"/>
      <c r="Z181" s="535"/>
    </row>
    <row r="182" spans="1:26" s="221" customFormat="1" ht="15.5">
      <c r="A182" s="224" t="s">
        <v>132</v>
      </c>
      <c r="B182" s="148" t="s">
        <v>118</v>
      </c>
      <c r="C182" s="573">
        <f>'[43]Sch C'!D193</f>
        <v>0</v>
      </c>
      <c r="D182" s="573">
        <f>'[43]Sch C'!F193</f>
        <v>0</v>
      </c>
      <c r="E182" s="171">
        <f t="shared" si="45"/>
        <v>0</v>
      </c>
      <c r="F182" s="486"/>
      <c r="G182" s="171">
        <f t="shared" si="46"/>
        <v>0</v>
      </c>
      <c r="H182" s="172">
        <f t="shared" si="47"/>
        <v>0</v>
      </c>
      <c r="I182" s="337"/>
      <c r="J182" s="223"/>
      <c r="K182" s="218"/>
      <c r="L182" s="220"/>
      <c r="M182" s="364">
        <f t="shared" si="48"/>
        <v>0</v>
      </c>
      <c r="N182" s="359">
        <f>SUMMARY!J185</f>
        <v>4.5937156276453409E-2</v>
      </c>
      <c r="O182" s="220"/>
      <c r="P182" s="220"/>
      <c r="W182"/>
      <c r="X182"/>
      <c r="Y182" s="534"/>
      <c r="Z182" s="535"/>
    </row>
    <row r="183" spans="1:26" s="221" customFormat="1" ht="15.5">
      <c r="A183" s="224" t="s">
        <v>133</v>
      </c>
      <c r="B183" s="148" t="s">
        <v>119</v>
      </c>
      <c r="C183" s="573">
        <f>'[43]Sch C'!D194</f>
        <v>75419</v>
      </c>
      <c r="D183" s="573">
        <f>'[43]Sch C'!F194</f>
        <v>0</v>
      </c>
      <c r="E183" s="171">
        <f t="shared" si="45"/>
        <v>75419</v>
      </c>
      <c r="F183" s="486"/>
      <c r="G183" s="171">
        <f t="shared" si="46"/>
        <v>75419</v>
      </c>
      <c r="H183" s="172">
        <f t="shared" si="47"/>
        <v>2.9455450966922377E-2</v>
      </c>
      <c r="I183" s="337"/>
      <c r="J183" s="223"/>
      <c r="K183" s="218"/>
      <c r="M183" s="364">
        <f t="shared" si="48"/>
        <v>5.1417371148077446</v>
      </c>
      <c r="N183" s="359">
        <f>SUMMARY!J186</f>
        <v>7.3129851396739571</v>
      </c>
      <c r="O183" s="220"/>
      <c r="P183" s="220"/>
      <c r="W183"/>
      <c r="X183"/>
      <c r="Y183" s="534"/>
      <c r="Z183" s="535"/>
    </row>
    <row r="184" spans="1:26" s="221" customFormat="1" ht="15.5">
      <c r="A184" s="224" t="s">
        <v>134</v>
      </c>
      <c r="B184" s="148" t="s">
        <v>326</v>
      </c>
      <c r="C184" s="573">
        <f>'[43]Sch C'!D195</f>
        <v>0</v>
      </c>
      <c r="D184" s="573">
        <f>'[43]Sch C'!F195</f>
        <v>0</v>
      </c>
      <c r="E184" s="171">
        <f t="shared" si="45"/>
        <v>0</v>
      </c>
      <c r="F184" s="486"/>
      <c r="G184" s="171">
        <f t="shared" si="46"/>
        <v>0</v>
      </c>
      <c r="H184" s="172">
        <f t="shared" si="47"/>
        <v>0</v>
      </c>
      <c r="I184" s="337"/>
      <c r="J184" s="223"/>
      <c r="K184" s="218"/>
      <c r="M184" s="364">
        <f t="shared" si="48"/>
        <v>0</v>
      </c>
      <c r="N184" s="359">
        <f>SUMMARY!J187</f>
        <v>1.617871871330657</v>
      </c>
      <c r="O184" s="220"/>
      <c r="P184" s="220"/>
      <c r="W184"/>
      <c r="X184"/>
      <c r="Y184" s="534"/>
      <c r="Z184" s="535"/>
    </row>
    <row r="185" spans="1:26" s="221" customFormat="1" ht="15.5">
      <c r="A185" s="224" t="s">
        <v>135</v>
      </c>
      <c r="B185" s="148" t="s">
        <v>327</v>
      </c>
      <c r="C185" s="573">
        <f>'[43]Sch C'!D196</f>
        <v>0</v>
      </c>
      <c r="D185" s="573">
        <f>'[43]Sch C'!F196</f>
        <v>0</v>
      </c>
      <c r="E185" s="171">
        <f t="shared" si="45"/>
        <v>0</v>
      </c>
      <c r="F185" s="486"/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  <c r="W185"/>
      <c r="X185"/>
      <c r="Y185" s="534"/>
      <c r="Z185" s="535"/>
    </row>
    <row r="186" spans="1:26" s="221" customFormat="1" ht="15.5">
      <c r="A186" s="224" t="s">
        <v>136</v>
      </c>
      <c r="B186" s="148" t="s">
        <v>328</v>
      </c>
      <c r="C186" s="573">
        <f>'[43]Sch C'!D197</f>
        <v>79240.52</v>
      </c>
      <c r="D186" s="573">
        <f>'[43]Sch C'!F197</f>
        <v>0</v>
      </c>
      <c r="E186" s="171">
        <f t="shared" si="45"/>
        <v>79240.52</v>
      </c>
      <c r="F186" s="486"/>
      <c r="G186" s="171">
        <f t="shared" si="46"/>
        <v>79240.52</v>
      </c>
      <c r="H186" s="172">
        <f t="shared" si="47"/>
        <v>3.094797400460669E-2</v>
      </c>
      <c r="I186" s="337"/>
      <c r="J186" s="223"/>
      <c r="K186" s="218"/>
      <c r="M186" s="364">
        <f t="shared" si="48"/>
        <v>5.4022716116716669</v>
      </c>
      <c r="N186" s="359">
        <f>SUMMARY!J189</f>
        <v>5.0698778515059661</v>
      </c>
      <c r="O186" s="220"/>
      <c r="P186" s="220"/>
      <c r="W186"/>
      <c r="X186"/>
      <c r="Y186" s="534"/>
      <c r="Z186" s="535"/>
    </row>
    <row r="187" spans="1:26" s="221" customFormat="1" ht="15.5">
      <c r="A187" s="224" t="s">
        <v>137</v>
      </c>
      <c r="B187" s="148" t="s">
        <v>122</v>
      </c>
      <c r="C187" s="573">
        <f>'[43]Sch C'!D198</f>
        <v>10962.5</v>
      </c>
      <c r="D187" s="573">
        <f>'[43]Sch C'!F198</f>
        <v>0</v>
      </c>
      <c r="E187" s="171">
        <f t="shared" si="45"/>
        <v>10962.5</v>
      </c>
      <c r="F187" s="486"/>
      <c r="G187" s="171">
        <f t="shared" si="46"/>
        <v>10962.5</v>
      </c>
      <c r="H187" s="172">
        <f t="shared" si="47"/>
        <v>4.2814858487236181E-3</v>
      </c>
      <c r="I187" s="337"/>
      <c r="J187" s="223"/>
      <c r="K187" s="218"/>
      <c r="M187" s="364">
        <f t="shared" si="48"/>
        <v>0.74737523861467137</v>
      </c>
      <c r="N187" s="359">
        <f>SUMMARY!J190</f>
        <v>1.3048000054613476</v>
      </c>
      <c r="O187" s="220"/>
      <c r="P187" s="220"/>
      <c r="W187"/>
      <c r="X187"/>
      <c r="Y187" s="534"/>
      <c r="Z187" s="535"/>
    </row>
    <row r="188" spans="1:26" s="221" customFormat="1" ht="15.5">
      <c r="A188" s="224" t="s">
        <v>275</v>
      </c>
      <c r="B188" s="148" t="s">
        <v>329</v>
      </c>
      <c r="C188" s="573">
        <f>'[43]Sch C'!D199</f>
        <v>0</v>
      </c>
      <c r="D188" s="573">
        <f>'[43]Sch C'!F199</f>
        <v>0</v>
      </c>
      <c r="E188" s="171">
        <f t="shared" si="45"/>
        <v>0</v>
      </c>
      <c r="F188" s="486"/>
      <c r="G188" s="171">
        <f t="shared" si="46"/>
        <v>0</v>
      </c>
      <c r="H188" s="172">
        <f t="shared" si="47"/>
        <v>0</v>
      </c>
      <c r="I188" s="337"/>
      <c r="J188" s="223"/>
      <c r="K188" s="218"/>
      <c r="M188" s="364">
        <f t="shared" si="48"/>
        <v>0</v>
      </c>
      <c r="N188" s="359">
        <f>SUMMARY!J191</f>
        <v>0.39995945495753804</v>
      </c>
      <c r="O188" s="220"/>
      <c r="P188" s="220"/>
      <c r="W188"/>
      <c r="X188"/>
      <c r="Y188" s="534"/>
      <c r="Z188" s="535"/>
    </row>
    <row r="189" spans="1:26" s="221" customFormat="1" ht="15.5">
      <c r="A189" s="224" t="s">
        <v>277</v>
      </c>
      <c r="B189" s="148" t="s">
        <v>278</v>
      </c>
      <c r="C189" s="573">
        <f>'[43]Sch C'!D200</f>
        <v>0</v>
      </c>
      <c r="D189" s="573">
        <f>'[43]Sch C'!F200</f>
        <v>0</v>
      </c>
      <c r="E189" s="171">
        <f t="shared" si="45"/>
        <v>0</v>
      </c>
      <c r="F189" s="486"/>
      <c r="G189" s="171">
        <f t="shared" si="46"/>
        <v>0</v>
      </c>
      <c r="H189" s="172">
        <f t="shared" si="47"/>
        <v>0</v>
      </c>
      <c r="I189" s="337"/>
      <c r="J189" s="223"/>
      <c r="K189" s="218"/>
      <c r="M189" s="364">
        <f t="shared" si="48"/>
        <v>0</v>
      </c>
      <c r="N189" s="359">
        <f>SUMMARY!J192</f>
        <v>5.0800032768083883E-3</v>
      </c>
      <c r="O189" s="220"/>
      <c r="P189" s="220"/>
      <c r="W189"/>
      <c r="X189"/>
      <c r="Y189" s="534"/>
      <c r="Z189" s="535"/>
    </row>
    <row r="190" spans="1:26" s="221" customFormat="1" ht="15.5">
      <c r="A190" s="225" t="s">
        <v>279</v>
      </c>
      <c r="B190" s="226" t="s">
        <v>280</v>
      </c>
      <c r="C190" s="573">
        <f>'[43]Sch C'!D201</f>
        <v>615</v>
      </c>
      <c r="D190" s="573">
        <f>'[43]Sch C'!F201</f>
        <v>0</v>
      </c>
      <c r="E190" s="171">
        <f t="shared" si="45"/>
        <v>615</v>
      </c>
      <c r="F190" s="486"/>
      <c r="G190" s="171">
        <f t="shared" si="46"/>
        <v>615</v>
      </c>
      <c r="H190" s="172">
        <f t="shared" si="47"/>
        <v>2.4019282070376511E-4</v>
      </c>
      <c r="I190" s="337"/>
      <c r="J190" s="223"/>
      <c r="K190" s="218"/>
      <c r="M190" s="364">
        <f t="shared" si="48"/>
        <v>4.1928006544859557E-2</v>
      </c>
      <c r="N190" s="359">
        <f>SUMMARY!J193</f>
        <v>-2.2159984708227519E-2</v>
      </c>
      <c r="O190" s="220"/>
      <c r="P190" s="220"/>
      <c r="W190"/>
      <c r="X190"/>
      <c r="Y190" s="534"/>
      <c r="Z190" s="535"/>
    </row>
    <row r="191" spans="1:26" s="221" customFormat="1" ht="15.5">
      <c r="A191" s="225" t="s">
        <v>281</v>
      </c>
      <c r="B191" s="226" t="s">
        <v>282</v>
      </c>
      <c r="C191" s="573">
        <f>'[43]Sch C'!D202</f>
        <v>0</v>
      </c>
      <c r="D191" s="573">
        <f>'[43]Sch C'!F202</f>
        <v>0</v>
      </c>
      <c r="E191" s="171">
        <f t="shared" si="45"/>
        <v>0</v>
      </c>
      <c r="F191" s="486"/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  <c r="W191"/>
      <c r="X191"/>
      <c r="Y191" s="534"/>
      <c r="Z191" s="535"/>
    </row>
    <row r="192" spans="1:26" s="221" customFormat="1" ht="15.5">
      <c r="A192" s="225" t="s">
        <v>283</v>
      </c>
      <c r="B192" s="226" t="s">
        <v>330</v>
      </c>
      <c r="C192" s="573">
        <f>'[43]Sch C'!D203</f>
        <v>0</v>
      </c>
      <c r="D192" s="573">
        <f>'[43]Sch C'!F203</f>
        <v>0</v>
      </c>
      <c r="E192" s="171">
        <f t="shared" si="45"/>
        <v>0</v>
      </c>
      <c r="F192" s="486"/>
      <c r="G192" s="171">
        <f t="shared" si="46"/>
        <v>0</v>
      </c>
      <c r="H192" s="172">
        <f t="shared" si="47"/>
        <v>0</v>
      </c>
      <c r="I192" s="337"/>
      <c r="J192" s="223"/>
      <c r="K192" s="218"/>
      <c r="M192" s="364">
        <f t="shared" si="48"/>
        <v>0</v>
      </c>
      <c r="N192" s="359">
        <f>SUMMARY!J195</f>
        <v>9.9736102236421709E-2</v>
      </c>
      <c r="O192" s="220"/>
      <c r="P192" s="220"/>
      <c r="W192"/>
      <c r="X192"/>
      <c r="Y192" s="534"/>
      <c r="Z192" s="535"/>
    </row>
    <row r="193" spans="1:26" s="221" customFormat="1" ht="15.5">
      <c r="A193" s="225" t="s">
        <v>285</v>
      </c>
      <c r="B193" s="226" t="s">
        <v>331</v>
      </c>
      <c r="C193" s="573">
        <f>'[43]Sch C'!D204</f>
        <v>0</v>
      </c>
      <c r="D193" s="573">
        <f>'[43]Sch C'!F204</f>
        <v>0</v>
      </c>
      <c r="E193" s="171">
        <f t="shared" si="45"/>
        <v>0</v>
      </c>
      <c r="F193" s="486"/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  <c r="W193"/>
      <c r="X193"/>
      <c r="Y193" s="534"/>
      <c r="Z193" s="535"/>
    </row>
    <row r="194" spans="1:26" s="221" customFormat="1" ht="15.5">
      <c r="A194" s="224" t="s">
        <v>138</v>
      </c>
      <c r="B194" s="148" t="s">
        <v>332</v>
      </c>
      <c r="C194" s="573">
        <f>'[43]Sch C'!D205</f>
        <v>51331.37</v>
      </c>
      <c r="D194" s="573">
        <f>'[43]Sch C'!F205</f>
        <v>0</v>
      </c>
      <c r="E194" s="171">
        <f t="shared" si="45"/>
        <v>51331.37</v>
      </c>
      <c r="F194" s="486"/>
      <c r="G194" s="171">
        <f t="shared" si="46"/>
        <v>51331.37</v>
      </c>
      <c r="H194" s="172">
        <f t="shared" si="47"/>
        <v>2.0047848050225411E-2</v>
      </c>
      <c r="I194" s="337"/>
      <c r="J194" s="223"/>
      <c r="K194" s="218"/>
      <c r="M194" s="364">
        <f t="shared" si="48"/>
        <v>3.4995479956367603</v>
      </c>
      <c r="N194" s="359">
        <f>SUMMARY!J197</f>
        <v>9.4205484776494348</v>
      </c>
      <c r="O194" s="220"/>
      <c r="P194" s="220"/>
      <c r="W194"/>
      <c r="X194"/>
      <c r="Y194" s="534"/>
      <c r="Z194" s="535"/>
    </row>
    <row r="195" spans="1:26" s="221" customFormat="1" ht="15.5">
      <c r="A195" s="224" t="s">
        <v>139</v>
      </c>
      <c r="B195" s="148" t="s">
        <v>67</v>
      </c>
      <c r="C195" s="573">
        <f>'[43]Sch C'!D206</f>
        <v>5459.84</v>
      </c>
      <c r="D195" s="573">
        <f>'[43]Sch C'!F206</f>
        <v>0</v>
      </c>
      <c r="E195" s="171">
        <f t="shared" si="45"/>
        <v>5459.84</v>
      </c>
      <c r="F195" s="486"/>
      <c r="G195" s="171">
        <f t="shared" si="46"/>
        <v>5459.84</v>
      </c>
      <c r="H195" s="172">
        <f t="shared" si="47"/>
        <v>2.1323810897418615E-3</v>
      </c>
      <c r="I195" s="337"/>
      <c r="J195" s="223"/>
      <c r="K195" s="218"/>
      <c r="M195" s="364">
        <f t="shared" si="48"/>
        <v>0.37222797927461143</v>
      </c>
      <c r="N195" s="359">
        <f>SUMMARY!J198</f>
        <v>0.51514733622784747</v>
      </c>
      <c r="O195" s="220"/>
      <c r="P195" s="220"/>
      <c r="W195"/>
      <c r="X195"/>
      <c r="Y195" s="534"/>
      <c r="Z195" s="535"/>
    </row>
    <row r="196" spans="1:26" s="221" customFormat="1" ht="15.5">
      <c r="A196" s="225" t="s">
        <v>143</v>
      </c>
      <c r="B196" s="194" t="s">
        <v>333</v>
      </c>
      <c r="C196" s="573">
        <f>'[43]Sch C'!D207</f>
        <v>169969.75</v>
      </c>
      <c r="D196" s="573">
        <f>'[43]Sch C'!F207</f>
        <v>-169970</v>
      </c>
      <c r="E196" s="171">
        <f t="shared" si="45"/>
        <v>-0.25</v>
      </c>
      <c r="F196" s="486"/>
      <c r="G196" s="171">
        <f t="shared" si="46"/>
        <v>-0.25</v>
      </c>
      <c r="H196" s="172">
        <f t="shared" si="47"/>
        <v>-9.7639358009660616E-8</v>
      </c>
      <c r="I196" s="337"/>
      <c r="J196" s="223"/>
      <c r="K196" s="218"/>
      <c r="M196" s="364">
        <f t="shared" si="48"/>
        <v>-1.7043905099536405E-5</v>
      </c>
      <c r="N196" s="359">
        <f>SUMMARY!J199</f>
        <v>0.43468466925335936</v>
      </c>
      <c r="O196" s="220"/>
      <c r="P196" s="220"/>
      <c r="W196"/>
      <c r="X196"/>
      <c r="Y196" s="534"/>
      <c r="Z196" s="535"/>
    </row>
    <row r="197" spans="1:26" s="167" customFormat="1" ht="15.5">
      <c r="A197" s="163"/>
      <c r="B197" s="212" t="s">
        <v>130</v>
      </c>
      <c r="C197" s="573">
        <f>SUM(C164:C196)</f>
        <v>392997.98</v>
      </c>
      <c r="D197" s="573">
        <f>SUM(D164:D196)</f>
        <v>-169970</v>
      </c>
      <c r="E197" s="171">
        <f t="shared" ref="E197" si="49">SUM(E164:E196)</f>
        <v>223027.98</v>
      </c>
      <c r="F197" s="171">
        <f>SUM(F164:F196)</f>
        <v>0</v>
      </c>
      <c r="G197" s="171">
        <f>SUM(G164:G196)</f>
        <v>223027.98</v>
      </c>
      <c r="H197" s="172">
        <f>IF($G$208=0,0,G197/$G$208)</f>
        <v>8.7105235141565721E-2</v>
      </c>
      <c r="I197" s="337"/>
      <c r="J197" s="168"/>
      <c r="K197" s="168"/>
      <c r="M197" s="364">
        <f>G197/G$228</f>
        <v>15.205070902645215</v>
      </c>
      <c r="N197" s="359">
        <f>SUMMARY!J200</f>
        <v>35.91740838389223</v>
      </c>
      <c r="W197"/>
      <c r="X197"/>
      <c r="Y197" s="527"/>
      <c r="Z197" s="527"/>
    </row>
    <row r="198" spans="1:26" s="167" customFormat="1" ht="15.5">
      <c r="A198" s="163"/>
      <c r="C198" s="165"/>
      <c r="D198" s="165"/>
      <c r="E198" s="165"/>
      <c r="F198" s="165"/>
      <c r="G198" s="165"/>
      <c r="H198" s="198"/>
      <c r="I198" s="341"/>
      <c r="J198" s="168"/>
      <c r="K198" s="168"/>
      <c r="M198" s="359"/>
      <c r="N198" s="359"/>
      <c r="W198"/>
      <c r="X198"/>
      <c r="Y198" s="527"/>
      <c r="Z198" s="527"/>
    </row>
    <row r="199" spans="1:26" s="167" customFormat="1" ht="15.5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1"/>
      <c r="J199" s="168"/>
      <c r="K199" s="168"/>
      <c r="M199" s="359"/>
      <c r="N199" s="359"/>
      <c r="W199"/>
      <c r="X199"/>
      <c r="Y199" s="527"/>
      <c r="Z199" s="527"/>
    </row>
    <row r="200" spans="1:26" s="167" customFormat="1">
      <c r="A200" s="169" t="s">
        <v>85</v>
      </c>
      <c r="B200" s="170" t="s">
        <v>69</v>
      </c>
      <c r="C200" s="573">
        <f>'[43]Sch C'!D211</f>
        <v>0</v>
      </c>
      <c r="D200" s="573">
        <f>'[43]Sch C'!F211</f>
        <v>0</v>
      </c>
      <c r="E200" s="171">
        <f t="shared" ref="E200:E205" si="50">C200+D200</f>
        <v>0</v>
      </c>
      <c r="F200" s="486">
        <v>62149</v>
      </c>
      <c r="G200" s="171">
        <f t="shared" ref="G200:G205" si="51">E200+F200</f>
        <v>62149</v>
      </c>
      <c r="H200" s="172">
        <f t="shared" ref="H200:H206" si="52">IF($G$208=0,0,G200/$G$208)</f>
        <v>2.427275384376959E-2</v>
      </c>
      <c r="I200" s="337"/>
      <c r="J200" s="183">
        <v>0</v>
      </c>
      <c r="K200" s="183">
        <v>0</v>
      </c>
      <c r="M200" s="364">
        <f t="shared" ref="M200:M205" si="53">G200/G$228</f>
        <v>4.2370466321243523</v>
      </c>
      <c r="N200" s="359">
        <f>SUMMARY!J203</f>
        <v>4.8433639387236838</v>
      </c>
      <c r="W200" s="568">
        <v>702.37</v>
      </c>
      <c r="X200" s="568">
        <v>718.37</v>
      </c>
      <c r="Y200" s="488">
        <v>4985</v>
      </c>
      <c r="Z200" s="488">
        <v>4985</v>
      </c>
    </row>
    <row r="201" spans="1:26" s="167" customFormat="1" ht="15.5">
      <c r="A201" s="169" t="s">
        <v>86</v>
      </c>
      <c r="B201" s="170" t="s">
        <v>45</v>
      </c>
      <c r="C201" s="573">
        <f>'[43]Sch C'!D212</f>
        <v>0</v>
      </c>
      <c r="D201" s="573">
        <f>'[43]Sch C'!F212</f>
        <v>16454.75</v>
      </c>
      <c r="E201" s="171">
        <f t="shared" si="50"/>
        <v>16454.75</v>
      </c>
      <c r="F201" s="486"/>
      <c r="G201" s="171">
        <f t="shared" si="51"/>
        <v>16454.75</v>
      </c>
      <c r="H201" s="172">
        <f t="shared" si="52"/>
        <v>6.4265249048378525E-3</v>
      </c>
      <c r="I201" s="337"/>
      <c r="J201" s="168"/>
      <c r="K201" s="168"/>
      <c r="M201" s="364">
        <f t="shared" si="53"/>
        <v>1.1218127897463868</v>
      </c>
      <c r="N201" s="359">
        <f>SUMMARY!J204</f>
        <v>0.96144674193499036</v>
      </c>
      <c r="W201"/>
      <c r="X201"/>
      <c r="Y201" s="527"/>
      <c r="Z201" s="527"/>
    </row>
    <row r="202" spans="1:26" s="167" customFormat="1" ht="15.5">
      <c r="A202" s="169" t="s">
        <v>140</v>
      </c>
      <c r="B202" s="170" t="s">
        <v>54</v>
      </c>
      <c r="C202" s="573">
        <f>'[43]Sch C'!D213</f>
        <v>73690.61</v>
      </c>
      <c r="D202" s="573">
        <f>'[43]Sch C'!F213</f>
        <v>0</v>
      </c>
      <c r="E202" s="171">
        <f t="shared" si="50"/>
        <v>73690.61</v>
      </c>
      <c r="F202" s="486">
        <v>-62149</v>
      </c>
      <c r="G202" s="171">
        <f t="shared" si="51"/>
        <v>11541.61</v>
      </c>
      <c r="H202" s="172">
        <f t="shared" si="52"/>
        <v>4.5076615631915165E-3</v>
      </c>
      <c r="I202" s="337"/>
      <c r="J202" s="168"/>
      <c r="K202" s="168"/>
      <c r="M202" s="364">
        <f t="shared" si="53"/>
        <v>0.78685642214344154</v>
      </c>
      <c r="N202" s="359">
        <f>SUMMARY!J205</f>
        <v>0.5247184566232489</v>
      </c>
      <c r="W202"/>
      <c r="X202"/>
      <c r="Y202" s="527"/>
      <c r="Z202" s="527"/>
    </row>
    <row r="203" spans="1:26" s="167" customFormat="1" ht="15.5">
      <c r="A203" s="169" t="s">
        <v>141</v>
      </c>
      <c r="B203" s="170" t="s">
        <v>70</v>
      </c>
      <c r="C203" s="573">
        <f>'[43]Sch C'!D214</f>
        <v>0</v>
      </c>
      <c r="D203" s="573">
        <f>'[43]Sch C'!F214</f>
        <v>0</v>
      </c>
      <c r="E203" s="171">
        <f t="shared" si="50"/>
        <v>0</v>
      </c>
      <c r="F203" s="486"/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>
        <f t="shared" si="53"/>
        <v>0</v>
      </c>
      <c r="N203" s="359">
        <f>SUMMARY!J206</f>
        <v>1.4027039130553507E-2</v>
      </c>
      <c r="W203"/>
      <c r="X203"/>
      <c r="Y203" s="527"/>
      <c r="Z203" s="527"/>
    </row>
    <row r="204" spans="1:26" s="167" customFormat="1" ht="15.5">
      <c r="A204" s="169" t="s">
        <v>142</v>
      </c>
      <c r="B204" s="202" t="s">
        <v>71</v>
      </c>
      <c r="C204" s="573">
        <f>'[43]Sch C'!D215</f>
        <v>0</v>
      </c>
      <c r="D204" s="573">
        <f>'[43]Sch C'!F215</f>
        <v>0</v>
      </c>
      <c r="E204" s="171">
        <f t="shared" si="50"/>
        <v>0</v>
      </c>
      <c r="F204" s="486"/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  <c r="W204"/>
      <c r="X204"/>
      <c r="Y204" s="527"/>
      <c r="Z204" s="527"/>
    </row>
    <row r="205" spans="1:26" s="167" customFormat="1" ht="15.5">
      <c r="A205" s="169" t="s">
        <v>143</v>
      </c>
      <c r="B205" s="170" t="s">
        <v>312</v>
      </c>
      <c r="C205" s="573">
        <f>'[43]Sch C'!D216</f>
        <v>2896.88</v>
      </c>
      <c r="D205" s="573">
        <f>'[43]Sch C'!F216</f>
        <v>0</v>
      </c>
      <c r="E205" s="171">
        <f t="shared" si="50"/>
        <v>2896.88</v>
      </c>
      <c r="F205" s="486"/>
      <c r="G205" s="171">
        <f t="shared" si="51"/>
        <v>2896.88</v>
      </c>
      <c r="H205" s="172">
        <f t="shared" si="52"/>
        <v>1.1313980137241026E-3</v>
      </c>
      <c r="I205" s="337"/>
      <c r="J205" s="168"/>
      <c r="K205" s="168"/>
      <c r="M205" s="364">
        <f t="shared" si="53"/>
        <v>0.19749659121898011</v>
      </c>
      <c r="N205" s="359">
        <f>SUMMARY!J208</f>
        <v>0.36483307391933595</v>
      </c>
      <c r="W205"/>
      <c r="X205"/>
      <c r="Y205" s="527"/>
      <c r="Z205" s="527"/>
    </row>
    <row r="206" spans="1:26" s="167" customFormat="1" ht="15.5">
      <c r="A206" s="163"/>
      <c r="B206" s="170" t="s">
        <v>144</v>
      </c>
      <c r="C206" s="573">
        <f>SUM(C200:C205)</f>
        <v>76587.490000000005</v>
      </c>
      <c r="D206" s="573">
        <f>SUM(D200:D205)</f>
        <v>16454.75</v>
      </c>
      <c r="E206" s="171">
        <f t="shared" ref="E206" si="54">SUM(E200:E205)</f>
        <v>93042.240000000005</v>
      </c>
      <c r="F206" s="171">
        <f>SUM(F200:F205)</f>
        <v>0</v>
      </c>
      <c r="G206" s="171">
        <f>SUM(G200:G205)</f>
        <v>93042.240000000005</v>
      </c>
      <c r="H206" s="172">
        <f t="shared" si="52"/>
        <v>3.6338338325523065E-2</v>
      </c>
      <c r="I206" s="337"/>
      <c r="J206" s="168"/>
      <c r="K206" s="168"/>
      <c r="M206" s="364">
        <f>G206/G$228</f>
        <v>6.3432124352331609</v>
      </c>
      <c r="N206" s="359">
        <f>SUMMARY!J209</f>
        <v>6.7083892503318125</v>
      </c>
      <c r="W206"/>
      <c r="X206"/>
      <c r="Y206" s="527"/>
      <c r="Z206" s="527"/>
    </row>
    <row r="207" spans="1:26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  <c r="W207" s="527"/>
      <c r="X207" s="527"/>
    </row>
    <row r="208" spans="1:26" s="167" customFormat="1">
      <c r="A208" s="227"/>
      <c r="B208" s="228" t="s">
        <v>145</v>
      </c>
      <c r="C208" s="573">
        <f>SUM(C25:C206)/2</f>
        <v>3429406.2699999996</v>
      </c>
      <c r="D208" s="573">
        <f>SUM(D25:D206)/2</f>
        <v>-600193.37999999989</v>
      </c>
      <c r="E208" s="171">
        <f t="shared" ref="E208:F208" si="55">SUM(E25:E206)/2</f>
        <v>2829212.8899999992</v>
      </c>
      <c r="F208" s="171">
        <f t="shared" si="55"/>
        <v>-268770</v>
      </c>
      <c r="G208" s="171">
        <f>SUM(G25:G206)/2</f>
        <v>2560442.8899999992</v>
      </c>
      <c r="H208" s="172">
        <f>IF($G$208=0,0,G208/$G$208)</f>
        <v>1</v>
      </c>
      <c r="I208" s="337"/>
      <c r="J208" s="183">
        <f>SUM(J25:J200)</f>
        <v>0</v>
      </c>
      <c r="K208" s="183">
        <f>SUM(K25:K200)</f>
        <v>0</v>
      </c>
      <c r="M208" s="364">
        <f>G208/G$228</f>
        <v>174.55978251977086</v>
      </c>
      <c r="N208" s="359">
        <f>SUMMARY!J211</f>
        <v>251.18209433366243</v>
      </c>
      <c r="W208" s="527">
        <f t="shared" ref="W208:Z208" si="56">SUM(W25:W200)</f>
        <v>16355.19</v>
      </c>
      <c r="X208" s="527">
        <f t="shared" si="56"/>
        <v>17088.8</v>
      </c>
      <c r="Y208" s="527">
        <f t="shared" si="56"/>
        <v>84243</v>
      </c>
      <c r="Z208" s="527">
        <f t="shared" si="56"/>
        <v>84243</v>
      </c>
    </row>
    <row r="209" spans="1:2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  <c r="W209" s="527"/>
      <c r="X209" s="527"/>
    </row>
    <row r="210" spans="1:2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  <c r="W210" s="527"/>
      <c r="X210" s="527"/>
    </row>
    <row r="211" spans="1:24" s="167" customFormat="1" ht="15.5">
      <c r="A211" s="163"/>
      <c r="B211" s="228" t="s">
        <v>181</v>
      </c>
      <c r="C211" s="573">
        <f>'[43]Sch C'!D221</f>
        <v>3429407</v>
      </c>
      <c r="D211" s="196"/>
      <c r="E211" s="165"/>
      <c r="F211"/>
      <c r="G211"/>
      <c r="I211" s="333"/>
      <c r="J211" s="168"/>
      <c r="K211" s="168"/>
      <c r="W211" s="527"/>
      <c r="X211" s="527"/>
    </row>
    <row r="212" spans="1:24" s="167" customFormat="1" ht="15.5">
      <c r="A212" s="163"/>
      <c r="B212" s="170" t="s">
        <v>147</v>
      </c>
      <c r="C212" s="573">
        <f>C208-C211</f>
        <v>-0.73000000044703484</v>
      </c>
      <c r="D212" s="229"/>
      <c r="E212" s="165"/>
      <c r="F212"/>
      <c r="G212"/>
      <c r="I212" s="333"/>
      <c r="J212" s="168"/>
      <c r="K212" s="168"/>
      <c r="W212" s="527"/>
      <c r="X212" s="527"/>
    </row>
    <row r="213" spans="1:24" s="167" customFormat="1">
      <c r="A213" s="163"/>
      <c r="B213" s="230"/>
      <c r="C213" s="619"/>
      <c r="D213" s="232"/>
      <c r="E213" s="232"/>
      <c r="F213" s="232"/>
      <c r="G213" s="232"/>
      <c r="H213" s="166"/>
      <c r="I213" s="336"/>
      <c r="J213" s="168"/>
      <c r="K213" s="168"/>
      <c r="W213" s="527"/>
      <c r="X213" s="527"/>
    </row>
    <row r="214" spans="1:2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  <c r="W214" s="527"/>
      <c r="X214" s="527"/>
    </row>
    <row r="215" spans="1:24" s="167" customFormat="1">
      <c r="A215" s="163"/>
      <c r="B215" s="228" t="s">
        <v>78</v>
      </c>
      <c r="C215" s="573">
        <f>C21-C208</f>
        <v>138251.60000000009</v>
      </c>
      <c r="D215" s="573">
        <f>D21-D208</f>
        <v>600193.37999999989</v>
      </c>
      <c r="E215" s="171">
        <f t="shared" ref="E215:F215" si="57">E21-E208</f>
        <v>738444.98000000045</v>
      </c>
      <c r="F215" s="171">
        <f t="shared" si="57"/>
        <v>-145626</v>
      </c>
      <c r="G215" s="171">
        <f>G21-G208</f>
        <v>592818.98000000138</v>
      </c>
      <c r="I215" s="333"/>
      <c r="J215" s="168"/>
      <c r="K215" s="168"/>
      <c r="M215" s="356"/>
      <c r="N215" s="359"/>
      <c r="W215" s="527"/>
      <c r="X215" s="527"/>
    </row>
    <row r="216" spans="1:2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  <c r="W216" s="527"/>
      <c r="X216" s="527"/>
    </row>
    <row r="217" spans="1:2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  <c r="W217" s="527"/>
      <c r="X217" s="527"/>
    </row>
    <row r="218" spans="1:2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6"/>
      <c r="J218" s="168"/>
      <c r="K218" s="168"/>
    </row>
    <row r="219" spans="1:24">
      <c r="A219" s="163"/>
      <c r="B219" s="170" t="s">
        <v>218</v>
      </c>
      <c r="C219" s="653">
        <f>'[43]Sch D'!C9</f>
        <v>9765</v>
      </c>
      <c r="D219" s="653"/>
      <c r="E219" s="235">
        <f t="shared" ref="E219:G227" si="58">C219+D219</f>
        <v>9765</v>
      </c>
      <c r="F219" s="487"/>
      <c r="G219" s="235">
        <f t="shared" si="58"/>
        <v>9765</v>
      </c>
      <c r="H219" s="172">
        <f t="shared" ref="H219:H228" si="59">IF($G$228=0,0,G219/$G$228)</f>
        <v>0.66573493318789201</v>
      </c>
      <c r="I219" s="337"/>
      <c r="J219" s="168"/>
      <c r="K219" s="168"/>
    </row>
    <row r="220" spans="1:24">
      <c r="A220" s="163"/>
      <c r="B220" s="170" t="s">
        <v>217</v>
      </c>
      <c r="C220" s="653">
        <f>'[43]Sch D'!D9</f>
        <v>0</v>
      </c>
      <c r="D220" s="653"/>
      <c r="E220" s="235">
        <f t="shared" ref="E220:E227" si="60">C220+D220</f>
        <v>0</v>
      </c>
      <c r="F220" s="487"/>
      <c r="G220" s="235">
        <f t="shared" si="58"/>
        <v>0</v>
      </c>
      <c r="H220" s="172">
        <f t="shared" si="59"/>
        <v>0</v>
      </c>
      <c r="I220" s="337"/>
      <c r="J220" s="168"/>
      <c r="K220" s="168"/>
    </row>
    <row r="221" spans="1:24">
      <c r="A221" s="163"/>
      <c r="B221" s="170" t="s">
        <v>72</v>
      </c>
      <c r="C221" s="653">
        <f>'[43]Sch D'!E9</f>
        <v>1147</v>
      </c>
      <c r="D221" s="653"/>
      <c r="E221" s="235">
        <f t="shared" si="60"/>
        <v>1147</v>
      </c>
      <c r="F221" s="487"/>
      <c r="G221" s="235">
        <f t="shared" si="58"/>
        <v>1147</v>
      </c>
      <c r="H221" s="172">
        <f t="shared" si="59"/>
        <v>7.8197436596673026E-2</v>
      </c>
      <c r="I221" s="337"/>
      <c r="J221" s="168"/>
      <c r="K221" s="168"/>
    </row>
    <row r="222" spans="1:24">
      <c r="A222" s="163"/>
      <c r="B222" s="202" t="s">
        <v>334</v>
      </c>
      <c r="C222" s="653">
        <f>'[43]Sch D'!F9</f>
        <v>81</v>
      </c>
      <c r="D222" s="653"/>
      <c r="E222" s="235">
        <f>C222+D222</f>
        <v>81</v>
      </c>
      <c r="F222" s="487"/>
      <c r="G222" s="235">
        <f>E222+F222</f>
        <v>81</v>
      </c>
      <c r="H222" s="172">
        <f t="shared" si="59"/>
        <v>5.5222252522497952E-3</v>
      </c>
      <c r="I222" s="337"/>
      <c r="J222" s="168"/>
      <c r="K222" s="168"/>
    </row>
    <row r="223" spans="1:24">
      <c r="A223" s="163"/>
      <c r="B223" s="170" t="s">
        <v>73</v>
      </c>
      <c r="C223" s="653">
        <f>'[43]Sch D'!G9</f>
        <v>0</v>
      </c>
      <c r="D223" s="653"/>
      <c r="E223" s="235">
        <f t="shared" si="60"/>
        <v>0</v>
      </c>
      <c r="F223" s="487"/>
      <c r="G223" s="235">
        <f t="shared" si="58"/>
        <v>0</v>
      </c>
      <c r="H223" s="172">
        <f t="shared" si="59"/>
        <v>0</v>
      </c>
      <c r="I223" s="337"/>
      <c r="J223" s="168"/>
      <c r="K223" s="168"/>
    </row>
    <row r="224" spans="1:24">
      <c r="A224" s="163"/>
      <c r="B224" s="170" t="s">
        <v>74</v>
      </c>
      <c r="C224" s="653">
        <f>'[43]Sch D'!H9</f>
        <v>3198</v>
      </c>
      <c r="D224" s="653"/>
      <c r="E224" s="235">
        <f t="shared" si="60"/>
        <v>3198</v>
      </c>
      <c r="F224" s="487"/>
      <c r="G224" s="235">
        <f t="shared" si="58"/>
        <v>3198</v>
      </c>
      <c r="H224" s="172">
        <f t="shared" si="59"/>
        <v>0.21802563403326972</v>
      </c>
      <c r="I224" s="337"/>
      <c r="J224" s="168"/>
      <c r="K224" s="168"/>
    </row>
    <row r="225" spans="1:11">
      <c r="A225" s="163"/>
      <c r="B225" s="170" t="s">
        <v>236</v>
      </c>
      <c r="C225" s="653">
        <f>'[43]Sch D'!I9</f>
        <v>477</v>
      </c>
      <c r="D225" s="653"/>
      <c r="E225" s="235">
        <f t="shared" si="60"/>
        <v>477</v>
      </c>
      <c r="F225" s="487"/>
      <c r="G225" s="235">
        <f t="shared" si="58"/>
        <v>477</v>
      </c>
      <c r="H225" s="172">
        <f t="shared" si="59"/>
        <v>3.2519770929915461E-2</v>
      </c>
      <c r="I225" s="337"/>
      <c r="J225" s="168"/>
      <c r="K225" s="168"/>
    </row>
    <row r="226" spans="1:11">
      <c r="A226" s="163"/>
      <c r="B226" s="170" t="s">
        <v>235</v>
      </c>
      <c r="C226" s="653">
        <f>'[43]Sch D'!J9</f>
        <v>0</v>
      </c>
      <c r="D226" s="653"/>
      <c r="E226" s="235">
        <f>C226+D226</f>
        <v>0</v>
      </c>
      <c r="F226" s="487"/>
      <c r="G226" s="235">
        <f>E226+F226</f>
        <v>0</v>
      </c>
      <c r="H226" s="172">
        <f t="shared" si="59"/>
        <v>0</v>
      </c>
      <c r="I226" s="337"/>
      <c r="J226" s="168"/>
      <c r="K226" s="168"/>
    </row>
    <row r="227" spans="1:11">
      <c r="A227" s="163"/>
      <c r="B227" s="170" t="s">
        <v>179</v>
      </c>
      <c r="C227" s="653">
        <f>'[43]Sch D'!K9</f>
        <v>0</v>
      </c>
      <c r="D227" s="653"/>
      <c r="E227" s="235">
        <f t="shared" si="60"/>
        <v>0</v>
      </c>
      <c r="F227" s="487"/>
      <c r="G227" s="235">
        <f t="shared" si="58"/>
        <v>0</v>
      </c>
      <c r="H227" s="172">
        <f t="shared" si="59"/>
        <v>0</v>
      </c>
      <c r="I227" s="337"/>
      <c r="J227" s="168"/>
      <c r="K227" s="168"/>
    </row>
    <row r="228" spans="1:11" ht="13.5" thickBot="1">
      <c r="A228" s="163"/>
      <c r="B228" s="236" t="s">
        <v>75</v>
      </c>
      <c r="C228" s="653">
        <f>SUM(C219:C227)</f>
        <v>14668</v>
      </c>
      <c r="D228" s="653">
        <f>SUM(D219:D227)</f>
        <v>0</v>
      </c>
      <c r="E228" s="237">
        <f>SUM(E219:E227)</f>
        <v>14668</v>
      </c>
      <c r="F228" s="237">
        <f>SUM(F219:F227)</f>
        <v>0</v>
      </c>
      <c r="G228" s="237">
        <f>SUM(G219:G227)</f>
        <v>14668</v>
      </c>
      <c r="H228" s="172">
        <f t="shared" si="59"/>
        <v>1</v>
      </c>
      <c r="I228" s="337"/>
      <c r="J228" s="168"/>
      <c r="K228" s="168"/>
    </row>
    <row r="229" spans="1:11" ht="13.5" thickTop="1">
      <c r="A229" s="163"/>
      <c r="B229" s="167"/>
      <c r="C229" s="620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619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654">
        <f>'[43]Sch D'!N22</f>
        <v>46</v>
      </c>
      <c r="D231" s="574"/>
      <c r="E231" s="235">
        <f>C231+D231</f>
        <v>46</v>
      </c>
      <c r="F231" s="488"/>
      <c r="G231" s="235">
        <f>E231+F231</f>
        <v>46</v>
      </c>
      <c r="H231" s="167"/>
      <c r="J231" s="168"/>
      <c r="K231" s="168"/>
    </row>
    <row r="232" spans="1:11">
      <c r="A232" s="163"/>
      <c r="B232" s="202" t="s">
        <v>290</v>
      </c>
      <c r="C232" s="654">
        <f>'[43]Sch D'!N24</f>
        <v>46</v>
      </c>
      <c r="D232" s="574"/>
      <c r="E232" s="235">
        <f>C232+D232</f>
        <v>46</v>
      </c>
      <c r="F232" s="488"/>
      <c r="G232" s="235">
        <f>E232+F232</f>
        <v>46</v>
      </c>
      <c r="H232" s="167"/>
      <c r="J232" s="168"/>
      <c r="K232" s="168"/>
    </row>
    <row r="233" spans="1:11">
      <c r="A233" s="163"/>
      <c r="B233" s="202" t="s">
        <v>76</v>
      </c>
      <c r="C233" s="654">
        <f>$C$4-$C$3+1</f>
        <v>365</v>
      </c>
      <c r="D233" s="489"/>
      <c r="E233" s="235">
        <f>C233+D233</f>
        <v>365</v>
      </c>
      <c r="F233" s="240"/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621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654">
        <f>'[43]Sch D'!N28</f>
        <v>16790</v>
      </c>
      <c r="D235" s="489"/>
      <c r="E235" s="234">
        <f>E231*E233</f>
        <v>16790</v>
      </c>
      <c r="F235" s="240"/>
      <c r="G235" s="234">
        <f>G231*G233</f>
        <v>16790</v>
      </c>
      <c r="H235" s="167"/>
      <c r="J235" s="168"/>
      <c r="K235" s="168"/>
    </row>
    <row r="236" spans="1:11" ht="26">
      <c r="A236" s="163"/>
      <c r="B236" s="244" t="s">
        <v>336</v>
      </c>
      <c r="C236" s="655">
        <f>'[43]Sch D'!N30</f>
        <v>0.87361524717093508</v>
      </c>
      <c r="D236" s="240"/>
      <c r="E236" s="245">
        <f>E228/E235</f>
        <v>0.87361524717093508</v>
      </c>
      <c r="F236" s="246"/>
      <c r="G236" s="245">
        <f>G228/G235</f>
        <v>0.87361524717093508</v>
      </c>
      <c r="H236" s="167"/>
      <c r="J236" s="168"/>
      <c r="K236" s="168"/>
    </row>
    <row r="237" spans="1:11" ht="26">
      <c r="A237" s="163"/>
      <c r="B237" s="244" t="s">
        <v>337</v>
      </c>
      <c r="C237" s="655">
        <f>'[43]Sch D'!N32</f>
        <v>0.58159618820726622</v>
      </c>
      <c r="D237" s="240"/>
      <c r="E237" s="245">
        <f>(E219+E220)/E235</f>
        <v>0.58159618820726622</v>
      </c>
      <c r="F237" s="246"/>
      <c r="G237" s="245">
        <f>(G219+G220)/G235</f>
        <v>0.58159618820726622</v>
      </c>
      <c r="H237" s="167"/>
      <c r="J237" s="168"/>
      <c r="K237" s="168"/>
    </row>
    <row r="238" spans="1:11" ht="26">
      <c r="A238" s="163"/>
      <c r="B238" s="244" t="s">
        <v>338</v>
      </c>
      <c r="C238" s="655">
        <f>'[43]Sch D'!N34</f>
        <v>0.66573493318789201</v>
      </c>
      <c r="D238" s="240"/>
      <c r="E238" s="245">
        <f>(E237/E236)</f>
        <v>0.66573493318789201</v>
      </c>
      <c r="F238" s="246"/>
      <c r="G238" s="245">
        <f>(G237/G236)</f>
        <v>0.66573493318789201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73">
        <f>'[43]Sch B'!C85</f>
        <v>165.48248641304349</v>
      </c>
    </row>
    <row r="242" spans="2:7">
      <c r="F242" s="142" t="s">
        <v>341</v>
      </c>
      <c r="G242" s="573">
        <f>'[43]Sch B'!E85</f>
        <v>174.35755076142132</v>
      </c>
    </row>
    <row r="243" spans="2:7">
      <c r="F243" s="142" t="s">
        <v>342</v>
      </c>
      <c r="G243" s="573">
        <f>'[43]Sch B'!G85</f>
        <v>162.42930730478588</v>
      </c>
    </row>
    <row r="244" spans="2:7">
      <c r="F244" s="142" t="s">
        <v>343</v>
      </c>
      <c r="G244" s="573">
        <f>'[43]Sch B'!I85</f>
        <v>160.36022727272729</v>
      </c>
    </row>
    <row r="245" spans="2:7">
      <c r="F245" s="142"/>
    </row>
  </sheetData>
  <printOptions horizontalCentered="1"/>
  <pageMargins left="0" right="0" top="0.75" bottom="1" header="0.5" footer="0.5"/>
  <pageSetup scale="70" orientation="portrait" r:id="rId1"/>
  <headerFooter alignWithMargins="0">
    <oddFooter>&amp;R&amp;D
&amp;T
&amp;F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7">
    <tabColor rgb="FFE28CAB"/>
  </sheetPr>
  <dimension ref="A1:Q245"/>
  <sheetViews>
    <sheetView showGridLines="0" zoomScale="90" zoomScaleNormal="90" workbookViewId="0">
      <pane xSplit="2" topLeftCell="C1" activePane="topRight" state="frozen"/>
      <selection activeCell="N1" sqref="N1"/>
      <selection pane="topRight"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478"/>
      <c r="E1" s="478"/>
      <c r="F1" s="478"/>
      <c r="G1" s="478"/>
      <c r="H1" s="478"/>
      <c r="I1" s="479"/>
    </row>
    <row r="2" spans="1:14" ht="23">
      <c r="B2" s="143" t="s">
        <v>189</v>
      </c>
      <c r="C2" s="247" t="s">
        <v>386</v>
      </c>
      <c r="D2" s="247"/>
      <c r="E2" s="144"/>
    </row>
    <row r="3" spans="1:14">
      <c r="A3" s="145"/>
      <c r="B3" s="140" t="s">
        <v>79</v>
      </c>
      <c r="C3" s="495">
        <v>41821</v>
      </c>
      <c r="D3" s="144"/>
      <c r="E3" s="147"/>
    </row>
    <row r="4" spans="1:14">
      <c r="A4" s="145"/>
      <c r="B4" s="148" t="s">
        <v>80</v>
      </c>
      <c r="C4" s="495">
        <v>42185</v>
      </c>
      <c r="D4" s="144"/>
      <c r="E4" s="149"/>
      <c r="G4" s="150"/>
    </row>
    <row r="5" spans="1:14">
      <c r="A5" s="145"/>
      <c r="B5" s="148"/>
      <c r="C5" s="151"/>
      <c r="D5" s="144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144"/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573">
        <f>'[44]Sch B'!E10</f>
        <v>2879171</v>
      </c>
      <c r="D11" s="573">
        <f>'[44]Sch B'!G10</f>
        <v>0</v>
      </c>
      <c r="E11" s="171">
        <f>C11+D11</f>
        <v>2879171</v>
      </c>
      <c r="F11" s="171"/>
      <c r="G11" s="171">
        <f t="shared" ref="G11:G20" si="0">E11+F11</f>
        <v>2879171</v>
      </c>
      <c r="H11" s="172">
        <f t="shared" ref="H11:H21" si="1">IF($G$21=0,0,G11/$G$21)</f>
        <v>0.78958931686302325</v>
      </c>
      <c r="I11" s="337"/>
      <c r="J11" s="368" t="s">
        <v>344</v>
      </c>
      <c r="K11" s="369">
        <f>G21</f>
        <v>3646415.8499999996</v>
      </c>
      <c r="M11" s="359">
        <f>IFERROR(G11/G219,0)</f>
        <v>159.82076047737996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573">
        <f>'[44]Sch B'!E15</f>
        <v>0</v>
      </c>
      <c r="D12" s="573">
        <f>'[44]Sch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7"/>
      <c r="J12" s="370" t="s">
        <v>345</v>
      </c>
      <c r="K12" s="371">
        <f>G208</f>
        <v>2539308.59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573">
        <f>'[44]Sch B'!E21</f>
        <v>188369.96</v>
      </c>
      <c r="D13" s="573">
        <f>'[44]Sch B'!G21</f>
        <v>0</v>
      </c>
      <c r="E13" s="171">
        <f t="shared" si="2"/>
        <v>188369.96</v>
      </c>
      <c r="F13" s="171"/>
      <c r="G13" s="171">
        <f t="shared" si="0"/>
        <v>188369.96</v>
      </c>
      <c r="H13" s="172">
        <f t="shared" si="1"/>
        <v>5.1658935170545622E-2</v>
      </c>
      <c r="I13" s="337"/>
      <c r="J13" s="370" t="s">
        <v>346</v>
      </c>
      <c r="K13" s="371">
        <f>G228</f>
        <v>21155</v>
      </c>
      <c r="M13" s="359">
        <f t="shared" si="3"/>
        <v>413.99991208791209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573">
        <f>'[44]Sch B'!E27</f>
        <v>52691.76</v>
      </c>
      <c r="D14" s="573">
        <f>'[44]Sch B'!G27</f>
        <v>0</v>
      </c>
      <c r="E14" s="171">
        <f t="shared" si="2"/>
        <v>52691.76</v>
      </c>
      <c r="F14" s="175"/>
      <c r="G14" s="175">
        <f>E14+F14</f>
        <v>52691.76</v>
      </c>
      <c r="H14" s="176">
        <f t="shared" si="1"/>
        <v>1.44502882193209E-2</v>
      </c>
      <c r="I14" s="338"/>
      <c r="J14" s="370" t="s">
        <v>347</v>
      </c>
      <c r="K14" s="371">
        <f>G231</f>
        <v>155</v>
      </c>
      <c r="M14" s="359">
        <f t="shared" si="3"/>
        <v>358.44734693877552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573">
        <f>'[44]Sch B'!E32</f>
        <v>0</v>
      </c>
      <c r="D15" s="573">
        <f>'[44]Sch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7"/>
      <c r="J15" s="370" t="s">
        <v>348</v>
      </c>
      <c r="K15" s="371">
        <f>G235</f>
        <v>56575</v>
      </c>
      <c r="M15" s="359">
        <f t="shared" si="3"/>
        <v>0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573">
        <f>'[44]Sch B'!E37</f>
        <v>346970.75</v>
      </c>
      <c r="D16" s="573">
        <f>'[44]Sch B'!G37</f>
        <v>0</v>
      </c>
      <c r="E16" s="171">
        <f t="shared" si="2"/>
        <v>346970.75</v>
      </c>
      <c r="F16" s="171"/>
      <c r="G16" s="171">
        <f t="shared" si="0"/>
        <v>346970.75</v>
      </c>
      <c r="H16" s="172">
        <f t="shared" si="1"/>
        <v>9.5153916687807302E-2</v>
      </c>
      <c r="I16" s="337"/>
      <c r="J16" s="372"/>
      <c r="K16" s="371"/>
      <c r="M16" s="359">
        <f t="shared" si="3"/>
        <v>177.29726622381196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573">
        <f>'[44]Sch B'!E42</f>
        <v>93074.85</v>
      </c>
      <c r="D17" s="573">
        <f>'[44]Sch B'!G42</f>
        <v>0</v>
      </c>
      <c r="E17" s="171">
        <f t="shared" si="2"/>
        <v>93074.85</v>
      </c>
      <c r="F17" s="171"/>
      <c r="G17" s="171">
        <f>E17+F17</f>
        <v>93074.85</v>
      </c>
      <c r="H17" s="172">
        <f t="shared" si="1"/>
        <v>2.5525023428142463E-2</v>
      </c>
      <c r="I17" s="337"/>
      <c r="J17" s="370" t="s">
        <v>156</v>
      </c>
      <c r="K17" s="371">
        <f>J208</f>
        <v>95591.689999999988</v>
      </c>
      <c r="M17" s="359">
        <f t="shared" si="3"/>
        <v>160.19767641996557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573">
        <f>'[44]Sch B'!E47</f>
        <v>0</v>
      </c>
      <c r="D18" s="573">
        <f>'[44]Sch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337"/>
      <c r="J18" s="373" t="s">
        <v>252</v>
      </c>
      <c r="K18" s="374">
        <f>K208</f>
        <v>97470.82</v>
      </c>
      <c r="M18" s="359">
        <f t="shared" si="3"/>
        <v>0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573">
        <f>'[44]Sch B'!E52</f>
        <v>0</v>
      </c>
      <c r="D19" s="573">
        <f>'[44]Sch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337"/>
      <c r="J19" s="168"/>
      <c r="K19" s="168"/>
      <c r="M19" s="359">
        <f t="shared" si="3"/>
        <v>0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573">
        <f>'[44]Sch B'!E67</f>
        <v>86137.53</v>
      </c>
      <c r="D20" s="573">
        <f>'[44]Sch B'!G67</f>
        <v>0</v>
      </c>
      <c r="E20" s="171">
        <f t="shared" si="2"/>
        <v>86137.53</v>
      </c>
      <c r="F20" s="171"/>
      <c r="G20" s="171">
        <f t="shared" si="0"/>
        <v>86137.53</v>
      </c>
      <c r="H20" s="172">
        <f t="shared" si="1"/>
        <v>2.3622519631160556E-2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573">
        <f>SUM(C11:C20)</f>
        <v>3646415.8499999996</v>
      </c>
      <c r="D21" s="573">
        <f>SUM(D11:D20)</f>
        <v>0</v>
      </c>
      <c r="E21" s="171">
        <f>SUM(E11:E20)</f>
        <v>3646415.8499999996</v>
      </c>
      <c r="F21" s="171">
        <f>SUM(F11:F20)</f>
        <v>0</v>
      </c>
      <c r="G21" s="171">
        <f>SUM(G11:G20)</f>
        <v>3646415.8499999996</v>
      </c>
      <c r="H21" s="172">
        <f t="shared" si="1"/>
        <v>1</v>
      </c>
      <c r="I21" s="337"/>
      <c r="J21" s="168"/>
      <c r="K21" s="168"/>
      <c r="M21" s="359">
        <f>IFERROR(G21/G228,0)</f>
        <v>172.36662018435356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4">
      <c r="A24" s="181" t="s">
        <v>161</v>
      </c>
      <c r="B24" s="148" t="s">
        <v>12</v>
      </c>
      <c r="M24" s="363"/>
      <c r="N24" s="363"/>
    </row>
    <row r="25" spans="1:14" s="167" customFormat="1">
      <c r="A25" s="169" t="s">
        <v>83</v>
      </c>
      <c r="B25" s="170" t="s">
        <v>14</v>
      </c>
      <c r="C25" s="573">
        <f>'[44]Sch C'!D10</f>
        <v>60500</v>
      </c>
      <c r="D25" s="573">
        <f>'[44]Sch C'!F10</f>
        <v>0</v>
      </c>
      <c r="E25" s="171">
        <f t="shared" ref="E25:E60" si="4">C25+D25</f>
        <v>60500</v>
      </c>
      <c r="F25" s="171"/>
      <c r="G25" s="182">
        <f>E25+F25</f>
        <v>60500</v>
      </c>
      <c r="H25" s="172">
        <f>IF($G$208=0,0,G25/$G$208)</f>
        <v>2.3825383113440343E-2</v>
      </c>
      <c r="I25" s="337"/>
      <c r="J25" s="183">
        <v>2080</v>
      </c>
      <c r="K25" s="183">
        <v>2080</v>
      </c>
      <c r="M25" s="359">
        <f>G25/G$228</f>
        <v>2.859844008508627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573">
        <f>'[44]Sch C'!D11</f>
        <v>0</v>
      </c>
      <c r="D26" s="573">
        <f>'[44]Sch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183" t="s">
        <v>198</v>
      </c>
      <c r="K26" s="183" t="s">
        <v>198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573">
        <f>'[44]Sch C'!D12</f>
        <v>98383</v>
      </c>
      <c r="D27" s="573">
        <f>'[44]Sch C'!F12</f>
        <v>0</v>
      </c>
      <c r="E27" s="171">
        <f t="shared" si="4"/>
        <v>98383</v>
      </c>
      <c r="F27" s="171"/>
      <c r="G27" s="171">
        <f t="shared" si="5"/>
        <v>98383</v>
      </c>
      <c r="H27" s="172">
        <f t="shared" si="6"/>
        <v>3.8744011022307456E-2</v>
      </c>
      <c r="I27" s="337"/>
      <c r="J27" s="185">
        <v>5846</v>
      </c>
      <c r="K27" s="185">
        <v>6022</v>
      </c>
      <c r="M27" s="359">
        <f t="shared" si="7"/>
        <v>4.6505790593240368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573">
        <f>'[44]Sch C'!D13</f>
        <v>24759</v>
      </c>
      <c r="D28" s="573">
        <f>'[44]Sch C'!F13</f>
        <v>0</v>
      </c>
      <c r="E28" s="171">
        <f t="shared" si="4"/>
        <v>24759</v>
      </c>
      <c r="F28" s="171">
        <v>655</v>
      </c>
      <c r="G28" s="171">
        <f t="shared" si="5"/>
        <v>25414</v>
      </c>
      <c r="H28" s="172">
        <f t="shared" si="6"/>
        <v>1.0008236139586327E-2</v>
      </c>
      <c r="I28" s="337"/>
      <c r="J28" s="168"/>
      <c r="K28" s="168"/>
      <c r="M28" s="359">
        <f t="shared" si="7"/>
        <v>1.201323564169227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573">
        <f>'[44]Sch C'!D14</f>
        <v>0</v>
      </c>
      <c r="D29" s="573">
        <f>'[44]Sch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573">
        <f>'[44]Sch C'!D15</f>
        <v>0</v>
      </c>
      <c r="D30" s="573">
        <f>'[44]Sch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7"/>
      <c r="J30" s="168"/>
      <c r="K30" s="168"/>
      <c r="M30" s="359">
        <f t="shared" si="7"/>
        <v>0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573">
        <f>'[44]Sch C'!D16</f>
        <v>0</v>
      </c>
      <c r="D31" s="573">
        <f>'[44]Sch C'!F16</f>
        <v>0</v>
      </c>
      <c r="E31" s="171">
        <f t="shared" si="4"/>
        <v>0</v>
      </c>
      <c r="F31" s="171"/>
      <c r="G31" s="171">
        <f t="shared" si="5"/>
        <v>0</v>
      </c>
      <c r="H31" s="172">
        <f t="shared" si="6"/>
        <v>0</v>
      </c>
      <c r="I31" s="337"/>
      <c r="J31" s="168"/>
      <c r="K31" s="168"/>
      <c r="M31" s="359">
        <f t="shared" si="7"/>
        <v>0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573">
        <f>'[44]Sch C'!D17</f>
        <v>41365.93</v>
      </c>
      <c r="D32" s="573">
        <f>'[44]Sch C'!F17</f>
        <v>0</v>
      </c>
      <c r="E32" s="171">
        <f t="shared" si="4"/>
        <v>41365.93</v>
      </c>
      <c r="F32" s="171">
        <f>-64-989</f>
        <v>-1053</v>
      </c>
      <c r="G32" s="171">
        <f t="shared" si="5"/>
        <v>40312.93</v>
      </c>
      <c r="H32" s="172">
        <f t="shared" si="6"/>
        <v>1.5875553746699217E-2</v>
      </c>
      <c r="I32" s="337"/>
      <c r="J32" s="168"/>
      <c r="K32" s="168"/>
      <c r="M32" s="359">
        <f t="shared" si="7"/>
        <v>1.9055982037343417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573">
        <f>'[44]Sch C'!D18</f>
        <v>8971.86</v>
      </c>
      <c r="D33" s="573">
        <f>'[44]Sch C'!F18</f>
        <v>0</v>
      </c>
      <c r="E33" s="171">
        <f t="shared" si="4"/>
        <v>8971.86</v>
      </c>
      <c r="F33" s="171"/>
      <c r="G33" s="171">
        <f t="shared" si="5"/>
        <v>8971.86</v>
      </c>
      <c r="H33" s="172">
        <f t="shared" si="6"/>
        <v>3.5331901114074526E-3</v>
      </c>
      <c r="I33" s="337"/>
      <c r="J33" s="168"/>
      <c r="K33" s="168"/>
      <c r="M33" s="359">
        <f t="shared" si="7"/>
        <v>0.42410115811864812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573">
        <f>'[44]Sch C'!D19</f>
        <v>15900.6</v>
      </c>
      <c r="D34" s="573">
        <f>'[44]Sch C'!F19</f>
        <v>0</v>
      </c>
      <c r="E34" s="171">
        <f t="shared" si="4"/>
        <v>15900.6</v>
      </c>
      <c r="F34" s="171">
        <v>168</v>
      </c>
      <c r="G34" s="171">
        <f t="shared" si="5"/>
        <v>16068.6</v>
      </c>
      <c r="H34" s="172">
        <f t="shared" si="6"/>
        <v>6.3279429933326857E-3</v>
      </c>
      <c r="I34" s="337"/>
      <c r="J34" s="168"/>
      <c r="K34" s="168"/>
      <c r="M34" s="359">
        <f t="shared" si="7"/>
        <v>0.75956511463011112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573">
        <f>'[44]Sch C'!D20</f>
        <v>30217.84</v>
      </c>
      <c r="D35" s="573">
        <f>'[44]Sch C'!F20</f>
        <v>0</v>
      </c>
      <c r="E35" s="171">
        <f t="shared" si="4"/>
        <v>30217.84</v>
      </c>
      <c r="F35" s="171">
        <f>-655-369-1603</f>
        <v>-2627</v>
      </c>
      <c r="G35" s="171">
        <f t="shared" si="5"/>
        <v>27590.84</v>
      </c>
      <c r="H35" s="172">
        <f t="shared" si="6"/>
        <v>1.0865493114407179E-2</v>
      </c>
      <c r="I35" s="337"/>
      <c r="J35" s="168"/>
      <c r="K35" s="168"/>
      <c r="M35" s="359">
        <f t="shared" si="7"/>
        <v>1.3042231151028125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573">
        <f>'[44]Sch C'!D21</f>
        <v>3500</v>
      </c>
      <c r="D36" s="573">
        <f>'[44]Sch C'!F21</f>
        <v>0</v>
      </c>
      <c r="E36" s="171">
        <f t="shared" si="4"/>
        <v>3500</v>
      </c>
      <c r="F36" s="171"/>
      <c r="G36" s="171">
        <f t="shared" si="5"/>
        <v>3500</v>
      </c>
      <c r="H36" s="172">
        <f t="shared" si="6"/>
        <v>1.3783279487114247E-3</v>
      </c>
      <c r="I36" s="337"/>
      <c r="J36" s="168"/>
      <c r="K36" s="168"/>
      <c r="M36" s="359">
        <f t="shared" si="7"/>
        <v>0.16544552115339164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573">
        <f>'[44]Sch C'!D22</f>
        <v>0</v>
      </c>
      <c r="D37" s="573">
        <f>'[44]Sch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573">
        <f>'[44]Sch C'!D23</f>
        <v>3802</v>
      </c>
      <c r="D38" s="573">
        <f>'[44]Sch C'!F23</f>
        <v>0</v>
      </c>
      <c r="E38" s="171">
        <f t="shared" si="4"/>
        <v>3802</v>
      </c>
      <c r="F38" s="171">
        <v>989</v>
      </c>
      <c r="G38" s="171">
        <f t="shared" si="5"/>
        <v>4791</v>
      </c>
      <c r="H38" s="172">
        <f t="shared" si="6"/>
        <v>1.8867340577932673E-3</v>
      </c>
      <c r="I38" s="337"/>
      <c r="J38" s="168"/>
      <c r="K38" s="168"/>
      <c r="M38" s="359">
        <f t="shared" si="7"/>
        <v>0.22647128338454267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573">
        <f>'[44]Sch C'!D24</f>
        <v>2356.6</v>
      </c>
      <c r="D39" s="573">
        <f>'[44]Sch C'!F24</f>
        <v>0</v>
      </c>
      <c r="E39" s="171">
        <f t="shared" si="4"/>
        <v>2356.6</v>
      </c>
      <c r="F39" s="171"/>
      <c r="G39" s="171">
        <f t="shared" si="5"/>
        <v>2356.6</v>
      </c>
      <c r="H39" s="172">
        <f t="shared" si="6"/>
        <v>9.2804789826666958E-4</v>
      </c>
      <c r="I39" s="337"/>
      <c r="J39" s="168"/>
      <c r="K39" s="168"/>
      <c r="M39" s="359">
        <f t="shared" si="7"/>
        <v>0.11139683290002363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573">
        <f>'[44]Sch C'!D25</f>
        <v>0</v>
      </c>
      <c r="D40" s="573">
        <f>'[44]Sch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337"/>
      <c r="J40" s="168"/>
      <c r="K40" s="168"/>
      <c r="M40" s="359">
        <f t="shared" si="7"/>
        <v>0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573">
        <f>'[44]Sch C'!D26</f>
        <v>318090.87</v>
      </c>
      <c r="D41" s="573">
        <f>'[44]Sch C'!F26</f>
        <v>0</v>
      </c>
      <c r="E41" s="171">
        <f t="shared" si="4"/>
        <v>318090.87</v>
      </c>
      <c r="F41" s="171"/>
      <c r="G41" s="171">
        <f t="shared" si="5"/>
        <v>318090.87</v>
      </c>
      <c r="H41" s="172">
        <f t="shared" si="6"/>
        <v>0.125266724671695</v>
      </c>
      <c r="I41" s="337"/>
      <c r="J41" s="168"/>
      <c r="K41" s="168"/>
      <c r="M41" s="359">
        <f t="shared" si="7"/>
        <v>15.036202788938786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573">
        <f>'[44]Sch C'!D27</f>
        <v>0</v>
      </c>
      <c r="D42" s="573">
        <f>'[44]Sch C'!F27</f>
        <v>0</v>
      </c>
      <c r="E42" s="171">
        <f t="shared" si="4"/>
        <v>0</v>
      </c>
      <c r="F42" s="171"/>
      <c r="G42" s="171">
        <f t="shared" si="5"/>
        <v>0</v>
      </c>
      <c r="H42" s="172">
        <f t="shared" si="6"/>
        <v>0</v>
      </c>
      <c r="I42" s="337"/>
      <c r="J42" s="168"/>
      <c r="K42" s="168"/>
      <c r="M42" s="359">
        <f t="shared" si="7"/>
        <v>0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573">
        <f>'[44]Sch C'!D28</f>
        <v>91660</v>
      </c>
      <c r="D43" s="573">
        <f>'[44]Sch C'!F28</f>
        <v>-91660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573">
        <f>'[44]Sch C'!D29</f>
        <v>0</v>
      </c>
      <c r="D44" s="573">
        <f>'[44]Sch C'!F29</f>
        <v>0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573">
        <f>'[44]Sch C'!D30</f>
        <v>0</v>
      </c>
      <c r="D45" s="573">
        <f>'[44]Sch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573">
        <f>'[44]Sch C'!D31</f>
        <v>21720.33</v>
      </c>
      <c r="D46" s="573">
        <f>'[44]Sch C'!F31</f>
        <v>0</v>
      </c>
      <c r="E46" s="171">
        <f t="shared" si="4"/>
        <v>21720.33</v>
      </c>
      <c r="F46" s="171"/>
      <c r="G46" s="171">
        <f t="shared" si="5"/>
        <v>21720.33</v>
      </c>
      <c r="H46" s="172">
        <f t="shared" si="6"/>
        <v>8.5536393983529201E-3</v>
      </c>
      <c r="I46" s="337"/>
      <c r="J46" s="168"/>
      <c r="K46" s="168"/>
      <c r="M46" s="359">
        <f t="shared" si="7"/>
        <v>1.0267232332781848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573">
        <f>'[44]Sch C'!D32</f>
        <v>44340.95</v>
      </c>
      <c r="D47" s="573">
        <f>'[44]Sch C'!F32</f>
        <v>0</v>
      </c>
      <c r="E47" s="171">
        <f t="shared" si="4"/>
        <v>44340.95</v>
      </c>
      <c r="F47" s="171"/>
      <c r="G47" s="171">
        <f t="shared" si="5"/>
        <v>44340.95</v>
      </c>
      <c r="H47" s="172">
        <f t="shared" si="6"/>
        <v>1.7461820187833099E-2</v>
      </c>
      <c r="I47" s="337"/>
      <c r="J47" s="168"/>
      <c r="K47" s="168"/>
      <c r="M47" s="359">
        <f t="shared" si="7"/>
        <v>2.0960033089104231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573">
        <f>'[44]Sch C'!D33</f>
        <v>0</v>
      </c>
      <c r="D48" s="573">
        <f>'[44]Sch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573">
        <f>'[44]Sch C'!D34</f>
        <v>0</v>
      </c>
      <c r="D49" s="573">
        <f>'[44]Sch C'!F34</f>
        <v>0</v>
      </c>
      <c r="E49" s="171">
        <f t="shared" si="4"/>
        <v>0</v>
      </c>
      <c r="F49" s="171"/>
      <c r="G49" s="171">
        <f t="shared" si="5"/>
        <v>0</v>
      </c>
      <c r="H49" s="172">
        <f t="shared" si="6"/>
        <v>0</v>
      </c>
      <c r="I49" s="337"/>
      <c r="J49" s="168"/>
      <c r="K49" s="168"/>
      <c r="M49" s="359">
        <f t="shared" si="7"/>
        <v>0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573">
        <f>'[44]Sch C'!D35</f>
        <v>0</v>
      </c>
      <c r="D50" s="573">
        <f>'[44]Sch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573">
        <f>'[44]Sch C'!D36</f>
        <v>0</v>
      </c>
      <c r="D51" s="573">
        <f>'[44]Sch C'!F36</f>
        <v>0</v>
      </c>
      <c r="E51" s="171">
        <f t="shared" si="4"/>
        <v>0</v>
      </c>
      <c r="F51" s="171"/>
      <c r="G51" s="171">
        <f t="shared" si="5"/>
        <v>0</v>
      </c>
      <c r="H51" s="172">
        <f t="shared" si="6"/>
        <v>0</v>
      </c>
      <c r="I51" s="337"/>
      <c r="J51" s="183">
        <v>0</v>
      </c>
      <c r="K51" s="183">
        <v>0</v>
      </c>
      <c r="M51" s="359">
        <f t="shared" si="7"/>
        <v>0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573">
        <f>'[44]Sch C'!D37</f>
        <v>0</v>
      </c>
      <c r="D52" s="573">
        <f>'[44]Sch C'!F37</f>
        <v>0</v>
      </c>
      <c r="E52" s="171">
        <f t="shared" si="4"/>
        <v>0</v>
      </c>
      <c r="F52" s="171"/>
      <c r="G52" s="171">
        <f t="shared" si="5"/>
        <v>0</v>
      </c>
      <c r="H52" s="172">
        <f t="shared" si="6"/>
        <v>0</v>
      </c>
      <c r="I52" s="337"/>
      <c r="J52" s="168"/>
      <c r="K52" s="168"/>
      <c r="M52" s="359">
        <f t="shared" si="7"/>
        <v>0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573">
        <f>'[44]Sch C'!D38</f>
        <v>0</v>
      </c>
      <c r="D53" s="573">
        <f>'[44]Sch C'!F38</f>
        <v>0</v>
      </c>
      <c r="E53" s="171">
        <f t="shared" si="4"/>
        <v>0</v>
      </c>
      <c r="F53" s="171">
        <v>64</v>
      </c>
      <c r="G53" s="171">
        <f t="shared" si="5"/>
        <v>64</v>
      </c>
      <c r="H53" s="172">
        <f t="shared" si="6"/>
        <v>2.5203711062151765E-5</v>
      </c>
      <c r="I53" s="337"/>
      <c r="J53" s="168"/>
      <c r="K53" s="168"/>
      <c r="M53" s="359">
        <f t="shared" si="7"/>
        <v>3.0252895296620183E-3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573">
        <f>'[44]Sch C'!D39</f>
        <v>175.13</v>
      </c>
      <c r="D54" s="573">
        <f>'[44]Sch C'!F39</f>
        <v>0</v>
      </c>
      <c r="E54" s="171">
        <f t="shared" si="4"/>
        <v>175.13</v>
      </c>
      <c r="F54" s="171"/>
      <c r="G54" s="171">
        <f t="shared" si="5"/>
        <v>175.13</v>
      </c>
      <c r="H54" s="172">
        <f t="shared" si="6"/>
        <v>6.896759247366623E-5</v>
      </c>
      <c r="I54" s="337"/>
      <c r="J54" s="168"/>
      <c r="K54" s="168"/>
      <c r="M54" s="359">
        <f t="shared" si="7"/>
        <v>8.2784211770267069E-3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573">
        <f>'[44]Sch C'!D40</f>
        <v>701.7</v>
      </c>
      <c r="D55" s="573">
        <f>'[44]Sch C'!F40</f>
        <v>0</v>
      </c>
      <c r="E55" s="171">
        <f t="shared" si="4"/>
        <v>701.7</v>
      </c>
      <c r="F55" s="171"/>
      <c r="G55" s="171">
        <f t="shared" si="5"/>
        <v>701.7</v>
      </c>
      <c r="H55" s="172">
        <f t="shared" si="6"/>
        <v>2.7633506331737337E-4</v>
      </c>
      <c r="I55" s="337"/>
      <c r="J55" s="168"/>
      <c r="K55" s="168"/>
      <c r="M55" s="359">
        <f t="shared" si="7"/>
        <v>3.3169463483809974E-2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573">
        <f>'[44]Sch C'!D41</f>
        <v>1438.9</v>
      </c>
      <c r="D56" s="573">
        <f>'[44]Sch C'!F41</f>
        <v>0</v>
      </c>
      <c r="E56" s="171">
        <f t="shared" si="4"/>
        <v>1438.9</v>
      </c>
      <c r="F56" s="171"/>
      <c r="G56" s="171">
        <f t="shared" si="5"/>
        <v>1438.9</v>
      </c>
      <c r="H56" s="172">
        <f t="shared" si="6"/>
        <v>5.6665031011453402E-4</v>
      </c>
      <c r="I56" s="337"/>
      <c r="J56" s="168"/>
      <c r="K56" s="168"/>
      <c r="M56" s="359">
        <f t="shared" si="7"/>
        <v>6.8017017253604359E-2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573">
        <f>'[44]Sch C'!D42</f>
        <v>0</v>
      </c>
      <c r="D57" s="573">
        <f>'[44]Sch C'!F42</f>
        <v>0</v>
      </c>
      <c r="E57" s="171">
        <f t="shared" si="4"/>
        <v>0</v>
      </c>
      <c r="F57" s="171"/>
      <c r="G57" s="171">
        <f t="shared" si="5"/>
        <v>0</v>
      </c>
      <c r="H57" s="172">
        <f t="shared" si="6"/>
        <v>0</v>
      </c>
      <c r="I57" s="337"/>
      <c r="J57" s="168"/>
      <c r="K57" s="168"/>
      <c r="M57" s="359">
        <f t="shared" si="7"/>
        <v>0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573">
        <f>'[44]Sch C'!D43</f>
        <v>0</v>
      </c>
      <c r="D58" s="573">
        <f>'[44]Sch C'!F43</f>
        <v>0</v>
      </c>
      <c r="E58" s="171">
        <f t="shared" si="4"/>
        <v>0</v>
      </c>
      <c r="F58" s="171"/>
      <c r="G58" s="171">
        <f t="shared" si="5"/>
        <v>0</v>
      </c>
      <c r="H58" s="172">
        <f t="shared" si="6"/>
        <v>0</v>
      </c>
      <c r="I58" s="337"/>
      <c r="J58" s="168"/>
      <c r="K58" s="168"/>
      <c r="M58" s="359">
        <f t="shared" si="7"/>
        <v>0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573">
        <f>'[44]Sch C'!D44</f>
        <v>0</v>
      </c>
      <c r="D59" s="573">
        <f>'[44]Sch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7"/>
      <c r="J59" s="168"/>
      <c r="K59" s="168"/>
      <c r="M59" s="359">
        <f t="shared" si="7"/>
        <v>0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573">
        <f>'[44]Sch C'!D45</f>
        <v>0</v>
      </c>
      <c r="D60" s="573">
        <f>'[44]Sch C'!F45</f>
        <v>0</v>
      </c>
      <c r="E60" s="171">
        <f t="shared" si="4"/>
        <v>0</v>
      </c>
      <c r="F60" s="171"/>
      <c r="G60" s="171">
        <f t="shared" si="5"/>
        <v>0</v>
      </c>
      <c r="H60" s="172">
        <f t="shared" si="6"/>
        <v>0</v>
      </c>
      <c r="I60" s="337"/>
      <c r="J60" s="168"/>
      <c r="K60" s="168"/>
      <c r="M60" s="359">
        <f t="shared" si="7"/>
        <v>0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573">
        <f>SUM(C25:C60)</f>
        <v>767884.70999999985</v>
      </c>
      <c r="D61" s="573">
        <f>SUM(D25:D60)</f>
        <v>-91660</v>
      </c>
      <c r="E61" s="171">
        <f t="shared" ref="E61" si="8">SUM(E25:E60)</f>
        <v>676224.70999999985</v>
      </c>
      <c r="F61" s="171">
        <f>SUM(F25:F60)</f>
        <v>-1804</v>
      </c>
      <c r="G61" s="171">
        <f>SUM(G25:G60)</f>
        <v>674420.70999999985</v>
      </c>
      <c r="H61" s="186">
        <f t="shared" si="6"/>
        <v>0.2655922610808007</v>
      </c>
      <c r="I61" s="339"/>
      <c r="J61" s="168"/>
      <c r="K61" s="168"/>
      <c r="M61" s="364">
        <f>G61/G$228</f>
        <v>31.879967383597251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I62" s="340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573">
        <f>'[44]Sch C'!D57</f>
        <v>300000</v>
      </c>
      <c r="D64" s="573">
        <f>'[44]Sch C'!F57</f>
        <v>-300000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I64" s="337"/>
      <c r="J64" s="190"/>
      <c r="K64" s="168"/>
      <c r="M64" s="359">
        <f t="shared" ref="M64:M79" si="12">G64/G$228</f>
        <v>0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573">
        <f>'[44]Sch C'!D58</f>
        <v>24552.29</v>
      </c>
      <c r="D65" s="573">
        <f>'[44]Sch C'!F58</f>
        <v>0</v>
      </c>
      <c r="E65" s="171">
        <f t="shared" si="9"/>
        <v>24552.29</v>
      </c>
      <c r="F65" s="171"/>
      <c r="G65" s="171">
        <f t="shared" si="10"/>
        <v>24552.29</v>
      </c>
      <c r="H65" s="172">
        <f t="shared" si="11"/>
        <v>9.6688878605337217E-3</v>
      </c>
      <c r="I65" s="337"/>
      <c r="J65" s="190"/>
      <c r="K65" s="168"/>
      <c r="M65" s="359">
        <f t="shared" si="12"/>
        <v>1.1605904041597732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573">
        <f>'[44]Sch C'!D59</f>
        <v>0</v>
      </c>
      <c r="D66" s="573">
        <f>'[44]Sch C'!F59</f>
        <v>0</v>
      </c>
      <c r="E66" s="171">
        <f t="shared" si="9"/>
        <v>0</v>
      </c>
      <c r="F66" s="171"/>
      <c r="G66" s="171">
        <f t="shared" si="10"/>
        <v>0</v>
      </c>
      <c r="H66" s="172">
        <f t="shared" si="11"/>
        <v>0</v>
      </c>
      <c r="I66" s="337"/>
      <c r="J66" s="190"/>
      <c r="K66" s="168"/>
      <c r="M66" s="359">
        <f t="shared" si="12"/>
        <v>0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573">
        <f>'[44]Sch C'!D60</f>
        <v>27558.97</v>
      </c>
      <c r="D67" s="573">
        <f>'[44]Sch C'!F60</f>
        <v>0</v>
      </c>
      <c r="E67" s="171">
        <f t="shared" si="9"/>
        <v>27558.97</v>
      </c>
      <c r="F67" s="171"/>
      <c r="G67" s="171">
        <f t="shared" si="10"/>
        <v>27558.97</v>
      </c>
      <c r="H67" s="172">
        <f t="shared" si="11"/>
        <v>1.0852942453914199E-2</v>
      </c>
      <c r="I67" s="337"/>
      <c r="J67" s="193"/>
      <c r="K67" s="168"/>
      <c r="M67" s="359">
        <f t="shared" si="12"/>
        <v>1.3027166154573389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573">
        <f>'[44]Sch C'!D61</f>
        <v>0</v>
      </c>
      <c r="D68" s="573">
        <f>'[44]Sch C'!F61</f>
        <v>0</v>
      </c>
      <c r="E68" s="171">
        <f t="shared" si="9"/>
        <v>0</v>
      </c>
      <c r="F68" s="171"/>
      <c r="G68" s="171">
        <f t="shared" si="10"/>
        <v>0</v>
      </c>
      <c r="H68" s="172">
        <f t="shared" si="11"/>
        <v>0</v>
      </c>
      <c r="I68" s="337"/>
      <c r="J68" s="193"/>
      <c r="K68" s="168"/>
      <c r="M68" s="359">
        <f t="shared" si="12"/>
        <v>0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573">
        <f>'[44]Sch C'!D62</f>
        <v>42399.02</v>
      </c>
      <c r="D69" s="573">
        <f>'[44]Sch C'!F62</f>
        <v>0</v>
      </c>
      <c r="E69" s="171">
        <f t="shared" si="9"/>
        <v>42399.02</v>
      </c>
      <c r="F69" s="171"/>
      <c r="G69" s="171">
        <f t="shared" si="10"/>
        <v>42399.02</v>
      </c>
      <c r="H69" s="172">
        <f t="shared" si="11"/>
        <v>1.6697072646849904E-2</v>
      </c>
      <c r="I69" s="337"/>
      <c r="J69" s="195"/>
      <c r="K69" s="168"/>
      <c r="M69" s="359">
        <f t="shared" si="12"/>
        <v>2.004207988655164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573">
        <f>'[44]Sch C'!D63</f>
        <v>0</v>
      </c>
      <c r="D70" s="573">
        <f>'[44]Sch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7"/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573">
        <f>'[44]Sch C'!D64</f>
        <v>0</v>
      </c>
      <c r="D71" s="573">
        <f>'[44]Sch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573">
        <f>'[44]Sch C'!D65</f>
        <v>2796.7</v>
      </c>
      <c r="D72" s="573">
        <f>'[44]Sch C'!F65</f>
        <v>0</v>
      </c>
      <c r="E72" s="171">
        <f t="shared" si="9"/>
        <v>2796.7</v>
      </c>
      <c r="F72" s="171"/>
      <c r="G72" s="171">
        <f t="shared" si="10"/>
        <v>2796.7</v>
      </c>
      <c r="H72" s="172">
        <f t="shared" si="11"/>
        <v>1.1013627926174975E-3</v>
      </c>
      <c r="I72" s="337"/>
      <c r="J72" s="195"/>
      <c r="K72" s="168"/>
      <c r="M72" s="359">
        <f t="shared" si="12"/>
        <v>0.13220042543134011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573">
        <f>'[44]Sch C'!D66</f>
        <v>0</v>
      </c>
      <c r="D73" s="573">
        <f>'[44]Sch C'!F66</f>
        <v>0</v>
      </c>
      <c r="E73" s="171">
        <f t="shared" si="9"/>
        <v>0</v>
      </c>
      <c r="F73" s="171">
        <v>369</v>
      </c>
      <c r="G73" s="171">
        <f t="shared" si="10"/>
        <v>369</v>
      </c>
      <c r="H73" s="172">
        <f t="shared" si="11"/>
        <v>1.4531514659271879E-4</v>
      </c>
      <c r="I73" s="337"/>
      <c r="J73" s="195"/>
      <c r="K73" s="168"/>
      <c r="M73" s="359">
        <f t="shared" si="12"/>
        <v>1.7442684944457575E-2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573">
        <f>'[44]Sch C'!D67</f>
        <v>52721.37</v>
      </c>
      <c r="D74" s="573">
        <f>'[44]Sch C'!F67</f>
        <v>0</v>
      </c>
      <c r="E74" s="171">
        <f t="shared" si="9"/>
        <v>52721.37</v>
      </c>
      <c r="F74" s="171"/>
      <c r="G74" s="171">
        <f t="shared" si="10"/>
        <v>52721.37</v>
      </c>
      <c r="H74" s="172">
        <f t="shared" si="11"/>
        <v>2.0762096504387442E-2</v>
      </c>
      <c r="I74" s="337"/>
      <c r="J74" s="195"/>
      <c r="K74" s="168"/>
      <c r="M74" s="359">
        <f t="shared" si="12"/>
        <v>2.492147010163082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573">
        <f>'[44]Sch C'!D68</f>
        <v>0</v>
      </c>
      <c r="D75" s="573">
        <f>'[44]Sch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573">
        <f>'[44]Sch C'!D69</f>
        <v>210</v>
      </c>
      <c r="D76" s="573">
        <f>'[44]Sch C'!F69</f>
        <v>0</v>
      </c>
      <c r="E76" s="171">
        <f t="shared" si="9"/>
        <v>210</v>
      </c>
      <c r="F76" s="171"/>
      <c r="G76" s="171">
        <f t="shared" si="10"/>
        <v>210</v>
      </c>
      <c r="H76" s="172">
        <f t="shared" si="11"/>
        <v>8.2699676922685483E-5</v>
      </c>
      <c r="I76" s="337"/>
      <c r="J76" s="195"/>
      <c r="K76" s="168"/>
      <c r="M76" s="359">
        <f t="shared" si="12"/>
        <v>9.9267312692034974E-3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573">
        <f>'[44]Sch C'!D70</f>
        <v>0</v>
      </c>
      <c r="D77" s="573">
        <f>'[44]Sch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7"/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573">
        <f>'[44]Sch C'!D71</f>
        <v>0</v>
      </c>
      <c r="D78" s="573">
        <f>'[44]Sch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7"/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573">
        <f>SUM(C64:C78)</f>
        <v>450238.35000000003</v>
      </c>
      <c r="D79" s="573">
        <f>SUM(D64:D78)</f>
        <v>-300000</v>
      </c>
      <c r="E79" s="171">
        <f t="shared" ref="E79" si="13">SUM(E64:E78)</f>
        <v>150238.35</v>
      </c>
      <c r="F79" s="171">
        <f>SUM(F64:F78)</f>
        <v>369</v>
      </c>
      <c r="G79" s="171">
        <f>SUM(G64:G78)</f>
        <v>150607.35</v>
      </c>
      <c r="H79" s="172">
        <f t="shared" si="11"/>
        <v>5.9310377081818168E-2</v>
      </c>
      <c r="I79" s="337"/>
      <c r="J79" s="195"/>
      <c r="K79" s="168"/>
      <c r="M79" s="359">
        <f t="shared" si="12"/>
        <v>7.1192318600803599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573">
        <f>'[44]Sch C'!D75</f>
        <v>42470.8</v>
      </c>
      <c r="D82" s="573">
        <f>'[44]Sch C'!F75</f>
        <v>0</v>
      </c>
      <c r="E82" s="171">
        <f t="shared" ref="E82:E92" si="14">C82+D82</f>
        <v>42470.8</v>
      </c>
      <c r="F82" s="171"/>
      <c r="G82" s="171">
        <f t="shared" ref="G82:G92" si="15">E82+F82</f>
        <v>42470.8</v>
      </c>
      <c r="H82" s="172">
        <f t="shared" ref="H82:H93" si="16">IF($G$208=0,0,G82/$G$208)</f>
        <v>1.672534018403805E-2</v>
      </c>
      <c r="I82" s="337"/>
      <c r="J82" s="183">
        <v>3835</v>
      </c>
      <c r="K82" s="183">
        <v>3852.55</v>
      </c>
      <c r="M82" s="359">
        <f t="shared" ref="M82:M92" si="17">G82/G$228</f>
        <v>2.007601039943276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573">
        <f>'[44]Sch C'!D76</f>
        <v>3637</v>
      </c>
      <c r="D83" s="573">
        <f>'[44]Sch C'!F76</f>
        <v>0</v>
      </c>
      <c r="E83" s="171">
        <f t="shared" si="14"/>
        <v>3637</v>
      </c>
      <c r="F83" s="171"/>
      <c r="G83" s="171">
        <f t="shared" si="15"/>
        <v>3637</v>
      </c>
      <c r="H83" s="172">
        <f t="shared" si="16"/>
        <v>1.4322796427038433E-3</v>
      </c>
      <c r="I83" s="337"/>
      <c r="J83" s="168"/>
      <c r="K83" s="168"/>
      <c r="M83" s="359">
        <f t="shared" si="17"/>
        <v>0.17192153155282439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573">
        <f>'[44]Sch C'!D77</f>
        <v>3994.94</v>
      </c>
      <c r="D84" s="573">
        <f>'[44]Sch C'!F77</f>
        <v>0</v>
      </c>
      <c r="E84" s="171">
        <f t="shared" si="14"/>
        <v>3994.94</v>
      </c>
      <c r="F84" s="171"/>
      <c r="G84" s="171">
        <f t="shared" si="15"/>
        <v>3994.94</v>
      </c>
      <c r="H84" s="172">
        <f t="shared" si="16"/>
        <v>1.573239272978634E-3</v>
      </c>
      <c r="I84" s="337"/>
      <c r="J84" s="168"/>
      <c r="K84" s="168"/>
      <c r="M84" s="359">
        <f t="shared" si="17"/>
        <v>0.18884140865043725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573">
        <f>'[44]Sch C'!D78</f>
        <v>1092.3399999999999</v>
      </c>
      <c r="D85" s="573">
        <f>'[44]Sch C'!F78</f>
        <v>0</v>
      </c>
      <c r="E85" s="171">
        <f t="shared" si="14"/>
        <v>1092.3399999999999</v>
      </c>
      <c r="F85" s="171"/>
      <c r="G85" s="171">
        <f t="shared" si="15"/>
        <v>1092.3399999999999</v>
      </c>
      <c r="H85" s="172">
        <f t="shared" si="16"/>
        <v>4.3017221471298214E-4</v>
      </c>
      <c r="I85" s="337"/>
      <c r="J85" s="168"/>
      <c r="K85" s="168"/>
      <c r="M85" s="359">
        <f t="shared" si="17"/>
        <v>5.1635074450484514E-2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573">
        <f>'[44]Sch C'!D79</f>
        <v>0</v>
      </c>
      <c r="D86" s="573">
        <f>'[44]Sch C'!F79</f>
        <v>0</v>
      </c>
      <c r="E86" s="171">
        <f t="shared" si="14"/>
        <v>0</v>
      </c>
      <c r="F86" s="171"/>
      <c r="G86" s="171">
        <f>E86+F86</f>
        <v>0</v>
      </c>
      <c r="H86" s="172">
        <f t="shared" si="16"/>
        <v>0</v>
      </c>
      <c r="I86" s="337"/>
      <c r="J86" s="168"/>
      <c r="K86" s="168"/>
      <c r="M86" s="359">
        <f t="shared" si="17"/>
        <v>0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573">
        <f>'[44]Sch C'!D80</f>
        <v>15372</v>
      </c>
      <c r="D87" s="573">
        <f>'[44]Sch C'!F80</f>
        <v>0</v>
      </c>
      <c r="E87" s="171">
        <f t="shared" si="14"/>
        <v>15372</v>
      </c>
      <c r="F87" s="171"/>
      <c r="G87" s="171">
        <f t="shared" si="15"/>
        <v>15372</v>
      </c>
      <c r="H87" s="172">
        <f t="shared" si="16"/>
        <v>6.0536163507405776E-3</v>
      </c>
      <c r="I87" s="337"/>
      <c r="J87" s="168"/>
      <c r="K87" s="168"/>
      <c r="M87" s="359">
        <f t="shared" si="17"/>
        <v>0.72663672890569608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573">
        <f>'[44]Sch C'!D81</f>
        <v>11341.59</v>
      </c>
      <c r="D88" s="573">
        <f>'[44]Sch C'!F81</f>
        <v>0</v>
      </c>
      <c r="E88" s="171">
        <f t="shared" si="14"/>
        <v>11341.59</v>
      </c>
      <c r="F88" s="171"/>
      <c r="G88" s="171">
        <f t="shared" si="15"/>
        <v>11341.59</v>
      </c>
      <c r="H88" s="172">
        <f t="shared" si="16"/>
        <v>4.4664087085217168E-3</v>
      </c>
      <c r="I88" s="337"/>
      <c r="J88" s="168"/>
      <c r="K88" s="168"/>
      <c r="M88" s="359">
        <f t="shared" si="17"/>
        <v>0.53611864807374143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573">
        <f>'[44]Sch C'!D82</f>
        <v>1174</v>
      </c>
      <c r="D89" s="573">
        <f>'[44]Sch C'!F82</f>
        <v>0</v>
      </c>
      <c r="E89" s="171">
        <f t="shared" si="14"/>
        <v>1174</v>
      </c>
      <c r="F89" s="171"/>
      <c r="G89" s="171">
        <f t="shared" si="15"/>
        <v>1174</v>
      </c>
      <c r="H89" s="172">
        <f t="shared" si="16"/>
        <v>4.6233057479634648E-4</v>
      </c>
      <c r="I89" s="337"/>
      <c r="J89" s="168"/>
      <c r="K89" s="168"/>
      <c r="M89" s="359">
        <f t="shared" si="17"/>
        <v>5.549515480973765E-2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573">
        <f>'[44]Sch C'!D83</f>
        <v>11746</v>
      </c>
      <c r="D90" s="573">
        <f>'[44]Sch C'!F83</f>
        <v>0</v>
      </c>
      <c r="E90" s="171">
        <f t="shared" si="14"/>
        <v>11746</v>
      </c>
      <c r="F90" s="171"/>
      <c r="G90" s="171">
        <f t="shared" si="15"/>
        <v>11746</v>
      </c>
      <c r="H90" s="172">
        <f t="shared" si="16"/>
        <v>4.6256685958755411E-3</v>
      </c>
      <c r="I90" s="337"/>
      <c r="J90" s="168"/>
      <c r="K90" s="168"/>
      <c r="M90" s="359">
        <f t="shared" si="17"/>
        <v>0.55523516899078229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573">
        <f>'[44]Sch C'!D84</f>
        <v>85374.86</v>
      </c>
      <c r="D91" s="573">
        <f>'[44]Sch C'!F84</f>
        <v>0</v>
      </c>
      <c r="E91" s="171">
        <f t="shared" si="14"/>
        <v>85374.86</v>
      </c>
      <c r="F91" s="171"/>
      <c r="G91" s="171">
        <f t="shared" si="15"/>
        <v>85374.86</v>
      </c>
      <c r="H91" s="172">
        <f t="shared" si="16"/>
        <v>3.3621301615807161E-2</v>
      </c>
      <c r="I91" s="337"/>
      <c r="J91" s="168"/>
      <c r="K91" s="168"/>
      <c r="M91" s="359">
        <f t="shared" si="17"/>
        <v>4.0356823445993859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573">
        <f>'[44]Sch C'!D85</f>
        <v>0</v>
      </c>
      <c r="D92" s="573">
        <f>'[44]Sch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7"/>
      <c r="J92" s="168"/>
      <c r="K92" s="168"/>
      <c r="M92" s="359">
        <f t="shared" si="17"/>
        <v>0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573">
        <f>SUM(C82:C92)</f>
        <v>176203.53</v>
      </c>
      <c r="D93" s="573">
        <f>SUM(D82:D92)</f>
        <v>0</v>
      </c>
      <c r="E93" s="171">
        <f t="shared" ref="E93" si="18">SUM(E82:E92)</f>
        <v>176203.53</v>
      </c>
      <c r="F93" s="171">
        <f>SUM(F82:F92)</f>
        <v>0</v>
      </c>
      <c r="G93" s="171">
        <f>SUM(G82:G92)</f>
        <v>176203.53</v>
      </c>
      <c r="H93" s="172">
        <f t="shared" si="16"/>
        <v>6.9390357160174859E-2</v>
      </c>
      <c r="I93" s="337"/>
      <c r="J93" s="168"/>
      <c r="K93" s="168"/>
      <c r="M93" s="364">
        <f>G93/G$228</f>
        <v>8.329167099976365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573">
        <f>'[44]Sch C'!D89</f>
        <v>114302</v>
      </c>
      <c r="D96" s="573">
        <f>'[44]Sch C'!F89</f>
        <v>0</v>
      </c>
      <c r="E96" s="171">
        <f t="shared" ref="E96:E101" si="19">C96+D96</f>
        <v>114302</v>
      </c>
      <c r="F96" s="171"/>
      <c r="G96" s="171">
        <f t="shared" ref="G96:G101" si="20">E96+F96</f>
        <v>114302</v>
      </c>
      <c r="H96" s="172">
        <f t="shared" ref="H96:H102" si="21">IF($G$208=0,0,G96/$G$208)</f>
        <v>4.5013040341032359E-2</v>
      </c>
      <c r="I96" s="337"/>
      <c r="J96" s="183">
        <v>13235</v>
      </c>
      <c r="K96" s="183">
        <v>13554</v>
      </c>
      <c r="M96" s="364">
        <f t="shared" ref="M96:M101" si="22">G96/G$228</f>
        <v>5.4030725596785629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573">
        <f>'[44]Sch C'!D90</f>
        <v>9681.75</v>
      </c>
      <c r="D97" s="573">
        <f>'[44]Sch C'!F90</f>
        <v>0</v>
      </c>
      <c r="E97" s="171">
        <f t="shared" si="19"/>
        <v>9681.75</v>
      </c>
      <c r="F97" s="171"/>
      <c r="G97" s="171">
        <f t="shared" si="20"/>
        <v>9681.75</v>
      </c>
      <c r="H97" s="172">
        <f t="shared" si="21"/>
        <v>3.8127504621248104E-3</v>
      </c>
      <c r="I97" s="337"/>
      <c r="J97" s="168"/>
      <c r="K97" s="168"/>
      <c r="M97" s="364">
        <f t="shared" si="22"/>
        <v>0.45765776412195697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573">
        <f>'[44]Sch C'!D91</f>
        <v>3115</v>
      </c>
      <c r="D98" s="573">
        <f>'[44]Sch C'!F91</f>
        <v>0</v>
      </c>
      <c r="E98" s="171">
        <f t="shared" si="19"/>
        <v>3115</v>
      </c>
      <c r="F98" s="171"/>
      <c r="G98" s="171">
        <f t="shared" si="20"/>
        <v>3115</v>
      </c>
      <c r="H98" s="172">
        <f t="shared" si="21"/>
        <v>1.2267118743531679E-3</v>
      </c>
      <c r="I98" s="337"/>
      <c r="J98" s="168"/>
      <c r="K98" s="168"/>
      <c r="M98" s="364">
        <f t="shared" si="22"/>
        <v>0.14724651382651854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573">
        <f>'[44]Sch C'!D92</f>
        <v>176339.6</v>
      </c>
      <c r="D99" s="573">
        <f>'[44]Sch C'!F92</f>
        <v>0</v>
      </c>
      <c r="E99" s="171">
        <f t="shared" si="19"/>
        <v>176339.6</v>
      </c>
      <c r="F99" s="171"/>
      <c r="G99" s="171">
        <f t="shared" si="20"/>
        <v>176339.6</v>
      </c>
      <c r="H99" s="172">
        <f t="shared" si="21"/>
        <v>6.9443942612740908E-2</v>
      </c>
      <c r="I99" s="337"/>
      <c r="J99" s="168"/>
      <c r="K99" s="168"/>
      <c r="M99" s="364">
        <f t="shared" si="22"/>
        <v>8.3355991491373196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573">
        <f>'[44]Sch C'!D93</f>
        <v>22109.68</v>
      </c>
      <c r="D100" s="573">
        <f>'[44]Sch C'!F93</f>
        <v>0</v>
      </c>
      <c r="E100" s="171">
        <f t="shared" si="19"/>
        <v>22109.68</v>
      </c>
      <c r="F100" s="171">
        <v>-168</v>
      </c>
      <c r="G100" s="171">
        <f t="shared" si="20"/>
        <v>21941.68</v>
      </c>
      <c r="H100" s="172">
        <f t="shared" si="21"/>
        <v>8.6408087959092845E-3</v>
      </c>
      <c r="I100" s="337"/>
      <c r="J100" s="168"/>
      <c r="K100" s="168"/>
      <c r="M100" s="364">
        <f t="shared" si="22"/>
        <v>1.0371864807374143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573">
        <f>'[44]Sch C'!D94</f>
        <v>531.44000000000005</v>
      </c>
      <c r="D101" s="573">
        <f>'[44]Sch C'!F94</f>
        <v>0</v>
      </c>
      <c r="E101" s="171">
        <f t="shared" si="19"/>
        <v>531.44000000000005</v>
      </c>
      <c r="F101" s="171"/>
      <c r="G101" s="171">
        <f t="shared" si="20"/>
        <v>531.44000000000005</v>
      </c>
      <c r="H101" s="172">
        <f t="shared" si="21"/>
        <v>2.0928531573234275E-4</v>
      </c>
      <c r="I101" s="337"/>
      <c r="J101" s="168"/>
      <c r="K101" s="168"/>
      <c r="M101" s="364">
        <f t="shared" si="22"/>
        <v>2.5121247931930987E-2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573">
        <f>SUM(C96:C101)</f>
        <v>326079.46999999997</v>
      </c>
      <c r="D102" s="573">
        <f>SUM(D96:D101)</f>
        <v>0</v>
      </c>
      <c r="E102" s="171">
        <f t="shared" ref="E102" si="23">SUM(E96:E101)</f>
        <v>326079.46999999997</v>
      </c>
      <c r="F102" s="171">
        <f>SUM(F96:F101)</f>
        <v>-168</v>
      </c>
      <c r="G102" s="171">
        <f>SUM(G96:G101)</f>
        <v>325911.46999999997</v>
      </c>
      <c r="H102" s="172">
        <f t="shared" si="21"/>
        <v>0.12834653940189286</v>
      </c>
      <c r="I102" s="337"/>
      <c r="J102" s="168"/>
      <c r="K102" s="168"/>
      <c r="M102" s="364">
        <f>G102/G$228</f>
        <v>15.405883715433703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573">
        <f>'[44]Sch C'!D98</f>
        <v>18134.04</v>
      </c>
      <c r="D105" s="573">
        <f>'[44]Sch C'!F98</f>
        <v>0</v>
      </c>
      <c r="E105" s="171">
        <f t="shared" ref="E105:E110" si="24">C105+D105</f>
        <v>18134.04</v>
      </c>
      <c r="F105" s="171"/>
      <c r="G105" s="171">
        <f t="shared" ref="G105:G110" si="25">E105+F105</f>
        <v>18134.04</v>
      </c>
      <c r="H105" s="172">
        <f t="shared" ref="H105:H111" si="26">IF($G$208=0,0,G105/$G$208)</f>
        <v>7.1413297585859788E-3</v>
      </c>
      <c r="I105" s="337"/>
      <c r="J105" s="183">
        <v>2129</v>
      </c>
      <c r="K105" s="183">
        <v>2191</v>
      </c>
      <c r="M105" s="364">
        <f t="shared" ref="M105:M110" si="27">G105/G$228</f>
        <v>0.85719877097612862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573">
        <f>'[44]Sch C'!D99</f>
        <v>1519.39</v>
      </c>
      <c r="D106" s="573">
        <f>'[44]Sch C'!F99</f>
        <v>0</v>
      </c>
      <c r="E106" s="171">
        <f t="shared" si="24"/>
        <v>1519.39</v>
      </c>
      <c r="F106" s="171"/>
      <c r="G106" s="171">
        <f t="shared" si="25"/>
        <v>1519.39</v>
      </c>
      <c r="H106" s="172">
        <f t="shared" si="26"/>
        <v>5.9834791485504333E-4</v>
      </c>
      <c r="I106" s="337"/>
      <c r="J106" s="168"/>
      <c r="K106" s="168"/>
      <c r="M106" s="364">
        <f t="shared" si="27"/>
        <v>7.1821791538643348E-2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573">
        <f>'[44]Sch C'!D100</f>
        <v>3776.96</v>
      </c>
      <c r="D107" s="573">
        <f>'[44]Sch C'!F100</f>
        <v>0</v>
      </c>
      <c r="E107" s="171">
        <f t="shared" si="24"/>
        <v>3776.96</v>
      </c>
      <c r="F107" s="171"/>
      <c r="G107" s="171">
        <f t="shared" si="25"/>
        <v>3776.96</v>
      </c>
      <c r="H107" s="172">
        <f t="shared" si="26"/>
        <v>1.4873970083328866E-3</v>
      </c>
      <c r="I107" s="337"/>
      <c r="J107" s="168"/>
      <c r="K107" s="168"/>
      <c r="M107" s="364">
        <f t="shared" si="27"/>
        <v>0.17853746159300402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573">
        <f>'[44]Sch C'!D101</f>
        <v>0</v>
      </c>
      <c r="D108" s="573">
        <f>'[44]Sch C'!F101</f>
        <v>0</v>
      </c>
      <c r="E108" s="171">
        <f t="shared" si="24"/>
        <v>0</v>
      </c>
      <c r="F108" s="171"/>
      <c r="G108" s="171">
        <f t="shared" si="25"/>
        <v>0</v>
      </c>
      <c r="H108" s="172">
        <f t="shared" si="26"/>
        <v>0</v>
      </c>
      <c r="I108" s="337"/>
      <c r="J108" s="168"/>
      <c r="K108" s="168"/>
      <c r="M108" s="364">
        <f t="shared" si="27"/>
        <v>0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573">
        <f>'[44]Sch C'!D102</f>
        <v>1807.79</v>
      </c>
      <c r="D109" s="573">
        <f>'[44]Sch C'!F102</f>
        <v>0</v>
      </c>
      <c r="E109" s="171">
        <f t="shared" si="24"/>
        <v>1807.79</v>
      </c>
      <c r="F109" s="171"/>
      <c r="G109" s="171">
        <f t="shared" si="25"/>
        <v>1807.79</v>
      </c>
      <c r="H109" s="172">
        <f t="shared" si="26"/>
        <v>7.1192213782886467E-4</v>
      </c>
      <c r="I109" s="337"/>
      <c r="J109" s="168"/>
      <c r="K109" s="168"/>
      <c r="M109" s="364">
        <f t="shared" si="27"/>
        <v>8.545450248168282E-2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573">
        <f>'[44]Sch C'!D103</f>
        <v>0</v>
      </c>
      <c r="D110" s="573">
        <f>'[44]Sch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7"/>
      <c r="J110" s="168"/>
      <c r="K110" s="168"/>
      <c r="M110" s="364">
        <f t="shared" si="27"/>
        <v>0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573">
        <f>SUM(C105:C110)</f>
        <v>25238.18</v>
      </c>
      <c r="D111" s="573">
        <f>SUM(D105:D110)</f>
        <v>0</v>
      </c>
      <c r="E111" s="171">
        <f t="shared" ref="E111" si="28">SUM(E105:E110)</f>
        <v>25238.18</v>
      </c>
      <c r="F111" s="171">
        <f>SUM(F105:F110)</f>
        <v>0</v>
      </c>
      <c r="G111" s="171">
        <f>SUM(G105:G110)</f>
        <v>25238.18</v>
      </c>
      <c r="H111" s="172">
        <f t="shared" si="26"/>
        <v>9.9389968196027731E-3</v>
      </c>
      <c r="I111" s="337"/>
      <c r="J111" s="168"/>
      <c r="K111" s="168"/>
      <c r="M111" s="364">
        <f>G111/G$228</f>
        <v>1.1930125265894587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573">
        <f>'[44]Sch C'!D115</f>
        <v>51876.34</v>
      </c>
      <c r="D114" s="573">
        <f>'[44]Sch C'!F115</f>
        <v>0</v>
      </c>
      <c r="E114" s="171">
        <f t="shared" ref="E114:E118" si="29">C114+D114</f>
        <v>51876.34</v>
      </c>
      <c r="F114" s="171"/>
      <c r="G114" s="171">
        <f>E114+F114</f>
        <v>51876.34</v>
      </c>
      <c r="H114" s="172">
        <f t="shared" ref="H114:H119" si="30">IF($G$208=0,0,G114/$G$208)</f>
        <v>2.0429316942530407E-2</v>
      </c>
      <c r="I114" s="337"/>
      <c r="J114" s="183">
        <v>6136.63</v>
      </c>
      <c r="K114" s="183">
        <v>6280</v>
      </c>
      <c r="M114" s="364">
        <f t="shared" ref="M114:M119" si="31">G114/G$228</f>
        <v>2.4522023162372961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573">
        <f>'[44]Sch C'!D116</f>
        <v>4396.3500000000004</v>
      </c>
      <c r="D115" s="573">
        <f>'[44]Sch C'!F116</f>
        <v>0</v>
      </c>
      <c r="E115" s="171">
        <f t="shared" si="29"/>
        <v>4396.3500000000004</v>
      </c>
      <c r="F115" s="171"/>
      <c r="G115" s="171">
        <f>E115+F115</f>
        <v>4396.3500000000004</v>
      </c>
      <c r="H115" s="172">
        <f t="shared" si="30"/>
        <v>1.7313177363764208E-3</v>
      </c>
      <c r="I115" s="337"/>
      <c r="J115" s="168"/>
      <c r="K115" s="168"/>
      <c r="M115" s="364">
        <f t="shared" si="31"/>
        <v>0.20781611912077524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573">
        <f>'[44]Sch C'!D117</f>
        <v>17063.36</v>
      </c>
      <c r="D116" s="573">
        <f>'[44]Sch C'!F117</f>
        <v>0</v>
      </c>
      <c r="E116" s="171">
        <f t="shared" si="29"/>
        <v>17063.36</v>
      </c>
      <c r="F116" s="171"/>
      <c r="G116" s="171">
        <f>E116+F116</f>
        <v>17063.36</v>
      </c>
      <c r="H116" s="172">
        <f t="shared" si="30"/>
        <v>6.7196874248355931E-3</v>
      </c>
      <c r="I116" s="337"/>
      <c r="J116" s="168"/>
      <c r="K116" s="168"/>
      <c r="M116" s="364">
        <f t="shared" si="31"/>
        <v>0.80658756795083908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573">
        <f>'[44]Sch C'!D118</f>
        <v>0</v>
      </c>
      <c r="D117" s="573">
        <f>'[44]Sch C'!F118</f>
        <v>0</v>
      </c>
      <c r="E117" s="171">
        <f t="shared" si="29"/>
        <v>0</v>
      </c>
      <c r="F117" s="171"/>
      <c r="G117" s="171">
        <f>E117+F117</f>
        <v>0</v>
      </c>
      <c r="H117" s="172">
        <f t="shared" si="30"/>
        <v>0</v>
      </c>
      <c r="I117" s="337"/>
      <c r="J117" s="168"/>
      <c r="K117" s="168"/>
      <c r="M117" s="364">
        <f t="shared" si="31"/>
        <v>0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573">
        <f>'[44]Sch C'!D119</f>
        <v>0</v>
      </c>
      <c r="D118" s="573">
        <f>'[44]Sch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337"/>
      <c r="J118" s="168"/>
      <c r="K118" s="168"/>
      <c r="M118" s="364">
        <f t="shared" si="31"/>
        <v>0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573">
        <f>SUM(C114:C118)</f>
        <v>73336.049999999988</v>
      </c>
      <c r="D119" s="573">
        <f>SUM(D114:D118)</f>
        <v>0</v>
      </c>
      <c r="E119" s="171">
        <f t="shared" ref="E119" si="32">SUM(E114:E118)</f>
        <v>73336.049999999988</v>
      </c>
      <c r="F119" s="171">
        <f>SUM(F114:F118)</f>
        <v>0</v>
      </c>
      <c r="G119" s="171">
        <f>SUM(G114:G118)</f>
        <v>73336.049999999988</v>
      </c>
      <c r="H119" s="172">
        <f t="shared" si="30"/>
        <v>2.8880322103742417E-2</v>
      </c>
      <c r="I119" s="337"/>
      <c r="J119" s="168"/>
      <c r="K119" s="168"/>
      <c r="M119" s="364">
        <f t="shared" si="31"/>
        <v>3.4666060033089097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1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573">
        <f>'[44]Sch C'!D124</f>
        <v>0</v>
      </c>
      <c r="D123" s="573">
        <f>'[44]Sch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7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0.77002560279620991</v>
      </c>
    </row>
    <row r="124" spans="1:14" s="167" customFormat="1">
      <c r="B124" s="163" t="s">
        <v>194</v>
      </c>
      <c r="C124" s="573">
        <f>'[44]Sch C'!D125</f>
        <v>34539.96</v>
      </c>
      <c r="D124" s="573">
        <f>'[44]Sch C'!F125</f>
        <v>0</v>
      </c>
      <c r="E124" s="171">
        <f t="shared" si="33"/>
        <v>34539.96</v>
      </c>
      <c r="F124" s="171"/>
      <c r="G124" s="171">
        <f>E124+F124</f>
        <v>34539.96</v>
      </c>
      <c r="H124" s="172">
        <f>IF($G$208=0,0,G124/$G$208)</f>
        <v>1.3602112061535616E-2</v>
      </c>
      <c r="I124" s="337"/>
      <c r="J124" s="183">
        <v>0</v>
      </c>
      <c r="K124" s="183">
        <v>0</v>
      </c>
      <c r="M124" s="364">
        <f t="shared" si="34"/>
        <v>1.6327090522335146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573">
        <f>'[44]Sch C'!D126</f>
        <v>0</v>
      </c>
      <c r="D125" s="573">
        <f>'[44]Sch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7"/>
      <c r="J125" s="183">
        <v>0</v>
      </c>
      <c r="K125" s="183">
        <v>0</v>
      </c>
      <c r="M125" s="364">
        <f t="shared" si="34"/>
        <v>0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573">
        <f>'[44]Sch C'!D127</f>
        <v>0</v>
      </c>
      <c r="D126" s="573">
        <f>'[44]Sch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7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573">
        <f>'[44]Sch C'!D128</f>
        <v>19567.66</v>
      </c>
      <c r="D127" s="573">
        <f>'[44]Sch C'!F128</f>
        <v>0</v>
      </c>
      <c r="E127" s="171">
        <f t="shared" si="33"/>
        <v>19567.66</v>
      </c>
      <c r="F127" s="171"/>
      <c r="G127" s="171">
        <f>E127+F127</f>
        <v>19567.66</v>
      </c>
      <c r="H127" s="172">
        <f>IF($G$208=0,0,G127/$G$208)</f>
        <v>7.7059007625378852E-3</v>
      </c>
      <c r="I127" s="337"/>
      <c r="J127" s="183">
        <v>1798</v>
      </c>
      <c r="K127" s="183">
        <v>1863</v>
      </c>
      <c r="M127" s="364">
        <f t="shared" si="34"/>
        <v>0.92496620184353584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205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573">
        <f>'[44]Sch C'!D130</f>
        <v>0</v>
      </c>
      <c r="D129" s="573">
        <f>'[44]Sch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7"/>
      <c r="J129" s="204"/>
      <c r="K129" s="204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573">
        <f>'[44]Sch C'!D131</f>
        <v>4583.3500000000004</v>
      </c>
      <c r="D130" s="573">
        <f>'[44]Sch C'!F131</f>
        <v>0</v>
      </c>
      <c r="E130" s="171">
        <f t="shared" si="35"/>
        <v>4583.3500000000004</v>
      </c>
      <c r="F130" s="171"/>
      <c r="G130" s="171">
        <f>E130+F130</f>
        <v>4583.3500000000004</v>
      </c>
      <c r="H130" s="172">
        <f>IF($G$208=0,0,G130/$G$208)</f>
        <v>1.8049598296361455E-3</v>
      </c>
      <c r="I130" s="337"/>
      <c r="J130" s="204"/>
      <c r="K130" s="204"/>
      <c r="M130" s="364">
        <f t="shared" si="34"/>
        <v>0.21665563696525647</v>
      </c>
      <c r="N130" s="359">
        <f>SUMMARY!J133</f>
        <v>1.0792348507966931</v>
      </c>
    </row>
    <row r="131" spans="1:14" s="167" customFormat="1">
      <c r="B131" s="163" t="s">
        <v>195</v>
      </c>
      <c r="C131" s="573">
        <f>'[44]Sch C'!D132</f>
        <v>0</v>
      </c>
      <c r="D131" s="573">
        <f>'[44]Sch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7"/>
      <c r="J131" s="168"/>
      <c r="K131" s="168"/>
      <c r="M131" s="364">
        <f t="shared" si="34"/>
        <v>0</v>
      </c>
      <c r="N131" s="359">
        <f>SUMMARY!J134</f>
        <v>8.2765628075518377E-2</v>
      </c>
    </row>
    <row r="132" spans="1:14" s="167" customFormat="1">
      <c r="B132" s="163" t="s">
        <v>196</v>
      </c>
      <c r="C132" s="573">
        <f>'[44]Sch C'!D133</f>
        <v>0</v>
      </c>
      <c r="D132" s="573">
        <f>'[44]Sch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573">
        <f>'[44]Sch C'!D134</f>
        <v>0</v>
      </c>
      <c r="D133" s="573">
        <f>'[44]Sch C'!F134</f>
        <v>0</v>
      </c>
      <c r="E133" s="171">
        <f t="shared" si="35"/>
        <v>0</v>
      </c>
      <c r="F133" s="171"/>
      <c r="G133" s="171">
        <f>E133+F133</f>
        <v>0</v>
      </c>
      <c r="H133" s="172">
        <f>IF($G$208=0,0,G133/$G$208)</f>
        <v>0</v>
      </c>
      <c r="I133" s="337"/>
      <c r="J133" s="168"/>
      <c r="K133" s="168"/>
      <c r="M133" s="364">
        <f t="shared" si="34"/>
        <v>0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573">
        <f>'[44]Sch C'!D136</f>
        <v>291869.28999999998</v>
      </c>
      <c r="D135" s="573">
        <f>'[44]Sch C'!F136</f>
        <v>0</v>
      </c>
      <c r="E135" s="171">
        <f t="shared" ref="E135:E138" si="36">C135+D135</f>
        <v>291869.28999999998</v>
      </c>
      <c r="F135" s="171"/>
      <c r="G135" s="171">
        <f>E135+F135</f>
        <v>291869.28999999998</v>
      </c>
      <c r="H135" s="172">
        <f>IF($G$208=0,0,G135/$G$208)</f>
        <v>0.11494045707930284</v>
      </c>
      <c r="I135" s="337"/>
      <c r="J135" s="183">
        <v>12820.99</v>
      </c>
      <c r="K135" s="183">
        <v>13193</v>
      </c>
      <c r="M135" s="364">
        <f t="shared" si="34"/>
        <v>13.796704797920112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573">
        <f>'[44]Sch C'!D137</f>
        <v>68675.75</v>
      </c>
      <c r="D136" s="573">
        <f>'[44]Sch C'!F137</f>
        <v>0</v>
      </c>
      <c r="E136" s="171">
        <f t="shared" si="36"/>
        <v>68675.75</v>
      </c>
      <c r="F136" s="171"/>
      <c r="G136" s="171">
        <f>E136+F136</f>
        <v>68675.75</v>
      </c>
      <c r="H136" s="172">
        <f>IF($G$208=0,0,G136/$G$208)</f>
        <v>2.7045058749633893E-2</v>
      </c>
      <c r="I136" s="337"/>
      <c r="J136" s="183">
        <v>3476.21</v>
      </c>
      <c r="K136" s="183">
        <v>3563.65</v>
      </c>
      <c r="M136" s="364">
        <f t="shared" si="34"/>
        <v>3.2463129283857244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573">
        <f>'[44]Sch C'!D138</f>
        <v>383458</v>
      </c>
      <c r="D137" s="573">
        <f>'[44]Sch C'!F138</f>
        <v>0</v>
      </c>
      <c r="E137" s="171">
        <f t="shared" si="36"/>
        <v>383458</v>
      </c>
      <c r="F137" s="171"/>
      <c r="G137" s="171">
        <f>E137+F137</f>
        <v>383458</v>
      </c>
      <c r="H137" s="172">
        <f>IF($G$208=0,0,G137/$G$208)</f>
        <v>0.151008822444853</v>
      </c>
      <c r="I137" s="337"/>
      <c r="J137" s="183">
        <v>41158.910000000003</v>
      </c>
      <c r="K137" s="183">
        <v>41724.620000000003</v>
      </c>
      <c r="M137" s="364">
        <f t="shared" si="34"/>
        <v>18.126116757267784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573">
        <f>'[44]Sch C'!D139</f>
        <v>0</v>
      </c>
      <c r="D138" s="573">
        <f>'[44]Sch C'!F139</f>
        <v>0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7"/>
      <c r="J138" s="183" t="s">
        <v>198</v>
      </c>
      <c r="K138" s="183" t="s">
        <v>198</v>
      </c>
      <c r="M138" s="364">
        <f t="shared" si="34"/>
        <v>0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7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573">
        <f>'[44]Sch C'!D141</f>
        <v>24045.919999999998</v>
      </c>
      <c r="D140" s="573">
        <f>'[44]Sch C'!F141</f>
        <v>0</v>
      </c>
      <c r="E140" s="171">
        <f t="shared" ref="E140:E143" si="37">C140+D140</f>
        <v>24045.919999999998</v>
      </c>
      <c r="F140" s="171"/>
      <c r="G140" s="171">
        <f>E140+F140</f>
        <v>24045.919999999998</v>
      </c>
      <c r="H140" s="172">
        <f>IF($G$208=0,0,G140/$G$208)</f>
        <v>9.4694753109940064E-3</v>
      </c>
      <c r="I140" s="337"/>
      <c r="J140" s="168"/>
      <c r="K140" s="168"/>
      <c r="M140" s="364">
        <f t="shared" si="34"/>
        <v>1.1366542188607893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573">
        <f>'[44]Sch C'!D142</f>
        <v>5904.85</v>
      </c>
      <c r="D141" s="573">
        <f>'[44]Sch C'!F142</f>
        <v>0</v>
      </c>
      <c r="E141" s="171">
        <f t="shared" si="37"/>
        <v>5904.85</v>
      </c>
      <c r="F141" s="171"/>
      <c r="G141" s="171">
        <f>E141+F141</f>
        <v>5904.85</v>
      </c>
      <c r="H141" s="172">
        <f>IF($G$208=0,0,G141/$G$208)</f>
        <v>2.3253770822710446E-3</v>
      </c>
      <c r="I141" s="337"/>
      <c r="J141" s="168"/>
      <c r="K141" s="168"/>
      <c r="M141" s="364">
        <f t="shared" si="34"/>
        <v>0.27912313873788702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573">
        <f>'[44]Sch C'!D143</f>
        <v>33000</v>
      </c>
      <c r="D142" s="573">
        <f>'[44]Sch C'!F143</f>
        <v>0</v>
      </c>
      <c r="E142" s="171">
        <f t="shared" si="37"/>
        <v>33000</v>
      </c>
      <c r="F142" s="171"/>
      <c r="G142" s="171">
        <f>E142+F142</f>
        <v>33000</v>
      </c>
      <c r="H142" s="172">
        <f>IF($G$208=0,0,G142/$G$208)</f>
        <v>1.2995663516422005E-2</v>
      </c>
      <c r="I142" s="337"/>
      <c r="J142" s="168"/>
      <c r="K142" s="168"/>
      <c r="M142" s="364">
        <f t="shared" si="34"/>
        <v>1.5599149137319783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573">
        <f>'[44]Sch C'!D144</f>
        <v>0</v>
      </c>
      <c r="D143" s="573">
        <f>'[44]Sch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7"/>
      <c r="J143" s="168"/>
      <c r="K143" s="168"/>
      <c r="M143" s="364">
        <f t="shared" si="34"/>
        <v>0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7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573">
        <f>'[44]Sch C'!D146</f>
        <v>18000</v>
      </c>
      <c r="D145" s="573">
        <f>'[44]Sch C'!F146</f>
        <v>0</v>
      </c>
      <c r="E145" s="171">
        <f t="shared" ref="E145:E153" si="38">C145+D145</f>
        <v>18000</v>
      </c>
      <c r="F145" s="171"/>
      <c r="G145" s="171">
        <f t="shared" ref="G145:G153" si="39">E145+F145</f>
        <v>18000</v>
      </c>
      <c r="H145" s="172">
        <f t="shared" ref="H145:H153" si="40">IF($G$208=0,0,G145/$G$208)</f>
        <v>7.0885437362301846E-3</v>
      </c>
      <c r="I145" s="337"/>
      <c r="J145" s="183">
        <v>0</v>
      </c>
      <c r="K145" s="183">
        <v>0</v>
      </c>
      <c r="M145" s="364">
        <f t="shared" si="34"/>
        <v>0.85086268021744271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573">
        <f>'[44]Sch C'!D147</f>
        <v>106</v>
      </c>
      <c r="D146" s="573">
        <f>'[44]Sch C'!F147</f>
        <v>0</v>
      </c>
      <c r="E146" s="171">
        <f t="shared" si="38"/>
        <v>106</v>
      </c>
      <c r="F146" s="171"/>
      <c r="G146" s="171">
        <f t="shared" si="39"/>
        <v>106</v>
      </c>
      <c r="H146" s="172">
        <f t="shared" si="40"/>
        <v>4.1743646446688859E-5</v>
      </c>
      <c r="I146" s="337"/>
      <c r="J146" s="183">
        <v>0</v>
      </c>
      <c r="K146" s="183">
        <v>0</v>
      </c>
      <c r="M146" s="364">
        <f t="shared" si="34"/>
        <v>5.0106357835027178E-3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573">
        <f>'[44]Sch C'!D148</f>
        <v>0</v>
      </c>
      <c r="D147" s="573">
        <f>'[44]Sch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7"/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573">
        <f>'[44]Sch C'!D149</f>
        <v>0</v>
      </c>
      <c r="D148" s="573">
        <f>'[44]Sch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7"/>
      <c r="J148" s="183">
        <v>0</v>
      </c>
      <c r="K148" s="183">
        <v>0</v>
      </c>
      <c r="M148" s="364">
        <f t="shared" si="34"/>
        <v>0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573">
        <f>'[44]Sch C'!D150</f>
        <v>0</v>
      </c>
      <c r="D149" s="573">
        <f>'[44]Sch C'!F150</f>
        <v>0</v>
      </c>
      <c r="E149" s="171">
        <f t="shared" si="38"/>
        <v>0</v>
      </c>
      <c r="F149" s="171"/>
      <c r="G149" s="171">
        <f t="shared" si="39"/>
        <v>0</v>
      </c>
      <c r="H149" s="172">
        <f t="shared" si="40"/>
        <v>0</v>
      </c>
      <c r="I149" s="337"/>
      <c r="J149" s="183">
        <v>0</v>
      </c>
      <c r="K149" s="183">
        <v>0</v>
      </c>
      <c r="M149" s="364">
        <f t="shared" si="34"/>
        <v>0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573">
        <f>'[44]Sch C'!D151</f>
        <v>77794</v>
      </c>
      <c r="D150" s="573">
        <f>'[44]Sch C'!F151</f>
        <v>0</v>
      </c>
      <c r="E150" s="171">
        <f t="shared" si="38"/>
        <v>77794</v>
      </c>
      <c r="F150" s="171"/>
      <c r="G150" s="171">
        <f t="shared" si="39"/>
        <v>77794</v>
      </c>
      <c r="H150" s="172">
        <f t="shared" si="40"/>
        <v>3.0635898412016162E-2</v>
      </c>
      <c r="I150" s="337"/>
      <c r="J150" s="168"/>
      <c r="K150" s="168"/>
      <c r="M150" s="364">
        <f t="shared" si="34"/>
        <v>3.6773339636019853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573">
        <f>'[44]Sch C'!D152</f>
        <v>13632.51</v>
      </c>
      <c r="D151" s="573">
        <f>'[44]Sch C'!F152</f>
        <v>0</v>
      </c>
      <c r="E151" s="171">
        <f t="shared" si="38"/>
        <v>13632.51</v>
      </c>
      <c r="F151" s="171"/>
      <c r="G151" s="171">
        <f t="shared" si="39"/>
        <v>13632.51</v>
      </c>
      <c r="H151" s="172">
        <f t="shared" si="40"/>
        <v>5.3685912983108524E-3</v>
      </c>
      <c r="I151" s="337"/>
      <c r="J151" s="168"/>
      <c r="K151" s="168"/>
      <c r="M151" s="364">
        <f t="shared" si="34"/>
        <v>0.64441077759394938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573">
        <f>'[44]Sch C'!D153</f>
        <v>0</v>
      </c>
      <c r="D152" s="573">
        <f>'[44]Sch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7"/>
      <c r="J152" s="168"/>
      <c r="K152" s="168"/>
      <c r="M152" s="364">
        <f t="shared" si="34"/>
        <v>0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573">
        <f>'[44]Sch C'!D154</f>
        <v>0</v>
      </c>
      <c r="D153" s="573">
        <f>'[44]Sch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210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573">
        <f>'[44]Sch C'!D156</f>
        <v>0</v>
      </c>
      <c r="D155" s="573">
        <f>'[44]Sch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573">
        <f>'[44]Sch C'!D157</f>
        <v>0</v>
      </c>
      <c r="D156" s="573">
        <f>'[44]Sch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573">
        <f>'[44]Sch C'!D158</f>
        <v>0</v>
      </c>
      <c r="D157" s="573">
        <f>'[44]Sch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7"/>
      <c r="J157" s="168"/>
      <c r="K157" s="168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573">
        <f>'[44]Sch C'!D159</f>
        <v>0</v>
      </c>
      <c r="D158" s="573">
        <f>'[44]Sch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573">
        <f>'[44]Sch C'!D160</f>
        <v>0</v>
      </c>
      <c r="D159" s="573">
        <f>'[44]Sch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7"/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573">
        <f>'[44]Sch C'!D161</f>
        <v>0</v>
      </c>
      <c r="D160" s="573">
        <f>'[44]Sch C'!F161</f>
        <v>0</v>
      </c>
      <c r="E160" s="171">
        <f t="shared" si="41"/>
        <v>0</v>
      </c>
      <c r="F160" s="171"/>
      <c r="G160" s="171">
        <f t="shared" si="42"/>
        <v>0</v>
      </c>
      <c r="H160" s="172">
        <f t="shared" si="43"/>
        <v>0</v>
      </c>
      <c r="I160" s="337"/>
      <c r="J160" s="168"/>
      <c r="K160" s="168"/>
      <c r="M160" s="364">
        <f t="shared" si="34"/>
        <v>0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573">
        <f>SUM(C123:C160)</f>
        <v>975177.29</v>
      </c>
      <c r="D161" s="573">
        <f>SUM(D123:D160)</f>
        <v>0</v>
      </c>
      <c r="E161" s="171">
        <f t="shared" ref="E161" si="44">SUM(E123:E160)</f>
        <v>975177.29</v>
      </c>
      <c r="F161" s="171">
        <f>SUM(F123:F160)</f>
        <v>0</v>
      </c>
      <c r="G161" s="171">
        <f>SUM(G123:G160)</f>
        <v>975177.29</v>
      </c>
      <c r="H161" s="172">
        <f t="shared" si="43"/>
        <v>0.38403260393019034</v>
      </c>
      <c r="I161" s="337"/>
      <c r="J161" s="168"/>
      <c r="K161" s="168"/>
      <c r="M161" s="364">
        <f>G161/G$228</f>
        <v>46.096775703143464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337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7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573">
        <f>'[44]Sch C'!D175</f>
        <v>0</v>
      </c>
      <c r="D164" s="573">
        <f>'[44]Sch C'!F175</f>
        <v>0</v>
      </c>
      <c r="E164" s="171">
        <f t="shared" ref="E164:E196" si="45">C164+D164</f>
        <v>0</v>
      </c>
      <c r="F164" s="665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573">
        <f>'[44]Sch C'!D176</f>
        <v>0</v>
      </c>
      <c r="D165" s="573">
        <f>'[44]Sch C'!F176</f>
        <v>0</v>
      </c>
      <c r="E165" s="171">
        <f t="shared" si="45"/>
        <v>0</v>
      </c>
      <c r="F165" s="665"/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573">
        <f>'[44]Sch C'!D177</f>
        <v>0</v>
      </c>
      <c r="D166" s="573">
        <f>'[44]Sch C'!F177</f>
        <v>0</v>
      </c>
      <c r="E166" s="171">
        <f t="shared" si="45"/>
        <v>0</v>
      </c>
      <c r="F166" s="665"/>
      <c r="G166" s="171">
        <f t="shared" si="46"/>
        <v>0</v>
      </c>
      <c r="H166" s="172">
        <f t="shared" si="47"/>
        <v>0</v>
      </c>
      <c r="I166" s="343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573">
        <f>'[44]Sch C'!D178</f>
        <v>0</v>
      </c>
      <c r="D167" s="573">
        <f>'[44]Sch C'!F178</f>
        <v>0</v>
      </c>
      <c r="E167" s="171">
        <f t="shared" si="45"/>
        <v>0</v>
      </c>
      <c r="F167" s="665"/>
      <c r="G167" s="171">
        <f t="shared" si="46"/>
        <v>0</v>
      </c>
      <c r="H167" s="172">
        <f t="shared" si="47"/>
        <v>0</v>
      </c>
      <c r="I167" s="344"/>
      <c r="J167" s="222"/>
      <c r="K167" s="222"/>
      <c r="L167" s="218"/>
      <c r="M167" s="364">
        <f t="shared" si="48"/>
        <v>0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573">
        <f>'[44]Sch C'!D179</f>
        <v>0</v>
      </c>
      <c r="D168" s="573">
        <f>'[44]Sch C'!F179</f>
        <v>0</v>
      </c>
      <c r="E168" s="171">
        <f t="shared" si="45"/>
        <v>0</v>
      </c>
      <c r="F168" s="665"/>
      <c r="G168" s="171">
        <f t="shared" si="46"/>
        <v>0</v>
      </c>
      <c r="H168" s="172">
        <f t="shared" si="47"/>
        <v>0</v>
      </c>
      <c r="I168" s="343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573">
        <f>'[44]Sch C'!D180</f>
        <v>0</v>
      </c>
      <c r="D169" s="573">
        <f>'[44]Sch C'!F180</f>
        <v>0</v>
      </c>
      <c r="E169" s="171">
        <f t="shared" si="45"/>
        <v>0</v>
      </c>
      <c r="F169" s="665"/>
      <c r="G169" s="171">
        <f t="shared" si="46"/>
        <v>0</v>
      </c>
      <c r="H169" s="172">
        <f t="shared" si="47"/>
        <v>0</v>
      </c>
      <c r="I169" s="344"/>
      <c r="J169" s="222"/>
      <c r="K169" s="222"/>
      <c r="L169" s="218"/>
      <c r="M169" s="364">
        <f t="shared" si="48"/>
        <v>0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573">
        <f>'[44]Sch C'!D181</f>
        <v>0</v>
      </c>
      <c r="D170" s="573">
        <f>'[44]Sch C'!F181</f>
        <v>0</v>
      </c>
      <c r="E170" s="171">
        <f t="shared" si="45"/>
        <v>0</v>
      </c>
      <c r="F170" s="665"/>
      <c r="G170" s="171">
        <f t="shared" si="46"/>
        <v>0</v>
      </c>
      <c r="H170" s="172">
        <f t="shared" si="47"/>
        <v>0</v>
      </c>
      <c r="I170" s="343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573">
        <f>'[44]Sch C'!D182</f>
        <v>0</v>
      </c>
      <c r="D171" s="573">
        <f>'[44]Sch C'!F182</f>
        <v>0</v>
      </c>
      <c r="E171" s="171">
        <f t="shared" si="45"/>
        <v>0</v>
      </c>
      <c r="F171" s="665"/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573">
        <f>'[44]Sch C'!D183</f>
        <v>0</v>
      </c>
      <c r="D172" s="573">
        <f>'[44]Sch C'!F183</f>
        <v>0</v>
      </c>
      <c r="E172" s="171">
        <f t="shared" si="45"/>
        <v>0</v>
      </c>
      <c r="F172" s="665"/>
      <c r="G172" s="171">
        <f t="shared" si="46"/>
        <v>0</v>
      </c>
      <c r="H172" s="172">
        <f t="shared" si="47"/>
        <v>0</v>
      </c>
      <c r="I172" s="343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573">
        <f>'[44]Sch C'!D184</f>
        <v>0</v>
      </c>
      <c r="D173" s="573">
        <f>'[44]Sch C'!F184</f>
        <v>0</v>
      </c>
      <c r="E173" s="171">
        <f t="shared" si="45"/>
        <v>0</v>
      </c>
      <c r="F173" s="665"/>
      <c r="G173" s="171">
        <f t="shared" si="46"/>
        <v>0</v>
      </c>
      <c r="H173" s="172">
        <f t="shared" si="47"/>
        <v>0</v>
      </c>
      <c r="I173" s="344"/>
      <c r="J173" s="222"/>
      <c r="K173" s="222"/>
      <c r="L173" s="218"/>
      <c r="M173" s="364">
        <f t="shared" si="48"/>
        <v>0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573">
        <f>'[44]Sch C'!D185</f>
        <v>0</v>
      </c>
      <c r="D174" s="573">
        <f>'[44]Sch C'!F185</f>
        <v>0</v>
      </c>
      <c r="E174" s="171">
        <f t="shared" si="45"/>
        <v>0</v>
      </c>
      <c r="F174" s="665"/>
      <c r="G174" s="171">
        <f t="shared" si="46"/>
        <v>0</v>
      </c>
      <c r="H174" s="172">
        <f t="shared" si="47"/>
        <v>0</v>
      </c>
      <c r="I174" s="343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573">
        <f>'[44]Sch C'!D186</f>
        <v>0</v>
      </c>
      <c r="D175" s="573">
        <f>'[44]Sch C'!F186</f>
        <v>0</v>
      </c>
      <c r="E175" s="171">
        <f t="shared" si="45"/>
        <v>0</v>
      </c>
      <c r="F175" s="665"/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573">
        <f>'[44]Sch C'!D187</f>
        <v>0</v>
      </c>
      <c r="D176" s="573">
        <f>'[44]Sch C'!F187</f>
        <v>0</v>
      </c>
      <c r="E176" s="171">
        <f t="shared" si="45"/>
        <v>0</v>
      </c>
      <c r="F176" s="665"/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573">
        <f>'[44]Sch C'!D188</f>
        <v>0</v>
      </c>
      <c r="D177" s="573">
        <f>'[44]Sch C'!F188</f>
        <v>0</v>
      </c>
      <c r="E177" s="171">
        <f t="shared" si="45"/>
        <v>0</v>
      </c>
      <c r="F177" s="665"/>
      <c r="G177" s="171">
        <f t="shared" si="46"/>
        <v>0</v>
      </c>
      <c r="H177" s="172">
        <f t="shared" si="47"/>
        <v>0</v>
      </c>
      <c r="I177" s="337"/>
      <c r="J177" s="223"/>
      <c r="K177" s="218"/>
      <c r="L177" s="220"/>
      <c r="M177" s="364">
        <f t="shared" si="48"/>
        <v>0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573">
        <f>'[44]Sch C'!D189</f>
        <v>0</v>
      </c>
      <c r="D178" s="573">
        <f>'[44]Sch C'!F189</f>
        <v>0</v>
      </c>
      <c r="E178" s="171">
        <f t="shared" si="45"/>
        <v>0</v>
      </c>
      <c r="F178" s="665"/>
      <c r="G178" s="171">
        <f t="shared" si="46"/>
        <v>0</v>
      </c>
      <c r="H178" s="172">
        <f t="shared" si="47"/>
        <v>0</v>
      </c>
      <c r="I178" s="337"/>
      <c r="J178" s="223"/>
      <c r="K178" s="218"/>
      <c r="L178" s="220"/>
      <c r="M178" s="364">
        <f t="shared" si="48"/>
        <v>0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573">
        <f>'[44]Sch C'!D190</f>
        <v>0</v>
      </c>
      <c r="D179" s="573">
        <f>'[44]Sch C'!F190</f>
        <v>0</v>
      </c>
      <c r="E179" s="171">
        <f t="shared" si="45"/>
        <v>0</v>
      </c>
      <c r="F179" s="665"/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573">
        <f>'[44]Sch C'!D191</f>
        <v>0</v>
      </c>
      <c r="D180" s="573">
        <f>'[44]Sch C'!F191</f>
        <v>0</v>
      </c>
      <c r="E180" s="171">
        <f t="shared" si="45"/>
        <v>0</v>
      </c>
      <c r="F180" s="665"/>
      <c r="G180" s="171">
        <f t="shared" si="46"/>
        <v>0</v>
      </c>
      <c r="H180" s="172">
        <f t="shared" si="47"/>
        <v>0</v>
      </c>
      <c r="I180" s="337"/>
      <c r="J180" s="223"/>
      <c r="K180" s="218"/>
      <c r="L180" s="220"/>
      <c r="M180" s="364">
        <f t="shared" si="48"/>
        <v>0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573">
        <f>'[44]Sch C'!D192</f>
        <v>0</v>
      </c>
      <c r="D181" s="573">
        <f>'[44]Sch C'!F192</f>
        <v>0</v>
      </c>
      <c r="E181" s="171">
        <f t="shared" si="45"/>
        <v>0</v>
      </c>
      <c r="F181" s="665"/>
      <c r="G181" s="171">
        <f t="shared" si="46"/>
        <v>0</v>
      </c>
      <c r="H181" s="172">
        <f t="shared" si="47"/>
        <v>0</v>
      </c>
      <c r="I181" s="337"/>
      <c r="J181" s="223"/>
      <c r="K181" s="218"/>
      <c r="L181" s="220"/>
      <c r="M181" s="364">
        <f t="shared" si="48"/>
        <v>0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573">
        <f>'[44]Sch C'!D193</f>
        <v>0</v>
      </c>
      <c r="D182" s="573">
        <f>'[44]Sch C'!F193</f>
        <v>0</v>
      </c>
      <c r="E182" s="171">
        <f t="shared" si="45"/>
        <v>0</v>
      </c>
      <c r="F182" s="665"/>
      <c r="G182" s="171">
        <f t="shared" si="46"/>
        <v>0</v>
      </c>
      <c r="H182" s="172">
        <f t="shared" si="47"/>
        <v>0</v>
      </c>
      <c r="I182" s="337"/>
      <c r="J182" s="223"/>
      <c r="K182" s="218"/>
      <c r="L182" s="220"/>
      <c r="M182" s="364">
        <f t="shared" si="48"/>
        <v>0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573">
        <f>'[44]Sch C'!D194</f>
        <v>37461.29</v>
      </c>
      <c r="D183" s="573">
        <f>'[44]Sch C'!F194</f>
        <v>0</v>
      </c>
      <c r="E183" s="171">
        <f t="shared" si="45"/>
        <v>37461.29</v>
      </c>
      <c r="F183" s="665"/>
      <c r="G183" s="171">
        <f t="shared" si="46"/>
        <v>37461.29</v>
      </c>
      <c r="H183" s="172">
        <f t="shared" si="47"/>
        <v>1.4752555143366803E-2</v>
      </c>
      <c r="I183" s="337"/>
      <c r="J183" s="223"/>
      <c r="K183" s="218"/>
      <c r="M183" s="364">
        <f t="shared" si="48"/>
        <v>1.7708007563223824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573">
        <f>'[44]Sch C'!D195</f>
        <v>740.7</v>
      </c>
      <c r="D184" s="573">
        <f>'[44]Sch C'!F195</f>
        <v>0</v>
      </c>
      <c r="E184" s="171">
        <f t="shared" si="45"/>
        <v>740.7</v>
      </c>
      <c r="F184" s="665"/>
      <c r="G184" s="171">
        <f t="shared" si="46"/>
        <v>740.7</v>
      </c>
      <c r="H184" s="172">
        <f t="shared" si="47"/>
        <v>2.9169357474587208E-4</v>
      </c>
      <c r="I184" s="337"/>
      <c r="J184" s="223"/>
      <c r="K184" s="218"/>
      <c r="M184" s="364">
        <f t="shared" si="48"/>
        <v>3.5012999290947769E-2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573">
        <f>'[44]Sch C'!D196</f>
        <v>0</v>
      </c>
      <c r="D185" s="573">
        <f>'[44]Sch C'!F196</f>
        <v>0</v>
      </c>
      <c r="E185" s="171">
        <f t="shared" si="45"/>
        <v>0</v>
      </c>
      <c r="F185" s="665"/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573">
        <f>'[44]Sch C'!D197</f>
        <v>24205.3</v>
      </c>
      <c r="D186" s="573">
        <f>'[44]Sch C'!F197</f>
        <v>0</v>
      </c>
      <c r="E186" s="171">
        <f t="shared" si="45"/>
        <v>24205.3</v>
      </c>
      <c r="F186" s="665"/>
      <c r="G186" s="171">
        <f t="shared" si="46"/>
        <v>24205.3</v>
      </c>
      <c r="H186" s="172">
        <f t="shared" si="47"/>
        <v>9.5322404276984712E-3</v>
      </c>
      <c r="I186" s="337"/>
      <c r="J186" s="223"/>
      <c r="K186" s="218"/>
      <c r="M186" s="364">
        <f t="shared" si="48"/>
        <v>1.1441881351926257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573">
        <f>'[44]Sch C'!D198</f>
        <v>1367.22</v>
      </c>
      <c r="D187" s="573">
        <f>'[44]Sch C'!F198</f>
        <v>0</v>
      </c>
      <c r="E187" s="171">
        <f t="shared" si="45"/>
        <v>1367.22</v>
      </c>
      <c r="F187" s="665"/>
      <c r="G187" s="171">
        <f t="shared" si="46"/>
        <v>1367.22</v>
      </c>
      <c r="H187" s="172">
        <f t="shared" si="47"/>
        <v>5.3842215372492406E-4</v>
      </c>
      <c r="I187" s="337"/>
      <c r="J187" s="223"/>
      <c r="K187" s="218"/>
      <c r="M187" s="364">
        <f t="shared" si="48"/>
        <v>6.4628692980382887E-2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573">
        <f>'[44]Sch C'!D199</f>
        <v>0</v>
      </c>
      <c r="D188" s="573">
        <f>'[44]Sch C'!F199</f>
        <v>0</v>
      </c>
      <c r="E188" s="171">
        <f t="shared" si="45"/>
        <v>0</v>
      </c>
      <c r="F188" s="665"/>
      <c r="G188" s="171">
        <f t="shared" si="46"/>
        <v>0</v>
      </c>
      <c r="H188" s="172">
        <f t="shared" si="47"/>
        <v>0</v>
      </c>
      <c r="I188" s="337"/>
      <c r="J188" s="223"/>
      <c r="K188" s="218"/>
      <c r="M188" s="364">
        <f t="shared" si="48"/>
        <v>0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573">
        <f>'[44]Sch C'!D200</f>
        <v>0</v>
      </c>
      <c r="D189" s="573">
        <f>'[44]Sch C'!F200</f>
        <v>0</v>
      </c>
      <c r="E189" s="171">
        <f t="shared" si="45"/>
        <v>0</v>
      </c>
      <c r="F189" s="665"/>
      <c r="G189" s="171">
        <f t="shared" si="46"/>
        <v>0</v>
      </c>
      <c r="H189" s="172">
        <f t="shared" si="47"/>
        <v>0</v>
      </c>
      <c r="I189" s="337"/>
      <c r="J189" s="223"/>
      <c r="K189" s="218"/>
      <c r="M189" s="364">
        <f t="shared" si="48"/>
        <v>0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573">
        <f>'[44]Sch C'!D201</f>
        <v>0</v>
      </c>
      <c r="D190" s="573">
        <f>'[44]Sch C'!F201</f>
        <v>0</v>
      </c>
      <c r="E190" s="171">
        <f t="shared" si="45"/>
        <v>0</v>
      </c>
      <c r="F190" s="665"/>
      <c r="G190" s="171">
        <f t="shared" si="46"/>
        <v>0</v>
      </c>
      <c r="H190" s="172">
        <f t="shared" si="47"/>
        <v>0</v>
      </c>
      <c r="I190" s="337"/>
      <c r="J190" s="223"/>
      <c r="K190" s="218"/>
      <c r="M190" s="364">
        <f t="shared" si="48"/>
        <v>0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573">
        <f>'[44]Sch C'!D202</f>
        <v>0</v>
      </c>
      <c r="D191" s="573">
        <f>'[44]Sch C'!F202</f>
        <v>0</v>
      </c>
      <c r="E191" s="171">
        <f t="shared" si="45"/>
        <v>0</v>
      </c>
      <c r="F191" s="665"/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573">
        <f>'[44]Sch C'!D203</f>
        <v>0</v>
      </c>
      <c r="D192" s="573">
        <f>'[44]Sch C'!F203</f>
        <v>0</v>
      </c>
      <c r="E192" s="171">
        <f t="shared" si="45"/>
        <v>0</v>
      </c>
      <c r="F192" s="665"/>
      <c r="G192" s="171">
        <f t="shared" si="46"/>
        <v>0</v>
      </c>
      <c r="H192" s="172">
        <f t="shared" si="47"/>
        <v>0</v>
      </c>
      <c r="I192" s="337"/>
      <c r="J192" s="223"/>
      <c r="K192" s="218"/>
      <c r="M192" s="364">
        <f t="shared" si="48"/>
        <v>0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573">
        <f>'[44]Sch C'!D204</f>
        <v>0</v>
      </c>
      <c r="D193" s="573">
        <f>'[44]Sch C'!F204</f>
        <v>0</v>
      </c>
      <c r="E193" s="171">
        <f t="shared" si="45"/>
        <v>0</v>
      </c>
      <c r="F193" s="665"/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573">
        <f>'[44]Sch C'!D205</f>
        <v>19558</v>
      </c>
      <c r="D194" s="573">
        <f>'[44]Sch C'!F205</f>
        <v>0</v>
      </c>
      <c r="E194" s="171">
        <f t="shared" si="45"/>
        <v>19558</v>
      </c>
      <c r="F194" s="665"/>
      <c r="G194" s="171">
        <f t="shared" si="46"/>
        <v>19558</v>
      </c>
      <c r="H194" s="172">
        <f t="shared" si="47"/>
        <v>7.702096577399441E-3</v>
      </c>
      <c r="I194" s="337"/>
      <c r="J194" s="223"/>
      <c r="K194" s="218"/>
      <c r="M194" s="364">
        <f t="shared" si="48"/>
        <v>0.9245095722051524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573">
        <f>'[44]Sch C'!D206</f>
        <v>0</v>
      </c>
      <c r="D195" s="573">
        <f>'[44]Sch C'!F206</f>
        <v>0</v>
      </c>
      <c r="E195" s="171">
        <f t="shared" si="45"/>
        <v>0</v>
      </c>
      <c r="F195" s="665"/>
      <c r="G195" s="171">
        <f t="shared" si="46"/>
        <v>0</v>
      </c>
      <c r="H195" s="172">
        <f t="shared" si="47"/>
        <v>0</v>
      </c>
      <c r="I195" s="337"/>
      <c r="J195" s="223"/>
      <c r="K195" s="218"/>
      <c r="M195" s="364">
        <f t="shared" si="48"/>
        <v>0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573">
        <f>'[44]Sch C'!D207</f>
        <v>0</v>
      </c>
      <c r="D196" s="573">
        <f>'[44]Sch C'!F207</f>
        <v>0</v>
      </c>
      <c r="E196" s="171">
        <f t="shared" si="45"/>
        <v>0</v>
      </c>
      <c r="F196" s="665"/>
      <c r="G196" s="171">
        <f t="shared" si="46"/>
        <v>0</v>
      </c>
      <c r="H196" s="172">
        <f t="shared" si="47"/>
        <v>0</v>
      </c>
      <c r="I196" s="337"/>
      <c r="J196" s="223"/>
      <c r="K196" s="218"/>
      <c r="M196" s="364">
        <f t="shared" si="48"/>
        <v>0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573">
        <f>SUM(C164:C196)</f>
        <v>83332.509999999995</v>
      </c>
      <c r="D197" s="573">
        <f>SUM(D164:D196)</f>
        <v>0</v>
      </c>
      <c r="E197" s="171">
        <f t="shared" ref="E197" si="49">SUM(E164:E196)</f>
        <v>83332.509999999995</v>
      </c>
      <c r="F197" s="171">
        <f>SUM(F164:F196)</f>
        <v>0</v>
      </c>
      <c r="G197" s="171">
        <f>SUM(G164:G196)</f>
        <v>83332.509999999995</v>
      </c>
      <c r="H197" s="172">
        <f>IF($G$208=0,0,G197/$G$208)</f>
        <v>3.2817007876935506E-2</v>
      </c>
      <c r="I197" s="337"/>
      <c r="J197" s="168"/>
      <c r="K197" s="168"/>
      <c r="M197" s="364">
        <f>G197/G$228</f>
        <v>3.9391401559914909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165"/>
      <c r="G198" s="165"/>
      <c r="H198" s="198"/>
      <c r="I198" s="341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1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573">
        <f>'[44]Sch C'!D211</f>
        <v>37171</v>
      </c>
      <c r="D200" s="573">
        <f>'[44]Sch C'!F211</f>
        <v>0</v>
      </c>
      <c r="E200" s="171">
        <f t="shared" ref="E200:E205" si="50">C200+D200</f>
        <v>37171</v>
      </c>
      <c r="F200" s="171"/>
      <c r="G200" s="171">
        <f t="shared" ref="G200:G205" si="51">E200+F200</f>
        <v>37171</v>
      </c>
      <c r="H200" s="172">
        <f t="shared" ref="H200:H206" si="52">IF($G$208=0,0,G200/$G$208)</f>
        <v>1.4638236623300677E-2</v>
      </c>
      <c r="I200" s="337"/>
      <c r="J200" s="183">
        <v>3075.95</v>
      </c>
      <c r="K200" s="183">
        <v>3147</v>
      </c>
      <c r="M200" s="364">
        <f t="shared" ref="M200:M205" si="53">G200/G$228</f>
        <v>1.7570787047979202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573">
        <f>'[44]Sch C'!D212</f>
        <v>3168</v>
      </c>
      <c r="D201" s="573">
        <f>'[44]Sch C'!F212</f>
        <v>0</v>
      </c>
      <c r="E201" s="171">
        <f t="shared" si="50"/>
        <v>3168</v>
      </c>
      <c r="F201" s="171"/>
      <c r="G201" s="171">
        <f t="shared" si="51"/>
        <v>3168</v>
      </c>
      <c r="H201" s="172">
        <f t="shared" si="52"/>
        <v>1.2475836975765124E-3</v>
      </c>
      <c r="I201" s="337"/>
      <c r="J201" s="168"/>
      <c r="K201" s="168"/>
      <c r="M201" s="364">
        <f t="shared" si="53"/>
        <v>0.14975183171826992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573">
        <f>'[44]Sch C'!D213</f>
        <v>11185.5</v>
      </c>
      <c r="D202" s="573">
        <f>'[44]Sch C'!F213</f>
        <v>0</v>
      </c>
      <c r="E202" s="171">
        <f t="shared" si="50"/>
        <v>11185.5</v>
      </c>
      <c r="F202" s="171"/>
      <c r="G202" s="171">
        <f t="shared" si="51"/>
        <v>11185.5</v>
      </c>
      <c r="H202" s="172">
        <f t="shared" si="52"/>
        <v>4.40493922008904E-3</v>
      </c>
      <c r="I202" s="337"/>
      <c r="J202" s="168"/>
      <c r="K202" s="168"/>
      <c r="M202" s="364">
        <f t="shared" si="53"/>
        <v>0.52874025053178919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573">
        <f>'[44]Sch C'!D214</f>
        <v>3557</v>
      </c>
      <c r="D203" s="573">
        <f>'[44]Sch C'!F214</f>
        <v>0</v>
      </c>
      <c r="E203" s="171">
        <f t="shared" si="50"/>
        <v>3557</v>
      </c>
      <c r="F203" s="171"/>
      <c r="G203" s="171">
        <f t="shared" si="51"/>
        <v>3557</v>
      </c>
      <c r="H203" s="172">
        <f t="shared" si="52"/>
        <v>1.4007750038761537E-3</v>
      </c>
      <c r="I203" s="337"/>
      <c r="J203" s="168"/>
      <c r="K203" s="168"/>
      <c r="M203" s="364">
        <f t="shared" si="53"/>
        <v>0.16813991964074687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573">
        <f>'[44]Sch C'!D215</f>
        <v>0</v>
      </c>
      <c r="D204" s="573">
        <f>'[44]Sch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573">
        <f>'[44]Sch C'!D216</f>
        <v>0</v>
      </c>
      <c r="D205" s="573">
        <f>'[44]Sch C'!F216</f>
        <v>0</v>
      </c>
      <c r="E205" s="171">
        <f t="shared" si="50"/>
        <v>0</v>
      </c>
      <c r="F205" s="171"/>
      <c r="G205" s="171">
        <f t="shared" si="51"/>
        <v>0</v>
      </c>
      <c r="H205" s="172">
        <f t="shared" si="52"/>
        <v>0</v>
      </c>
      <c r="I205" s="337"/>
      <c r="J205" s="168"/>
      <c r="K205" s="168"/>
      <c r="M205" s="364">
        <f t="shared" si="53"/>
        <v>0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573">
        <f>SUM(C200:C205)</f>
        <v>55081.5</v>
      </c>
      <c r="D206" s="573">
        <f>SUM(D200:D205)</f>
        <v>0</v>
      </c>
      <c r="E206" s="171">
        <f t="shared" ref="E206" si="54">SUM(E200:E205)</f>
        <v>55081.5</v>
      </c>
      <c r="F206" s="171">
        <f>SUM(F200:F205)</f>
        <v>0</v>
      </c>
      <c r="G206" s="171">
        <f>SUM(G200:G205)</f>
        <v>55081.5</v>
      </c>
      <c r="H206" s="172">
        <f t="shared" si="52"/>
        <v>2.1691534544842381E-2</v>
      </c>
      <c r="I206" s="337"/>
      <c r="J206" s="168"/>
      <c r="K206" s="168"/>
      <c r="M206" s="364">
        <f>G206/G$228</f>
        <v>2.6037107066887262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573">
        <f>SUM(C25:C206)/2</f>
        <v>2932571.5899999994</v>
      </c>
      <c r="D208" s="573">
        <f>SUM(D25:D206)/2</f>
        <v>-391660</v>
      </c>
      <c r="E208" s="171">
        <f t="shared" ref="E208:F208" si="55">SUM(E25:E206)/2</f>
        <v>2540911.59</v>
      </c>
      <c r="F208" s="171">
        <f t="shared" si="55"/>
        <v>-1603</v>
      </c>
      <c r="G208" s="171">
        <f>SUM(G25:G206)/2</f>
        <v>2539308.59</v>
      </c>
      <c r="H208" s="172">
        <f>IF($G$208=0,0,G208/$G$208)</f>
        <v>1</v>
      </c>
      <c r="I208" s="337"/>
      <c r="J208" s="183">
        <f>SUM(J25:J200)</f>
        <v>95591.689999999988</v>
      </c>
      <c r="K208" s="183">
        <f>SUM(K25:K200)</f>
        <v>97470.82</v>
      </c>
      <c r="M208" s="364">
        <f>G208/G$228</f>
        <v>120.03349515480973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573">
        <f>'[44]Sch C'!D221</f>
        <v>2932573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573">
        <f>C208-C211</f>
        <v>-1.4100000006146729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619"/>
      <c r="D213" s="232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573">
        <f>C21-C208</f>
        <v>713844.26000000024</v>
      </c>
      <c r="D215" s="573">
        <f>D21-D208</f>
        <v>391660</v>
      </c>
      <c r="E215" s="171">
        <f t="shared" ref="E215:F215" si="56">E21-E208</f>
        <v>1105504.2599999998</v>
      </c>
      <c r="F215" s="171">
        <f t="shared" si="56"/>
        <v>1603</v>
      </c>
      <c r="G215" s="171">
        <f>G21-G208</f>
        <v>1107107.2599999998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653">
        <f>'[44]Sch D'!C9</f>
        <v>18015</v>
      </c>
      <c r="D219" s="653"/>
      <c r="E219" s="235">
        <f t="shared" ref="E219:G227" si="57">C219+D219</f>
        <v>18015</v>
      </c>
      <c r="F219" s="234"/>
      <c r="G219" s="235">
        <f t="shared" si="57"/>
        <v>18015</v>
      </c>
      <c r="H219" s="172">
        <f t="shared" ref="H219:H228" si="58">IF($G$228=0,0,G219/$G$228)</f>
        <v>0.85157173245095719</v>
      </c>
      <c r="I219" s="337"/>
      <c r="J219" s="168"/>
      <c r="K219" s="168"/>
    </row>
    <row r="220" spans="1:14">
      <c r="A220" s="163"/>
      <c r="B220" s="170" t="s">
        <v>217</v>
      </c>
      <c r="C220" s="653">
        <f>'[44]Sch D'!D9</f>
        <v>0</v>
      </c>
      <c r="D220" s="653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7"/>
      <c r="J220" s="168"/>
      <c r="K220" s="168"/>
    </row>
    <row r="221" spans="1:14">
      <c r="A221" s="163"/>
      <c r="B221" s="170" t="s">
        <v>72</v>
      </c>
      <c r="C221" s="653">
        <f>'[44]Sch D'!E9</f>
        <v>455</v>
      </c>
      <c r="D221" s="653"/>
      <c r="E221" s="235">
        <f t="shared" si="59"/>
        <v>455</v>
      </c>
      <c r="F221" s="234"/>
      <c r="G221" s="235">
        <f t="shared" si="57"/>
        <v>455</v>
      </c>
      <c r="H221" s="172">
        <f t="shared" si="58"/>
        <v>2.1507917749940913E-2</v>
      </c>
      <c r="I221" s="337"/>
      <c r="J221" s="168"/>
      <c r="K221" s="168"/>
    </row>
    <row r="222" spans="1:14">
      <c r="A222" s="163"/>
      <c r="B222" s="202" t="s">
        <v>334</v>
      </c>
      <c r="C222" s="653">
        <f>'[44]Sch D'!F9</f>
        <v>147</v>
      </c>
      <c r="D222" s="653"/>
      <c r="E222" s="235">
        <f>C222+D222</f>
        <v>147</v>
      </c>
      <c r="F222" s="234"/>
      <c r="G222" s="235">
        <f>E222+F222</f>
        <v>147</v>
      </c>
      <c r="H222" s="172">
        <f t="shared" si="58"/>
        <v>6.9487118884424487E-3</v>
      </c>
      <c r="I222" s="337"/>
      <c r="J222" s="168"/>
      <c r="K222" s="168"/>
    </row>
    <row r="223" spans="1:14">
      <c r="A223" s="163"/>
      <c r="B223" s="170" t="s">
        <v>73</v>
      </c>
      <c r="C223" s="653">
        <f>'[44]Sch D'!G9</f>
        <v>0</v>
      </c>
      <c r="D223" s="653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7"/>
      <c r="J223" s="168"/>
      <c r="K223" s="168"/>
    </row>
    <row r="224" spans="1:14">
      <c r="A224" s="163"/>
      <c r="B224" s="170" t="s">
        <v>74</v>
      </c>
      <c r="C224" s="653">
        <f>'[44]Sch D'!H9</f>
        <v>1957</v>
      </c>
      <c r="D224" s="653"/>
      <c r="E224" s="235">
        <f t="shared" si="59"/>
        <v>1957</v>
      </c>
      <c r="F224" s="234"/>
      <c r="G224" s="235">
        <f t="shared" si="57"/>
        <v>1957</v>
      </c>
      <c r="H224" s="172">
        <f t="shared" si="58"/>
        <v>9.2507681399196406E-2</v>
      </c>
      <c r="I224" s="337"/>
      <c r="J224" s="168"/>
      <c r="K224" s="168"/>
    </row>
    <row r="225" spans="1:11">
      <c r="A225" s="163"/>
      <c r="B225" s="170" t="s">
        <v>236</v>
      </c>
      <c r="C225" s="653">
        <f>'[44]Sch D'!I9</f>
        <v>581</v>
      </c>
      <c r="D225" s="653"/>
      <c r="E225" s="235">
        <f t="shared" si="59"/>
        <v>581</v>
      </c>
      <c r="F225" s="234"/>
      <c r="G225" s="235">
        <f t="shared" si="57"/>
        <v>581</v>
      </c>
      <c r="H225" s="172">
        <f t="shared" si="58"/>
        <v>2.7463956511463012E-2</v>
      </c>
      <c r="I225" s="337"/>
      <c r="J225" s="168"/>
      <c r="K225" s="168"/>
    </row>
    <row r="226" spans="1:11">
      <c r="A226" s="163"/>
      <c r="B226" s="170" t="s">
        <v>235</v>
      </c>
      <c r="C226" s="653">
        <f>'[44]Sch D'!J9</f>
        <v>0</v>
      </c>
      <c r="D226" s="653"/>
      <c r="E226" s="235">
        <f>C226+D226</f>
        <v>0</v>
      </c>
      <c r="F226" s="234"/>
      <c r="G226" s="235">
        <f>E226+F226</f>
        <v>0</v>
      </c>
      <c r="H226" s="172">
        <f t="shared" si="58"/>
        <v>0</v>
      </c>
      <c r="I226" s="337"/>
      <c r="J226" s="168"/>
      <c r="K226" s="168"/>
    </row>
    <row r="227" spans="1:11">
      <c r="A227" s="163"/>
      <c r="B227" s="170" t="s">
        <v>179</v>
      </c>
      <c r="C227" s="653">
        <f>'[44]Sch D'!K9</f>
        <v>0</v>
      </c>
      <c r="D227" s="653"/>
      <c r="E227" s="235">
        <f t="shared" si="59"/>
        <v>0</v>
      </c>
      <c r="F227" s="234"/>
      <c r="G227" s="235">
        <f t="shared" si="57"/>
        <v>0</v>
      </c>
      <c r="H227" s="172">
        <f t="shared" si="58"/>
        <v>0</v>
      </c>
      <c r="I227" s="337"/>
      <c r="J227" s="168"/>
      <c r="K227" s="168"/>
    </row>
    <row r="228" spans="1:11" ht="13.5" thickBot="1">
      <c r="A228" s="163"/>
      <c r="B228" s="236" t="s">
        <v>75</v>
      </c>
      <c r="C228" s="653">
        <f>SUM(C219:C227)</f>
        <v>21155</v>
      </c>
      <c r="D228" s="653">
        <f>SUM(D219:D227)</f>
        <v>0</v>
      </c>
      <c r="E228" s="237">
        <f>SUM(E219:E227)</f>
        <v>21155</v>
      </c>
      <c r="F228" s="237">
        <f>SUM(F219:F227)</f>
        <v>0</v>
      </c>
      <c r="G228" s="237">
        <f>SUM(G219:G227)</f>
        <v>21155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620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619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654">
        <f>'[44]Sch D'!N22</f>
        <v>155</v>
      </c>
      <c r="D231" s="574"/>
      <c r="E231" s="235">
        <f>C231+D231</f>
        <v>155</v>
      </c>
      <c r="F231" s="235"/>
      <c r="G231" s="235">
        <f>E231+F231</f>
        <v>155</v>
      </c>
      <c r="H231" s="167"/>
      <c r="J231" s="168"/>
      <c r="K231" s="168"/>
    </row>
    <row r="232" spans="1:11">
      <c r="A232" s="163"/>
      <c r="B232" s="202" t="s">
        <v>290</v>
      </c>
      <c r="C232" s="654">
        <f>'[44]Sch D'!N24</f>
        <v>155</v>
      </c>
      <c r="D232" s="574"/>
      <c r="E232" s="235">
        <f>C232+D232</f>
        <v>155</v>
      </c>
      <c r="F232" s="235"/>
      <c r="G232" s="235">
        <f>E232+F232</f>
        <v>155</v>
      </c>
      <c r="H232" s="167"/>
      <c r="J232" s="168"/>
      <c r="K232" s="168"/>
    </row>
    <row r="233" spans="1:11">
      <c r="A233" s="163"/>
      <c r="B233" s="202" t="s">
        <v>76</v>
      </c>
      <c r="C233" s="654">
        <f>$C$4-$C$3+1</f>
        <v>365</v>
      </c>
      <c r="D233" s="489"/>
      <c r="E233" s="235">
        <f>C233+D233</f>
        <v>365</v>
      </c>
      <c r="F233" s="240"/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621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654">
        <f>'[44]Sch D'!N28</f>
        <v>56575</v>
      </c>
      <c r="D235" s="489"/>
      <c r="E235" s="234">
        <f>E231*E233</f>
        <v>56575</v>
      </c>
      <c r="F235" s="240"/>
      <c r="G235" s="234">
        <f>G231*G233</f>
        <v>56575</v>
      </c>
      <c r="H235" s="167"/>
      <c r="J235" s="168"/>
      <c r="K235" s="168"/>
    </row>
    <row r="236" spans="1:11" ht="26">
      <c r="A236" s="163"/>
      <c r="B236" s="244" t="s">
        <v>336</v>
      </c>
      <c r="C236" s="655">
        <f>'[44]Sch D'!N30</f>
        <v>0.37392841361025186</v>
      </c>
      <c r="D236" s="240"/>
      <c r="E236" s="245">
        <f>E228/E235</f>
        <v>0.37392841361025186</v>
      </c>
      <c r="F236" s="246"/>
      <c r="G236" s="245">
        <f>G228/G235</f>
        <v>0.37392841361025186</v>
      </c>
      <c r="H236" s="167"/>
      <c r="J236" s="168"/>
      <c r="K236" s="168"/>
    </row>
    <row r="237" spans="1:11" ht="26">
      <c r="A237" s="163"/>
      <c r="B237" s="244" t="s">
        <v>337</v>
      </c>
      <c r="C237" s="655">
        <f>'[44]Sch D'!N32</f>
        <v>0.31842686699072026</v>
      </c>
      <c r="D237" s="240"/>
      <c r="E237" s="245">
        <f>(E219+E220)/E235</f>
        <v>0.31842686699072026</v>
      </c>
      <c r="F237" s="246"/>
      <c r="G237" s="245">
        <f>(G219+G220)/G235</f>
        <v>0.31842686699072026</v>
      </c>
      <c r="H237" s="167"/>
      <c r="J237" s="168"/>
      <c r="K237" s="168"/>
    </row>
    <row r="238" spans="1:11" ht="26">
      <c r="A238" s="163"/>
      <c r="B238" s="244" t="s">
        <v>338</v>
      </c>
      <c r="C238" s="655">
        <f>'[44]Sch D'!N34</f>
        <v>0.85157173245095719</v>
      </c>
      <c r="D238" s="240"/>
      <c r="E238" s="245">
        <f>(E237/E236)</f>
        <v>0.85157173245095719</v>
      </c>
      <c r="F238" s="246"/>
      <c r="G238" s="245">
        <f>(G237/G236)</f>
        <v>0.85157173245095719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73">
        <f>'[44]Sch B'!C85</f>
        <v>168.60109289617486</v>
      </c>
    </row>
    <row r="242" spans="2:7">
      <c r="F242" s="142" t="s">
        <v>341</v>
      </c>
      <c r="G242" s="573">
        <f>'[44]Sch B'!E85</f>
        <v>172.05084745762713</v>
      </c>
    </row>
    <row r="243" spans="2:7">
      <c r="F243" s="142" t="s">
        <v>342</v>
      </c>
      <c r="G243" s="573">
        <f>'[44]Sch B'!G85</f>
        <v>183.76505376344085</v>
      </c>
    </row>
    <row r="244" spans="2:7">
      <c r="F244" s="142" t="s">
        <v>343</v>
      </c>
      <c r="G244" s="573">
        <f>'[44]Sch B'!I85</f>
        <v>188.34708737864077</v>
      </c>
    </row>
    <row r="245" spans="2:7">
      <c r="F245" s="142"/>
    </row>
  </sheetData>
  <phoneticPr fontId="0" type="noConversion"/>
  <printOptions horizontalCentered="1"/>
  <pageMargins left="0" right="0" top="0.75" bottom="1" header="0.5" footer="0.5"/>
  <pageSetup scale="70" orientation="portrait" r:id="rId1"/>
  <headerFooter alignWithMargins="0">
    <oddFooter>&amp;R&amp;D
&amp;T
&amp;F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8">
    <tabColor rgb="FFE28CAB"/>
  </sheetPr>
  <dimension ref="A1:Q245"/>
  <sheetViews>
    <sheetView showGridLines="0" zoomScale="90" zoomScaleNormal="90" workbookViewId="0">
      <pane xSplit="2" topLeftCell="C1" activePane="topRight" state="frozen"/>
      <selection activeCell="N1" sqref="N1"/>
      <selection pane="topRight"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478"/>
      <c r="E1" s="478"/>
      <c r="F1" s="478"/>
      <c r="G1" s="478"/>
      <c r="H1" s="478"/>
      <c r="I1" s="479"/>
    </row>
    <row r="2" spans="1:14" ht="23">
      <c r="B2" s="143" t="s">
        <v>189</v>
      </c>
      <c r="C2" s="247" t="s">
        <v>387</v>
      </c>
      <c r="D2" s="247"/>
      <c r="E2" s="144"/>
    </row>
    <row r="3" spans="1:14">
      <c r="A3" s="145"/>
      <c r="B3" s="140" t="s">
        <v>79</v>
      </c>
      <c r="C3" s="495">
        <v>41821</v>
      </c>
      <c r="D3" s="144"/>
      <c r="E3" s="147"/>
    </row>
    <row r="4" spans="1:14">
      <c r="A4" s="145"/>
      <c r="B4" s="148" t="s">
        <v>80</v>
      </c>
      <c r="C4" s="495">
        <v>42185</v>
      </c>
      <c r="D4" s="144"/>
      <c r="E4" s="149"/>
      <c r="G4" s="150"/>
    </row>
    <row r="5" spans="1:14">
      <c r="A5" s="145"/>
      <c r="B5" s="148"/>
      <c r="C5" s="151"/>
      <c r="D5" s="144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144"/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490">
        <f>'[45]Sch B'!E10</f>
        <v>1818578</v>
      </c>
      <c r="D11" s="490">
        <f>'[45]Sch B'!G10</f>
        <v>0</v>
      </c>
      <c r="E11" s="171">
        <f>C11+D11</f>
        <v>1818578</v>
      </c>
      <c r="F11" s="171"/>
      <c r="G11" s="171">
        <f t="shared" ref="G11:G20" si="0">E11+F11</f>
        <v>1818578</v>
      </c>
      <c r="H11" s="172">
        <f t="shared" ref="H11:H21" si="1">IF($G$21=0,0,G11/$G$21)</f>
        <v>0.28935749480141476</v>
      </c>
      <c r="I11" s="337"/>
      <c r="J11" s="368" t="s">
        <v>344</v>
      </c>
      <c r="K11" s="369">
        <f>G21</f>
        <v>6284883</v>
      </c>
      <c r="M11" s="359">
        <f>IFERROR(G11/G219,0)</f>
        <v>194.29252136752137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490">
        <f>'[45]Sch B'!E15</f>
        <v>0</v>
      </c>
      <c r="D12" s="490">
        <f>'[45]Sch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7"/>
      <c r="J12" s="370" t="s">
        <v>345</v>
      </c>
      <c r="K12" s="371">
        <f>G208</f>
        <v>5702367.8894791827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490">
        <f>'[45]Sch B'!E21</f>
        <v>2039962</v>
      </c>
      <c r="D13" s="490">
        <f>'[45]Sch B'!G21</f>
        <v>0</v>
      </c>
      <c r="E13" s="171">
        <f t="shared" si="2"/>
        <v>2039962</v>
      </c>
      <c r="F13" s="171"/>
      <c r="G13" s="171">
        <f t="shared" si="0"/>
        <v>2039962</v>
      </c>
      <c r="H13" s="172">
        <f t="shared" si="1"/>
        <v>0.32458233510472667</v>
      </c>
      <c r="I13" s="337"/>
      <c r="J13" s="370" t="s">
        <v>346</v>
      </c>
      <c r="K13" s="371">
        <f>G228</f>
        <v>21904</v>
      </c>
      <c r="M13" s="359">
        <f t="shared" si="3"/>
        <v>507.45323383084576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490">
        <f>'[45]Sch B'!E27</f>
        <v>1407594</v>
      </c>
      <c r="D14" s="490">
        <f>'[45]Sch B'!G27</f>
        <v>0</v>
      </c>
      <c r="E14" s="171">
        <f t="shared" si="2"/>
        <v>1407594</v>
      </c>
      <c r="F14" s="175"/>
      <c r="G14" s="175">
        <f>E14+F14</f>
        <v>1407594</v>
      </c>
      <c r="H14" s="176">
        <f t="shared" si="1"/>
        <v>0.2239650284659237</v>
      </c>
      <c r="I14" s="338"/>
      <c r="J14" s="370" t="s">
        <v>347</v>
      </c>
      <c r="K14" s="371">
        <f>G231</f>
        <v>108</v>
      </c>
      <c r="M14" s="359">
        <f t="shared" si="3"/>
        <v>380.01997840172788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490">
        <f>'[45]Sch B'!E32</f>
        <v>0</v>
      </c>
      <c r="D15" s="490">
        <f>'[45]Sch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7"/>
      <c r="J15" s="370" t="s">
        <v>348</v>
      </c>
      <c r="K15" s="371">
        <f>G235</f>
        <v>39420</v>
      </c>
      <c r="M15" s="359">
        <f t="shared" si="3"/>
        <v>0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490">
        <f>'[45]Sch B'!E37</f>
        <v>598316</v>
      </c>
      <c r="D16" s="490">
        <f>'[45]Sch B'!G37</f>
        <v>0</v>
      </c>
      <c r="E16" s="171">
        <f t="shared" si="2"/>
        <v>598316</v>
      </c>
      <c r="F16" s="171"/>
      <c r="G16" s="171">
        <f t="shared" si="0"/>
        <v>598316</v>
      </c>
      <c r="H16" s="172">
        <f t="shared" si="1"/>
        <v>9.519922646133587E-2</v>
      </c>
      <c r="I16" s="337"/>
      <c r="J16" s="372"/>
      <c r="K16" s="371"/>
      <c r="M16" s="359">
        <f t="shared" si="3"/>
        <v>214.37334288785382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490">
        <f>'[45]Sch B'!E42</f>
        <v>0</v>
      </c>
      <c r="D17" s="490">
        <f>'[45]Sch B'!G42</f>
        <v>0</v>
      </c>
      <c r="E17" s="171">
        <f t="shared" si="2"/>
        <v>0</v>
      </c>
      <c r="F17" s="171"/>
      <c r="G17" s="171">
        <f>E17+F17</f>
        <v>0</v>
      </c>
      <c r="H17" s="172">
        <f t="shared" si="1"/>
        <v>0</v>
      </c>
      <c r="I17" s="337"/>
      <c r="J17" s="370" t="s">
        <v>156</v>
      </c>
      <c r="K17" s="371">
        <f>J208</f>
        <v>123894</v>
      </c>
      <c r="M17" s="359">
        <f t="shared" si="3"/>
        <v>0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490">
        <f>'[45]Sch B'!E47</f>
        <v>342206</v>
      </c>
      <c r="D18" s="490">
        <f>'[45]Sch B'!G47</f>
        <v>0</v>
      </c>
      <c r="E18" s="171">
        <f t="shared" si="2"/>
        <v>342206</v>
      </c>
      <c r="F18" s="171"/>
      <c r="G18" s="171">
        <f>E18+F18</f>
        <v>342206</v>
      </c>
      <c r="H18" s="172">
        <f t="shared" si="1"/>
        <v>5.4449064525147084E-2</v>
      </c>
      <c r="I18" s="337"/>
      <c r="J18" s="373" t="s">
        <v>252</v>
      </c>
      <c r="K18" s="374">
        <f>K208</f>
        <v>132182</v>
      </c>
      <c r="M18" s="359">
        <f t="shared" si="3"/>
        <v>183.68545356951154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490">
        <f>'[45]Sch B'!E52</f>
        <v>3515</v>
      </c>
      <c r="D19" s="490">
        <f>'[45]Sch B'!G52</f>
        <v>0</v>
      </c>
      <c r="E19" s="171">
        <f t="shared" si="2"/>
        <v>3515</v>
      </c>
      <c r="F19" s="171"/>
      <c r="G19" s="171">
        <f t="shared" si="0"/>
        <v>3515</v>
      </c>
      <c r="H19" s="172">
        <f t="shared" si="1"/>
        <v>5.5927851003749788E-4</v>
      </c>
      <c r="I19" s="337"/>
      <c r="J19" s="168"/>
      <c r="K19" s="168"/>
      <c r="M19" s="359">
        <f t="shared" si="3"/>
        <v>21.174698795180724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490">
        <f>'[45]Sch B'!E67</f>
        <v>74712</v>
      </c>
      <c r="D20" s="490">
        <f>'[45]Sch B'!G67</f>
        <v>0</v>
      </c>
      <c r="E20" s="171">
        <f t="shared" si="2"/>
        <v>74712</v>
      </c>
      <c r="F20" s="171"/>
      <c r="G20" s="171">
        <f t="shared" si="0"/>
        <v>74712</v>
      </c>
      <c r="H20" s="172">
        <f t="shared" si="1"/>
        <v>1.188757213141438E-2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490">
        <f>SUM(C11:C20)</f>
        <v>6284883</v>
      </c>
      <c r="D21" s="490">
        <f>SUM(D11:D20)</f>
        <v>0</v>
      </c>
      <c r="E21" s="171">
        <f>SUM(E11:E20)</f>
        <v>6284883</v>
      </c>
      <c r="F21" s="171">
        <f>SUM(F11:F20)</f>
        <v>0</v>
      </c>
      <c r="G21" s="171">
        <f>SUM(G11:G20)</f>
        <v>6284883</v>
      </c>
      <c r="H21" s="172">
        <f t="shared" si="1"/>
        <v>1</v>
      </c>
      <c r="I21" s="337"/>
      <c r="J21" s="168"/>
      <c r="K21" s="168"/>
      <c r="M21" s="359">
        <f>IFERROR(G21/G228,0)</f>
        <v>286.92855186267349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4">
      <c r="A24" s="181" t="s">
        <v>161</v>
      </c>
      <c r="B24" s="148" t="s">
        <v>12</v>
      </c>
      <c r="M24" s="363"/>
      <c r="N24" s="363"/>
    </row>
    <row r="25" spans="1:14" s="167" customFormat="1">
      <c r="A25" s="169" t="s">
        <v>83</v>
      </c>
      <c r="B25" s="170" t="s">
        <v>14</v>
      </c>
      <c r="C25" s="490">
        <f>'[45]Sch C'!D10</f>
        <v>180584</v>
      </c>
      <c r="D25" s="490">
        <f>'[45]Sch C'!F10</f>
        <v>12079</v>
      </c>
      <c r="E25" s="171">
        <f t="shared" ref="E25:E60" si="4">C25+D25</f>
        <v>192663</v>
      </c>
      <c r="F25" s="171"/>
      <c r="G25" s="182">
        <f>E25+F25</f>
        <v>192663</v>
      </c>
      <c r="H25" s="172">
        <f>IF($G$208=0,0,G25/$G$208)</f>
        <v>3.378649075859548E-2</v>
      </c>
      <c r="I25" s="337"/>
      <c r="J25" s="183">
        <v>2252</v>
      </c>
      <c r="K25" s="183">
        <v>2403</v>
      </c>
      <c r="M25" s="359">
        <f>G25/G$228</f>
        <v>8.7957907231555872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490">
        <f>'[45]Sch C'!D11</f>
        <v>0</v>
      </c>
      <c r="D26" s="490">
        <f>'[45]Sch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490">
        <f>'[45]Sch C'!D12</f>
        <v>294770</v>
      </c>
      <c r="D27" s="490">
        <f>'[45]Sch C'!F12</f>
        <v>-4190.8499999999985</v>
      </c>
      <c r="E27" s="171">
        <f t="shared" si="4"/>
        <v>290579.15000000002</v>
      </c>
      <c r="F27" s="171"/>
      <c r="G27" s="171">
        <f t="shared" si="5"/>
        <v>290579.15000000002</v>
      </c>
      <c r="H27" s="172">
        <f t="shared" si="6"/>
        <v>5.0957629467596424E-2</v>
      </c>
      <c r="I27" s="337"/>
      <c r="J27" s="185">
        <v>14608</v>
      </c>
      <c r="K27" s="185">
        <v>15585</v>
      </c>
      <c r="M27" s="359">
        <f t="shared" si="7"/>
        <v>13.266031318480644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490">
        <f>'[45]Sch C'!D13</f>
        <v>590897</v>
      </c>
      <c r="D28" s="490">
        <f>'[45]Sch C'!F13</f>
        <v>-514915.86655104271</v>
      </c>
      <c r="E28" s="171">
        <f t="shared" si="4"/>
        <v>75981.133448957291</v>
      </c>
      <c r="F28" s="171"/>
      <c r="G28" s="171">
        <f t="shared" si="5"/>
        <v>75981.133448957291</v>
      </c>
      <c r="H28" s="172">
        <f t="shared" si="6"/>
        <v>1.3324488163792763E-2</v>
      </c>
      <c r="I28" s="337"/>
      <c r="J28" s="168"/>
      <c r="K28" s="168"/>
      <c r="M28" s="359">
        <f t="shared" si="7"/>
        <v>3.4688245730897229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490">
        <f>'[45]Sch C'!D14</f>
        <v>0</v>
      </c>
      <c r="D29" s="490">
        <f>'[45]Sch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490">
        <f>'[45]Sch C'!D15</f>
        <v>0</v>
      </c>
      <c r="D30" s="490">
        <f>'[45]Sch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7"/>
      <c r="J30" s="168"/>
      <c r="K30" s="168"/>
      <c r="M30" s="359">
        <f t="shared" si="7"/>
        <v>0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490">
        <f>'[45]Sch C'!D16</f>
        <v>315365</v>
      </c>
      <c r="D31" s="490">
        <f>'[45]Sch C'!F16</f>
        <v>160869.66668984998</v>
      </c>
      <c r="E31" s="171">
        <f t="shared" si="4"/>
        <v>476234.66668984998</v>
      </c>
      <c r="F31" s="171"/>
      <c r="G31" s="171">
        <f t="shared" si="5"/>
        <v>476234.66668984998</v>
      </c>
      <c r="H31" s="172">
        <f t="shared" si="6"/>
        <v>8.3515247686579225E-2</v>
      </c>
      <c r="I31" s="337"/>
      <c r="J31" s="168"/>
      <c r="K31" s="168"/>
      <c r="M31" s="359">
        <f t="shared" si="7"/>
        <v>21.741904067286796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490">
        <f>'[45]Sch C'!D17</f>
        <v>0</v>
      </c>
      <c r="D32" s="490">
        <f>'[45]Sch C'!F17</f>
        <v>0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7"/>
      <c r="J32" s="168"/>
      <c r="K32" s="168"/>
      <c r="M32" s="359">
        <f t="shared" si="7"/>
        <v>0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490">
        <f>'[45]Sch C'!D18</f>
        <v>11809</v>
      </c>
      <c r="D33" s="490">
        <f>'[45]Sch C'!F18</f>
        <v>0</v>
      </c>
      <c r="E33" s="171">
        <f t="shared" si="4"/>
        <v>11809</v>
      </c>
      <c r="F33" s="171"/>
      <c r="G33" s="171">
        <f t="shared" si="5"/>
        <v>11809</v>
      </c>
      <c r="H33" s="172">
        <f t="shared" si="6"/>
        <v>2.070894096781707E-3</v>
      </c>
      <c r="I33" s="337"/>
      <c r="J33" s="168"/>
      <c r="K33" s="168"/>
      <c r="M33" s="359">
        <f t="shared" si="7"/>
        <v>0.53912527392257126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490">
        <f>'[45]Sch C'!D19</f>
        <v>19897</v>
      </c>
      <c r="D34" s="490">
        <f>'[45]Sch C'!F19</f>
        <v>-1624.2323999999999</v>
      </c>
      <c r="E34" s="171">
        <f t="shared" si="4"/>
        <v>18272.767599999999</v>
      </c>
      <c r="F34" s="171"/>
      <c r="G34" s="171">
        <f t="shared" si="5"/>
        <v>18272.767599999999</v>
      </c>
      <c r="H34" s="172">
        <f t="shared" si="6"/>
        <v>3.2044175251675871E-3</v>
      </c>
      <c r="I34" s="337"/>
      <c r="J34" s="168"/>
      <c r="K34" s="168"/>
      <c r="M34" s="359">
        <f t="shared" si="7"/>
        <v>0.83422058071585092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490">
        <f>'[45]Sch C'!D20</f>
        <v>12503</v>
      </c>
      <c r="D35" s="490">
        <f>'[45]Sch C'!F20</f>
        <v>0</v>
      </c>
      <c r="E35" s="171">
        <f t="shared" si="4"/>
        <v>12503</v>
      </c>
      <c r="F35" s="171"/>
      <c r="G35" s="171">
        <f t="shared" si="5"/>
        <v>12503</v>
      </c>
      <c r="H35" s="172">
        <f t="shared" si="6"/>
        <v>2.1925979246389771E-3</v>
      </c>
      <c r="I35" s="337"/>
      <c r="J35" s="168"/>
      <c r="K35" s="168"/>
      <c r="M35" s="359">
        <f t="shared" si="7"/>
        <v>0.57080898466033603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490">
        <f>'[45]Sch C'!D21</f>
        <v>9177</v>
      </c>
      <c r="D36" s="490">
        <f>'[45]Sch C'!F21</f>
        <v>0</v>
      </c>
      <c r="E36" s="171">
        <f t="shared" si="4"/>
        <v>9177</v>
      </c>
      <c r="F36" s="171"/>
      <c r="G36" s="171">
        <f t="shared" si="5"/>
        <v>9177</v>
      </c>
      <c r="H36" s="172">
        <f t="shared" si="6"/>
        <v>1.6093314528042783E-3</v>
      </c>
      <c r="I36" s="337"/>
      <c r="J36" s="168"/>
      <c r="K36" s="168"/>
      <c r="M36" s="359">
        <f t="shared" si="7"/>
        <v>0.4189645726807889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490">
        <f>'[45]Sch C'!D22</f>
        <v>0</v>
      </c>
      <c r="D37" s="490">
        <f>'[45]Sch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490">
        <f>'[45]Sch C'!D23</f>
        <v>4541</v>
      </c>
      <c r="D38" s="490">
        <f>'[45]Sch C'!F23</f>
        <v>0</v>
      </c>
      <c r="E38" s="171">
        <f t="shared" si="4"/>
        <v>4541</v>
      </c>
      <c r="F38" s="171"/>
      <c r="G38" s="171">
        <f t="shared" si="5"/>
        <v>4541</v>
      </c>
      <c r="H38" s="172">
        <f t="shared" si="6"/>
        <v>7.963358534580177E-4</v>
      </c>
      <c r="I38" s="337"/>
      <c r="J38" s="168"/>
      <c r="K38" s="168"/>
      <c r="M38" s="359">
        <f t="shared" si="7"/>
        <v>0.20731373265157049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490">
        <f>'[45]Sch C'!D24</f>
        <v>45000</v>
      </c>
      <c r="D39" s="490">
        <f>'[45]Sch C'!F24</f>
        <v>-12960</v>
      </c>
      <c r="E39" s="171">
        <f t="shared" si="4"/>
        <v>32040</v>
      </c>
      <c r="F39" s="171"/>
      <c r="G39" s="171">
        <f t="shared" si="5"/>
        <v>32040</v>
      </c>
      <c r="H39" s="172">
        <f t="shared" si="6"/>
        <v>5.6187185079927078E-3</v>
      </c>
      <c r="I39" s="337"/>
      <c r="J39" s="168"/>
      <c r="K39" s="168"/>
      <c r="M39" s="359">
        <f t="shared" si="7"/>
        <v>1.4627465303140978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490">
        <f>'[45]Sch C'!D25</f>
        <v>0</v>
      </c>
      <c r="D40" s="490">
        <f>'[45]Sch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337"/>
      <c r="J40" s="168"/>
      <c r="K40" s="168"/>
      <c r="M40" s="359">
        <f t="shared" si="7"/>
        <v>0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490">
        <f>'[45]Sch C'!D26</f>
        <v>217360</v>
      </c>
      <c r="D41" s="490">
        <f>'[45]Sch C'!F26</f>
        <v>0</v>
      </c>
      <c r="E41" s="171">
        <f t="shared" si="4"/>
        <v>217360</v>
      </c>
      <c r="F41" s="171"/>
      <c r="G41" s="171">
        <f t="shared" si="5"/>
        <v>217360</v>
      </c>
      <c r="H41" s="172">
        <f t="shared" si="6"/>
        <v>3.8117498592300091E-2</v>
      </c>
      <c r="I41" s="337"/>
      <c r="J41" s="168"/>
      <c r="K41" s="168"/>
      <c r="M41" s="359">
        <f t="shared" si="7"/>
        <v>9.9233016800584366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490">
        <f>'[45]Sch C'!D27</f>
        <v>0</v>
      </c>
      <c r="D42" s="490">
        <f>'[45]Sch C'!F27</f>
        <v>0</v>
      </c>
      <c r="E42" s="171">
        <f t="shared" si="4"/>
        <v>0</v>
      </c>
      <c r="F42" s="171"/>
      <c r="G42" s="171">
        <f t="shared" si="5"/>
        <v>0</v>
      </c>
      <c r="H42" s="172">
        <f t="shared" si="6"/>
        <v>0</v>
      </c>
      <c r="I42" s="337"/>
      <c r="J42" s="168"/>
      <c r="K42" s="168"/>
      <c r="M42" s="359">
        <f t="shared" si="7"/>
        <v>0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490">
        <f>'[45]Sch C'!D28</f>
        <v>0</v>
      </c>
      <c r="D43" s="490">
        <f>'[45]Sch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490">
        <f>'[45]Sch C'!D29</f>
        <v>38993</v>
      </c>
      <c r="D44" s="490">
        <f>'[45]Sch C'!F29</f>
        <v>-38993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490">
        <f>'[45]Sch C'!D30</f>
        <v>0</v>
      </c>
      <c r="D45" s="490">
        <f>'[45]Sch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490">
        <f>'[45]Sch C'!D31</f>
        <v>64299</v>
      </c>
      <c r="D46" s="490">
        <f>'[45]Sch C'!F31</f>
        <v>0</v>
      </c>
      <c r="E46" s="171">
        <f t="shared" si="4"/>
        <v>64299</v>
      </c>
      <c r="F46" s="171"/>
      <c r="G46" s="171">
        <f t="shared" si="5"/>
        <v>64299</v>
      </c>
      <c r="H46" s="172">
        <f t="shared" si="6"/>
        <v>1.127584211440147E-2</v>
      </c>
      <c r="I46" s="337"/>
      <c r="J46" s="168"/>
      <c r="K46" s="168"/>
      <c r="M46" s="359">
        <f t="shared" si="7"/>
        <v>2.9354912344777211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490">
        <f>'[45]Sch C'!D32</f>
        <v>97956</v>
      </c>
      <c r="D47" s="490">
        <f>'[45]Sch C'!F32</f>
        <v>-29386.548259624033</v>
      </c>
      <c r="E47" s="171">
        <f t="shared" si="4"/>
        <v>68569.451740375967</v>
      </c>
      <c r="F47" s="171"/>
      <c r="G47" s="171">
        <f t="shared" si="5"/>
        <v>68569.451740375967</v>
      </c>
      <c r="H47" s="172">
        <f t="shared" si="6"/>
        <v>1.2024733070429564E-2</v>
      </c>
      <c r="I47" s="337"/>
      <c r="J47" s="168"/>
      <c r="K47" s="168"/>
      <c r="M47" s="359">
        <f t="shared" si="7"/>
        <v>3.130453421310079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490">
        <f>'[45]Sch C'!D33</f>
        <v>0</v>
      </c>
      <c r="D48" s="490">
        <f>'[45]Sch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490">
        <f>'[45]Sch C'!D34</f>
        <v>0</v>
      </c>
      <c r="D49" s="490">
        <f>'[45]Sch C'!F34</f>
        <v>0</v>
      </c>
      <c r="E49" s="171">
        <f t="shared" si="4"/>
        <v>0</v>
      </c>
      <c r="F49" s="171"/>
      <c r="G49" s="171">
        <f t="shared" si="5"/>
        <v>0</v>
      </c>
      <c r="H49" s="172">
        <f t="shared" si="6"/>
        <v>0</v>
      </c>
      <c r="I49" s="337"/>
      <c r="J49" s="168"/>
      <c r="K49" s="168"/>
      <c r="M49" s="359">
        <f t="shared" si="7"/>
        <v>0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490">
        <f>'[45]Sch C'!D35</f>
        <v>0</v>
      </c>
      <c r="D50" s="490">
        <f>'[45]Sch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490">
        <f>'[45]Sch C'!D36</f>
        <v>0</v>
      </c>
      <c r="D51" s="490">
        <f>'[45]Sch C'!F36</f>
        <v>0</v>
      </c>
      <c r="E51" s="171">
        <f t="shared" si="4"/>
        <v>0</v>
      </c>
      <c r="F51" s="171"/>
      <c r="G51" s="171">
        <f t="shared" si="5"/>
        <v>0</v>
      </c>
      <c r="H51" s="172">
        <f t="shared" si="6"/>
        <v>0</v>
      </c>
      <c r="I51" s="337"/>
      <c r="J51" s="183">
        <v>0</v>
      </c>
      <c r="K51" s="183">
        <v>0</v>
      </c>
      <c r="M51" s="359">
        <f t="shared" si="7"/>
        <v>0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490">
        <f>'[45]Sch C'!D37</f>
        <v>0</v>
      </c>
      <c r="D52" s="490">
        <f>'[45]Sch C'!F37</f>
        <v>0</v>
      </c>
      <c r="E52" s="171">
        <f t="shared" si="4"/>
        <v>0</v>
      </c>
      <c r="F52" s="171"/>
      <c r="G52" s="171">
        <f t="shared" si="5"/>
        <v>0</v>
      </c>
      <c r="H52" s="172">
        <f t="shared" si="6"/>
        <v>0</v>
      </c>
      <c r="I52" s="337"/>
      <c r="J52" s="168"/>
      <c r="K52" s="168"/>
      <c r="M52" s="359">
        <f t="shared" si="7"/>
        <v>0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490">
        <f>'[45]Sch C'!D38</f>
        <v>541</v>
      </c>
      <c r="D53" s="490">
        <f>'[45]Sch C'!F38</f>
        <v>-541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7"/>
      <c r="J53" s="168"/>
      <c r="K53" s="168"/>
      <c r="M53" s="359">
        <f t="shared" si="7"/>
        <v>0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490">
        <f>'[45]Sch C'!D39</f>
        <v>3987</v>
      </c>
      <c r="D54" s="490">
        <f>'[45]Sch C'!F39</f>
        <v>0</v>
      </c>
      <c r="E54" s="171">
        <f t="shared" si="4"/>
        <v>3987</v>
      </c>
      <c r="F54" s="171"/>
      <c r="G54" s="171">
        <f t="shared" si="5"/>
        <v>3987</v>
      </c>
      <c r="H54" s="172">
        <f t="shared" si="6"/>
        <v>6.9918323006763186E-4</v>
      </c>
      <c r="I54" s="337"/>
      <c r="J54" s="168"/>
      <c r="K54" s="168"/>
      <c r="M54" s="359">
        <f t="shared" si="7"/>
        <v>0.18202154857560263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490">
        <f>'[45]Sch C'!D40</f>
        <v>6113</v>
      </c>
      <c r="D55" s="490">
        <f>'[45]Sch C'!F40</f>
        <v>0</v>
      </c>
      <c r="E55" s="171">
        <f t="shared" si="4"/>
        <v>6113</v>
      </c>
      <c r="F55" s="171"/>
      <c r="G55" s="171">
        <f t="shared" si="5"/>
        <v>6113</v>
      </c>
      <c r="H55" s="172">
        <f t="shared" si="6"/>
        <v>1.0720108064718921E-3</v>
      </c>
      <c r="I55" s="337"/>
      <c r="J55" s="168"/>
      <c r="K55" s="168"/>
      <c r="M55" s="359">
        <f t="shared" si="7"/>
        <v>0.27908144631117604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490">
        <f>'[45]Sch C'!D41</f>
        <v>13848</v>
      </c>
      <c r="D56" s="490">
        <f>'[45]Sch C'!F41</f>
        <v>0</v>
      </c>
      <c r="E56" s="171">
        <f t="shared" si="4"/>
        <v>13848</v>
      </c>
      <c r="F56" s="171"/>
      <c r="G56" s="171">
        <f t="shared" si="5"/>
        <v>13848</v>
      </c>
      <c r="H56" s="172">
        <f t="shared" si="6"/>
        <v>2.4284648532672602E-3</v>
      </c>
      <c r="I56" s="337"/>
      <c r="J56" s="168"/>
      <c r="K56" s="168"/>
      <c r="M56" s="359">
        <f t="shared" si="7"/>
        <v>0.63221329437545659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490">
        <f>'[45]Sch C'!D42</f>
        <v>4606</v>
      </c>
      <c r="D57" s="490">
        <f>'[45]Sch C'!F42</f>
        <v>0</v>
      </c>
      <c r="E57" s="171">
        <f t="shared" si="4"/>
        <v>4606</v>
      </c>
      <c r="F57" s="171"/>
      <c r="G57" s="171">
        <f t="shared" si="5"/>
        <v>4606</v>
      </c>
      <c r="H57" s="172">
        <f t="shared" si="6"/>
        <v>8.0773462696049974E-4</v>
      </c>
      <c r="I57" s="337"/>
      <c r="J57" s="168"/>
      <c r="K57" s="168"/>
      <c r="M57" s="359">
        <f t="shared" si="7"/>
        <v>0.21028122717311906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490">
        <f>'[45]Sch C'!D43</f>
        <v>3697</v>
      </c>
      <c r="D58" s="490">
        <f>'[45]Sch C'!F43</f>
        <v>0</v>
      </c>
      <c r="E58" s="171">
        <f t="shared" si="4"/>
        <v>3697</v>
      </c>
      <c r="F58" s="171"/>
      <c r="G58" s="171">
        <f t="shared" si="5"/>
        <v>3697</v>
      </c>
      <c r="H58" s="172">
        <f t="shared" si="6"/>
        <v>6.4832716367194262E-4</v>
      </c>
      <c r="I58" s="337"/>
      <c r="J58" s="168"/>
      <c r="K58" s="168"/>
      <c r="M58" s="359">
        <f t="shared" si="7"/>
        <v>0.16878195763330897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490">
        <f>'[45]Sch C'!D44</f>
        <v>2274</v>
      </c>
      <c r="D59" s="490">
        <f>'[45]Sch C'!F44</f>
        <v>0</v>
      </c>
      <c r="E59" s="171">
        <f t="shared" si="4"/>
        <v>2274</v>
      </c>
      <c r="F59" s="171"/>
      <c r="G59" s="171">
        <f t="shared" si="5"/>
        <v>2274</v>
      </c>
      <c r="H59" s="172">
        <f t="shared" si="6"/>
        <v>3.9878170684068095E-4</v>
      </c>
      <c r="I59" s="337"/>
      <c r="J59" s="168"/>
      <c r="K59" s="168"/>
      <c r="M59" s="359">
        <f t="shared" si="7"/>
        <v>0.10381665449233017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490">
        <f>'[45]Sch C'!D45</f>
        <v>19075</v>
      </c>
      <c r="D60" s="490">
        <f>'[45]Sch C'!F45</f>
        <v>-74304</v>
      </c>
      <c r="E60" s="171">
        <f t="shared" si="4"/>
        <v>-55229</v>
      </c>
      <c r="F60" s="171"/>
      <c r="G60" s="171">
        <f t="shared" si="5"/>
        <v>-55229</v>
      </c>
      <c r="H60" s="172">
        <f t="shared" si="6"/>
        <v>-9.6852747964397395E-3</v>
      </c>
      <c r="I60" s="337"/>
      <c r="J60" s="168"/>
      <c r="K60" s="168"/>
      <c r="M60" s="359">
        <f t="shared" si="7"/>
        <v>-2.5214116143170195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490">
        <f>SUM(C25:C60)</f>
        <v>1957292</v>
      </c>
      <c r="D61" s="490">
        <f>SUM(D25:D60)</f>
        <v>-503966.83052081673</v>
      </c>
      <c r="E61" s="171">
        <f t="shared" ref="E61:F61" si="8">SUM(E25:E60)</f>
        <v>1453325.1694791832</v>
      </c>
      <c r="F61" s="171">
        <f t="shared" si="8"/>
        <v>0</v>
      </c>
      <c r="G61" s="171">
        <f>SUM(G25:G60)</f>
        <v>1453325.1694791832</v>
      </c>
      <c r="H61" s="186">
        <f t="shared" si="6"/>
        <v>0.25486345280537842</v>
      </c>
      <c r="I61" s="339"/>
      <c r="J61" s="168"/>
      <c r="K61" s="168"/>
      <c r="M61" s="364">
        <f>G61/G$228</f>
        <v>66.349761207048175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I62" s="340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490">
        <f>'[45]Sch C'!D57</f>
        <v>486602</v>
      </c>
      <c r="D64" s="490">
        <f>'[45]Sch C'!F57</f>
        <v>-484102.06000000011</v>
      </c>
      <c r="E64" s="171">
        <f t="shared" ref="E64:E78" si="9">C64+D64</f>
        <v>2499.9399999998859</v>
      </c>
      <c r="F64" s="171"/>
      <c r="G64" s="171">
        <f t="shared" ref="G64:G78" si="10">E64+F64</f>
        <v>2499.9399999998859</v>
      </c>
      <c r="H64" s="172">
        <f t="shared" ref="H64:H79" si="11">IF($G$208=0,0,G64/$G$208)</f>
        <v>4.3840384353528868E-4</v>
      </c>
      <c r="I64" s="337"/>
      <c r="J64" s="190"/>
      <c r="K64" s="168"/>
      <c r="M64" s="359">
        <f t="shared" ref="M64:M79" si="12">G64/G$228</f>
        <v>0.11413166544922781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490">
        <f>'[45]Sch C'!D58</f>
        <v>52537</v>
      </c>
      <c r="D65" s="490">
        <f>'[45]Sch C'!F58</f>
        <v>170355.53000000003</v>
      </c>
      <c r="E65" s="171">
        <f t="shared" si="9"/>
        <v>222892.53000000003</v>
      </c>
      <c r="F65" s="171"/>
      <c r="G65" s="171">
        <f t="shared" si="10"/>
        <v>222892.53000000003</v>
      </c>
      <c r="H65" s="172">
        <f t="shared" si="11"/>
        <v>3.9087714844079899E-2</v>
      </c>
      <c r="I65" s="337"/>
      <c r="J65" s="190"/>
      <c r="K65" s="168"/>
      <c r="M65" s="359">
        <f t="shared" si="12"/>
        <v>10.175882487216947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490">
        <f>'[45]Sch C'!D59</f>
        <v>0</v>
      </c>
      <c r="D66" s="490">
        <f>'[45]Sch C'!F59</f>
        <v>0</v>
      </c>
      <c r="E66" s="171">
        <f t="shared" si="9"/>
        <v>0</v>
      </c>
      <c r="F66" s="171"/>
      <c r="G66" s="171">
        <f t="shared" si="10"/>
        <v>0</v>
      </c>
      <c r="H66" s="172">
        <f t="shared" si="11"/>
        <v>0</v>
      </c>
      <c r="I66" s="337"/>
      <c r="J66" s="190"/>
      <c r="K66" s="168"/>
      <c r="M66" s="359">
        <f t="shared" si="12"/>
        <v>0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490">
        <f>'[45]Sch C'!D60</f>
        <v>33125</v>
      </c>
      <c r="D67" s="490">
        <f>'[45]Sch C'!F60</f>
        <v>0</v>
      </c>
      <c r="E67" s="171">
        <f t="shared" si="9"/>
        <v>33125</v>
      </c>
      <c r="F67" s="171"/>
      <c r="G67" s="171">
        <f t="shared" si="10"/>
        <v>33125</v>
      </c>
      <c r="H67" s="172">
        <f t="shared" si="11"/>
        <v>5.8089903426110628E-3</v>
      </c>
      <c r="I67" s="337"/>
      <c r="J67" s="193"/>
      <c r="K67" s="168"/>
      <c r="M67" s="359">
        <f t="shared" si="12"/>
        <v>1.5122808619430241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490">
        <f>'[45]Sch C'!D61</f>
        <v>7860</v>
      </c>
      <c r="D68" s="490">
        <f>'[45]Sch C'!F61</f>
        <v>0</v>
      </c>
      <c r="E68" s="171">
        <f t="shared" si="9"/>
        <v>7860</v>
      </c>
      <c r="F68" s="171"/>
      <c r="G68" s="171">
        <f t="shared" si="10"/>
        <v>7860</v>
      </c>
      <c r="H68" s="172">
        <f t="shared" si="11"/>
        <v>1.3783747650693721E-3</v>
      </c>
      <c r="I68" s="337"/>
      <c r="J68" s="193"/>
      <c r="K68" s="168"/>
      <c r="M68" s="359">
        <f t="shared" si="12"/>
        <v>0.35883856829802774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490">
        <f>'[45]Sch C'!D62</f>
        <v>3139</v>
      </c>
      <c r="D69" s="490">
        <f>'[45]Sch C'!F62</f>
        <v>0</v>
      </c>
      <c r="E69" s="171">
        <f t="shared" si="9"/>
        <v>3139</v>
      </c>
      <c r="F69" s="171"/>
      <c r="G69" s="171">
        <f t="shared" si="10"/>
        <v>3139</v>
      </c>
      <c r="H69" s="172">
        <f t="shared" si="11"/>
        <v>5.5047307729678876E-4</v>
      </c>
      <c r="I69" s="337"/>
      <c r="J69" s="195"/>
      <c r="K69" s="168"/>
      <c r="M69" s="359">
        <f t="shared" si="12"/>
        <v>0.1433071585098612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490">
        <f>'[45]Sch C'!D63</f>
        <v>0</v>
      </c>
      <c r="D70" s="490">
        <f>'[45]Sch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7"/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490">
        <f>'[45]Sch C'!D64</f>
        <v>0</v>
      </c>
      <c r="D71" s="490">
        <f>'[45]Sch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490">
        <f>'[45]Sch C'!D65</f>
        <v>4421</v>
      </c>
      <c r="D72" s="490">
        <f>'[45]Sch C'!F65</f>
        <v>0</v>
      </c>
      <c r="E72" s="171">
        <f t="shared" si="9"/>
        <v>4421</v>
      </c>
      <c r="F72" s="171"/>
      <c r="G72" s="171">
        <f t="shared" si="10"/>
        <v>4421</v>
      </c>
      <c r="H72" s="172">
        <f t="shared" si="11"/>
        <v>7.7529196391497388E-4</v>
      </c>
      <c r="I72" s="337"/>
      <c r="J72" s="195"/>
      <c r="K72" s="168"/>
      <c r="M72" s="359">
        <f t="shared" si="12"/>
        <v>0.20183528122717312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490">
        <f>'[45]Sch C'!D66</f>
        <v>22897</v>
      </c>
      <c r="D73" s="490">
        <f>'[45]Sch C'!F66</f>
        <v>0</v>
      </c>
      <c r="E73" s="171">
        <f t="shared" si="9"/>
        <v>22897</v>
      </c>
      <c r="F73" s="171"/>
      <c r="G73" s="171">
        <f t="shared" si="10"/>
        <v>22897</v>
      </c>
      <c r="H73" s="172">
        <f t="shared" si="11"/>
        <v>4.0153494905589586E-3</v>
      </c>
      <c r="I73" s="337"/>
      <c r="J73" s="195"/>
      <c r="K73" s="168"/>
      <c r="M73" s="359">
        <f t="shared" si="12"/>
        <v>1.0453341855368883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490">
        <f>'[45]Sch C'!D67</f>
        <v>78724</v>
      </c>
      <c r="D74" s="490">
        <f>'[45]Sch C'!F67</f>
        <v>27337.25</v>
      </c>
      <c r="E74" s="171">
        <f t="shared" si="9"/>
        <v>106061.25</v>
      </c>
      <c r="F74" s="171"/>
      <c r="G74" s="171">
        <f t="shared" si="10"/>
        <v>106061.25</v>
      </c>
      <c r="H74" s="172">
        <f t="shared" si="11"/>
        <v>1.8599510248309664E-2</v>
      </c>
      <c r="I74" s="337"/>
      <c r="J74" s="195"/>
      <c r="K74" s="168"/>
      <c r="M74" s="359">
        <f t="shared" si="12"/>
        <v>4.8420950511322136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490">
        <f>'[45]Sch C'!D68</f>
        <v>0</v>
      </c>
      <c r="D75" s="490">
        <f>'[45]Sch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490">
        <f>'[45]Sch C'!D69</f>
        <v>6487</v>
      </c>
      <c r="D76" s="490">
        <f>'[45]Sch C'!F69</f>
        <v>0</v>
      </c>
      <c r="E76" s="171">
        <f t="shared" si="9"/>
        <v>6487</v>
      </c>
      <c r="F76" s="171"/>
      <c r="G76" s="171">
        <f t="shared" si="10"/>
        <v>6487</v>
      </c>
      <c r="H76" s="172">
        <f t="shared" si="11"/>
        <v>1.137597595547712E-3</v>
      </c>
      <c r="I76" s="337"/>
      <c r="J76" s="195"/>
      <c r="K76" s="168"/>
      <c r="M76" s="359">
        <f t="shared" si="12"/>
        <v>0.29615595325054783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490">
        <f>'[45]Sch C'!D70</f>
        <v>0</v>
      </c>
      <c r="D77" s="490">
        <f>'[45]Sch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7"/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490">
        <f>'[45]Sch C'!D71</f>
        <v>0</v>
      </c>
      <c r="D78" s="490">
        <f>'[45]Sch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7"/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490">
        <f>SUM(C64:C78)</f>
        <v>695792</v>
      </c>
      <c r="D79" s="490">
        <f>SUM(D64:D78)</f>
        <v>-286409.28000000009</v>
      </c>
      <c r="E79" s="171">
        <f t="shared" ref="E79:F79" si="13">SUM(E64:E78)</f>
        <v>409382.71999999991</v>
      </c>
      <c r="F79" s="171">
        <f t="shared" si="13"/>
        <v>0</v>
      </c>
      <c r="G79" s="171">
        <f>SUM(G64:G78)</f>
        <v>409382.71999999991</v>
      </c>
      <c r="H79" s="172">
        <f t="shared" si="11"/>
        <v>7.1791706170923716E-2</v>
      </c>
      <c r="I79" s="337"/>
      <c r="J79" s="195"/>
      <c r="K79" s="168"/>
      <c r="M79" s="359">
        <f t="shared" si="12"/>
        <v>18.689861212563912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490">
        <f>'[45]Sch C'!D75</f>
        <v>36930</v>
      </c>
      <c r="D82" s="490">
        <f>'[45]Sch C'!F75</f>
        <v>2470</v>
      </c>
      <c r="E82" s="171">
        <f t="shared" ref="E82:E92" si="14">C82+D82</f>
        <v>39400</v>
      </c>
      <c r="F82" s="171"/>
      <c r="G82" s="171">
        <f t="shared" ref="G82:G92" si="15">E82+F82</f>
        <v>39400</v>
      </c>
      <c r="H82" s="172">
        <f t="shared" ref="H82:H93" si="16">IF($G$208=0,0,G82/$G$208)</f>
        <v>6.9094103999660641E-3</v>
      </c>
      <c r="I82" s="337"/>
      <c r="J82" s="183">
        <v>1770</v>
      </c>
      <c r="K82" s="183">
        <v>1888</v>
      </c>
      <c r="M82" s="359">
        <f t="shared" ref="M82:M92" si="17">G82/G$228</f>
        <v>1.7987582176771366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490">
        <f>'[45]Sch C'!D76</f>
        <v>0</v>
      </c>
      <c r="D83" s="490">
        <f>'[45]Sch C'!F76</f>
        <v>5626</v>
      </c>
      <c r="E83" s="171">
        <f t="shared" si="14"/>
        <v>5626</v>
      </c>
      <c r="F83" s="171"/>
      <c r="G83" s="171">
        <f t="shared" si="15"/>
        <v>5626</v>
      </c>
      <c r="H83" s="172">
        <f t="shared" si="16"/>
        <v>9.8660768807637259E-4</v>
      </c>
      <c r="I83" s="337"/>
      <c r="J83" s="168"/>
      <c r="K83" s="168"/>
      <c r="M83" s="359">
        <f t="shared" si="17"/>
        <v>0.25684806428049672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490">
        <f>'[45]Sch C'!D77</f>
        <v>14373</v>
      </c>
      <c r="D84" s="490">
        <f>'[45]Sch C'!F77</f>
        <v>0</v>
      </c>
      <c r="E84" s="171">
        <f t="shared" si="14"/>
        <v>14373</v>
      </c>
      <c r="F84" s="171"/>
      <c r="G84" s="171">
        <f t="shared" si="15"/>
        <v>14373</v>
      </c>
      <c r="H84" s="172">
        <f t="shared" si="16"/>
        <v>2.520531870018077E-3</v>
      </c>
      <c r="I84" s="337"/>
      <c r="J84" s="168"/>
      <c r="K84" s="168"/>
      <c r="M84" s="359">
        <f t="shared" si="17"/>
        <v>0.65618151935719504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490">
        <f>'[45]Sch C'!D78</f>
        <v>0</v>
      </c>
      <c r="D85" s="490">
        <f>'[45]Sch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I85" s="337"/>
      <c r="J85" s="168"/>
      <c r="K85" s="168"/>
      <c r="M85" s="359">
        <f t="shared" si="17"/>
        <v>0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490">
        <f>'[45]Sch C'!D79</f>
        <v>9950</v>
      </c>
      <c r="D86" s="490">
        <f>'[45]Sch C'!F79</f>
        <v>0</v>
      </c>
      <c r="E86" s="171">
        <f t="shared" si="14"/>
        <v>9950</v>
      </c>
      <c r="F86" s="171"/>
      <c r="G86" s="171">
        <f>E86+F86</f>
        <v>9950</v>
      </c>
      <c r="H86" s="172">
        <f t="shared" si="16"/>
        <v>1.7448891746107192E-3</v>
      </c>
      <c r="I86" s="337"/>
      <c r="J86" s="168"/>
      <c r="K86" s="168"/>
      <c r="M86" s="359">
        <f t="shared" si="17"/>
        <v>0.45425493060628197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490">
        <f>'[45]Sch C'!D80</f>
        <v>16531</v>
      </c>
      <c r="D87" s="490">
        <f>'[45]Sch C'!F80</f>
        <v>0</v>
      </c>
      <c r="E87" s="171">
        <f t="shared" si="14"/>
        <v>16531</v>
      </c>
      <c r="F87" s="171"/>
      <c r="G87" s="171">
        <f t="shared" si="15"/>
        <v>16531</v>
      </c>
      <c r="H87" s="172">
        <f t="shared" si="16"/>
        <v>2.8989711503004823E-3</v>
      </c>
      <c r="I87" s="337"/>
      <c r="J87" s="168"/>
      <c r="K87" s="168"/>
      <c r="M87" s="359">
        <f t="shared" si="17"/>
        <v>0.75470233747260773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490">
        <f>'[45]Sch C'!D81</f>
        <v>9237</v>
      </c>
      <c r="D88" s="490">
        <f>'[45]Sch C'!F81</f>
        <v>0</v>
      </c>
      <c r="E88" s="171">
        <f t="shared" si="14"/>
        <v>9237</v>
      </c>
      <c r="F88" s="171"/>
      <c r="G88" s="171">
        <f t="shared" si="15"/>
        <v>9237</v>
      </c>
      <c r="H88" s="172">
        <f t="shared" si="16"/>
        <v>1.6198533975758003E-3</v>
      </c>
      <c r="I88" s="337"/>
      <c r="J88" s="168"/>
      <c r="K88" s="168"/>
      <c r="M88" s="359">
        <f t="shared" si="17"/>
        <v>0.42170379839298761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490">
        <f>'[45]Sch C'!D82</f>
        <v>5321</v>
      </c>
      <c r="D89" s="490">
        <f>'[45]Sch C'!F82</f>
        <v>0</v>
      </c>
      <c r="E89" s="171">
        <f t="shared" si="14"/>
        <v>5321</v>
      </c>
      <c r="F89" s="171"/>
      <c r="G89" s="171">
        <f t="shared" si="15"/>
        <v>5321</v>
      </c>
      <c r="H89" s="172">
        <f t="shared" si="16"/>
        <v>9.331211354878027E-4</v>
      </c>
      <c r="I89" s="337"/>
      <c r="J89" s="168"/>
      <c r="K89" s="168"/>
      <c r="M89" s="359">
        <f t="shared" si="17"/>
        <v>0.24292366691015341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490">
        <f>'[45]Sch C'!D83</f>
        <v>0</v>
      </c>
      <c r="D90" s="490">
        <f>'[45]Sch C'!F83</f>
        <v>0</v>
      </c>
      <c r="E90" s="171">
        <f t="shared" si="14"/>
        <v>0</v>
      </c>
      <c r="F90" s="171"/>
      <c r="G90" s="171">
        <f t="shared" si="15"/>
        <v>0</v>
      </c>
      <c r="H90" s="172">
        <f t="shared" si="16"/>
        <v>0</v>
      </c>
      <c r="I90" s="337"/>
      <c r="J90" s="168"/>
      <c r="K90" s="168"/>
      <c r="M90" s="359">
        <f t="shared" si="17"/>
        <v>0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490">
        <f>'[45]Sch C'!D84</f>
        <v>109804</v>
      </c>
      <c r="D91" s="490">
        <f>'[45]Sch C'!F84</f>
        <v>0</v>
      </c>
      <c r="E91" s="171">
        <f t="shared" si="14"/>
        <v>109804</v>
      </c>
      <c r="F91" s="171"/>
      <c r="G91" s="171">
        <f t="shared" si="15"/>
        <v>109804</v>
      </c>
      <c r="H91" s="172">
        <f t="shared" si="16"/>
        <v>1.925586039486989E-2</v>
      </c>
      <c r="I91" s="337"/>
      <c r="J91" s="168"/>
      <c r="K91" s="168"/>
      <c r="M91" s="359">
        <f t="shared" si="17"/>
        <v>5.0129656683710735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490">
        <f>'[45]Sch C'!D85</f>
        <v>0</v>
      </c>
      <c r="D92" s="490">
        <f>'[45]Sch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7"/>
      <c r="J92" s="168"/>
      <c r="K92" s="168"/>
      <c r="M92" s="359">
        <f t="shared" si="17"/>
        <v>0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490">
        <f>SUM(C82:C92)</f>
        <v>202146</v>
      </c>
      <c r="D93" s="490">
        <f>SUM(D82:D92)</f>
        <v>8096</v>
      </c>
      <c r="E93" s="171">
        <f t="shared" ref="E93:F93" si="18">SUM(E82:E92)</f>
        <v>210242</v>
      </c>
      <c r="F93" s="171">
        <f t="shared" si="18"/>
        <v>0</v>
      </c>
      <c r="G93" s="171">
        <f>SUM(G82:G92)</f>
        <v>210242</v>
      </c>
      <c r="H93" s="172">
        <f t="shared" si="16"/>
        <v>3.6869245210905212E-2</v>
      </c>
      <c r="I93" s="337"/>
      <c r="J93" s="168"/>
      <c r="K93" s="168"/>
      <c r="M93" s="364">
        <f>G93/G$228</f>
        <v>9.5983382030679323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490">
        <f>'[45]Sch C'!D89</f>
        <v>127019</v>
      </c>
      <c r="D96" s="490">
        <f>'[45]Sch C'!F89</f>
        <v>8496</v>
      </c>
      <c r="E96" s="171">
        <f t="shared" ref="E96:E101" si="19">C96+D96</f>
        <v>135515</v>
      </c>
      <c r="F96" s="171"/>
      <c r="G96" s="171">
        <f t="shared" ref="G96:G101" si="20">E96+F96</f>
        <v>135515</v>
      </c>
      <c r="H96" s="172">
        <f t="shared" ref="H96:H102" si="21">IF($G$208=0,0,G96/$G$208)</f>
        <v>2.3764689095213228E-2</v>
      </c>
      <c r="I96" s="337"/>
      <c r="J96" s="183">
        <v>11347</v>
      </c>
      <c r="K96" s="183">
        <v>12106</v>
      </c>
      <c r="M96" s="364">
        <f t="shared" ref="M96:M101" si="22">G96/G$228</f>
        <v>6.1867695398100802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490">
        <f>'[45]Sch C'!D90</f>
        <v>0</v>
      </c>
      <c r="D97" s="490">
        <f>'[45]Sch C'!F90</f>
        <v>19350</v>
      </c>
      <c r="E97" s="171">
        <f t="shared" si="19"/>
        <v>19350</v>
      </c>
      <c r="F97" s="171"/>
      <c r="G97" s="171">
        <f t="shared" si="20"/>
        <v>19350</v>
      </c>
      <c r="H97" s="172">
        <f t="shared" si="21"/>
        <v>3.3933271888158209E-3</v>
      </c>
      <c r="I97" s="337"/>
      <c r="J97" s="168"/>
      <c r="K97" s="168"/>
      <c r="M97" s="364">
        <f t="shared" si="22"/>
        <v>0.88340029218407601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490">
        <f>'[45]Sch C'!D91</f>
        <v>28230</v>
      </c>
      <c r="D98" s="490">
        <f>'[45]Sch C'!F91</f>
        <v>0</v>
      </c>
      <c r="E98" s="171">
        <f t="shared" si="19"/>
        <v>28230</v>
      </c>
      <c r="F98" s="171"/>
      <c r="G98" s="171">
        <f t="shared" si="20"/>
        <v>28230</v>
      </c>
      <c r="H98" s="172">
        <f t="shared" si="21"/>
        <v>4.950575015001066E-3</v>
      </c>
      <c r="I98" s="337"/>
      <c r="J98" s="168"/>
      <c r="K98" s="168"/>
      <c r="M98" s="364">
        <f t="shared" si="22"/>
        <v>1.2888056975894813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490">
        <f>'[45]Sch C'!D92</f>
        <v>135073</v>
      </c>
      <c r="D99" s="490">
        <f>'[45]Sch C'!F92</f>
        <v>0</v>
      </c>
      <c r="E99" s="171">
        <f t="shared" si="19"/>
        <v>135073</v>
      </c>
      <c r="F99" s="171"/>
      <c r="G99" s="171">
        <f t="shared" si="20"/>
        <v>135073</v>
      </c>
      <c r="H99" s="172">
        <f t="shared" si="21"/>
        <v>2.3687177435396351E-2</v>
      </c>
      <c r="I99" s="337"/>
      <c r="J99" s="168"/>
      <c r="K99" s="168"/>
      <c r="M99" s="364">
        <f t="shared" si="22"/>
        <v>6.1665905770635501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490">
        <f>'[45]Sch C'!D93</f>
        <v>10465</v>
      </c>
      <c r="D100" s="490">
        <f>'[45]Sch C'!F93</f>
        <v>0</v>
      </c>
      <c r="E100" s="171">
        <f t="shared" si="19"/>
        <v>10465</v>
      </c>
      <c r="F100" s="171"/>
      <c r="G100" s="171">
        <f t="shared" si="20"/>
        <v>10465</v>
      </c>
      <c r="H100" s="172">
        <f t="shared" si="21"/>
        <v>1.8352025338996157E-3</v>
      </c>
      <c r="I100" s="337"/>
      <c r="J100" s="168"/>
      <c r="K100" s="168"/>
      <c r="M100" s="364">
        <f t="shared" si="22"/>
        <v>0.47776661796932068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490">
        <f>'[45]Sch C'!D94</f>
        <v>0</v>
      </c>
      <c r="D101" s="490">
        <f>'[45]Sch C'!F94</f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I101" s="337"/>
      <c r="J101" s="168"/>
      <c r="K101" s="168"/>
      <c r="M101" s="364">
        <f t="shared" si="22"/>
        <v>0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490">
        <f>SUM(C96:C101)</f>
        <v>300787</v>
      </c>
      <c r="D102" s="490">
        <f>SUM(D96:D101)</f>
        <v>27846</v>
      </c>
      <c r="E102" s="171">
        <f t="shared" ref="E102:F102" si="23">SUM(E96:E101)</f>
        <v>328633</v>
      </c>
      <c r="F102" s="171">
        <f t="shared" si="23"/>
        <v>0</v>
      </c>
      <c r="G102" s="171">
        <f>SUM(G96:G101)</f>
        <v>328633</v>
      </c>
      <c r="H102" s="172">
        <f t="shared" si="21"/>
        <v>5.763097126832608E-2</v>
      </c>
      <c r="I102" s="337"/>
      <c r="J102" s="168"/>
      <c r="K102" s="168"/>
      <c r="M102" s="364">
        <f>G102/G$228</f>
        <v>15.003332724616508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490">
        <f>'[45]Sch C'!D98</f>
        <v>0</v>
      </c>
      <c r="D105" s="490">
        <f>'[45]Sch C'!F98</f>
        <v>0</v>
      </c>
      <c r="E105" s="171">
        <f t="shared" ref="E105:E110" si="24">C105+D105</f>
        <v>0</v>
      </c>
      <c r="F105" s="171"/>
      <c r="G105" s="171">
        <f t="shared" ref="G105:G110" si="25">E105+F105</f>
        <v>0</v>
      </c>
      <c r="H105" s="172">
        <f t="shared" ref="H105:H111" si="26">IF($G$208=0,0,G105/$G$208)</f>
        <v>0</v>
      </c>
      <c r="I105" s="337"/>
      <c r="J105" s="183">
        <v>0</v>
      </c>
      <c r="K105" s="183">
        <v>0</v>
      </c>
      <c r="M105" s="364">
        <f t="shared" ref="M105:M110" si="27">G105/G$228</f>
        <v>0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490">
        <f>'[45]Sch C'!D99</f>
        <v>0</v>
      </c>
      <c r="D106" s="490">
        <f>'[45]Sch C'!F99</f>
        <v>0</v>
      </c>
      <c r="E106" s="171">
        <f t="shared" si="24"/>
        <v>0</v>
      </c>
      <c r="F106" s="171"/>
      <c r="G106" s="171">
        <f t="shared" si="25"/>
        <v>0</v>
      </c>
      <c r="H106" s="172">
        <f t="shared" si="26"/>
        <v>0</v>
      </c>
      <c r="I106" s="337"/>
      <c r="J106" s="168"/>
      <c r="K106" s="168"/>
      <c r="M106" s="364">
        <f t="shared" si="27"/>
        <v>0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490">
        <f>'[45]Sch C'!D100</f>
        <v>652</v>
      </c>
      <c r="D107" s="490">
        <f>'[45]Sch C'!F100</f>
        <v>0</v>
      </c>
      <c r="E107" s="171">
        <f t="shared" si="24"/>
        <v>652</v>
      </c>
      <c r="F107" s="171"/>
      <c r="G107" s="171">
        <f t="shared" si="25"/>
        <v>652</v>
      </c>
      <c r="H107" s="172">
        <f t="shared" si="26"/>
        <v>1.1433846651720491E-4</v>
      </c>
      <c r="I107" s="337"/>
      <c r="J107" s="168"/>
      <c r="K107" s="168"/>
      <c r="M107" s="364">
        <f t="shared" si="27"/>
        <v>2.9766252739225712E-2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490">
        <f>'[45]Sch C'!D101</f>
        <v>55689</v>
      </c>
      <c r="D108" s="490">
        <f>'[45]Sch C'!F101</f>
        <v>0</v>
      </c>
      <c r="E108" s="171">
        <f t="shared" si="24"/>
        <v>55689</v>
      </c>
      <c r="F108" s="171"/>
      <c r="G108" s="171">
        <f t="shared" si="25"/>
        <v>55689</v>
      </c>
      <c r="H108" s="172">
        <f t="shared" si="26"/>
        <v>9.7659430396880749E-3</v>
      </c>
      <c r="I108" s="337"/>
      <c r="J108" s="168"/>
      <c r="K108" s="168"/>
      <c r="M108" s="364">
        <f t="shared" si="27"/>
        <v>2.5424123447772096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490">
        <f>'[45]Sch C'!D102</f>
        <v>355</v>
      </c>
      <c r="D109" s="490">
        <f>'[45]Sch C'!F102</f>
        <v>0</v>
      </c>
      <c r="E109" s="171">
        <f t="shared" si="24"/>
        <v>355</v>
      </c>
      <c r="F109" s="171"/>
      <c r="G109" s="171">
        <f t="shared" si="25"/>
        <v>355</v>
      </c>
      <c r="H109" s="172">
        <f t="shared" si="26"/>
        <v>6.2254839898171388E-5</v>
      </c>
      <c r="I109" s="337"/>
      <c r="J109" s="168"/>
      <c r="K109" s="168"/>
      <c r="M109" s="364">
        <f t="shared" si="27"/>
        <v>1.6207085463842221E-2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490">
        <f>'[45]Sch C'!D103</f>
        <v>0</v>
      </c>
      <c r="D110" s="490">
        <f>'[45]Sch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7"/>
      <c r="J110" s="168"/>
      <c r="K110" s="168"/>
      <c r="M110" s="364">
        <f t="shared" si="27"/>
        <v>0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490">
        <f>SUM(C105:C110)</f>
        <v>56696</v>
      </c>
      <c r="D111" s="490">
        <f>SUM(D105:D110)</f>
        <v>0</v>
      </c>
      <c r="E111" s="171">
        <f t="shared" ref="E111:F111" si="28">SUM(E105:E110)</f>
        <v>56696</v>
      </c>
      <c r="F111" s="171">
        <f t="shared" si="28"/>
        <v>0</v>
      </c>
      <c r="G111" s="171">
        <f>SUM(G105:G110)</f>
        <v>56696</v>
      </c>
      <c r="H111" s="172">
        <f t="shared" si="26"/>
        <v>9.9425363461034515E-3</v>
      </c>
      <c r="I111" s="337"/>
      <c r="J111" s="168"/>
      <c r="K111" s="168"/>
      <c r="M111" s="364">
        <f>G111/G$228</f>
        <v>2.5883856829802774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490">
        <f>'[45]Sch C'!D115</f>
        <v>0</v>
      </c>
      <c r="D114" s="490">
        <f>'[45]Sch C'!F115</f>
        <v>0</v>
      </c>
      <c r="E114" s="171">
        <f t="shared" ref="E114:E118" si="29">C114+D114</f>
        <v>0</v>
      </c>
      <c r="F114" s="171"/>
      <c r="G114" s="171">
        <f>E114+F114</f>
        <v>0</v>
      </c>
      <c r="H114" s="172">
        <f t="shared" ref="H114:H119" si="30">IF($G$208=0,0,G114/$G$208)</f>
        <v>0</v>
      </c>
      <c r="I114" s="337"/>
      <c r="J114" s="183">
        <v>0</v>
      </c>
      <c r="K114" s="183">
        <v>0</v>
      </c>
      <c r="M114" s="364">
        <f t="shared" ref="M114:M119" si="31">G114/G$228</f>
        <v>0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490">
        <f>'[45]Sch C'!D116</f>
        <v>0</v>
      </c>
      <c r="D115" s="490">
        <f>'[45]Sch C'!F116</f>
        <v>0</v>
      </c>
      <c r="E115" s="171">
        <f t="shared" si="29"/>
        <v>0</v>
      </c>
      <c r="F115" s="171"/>
      <c r="G115" s="171">
        <f>E115+F115</f>
        <v>0</v>
      </c>
      <c r="H115" s="172">
        <f t="shared" si="30"/>
        <v>0</v>
      </c>
      <c r="I115" s="337"/>
      <c r="J115" s="168"/>
      <c r="K115" s="168"/>
      <c r="M115" s="364">
        <f t="shared" si="31"/>
        <v>0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490">
        <f>'[45]Sch C'!D117</f>
        <v>3407</v>
      </c>
      <c r="D116" s="490">
        <f>'[45]Sch C'!F117</f>
        <v>0</v>
      </c>
      <c r="E116" s="171">
        <f t="shared" si="29"/>
        <v>3407</v>
      </c>
      <c r="F116" s="171"/>
      <c r="G116" s="171">
        <f>E116+F116</f>
        <v>3407</v>
      </c>
      <c r="H116" s="172">
        <f t="shared" si="30"/>
        <v>5.9747109727625327E-4</v>
      </c>
      <c r="I116" s="337"/>
      <c r="J116" s="168"/>
      <c r="K116" s="168"/>
      <c r="M116" s="364">
        <f t="shared" si="31"/>
        <v>0.15554236669101534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490">
        <f>'[45]Sch C'!D118</f>
        <v>84638</v>
      </c>
      <c r="D117" s="490">
        <f>'[45]Sch C'!F118</f>
        <v>0</v>
      </c>
      <c r="E117" s="171">
        <f t="shared" si="29"/>
        <v>84638</v>
      </c>
      <c r="F117" s="171"/>
      <c r="G117" s="171">
        <f>E117+F117</f>
        <v>84638</v>
      </c>
      <c r="H117" s="172">
        <f t="shared" si="30"/>
        <v>1.4842606026201211E-2</v>
      </c>
      <c r="I117" s="337"/>
      <c r="J117" s="168"/>
      <c r="K117" s="168"/>
      <c r="M117" s="364">
        <f t="shared" si="31"/>
        <v>3.8640430971512054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490">
        <f>'[45]Sch C'!D119</f>
        <v>0</v>
      </c>
      <c r="D118" s="490">
        <f>'[45]Sch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337"/>
      <c r="J118" s="168"/>
      <c r="K118" s="168"/>
      <c r="M118" s="364">
        <f t="shared" si="31"/>
        <v>0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490">
        <f>SUM(C114:C118)</f>
        <v>88045</v>
      </c>
      <c r="D119" s="490">
        <f>SUM(D114:D118)</f>
        <v>0</v>
      </c>
      <c r="E119" s="171">
        <f t="shared" ref="E119:F119" si="32">SUM(E114:E118)</f>
        <v>88045</v>
      </c>
      <c r="F119" s="171">
        <f t="shared" si="32"/>
        <v>0</v>
      </c>
      <c r="G119" s="171">
        <f>SUM(G114:G118)</f>
        <v>88045</v>
      </c>
      <c r="H119" s="172">
        <f t="shared" si="30"/>
        <v>1.5440077123477464E-2</v>
      </c>
      <c r="I119" s="337"/>
      <c r="J119" s="168"/>
      <c r="K119" s="168"/>
      <c r="M119" s="364">
        <f t="shared" si="31"/>
        <v>4.0195854638422208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1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490">
        <f>'[45]Sch C'!D124</f>
        <v>0</v>
      </c>
      <c r="D123" s="490">
        <f>'[45]Sch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7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0.77002560279620991</v>
      </c>
    </row>
    <row r="124" spans="1:14" s="167" customFormat="1">
      <c r="B124" s="163" t="s">
        <v>194</v>
      </c>
      <c r="C124" s="490">
        <f>'[45]Sch C'!D125</f>
        <v>162025</v>
      </c>
      <c r="D124" s="490">
        <f>'[45]Sch C'!F125</f>
        <v>10838</v>
      </c>
      <c r="E124" s="171">
        <f t="shared" si="33"/>
        <v>172863</v>
      </c>
      <c r="F124" s="171"/>
      <c r="G124" s="171">
        <f>E124+F124</f>
        <v>172863</v>
      </c>
      <c r="H124" s="172">
        <f>IF($G$208=0,0,G124/$G$208)</f>
        <v>3.0314248983993243E-2</v>
      </c>
      <c r="I124" s="337"/>
      <c r="J124" s="183">
        <v>3650</v>
      </c>
      <c r="K124" s="183">
        <v>3894</v>
      </c>
      <c r="M124" s="364">
        <f t="shared" si="34"/>
        <v>7.8918462381300216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490">
        <f>'[45]Sch C'!D126</f>
        <v>55279</v>
      </c>
      <c r="D125" s="490">
        <f>'[45]Sch C'!F126</f>
        <v>3698</v>
      </c>
      <c r="E125" s="171">
        <f t="shared" si="33"/>
        <v>58977</v>
      </c>
      <c r="F125" s="171"/>
      <c r="G125" s="171">
        <f>E125+F125</f>
        <v>58977</v>
      </c>
      <c r="H125" s="172">
        <f>IF($G$208=0,0,G125/$G$208)</f>
        <v>1.0342545613167477E-2</v>
      </c>
      <c r="I125" s="337"/>
      <c r="J125" s="183">
        <v>1734</v>
      </c>
      <c r="K125" s="183">
        <v>1850</v>
      </c>
      <c r="M125" s="364">
        <f t="shared" si="34"/>
        <v>2.6925219138056975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490">
        <f>'[45]Sch C'!D127</f>
        <v>0</v>
      </c>
      <c r="D126" s="490">
        <f>'[45]Sch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7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490">
        <f>'[45]Sch C'!D128</f>
        <v>77631</v>
      </c>
      <c r="D127" s="490">
        <f>'[45]Sch C'!F128</f>
        <v>5193</v>
      </c>
      <c r="E127" s="171">
        <f t="shared" si="33"/>
        <v>82824</v>
      </c>
      <c r="F127" s="171"/>
      <c r="G127" s="171">
        <f>E127+F127</f>
        <v>82824</v>
      </c>
      <c r="H127" s="172">
        <f>IF($G$208=0,0,G127/$G$208)</f>
        <v>1.4524492562608866E-2</v>
      </c>
      <c r="I127" s="337"/>
      <c r="J127" s="183">
        <v>5138</v>
      </c>
      <c r="K127" s="183">
        <v>5482</v>
      </c>
      <c r="M127" s="364">
        <f t="shared" si="34"/>
        <v>3.7812271731190652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205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490">
        <f>'[45]Sch C'!D130</f>
        <v>0</v>
      </c>
      <c r="D129" s="490">
        <f>'[45]Sch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7"/>
      <c r="J129" s="204"/>
      <c r="K129" s="204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490">
        <f>'[45]Sch C'!D131</f>
        <v>0</v>
      </c>
      <c r="D130" s="490">
        <f>'[45]Sch C'!F131</f>
        <v>24683</v>
      </c>
      <c r="E130" s="171">
        <f t="shared" si="35"/>
        <v>24683</v>
      </c>
      <c r="F130" s="171"/>
      <c r="G130" s="171">
        <f>E130+F130</f>
        <v>24683</v>
      </c>
      <c r="H130" s="172">
        <f>IF($G$208=0,0,G130/$G$208)</f>
        <v>4.3285527132579278E-3</v>
      </c>
      <c r="I130" s="337"/>
      <c r="J130" s="204"/>
      <c r="K130" s="204"/>
      <c r="M130" s="364">
        <f t="shared" si="34"/>
        <v>1.126871804236669</v>
      </c>
      <c r="N130" s="359">
        <f>SUMMARY!J133</f>
        <v>1.0792348507966931</v>
      </c>
    </row>
    <row r="131" spans="1:14" s="167" customFormat="1">
      <c r="B131" s="163" t="s">
        <v>195</v>
      </c>
      <c r="C131" s="490">
        <f>'[45]Sch C'!D132</f>
        <v>0</v>
      </c>
      <c r="D131" s="490">
        <f>'[45]Sch C'!F132</f>
        <v>8422</v>
      </c>
      <c r="E131" s="171">
        <f t="shared" si="35"/>
        <v>8422</v>
      </c>
      <c r="F131" s="171"/>
      <c r="G131" s="171">
        <f>E131+F131</f>
        <v>8422</v>
      </c>
      <c r="H131" s="172">
        <f>IF($G$208=0,0,G131/$G$208)</f>
        <v>1.4769303144292942E-3</v>
      </c>
      <c r="I131" s="337"/>
      <c r="J131" s="168"/>
      <c r="K131" s="168"/>
      <c r="M131" s="364">
        <f t="shared" si="34"/>
        <v>0.38449598246895544</v>
      </c>
      <c r="N131" s="359">
        <f>SUMMARY!J134</f>
        <v>8.2765628075518377E-2</v>
      </c>
    </row>
    <row r="132" spans="1:14" s="167" customFormat="1">
      <c r="B132" s="163" t="s">
        <v>196</v>
      </c>
      <c r="C132" s="490">
        <f>'[45]Sch C'!D133</f>
        <v>0</v>
      </c>
      <c r="D132" s="490">
        <f>'[45]Sch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490">
        <f>'[45]Sch C'!D134</f>
        <v>0</v>
      </c>
      <c r="D133" s="490">
        <f>'[45]Sch C'!F134</f>
        <v>11827</v>
      </c>
      <c r="E133" s="171">
        <f t="shared" si="35"/>
        <v>11827</v>
      </c>
      <c r="F133" s="171"/>
      <c r="G133" s="171">
        <f>E133+F133</f>
        <v>11827</v>
      </c>
      <c r="H133" s="172">
        <f>IF($G$208=0,0,G133/$G$208)</f>
        <v>2.0740506802131636E-3</v>
      </c>
      <c r="I133" s="337"/>
      <c r="J133" s="168"/>
      <c r="K133" s="168"/>
      <c r="M133" s="364">
        <f t="shared" si="34"/>
        <v>0.53994704163623086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490">
        <f>'[45]Sch C'!D136</f>
        <v>331794</v>
      </c>
      <c r="D135" s="490">
        <f>'[45]Sch C'!F136</f>
        <v>22194</v>
      </c>
      <c r="E135" s="171">
        <f t="shared" ref="E135:E138" si="36">C135+D135</f>
        <v>353988</v>
      </c>
      <c r="F135" s="171"/>
      <c r="G135" s="171">
        <f>E135+F135</f>
        <v>353988</v>
      </c>
      <c r="H135" s="172">
        <f>IF($G$208=0,0,G135/$G$208)</f>
        <v>6.2077369763025053E-2</v>
      </c>
      <c r="I135" s="337"/>
      <c r="J135" s="183">
        <v>11823</v>
      </c>
      <c r="K135" s="183">
        <v>12614</v>
      </c>
      <c r="M135" s="364">
        <f t="shared" si="34"/>
        <v>16.160883856829802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490">
        <f>'[45]Sch C'!D137</f>
        <v>222098</v>
      </c>
      <c r="D136" s="490">
        <f>'[45]Sch C'!F137</f>
        <v>14856</v>
      </c>
      <c r="E136" s="171">
        <f t="shared" si="36"/>
        <v>236954</v>
      </c>
      <c r="F136" s="171"/>
      <c r="G136" s="171">
        <f>E136+F136</f>
        <v>236954</v>
      </c>
      <c r="H136" s="172">
        <f>IF($G$208=0,0,G136/$G$208)</f>
        <v>4.1553615023186767E-2</v>
      </c>
      <c r="I136" s="337"/>
      <c r="J136" s="183">
        <v>10504</v>
      </c>
      <c r="K136" s="183">
        <v>11207</v>
      </c>
      <c r="M136" s="364">
        <f t="shared" si="34"/>
        <v>10.817841490138788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490">
        <f>'[45]Sch C'!D138</f>
        <v>518329</v>
      </c>
      <c r="D137" s="490">
        <f>'[45]Sch C'!F138</f>
        <v>34671</v>
      </c>
      <c r="E137" s="171">
        <f t="shared" si="36"/>
        <v>553000</v>
      </c>
      <c r="F137" s="171"/>
      <c r="G137" s="171">
        <f>E137+F137</f>
        <v>553000</v>
      </c>
      <c r="H137" s="172">
        <f>IF($G$208=0,0,G137/$G$208)</f>
        <v>9.6977257644193737E-2</v>
      </c>
      <c r="I137" s="337"/>
      <c r="J137" s="183">
        <v>39401</v>
      </c>
      <c r="K137" s="183">
        <v>42037</v>
      </c>
      <c r="M137" s="364">
        <f t="shared" si="34"/>
        <v>25.246530314097882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490">
        <f>'[45]Sch C'!D139</f>
        <v>34058</v>
      </c>
      <c r="D138" s="490">
        <f>'[45]Sch C'!F139</f>
        <v>2278</v>
      </c>
      <c r="E138" s="171">
        <f t="shared" si="36"/>
        <v>36336</v>
      </c>
      <c r="F138" s="171"/>
      <c r="G138" s="171">
        <f>E138+F138</f>
        <v>36336</v>
      </c>
      <c r="H138" s="172">
        <f>IF($G$208=0,0,G138/$G$208)</f>
        <v>6.3720897536336781E-3</v>
      </c>
      <c r="I138" s="337"/>
      <c r="J138" s="183">
        <v>1166</v>
      </c>
      <c r="K138" s="183">
        <v>1244</v>
      </c>
      <c r="M138" s="364">
        <f t="shared" si="34"/>
        <v>1.6588750913075236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7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490">
        <f>'[45]Sch C'!D141</f>
        <v>0</v>
      </c>
      <c r="D140" s="490">
        <f>'[45]Sch C'!F141</f>
        <v>50547</v>
      </c>
      <c r="E140" s="171">
        <f t="shared" ref="E140:E143" si="37">C140+D140</f>
        <v>50547</v>
      </c>
      <c r="F140" s="171"/>
      <c r="G140" s="171">
        <f>E140+F140</f>
        <v>50547</v>
      </c>
      <c r="H140" s="172">
        <f>IF($G$208=0,0,G140/$G$208)</f>
        <v>8.8642123727686456E-3</v>
      </c>
      <c r="I140" s="337"/>
      <c r="J140" s="168"/>
      <c r="K140" s="168"/>
      <c r="M140" s="364">
        <f t="shared" si="34"/>
        <v>2.3076607012417822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490">
        <f>'[45]Sch C'!D142</f>
        <v>0</v>
      </c>
      <c r="D141" s="490">
        <f>'[45]Sch C'!F142</f>
        <v>33835</v>
      </c>
      <c r="E141" s="171">
        <f t="shared" si="37"/>
        <v>33835</v>
      </c>
      <c r="F141" s="171"/>
      <c r="G141" s="171">
        <f>E141+F141</f>
        <v>33835</v>
      </c>
      <c r="H141" s="172">
        <f>IF($G$208=0,0,G141/$G$208)</f>
        <v>5.9335000224074053E-3</v>
      </c>
      <c r="I141" s="337"/>
      <c r="J141" s="168"/>
      <c r="K141" s="168"/>
      <c r="M141" s="364">
        <f t="shared" si="34"/>
        <v>1.5446950328707085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490">
        <f>'[45]Sch C'!D143</f>
        <v>0</v>
      </c>
      <c r="D142" s="490">
        <f>'[45]Sch C'!F143</f>
        <v>78964</v>
      </c>
      <c r="E142" s="171">
        <f t="shared" si="37"/>
        <v>78964</v>
      </c>
      <c r="F142" s="171"/>
      <c r="G142" s="171">
        <f>E142+F142</f>
        <v>78964</v>
      </c>
      <c r="H142" s="172">
        <f>IF($G$208=0,0,G142/$G$208)</f>
        <v>1.3847580782307621E-2</v>
      </c>
      <c r="I142" s="337"/>
      <c r="J142" s="168"/>
      <c r="K142" s="168"/>
      <c r="M142" s="364">
        <f t="shared" si="34"/>
        <v>3.6050036523009497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490">
        <f>'[45]Sch C'!D144</f>
        <v>0</v>
      </c>
      <c r="D143" s="490">
        <f>'[45]Sch C'!F144</f>
        <v>5189</v>
      </c>
      <c r="E143" s="171">
        <f t="shared" si="37"/>
        <v>5189</v>
      </c>
      <c r="F143" s="171"/>
      <c r="G143" s="171">
        <f>E143+F143</f>
        <v>5189</v>
      </c>
      <c r="H143" s="172">
        <f>IF($G$208=0,0,G143/$G$208)</f>
        <v>9.0997285699045451E-4</v>
      </c>
      <c r="I143" s="337"/>
      <c r="J143" s="168"/>
      <c r="K143" s="168"/>
      <c r="M143" s="364">
        <f t="shared" si="34"/>
        <v>0.23689737034331629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7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490">
        <f>'[45]Sch C'!D146</f>
        <v>78600</v>
      </c>
      <c r="D145" s="490">
        <f>'[45]Sch C'!F146</f>
        <v>0</v>
      </c>
      <c r="E145" s="171">
        <f t="shared" ref="E145:E153" si="38">C145+D145</f>
        <v>78600</v>
      </c>
      <c r="F145" s="171"/>
      <c r="G145" s="171">
        <f t="shared" ref="G145:G153" si="39">E145+F145</f>
        <v>78600</v>
      </c>
      <c r="H145" s="172">
        <f t="shared" ref="H145:H153" si="40">IF($G$208=0,0,G145/$G$208)</f>
        <v>1.3783747650693722E-2</v>
      </c>
      <c r="I145" s="337"/>
      <c r="J145" s="183">
        <v>0</v>
      </c>
      <c r="K145" s="183">
        <v>0</v>
      </c>
      <c r="M145" s="364">
        <f t="shared" si="34"/>
        <v>3.5883856829802774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490">
        <f>'[45]Sch C'!D147</f>
        <v>0</v>
      </c>
      <c r="D146" s="490">
        <f>'[45]Sch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337"/>
      <c r="J146" s="183">
        <v>0</v>
      </c>
      <c r="K146" s="183">
        <v>0</v>
      </c>
      <c r="M146" s="364">
        <f t="shared" si="34"/>
        <v>0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490">
        <f>'[45]Sch C'!D148</f>
        <v>0</v>
      </c>
      <c r="D147" s="490">
        <f>'[45]Sch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7"/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490">
        <f>'[45]Sch C'!D149</f>
        <v>0</v>
      </c>
      <c r="D148" s="490">
        <f>'[45]Sch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7"/>
      <c r="J148" s="183">
        <v>0</v>
      </c>
      <c r="K148" s="183">
        <v>0</v>
      </c>
      <c r="M148" s="364">
        <f t="shared" si="34"/>
        <v>0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490">
        <f>'[45]Sch C'!D150</f>
        <v>11575</v>
      </c>
      <c r="D149" s="490">
        <f>'[45]Sch C'!F150</f>
        <v>0</v>
      </c>
      <c r="E149" s="171">
        <f t="shared" si="38"/>
        <v>11575</v>
      </c>
      <c r="F149" s="171"/>
      <c r="G149" s="171">
        <f t="shared" si="39"/>
        <v>11575</v>
      </c>
      <c r="H149" s="172">
        <f t="shared" si="40"/>
        <v>2.0298585121727715E-3</v>
      </c>
      <c r="I149" s="337"/>
      <c r="J149" s="183">
        <v>0</v>
      </c>
      <c r="K149" s="183">
        <v>0</v>
      </c>
      <c r="M149" s="364">
        <f t="shared" si="34"/>
        <v>0.5284422936449964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490">
        <f>'[45]Sch C'!D151</f>
        <v>104818</v>
      </c>
      <c r="D150" s="490">
        <f>'[45]Sch C'!F151</f>
        <v>0</v>
      </c>
      <c r="E150" s="171">
        <f t="shared" si="38"/>
        <v>104818</v>
      </c>
      <c r="F150" s="171"/>
      <c r="G150" s="171">
        <f t="shared" si="39"/>
        <v>104818</v>
      </c>
      <c r="H150" s="172">
        <f t="shared" si="40"/>
        <v>1.8381486784356419E-2</v>
      </c>
      <c r="I150" s="337"/>
      <c r="J150" s="168"/>
      <c r="K150" s="168"/>
      <c r="M150" s="364">
        <f t="shared" si="34"/>
        <v>4.7853360116873631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490">
        <f>'[45]Sch C'!D152</f>
        <v>2879</v>
      </c>
      <c r="D151" s="490">
        <f>'[45]Sch C'!F152</f>
        <v>0</v>
      </c>
      <c r="E151" s="171">
        <f t="shared" si="38"/>
        <v>2879</v>
      </c>
      <c r="F151" s="171"/>
      <c r="G151" s="171">
        <f t="shared" si="39"/>
        <v>2879</v>
      </c>
      <c r="H151" s="172">
        <f t="shared" si="40"/>
        <v>5.0487798328686039E-4</v>
      </c>
      <c r="I151" s="337"/>
      <c r="J151" s="168"/>
      <c r="K151" s="168"/>
      <c r="M151" s="364">
        <f t="shared" si="34"/>
        <v>0.13143718042366692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490">
        <f>'[45]Sch C'!D153</f>
        <v>0</v>
      </c>
      <c r="D152" s="490">
        <f>'[45]Sch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7"/>
      <c r="J152" s="168"/>
      <c r="K152" s="168"/>
      <c r="M152" s="364">
        <f t="shared" si="34"/>
        <v>0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490">
        <f>'[45]Sch C'!D154</f>
        <v>0</v>
      </c>
      <c r="D153" s="490">
        <f>'[45]Sch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210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490">
        <f>'[45]Sch C'!D156</f>
        <v>0</v>
      </c>
      <c r="D155" s="490">
        <f>'[45]Sch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490">
        <f>'[45]Sch C'!D157</f>
        <v>0</v>
      </c>
      <c r="D156" s="490">
        <f>'[45]Sch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490">
        <f>'[45]Sch C'!D158</f>
        <v>0</v>
      </c>
      <c r="D157" s="490">
        <f>'[45]Sch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7"/>
      <c r="J157" s="168"/>
      <c r="K157" s="168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490">
        <f>'[45]Sch C'!D159</f>
        <v>0</v>
      </c>
      <c r="D158" s="490">
        <f>'[45]Sch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490">
        <f>'[45]Sch C'!D160</f>
        <v>0</v>
      </c>
      <c r="D159" s="490">
        <f>'[45]Sch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7"/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490">
        <f>'[45]Sch C'!D161</f>
        <v>1426</v>
      </c>
      <c r="D160" s="490">
        <f>'[45]Sch C'!F161</f>
        <v>0</v>
      </c>
      <c r="E160" s="171">
        <f t="shared" si="41"/>
        <v>1426</v>
      </c>
      <c r="F160" s="171"/>
      <c r="G160" s="171">
        <f t="shared" si="42"/>
        <v>1426</v>
      </c>
      <c r="H160" s="172">
        <f t="shared" si="43"/>
        <v>2.5007155406983774E-4</v>
      </c>
      <c r="I160" s="337"/>
      <c r="J160" s="168"/>
      <c r="K160" s="168"/>
      <c r="M160" s="364">
        <f t="shared" si="34"/>
        <v>6.5102264426588757E-2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490">
        <f>SUM(C123:C160)</f>
        <v>1600512</v>
      </c>
      <c r="D161" s="490">
        <f>SUM(D123:D160)</f>
        <v>307195</v>
      </c>
      <c r="E161" s="171">
        <f t="shared" ref="E161:F161" si="44">SUM(E123:E160)</f>
        <v>1907707</v>
      </c>
      <c r="F161" s="171">
        <f t="shared" si="44"/>
        <v>0</v>
      </c>
      <c r="G161" s="171">
        <f>SUM(G123:G160)</f>
        <v>1907707</v>
      </c>
      <c r="H161" s="172">
        <f t="shared" si="43"/>
        <v>0.33454646157076295</v>
      </c>
      <c r="I161" s="337"/>
      <c r="J161" s="168"/>
      <c r="K161" s="168"/>
      <c r="M161" s="364">
        <f>G161/G$228</f>
        <v>87.094001095690288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337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7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490">
        <f>'[45]Sch C'!D175</f>
        <v>0</v>
      </c>
      <c r="D164" s="490">
        <f>'[45]Sch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490">
        <f>'[45]Sch C'!D176</f>
        <v>0</v>
      </c>
      <c r="D165" s="490">
        <f>'[45]Sch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490">
        <f>'[45]Sch C'!D177</f>
        <v>346978</v>
      </c>
      <c r="D166" s="490">
        <f>'[45]Sch C'!F177</f>
        <v>23209</v>
      </c>
      <c r="E166" s="171">
        <f t="shared" si="45"/>
        <v>370187</v>
      </c>
      <c r="F166" s="216"/>
      <c r="G166" s="171">
        <f t="shared" si="46"/>
        <v>370187</v>
      </c>
      <c r="H166" s="172">
        <f t="shared" si="47"/>
        <v>6.4918119485589787E-2</v>
      </c>
      <c r="I166" s="343"/>
      <c r="J166" s="217">
        <v>9343</v>
      </c>
      <c r="K166" s="217">
        <v>9968</v>
      </c>
      <c r="L166" s="218"/>
      <c r="M166" s="364">
        <f t="shared" si="48"/>
        <v>16.900429145361578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490">
        <f>'[45]Sch C'!D178</f>
        <v>0</v>
      </c>
      <c r="D167" s="490">
        <f>'[45]Sch C'!F178</f>
        <v>52860</v>
      </c>
      <c r="E167" s="171">
        <f t="shared" si="45"/>
        <v>52860</v>
      </c>
      <c r="F167" s="216"/>
      <c r="G167" s="171">
        <f t="shared" si="46"/>
        <v>52860</v>
      </c>
      <c r="H167" s="172">
        <f t="shared" si="47"/>
        <v>9.2698333437108166E-3</v>
      </c>
      <c r="I167" s="344"/>
      <c r="J167" s="222"/>
      <c r="K167" s="222"/>
      <c r="L167" s="218"/>
      <c r="M167" s="364">
        <f t="shared" si="48"/>
        <v>2.4132578524470416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490">
        <f>'[45]Sch C'!D179</f>
        <v>49526</v>
      </c>
      <c r="D168" s="490">
        <f>'[45]Sch C'!F179</f>
        <v>3313</v>
      </c>
      <c r="E168" s="171">
        <f t="shared" si="45"/>
        <v>52839</v>
      </c>
      <c r="F168" s="216"/>
      <c r="G168" s="171">
        <f t="shared" si="46"/>
        <v>52839</v>
      </c>
      <c r="H168" s="172">
        <f t="shared" si="47"/>
        <v>9.2661506630407828E-3</v>
      </c>
      <c r="I168" s="343"/>
      <c r="J168" s="217">
        <v>1263</v>
      </c>
      <c r="K168" s="217">
        <v>1347</v>
      </c>
      <c r="L168" s="218"/>
      <c r="M168" s="364">
        <f t="shared" si="48"/>
        <v>2.412299123447772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490">
        <f>'[45]Sch C'!D180</f>
        <v>0</v>
      </c>
      <c r="D169" s="490">
        <f>'[45]Sch C'!F180</f>
        <v>7545</v>
      </c>
      <c r="E169" s="171">
        <f t="shared" si="45"/>
        <v>7545</v>
      </c>
      <c r="F169" s="216"/>
      <c r="G169" s="171">
        <f t="shared" si="46"/>
        <v>7545</v>
      </c>
      <c r="H169" s="172">
        <f t="shared" si="47"/>
        <v>1.3231345550188821E-3</v>
      </c>
      <c r="I169" s="344"/>
      <c r="J169" s="222"/>
      <c r="K169" s="222"/>
      <c r="L169" s="218"/>
      <c r="M169" s="364">
        <f t="shared" si="48"/>
        <v>0.34445763330898466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490">
        <f>'[45]Sch C'!D181</f>
        <v>0</v>
      </c>
      <c r="D170" s="490">
        <f>'[45]Sch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3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490">
        <f>'[45]Sch C'!D182</f>
        <v>0</v>
      </c>
      <c r="D171" s="490">
        <f>'[45]Sch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490">
        <f>'[45]Sch C'!D183</f>
        <v>181170</v>
      </c>
      <c r="D172" s="490">
        <f>'[45]Sch C'!F183</f>
        <v>12118</v>
      </c>
      <c r="E172" s="171">
        <f t="shared" si="45"/>
        <v>193288</v>
      </c>
      <c r="F172" s="216"/>
      <c r="G172" s="171">
        <f t="shared" si="46"/>
        <v>193288</v>
      </c>
      <c r="H172" s="172">
        <f t="shared" si="47"/>
        <v>3.3896094349965496E-2</v>
      </c>
      <c r="I172" s="343"/>
      <c r="J172" s="217">
        <v>4833</v>
      </c>
      <c r="K172" s="217">
        <v>5156</v>
      </c>
      <c r="L172" s="218"/>
      <c r="M172" s="364">
        <f t="shared" si="48"/>
        <v>8.8243243243243246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490">
        <f>'[45]Sch C'!D184</f>
        <v>0</v>
      </c>
      <c r="D173" s="490">
        <f>'[45]Sch C'!F184</f>
        <v>27601</v>
      </c>
      <c r="E173" s="171">
        <f t="shared" si="45"/>
        <v>27601</v>
      </c>
      <c r="F173" s="216"/>
      <c r="G173" s="171">
        <f t="shared" si="46"/>
        <v>27601</v>
      </c>
      <c r="H173" s="172">
        <f t="shared" si="47"/>
        <v>4.8402699606462773E-3</v>
      </c>
      <c r="I173" s="344"/>
      <c r="J173" s="222"/>
      <c r="K173" s="222"/>
      <c r="L173" s="218"/>
      <c r="M173" s="364">
        <f t="shared" si="48"/>
        <v>1.2600894813732653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490">
        <f>'[45]Sch C'!D185</f>
        <v>0</v>
      </c>
      <c r="D174" s="490">
        <f>'[45]Sch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3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490">
        <f>'[45]Sch C'!D186</f>
        <v>0</v>
      </c>
      <c r="D175" s="490">
        <f>'[45]Sch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490">
        <f>'[45]Sch C'!D187</f>
        <v>0</v>
      </c>
      <c r="D176" s="490">
        <f>'[45]Sch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490">
        <f>'[45]Sch C'!D188</f>
        <v>1568</v>
      </c>
      <c r="D177" s="490">
        <f>'[45]Sch C'!F188</f>
        <v>0</v>
      </c>
      <c r="E177" s="171">
        <f t="shared" si="45"/>
        <v>1568</v>
      </c>
      <c r="F177" s="216"/>
      <c r="G177" s="171">
        <f t="shared" si="46"/>
        <v>1568</v>
      </c>
      <c r="H177" s="172">
        <f t="shared" si="47"/>
        <v>2.7497349002910629E-4</v>
      </c>
      <c r="I177" s="337"/>
      <c r="J177" s="223"/>
      <c r="K177" s="218"/>
      <c r="L177" s="220"/>
      <c r="M177" s="364">
        <f t="shared" si="48"/>
        <v>7.1585098612125642E-2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490">
        <f>'[45]Sch C'!D189</f>
        <v>0</v>
      </c>
      <c r="D178" s="490">
        <f>'[45]Sch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337"/>
      <c r="J178" s="223"/>
      <c r="K178" s="218"/>
      <c r="L178" s="220"/>
      <c r="M178" s="364">
        <f t="shared" si="48"/>
        <v>0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490">
        <f>'[45]Sch C'!D190</f>
        <v>0</v>
      </c>
      <c r="D179" s="490">
        <f>'[45]Sch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490">
        <f>'[45]Sch C'!D191</f>
        <v>0</v>
      </c>
      <c r="D180" s="490">
        <f>'[45]Sch C'!F191</f>
        <v>0</v>
      </c>
      <c r="E180" s="171">
        <f t="shared" si="45"/>
        <v>0</v>
      </c>
      <c r="F180" s="216"/>
      <c r="G180" s="171">
        <f t="shared" si="46"/>
        <v>0</v>
      </c>
      <c r="H180" s="172">
        <f t="shared" si="47"/>
        <v>0</v>
      </c>
      <c r="I180" s="337"/>
      <c r="J180" s="223"/>
      <c r="K180" s="218"/>
      <c r="L180" s="220"/>
      <c r="M180" s="364">
        <f t="shared" si="48"/>
        <v>0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490">
        <f>'[45]Sch C'!D192</f>
        <v>0</v>
      </c>
      <c r="D181" s="490">
        <f>'[45]Sch C'!F192</f>
        <v>0</v>
      </c>
      <c r="E181" s="171">
        <f t="shared" si="45"/>
        <v>0</v>
      </c>
      <c r="F181" s="216"/>
      <c r="G181" s="171">
        <f t="shared" si="46"/>
        <v>0</v>
      </c>
      <c r="H181" s="172">
        <f t="shared" si="47"/>
        <v>0</v>
      </c>
      <c r="I181" s="337"/>
      <c r="J181" s="223"/>
      <c r="K181" s="218"/>
      <c r="L181" s="220"/>
      <c r="M181" s="364">
        <f t="shared" si="48"/>
        <v>0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490">
        <f>'[45]Sch C'!D193</f>
        <v>0</v>
      </c>
      <c r="D182" s="490">
        <f>'[45]Sch C'!F193</f>
        <v>0</v>
      </c>
      <c r="E182" s="171">
        <f t="shared" si="45"/>
        <v>0</v>
      </c>
      <c r="F182" s="216"/>
      <c r="G182" s="171">
        <f t="shared" si="46"/>
        <v>0</v>
      </c>
      <c r="H182" s="172">
        <f t="shared" si="47"/>
        <v>0</v>
      </c>
      <c r="I182" s="337"/>
      <c r="J182" s="223"/>
      <c r="K182" s="218"/>
      <c r="L182" s="220"/>
      <c r="M182" s="364">
        <f t="shared" si="48"/>
        <v>0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490">
        <f>'[45]Sch C'!D194</f>
        <v>0</v>
      </c>
      <c r="D183" s="490">
        <f>'[45]Sch C'!F194</f>
        <v>0</v>
      </c>
      <c r="E183" s="171">
        <f t="shared" si="45"/>
        <v>0</v>
      </c>
      <c r="F183" s="216"/>
      <c r="G183" s="171">
        <f t="shared" si="46"/>
        <v>0</v>
      </c>
      <c r="H183" s="172">
        <f t="shared" si="47"/>
        <v>0</v>
      </c>
      <c r="I183" s="337"/>
      <c r="J183" s="223"/>
      <c r="K183" s="218"/>
      <c r="M183" s="364">
        <f t="shared" si="48"/>
        <v>0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490">
        <f>'[45]Sch C'!D195</f>
        <v>0</v>
      </c>
      <c r="D184" s="490">
        <f>'[45]Sch C'!F195</f>
        <v>0</v>
      </c>
      <c r="E184" s="171">
        <f t="shared" si="45"/>
        <v>0</v>
      </c>
      <c r="F184" s="216"/>
      <c r="G184" s="171">
        <f t="shared" si="46"/>
        <v>0</v>
      </c>
      <c r="H184" s="172">
        <f t="shared" si="47"/>
        <v>0</v>
      </c>
      <c r="I184" s="337"/>
      <c r="J184" s="223"/>
      <c r="K184" s="218"/>
      <c r="M184" s="364">
        <f t="shared" si="48"/>
        <v>0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490">
        <f>'[45]Sch C'!D196</f>
        <v>0</v>
      </c>
      <c r="D185" s="490">
        <f>'[45]Sch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490">
        <f>'[45]Sch C'!D197</f>
        <v>0</v>
      </c>
      <c r="D186" s="490">
        <f>'[45]Sch C'!F197</f>
        <v>0</v>
      </c>
      <c r="E186" s="171">
        <f t="shared" si="45"/>
        <v>0</v>
      </c>
      <c r="F186" s="216"/>
      <c r="G186" s="171">
        <f t="shared" si="46"/>
        <v>0</v>
      </c>
      <c r="H186" s="172">
        <f t="shared" si="47"/>
        <v>0</v>
      </c>
      <c r="I186" s="337"/>
      <c r="J186" s="223"/>
      <c r="K186" s="218"/>
      <c r="M186" s="364">
        <f t="shared" si="48"/>
        <v>0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490">
        <f>'[45]Sch C'!D198</f>
        <v>70278</v>
      </c>
      <c r="D187" s="490">
        <f>'[45]Sch C'!F198</f>
        <v>0</v>
      </c>
      <c r="E187" s="171">
        <f t="shared" si="45"/>
        <v>70278</v>
      </c>
      <c r="F187" s="216"/>
      <c r="G187" s="171">
        <f t="shared" si="46"/>
        <v>70278</v>
      </c>
      <c r="H187" s="172">
        <f t="shared" si="47"/>
        <v>1.232435391088363E-2</v>
      </c>
      <c r="I187" s="337"/>
      <c r="J187" s="223"/>
      <c r="K187" s="218"/>
      <c r="M187" s="364">
        <f t="shared" si="48"/>
        <v>3.20845507669832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490">
        <f>'[45]Sch C'!D199</f>
        <v>0</v>
      </c>
      <c r="D188" s="490">
        <f>'[45]Sch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7"/>
      <c r="J188" s="223"/>
      <c r="K188" s="218"/>
      <c r="M188" s="364">
        <f t="shared" si="48"/>
        <v>0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490">
        <f>'[45]Sch C'!D200</f>
        <v>0</v>
      </c>
      <c r="D189" s="490">
        <f>'[45]Sch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7"/>
      <c r="J189" s="223"/>
      <c r="K189" s="218"/>
      <c r="M189" s="364">
        <f t="shared" si="48"/>
        <v>0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490">
        <f>'[45]Sch C'!D201</f>
        <v>0</v>
      </c>
      <c r="D190" s="490">
        <f>'[45]Sch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7"/>
      <c r="J190" s="223"/>
      <c r="K190" s="218"/>
      <c r="M190" s="364">
        <f t="shared" si="48"/>
        <v>0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490">
        <f>'[45]Sch C'!D202</f>
        <v>0</v>
      </c>
      <c r="D191" s="490">
        <f>'[45]Sch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490">
        <f>'[45]Sch C'!D203</f>
        <v>0</v>
      </c>
      <c r="D192" s="490">
        <f>'[45]Sch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7"/>
      <c r="J192" s="223"/>
      <c r="K192" s="218"/>
      <c r="M192" s="364">
        <f t="shared" si="48"/>
        <v>0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490">
        <f>'[45]Sch C'!D204</f>
        <v>0</v>
      </c>
      <c r="D193" s="490">
        <f>'[45]Sch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490">
        <f>'[45]Sch C'!D205</f>
        <v>291078</v>
      </c>
      <c r="D194" s="490">
        <f>'[45]Sch C'!F205</f>
        <v>0</v>
      </c>
      <c r="E194" s="171">
        <f t="shared" si="45"/>
        <v>291078</v>
      </c>
      <c r="F194" s="216"/>
      <c r="G194" s="171">
        <f t="shared" si="46"/>
        <v>291078</v>
      </c>
      <c r="H194" s="172">
        <f t="shared" si="47"/>
        <v>5.1045110670084312E-2</v>
      </c>
      <c r="I194" s="337"/>
      <c r="J194" s="223"/>
      <c r="K194" s="218"/>
      <c r="M194" s="364">
        <f t="shared" si="48"/>
        <v>13.288805697589481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490">
        <f>'[45]Sch C'!D206</f>
        <v>4333</v>
      </c>
      <c r="D195" s="490">
        <f>'[45]Sch C'!F206</f>
        <v>0</v>
      </c>
      <c r="E195" s="171">
        <f t="shared" si="45"/>
        <v>4333</v>
      </c>
      <c r="F195" s="216"/>
      <c r="G195" s="171">
        <f t="shared" si="46"/>
        <v>4333</v>
      </c>
      <c r="H195" s="172">
        <f t="shared" si="47"/>
        <v>7.5985977825007505E-4</v>
      </c>
      <c r="I195" s="337"/>
      <c r="J195" s="223"/>
      <c r="K195" s="218"/>
      <c r="M195" s="364">
        <f t="shared" si="48"/>
        <v>0.19781775018261505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490">
        <f>'[45]Sch C'!D207</f>
        <v>66741</v>
      </c>
      <c r="D196" s="490">
        <f>'[45]Sch C'!F207</f>
        <v>-953</v>
      </c>
      <c r="E196" s="171">
        <f t="shared" si="45"/>
        <v>65788</v>
      </c>
      <c r="F196" s="216"/>
      <c r="G196" s="171">
        <f t="shared" si="46"/>
        <v>65788</v>
      </c>
      <c r="H196" s="172">
        <f t="shared" si="47"/>
        <v>1.1536961710481406E-2</v>
      </c>
      <c r="I196" s="337"/>
      <c r="J196" s="223"/>
      <c r="K196" s="218"/>
      <c r="M196" s="364">
        <f t="shared" si="48"/>
        <v>3.0034696859021182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490">
        <f>SUM(C164:C196)</f>
        <v>1011672</v>
      </c>
      <c r="D197" s="490">
        <f>SUM(D164:D196)</f>
        <v>125693</v>
      </c>
      <c r="E197" s="171">
        <f t="shared" ref="E197:F197" si="49">SUM(E164:E196)</f>
        <v>1137365</v>
      </c>
      <c r="F197" s="171">
        <f t="shared" si="49"/>
        <v>0</v>
      </c>
      <c r="G197" s="171">
        <f>SUM(G164:G196)</f>
        <v>1137365</v>
      </c>
      <c r="H197" s="172">
        <f>IF($G$208=0,0,G197/$G$208)</f>
        <v>0.19945486191770057</v>
      </c>
      <c r="I197" s="337"/>
      <c r="J197" s="168"/>
      <c r="K197" s="168"/>
      <c r="M197" s="364">
        <f>G197/G$228</f>
        <v>51.924990869247623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165"/>
      <c r="G198" s="165"/>
      <c r="H198" s="198"/>
      <c r="I198" s="341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1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490">
        <f>'[45]Sch C'!D211</f>
        <v>76517</v>
      </c>
      <c r="D200" s="490">
        <f>'[45]Sch C'!F211</f>
        <v>5118</v>
      </c>
      <c r="E200" s="171">
        <f t="shared" ref="E200:E205" si="50">C200+D200</f>
        <v>81635</v>
      </c>
      <c r="F200" s="171"/>
      <c r="G200" s="171">
        <f t="shared" ref="G200:G205" si="51">E200+F200</f>
        <v>81635</v>
      </c>
      <c r="H200" s="172">
        <f t="shared" ref="H200:H206" si="52">IF($G$208=0,0,G200/$G$208)</f>
        <v>1.4315982690386539E-2</v>
      </c>
      <c r="I200" s="337"/>
      <c r="J200" s="183">
        <v>5062</v>
      </c>
      <c r="K200" s="183">
        <v>5401</v>
      </c>
      <c r="M200" s="364">
        <f t="shared" ref="M200:M205" si="53">G200/G$228</f>
        <v>3.726944850255661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490">
        <f>'[45]Sch C'!D212</f>
        <v>0</v>
      </c>
      <c r="D201" s="490">
        <f>'[45]Sch C'!F212</f>
        <v>11657</v>
      </c>
      <c r="E201" s="171">
        <f t="shared" si="50"/>
        <v>11657</v>
      </c>
      <c r="F201" s="171"/>
      <c r="G201" s="171">
        <f t="shared" si="51"/>
        <v>11657</v>
      </c>
      <c r="H201" s="172">
        <f t="shared" si="52"/>
        <v>2.0442385033605181E-3</v>
      </c>
      <c r="I201" s="337"/>
      <c r="J201" s="168"/>
      <c r="K201" s="168"/>
      <c r="M201" s="364">
        <f t="shared" si="53"/>
        <v>0.5321859021183345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490">
        <f>'[45]Sch C'!D213</f>
        <v>11664</v>
      </c>
      <c r="D202" s="490">
        <f>'[45]Sch C'!F213</f>
        <v>0</v>
      </c>
      <c r="E202" s="171">
        <f t="shared" si="50"/>
        <v>11664</v>
      </c>
      <c r="F202" s="171"/>
      <c r="G202" s="171">
        <f t="shared" si="51"/>
        <v>11664</v>
      </c>
      <c r="H202" s="172">
        <f t="shared" si="52"/>
        <v>2.0454660635838623E-3</v>
      </c>
      <c r="I202" s="337"/>
      <c r="J202" s="168"/>
      <c r="K202" s="168"/>
      <c r="M202" s="364">
        <f t="shared" si="53"/>
        <v>0.53250547845142437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490">
        <f>'[45]Sch C'!D214</f>
        <v>0</v>
      </c>
      <c r="D203" s="490">
        <f>'[45]Sch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>
        <f t="shared" si="53"/>
        <v>0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490">
        <f>'[45]Sch C'!D215</f>
        <v>0</v>
      </c>
      <c r="D204" s="490">
        <f>'[45]Sch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490">
        <f>'[45]Sch C'!D216</f>
        <v>6016</v>
      </c>
      <c r="D205" s="490">
        <f>'[45]Sch C'!F216</f>
        <v>0</v>
      </c>
      <c r="E205" s="171">
        <f t="shared" si="50"/>
        <v>6016</v>
      </c>
      <c r="F205" s="171"/>
      <c r="G205" s="171">
        <f t="shared" si="51"/>
        <v>6016</v>
      </c>
      <c r="H205" s="172">
        <f t="shared" si="52"/>
        <v>1.055000329091265E-3</v>
      </c>
      <c r="I205" s="337"/>
      <c r="J205" s="168"/>
      <c r="K205" s="168"/>
      <c r="M205" s="364">
        <f t="shared" si="53"/>
        <v>0.27465303140978814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490">
        <f>SUM(C200:C205)</f>
        <v>94197</v>
      </c>
      <c r="D206" s="490">
        <f>SUM(D200:D205)</f>
        <v>16775</v>
      </c>
      <c r="E206" s="171">
        <f t="shared" ref="E206:F206" si="54">SUM(E200:E205)</f>
        <v>110972</v>
      </c>
      <c r="F206" s="171">
        <f t="shared" si="54"/>
        <v>0</v>
      </c>
      <c r="G206" s="171">
        <f>SUM(G200:G205)</f>
        <v>110972</v>
      </c>
      <c r="H206" s="172">
        <f t="shared" si="52"/>
        <v>1.9460687586422186E-2</v>
      </c>
      <c r="I206" s="337"/>
      <c r="J206" s="168"/>
      <c r="K206" s="168"/>
      <c r="M206" s="364">
        <f>G206/G$228</f>
        <v>5.066289262235208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490">
        <f>SUM(C25:C206)/2</f>
        <v>6007139</v>
      </c>
      <c r="D208" s="490">
        <f>SUM(D25:D206)/2</f>
        <v>-304771.11052081676</v>
      </c>
      <c r="E208" s="171">
        <f t="shared" ref="E208:F208" si="55">SUM(E25:E206)/2</f>
        <v>5702367.8894791827</v>
      </c>
      <c r="F208" s="171">
        <f t="shared" si="55"/>
        <v>0</v>
      </c>
      <c r="G208" s="171">
        <f>SUM(G25:G206)/2</f>
        <v>5702367.8894791827</v>
      </c>
      <c r="H208" s="172">
        <f>IF($G$208=0,0,G208/$G$208)</f>
        <v>1</v>
      </c>
      <c r="I208" s="337"/>
      <c r="J208" s="183">
        <f>SUM(J25:J200)</f>
        <v>123894</v>
      </c>
      <c r="K208" s="183">
        <f>SUM(K25:K200)</f>
        <v>132182</v>
      </c>
      <c r="M208" s="364">
        <f>G208/G$228</f>
        <v>260.3345457212921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490">
        <f>'[45]Sch C'!D221</f>
        <v>6007139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490">
        <f>C208-C211</f>
        <v>0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619"/>
      <c r="D213" s="232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490">
        <f>C21-C208</f>
        <v>277744</v>
      </c>
      <c r="D215" s="490">
        <f>D21-D208</f>
        <v>304771.11052081676</v>
      </c>
      <c r="E215" s="171">
        <f t="shared" ref="E215:F215" si="56">E21-E208</f>
        <v>582515.11052081734</v>
      </c>
      <c r="F215" s="171">
        <f t="shared" si="56"/>
        <v>0</v>
      </c>
      <c r="G215" s="171">
        <f>G21-G208</f>
        <v>582515.11052081734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491">
        <f>'[45]Sch D'!C9</f>
        <v>9360</v>
      </c>
      <c r="D219" s="491"/>
      <c r="E219" s="235">
        <f t="shared" ref="E219:G227" si="57">C219+D219</f>
        <v>9360</v>
      </c>
      <c r="F219" s="234"/>
      <c r="G219" s="235">
        <f t="shared" si="57"/>
        <v>9360</v>
      </c>
      <c r="H219" s="172">
        <f t="shared" ref="H219:H228" si="58">IF($G$228=0,0,G219/$G$228)</f>
        <v>0.42731921110299487</v>
      </c>
      <c r="I219" s="337"/>
      <c r="J219" s="168"/>
      <c r="K219" s="168"/>
    </row>
    <row r="220" spans="1:14">
      <c r="A220" s="163"/>
      <c r="B220" s="170" t="s">
        <v>217</v>
      </c>
      <c r="C220" s="491">
        <f>'[45]Sch D'!D9</f>
        <v>0</v>
      </c>
      <c r="D220" s="491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7"/>
      <c r="J220" s="168"/>
      <c r="K220" s="168"/>
    </row>
    <row r="221" spans="1:14">
      <c r="A221" s="163"/>
      <c r="B221" s="170" t="s">
        <v>72</v>
      </c>
      <c r="C221" s="491">
        <f>'[45]Sch D'!E9</f>
        <v>4020</v>
      </c>
      <c r="D221" s="491"/>
      <c r="E221" s="235">
        <f t="shared" si="59"/>
        <v>4020</v>
      </c>
      <c r="F221" s="234"/>
      <c r="G221" s="235">
        <f t="shared" si="57"/>
        <v>4020</v>
      </c>
      <c r="H221" s="172">
        <f t="shared" si="58"/>
        <v>0.18352812271731192</v>
      </c>
      <c r="I221" s="337"/>
      <c r="J221" s="168"/>
      <c r="K221" s="168"/>
    </row>
    <row r="222" spans="1:14">
      <c r="A222" s="163"/>
      <c r="B222" s="202" t="s">
        <v>334</v>
      </c>
      <c r="C222" s="491">
        <f>'[45]Sch D'!F9</f>
        <v>3704</v>
      </c>
      <c r="D222" s="491"/>
      <c r="E222" s="235">
        <f>C222+D222</f>
        <v>3704</v>
      </c>
      <c r="F222" s="234"/>
      <c r="G222" s="235">
        <f>E222+F222</f>
        <v>3704</v>
      </c>
      <c r="H222" s="172">
        <f t="shared" si="58"/>
        <v>0.16910153396639882</v>
      </c>
      <c r="I222" s="337"/>
      <c r="J222" s="168"/>
      <c r="K222" s="168"/>
    </row>
    <row r="223" spans="1:14">
      <c r="A223" s="163"/>
      <c r="B223" s="170" t="s">
        <v>73</v>
      </c>
      <c r="C223" s="491">
        <f>'[45]Sch D'!G9</f>
        <v>0</v>
      </c>
      <c r="D223" s="491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7"/>
      <c r="J223" s="168"/>
      <c r="K223" s="168"/>
    </row>
    <row r="224" spans="1:14">
      <c r="A224" s="163"/>
      <c r="B224" s="170" t="s">
        <v>74</v>
      </c>
      <c r="C224" s="491">
        <f>'[45]Sch D'!H9</f>
        <v>2791</v>
      </c>
      <c r="D224" s="491"/>
      <c r="E224" s="235">
        <f t="shared" si="59"/>
        <v>2791</v>
      </c>
      <c r="F224" s="234"/>
      <c r="G224" s="235">
        <f t="shared" si="57"/>
        <v>2791</v>
      </c>
      <c r="H224" s="172">
        <f t="shared" si="58"/>
        <v>0.12741964937910885</v>
      </c>
      <c r="I224" s="337"/>
      <c r="J224" s="168"/>
      <c r="K224" s="168"/>
    </row>
    <row r="225" spans="1:11">
      <c r="A225" s="163"/>
      <c r="B225" s="170" t="s">
        <v>236</v>
      </c>
      <c r="C225" s="491">
        <f>'[45]Sch D'!I9</f>
        <v>0</v>
      </c>
      <c r="D225" s="491"/>
      <c r="E225" s="235">
        <f t="shared" si="59"/>
        <v>0</v>
      </c>
      <c r="F225" s="234"/>
      <c r="G225" s="235">
        <f t="shared" si="57"/>
        <v>0</v>
      </c>
      <c r="H225" s="172">
        <f t="shared" si="58"/>
        <v>0</v>
      </c>
      <c r="I225" s="337"/>
      <c r="J225" s="168"/>
      <c r="K225" s="168"/>
    </row>
    <row r="226" spans="1:11">
      <c r="A226" s="163"/>
      <c r="B226" s="170" t="s">
        <v>235</v>
      </c>
      <c r="C226" s="491">
        <f>'[45]Sch D'!J9</f>
        <v>1863</v>
      </c>
      <c r="D226" s="491"/>
      <c r="E226" s="235">
        <f>C226+D226</f>
        <v>1863</v>
      </c>
      <c r="F226" s="234"/>
      <c r="G226" s="235">
        <f>E226+F226</f>
        <v>1863</v>
      </c>
      <c r="H226" s="172">
        <f t="shared" si="58"/>
        <v>8.5052958363769179E-2</v>
      </c>
      <c r="I226" s="337"/>
      <c r="J226" s="168"/>
      <c r="K226" s="168"/>
    </row>
    <row r="227" spans="1:11">
      <c r="A227" s="163"/>
      <c r="B227" s="170" t="s">
        <v>179</v>
      </c>
      <c r="C227" s="491">
        <f>'[45]Sch D'!K9</f>
        <v>166</v>
      </c>
      <c r="D227" s="491"/>
      <c r="E227" s="235">
        <f t="shared" si="59"/>
        <v>166</v>
      </c>
      <c r="F227" s="234"/>
      <c r="G227" s="235">
        <f t="shared" si="57"/>
        <v>166</v>
      </c>
      <c r="H227" s="172">
        <f t="shared" si="58"/>
        <v>7.5785244704163627E-3</v>
      </c>
      <c r="I227" s="337"/>
      <c r="J227" s="168"/>
      <c r="K227" s="168"/>
    </row>
    <row r="228" spans="1:11" ht="13.5" thickBot="1">
      <c r="A228" s="163"/>
      <c r="B228" s="236" t="s">
        <v>75</v>
      </c>
      <c r="C228" s="491">
        <f>SUM(C219:C227)</f>
        <v>21904</v>
      </c>
      <c r="D228" s="491">
        <f>SUM(D219:D227)</f>
        <v>0</v>
      </c>
      <c r="E228" s="237">
        <f>SUM(E219:E227)</f>
        <v>21904</v>
      </c>
      <c r="F228" s="237">
        <f>SUM(F219:F227)</f>
        <v>0</v>
      </c>
      <c r="G228" s="237">
        <f>SUM(G219:G227)</f>
        <v>21904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620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619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492">
        <f>'[45]Sch D'!N22</f>
        <v>108</v>
      </c>
      <c r="D231" s="526"/>
      <c r="E231" s="235">
        <f>C231+D231</f>
        <v>108</v>
      </c>
      <c r="F231" s="235"/>
      <c r="G231" s="235">
        <f>E231+F231</f>
        <v>108</v>
      </c>
      <c r="H231" s="167"/>
      <c r="J231" s="168"/>
      <c r="K231" s="168"/>
    </row>
    <row r="232" spans="1:11">
      <c r="A232" s="163"/>
      <c r="B232" s="202" t="s">
        <v>290</v>
      </c>
      <c r="C232" s="492">
        <f>'[45]Sch D'!N24</f>
        <v>108</v>
      </c>
      <c r="D232" s="526"/>
      <c r="E232" s="235">
        <f>C232+D232</f>
        <v>108</v>
      </c>
      <c r="F232" s="235"/>
      <c r="G232" s="235">
        <f>E232+F232</f>
        <v>108</v>
      </c>
      <c r="H232" s="167"/>
      <c r="J232" s="168"/>
      <c r="K232" s="168"/>
    </row>
    <row r="233" spans="1:11">
      <c r="A233" s="163"/>
      <c r="B233" s="202" t="s">
        <v>76</v>
      </c>
      <c r="C233" s="492">
        <f>$C$4-$C$3+1</f>
        <v>365</v>
      </c>
      <c r="D233" s="489"/>
      <c r="E233" s="235">
        <f>C233+D233</f>
        <v>365</v>
      </c>
      <c r="F233" s="240"/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621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492">
        <f>'[45]Sch D'!N28</f>
        <v>39420</v>
      </c>
      <c r="D235" s="489"/>
      <c r="E235" s="234">
        <f>E231*E233</f>
        <v>39420</v>
      </c>
      <c r="F235" s="240"/>
      <c r="G235" s="234">
        <f>G231*G233</f>
        <v>39420</v>
      </c>
      <c r="H235" s="167"/>
      <c r="J235" s="168"/>
      <c r="K235" s="168"/>
    </row>
    <row r="236" spans="1:11" ht="26">
      <c r="A236" s="163"/>
      <c r="B236" s="244" t="s">
        <v>336</v>
      </c>
      <c r="C236" s="493">
        <f>'[45]Sch D'!N30</f>
        <v>0.55565702688990359</v>
      </c>
      <c r="D236" s="240"/>
      <c r="E236" s="245">
        <f>E228/E235</f>
        <v>0.55565702688990359</v>
      </c>
      <c r="F236" s="246"/>
      <c r="G236" s="245">
        <f>G228/G235</f>
        <v>0.55565702688990359</v>
      </c>
      <c r="H236" s="167"/>
      <c r="J236" s="168"/>
      <c r="K236" s="168"/>
    </row>
    <row r="237" spans="1:11" ht="26">
      <c r="A237" s="163"/>
      <c r="B237" s="244" t="s">
        <v>337</v>
      </c>
      <c r="C237" s="493">
        <f>'[45]Sch D'!N32</f>
        <v>0.23744292237442921</v>
      </c>
      <c r="D237" s="240"/>
      <c r="E237" s="245">
        <f>(E219+E220)/E235</f>
        <v>0.23744292237442921</v>
      </c>
      <c r="F237" s="246"/>
      <c r="G237" s="245">
        <f>(G219+G220)/G235</f>
        <v>0.23744292237442921</v>
      </c>
      <c r="H237" s="167"/>
      <c r="J237" s="168"/>
      <c r="K237" s="168"/>
    </row>
    <row r="238" spans="1:11" ht="26">
      <c r="A238" s="163"/>
      <c r="B238" s="244" t="s">
        <v>338</v>
      </c>
      <c r="C238" s="493">
        <f>'[45]Sch D'!N34</f>
        <v>0.42731921110299487</v>
      </c>
      <c r="D238" s="240"/>
      <c r="E238" s="245">
        <f>(E237/E236)</f>
        <v>0.42731921110299487</v>
      </c>
      <c r="F238" s="246"/>
      <c r="G238" s="245">
        <f>(G237/G236)</f>
        <v>0.42731921110299487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490">
        <f>'[45]Sch B'!C85</f>
        <v>202.71507352941177</v>
      </c>
    </row>
    <row r="242" spans="2:7">
      <c r="F242" s="142" t="s">
        <v>341</v>
      </c>
      <c r="G242" s="490">
        <f>'[45]Sch B'!E85</f>
        <v>209.21236133122028</v>
      </c>
    </row>
    <row r="243" spans="2:7">
      <c r="F243" s="142" t="s">
        <v>342</v>
      </c>
      <c r="G243" s="490">
        <f>'[45]Sch B'!G85</f>
        <v>242.98053892215569</v>
      </c>
    </row>
    <row r="244" spans="2:7">
      <c r="F244" s="142" t="s">
        <v>343</v>
      </c>
      <c r="G244" s="490">
        <f>'[45]Sch B'!I85</f>
        <v>204.34071729957805</v>
      </c>
    </row>
    <row r="245" spans="2:7">
      <c r="F245" s="142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71">
    <tabColor rgb="FFE28CAB"/>
  </sheetPr>
  <dimension ref="A1:N245"/>
  <sheetViews>
    <sheetView showGridLines="0" zoomScale="89" zoomScaleNormal="89" workbookViewId="0">
      <selection activeCell="N1" sqref="N1"/>
    </sheetView>
  </sheetViews>
  <sheetFormatPr defaultColWidth="8.6640625" defaultRowHeight="13"/>
  <cols>
    <col min="1" max="1" width="8.58203125" style="252" customWidth="1"/>
    <col min="2" max="2" width="43.1640625" style="250" customWidth="1"/>
    <col min="3" max="3" width="24.1640625" style="250" customWidth="1"/>
    <col min="4" max="4" width="12.6640625" style="250" customWidth="1"/>
    <col min="5" max="5" width="12.9140625" style="250" customWidth="1"/>
    <col min="6" max="6" width="14.1640625" style="250" bestFit="1" customWidth="1"/>
    <col min="7" max="7" width="13.5" style="250" bestFit="1" customWidth="1"/>
    <col min="8" max="8" width="12.58203125" style="250" customWidth="1"/>
    <col min="9" max="9" width="2.5" style="345" customWidth="1"/>
    <col min="10" max="10" width="14.6640625" style="251" customWidth="1"/>
    <col min="11" max="11" width="13" style="251" customWidth="1"/>
    <col min="12" max="12" width="2.5" style="250" customWidth="1"/>
    <col min="13" max="13" width="8.6640625" style="250"/>
    <col min="14" max="14" width="10.1640625" style="250" customWidth="1"/>
    <col min="15" max="16384" width="8.6640625" style="25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483"/>
      <c r="E1" s="483"/>
      <c r="F1" s="483"/>
      <c r="G1" s="483"/>
      <c r="H1" s="483"/>
      <c r="I1" s="484"/>
    </row>
    <row r="2" spans="1:14" ht="23">
      <c r="B2" s="143" t="s">
        <v>189</v>
      </c>
      <c r="C2" s="247" t="s">
        <v>368</v>
      </c>
      <c r="D2" s="254"/>
      <c r="E2" s="254"/>
    </row>
    <row r="3" spans="1:14" ht="24" customHeight="1">
      <c r="A3" s="255"/>
      <c r="B3" s="250" t="s">
        <v>79</v>
      </c>
      <c r="C3" s="495">
        <v>41821</v>
      </c>
      <c r="D3" s="254"/>
      <c r="E3" s="634"/>
      <c r="F3" s="634"/>
      <c r="G3" s="634"/>
      <c r="H3" s="634"/>
    </row>
    <row r="4" spans="1:14" ht="25.5" customHeight="1">
      <c r="A4" s="255"/>
      <c r="B4" s="257" t="s">
        <v>80</v>
      </c>
      <c r="C4" s="495">
        <v>42185</v>
      </c>
      <c r="D4" s="254"/>
      <c r="E4" s="634"/>
      <c r="F4" s="647" t="s">
        <v>626</v>
      </c>
      <c r="G4" s="634"/>
      <c r="H4" s="634"/>
    </row>
    <row r="5" spans="1:14">
      <c r="A5" s="255"/>
      <c r="B5" s="257"/>
      <c r="C5" s="260"/>
      <c r="D5" s="254"/>
      <c r="F5" s="451" t="s">
        <v>612</v>
      </c>
    </row>
    <row r="6" spans="1:14">
      <c r="A6" s="255"/>
      <c r="B6" s="257"/>
      <c r="C6" s="261" t="s">
        <v>37</v>
      </c>
      <c r="D6" s="262" t="s">
        <v>38</v>
      </c>
      <c r="E6" s="258" t="s">
        <v>39</v>
      </c>
      <c r="F6" s="263" t="s">
        <v>40</v>
      </c>
      <c r="G6" s="262" t="s">
        <v>41</v>
      </c>
      <c r="H6" s="258" t="s">
        <v>42</v>
      </c>
      <c r="I6" s="346"/>
      <c r="J6" s="264">
        <v>7</v>
      </c>
      <c r="K6" s="264">
        <v>8</v>
      </c>
      <c r="M6" s="256">
        <v>9</v>
      </c>
      <c r="N6" s="256">
        <v>10</v>
      </c>
    </row>
    <row r="7" spans="1:14">
      <c r="B7" s="257"/>
      <c r="C7" s="265" t="s">
        <v>1</v>
      </c>
      <c r="D7" s="265" t="s">
        <v>2</v>
      </c>
      <c r="E7" s="265" t="s">
        <v>3</v>
      </c>
      <c r="F7" s="265" t="s">
        <v>4</v>
      </c>
      <c r="G7" s="265" t="s">
        <v>5</v>
      </c>
      <c r="H7" s="266" t="s">
        <v>6</v>
      </c>
      <c r="I7" s="347"/>
      <c r="J7" s="267" t="s">
        <v>291</v>
      </c>
      <c r="K7" s="268" t="s">
        <v>292</v>
      </c>
      <c r="M7" s="268" t="s">
        <v>351</v>
      </c>
      <c r="N7" s="268" t="s">
        <v>353</v>
      </c>
    </row>
    <row r="8" spans="1:14">
      <c r="B8" s="257"/>
      <c r="C8" s="269"/>
      <c r="D8" s="269"/>
      <c r="E8" s="269" t="s">
        <v>8</v>
      </c>
      <c r="F8" s="269" t="s">
        <v>9</v>
      </c>
      <c r="G8" s="269" t="s">
        <v>10</v>
      </c>
      <c r="H8" s="270" t="s">
        <v>11</v>
      </c>
      <c r="I8" s="347"/>
      <c r="J8" s="271"/>
      <c r="K8" s="271"/>
      <c r="M8" s="271" t="s">
        <v>352</v>
      </c>
      <c r="N8" s="271" t="s">
        <v>351</v>
      </c>
    </row>
    <row r="9" spans="1:14">
      <c r="A9" s="255"/>
      <c r="C9" s="260"/>
      <c r="D9" s="254"/>
      <c r="F9" s="649" t="s">
        <v>613</v>
      </c>
      <c r="G9" s="254"/>
    </row>
    <row r="10" spans="1:14" s="276" customFormat="1" ht="13.5" thickBot="1">
      <c r="A10" s="272" t="s">
        <v>245</v>
      </c>
      <c r="B10" s="164" t="s">
        <v>246</v>
      </c>
      <c r="C10" s="274"/>
      <c r="D10" s="274"/>
      <c r="E10" s="274"/>
      <c r="F10" s="648" t="s">
        <v>604</v>
      </c>
      <c r="G10" s="274"/>
      <c r="H10" s="275"/>
      <c r="I10" s="348"/>
      <c r="J10" s="277"/>
      <c r="K10" s="277"/>
    </row>
    <row r="11" spans="1:14" s="276" customFormat="1">
      <c r="A11" s="278" t="s">
        <v>13</v>
      </c>
      <c r="B11" s="279" t="s">
        <v>213</v>
      </c>
      <c r="C11" s="490">
        <f>'[46]Sch B'!E10</f>
        <v>1195524</v>
      </c>
      <c r="D11" s="490">
        <f>'[46]Sch B'!G10</f>
        <v>0</v>
      </c>
      <c r="E11" s="249">
        <f>C11+D11</f>
        <v>1195524</v>
      </c>
      <c r="F11" s="670">
        <f>743949+375932</f>
        <v>1119881</v>
      </c>
      <c r="G11" s="249">
        <f t="shared" ref="G11:G20" si="0">E11+F11</f>
        <v>2315405</v>
      </c>
      <c r="H11" s="280">
        <f t="shared" ref="H11:H21" si="1">IF($G$21=0,0,G11/$G$21)</f>
        <v>0.32078310098655538</v>
      </c>
      <c r="I11" s="349"/>
      <c r="J11" s="368" t="s">
        <v>344</v>
      </c>
      <c r="K11" s="369">
        <f>G21</f>
        <v>7217976.8600000003</v>
      </c>
      <c r="M11" s="360">
        <f>IFERROR(G11/G219,0)</f>
        <v>222.97813944530046</v>
      </c>
      <c r="N11" s="360">
        <f>SUMMARY!J14</f>
        <v>202.14403866920762</v>
      </c>
    </row>
    <row r="12" spans="1:14" s="276" customFormat="1">
      <c r="A12" s="278" t="s">
        <v>15</v>
      </c>
      <c r="B12" s="279" t="s">
        <v>212</v>
      </c>
      <c r="C12" s="490">
        <f>'[46]Sch B'!E15</f>
        <v>0</v>
      </c>
      <c r="D12" s="490">
        <f>'[46]Sch B'!G15</f>
        <v>0</v>
      </c>
      <c r="E12" s="249">
        <f t="shared" ref="E12:E20" si="2">C12+D12</f>
        <v>0</v>
      </c>
      <c r="F12" s="249">
        <v>0</v>
      </c>
      <c r="G12" s="249">
        <f>E12+F12</f>
        <v>0</v>
      </c>
      <c r="H12" s="280">
        <f t="shared" si="1"/>
        <v>0</v>
      </c>
      <c r="I12" s="349"/>
      <c r="J12" s="370" t="s">
        <v>345</v>
      </c>
      <c r="K12" s="371">
        <f>G208</f>
        <v>7307252.6099999994</v>
      </c>
      <c r="M12" s="360">
        <f t="shared" ref="M12:M19" si="3">IFERROR(G12/G220,0)</f>
        <v>0</v>
      </c>
      <c r="N12" s="360">
        <f>SUMMARY!J15</f>
        <v>201.43485675885972</v>
      </c>
    </row>
    <row r="13" spans="1:14" s="276" customFormat="1">
      <c r="A13" s="278" t="s">
        <v>16</v>
      </c>
      <c r="B13" s="279" t="s">
        <v>170</v>
      </c>
      <c r="C13" s="490">
        <f>'[46]Sch B'!E21</f>
        <v>980929</v>
      </c>
      <c r="D13" s="490">
        <f>'[46]Sch B'!G21</f>
        <v>0</v>
      </c>
      <c r="E13" s="249">
        <f t="shared" si="2"/>
        <v>980929</v>
      </c>
      <c r="F13" s="249">
        <v>771478</v>
      </c>
      <c r="G13" s="249">
        <f t="shared" si="0"/>
        <v>1752407</v>
      </c>
      <c r="H13" s="280">
        <f t="shared" si="1"/>
        <v>0.24278368218542612</v>
      </c>
      <c r="I13" s="349"/>
      <c r="J13" s="370" t="s">
        <v>346</v>
      </c>
      <c r="K13" s="371">
        <f>G228</f>
        <v>26058</v>
      </c>
      <c r="M13" s="360">
        <f t="shared" si="3"/>
        <v>520.00207715133536</v>
      </c>
      <c r="N13" s="360">
        <f>SUMMARY!J16</f>
        <v>505.71464085235812</v>
      </c>
    </row>
    <row r="14" spans="1:14" s="276" customFormat="1">
      <c r="A14" s="281" t="s">
        <v>18</v>
      </c>
      <c r="B14" s="282" t="s">
        <v>306</v>
      </c>
      <c r="C14" s="490">
        <f>'[46]Sch B'!E27</f>
        <v>458066</v>
      </c>
      <c r="D14" s="490">
        <f>'[46]Sch B'!G27</f>
        <v>0</v>
      </c>
      <c r="E14" s="249">
        <f t="shared" si="2"/>
        <v>458066</v>
      </c>
      <c r="F14" s="283">
        <v>264261</v>
      </c>
      <c r="G14" s="283">
        <f>E14+F14</f>
        <v>722327</v>
      </c>
      <c r="H14" s="284">
        <f t="shared" si="1"/>
        <v>0.10007333273717367</v>
      </c>
      <c r="I14" s="350"/>
      <c r="J14" s="370" t="s">
        <v>347</v>
      </c>
      <c r="K14" s="371">
        <f>G231</f>
        <v>107</v>
      </c>
      <c r="M14" s="360">
        <f t="shared" si="3"/>
        <v>385.85844017094018</v>
      </c>
      <c r="N14" s="360">
        <f>SUMMARY!J17</f>
        <v>434.5752101579231</v>
      </c>
    </row>
    <row r="15" spans="1:14" s="276" customFormat="1">
      <c r="A15" s="278" t="s">
        <v>19</v>
      </c>
      <c r="B15" s="279" t="s">
        <v>171</v>
      </c>
      <c r="C15" s="490">
        <f>'[46]Sch B'!E32</f>
        <v>919110</v>
      </c>
      <c r="D15" s="490">
        <f>'[46]Sch B'!G32</f>
        <v>0</v>
      </c>
      <c r="E15" s="249">
        <f t="shared" si="2"/>
        <v>919110</v>
      </c>
      <c r="F15" s="249">
        <v>628205</v>
      </c>
      <c r="G15" s="249">
        <f t="shared" si="0"/>
        <v>1547315</v>
      </c>
      <c r="H15" s="280">
        <f t="shared" si="1"/>
        <v>0.21436962600625459</v>
      </c>
      <c r="I15" s="349"/>
      <c r="J15" s="370" t="s">
        <v>348</v>
      </c>
      <c r="K15" s="371">
        <f>G235</f>
        <v>39055</v>
      </c>
      <c r="M15" s="360">
        <f t="shared" si="3"/>
        <v>241.39079563182528</v>
      </c>
      <c r="N15" s="360">
        <f>SUMMARY!J18</f>
        <v>315.99060013046318</v>
      </c>
    </row>
    <row r="16" spans="1:14" s="276" customFormat="1">
      <c r="A16" s="278" t="s">
        <v>21</v>
      </c>
      <c r="B16" s="279" t="s">
        <v>172</v>
      </c>
      <c r="C16" s="490">
        <f>'[46]Sch B'!E37</f>
        <v>329683</v>
      </c>
      <c r="D16" s="490">
        <f>'[46]Sch B'!G37</f>
        <v>0</v>
      </c>
      <c r="E16" s="249">
        <f t="shared" si="2"/>
        <v>329683</v>
      </c>
      <c r="F16" s="249">
        <v>269843</v>
      </c>
      <c r="G16" s="249">
        <f t="shared" si="0"/>
        <v>599526</v>
      </c>
      <c r="H16" s="280">
        <f t="shared" si="1"/>
        <v>8.3060116654350147E-2</v>
      </c>
      <c r="I16" s="349"/>
      <c r="J16" s="372"/>
      <c r="K16" s="371"/>
      <c r="M16" s="360">
        <f t="shared" si="3"/>
        <v>227.52409867172676</v>
      </c>
      <c r="N16" s="360">
        <f>SUMMARY!J19</f>
        <v>199.44117347347731</v>
      </c>
    </row>
    <row r="17" spans="1:14" s="276" customFormat="1">
      <c r="A17" s="278" t="s">
        <v>215</v>
      </c>
      <c r="B17" s="279" t="s">
        <v>228</v>
      </c>
      <c r="C17" s="490">
        <f>'[46]Sch B'!E42</f>
        <v>141403</v>
      </c>
      <c r="D17" s="490">
        <f>'[46]Sch B'!G42</f>
        <v>0</v>
      </c>
      <c r="E17" s="249">
        <f t="shared" si="2"/>
        <v>141403</v>
      </c>
      <c r="F17" s="249">
        <v>112522</v>
      </c>
      <c r="G17" s="249">
        <f>E17+F17</f>
        <v>253925</v>
      </c>
      <c r="H17" s="280">
        <f t="shared" si="1"/>
        <v>3.5179525360794793E-2</v>
      </c>
      <c r="I17" s="349"/>
      <c r="J17" s="370" t="s">
        <v>156</v>
      </c>
      <c r="K17" s="371">
        <f>J208</f>
        <v>98791</v>
      </c>
      <c r="M17" s="360">
        <f t="shared" si="3"/>
        <v>202.81549520766774</v>
      </c>
      <c r="N17" s="360">
        <f>SUMMARY!J20</f>
        <v>174.81134252751988</v>
      </c>
    </row>
    <row r="18" spans="1:14" s="276" customFormat="1" ht="13.5" thickBot="1">
      <c r="A18" s="278" t="s">
        <v>216</v>
      </c>
      <c r="B18" s="279" t="s">
        <v>229</v>
      </c>
      <c r="C18" s="490">
        <f>'[46]Sch B'!E47</f>
        <v>8391</v>
      </c>
      <c r="D18" s="490">
        <f>'[46]Sch B'!G47</f>
        <v>0</v>
      </c>
      <c r="E18" s="249">
        <f t="shared" si="2"/>
        <v>8391</v>
      </c>
      <c r="F18" s="249">
        <v>6221</v>
      </c>
      <c r="G18" s="249">
        <f>E18+F18</f>
        <v>14612</v>
      </c>
      <c r="H18" s="280">
        <f t="shared" si="1"/>
        <v>2.0243899756697196E-3</v>
      </c>
      <c r="I18" s="349"/>
      <c r="J18" s="373" t="s">
        <v>252</v>
      </c>
      <c r="K18" s="374">
        <f>K208</f>
        <v>103983</v>
      </c>
      <c r="M18" s="360">
        <f t="shared" si="3"/>
        <v>108.23703703703704</v>
      </c>
      <c r="N18" s="360">
        <f>SUMMARY!J21</f>
        <v>183.50924381494963</v>
      </c>
    </row>
    <row r="19" spans="1:14" s="276" customFormat="1">
      <c r="A19" s="278" t="s">
        <v>227</v>
      </c>
      <c r="B19" s="177" t="s">
        <v>173</v>
      </c>
      <c r="C19" s="490">
        <f>'[46]Sch B'!E52</f>
        <v>0</v>
      </c>
      <c r="D19" s="490">
        <f>'[46]Sch B'!G52</f>
        <v>0</v>
      </c>
      <c r="E19" s="249">
        <f t="shared" si="2"/>
        <v>0</v>
      </c>
      <c r="F19" s="249">
        <v>0</v>
      </c>
      <c r="G19" s="249">
        <f t="shared" si="0"/>
        <v>0</v>
      </c>
      <c r="H19" s="280">
        <f t="shared" si="1"/>
        <v>0</v>
      </c>
      <c r="I19" s="349"/>
      <c r="J19" s="277"/>
      <c r="K19" s="277"/>
      <c r="M19" s="360">
        <f t="shared" si="3"/>
        <v>0</v>
      </c>
      <c r="N19" s="360">
        <f>SUMMARY!J22</f>
        <v>376.584981890248</v>
      </c>
    </row>
    <row r="20" spans="1:14" s="276" customFormat="1">
      <c r="A20" s="278" t="s">
        <v>183</v>
      </c>
      <c r="B20" s="23" t="s">
        <v>180</v>
      </c>
      <c r="C20" s="490">
        <f>'[46]Sch B'!E67</f>
        <v>0</v>
      </c>
      <c r="D20" s="490">
        <f>'[46]Sch B'!G67</f>
        <v>0</v>
      </c>
      <c r="E20" s="249">
        <f t="shared" si="2"/>
        <v>0</v>
      </c>
      <c r="F20" s="670">
        <f>388391.86-375932</f>
        <v>12459.859999999986</v>
      </c>
      <c r="G20" s="249">
        <f t="shared" si="0"/>
        <v>12459.859999999986</v>
      </c>
      <c r="H20" s="280">
        <f t="shared" si="1"/>
        <v>1.7262260937755327E-3</v>
      </c>
      <c r="I20" s="349"/>
      <c r="J20" s="277"/>
      <c r="K20" s="277"/>
      <c r="M20" s="365" t="s">
        <v>200</v>
      </c>
      <c r="N20" s="365" t="s">
        <v>200</v>
      </c>
    </row>
    <row r="21" spans="1:14" s="276" customFormat="1">
      <c r="A21" s="278"/>
      <c r="B21" s="178" t="s">
        <v>77</v>
      </c>
      <c r="C21" s="490">
        <f>SUM(C11:C20)</f>
        <v>4033106</v>
      </c>
      <c r="D21" s="490">
        <f>SUM(D11:D20)</f>
        <v>0</v>
      </c>
      <c r="E21" s="249">
        <f>SUM(E11:E20)</f>
        <v>4033106</v>
      </c>
      <c r="F21" s="249">
        <f>SUM(F11:F20)</f>
        <v>3184870.86</v>
      </c>
      <c r="G21" s="249">
        <f>SUM(G11:G20)</f>
        <v>7217976.8600000003</v>
      </c>
      <c r="H21" s="280">
        <f t="shared" si="1"/>
        <v>1</v>
      </c>
      <c r="I21" s="349"/>
      <c r="J21" s="277"/>
      <c r="K21" s="277"/>
      <c r="M21" s="360">
        <f>IFERROR(G21/G228,0)</f>
        <v>276.99657916954487</v>
      </c>
      <c r="N21" s="360">
        <f>SUMMARY!J24</f>
        <v>264.67475627099196</v>
      </c>
    </row>
    <row r="22" spans="1:14" ht="12" customHeight="1">
      <c r="A22" s="255"/>
      <c r="B22" s="179"/>
      <c r="C22" s="151"/>
      <c r="D22" s="144"/>
      <c r="F22" s="254"/>
      <c r="G22" s="254"/>
      <c r="M22" s="366"/>
      <c r="N22" s="366"/>
    </row>
    <row r="23" spans="1:14" ht="26">
      <c r="A23" s="287" t="s">
        <v>231</v>
      </c>
      <c r="B23" s="179" t="s">
        <v>222</v>
      </c>
      <c r="C23" s="151"/>
      <c r="D23" s="144"/>
      <c r="F23" s="649" t="s">
        <v>613</v>
      </c>
      <c r="G23" s="254"/>
      <c r="M23" s="366"/>
      <c r="N23" s="366"/>
    </row>
    <row r="24" spans="1:14">
      <c r="A24" s="288" t="s">
        <v>161</v>
      </c>
      <c r="B24" s="257" t="s">
        <v>12</v>
      </c>
      <c r="C24" s="140"/>
      <c r="D24" s="140"/>
      <c r="F24" s="648" t="s">
        <v>604</v>
      </c>
      <c r="M24" s="366"/>
      <c r="N24" s="366"/>
    </row>
    <row r="25" spans="1:14" s="276" customFormat="1">
      <c r="A25" s="278" t="s">
        <v>83</v>
      </c>
      <c r="B25" s="279" t="s">
        <v>14</v>
      </c>
      <c r="C25" s="490">
        <f>'[46]Sch C'!D10</f>
        <v>62105</v>
      </c>
      <c r="D25" s="490">
        <f>'[46]Sch C'!F10</f>
        <v>0</v>
      </c>
      <c r="E25" s="249">
        <f t="shared" ref="E25:E60" si="4">C25+D25</f>
        <v>62105</v>
      </c>
      <c r="F25" s="671">
        <v>65970</v>
      </c>
      <c r="G25" s="289">
        <f>E25+F25</f>
        <v>128075</v>
      </c>
      <c r="H25" s="280">
        <f>IF($G$208=0,0,G25/$G$208)</f>
        <v>1.7527107222860879E-2</v>
      </c>
      <c r="I25" s="349"/>
      <c r="J25" s="492">
        <v>1213</v>
      </c>
      <c r="K25" s="492">
        <v>1213</v>
      </c>
      <c r="M25" s="360">
        <f>G25/G$228</f>
        <v>4.9149973136848573</v>
      </c>
      <c r="N25" s="360">
        <f>SUMMARY!J28</f>
        <v>5.1446587373365018</v>
      </c>
    </row>
    <row r="26" spans="1:14" s="276" customFormat="1">
      <c r="A26" s="278" t="s">
        <v>84</v>
      </c>
      <c r="B26" s="279" t="s">
        <v>176</v>
      </c>
      <c r="C26" s="490">
        <f>'[46]Sch C'!D11</f>
        <v>0</v>
      </c>
      <c r="D26" s="490">
        <f>'[46]Sch C'!F11</f>
        <v>0</v>
      </c>
      <c r="E26" s="249">
        <f t="shared" si="4"/>
        <v>0</v>
      </c>
      <c r="F26" s="249">
        <v>0</v>
      </c>
      <c r="G26" s="249">
        <f t="shared" ref="G26:G60" si="5">E26+F26</f>
        <v>0</v>
      </c>
      <c r="H26" s="290">
        <f t="shared" ref="H26:H61" si="6">IF($G$208=0,0,G26/$G$208)</f>
        <v>0</v>
      </c>
      <c r="I26" s="349"/>
      <c r="J26" s="492">
        <v>0</v>
      </c>
      <c r="K26" s="492">
        <v>0</v>
      </c>
      <c r="M26" s="360">
        <f t="shared" ref="M26:M60" si="7">G26/G$228</f>
        <v>0</v>
      </c>
      <c r="N26" s="360">
        <f>SUMMARY!J29</f>
        <v>9.6977144261489304E-2</v>
      </c>
    </row>
    <row r="27" spans="1:14" s="276" customFormat="1">
      <c r="A27" s="278" t="s">
        <v>85</v>
      </c>
      <c r="B27" s="279" t="s">
        <v>17</v>
      </c>
      <c r="C27" s="490">
        <f>'[46]Sch C'!D12</f>
        <v>141615</v>
      </c>
      <c r="D27" s="490">
        <f>'[46]Sch C'!F12</f>
        <v>-59188</v>
      </c>
      <c r="E27" s="249">
        <f t="shared" si="4"/>
        <v>82427</v>
      </c>
      <c r="F27" s="672">
        <v>97035</v>
      </c>
      <c r="G27" s="249">
        <f t="shared" si="5"/>
        <v>179462</v>
      </c>
      <c r="H27" s="280">
        <f t="shared" si="6"/>
        <v>2.4559435615296187E-2</v>
      </c>
      <c r="I27" s="349"/>
      <c r="J27" s="492">
        <v>6700</v>
      </c>
      <c r="K27" s="492">
        <v>7032</v>
      </c>
      <c r="M27" s="360">
        <f t="shared" si="7"/>
        <v>6.8870212602655618</v>
      </c>
      <c r="N27" s="360">
        <f>SUMMARY!J30</f>
        <v>6.5653829268620019</v>
      </c>
    </row>
    <row r="28" spans="1:14" s="276" customFormat="1">
      <c r="A28" s="278" t="s">
        <v>86</v>
      </c>
      <c r="B28" s="279" t="s">
        <v>45</v>
      </c>
      <c r="C28" s="490">
        <f>'[46]Sch C'!D13</f>
        <v>33744</v>
      </c>
      <c r="D28" s="490">
        <f>'[46]Sch C'!F13</f>
        <v>0</v>
      </c>
      <c r="E28" s="249">
        <f t="shared" si="4"/>
        <v>33744</v>
      </c>
      <c r="F28" s="672">
        <v>51832</v>
      </c>
      <c r="G28" s="249">
        <f t="shared" si="5"/>
        <v>85576</v>
      </c>
      <c r="H28" s="280">
        <f t="shared" si="6"/>
        <v>1.1711104647304646E-2</v>
      </c>
      <c r="I28" s="349"/>
      <c r="J28" s="527"/>
      <c r="K28" s="527"/>
      <c r="M28" s="360">
        <f t="shared" si="7"/>
        <v>3.2840586384219819</v>
      </c>
      <c r="N28" s="360">
        <f>SUMMARY!J31</f>
        <v>2.1760486719355461</v>
      </c>
    </row>
    <row r="29" spans="1:14" s="276" customFormat="1">
      <c r="A29" s="278" t="s">
        <v>175</v>
      </c>
      <c r="B29" s="279" t="s">
        <v>20</v>
      </c>
      <c r="C29" s="490">
        <f>'[46]Sch C'!D14</f>
        <v>0</v>
      </c>
      <c r="D29" s="490">
        <f>'[46]Sch C'!F14</f>
        <v>0</v>
      </c>
      <c r="E29" s="249">
        <f t="shared" si="4"/>
        <v>0</v>
      </c>
      <c r="F29" s="249">
        <v>0</v>
      </c>
      <c r="G29" s="249">
        <f t="shared" si="5"/>
        <v>0</v>
      </c>
      <c r="H29" s="280">
        <f t="shared" si="6"/>
        <v>0</v>
      </c>
      <c r="I29" s="349"/>
      <c r="J29" s="527"/>
      <c r="K29" s="527"/>
      <c r="M29" s="360">
        <f t="shared" si="7"/>
        <v>0</v>
      </c>
      <c r="N29" s="360">
        <f>SUMMARY!J32</f>
        <v>2.4585887878539638E-2</v>
      </c>
    </row>
    <row r="30" spans="1:14" s="276" customFormat="1">
      <c r="A30" s="278" t="s">
        <v>88</v>
      </c>
      <c r="B30" s="279" t="s">
        <v>22</v>
      </c>
      <c r="C30" s="490">
        <f>'[46]Sch C'!D15</f>
        <v>172970</v>
      </c>
      <c r="D30" s="490">
        <f>'[46]Sch C'!F15</f>
        <v>-172970</v>
      </c>
      <c r="E30" s="249">
        <f t="shared" si="4"/>
        <v>0</v>
      </c>
      <c r="F30" s="672">
        <f>244626-244626</f>
        <v>0</v>
      </c>
      <c r="G30" s="249">
        <f t="shared" si="5"/>
        <v>0</v>
      </c>
      <c r="H30" s="280">
        <f t="shared" si="6"/>
        <v>0</v>
      </c>
      <c r="I30" s="349"/>
      <c r="J30" s="527"/>
      <c r="K30" s="527"/>
      <c r="M30" s="360">
        <f t="shared" si="7"/>
        <v>0</v>
      </c>
      <c r="N30" s="360">
        <f>SUMMARY!J33</f>
        <v>1.6617191665983997</v>
      </c>
    </row>
    <row r="31" spans="1:14" s="276" customFormat="1">
      <c r="A31" s="278" t="s">
        <v>89</v>
      </c>
      <c r="B31" s="279" t="s">
        <v>148</v>
      </c>
      <c r="C31" s="490">
        <f>'[46]Sch C'!D16</f>
        <v>0</v>
      </c>
      <c r="D31" s="490">
        <f>'[46]Sch C'!F16</f>
        <v>474251</v>
      </c>
      <c r="E31" s="249">
        <f t="shared" si="4"/>
        <v>474251</v>
      </c>
      <c r="F31" s="672">
        <v>197605</v>
      </c>
      <c r="G31" s="249">
        <f t="shared" si="5"/>
        <v>671856</v>
      </c>
      <c r="H31" s="280">
        <f t="shared" si="6"/>
        <v>9.194372164998961E-2</v>
      </c>
      <c r="I31" s="349"/>
      <c r="J31" s="527"/>
      <c r="K31" s="527"/>
      <c r="M31" s="360">
        <f t="shared" si="7"/>
        <v>25.783099240156574</v>
      </c>
      <c r="N31" s="360">
        <f>SUMMARY!J34</f>
        <v>11.049930353021256</v>
      </c>
    </row>
    <row r="32" spans="1:14" s="276" customFormat="1">
      <c r="A32" s="278" t="s">
        <v>90</v>
      </c>
      <c r="B32" s="279" t="s">
        <v>23</v>
      </c>
      <c r="C32" s="490">
        <f>'[46]Sch C'!D17</f>
        <v>75</v>
      </c>
      <c r="D32" s="490">
        <f>'[46]Sch C'!F17</f>
        <v>0</v>
      </c>
      <c r="E32" s="249">
        <f t="shared" si="4"/>
        <v>75</v>
      </c>
      <c r="F32" s="249">
        <v>0</v>
      </c>
      <c r="G32" s="249">
        <f t="shared" si="5"/>
        <v>75</v>
      </c>
      <c r="H32" s="280">
        <f t="shared" si="6"/>
        <v>1.0263775457462938E-5</v>
      </c>
      <c r="I32" s="349"/>
      <c r="J32" s="527"/>
      <c r="K32" s="527"/>
      <c r="M32" s="360">
        <f t="shared" si="7"/>
        <v>2.8781947962238084E-3</v>
      </c>
      <c r="N32" s="360">
        <f>SUMMARY!J35</f>
        <v>0.14536890308839193</v>
      </c>
    </row>
    <row r="33" spans="1:14" s="276" customFormat="1">
      <c r="A33" s="278" t="s">
        <v>91</v>
      </c>
      <c r="B33" s="279" t="s">
        <v>24</v>
      </c>
      <c r="C33" s="490">
        <f>'[46]Sch C'!D18</f>
        <v>15347</v>
      </c>
      <c r="D33" s="490">
        <f>'[46]Sch C'!F18</f>
        <v>0</v>
      </c>
      <c r="E33" s="249">
        <f t="shared" si="4"/>
        <v>15347</v>
      </c>
      <c r="F33" s="249">
        <v>13165</v>
      </c>
      <c r="G33" s="249">
        <f t="shared" si="5"/>
        <v>28512</v>
      </c>
      <c r="H33" s="280">
        <f t="shared" si="6"/>
        <v>3.9018768779091112E-3</v>
      </c>
      <c r="I33" s="349"/>
      <c r="J33" s="527"/>
      <c r="K33" s="527"/>
      <c r="M33" s="360">
        <f t="shared" si="7"/>
        <v>1.0941745337324431</v>
      </c>
      <c r="N33" s="360">
        <f>SUMMARY!J36</f>
        <v>0.8867545233609132</v>
      </c>
    </row>
    <row r="34" spans="1:14" s="276" customFormat="1">
      <c r="A34" s="278" t="s">
        <v>92</v>
      </c>
      <c r="B34" s="279" t="s">
        <v>25</v>
      </c>
      <c r="C34" s="490">
        <f>'[46]Sch C'!D19</f>
        <v>5431</v>
      </c>
      <c r="D34" s="490">
        <f>'[46]Sch C'!F19</f>
        <v>0</v>
      </c>
      <c r="E34" s="249">
        <f t="shared" si="4"/>
        <v>5431</v>
      </c>
      <c r="F34" s="249">
        <v>6727</v>
      </c>
      <c r="G34" s="249">
        <f t="shared" si="5"/>
        <v>12158</v>
      </c>
      <c r="H34" s="280">
        <f t="shared" si="6"/>
        <v>1.6638264268244588E-3</v>
      </c>
      <c r="I34" s="349"/>
      <c r="J34" s="527"/>
      <c r="K34" s="527"/>
      <c r="M34" s="360">
        <f t="shared" si="7"/>
        <v>0.46657456443318751</v>
      </c>
      <c r="N34" s="360">
        <f>SUMMARY!J37</f>
        <v>0.90101991185385411</v>
      </c>
    </row>
    <row r="35" spans="1:14" s="276" customFormat="1">
      <c r="A35" s="278" t="s">
        <v>93</v>
      </c>
      <c r="B35" s="279" t="s">
        <v>26</v>
      </c>
      <c r="C35" s="490">
        <f>'[46]Sch C'!D20</f>
        <v>10847</v>
      </c>
      <c r="D35" s="490">
        <f>'[46]Sch C'!F20</f>
        <v>0</v>
      </c>
      <c r="E35" s="249">
        <f t="shared" si="4"/>
        <v>10847</v>
      </c>
      <c r="F35" s="249">
        <v>8762</v>
      </c>
      <c r="G35" s="249">
        <f t="shared" si="5"/>
        <v>19609</v>
      </c>
      <c r="H35" s="280">
        <f t="shared" si="6"/>
        <v>2.6834983059385435E-3</v>
      </c>
      <c r="I35" s="349"/>
      <c r="J35" s="527"/>
      <c r="K35" s="527"/>
      <c r="M35" s="360">
        <f t="shared" si="7"/>
        <v>0.75251362345536876</v>
      </c>
      <c r="N35" s="360">
        <f>SUMMARY!J38</f>
        <v>0.79427546489719036</v>
      </c>
    </row>
    <row r="36" spans="1:14" s="276" customFormat="1">
      <c r="A36" s="278" t="s">
        <v>94</v>
      </c>
      <c r="B36" s="279" t="s">
        <v>27</v>
      </c>
      <c r="C36" s="490">
        <f>'[46]Sch C'!D21</f>
        <v>8699</v>
      </c>
      <c r="D36" s="490">
        <f>'[46]Sch C'!F21</f>
        <v>78107</v>
      </c>
      <c r="E36" s="249">
        <f t="shared" si="4"/>
        <v>86806</v>
      </c>
      <c r="F36" s="672">
        <f>28212-27449</f>
        <v>763</v>
      </c>
      <c r="G36" s="249">
        <f t="shared" si="5"/>
        <v>87569</v>
      </c>
      <c r="H36" s="280">
        <f t="shared" si="6"/>
        <v>1.1983847373794295E-2</v>
      </c>
      <c r="I36" s="349"/>
      <c r="J36" s="527"/>
      <c r="K36" s="527"/>
      <c r="M36" s="360">
        <f t="shared" si="7"/>
        <v>3.3605418681403023</v>
      </c>
      <c r="N36" s="360">
        <f>SUMMARY!J39</f>
        <v>0.98747949537150814</v>
      </c>
    </row>
    <row r="37" spans="1:14" s="276" customFormat="1">
      <c r="A37" s="272">
        <v>130</v>
      </c>
      <c r="B37" s="279" t="s">
        <v>28</v>
      </c>
      <c r="C37" s="490">
        <f>'[46]Sch C'!D22</f>
        <v>0</v>
      </c>
      <c r="D37" s="490">
        <f>'[46]Sch C'!F22</f>
        <v>0</v>
      </c>
      <c r="E37" s="249">
        <f t="shared" si="4"/>
        <v>0</v>
      </c>
      <c r="F37" s="249">
        <v>0</v>
      </c>
      <c r="G37" s="249">
        <f t="shared" si="5"/>
        <v>0</v>
      </c>
      <c r="H37" s="280">
        <f t="shared" si="6"/>
        <v>0</v>
      </c>
      <c r="I37" s="349"/>
      <c r="J37" s="527"/>
      <c r="K37" s="527"/>
      <c r="M37" s="360">
        <f t="shared" si="7"/>
        <v>0</v>
      </c>
      <c r="N37" s="360">
        <f>SUMMARY!J40</f>
        <v>9.0113213729827151E-3</v>
      </c>
    </row>
    <row r="38" spans="1:14" s="276" customFormat="1">
      <c r="A38" s="272">
        <v>140</v>
      </c>
      <c r="B38" s="279" t="s">
        <v>149</v>
      </c>
      <c r="C38" s="490">
        <f>'[46]Sch C'!D23</f>
        <v>11381</v>
      </c>
      <c r="D38" s="490">
        <f>'[46]Sch C'!F23</f>
        <v>0</v>
      </c>
      <c r="E38" s="249">
        <f t="shared" si="4"/>
        <v>11381</v>
      </c>
      <c r="F38" s="249">
        <v>10624</v>
      </c>
      <c r="G38" s="249">
        <f t="shared" si="5"/>
        <v>22005</v>
      </c>
      <c r="H38" s="280">
        <f t="shared" si="6"/>
        <v>3.0113917192196265E-3</v>
      </c>
      <c r="I38" s="349"/>
      <c r="J38" s="527"/>
      <c r="K38" s="527"/>
      <c r="M38" s="360">
        <f t="shared" si="7"/>
        <v>0.84446235321206542</v>
      </c>
      <c r="N38" s="360">
        <f>SUMMARY!J41</f>
        <v>0.63060479506294209</v>
      </c>
    </row>
    <row r="39" spans="1:14" s="276" customFormat="1">
      <c r="A39" s="272">
        <v>150</v>
      </c>
      <c r="B39" s="279" t="s">
        <v>29</v>
      </c>
      <c r="C39" s="490">
        <f>'[46]Sch C'!D24</f>
        <v>22385</v>
      </c>
      <c r="D39" s="490">
        <f>'[46]Sch C'!F24</f>
        <v>0</v>
      </c>
      <c r="E39" s="249">
        <f t="shared" si="4"/>
        <v>22385</v>
      </c>
      <c r="F39" s="249">
        <v>16035</v>
      </c>
      <c r="G39" s="249">
        <f t="shared" si="5"/>
        <v>38420</v>
      </c>
      <c r="H39" s="280">
        <f t="shared" si="6"/>
        <v>5.2577900410096818E-3</v>
      </c>
      <c r="I39" s="349"/>
      <c r="J39" s="527"/>
      <c r="K39" s="527"/>
      <c r="M39" s="360">
        <f t="shared" si="7"/>
        <v>1.4744032542789163</v>
      </c>
      <c r="N39" s="360">
        <f>SUMMARY!J42</f>
        <v>0.77563123344529072</v>
      </c>
    </row>
    <row r="40" spans="1:14" s="276" customFormat="1">
      <c r="A40" s="272">
        <v>160</v>
      </c>
      <c r="B40" s="279" t="s">
        <v>30</v>
      </c>
      <c r="C40" s="490">
        <f>'[46]Sch C'!D25</f>
        <v>0</v>
      </c>
      <c r="D40" s="490">
        <f>'[46]Sch C'!F25</f>
        <v>0</v>
      </c>
      <c r="E40" s="249">
        <f t="shared" si="4"/>
        <v>0</v>
      </c>
      <c r="F40" s="249">
        <v>0</v>
      </c>
      <c r="G40" s="249">
        <f t="shared" si="5"/>
        <v>0</v>
      </c>
      <c r="H40" s="280">
        <f t="shared" si="6"/>
        <v>0</v>
      </c>
      <c r="I40" s="349"/>
      <c r="J40" s="527"/>
      <c r="K40" s="527"/>
      <c r="M40" s="360">
        <f t="shared" si="7"/>
        <v>0</v>
      </c>
      <c r="N40" s="360">
        <f>SUMMARY!J43</f>
        <v>2.6613926435651674E-2</v>
      </c>
    </row>
    <row r="41" spans="1:14" s="276" customFormat="1">
      <c r="A41" s="272">
        <v>170</v>
      </c>
      <c r="B41" s="279" t="s">
        <v>31</v>
      </c>
      <c r="C41" s="490">
        <f>'[46]Sch C'!D26</f>
        <v>188881</v>
      </c>
      <c r="D41" s="490">
        <f>'[46]Sch C'!F26</f>
        <v>-246</v>
      </c>
      <c r="E41" s="249">
        <f t="shared" si="4"/>
        <v>188635</v>
      </c>
      <c r="F41" s="249">
        <v>130900</v>
      </c>
      <c r="G41" s="249">
        <f t="shared" si="5"/>
        <v>319535</v>
      </c>
      <c r="H41" s="280">
        <f t="shared" si="6"/>
        <v>4.3728473210672268E-2</v>
      </c>
      <c r="I41" s="349"/>
      <c r="J41" s="527"/>
      <c r="K41" s="527"/>
      <c r="M41" s="360">
        <f t="shared" si="7"/>
        <v>12.262452989484995</v>
      </c>
      <c r="N41" s="360">
        <f>SUMMARY!J44</f>
        <v>10.987269304497419</v>
      </c>
    </row>
    <row r="42" spans="1:14" s="276" customFormat="1">
      <c r="A42" s="272">
        <v>180</v>
      </c>
      <c r="B42" s="279" t="s">
        <v>32</v>
      </c>
      <c r="C42" s="490">
        <f>'[46]Sch C'!D27</f>
        <v>6088</v>
      </c>
      <c r="D42" s="490">
        <f>'[46]Sch C'!F27</f>
        <v>9157</v>
      </c>
      <c r="E42" s="249">
        <f t="shared" si="4"/>
        <v>15245</v>
      </c>
      <c r="F42" s="249">
        <v>5280</v>
      </c>
      <c r="G42" s="249">
        <f t="shared" si="5"/>
        <v>20525</v>
      </c>
      <c r="H42" s="280">
        <f t="shared" si="6"/>
        <v>2.8088532168590243E-3</v>
      </c>
      <c r="I42" s="349"/>
      <c r="J42" s="527"/>
      <c r="K42" s="527"/>
      <c r="M42" s="360">
        <f t="shared" si="7"/>
        <v>0.7876659758999156</v>
      </c>
      <c r="N42" s="360">
        <f>SUMMARY!J45</f>
        <v>0.64134655143223829</v>
      </c>
    </row>
    <row r="43" spans="1:14" s="276" customFormat="1">
      <c r="A43" s="272">
        <v>190</v>
      </c>
      <c r="B43" s="279" t="s">
        <v>33</v>
      </c>
      <c r="C43" s="490">
        <f>'[46]Sch C'!D28</f>
        <v>0</v>
      </c>
      <c r="D43" s="490">
        <f>'[46]Sch C'!F28</f>
        <v>0</v>
      </c>
      <c r="E43" s="249">
        <f t="shared" si="4"/>
        <v>0</v>
      </c>
      <c r="F43" s="249">
        <v>0</v>
      </c>
      <c r="G43" s="249">
        <f t="shared" si="5"/>
        <v>0</v>
      </c>
      <c r="H43" s="280">
        <f t="shared" si="6"/>
        <v>0</v>
      </c>
      <c r="I43" s="349"/>
      <c r="J43" s="527"/>
      <c r="K43" s="527"/>
      <c r="M43" s="360">
        <f t="shared" si="7"/>
        <v>0</v>
      </c>
      <c r="N43" s="360">
        <f>SUMMARY!J46</f>
        <v>0</v>
      </c>
    </row>
    <row r="44" spans="1:14" s="276" customFormat="1">
      <c r="A44" s="272">
        <v>200</v>
      </c>
      <c r="B44" s="279" t="s">
        <v>34</v>
      </c>
      <c r="C44" s="490">
        <f>'[46]Sch C'!D29</f>
        <v>106171</v>
      </c>
      <c r="D44" s="490">
        <f>'[46]Sch C'!F29</f>
        <v>-106171</v>
      </c>
      <c r="E44" s="249">
        <f t="shared" si="4"/>
        <v>0</v>
      </c>
      <c r="F44" s="249">
        <v>0</v>
      </c>
      <c r="G44" s="249">
        <f t="shared" si="5"/>
        <v>0</v>
      </c>
      <c r="H44" s="280">
        <f t="shared" si="6"/>
        <v>0</v>
      </c>
      <c r="I44" s="349"/>
      <c r="J44" s="527"/>
      <c r="K44" s="527"/>
      <c r="M44" s="360">
        <f t="shared" si="7"/>
        <v>0</v>
      </c>
      <c r="N44" s="360">
        <f>SUMMARY!J47</f>
        <v>0</v>
      </c>
    </row>
    <row r="45" spans="1:14" s="276" customFormat="1">
      <c r="A45" s="272">
        <v>210</v>
      </c>
      <c r="B45" s="279" t="s">
        <v>35</v>
      </c>
      <c r="C45" s="490">
        <f>'[46]Sch C'!D30</f>
        <v>0</v>
      </c>
      <c r="D45" s="490">
        <f>'[46]Sch C'!F30</f>
        <v>0</v>
      </c>
      <c r="E45" s="249">
        <f t="shared" si="4"/>
        <v>0</v>
      </c>
      <c r="F45" s="249">
        <v>0</v>
      </c>
      <c r="G45" s="249">
        <f t="shared" si="5"/>
        <v>0</v>
      </c>
      <c r="H45" s="280">
        <f t="shared" si="6"/>
        <v>0</v>
      </c>
      <c r="I45" s="349"/>
      <c r="J45" s="527"/>
      <c r="K45" s="527"/>
      <c r="M45" s="360">
        <f t="shared" si="7"/>
        <v>0</v>
      </c>
      <c r="N45" s="360">
        <f>SUMMARY!J48</f>
        <v>0</v>
      </c>
    </row>
    <row r="46" spans="1:14" s="276" customFormat="1">
      <c r="A46" s="272">
        <v>220</v>
      </c>
      <c r="B46" s="279" t="s">
        <v>190</v>
      </c>
      <c r="C46" s="490">
        <f>'[46]Sch C'!D31</f>
        <v>3450</v>
      </c>
      <c r="D46" s="490">
        <f>'[46]Sch C'!F31</f>
        <v>0</v>
      </c>
      <c r="E46" s="249">
        <f t="shared" si="4"/>
        <v>3450</v>
      </c>
      <c r="F46" s="249">
        <v>0</v>
      </c>
      <c r="G46" s="249">
        <f t="shared" si="5"/>
        <v>3450</v>
      </c>
      <c r="H46" s="280">
        <f t="shared" si="6"/>
        <v>4.7213367104329522E-4</v>
      </c>
      <c r="I46" s="349"/>
      <c r="J46" s="527"/>
      <c r="K46" s="527"/>
      <c r="M46" s="360">
        <f t="shared" si="7"/>
        <v>0.13239696062629519</v>
      </c>
      <c r="N46" s="360">
        <f>SUMMARY!J49</f>
        <v>1.2092098577319024</v>
      </c>
    </row>
    <row r="47" spans="1:14" s="276" customFormat="1">
      <c r="A47" s="272">
        <v>230</v>
      </c>
      <c r="B47" s="279" t="s">
        <v>191</v>
      </c>
      <c r="C47" s="490">
        <f>'[46]Sch C'!D32</f>
        <v>44716</v>
      </c>
      <c r="D47" s="490">
        <f>'[46]Sch C'!F32</f>
        <v>0</v>
      </c>
      <c r="E47" s="249">
        <f t="shared" si="4"/>
        <v>44716</v>
      </c>
      <c r="F47" s="249">
        <v>38077</v>
      </c>
      <c r="G47" s="249">
        <f t="shared" si="5"/>
        <v>82793</v>
      </c>
      <c r="H47" s="280">
        <f t="shared" si="6"/>
        <v>1.1330250152663054E-2</v>
      </c>
      <c r="I47" s="349"/>
      <c r="J47" s="527"/>
      <c r="K47" s="527"/>
      <c r="M47" s="360">
        <f t="shared" si="7"/>
        <v>3.1772584235167702</v>
      </c>
      <c r="N47" s="360">
        <f>SUMMARY!J50</f>
        <v>2.2270835363825316</v>
      </c>
    </row>
    <row r="48" spans="1:14" s="276" customFormat="1">
      <c r="A48" s="272">
        <v>240</v>
      </c>
      <c r="B48" s="279" t="s">
        <v>201</v>
      </c>
      <c r="C48" s="490">
        <f>'[46]Sch C'!D33</f>
        <v>0</v>
      </c>
      <c r="D48" s="490">
        <f>'[46]Sch C'!F33</f>
        <v>0</v>
      </c>
      <c r="E48" s="249">
        <f t="shared" si="4"/>
        <v>0</v>
      </c>
      <c r="F48" s="249">
        <v>0</v>
      </c>
      <c r="G48" s="249">
        <f t="shared" si="5"/>
        <v>0</v>
      </c>
      <c r="H48" s="280">
        <f t="shared" si="6"/>
        <v>0</v>
      </c>
      <c r="I48" s="349"/>
      <c r="J48" s="527"/>
      <c r="K48" s="527"/>
      <c r="M48" s="360">
        <f t="shared" si="7"/>
        <v>0</v>
      </c>
      <c r="N48" s="360">
        <f>SUMMARY!J51</f>
        <v>0</v>
      </c>
    </row>
    <row r="49" spans="1:14" s="276" customFormat="1">
      <c r="A49" s="272">
        <v>250</v>
      </c>
      <c r="B49" s="279" t="s">
        <v>202</v>
      </c>
      <c r="C49" s="490">
        <f>'[46]Sch C'!D34</f>
        <v>0</v>
      </c>
      <c r="D49" s="490">
        <f>'[46]Sch C'!F34</f>
        <v>0</v>
      </c>
      <c r="E49" s="249">
        <f t="shared" si="4"/>
        <v>0</v>
      </c>
      <c r="F49" s="249">
        <v>0</v>
      </c>
      <c r="G49" s="249">
        <f t="shared" si="5"/>
        <v>0</v>
      </c>
      <c r="H49" s="280">
        <f t="shared" si="6"/>
        <v>0</v>
      </c>
      <c r="I49" s="349"/>
      <c r="J49" s="527"/>
      <c r="K49" s="527"/>
      <c r="M49" s="360">
        <f t="shared" si="7"/>
        <v>0</v>
      </c>
      <c r="N49" s="360">
        <f>SUMMARY!J52</f>
        <v>1.5242074219710003E-2</v>
      </c>
    </row>
    <row r="50" spans="1:14" s="276" customFormat="1">
      <c r="A50" s="272">
        <v>270</v>
      </c>
      <c r="B50" s="279" t="s">
        <v>203</v>
      </c>
      <c r="C50" s="490">
        <f>'[46]Sch C'!D35</f>
        <v>0</v>
      </c>
      <c r="D50" s="490">
        <f>'[46]Sch C'!F35</f>
        <v>0</v>
      </c>
      <c r="E50" s="249">
        <f t="shared" si="4"/>
        <v>0</v>
      </c>
      <c r="F50" s="249">
        <v>0</v>
      </c>
      <c r="G50" s="249">
        <f t="shared" si="5"/>
        <v>0</v>
      </c>
      <c r="H50" s="280">
        <f t="shared" si="6"/>
        <v>0</v>
      </c>
      <c r="I50" s="349"/>
      <c r="J50" s="527"/>
      <c r="K50" s="527"/>
      <c r="M50" s="360">
        <f t="shared" si="7"/>
        <v>0</v>
      </c>
      <c r="N50" s="360">
        <f>SUMMARY!J53</f>
        <v>0</v>
      </c>
    </row>
    <row r="51" spans="1:14" s="276" customFormat="1">
      <c r="A51" s="272">
        <v>280</v>
      </c>
      <c r="B51" s="279" t="s">
        <v>204</v>
      </c>
      <c r="C51" s="490">
        <f>'[46]Sch C'!D36</f>
        <v>0</v>
      </c>
      <c r="D51" s="490">
        <f>'[46]Sch C'!F36</f>
        <v>0</v>
      </c>
      <c r="E51" s="249">
        <f t="shared" si="4"/>
        <v>0</v>
      </c>
      <c r="F51" s="249">
        <v>0</v>
      </c>
      <c r="G51" s="249">
        <f t="shared" si="5"/>
        <v>0</v>
      </c>
      <c r="H51" s="280">
        <f t="shared" si="6"/>
        <v>0</v>
      </c>
      <c r="I51" s="349"/>
      <c r="J51" s="492">
        <v>0</v>
      </c>
      <c r="K51" s="492">
        <v>0</v>
      </c>
      <c r="M51" s="360">
        <f t="shared" si="7"/>
        <v>0</v>
      </c>
      <c r="N51" s="360">
        <f>SUMMARY!J54</f>
        <v>0.46828948963709344</v>
      </c>
    </row>
    <row r="52" spans="1:14" s="276" customFormat="1">
      <c r="A52" s="272">
        <v>290</v>
      </c>
      <c r="B52" s="279" t="s">
        <v>205</v>
      </c>
      <c r="C52" s="490">
        <f>'[46]Sch C'!D37</f>
        <v>0</v>
      </c>
      <c r="D52" s="490">
        <f>'[46]Sch C'!F37</f>
        <v>0</v>
      </c>
      <c r="E52" s="249">
        <f t="shared" si="4"/>
        <v>0</v>
      </c>
      <c r="F52" s="249">
        <v>0</v>
      </c>
      <c r="G52" s="249">
        <f t="shared" si="5"/>
        <v>0</v>
      </c>
      <c r="H52" s="280">
        <f t="shared" si="6"/>
        <v>0</v>
      </c>
      <c r="I52" s="349"/>
      <c r="J52" s="527"/>
      <c r="K52" s="527"/>
      <c r="M52" s="360">
        <f t="shared" si="7"/>
        <v>0</v>
      </c>
      <c r="N52" s="360">
        <f>SUMMARY!J55</f>
        <v>7.2094073659366972E-2</v>
      </c>
    </row>
    <row r="53" spans="1:14" s="276" customFormat="1">
      <c r="A53" s="272">
        <v>300</v>
      </c>
      <c r="B53" s="279" t="s">
        <v>206</v>
      </c>
      <c r="C53" s="490">
        <f>'[46]Sch C'!D38</f>
        <v>0</v>
      </c>
      <c r="D53" s="490">
        <f>'[46]Sch C'!F38</f>
        <v>0</v>
      </c>
      <c r="E53" s="249">
        <f t="shared" si="4"/>
        <v>0</v>
      </c>
      <c r="F53" s="249">
        <v>0</v>
      </c>
      <c r="G53" s="249">
        <f t="shared" si="5"/>
        <v>0</v>
      </c>
      <c r="H53" s="280">
        <f t="shared" si="6"/>
        <v>0</v>
      </c>
      <c r="I53" s="349"/>
      <c r="J53" s="527"/>
      <c r="K53" s="527"/>
      <c r="M53" s="360">
        <f t="shared" si="7"/>
        <v>0</v>
      </c>
      <c r="N53" s="360">
        <f>SUMMARY!J56</f>
        <v>3.3816553343709896E-3</v>
      </c>
    </row>
    <row r="54" spans="1:14" s="276" customFormat="1">
      <c r="A54" s="272">
        <v>310</v>
      </c>
      <c r="B54" s="279" t="s">
        <v>207</v>
      </c>
      <c r="C54" s="490">
        <f>'[46]Sch C'!D39</f>
        <v>6690</v>
      </c>
      <c r="D54" s="490">
        <f>'[46]Sch C'!F39</f>
        <v>9691</v>
      </c>
      <c r="E54" s="249">
        <f t="shared" si="4"/>
        <v>16381</v>
      </c>
      <c r="F54" s="249">
        <v>8293</v>
      </c>
      <c r="G54" s="249">
        <f t="shared" si="5"/>
        <v>24674</v>
      </c>
      <c r="H54" s="280">
        <f t="shared" si="6"/>
        <v>3.3766452751658742E-3</v>
      </c>
      <c r="I54" s="349"/>
      <c r="J54" s="527"/>
      <c r="K54" s="527"/>
      <c r="M54" s="360">
        <f t="shared" si="7"/>
        <v>0.9468877120270166</v>
      </c>
      <c r="N54" s="360">
        <f>SUMMARY!J57</f>
        <v>0.29995180907129787</v>
      </c>
    </row>
    <row r="55" spans="1:14" s="276" customFormat="1">
      <c r="A55" s="272">
        <v>320</v>
      </c>
      <c r="B55" s="279" t="s">
        <v>208</v>
      </c>
      <c r="C55" s="490">
        <f>'[46]Sch C'!D40</f>
        <v>6287</v>
      </c>
      <c r="D55" s="490">
        <f>'[46]Sch C'!F40</f>
        <v>-6287</v>
      </c>
      <c r="E55" s="249">
        <f t="shared" si="4"/>
        <v>0</v>
      </c>
      <c r="F55" s="249">
        <v>0</v>
      </c>
      <c r="G55" s="249">
        <f t="shared" si="5"/>
        <v>0</v>
      </c>
      <c r="H55" s="280">
        <f t="shared" si="6"/>
        <v>0</v>
      </c>
      <c r="I55" s="349"/>
      <c r="J55" s="527"/>
      <c r="K55" s="527"/>
      <c r="M55" s="360">
        <f t="shared" si="7"/>
        <v>0</v>
      </c>
      <c r="N55" s="360">
        <f>SUMMARY!J58</f>
        <v>0.15756469785095983</v>
      </c>
    </row>
    <row r="56" spans="1:14" s="276" customFormat="1">
      <c r="A56" s="272">
        <v>330</v>
      </c>
      <c r="B56" s="279" t="s">
        <v>48</v>
      </c>
      <c r="C56" s="490">
        <f>'[46]Sch C'!D41</f>
        <v>6550</v>
      </c>
      <c r="D56" s="490">
        <f>'[46]Sch C'!F41</f>
        <v>0</v>
      </c>
      <c r="E56" s="249">
        <f t="shared" si="4"/>
        <v>6550</v>
      </c>
      <c r="F56" s="672">
        <f>180472-174794</f>
        <v>5678</v>
      </c>
      <c r="G56" s="249">
        <f t="shared" si="5"/>
        <v>12228</v>
      </c>
      <c r="H56" s="280">
        <f t="shared" si="6"/>
        <v>1.6734059505847576E-3</v>
      </c>
      <c r="I56" s="349"/>
      <c r="J56" s="527"/>
      <c r="K56" s="527"/>
      <c r="M56" s="360">
        <f t="shared" si="7"/>
        <v>0.46926087957632973</v>
      </c>
      <c r="N56" s="360">
        <f>SUMMARY!J59</f>
        <v>1.9820866333524478</v>
      </c>
    </row>
    <row r="57" spans="1:14" s="276" customFormat="1">
      <c r="A57" s="272">
        <v>340</v>
      </c>
      <c r="B57" s="279" t="s">
        <v>209</v>
      </c>
      <c r="C57" s="490">
        <f>'[46]Sch C'!D42</f>
        <v>2272</v>
      </c>
      <c r="D57" s="490">
        <f>'[46]Sch C'!F42</f>
        <v>0</v>
      </c>
      <c r="E57" s="249">
        <f t="shared" si="4"/>
        <v>2272</v>
      </c>
      <c r="F57" s="249">
        <v>64</v>
      </c>
      <c r="G57" s="249">
        <f t="shared" si="5"/>
        <v>2336</v>
      </c>
      <c r="H57" s="280">
        <f t="shared" si="6"/>
        <v>3.1968239291511234E-4</v>
      </c>
      <c r="I57" s="349"/>
      <c r="J57" s="527"/>
      <c r="K57" s="527"/>
      <c r="M57" s="360">
        <f t="shared" si="7"/>
        <v>8.9646173919717548E-2</v>
      </c>
      <c r="N57" s="360">
        <f>SUMMARY!J60</f>
        <v>0.1328047459108162</v>
      </c>
    </row>
    <row r="58" spans="1:14" s="276" customFormat="1">
      <c r="A58" s="272">
        <v>350</v>
      </c>
      <c r="B58" s="279" t="s">
        <v>210</v>
      </c>
      <c r="C58" s="490">
        <f>'[46]Sch C'!D43</f>
        <v>0</v>
      </c>
      <c r="D58" s="490">
        <f>'[46]Sch C'!F43</f>
        <v>0</v>
      </c>
      <c r="E58" s="249">
        <f t="shared" si="4"/>
        <v>0</v>
      </c>
      <c r="F58" s="672">
        <v>2876</v>
      </c>
      <c r="G58" s="249">
        <f t="shared" si="5"/>
        <v>2876</v>
      </c>
      <c r="H58" s="280">
        <f t="shared" si="6"/>
        <v>3.935815762088455E-4</v>
      </c>
      <c r="I58" s="349"/>
      <c r="J58" s="527"/>
      <c r="K58" s="527"/>
      <c r="M58" s="360">
        <f t="shared" si="7"/>
        <v>0.11036917645252897</v>
      </c>
      <c r="N58" s="360">
        <f>SUMMARY!J61</f>
        <v>0.16717675650583</v>
      </c>
    </row>
    <row r="59" spans="1:14" s="276" customFormat="1">
      <c r="A59" s="272">
        <v>360</v>
      </c>
      <c r="B59" s="279" t="s">
        <v>211</v>
      </c>
      <c r="C59" s="490">
        <f>'[46]Sch C'!D44</f>
        <v>255</v>
      </c>
      <c r="D59" s="490">
        <f>'[46]Sch C'!F44</f>
        <v>0</v>
      </c>
      <c r="E59" s="249">
        <f t="shared" si="4"/>
        <v>255</v>
      </c>
      <c r="F59" s="249">
        <v>135</v>
      </c>
      <c r="G59" s="249">
        <f t="shared" si="5"/>
        <v>390</v>
      </c>
      <c r="H59" s="280">
        <f t="shared" si="6"/>
        <v>5.3371632378807286E-5</v>
      </c>
      <c r="I59" s="349"/>
      <c r="J59" s="527"/>
      <c r="K59" s="527"/>
      <c r="M59" s="360">
        <f t="shared" si="7"/>
        <v>1.4966612940363803E-2</v>
      </c>
      <c r="N59" s="360">
        <f>SUMMARY!J62</f>
        <v>8.7222686436743951E-3</v>
      </c>
    </row>
    <row r="60" spans="1:14" s="276" customFormat="1">
      <c r="A60" s="272">
        <v>490</v>
      </c>
      <c r="B60" s="279" t="s">
        <v>36</v>
      </c>
      <c r="C60" s="490">
        <f>'[46]Sch C'!D45</f>
        <v>1920</v>
      </c>
      <c r="D60" s="490">
        <f>'[46]Sch C'!F45</f>
        <v>0</v>
      </c>
      <c r="E60" s="249">
        <f t="shared" si="4"/>
        <v>1920</v>
      </c>
      <c r="F60" s="249">
        <v>1821</v>
      </c>
      <c r="G60" s="249">
        <f t="shared" si="5"/>
        <v>3741</v>
      </c>
      <c r="H60" s="280">
        <f t="shared" si="6"/>
        <v>5.1195711981825141E-4</v>
      </c>
      <c r="I60" s="349"/>
      <c r="J60" s="527"/>
      <c r="K60" s="527"/>
      <c r="M60" s="360">
        <f t="shared" si="7"/>
        <v>0.14356435643564355</v>
      </c>
      <c r="N60" s="360">
        <f>SUMMARY!J63</f>
        <v>0.27778677807815194</v>
      </c>
    </row>
    <row r="61" spans="1:14" s="276" customFormat="1">
      <c r="A61" s="272"/>
      <c r="B61" s="279" t="s">
        <v>177</v>
      </c>
      <c r="C61" s="490">
        <f>SUM(C25:C60)</f>
        <v>857879</v>
      </c>
      <c r="D61" s="490">
        <f>SUM(D25:D60)</f>
        <v>226344</v>
      </c>
      <c r="E61" s="249">
        <f t="shared" ref="E61:F61" si="8">SUM(E25:E60)</f>
        <v>1084223</v>
      </c>
      <c r="F61" s="249">
        <f t="shared" si="8"/>
        <v>661642</v>
      </c>
      <c r="G61" s="249">
        <f>SUM(G25:G60)</f>
        <v>1745865</v>
      </c>
      <c r="H61" s="186">
        <f t="shared" si="6"/>
        <v>0.23892221785391379</v>
      </c>
      <c r="I61" s="339"/>
      <c r="J61" s="527"/>
      <c r="K61" s="527"/>
      <c r="M61" s="367">
        <f>G61/G$228</f>
        <v>66.99919410545705</v>
      </c>
      <c r="N61" s="360">
        <f>SUMMARY!J64</f>
        <v>50.526072695090264</v>
      </c>
    </row>
    <row r="62" spans="1:14" s="276" customFormat="1" ht="15">
      <c r="A62" s="272"/>
      <c r="C62" s="165"/>
      <c r="D62" s="165"/>
      <c r="E62" s="274"/>
      <c r="F62" s="647" t="s">
        <v>626</v>
      </c>
      <c r="G62" s="274"/>
      <c r="H62" s="187"/>
      <c r="I62" s="340"/>
      <c r="J62" s="527"/>
      <c r="K62" s="527"/>
      <c r="M62" s="360"/>
      <c r="N62" s="360"/>
    </row>
    <row r="63" spans="1:14" s="276" customFormat="1">
      <c r="A63" s="278" t="s">
        <v>162</v>
      </c>
      <c r="B63" s="279" t="s">
        <v>178</v>
      </c>
      <c r="C63" s="165"/>
      <c r="D63" s="165"/>
      <c r="E63" s="274"/>
      <c r="F63" s="451" t="s">
        <v>612</v>
      </c>
      <c r="G63" s="274"/>
      <c r="H63" s="187"/>
      <c r="I63" s="340"/>
      <c r="J63" s="527"/>
      <c r="K63" s="527"/>
      <c r="M63" s="360"/>
      <c r="N63" s="360"/>
    </row>
    <row r="64" spans="1:14" s="276" customFormat="1">
      <c r="A64" s="292">
        <v>230</v>
      </c>
      <c r="B64" s="293" t="s">
        <v>253</v>
      </c>
      <c r="C64" s="490">
        <f>'[46]Sch C'!D57</f>
        <v>207022</v>
      </c>
      <c r="D64" s="490">
        <f>'[46]Sch C'!F57</f>
        <v>-207022</v>
      </c>
      <c r="E64" s="249">
        <f t="shared" ref="E64:E78" si="9">C64+D64</f>
        <v>0</v>
      </c>
      <c r="F64" s="672">
        <f>358004-358004</f>
        <v>0</v>
      </c>
      <c r="G64" s="249">
        <f t="shared" ref="G64:G78" si="10">E64+F64</f>
        <v>0</v>
      </c>
      <c r="H64" s="280">
        <f t="shared" ref="H64:H79" si="11">IF($G$208=0,0,G64/$G$208)</f>
        <v>0</v>
      </c>
      <c r="I64" s="349"/>
      <c r="J64" s="528"/>
      <c r="K64" s="527"/>
      <c r="M64" s="360">
        <f t="shared" ref="M64:M79" si="12">G64/G$228</f>
        <v>0</v>
      </c>
      <c r="N64" s="360">
        <f>SUMMARY!J67</f>
        <v>6.8038026869828787</v>
      </c>
    </row>
    <row r="65" spans="1:14" s="276" customFormat="1">
      <c r="A65" s="294">
        <v>240</v>
      </c>
      <c r="B65" s="293" t="s">
        <v>254</v>
      </c>
      <c r="C65" s="490">
        <f>'[46]Sch C'!D58</f>
        <v>1983</v>
      </c>
      <c r="D65" s="490">
        <f>'[46]Sch C'!F58</f>
        <v>100573</v>
      </c>
      <c r="E65" s="249">
        <f t="shared" si="9"/>
        <v>102556</v>
      </c>
      <c r="F65" s="672">
        <f>90+52955</f>
        <v>53045</v>
      </c>
      <c r="G65" s="249">
        <f t="shared" si="10"/>
        <v>155601</v>
      </c>
      <c r="H65" s="280">
        <f t="shared" si="11"/>
        <v>2.129404966608921E-2</v>
      </c>
      <c r="I65" s="349"/>
      <c r="J65" s="528"/>
      <c r="K65" s="527"/>
      <c r="M65" s="360">
        <f t="shared" si="12"/>
        <v>5.9713331798296112</v>
      </c>
      <c r="N65" s="360">
        <f>SUMMARY!J68</f>
        <v>4.9854394272867122</v>
      </c>
    </row>
    <row r="66" spans="1:14" s="276" customFormat="1">
      <c r="A66" s="295">
        <v>250</v>
      </c>
      <c r="B66" s="293" t="s">
        <v>307</v>
      </c>
      <c r="C66" s="490">
        <f>'[46]Sch C'!D59</f>
        <v>0</v>
      </c>
      <c r="D66" s="490">
        <f>'[46]Sch C'!F59</f>
        <v>222163</v>
      </c>
      <c r="E66" s="249">
        <f t="shared" si="9"/>
        <v>222163</v>
      </c>
      <c r="F66" s="672">
        <v>132255</v>
      </c>
      <c r="G66" s="249">
        <f t="shared" si="10"/>
        <v>354418</v>
      </c>
      <c r="H66" s="280">
        <f t="shared" si="11"/>
        <v>4.8502223601108001E-2</v>
      </c>
      <c r="I66" s="349"/>
      <c r="J66" s="528"/>
      <c r="K66" s="527"/>
      <c r="M66" s="360">
        <f t="shared" si="12"/>
        <v>13.601120577173996</v>
      </c>
      <c r="N66" s="360">
        <f>SUMMARY!J69</f>
        <v>3.9573657628136862</v>
      </c>
    </row>
    <row r="67" spans="1:14" s="276" customFormat="1">
      <c r="A67" s="295">
        <v>260</v>
      </c>
      <c r="B67" s="296" t="s">
        <v>308</v>
      </c>
      <c r="C67" s="490">
        <f>'[46]Sch C'!D60</f>
        <v>26924</v>
      </c>
      <c r="D67" s="490">
        <f>'[46]Sch C'!F60</f>
        <v>0</v>
      </c>
      <c r="E67" s="249">
        <f t="shared" si="9"/>
        <v>26924</v>
      </c>
      <c r="F67" s="672">
        <f>20514-3014</f>
        <v>17500</v>
      </c>
      <c r="G67" s="249">
        <f t="shared" si="10"/>
        <v>44424</v>
      </c>
      <c r="H67" s="280">
        <f t="shared" si="11"/>
        <v>6.0794394789644478E-3</v>
      </c>
      <c r="I67" s="349"/>
      <c r="J67" s="529"/>
      <c r="K67" s="527"/>
      <c r="M67" s="360">
        <f t="shared" si="12"/>
        <v>1.7048123416992862</v>
      </c>
      <c r="N67" s="360">
        <f>SUMMARY!J70</f>
        <v>1.1060813959203737</v>
      </c>
    </row>
    <row r="68" spans="1:14" s="276" customFormat="1">
      <c r="A68" s="295">
        <v>270</v>
      </c>
      <c r="B68" s="296" t="s">
        <v>309</v>
      </c>
      <c r="C68" s="490">
        <f>'[46]Sch C'!D61</f>
        <v>10589</v>
      </c>
      <c r="D68" s="490">
        <f>'[46]Sch C'!F61</f>
        <v>681</v>
      </c>
      <c r="E68" s="249">
        <f t="shared" si="9"/>
        <v>11270</v>
      </c>
      <c r="F68" s="249">
        <v>6392</v>
      </c>
      <c r="G68" s="249">
        <f t="shared" si="10"/>
        <v>17662</v>
      </c>
      <c r="H68" s="280">
        <f t="shared" si="11"/>
        <v>2.4170506950628059E-3</v>
      </c>
      <c r="I68" s="349"/>
      <c r="J68" s="529"/>
      <c r="K68" s="527"/>
      <c r="M68" s="360">
        <f t="shared" si="12"/>
        <v>0.67779568654539868</v>
      </c>
      <c r="N68" s="360">
        <f>SUMMARY!J71</f>
        <v>0.49146009120450013</v>
      </c>
    </row>
    <row r="69" spans="1:14" s="276" customFormat="1">
      <c r="A69" s="295">
        <v>280</v>
      </c>
      <c r="B69" s="297" t="s">
        <v>258</v>
      </c>
      <c r="C69" s="490">
        <f>'[46]Sch C'!D62</f>
        <v>5714</v>
      </c>
      <c r="D69" s="490">
        <f>'[46]Sch C'!F62</f>
        <v>0</v>
      </c>
      <c r="E69" s="249">
        <f t="shared" si="9"/>
        <v>5714</v>
      </c>
      <c r="F69" s="249">
        <v>0</v>
      </c>
      <c r="G69" s="249">
        <f t="shared" si="10"/>
        <v>5714</v>
      </c>
      <c r="H69" s="280">
        <f t="shared" si="11"/>
        <v>7.8196283951924316E-4</v>
      </c>
      <c r="I69" s="349"/>
      <c r="J69" s="530"/>
      <c r="K69" s="527"/>
      <c r="M69" s="360">
        <f t="shared" si="12"/>
        <v>0.2192800675416379</v>
      </c>
      <c r="N69" s="360">
        <f>SUMMARY!J72</f>
        <v>0.1883559924633407</v>
      </c>
    </row>
    <row r="70" spans="1:14" s="276" customFormat="1">
      <c r="A70" s="295">
        <v>290</v>
      </c>
      <c r="B70" s="297" t="s">
        <v>259</v>
      </c>
      <c r="C70" s="490">
        <f>'[46]Sch C'!D63</f>
        <v>0</v>
      </c>
      <c r="D70" s="490">
        <f>'[46]Sch C'!F63</f>
        <v>0</v>
      </c>
      <c r="E70" s="249">
        <f t="shared" si="9"/>
        <v>0</v>
      </c>
      <c r="F70" s="249">
        <v>0</v>
      </c>
      <c r="G70" s="249">
        <f t="shared" si="10"/>
        <v>0</v>
      </c>
      <c r="H70" s="280">
        <f t="shared" si="11"/>
        <v>0</v>
      </c>
      <c r="I70" s="349"/>
      <c r="J70" s="530"/>
      <c r="K70" s="527"/>
      <c r="M70" s="360">
        <f t="shared" si="12"/>
        <v>0</v>
      </c>
      <c r="N70" s="360">
        <f>SUMMARY!J73</f>
        <v>5.2595996832418557E-3</v>
      </c>
    </row>
    <row r="71" spans="1:14" s="276" customFormat="1">
      <c r="A71" s="295">
        <v>300</v>
      </c>
      <c r="B71" s="297" t="s">
        <v>260</v>
      </c>
      <c r="C71" s="490">
        <f>'[46]Sch C'!D64</f>
        <v>0</v>
      </c>
      <c r="D71" s="490">
        <f>'[46]Sch C'!F64</f>
        <v>0</v>
      </c>
      <c r="E71" s="249">
        <f t="shared" si="9"/>
        <v>0</v>
      </c>
      <c r="F71" s="249">
        <v>0</v>
      </c>
      <c r="G71" s="249">
        <f t="shared" si="10"/>
        <v>0</v>
      </c>
      <c r="H71" s="280">
        <f t="shared" si="11"/>
        <v>0</v>
      </c>
      <c r="I71" s="349"/>
      <c r="J71" s="530"/>
      <c r="K71" s="527"/>
      <c r="M71" s="360">
        <f t="shared" si="12"/>
        <v>0</v>
      </c>
      <c r="N71" s="360">
        <f>SUMMARY!J74</f>
        <v>1.1578056306490812E-3</v>
      </c>
    </row>
    <row r="72" spans="1:14" s="276" customFormat="1">
      <c r="A72" s="295">
        <v>310</v>
      </c>
      <c r="B72" s="297" t="s">
        <v>310</v>
      </c>
      <c r="C72" s="490">
        <f>'[46]Sch C'!D65</f>
        <v>0</v>
      </c>
      <c r="D72" s="490">
        <f>'[46]Sch C'!F65</f>
        <v>0</v>
      </c>
      <c r="E72" s="249">
        <f t="shared" si="9"/>
        <v>0</v>
      </c>
      <c r="F72" s="249">
        <v>0</v>
      </c>
      <c r="G72" s="249">
        <f t="shared" si="10"/>
        <v>0</v>
      </c>
      <c r="H72" s="280">
        <f t="shared" si="11"/>
        <v>0</v>
      </c>
      <c r="I72" s="349"/>
      <c r="J72" s="530"/>
      <c r="K72" s="527"/>
      <c r="M72" s="360">
        <f t="shared" si="12"/>
        <v>0</v>
      </c>
      <c r="N72" s="360">
        <f>SUMMARY!J75</f>
        <v>0.1407368559023511</v>
      </c>
    </row>
    <row r="73" spans="1:14" s="276" customFormat="1">
      <c r="A73" s="295">
        <v>320</v>
      </c>
      <c r="B73" s="297" t="s">
        <v>262</v>
      </c>
      <c r="C73" s="490">
        <f>'[46]Sch C'!D66</f>
        <v>0</v>
      </c>
      <c r="D73" s="490">
        <f>'[46]Sch C'!F66</f>
        <v>0</v>
      </c>
      <c r="E73" s="249">
        <f t="shared" si="9"/>
        <v>0</v>
      </c>
      <c r="F73" s="249">
        <v>0</v>
      </c>
      <c r="G73" s="249">
        <f t="shared" si="10"/>
        <v>0</v>
      </c>
      <c r="H73" s="280">
        <f t="shared" si="11"/>
        <v>0</v>
      </c>
      <c r="I73" s="349"/>
      <c r="J73" s="530"/>
      <c r="K73" s="527"/>
      <c r="M73" s="360">
        <f t="shared" si="12"/>
        <v>0</v>
      </c>
      <c r="N73" s="360">
        <f>SUMMARY!J76</f>
        <v>1.0094065700008192</v>
      </c>
    </row>
    <row r="74" spans="1:14" s="276" customFormat="1">
      <c r="A74" s="295">
        <v>330</v>
      </c>
      <c r="B74" s="297" t="s">
        <v>263</v>
      </c>
      <c r="C74" s="490">
        <f>'[46]Sch C'!D67</f>
        <v>57085</v>
      </c>
      <c r="D74" s="490">
        <f>'[46]Sch C'!F67</f>
        <v>27709</v>
      </c>
      <c r="E74" s="249">
        <f t="shared" si="9"/>
        <v>84794</v>
      </c>
      <c r="F74" s="249">
        <v>549</v>
      </c>
      <c r="G74" s="249">
        <f t="shared" si="10"/>
        <v>85343</v>
      </c>
      <c r="H74" s="280">
        <f t="shared" si="11"/>
        <v>1.1679218518216794E-2</v>
      </c>
      <c r="I74" s="349"/>
      <c r="J74" s="530"/>
      <c r="K74" s="527"/>
      <c r="M74" s="360">
        <f t="shared" si="12"/>
        <v>3.2751170465883797</v>
      </c>
      <c r="N74" s="360">
        <f>SUMMARY!J77</f>
        <v>2.7436852176043502</v>
      </c>
    </row>
    <row r="75" spans="1:14" s="276" customFormat="1">
      <c r="A75" s="295">
        <v>340</v>
      </c>
      <c r="B75" s="297" t="s">
        <v>264</v>
      </c>
      <c r="C75" s="490">
        <f>'[46]Sch C'!D68</f>
        <v>0</v>
      </c>
      <c r="D75" s="490">
        <f>'[46]Sch C'!F68</f>
        <v>0</v>
      </c>
      <c r="E75" s="249">
        <f t="shared" si="9"/>
        <v>0</v>
      </c>
      <c r="F75" s="249">
        <v>0</v>
      </c>
      <c r="G75" s="249">
        <f t="shared" si="10"/>
        <v>0</v>
      </c>
      <c r="H75" s="280">
        <f t="shared" si="11"/>
        <v>0</v>
      </c>
      <c r="I75" s="349"/>
      <c r="J75" s="530"/>
      <c r="K75" s="527"/>
      <c r="M75" s="360">
        <f t="shared" si="12"/>
        <v>0</v>
      </c>
      <c r="N75" s="360">
        <f>SUMMARY!J78</f>
        <v>3.656503099314601E-3</v>
      </c>
    </row>
    <row r="76" spans="1:14" s="276" customFormat="1">
      <c r="A76" s="276">
        <v>350</v>
      </c>
      <c r="B76" s="195" t="s">
        <v>311</v>
      </c>
      <c r="C76" s="490">
        <f>'[46]Sch C'!D69</f>
        <v>0</v>
      </c>
      <c r="D76" s="490">
        <f>'[46]Sch C'!F69</f>
        <v>0</v>
      </c>
      <c r="E76" s="249">
        <f t="shared" si="9"/>
        <v>0</v>
      </c>
      <c r="F76" s="672">
        <v>3014</v>
      </c>
      <c r="G76" s="249">
        <f t="shared" si="10"/>
        <v>3014</v>
      </c>
      <c r="H76" s="280">
        <f t="shared" si="11"/>
        <v>4.1246692305057733E-4</v>
      </c>
      <c r="I76" s="349"/>
      <c r="J76" s="530"/>
      <c r="K76" s="527"/>
      <c r="M76" s="360">
        <f t="shared" si="12"/>
        <v>0.11566505487758078</v>
      </c>
      <c r="N76" s="360">
        <f>SUMMARY!J79</f>
        <v>0.13125994920946998</v>
      </c>
    </row>
    <row r="77" spans="1:14" s="276" customFormat="1">
      <c r="A77" s="295">
        <v>360</v>
      </c>
      <c r="B77" s="297" t="s">
        <v>192</v>
      </c>
      <c r="C77" s="490">
        <f>'[46]Sch C'!D70</f>
        <v>0</v>
      </c>
      <c r="D77" s="490">
        <f>'[46]Sch C'!F70</f>
        <v>0</v>
      </c>
      <c r="E77" s="249">
        <f t="shared" si="9"/>
        <v>0</v>
      </c>
      <c r="F77" s="249">
        <v>0</v>
      </c>
      <c r="G77" s="249">
        <f t="shared" si="10"/>
        <v>0</v>
      </c>
      <c r="H77" s="280">
        <f t="shared" si="11"/>
        <v>0</v>
      </c>
      <c r="I77" s="349"/>
      <c r="J77" s="530"/>
      <c r="K77" s="527"/>
      <c r="M77" s="360">
        <f t="shared" si="12"/>
        <v>0</v>
      </c>
      <c r="N77" s="360">
        <f>SUMMARY!J80</f>
        <v>-2.2034898009338905E-2</v>
      </c>
    </row>
    <row r="78" spans="1:14" s="276" customFormat="1">
      <c r="A78" s="295">
        <v>490</v>
      </c>
      <c r="B78" s="297" t="s">
        <v>312</v>
      </c>
      <c r="C78" s="490">
        <f>'[46]Sch C'!D71</f>
        <v>0</v>
      </c>
      <c r="D78" s="490">
        <f>'[46]Sch C'!F71</f>
        <v>0</v>
      </c>
      <c r="E78" s="249">
        <f t="shared" si="9"/>
        <v>0</v>
      </c>
      <c r="F78" s="249">
        <v>0</v>
      </c>
      <c r="G78" s="249">
        <f t="shared" si="10"/>
        <v>0</v>
      </c>
      <c r="H78" s="280">
        <f t="shared" si="11"/>
        <v>0</v>
      </c>
      <c r="I78" s="349"/>
      <c r="J78" s="530"/>
      <c r="K78" s="527"/>
      <c r="M78" s="360">
        <f t="shared" si="12"/>
        <v>0</v>
      </c>
      <c r="N78" s="360">
        <f>SUMMARY!J81</f>
        <v>3.1060648261926221E-3</v>
      </c>
    </row>
    <row r="79" spans="1:14" s="276" customFormat="1">
      <c r="A79" s="272"/>
      <c r="B79" s="279" t="s">
        <v>150</v>
      </c>
      <c r="C79" s="490">
        <f>SUM(C64:C78)</f>
        <v>309317</v>
      </c>
      <c r="D79" s="490">
        <f>SUM(D64:D78)</f>
        <v>144104</v>
      </c>
      <c r="E79" s="249">
        <f t="shared" ref="E79:F79" si="13">SUM(E64:E78)</f>
        <v>453421</v>
      </c>
      <c r="F79" s="249">
        <f t="shared" si="13"/>
        <v>212755</v>
      </c>
      <c r="G79" s="249">
        <f>SUM(G64:G78)</f>
        <v>666176</v>
      </c>
      <c r="H79" s="280">
        <f t="shared" si="11"/>
        <v>9.1166411722011079E-2</v>
      </c>
      <c r="I79" s="349"/>
      <c r="J79" s="530"/>
      <c r="K79" s="527"/>
      <c r="M79" s="360">
        <f t="shared" si="12"/>
        <v>25.565123954255892</v>
      </c>
      <c r="N79" s="360">
        <f>SUMMARY!J82</f>
        <v>21.548739024618541</v>
      </c>
    </row>
    <row r="80" spans="1:14" s="276" customFormat="1">
      <c r="A80" s="272"/>
      <c r="B80" s="279"/>
      <c r="C80" s="196"/>
      <c r="D80" s="196"/>
      <c r="E80" s="298"/>
      <c r="F80" s="298"/>
      <c r="G80" s="298"/>
      <c r="H80" s="299"/>
      <c r="I80" s="349"/>
      <c r="J80" s="527"/>
      <c r="K80" s="527"/>
      <c r="M80" s="360"/>
      <c r="N80" s="360"/>
    </row>
    <row r="81" spans="1:14" s="276" customFormat="1">
      <c r="A81" s="278" t="s">
        <v>163</v>
      </c>
      <c r="B81" s="279" t="s">
        <v>43</v>
      </c>
      <c r="C81" s="165"/>
      <c r="D81" s="165"/>
      <c r="E81" s="274"/>
      <c r="F81" s="274"/>
      <c r="G81" s="274"/>
      <c r="H81" s="300"/>
      <c r="I81" s="351"/>
      <c r="J81" s="527"/>
      <c r="K81" s="527"/>
      <c r="M81" s="360"/>
      <c r="N81" s="360"/>
    </row>
    <row r="82" spans="1:14" s="276" customFormat="1">
      <c r="A82" s="278" t="s">
        <v>85</v>
      </c>
      <c r="B82" s="301" t="s">
        <v>44</v>
      </c>
      <c r="C82" s="490">
        <f>'[46]Sch C'!D75</f>
        <v>23834</v>
      </c>
      <c r="D82" s="490">
        <f>'[46]Sch C'!F75</f>
        <v>0</v>
      </c>
      <c r="E82" s="249">
        <f t="shared" ref="E82:E92" si="14">C82+D82</f>
        <v>23834</v>
      </c>
      <c r="F82" s="673">
        <v>16761</v>
      </c>
      <c r="G82" s="249">
        <f t="shared" ref="G82:G92" si="15">E82+F82</f>
        <v>40595</v>
      </c>
      <c r="H82" s="280">
        <f t="shared" ref="H82:H93" si="16">IF($G$208=0,0,G82/$G$208)</f>
        <v>5.555439529276107E-3</v>
      </c>
      <c r="I82" s="349"/>
      <c r="J82" s="492">
        <v>1181</v>
      </c>
      <c r="K82" s="492">
        <v>1213</v>
      </c>
      <c r="M82" s="360">
        <f t="shared" ref="M82:M92" si="17">G82/G$228</f>
        <v>1.5578709033694067</v>
      </c>
      <c r="N82" s="360">
        <f>SUMMARY!J85</f>
        <v>2.3611771060320579</v>
      </c>
    </row>
    <row r="83" spans="1:14" s="276" customFormat="1">
      <c r="A83" s="278" t="s">
        <v>86</v>
      </c>
      <c r="B83" s="302" t="s">
        <v>45</v>
      </c>
      <c r="C83" s="490">
        <f>'[46]Sch C'!D76</f>
        <v>6038</v>
      </c>
      <c r="D83" s="490">
        <f>'[46]Sch C'!F76</f>
        <v>0</v>
      </c>
      <c r="E83" s="249">
        <f t="shared" si="14"/>
        <v>6038</v>
      </c>
      <c r="F83" s="673">
        <v>4139</v>
      </c>
      <c r="G83" s="249">
        <f t="shared" si="15"/>
        <v>10177</v>
      </c>
      <c r="H83" s="280">
        <f t="shared" si="16"/>
        <v>1.3927259044080045E-3</v>
      </c>
      <c r="I83" s="349"/>
      <c r="J83" s="527"/>
      <c r="K83" s="527"/>
      <c r="M83" s="360">
        <f t="shared" si="17"/>
        <v>0.39055184588226266</v>
      </c>
      <c r="N83" s="360">
        <f>SUMMARY!J86</f>
        <v>0.43858787942165905</v>
      </c>
    </row>
    <row r="84" spans="1:14" s="276" customFormat="1">
      <c r="A84" s="278" t="s">
        <v>93</v>
      </c>
      <c r="B84" s="302" t="s">
        <v>47</v>
      </c>
      <c r="C84" s="490">
        <f>'[46]Sch C'!D77</f>
        <v>8888</v>
      </c>
      <c r="D84" s="490">
        <f>'[46]Sch C'!F77</f>
        <v>0</v>
      </c>
      <c r="E84" s="249">
        <f t="shared" si="14"/>
        <v>8888</v>
      </c>
      <c r="F84" s="249">
        <v>3331</v>
      </c>
      <c r="G84" s="249">
        <f t="shared" si="15"/>
        <v>12219</v>
      </c>
      <c r="H84" s="280">
        <f t="shared" si="16"/>
        <v>1.6721742975298621E-3</v>
      </c>
      <c r="I84" s="349"/>
      <c r="J84" s="527"/>
      <c r="K84" s="527"/>
      <c r="M84" s="360">
        <f t="shared" si="17"/>
        <v>0.46891549620078288</v>
      </c>
      <c r="N84" s="360">
        <f>SUMMARY!J87</f>
        <v>0.65296275361131606</v>
      </c>
    </row>
    <row r="85" spans="1:14" s="276" customFormat="1">
      <c r="A85" s="278">
        <v>230</v>
      </c>
      <c r="B85" s="302" t="s">
        <v>46</v>
      </c>
      <c r="C85" s="490">
        <f>'[46]Sch C'!D78</f>
        <v>27692</v>
      </c>
      <c r="D85" s="490">
        <f>'[46]Sch C'!F78</f>
        <v>2033</v>
      </c>
      <c r="E85" s="249">
        <f t="shared" si="14"/>
        <v>29725</v>
      </c>
      <c r="F85" s="249">
        <v>19833</v>
      </c>
      <c r="G85" s="249">
        <f t="shared" si="15"/>
        <v>49558</v>
      </c>
      <c r="H85" s="280">
        <f t="shared" si="16"/>
        <v>6.7820291216126446E-3</v>
      </c>
      <c r="I85" s="349"/>
      <c r="J85" s="527"/>
      <c r="K85" s="527"/>
      <c r="M85" s="360">
        <f t="shared" si="17"/>
        <v>1.9018343694834601</v>
      </c>
      <c r="N85" s="360">
        <f>SUMMARY!J88</f>
        <v>0.36999472433849429</v>
      </c>
    </row>
    <row r="86" spans="1:14" s="276" customFormat="1">
      <c r="A86" s="278">
        <v>240</v>
      </c>
      <c r="B86" s="303" t="s">
        <v>267</v>
      </c>
      <c r="C86" s="490">
        <f>'[46]Sch C'!D79</f>
        <v>29506</v>
      </c>
      <c r="D86" s="490">
        <f>'[46]Sch C'!F79</f>
        <v>0</v>
      </c>
      <c r="E86" s="249">
        <f t="shared" si="14"/>
        <v>29506</v>
      </c>
      <c r="F86" s="249">
        <v>15134</v>
      </c>
      <c r="G86" s="249">
        <f>E86+F86</f>
        <v>44640</v>
      </c>
      <c r="H86" s="280">
        <f t="shared" si="16"/>
        <v>6.1089991522819418E-3</v>
      </c>
      <c r="I86" s="349"/>
      <c r="J86" s="527"/>
      <c r="K86" s="527"/>
      <c r="M86" s="360">
        <f t="shared" si="17"/>
        <v>1.7131015427124108</v>
      </c>
      <c r="N86" s="360">
        <f>SUMMARY!J89</f>
        <v>0.47828681903825671</v>
      </c>
    </row>
    <row r="87" spans="1:14" s="276" customFormat="1">
      <c r="A87" s="278">
        <v>310</v>
      </c>
      <c r="B87" s="302" t="s">
        <v>54</v>
      </c>
      <c r="C87" s="490">
        <f>'[46]Sch C'!D80</f>
        <v>20188</v>
      </c>
      <c r="D87" s="490">
        <f>'[46]Sch C'!F80</f>
        <v>0</v>
      </c>
      <c r="E87" s="249">
        <f t="shared" si="14"/>
        <v>20188</v>
      </c>
      <c r="F87" s="672">
        <f>36203-20822</f>
        <v>15381</v>
      </c>
      <c r="G87" s="249">
        <f t="shared" si="15"/>
        <v>35569</v>
      </c>
      <c r="H87" s="280">
        <f t="shared" si="16"/>
        <v>4.8676297232866572E-3</v>
      </c>
      <c r="I87" s="349"/>
      <c r="J87" s="527"/>
      <c r="K87" s="527"/>
      <c r="M87" s="360">
        <f t="shared" si="17"/>
        <v>1.3649934760917952</v>
      </c>
      <c r="N87" s="360">
        <f>SUMMARY!J90</f>
        <v>0.92217461565768266</v>
      </c>
    </row>
    <row r="88" spans="1:14" s="276" customFormat="1">
      <c r="A88" s="278">
        <v>320</v>
      </c>
      <c r="B88" s="304" t="s">
        <v>313</v>
      </c>
      <c r="C88" s="490">
        <f>'[46]Sch C'!D81</f>
        <v>218</v>
      </c>
      <c r="D88" s="490">
        <f>'[46]Sch C'!F81</f>
        <v>0</v>
      </c>
      <c r="E88" s="249">
        <f t="shared" si="14"/>
        <v>218</v>
      </c>
      <c r="F88" s="249">
        <v>75</v>
      </c>
      <c r="G88" s="249">
        <f t="shared" si="15"/>
        <v>293</v>
      </c>
      <c r="H88" s="280">
        <f t="shared" si="16"/>
        <v>4.0097149453821883E-5</v>
      </c>
      <c r="I88" s="349"/>
      <c r="J88" s="527"/>
      <c r="K88" s="527"/>
      <c r="M88" s="360">
        <f t="shared" si="17"/>
        <v>1.1244147670581012E-2</v>
      </c>
      <c r="N88" s="360">
        <f>SUMMARY!J91</f>
        <v>0.61441790229649651</v>
      </c>
    </row>
    <row r="89" spans="1:14" s="276" customFormat="1">
      <c r="A89" s="278">
        <v>330</v>
      </c>
      <c r="B89" s="304" t="s">
        <v>314</v>
      </c>
      <c r="C89" s="490">
        <f>'[46]Sch C'!D82</f>
        <v>768</v>
      </c>
      <c r="D89" s="490">
        <f>'[46]Sch C'!F82</f>
        <v>0</v>
      </c>
      <c r="E89" s="249">
        <f t="shared" si="14"/>
        <v>768</v>
      </c>
      <c r="F89" s="249">
        <v>2993</v>
      </c>
      <c r="G89" s="249">
        <f t="shared" si="15"/>
        <v>3761</v>
      </c>
      <c r="H89" s="280">
        <f t="shared" si="16"/>
        <v>5.1469412660690823E-4</v>
      </c>
      <c r="I89" s="349"/>
      <c r="J89" s="527"/>
      <c r="K89" s="527"/>
      <c r="M89" s="360">
        <f t="shared" si="17"/>
        <v>0.1443318750479699</v>
      </c>
      <c r="N89" s="360">
        <f>SUMMARY!J92</f>
        <v>0.48799148575953694</v>
      </c>
    </row>
    <row r="90" spans="1:14" s="276" customFormat="1">
      <c r="A90" s="272">
        <v>340</v>
      </c>
      <c r="B90" s="304" t="s">
        <v>349</v>
      </c>
      <c r="C90" s="490">
        <f>'[46]Sch C'!D83</f>
        <v>0</v>
      </c>
      <c r="D90" s="490">
        <f>'[46]Sch C'!F83</f>
        <v>0</v>
      </c>
      <c r="E90" s="249">
        <f t="shared" si="14"/>
        <v>0</v>
      </c>
      <c r="F90" s="249">
        <v>0</v>
      </c>
      <c r="G90" s="249">
        <f t="shared" si="15"/>
        <v>0</v>
      </c>
      <c r="H90" s="280">
        <f t="shared" si="16"/>
        <v>0</v>
      </c>
      <c r="I90" s="349"/>
      <c r="J90" s="527"/>
      <c r="K90" s="527"/>
      <c r="M90" s="360">
        <f t="shared" si="17"/>
        <v>0</v>
      </c>
      <c r="N90" s="360">
        <f>SUMMARY!J93</f>
        <v>0.19293963026678682</v>
      </c>
    </row>
    <row r="91" spans="1:14" s="276" customFormat="1">
      <c r="A91" s="272">
        <v>350</v>
      </c>
      <c r="B91" s="302" t="s">
        <v>49</v>
      </c>
      <c r="C91" s="490">
        <f>'[46]Sch C'!D84</f>
        <v>77607</v>
      </c>
      <c r="D91" s="490">
        <f>'[46]Sch C'!F84</f>
        <v>1674</v>
      </c>
      <c r="E91" s="249">
        <f t="shared" si="14"/>
        <v>79281</v>
      </c>
      <c r="F91" s="672">
        <f>63965-2876</f>
        <v>61089</v>
      </c>
      <c r="G91" s="249">
        <f t="shared" si="15"/>
        <v>140370</v>
      </c>
      <c r="H91" s="280">
        <f t="shared" si="16"/>
        <v>1.9209682146187637E-2</v>
      </c>
      <c r="I91" s="349"/>
      <c r="J91" s="527"/>
      <c r="K91" s="527"/>
      <c r="M91" s="360">
        <f t="shared" si="17"/>
        <v>5.3868293806124798</v>
      </c>
      <c r="N91" s="360">
        <f>SUMMARY!J94</f>
        <v>4.5521505201933312</v>
      </c>
    </row>
    <row r="92" spans="1:14" s="276" customFormat="1">
      <c r="A92" s="272">
        <v>490</v>
      </c>
      <c r="B92" s="301" t="s">
        <v>312</v>
      </c>
      <c r="C92" s="490">
        <f>'[46]Sch C'!D85</f>
        <v>325</v>
      </c>
      <c r="D92" s="490">
        <f>'[46]Sch C'!F85</f>
        <v>0</v>
      </c>
      <c r="E92" s="249">
        <f t="shared" si="14"/>
        <v>325</v>
      </c>
      <c r="F92" s="249">
        <v>280</v>
      </c>
      <c r="G92" s="249">
        <f t="shared" si="15"/>
        <v>605</v>
      </c>
      <c r="H92" s="280">
        <f t="shared" si="16"/>
        <v>8.2794455356867712E-5</v>
      </c>
      <c r="I92" s="349"/>
      <c r="J92" s="527"/>
      <c r="K92" s="527"/>
      <c r="M92" s="360">
        <f t="shared" si="17"/>
        <v>2.3217438022872055E-2</v>
      </c>
      <c r="N92" s="360">
        <f>SUMMARY!J95</f>
        <v>0.10456320690314301</v>
      </c>
    </row>
    <row r="93" spans="1:14" s="276" customFormat="1">
      <c r="A93" s="272"/>
      <c r="B93" s="279" t="s">
        <v>50</v>
      </c>
      <c r="C93" s="490">
        <f>SUM(C82:C92)</f>
        <v>195064</v>
      </c>
      <c r="D93" s="490">
        <f>SUM(D82:D92)</f>
        <v>3707</v>
      </c>
      <c r="E93" s="249">
        <f t="shared" ref="E93:F93" si="18">SUM(E82:E92)</f>
        <v>198771</v>
      </c>
      <c r="F93" s="249">
        <f t="shared" si="18"/>
        <v>139016</v>
      </c>
      <c r="G93" s="249">
        <f>SUM(G82:G92)</f>
        <v>337787</v>
      </c>
      <c r="H93" s="280">
        <f t="shared" si="16"/>
        <v>4.6226265606000454E-2</v>
      </c>
      <c r="I93" s="349"/>
      <c r="J93" s="527"/>
      <c r="K93" s="527"/>
      <c r="M93" s="367">
        <f>G93/G$228</f>
        <v>12.962890475094021</v>
      </c>
      <c r="N93" s="360">
        <f>SUMMARY!J96</f>
        <v>11.17524664351876</v>
      </c>
    </row>
    <row r="94" spans="1:14" s="276" customFormat="1">
      <c r="A94" s="272"/>
      <c r="C94" s="165"/>
      <c r="D94" s="165"/>
      <c r="E94" s="274"/>
      <c r="F94" s="274"/>
      <c r="G94" s="274"/>
      <c r="H94" s="300"/>
      <c r="I94" s="351"/>
      <c r="J94" s="527"/>
      <c r="K94" s="527"/>
      <c r="M94" s="360"/>
      <c r="N94" s="360"/>
    </row>
    <row r="95" spans="1:14" s="276" customFormat="1">
      <c r="A95" s="278" t="s">
        <v>164</v>
      </c>
      <c r="B95" s="279" t="s">
        <v>51</v>
      </c>
      <c r="C95" s="165"/>
      <c r="D95" s="165"/>
      <c r="E95" s="274"/>
      <c r="F95" s="274"/>
      <c r="G95" s="274"/>
      <c r="H95" s="300"/>
      <c r="I95" s="351"/>
      <c r="J95" s="527"/>
      <c r="K95" s="527"/>
      <c r="M95" s="360"/>
      <c r="N95" s="360"/>
    </row>
    <row r="96" spans="1:14" s="276" customFormat="1">
      <c r="A96" s="278" t="s">
        <v>85</v>
      </c>
      <c r="B96" s="279" t="s">
        <v>44</v>
      </c>
      <c r="C96" s="490">
        <f>'[46]Sch C'!D89</f>
        <v>151528</v>
      </c>
      <c r="D96" s="490">
        <f>'[46]Sch C'!F89</f>
        <v>0</v>
      </c>
      <c r="E96" s="249">
        <f t="shared" ref="E96:E101" si="19">C96+D96</f>
        <v>151528</v>
      </c>
      <c r="F96" s="672">
        <v>81367</v>
      </c>
      <c r="G96" s="249">
        <f t="shared" ref="G96:G101" si="20">E96+F96</f>
        <v>232895</v>
      </c>
      <c r="H96" s="280">
        <f t="shared" ref="H96:H102" si="21">IF($G$208=0,0,G96/$G$208)</f>
        <v>3.1871759802211082E-2</v>
      </c>
      <c r="I96" s="349"/>
      <c r="J96" s="492">
        <v>9600</v>
      </c>
      <c r="K96" s="492">
        <v>9978</v>
      </c>
      <c r="M96" s="367">
        <f t="shared" ref="M96:M101" si="22">G96/G$228</f>
        <v>8.9375623608872523</v>
      </c>
      <c r="N96" s="360">
        <f>SUMMARY!J99</f>
        <v>8.2060376122989549</v>
      </c>
    </row>
    <row r="97" spans="1:14" s="276" customFormat="1">
      <c r="A97" s="278" t="s">
        <v>86</v>
      </c>
      <c r="B97" s="279" t="s">
        <v>45</v>
      </c>
      <c r="C97" s="490">
        <f>'[46]Sch C'!D90</f>
        <v>32782</v>
      </c>
      <c r="D97" s="490">
        <f>'[46]Sch C'!F90</f>
        <v>0</v>
      </c>
      <c r="E97" s="249">
        <f t="shared" si="19"/>
        <v>32782</v>
      </c>
      <c r="F97" s="672">
        <v>20983</v>
      </c>
      <c r="G97" s="249">
        <f t="shared" si="20"/>
        <v>53765</v>
      </c>
      <c r="H97" s="280">
        <f t="shared" si="21"/>
        <v>7.357758499606599E-3</v>
      </c>
      <c r="I97" s="349"/>
      <c r="J97" s="527"/>
      <c r="K97" s="527"/>
      <c r="M97" s="367">
        <f t="shared" si="22"/>
        <v>2.0632819095863075</v>
      </c>
      <c r="N97" s="360">
        <f>SUMMARY!J100</f>
        <v>1.4669439852641635</v>
      </c>
    </row>
    <row r="98" spans="1:14" s="276" customFormat="1">
      <c r="A98" s="278">
        <v>310</v>
      </c>
      <c r="B98" s="279" t="s">
        <v>54</v>
      </c>
      <c r="C98" s="490">
        <f>'[46]Sch C'!D91</f>
        <v>2394</v>
      </c>
      <c r="D98" s="490">
        <f>'[46]Sch C'!F91</f>
        <v>0</v>
      </c>
      <c r="E98" s="249">
        <f t="shared" si="19"/>
        <v>2394</v>
      </c>
      <c r="F98" s="672">
        <f>105582-103958</f>
        <v>1624</v>
      </c>
      <c r="G98" s="249">
        <f t="shared" si="20"/>
        <v>4018</v>
      </c>
      <c r="H98" s="280">
        <f t="shared" si="21"/>
        <v>5.4986466384114791E-4</v>
      </c>
      <c r="I98" s="349"/>
      <c r="J98" s="527"/>
      <c r="K98" s="527"/>
      <c r="M98" s="367">
        <f t="shared" si="22"/>
        <v>0.1541944892163635</v>
      </c>
      <c r="N98" s="360">
        <f>SUMMARY!J101</f>
        <v>1.183530597198329</v>
      </c>
    </row>
    <row r="99" spans="1:14" s="276" customFormat="1">
      <c r="A99" s="278">
        <v>380</v>
      </c>
      <c r="B99" s="279" t="s">
        <v>52</v>
      </c>
      <c r="C99" s="490">
        <f>'[46]Sch C'!D92</f>
        <v>115820</v>
      </c>
      <c r="D99" s="490">
        <f>'[46]Sch C'!F92</f>
        <v>0</v>
      </c>
      <c r="E99" s="249">
        <f t="shared" si="19"/>
        <v>115820</v>
      </c>
      <c r="F99" s="249">
        <v>77881</v>
      </c>
      <c r="G99" s="249">
        <f t="shared" si="20"/>
        <v>193701</v>
      </c>
      <c r="H99" s="280">
        <f t="shared" si="21"/>
        <v>2.6508047598480383E-2</v>
      </c>
      <c r="I99" s="349"/>
      <c r="J99" s="527"/>
      <c r="K99" s="527"/>
      <c r="M99" s="367">
        <f t="shared" si="22"/>
        <v>7.4334561363113059</v>
      </c>
      <c r="N99" s="360">
        <f>SUMMARY!J102</f>
        <v>7.0821094672455693</v>
      </c>
    </row>
    <row r="100" spans="1:14" s="276" customFormat="1">
      <c r="A100" s="278">
        <v>390</v>
      </c>
      <c r="B100" s="279" t="s">
        <v>53</v>
      </c>
      <c r="C100" s="490">
        <f>'[46]Sch C'!D93</f>
        <v>5227</v>
      </c>
      <c r="D100" s="490">
        <f>'[46]Sch C'!F93</f>
        <v>0</v>
      </c>
      <c r="E100" s="249">
        <f t="shared" si="19"/>
        <v>5227</v>
      </c>
      <c r="F100" s="249">
        <v>3224</v>
      </c>
      <c r="G100" s="249">
        <f t="shared" si="20"/>
        <v>8451</v>
      </c>
      <c r="H100" s="280">
        <f t="shared" si="21"/>
        <v>1.1565222185469239E-3</v>
      </c>
      <c r="I100" s="349"/>
      <c r="J100" s="527"/>
      <c r="K100" s="527"/>
      <c r="M100" s="367">
        <f t="shared" si="22"/>
        <v>0.32431498963849875</v>
      </c>
      <c r="N100" s="360">
        <f>SUMMARY!J103</f>
        <v>0.68088587422517122</v>
      </c>
    </row>
    <row r="101" spans="1:14" s="276" customFormat="1">
      <c r="A101" s="278">
        <v>490</v>
      </c>
      <c r="B101" s="23" t="s">
        <v>312</v>
      </c>
      <c r="C101" s="490">
        <f>'[46]Sch C'!D94</f>
        <v>4768</v>
      </c>
      <c r="D101" s="490">
        <f>'[46]Sch C'!F94</f>
        <v>0</v>
      </c>
      <c r="E101" s="249">
        <f t="shared" si="19"/>
        <v>4768</v>
      </c>
      <c r="F101" s="249">
        <v>2769</v>
      </c>
      <c r="G101" s="249">
        <f t="shared" si="20"/>
        <v>7537</v>
      </c>
      <c r="H101" s="280">
        <f t="shared" si="21"/>
        <v>1.031441008305309E-3</v>
      </c>
      <c r="I101" s="349"/>
      <c r="J101" s="527"/>
      <c r="K101" s="527"/>
      <c r="M101" s="367">
        <f t="shared" si="22"/>
        <v>0.28923938905518459</v>
      </c>
      <c r="N101" s="360">
        <f>SUMMARY!J104</f>
        <v>6.9797777231643043E-2</v>
      </c>
    </row>
    <row r="102" spans="1:14" s="276" customFormat="1">
      <c r="A102" s="278"/>
      <c r="B102" s="279" t="s">
        <v>55</v>
      </c>
      <c r="C102" s="490">
        <f>SUM(C96:C101)</f>
        <v>312519</v>
      </c>
      <c r="D102" s="490">
        <f>SUM(D96:D101)</f>
        <v>0</v>
      </c>
      <c r="E102" s="249">
        <f t="shared" ref="E102:F102" si="23">SUM(E96:E101)</f>
        <v>312519</v>
      </c>
      <c r="F102" s="249">
        <f t="shared" si="23"/>
        <v>187848</v>
      </c>
      <c r="G102" s="249">
        <f>SUM(G96:G101)</f>
        <v>500367</v>
      </c>
      <c r="H102" s="280">
        <f t="shared" si="21"/>
        <v>6.8475393790991448E-2</v>
      </c>
      <c r="I102" s="349"/>
      <c r="J102" s="527"/>
      <c r="K102" s="527"/>
      <c r="M102" s="367">
        <f>G102/G$228</f>
        <v>19.202049274694911</v>
      </c>
      <c r="N102" s="360">
        <f>SUMMARY!J105</f>
        <v>18.68930531346383</v>
      </c>
    </row>
    <row r="103" spans="1:14" s="276" customFormat="1">
      <c r="A103" s="272"/>
      <c r="C103" s="165"/>
      <c r="D103" s="165"/>
      <c r="E103" s="274"/>
      <c r="F103" s="274"/>
      <c r="G103" s="274"/>
      <c r="H103" s="300"/>
      <c r="I103" s="351"/>
      <c r="J103" s="527"/>
      <c r="K103" s="527"/>
      <c r="M103" s="360"/>
      <c r="N103" s="360"/>
    </row>
    <row r="104" spans="1:14" s="276" customFormat="1">
      <c r="A104" s="278" t="s">
        <v>165</v>
      </c>
      <c r="B104" s="279" t="s">
        <v>56</v>
      </c>
      <c r="C104" s="165"/>
      <c r="D104" s="165"/>
      <c r="E104" s="274"/>
      <c r="F104" s="274"/>
      <c r="G104" s="274"/>
      <c r="H104" s="300"/>
      <c r="I104" s="351"/>
      <c r="J104" s="527"/>
      <c r="K104" s="527"/>
      <c r="M104" s="360"/>
      <c r="N104" s="360"/>
    </row>
    <row r="105" spans="1:14" s="276" customFormat="1">
      <c r="A105" s="278" t="s">
        <v>85</v>
      </c>
      <c r="B105" s="279" t="s">
        <v>44</v>
      </c>
      <c r="C105" s="490">
        <f>'[46]Sch C'!D98</f>
        <v>18672</v>
      </c>
      <c r="D105" s="490">
        <f>'[46]Sch C'!F98</f>
        <v>0</v>
      </c>
      <c r="E105" s="249">
        <f t="shared" ref="E105:E110" si="24">C105+D105</f>
        <v>18672</v>
      </c>
      <c r="F105" s="672">
        <v>12527</v>
      </c>
      <c r="G105" s="249">
        <f t="shared" ref="G105:G110" si="25">E105+F105</f>
        <v>31199</v>
      </c>
      <c r="H105" s="280">
        <f t="shared" ref="H105:H111" si="26">IF($G$208=0,0,G105/$G$208)</f>
        <v>4.2695937399651503E-3</v>
      </c>
      <c r="I105" s="349"/>
      <c r="J105" s="492">
        <v>1986</v>
      </c>
      <c r="K105" s="492">
        <v>2180</v>
      </c>
      <c r="M105" s="367">
        <f t="shared" ref="M105:M110" si="27">G105/G$228</f>
        <v>1.197290659298488</v>
      </c>
      <c r="N105" s="360">
        <f>SUMMARY!J108</f>
        <v>0.86506273995794769</v>
      </c>
    </row>
    <row r="106" spans="1:14" s="276" customFormat="1">
      <c r="A106" s="278" t="s">
        <v>86</v>
      </c>
      <c r="B106" s="279" t="s">
        <v>45</v>
      </c>
      <c r="C106" s="490">
        <f>'[46]Sch C'!D99</f>
        <v>5761</v>
      </c>
      <c r="D106" s="490">
        <f>'[46]Sch C'!F99</f>
        <v>0</v>
      </c>
      <c r="E106" s="249">
        <f t="shared" si="24"/>
        <v>5761</v>
      </c>
      <c r="F106" s="672">
        <v>4299</v>
      </c>
      <c r="G106" s="249">
        <f t="shared" si="25"/>
        <v>10060</v>
      </c>
      <c r="H106" s="280">
        <f t="shared" si="26"/>
        <v>1.3767144146943622E-3</v>
      </c>
      <c r="I106" s="349"/>
      <c r="J106" s="527"/>
      <c r="K106" s="527"/>
      <c r="M106" s="367">
        <f t="shared" si="27"/>
        <v>0.38606186200015352</v>
      </c>
      <c r="N106" s="360">
        <f>SUMMARY!J109</f>
        <v>0.16496038159209525</v>
      </c>
    </row>
    <row r="107" spans="1:14" s="276" customFormat="1">
      <c r="A107" s="278">
        <v>110</v>
      </c>
      <c r="B107" s="279" t="s">
        <v>47</v>
      </c>
      <c r="C107" s="490">
        <f>'[46]Sch C'!D100</f>
        <v>3957</v>
      </c>
      <c r="D107" s="490">
        <f>'[46]Sch C'!F100</f>
        <v>0</v>
      </c>
      <c r="E107" s="249">
        <f t="shared" si="24"/>
        <v>3957</v>
      </c>
      <c r="F107" s="249">
        <v>2652</v>
      </c>
      <c r="G107" s="249">
        <f t="shared" si="25"/>
        <v>6609</v>
      </c>
      <c r="H107" s="280">
        <f t="shared" si="26"/>
        <v>9.0444389331163419E-4</v>
      </c>
      <c r="I107" s="349"/>
      <c r="J107" s="527"/>
      <c r="K107" s="527"/>
      <c r="M107" s="367">
        <f t="shared" si="27"/>
        <v>0.25362652544324199</v>
      </c>
      <c r="N107" s="360">
        <f>SUMMARY!J110</f>
        <v>0.16555549548073512</v>
      </c>
    </row>
    <row r="108" spans="1:14" s="276" customFormat="1">
      <c r="A108" s="278">
        <v>310</v>
      </c>
      <c r="B108" s="279" t="s">
        <v>54</v>
      </c>
      <c r="C108" s="490">
        <f>'[46]Sch C'!D101</f>
        <v>528</v>
      </c>
      <c r="D108" s="490">
        <f>'[46]Sch C'!F101</f>
        <v>0</v>
      </c>
      <c r="E108" s="249">
        <f t="shared" si="24"/>
        <v>528</v>
      </c>
      <c r="F108" s="672">
        <f>16643-16643</f>
        <v>0</v>
      </c>
      <c r="G108" s="249">
        <f t="shared" si="25"/>
        <v>528</v>
      </c>
      <c r="H108" s="280">
        <f t="shared" si="26"/>
        <v>7.2256979220539094E-5</v>
      </c>
      <c r="I108" s="349"/>
      <c r="J108" s="527"/>
      <c r="K108" s="527"/>
      <c r="M108" s="367">
        <f t="shared" si="27"/>
        <v>2.0262491365415611E-2</v>
      </c>
      <c r="N108" s="360">
        <f>SUMMARY!J111</f>
        <v>0.8274336200540674</v>
      </c>
    </row>
    <row r="109" spans="1:14" s="276" customFormat="1">
      <c r="A109" s="278">
        <v>410</v>
      </c>
      <c r="B109" s="279" t="s">
        <v>57</v>
      </c>
      <c r="C109" s="490">
        <f>'[46]Sch C'!D102</f>
        <v>1546</v>
      </c>
      <c r="D109" s="490">
        <f>'[46]Sch C'!F102</f>
        <v>0</v>
      </c>
      <c r="E109" s="249">
        <f t="shared" si="24"/>
        <v>1546</v>
      </c>
      <c r="F109" s="249">
        <v>3233</v>
      </c>
      <c r="G109" s="249">
        <f t="shared" si="25"/>
        <v>4779</v>
      </c>
      <c r="H109" s="280">
        <f t="shared" si="26"/>
        <v>6.540077721495385E-4</v>
      </c>
      <c r="I109" s="349"/>
      <c r="J109" s="527"/>
      <c r="K109" s="527"/>
      <c r="M109" s="367">
        <f t="shared" si="27"/>
        <v>0.18339857241538107</v>
      </c>
      <c r="N109" s="360">
        <f>SUMMARY!J112</f>
        <v>0.23955234428333469</v>
      </c>
    </row>
    <row r="110" spans="1:14" s="276" customFormat="1">
      <c r="A110" s="278">
        <v>490</v>
      </c>
      <c r="B110" s="23" t="s">
        <v>312</v>
      </c>
      <c r="C110" s="490">
        <f>'[46]Sch C'!D103</f>
        <v>0</v>
      </c>
      <c r="D110" s="490">
        <f>'[46]Sch C'!F103</f>
        <v>0</v>
      </c>
      <c r="E110" s="249">
        <f t="shared" si="24"/>
        <v>0</v>
      </c>
      <c r="F110" s="249">
        <v>0</v>
      </c>
      <c r="G110" s="249">
        <f t="shared" si="25"/>
        <v>0</v>
      </c>
      <c r="H110" s="280">
        <f t="shared" si="26"/>
        <v>0</v>
      </c>
      <c r="I110" s="349"/>
      <c r="J110" s="527"/>
      <c r="K110" s="527"/>
      <c r="M110" s="367">
        <f t="shared" si="27"/>
        <v>0</v>
      </c>
      <c r="N110" s="360">
        <f>SUMMARY!J113</f>
        <v>7.1067748013434922E-3</v>
      </c>
    </row>
    <row r="111" spans="1:14" s="276" customFormat="1">
      <c r="A111" s="272"/>
      <c r="B111" s="279" t="s">
        <v>58</v>
      </c>
      <c r="C111" s="490">
        <f>SUM(C105:C110)</f>
        <v>30464</v>
      </c>
      <c r="D111" s="490">
        <f>SUM(D105:D110)</f>
        <v>0</v>
      </c>
      <c r="E111" s="249">
        <f t="shared" ref="E111:F111" si="28">SUM(E105:E110)</f>
        <v>30464</v>
      </c>
      <c r="F111" s="249">
        <f t="shared" si="28"/>
        <v>22711</v>
      </c>
      <c r="G111" s="249">
        <f>SUM(G105:G110)</f>
        <v>53175</v>
      </c>
      <c r="H111" s="280">
        <f t="shared" si="26"/>
        <v>7.2770167993412242E-3</v>
      </c>
      <c r="I111" s="349"/>
      <c r="J111" s="527"/>
      <c r="K111" s="527"/>
      <c r="M111" s="367">
        <f>G111/G$228</f>
        <v>2.0406401105226801</v>
      </c>
      <c r="N111" s="360">
        <f>SUMMARY!J114</f>
        <v>2.269671356169523</v>
      </c>
    </row>
    <row r="112" spans="1:14" s="276" customFormat="1">
      <c r="A112" s="272"/>
      <c r="C112" s="165"/>
      <c r="D112" s="165"/>
      <c r="E112" s="274"/>
      <c r="F112" s="274"/>
      <c r="G112" s="274"/>
      <c r="H112" s="300"/>
      <c r="I112" s="351"/>
      <c r="J112" s="527"/>
      <c r="K112" s="527"/>
      <c r="M112" s="360"/>
      <c r="N112" s="360"/>
    </row>
    <row r="113" spans="1:14" s="276" customFormat="1">
      <c r="A113" s="278" t="s">
        <v>166</v>
      </c>
      <c r="B113" s="279" t="s">
        <v>59</v>
      </c>
      <c r="C113" s="165"/>
      <c r="D113" s="165"/>
      <c r="E113" s="274"/>
      <c r="F113" s="274"/>
      <c r="G113" s="274"/>
      <c r="H113" s="300"/>
      <c r="I113" s="351"/>
      <c r="J113" s="527"/>
      <c r="K113" s="527"/>
      <c r="M113" s="360"/>
      <c r="N113" s="360"/>
    </row>
    <row r="114" spans="1:14" s="276" customFormat="1">
      <c r="A114" s="278" t="s">
        <v>85</v>
      </c>
      <c r="B114" s="279" t="s">
        <v>44</v>
      </c>
      <c r="C114" s="490">
        <f>'[46]Sch C'!D115</f>
        <v>48949</v>
      </c>
      <c r="D114" s="490">
        <f>'[46]Sch C'!F115</f>
        <v>0</v>
      </c>
      <c r="E114" s="249">
        <f t="shared" ref="E114:E118" si="29">C114+D114</f>
        <v>48949</v>
      </c>
      <c r="F114" s="672">
        <v>32140</v>
      </c>
      <c r="G114" s="249">
        <f>E114+F114</f>
        <v>81089</v>
      </c>
      <c r="H114" s="280">
        <f t="shared" ref="H114:H119" si="30">IF($G$208=0,0,G114/$G$208)</f>
        <v>1.1097057174269497E-2</v>
      </c>
      <c r="I114" s="349"/>
      <c r="J114" s="492">
        <v>4814</v>
      </c>
      <c r="K114" s="492">
        <v>4998</v>
      </c>
      <c r="M114" s="367">
        <f t="shared" ref="M114:M119" si="31">G114/G$228</f>
        <v>3.1118658377465653</v>
      </c>
      <c r="N114" s="360">
        <f>SUMMARY!J117</f>
        <v>2.9289001010349254</v>
      </c>
    </row>
    <row r="115" spans="1:14" s="276" customFormat="1">
      <c r="A115" s="278" t="s">
        <v>86</v>
      </c>
      <c r="B115" s="279" t="s">
        <v>151</v>
      </c>
      <c r="C115" s="490">
        <f>'[46]Sch C'!D116</f>
        <v>15269</v>
      </c>
      <c r="D115" s="490">
        <f>'[46]Sch C'!F116</f>
        <v>0</v>
      </c>
      <c r="E115" s="249">
        <f t="shared" si="29"/>
        <v>15269</v>
      </c>
      <c r="F115" s="672">
        <v>10481</v>
      </c>
      <c r="G115" s="249">
        <f>E115+F115</f>
        <v>25750</v>
      </c>
      <c r="H115" s="280">
        <f t="shared" si="30"/>
        <v>3.5238962403956091E-3</v>
      </c>
      <c r="I115" s="349"/>
      <c r="J115" s="527"/>
      <c r="K115" s="527"/>
      <c r="M115" s="367">
        <f t="shared" si="31"/>
        <v>0.98818021337017425</v>
      </c>
      <c r="N115" s="360">
        <f>SUMMARY!J118</f>
        <v>0.58319440810868606</v>
      </c>
    </row>
    <row r="116" spans="1:14" s="276" customFormat="1">
      <c r="A116" s="278" t="s">
        <v>93</v>
      </c>
      <c r="B116" s="279" t="s">
        <v>47</v>
      </c>
      <c r="C116" s="490">
        <f>'[46]Sch C'!D117</f>
        <v>9982</v>
      </c>
      <c r="D116" s="490">
        <f>'[46]Sch C'!F117</f>
        <v>0</v>
      </c>
      <c r="E116" s="249">
        <f t="shared" si="29"/>
        <v>9982</v>
      </c>
      <c r="F116" s="249">
        <v>7500</v>
      </c>
      <c r="G116" s="249">
        <f>E116+F116</f>
        <v>17482</v>
      </c>
      <c r="H116" s="280">
        <f t="shared" si="30"/>
        <v>2.3924176339648949E-3</v>
      </c>
      <c r="I116" s="349"/>
      <c r="J116" s="527"/>
      <c r="K116" s="527"/>
      <c r="M116" s="367">
        <f t="shared" si="31"/>
        <v>0.6708880190344616</v>
      </c>
      <c r="N116" s="360">
        <f>SUMMARY!J119</f>
        <v>0.8285773354086452</v>
      </c>
    </row>
    <row r="117" spans="1:14" s="276" customFormat="1">
      <c r="A117" s="278">
        <v>310</v>
      </c>
      <c r="B117" s="279" t="s">
        <v>60</v>
      </c>
      <c r="C117" s="490">
        <f>'[46]Sch C'!D118</f>
        <v>665</v>
      </c>
      <c r="D117" s="490">
        <f>'[46]Sch C'!F118</f>
        <v>0</v>
      </c>
      <c r="E117" s="249">
        <f t="shared" si="29"/>
        <v>665</v>
      </c>
      <c r="F117" s="672">
        <f>43127-42513</f>
        <v>614</v>
      </c>
      <c r="G117" s="249">
        <f>E117+F117</f>
        <v>1279</v>
      </c>
      <c r="H117" s="280">
        <f t="shared" si="30"/>
        <v>1.7503158413460131E-4</v>
      </c>
      <c r="I117" s="349"/>
      <c r="J117" s="527"/>
      <c r="K117" s="527"/>
      <c r="M117" s="367">
        <f t="shared" si="31"/>
        <v>4.9082815258270011E-2</v>
      </c>
      <c r="N117" s="360">
        <f>SUMMARY!J120</f>
        <v>1.394217388929849</v>
      </c>
    </row>
    <row r="118" spans="1:14" s="276" customFormat="1">
      <c r="A118" s="278">
        <v>490</v>
      </c>
      <c r="B118" s="23" t="s">
        <v>312</v>
      </c>
      <c r="C118" s="490">
        <f>'[46]Sch C'!D119</f>
        <v>0</v>
      </c>
      <c r="D118" s="490">
        <f>'[46]Sch C'!F119</f>
        <v>0</v>
      </c>
      <c r="E118" s="249">
        <f t="shared" si="29"/>
        <v>0</v>
      </c>
      <c r="F118" s="249">
        <v>0</v>
      </c>
      <c r="G118" s="249">
        <f>E118+F118</f>
        <v>0</v>
      </c>
      <c r="H118" s="280">
        <f t="shared" si="30"/>
        <v>0</v>
      </c>
      <c r="I118" s="349"/>
      <c r="J118" s="527"/>
      <c r="K118" s="527"/>
      <c r="M118" s="367">
        <f t="shared" si="31"/>
        <v>0</v>
      </c>
      <c r="N118" s="360">
        <f>SUMMARY!J121</f>
        <v>1.5050905218317359E-2</v>
      </c>
    </row>
    <row r="119" spans="1:14" s="276" customFormat="1">
      <c r="A119" s="272"/>
      <c r="B119" s="279" t="s">
        <v>61</v>
      </c>
      <c r="C119" s="490">
        <f>SUM(C114:C118)</f>
        <v>74865</v>
      </c>
      <c r="D119" s="490">
        <f>SUM(D114:D118)</f>
        <v>0</v>
      </c>
      <c r="E119" s="249">
        <f t="shared" ref="E119:F119" si="32">SUM(E114:E118)</f>
        <v>74865</v>
      </c>
      <c r="F119" s="249">
        <f t="shared" si="32"/>
        <v>50735</v>
      </c>
      <c r="G119" s="249">
        <f>SUM(G114:G118)</f>
        <v>125600</v>
      </c>
      <c r="H119" s="280">
        <f t="shared" si="30"/>
        <v>1.7188402632764603E-2</v>
      </c>
      <c r="I119" s="349"/>
      <c r="J119" s="527"/>
      <c r="K119" s="527"/>
      <c r="M119" s="367">
        <f t="shared" si="31"/>
        <v>4.8200168854094709</v>
      </c>
      <c r="N119" s="360">
        <f>SUMMARY!J122</f>
        <v>5.7499401387004214</v>
      </c>
    </row>
    <row r="120" spans="1:14" s="276" customFormat="1">
      <c r="A120" s="272"/>
      <c r="B120" s="279"/>
      <c r="C120" s="196"/>
      <c r="D120" s="196"/>
      <c r="E120" s="298"/>
      <c r="F120" s="298"/>
      <c r="G120" s="298"/>
      <c r="H120" s="299"/>
      <c r="I120" s="349"/>
      <c r="J120" s="203"/>
      <c r="K120" s="203"/>
      <c r="M120" s="360"/>
      <c r="N120" s="360"/>
    </row>
    <row r="121" spans="1:14" s="276" customFormat="1" ht="15">
      <c r="A121" s="278" t="s">
        <v>167</v>
      </c>
      <c r="B121" s="279" t="s">
        <v>62</v>
      </c>
      <c r="C121" s="165"/>
      <c r="D121" s="165"/>
      <c r="E121" s="274"/>
      <c r="F121" s="647" t="s">
        <v>626</v>
      </c>
      <c r="G121" s="274"/>
      <c r="H121" s="300"/>
      <c r="I121" s="351"/>
      <c r="J121" s="489"/>
      <c r="K121" s="489"/>
      <c r="M121" s="360"/>
      <c r="N121" s="360"/>
    </row>
    <row r="122" spans="1:14" s="276" customFormat="1">
      <c r="A122" s="278" t="s">
        <v>85</v>
      </c>
      <c r="B122" s="279" t="s">
        <v>63</v>
      </c>
      <c r="C122" s="165"/>
      <c r="D122" s="165"/>
      <c r="E122" s="274"/>
      <c r="F122" s="451" t="s">
        <v>612</v>
      </c>
      <c r="G122" s="274"/>
      <c r="H122" s="300"/>
      <c r="I122" s="351"/>
      <c r="J122" s="489"/>
      <c r="K122" s="489"/>
      <c r="M122" s="360"/>
      <c r="N122" s="360"/>
    </row>
    <row r="123" spans="1:14" s="276" customFormat="1">
      <c r="B123" s="272" t="s">
        <v>232</v>
      </c>
      <c r="C123" s="490">
        <f>'[46]Sch C'!D124</f>
        <v>91559</v>
      </c>
      <c r="D123" s="490">
        <f>'[46]Sch C'!F124</f>
        <v>0</v>
      </c>
      <c r="E123" s="249">
        <f t="shared" ref="E123:E127" si="33">C123+D123</f>
        <v>91559</v>
      </c>
      <c r="F123" s="672">
        <v>33635</v>
      </c>
      <c r="G123" s="249">
        <f>E123+F123</f>
        <v>125194</v>
      </c>
      <c r="H123" s="280">
        <f>IF($G$208=0,0,G123/$G$208)</f>
        <v>1.713284139495487E-2</v>
      </c>
      <c r="I123" s="349"/>
      <c r="J123" s="492">
        <v>2352</v>
      </c>
      <c r="K123" s="492">
        <v>2506</v>
      </c>
      <c r="M123" s="367">
        <f t="shared" ref="M123:M160" si="34">G123/G$228</f>
        <v>4.8044362575792459</v>
      </c>
      <c r="N123" s="360">
        <f>SUMMARY!J126</f>
        <v>0.77002560279620991</v>
      </c>
    </row>
    <row r="124" spans="1:14" s="276" customFormat="1">
      <c r="B124" s="272" t="s">
        <v>194</v>
      </c>
      <c r="C124" s="490">
        <f>'[46]Sch C'!D125</f>
        <v>42142</v>
      </c>
      <c r="D124" s="490">
        <f>'[46]Sch C'!F125</f>
        <v>0</v>
      </c>
      <c r="E124" s="249">
        <f t="shared" si="33"/>
        <v>42142</v>
      </c>
      <c r="F124" s="249">
        <v>0</v>
      </c>
      <c r="G124" s="249">
        <f>E124+F124</f>
        <v>42142</v>
      </c>
      <c r="H124" s="280">
        <f>IF($G$208=0,0,G124/$G$208)</f>
        <v>5.7671470043787094E-3</v>
      </c>
      <c r="I124" s="349"/>
      <c r="J124" s="492">
        <v>1190</v>
      </c>
      <c r="K124" s="492">
        <v>1278</v>
      </c>
      <c r="M124" s="367">
        <f t="shared" si="34"/>
        <v>1.6172384680328498</v>
      </c>
      <c r="N124" s="360">
        <f>SUMMARY!J127</f>
        <v>7.8410343245678709</v>
      </c>
    </row>
    <row r="125" spans="1:14" s="276" customFormat="1">
      <c r="A125" s="272" t="s">
        <v>198</v>
      </c>
      <c r="B125" s="272" t="s">
        <v>195</v>
      </c>
      <c r="C125" s="490">
        <f>'[46]Sch C'!D126</f>
        <v>0</v>
      </c>
      <c r="D125" s="490">
        <f>'[46]Sch C'!F126</f>
        <v>0</v>
      </c>
      <c r="E125" s="249">
        <f t="shared" si="33"/>
        <v>0</v>
      </c>
      <c r="F125" s="249">
        <v>0</v>
      </c>
      <c r="G125" s="249">
        <f>E125+F125</f>
        <v>0</v>
      </c>
      <c r="H125" s="280">
        <f>IF($G$208=0,0,G125/$G$208)</f>
        <v>0</v>
      </c>
      <c r="I125" s="349"/>
      <c r="J125" s="492">
        <v>0</v>
      </c>
      <c r="K125" s="492">
        <v>0</v>
      </c>
      <c r="M125" s="367">
        <f t="shared" si="34"/>
        <v>0</v>
      </c>
      <c r="N125" s="360">
        <f>SUMMARY!J128</f>
        <v>0.58591518527620767</v>
      </c>
    </row>
    <row r="126" spans="1:14" s="276" customFormat="1">
      <c r="A126" s="278"/>
      <c r="B126" s="272" t="s">
        <v>196</v>
      </c>
      <c r="C126" s="490">
        <f>'[46]Sch C'!D127</f>
        <v>0</v>
      </c>
      <c r="D126" s="490">
        <f>'[46]Sch C'!F127</f>
        <v>0</v>
      </c>
      <c r="E126" s="249">
        <f t="shared" si="33"/>
        <v>0</v>
      </c>
      <c r="F126" s="249">
        <v>0</v>
      </c>
      <c r="G126" s="249">
        <f>E126+F126</f>
        <v>0</v>
      </c>
      <c r="H126" s="280">
        <f>IF($G$208=0,0,G126/$G$208)</f>
        <v>0</v>
      </c>
      <c r="I126" s="349"/>
      <c r="J126" s="492">
        <v>0</v>
      </c>
      <c r="K126" s="492">
        <v>0</v>
      </c>
      <c r="M126" s="367">
        <f t="shared" si="34"/>
        <v>0</v>
      </c>
      <c r="N126" s="360">
        <f>SUMMARY!J129</f>
        <v>0.10632169520220637</v>
      </c>
    </row>
    <row r="127" spans="1:14" s="276" customFormat="1">
      <c r="A127" s="278"/>
      <c r="B127" s="272" t="s">
        <v>197</v>
      </c>
      <c r="C127" s="490">
        <f>'[46]Sch C'!D128</f>
        <v>37893</v>
      </c>
      <c r="D127" s="490">
        <f>'[46]Sch C'!F128</f>
        <v>0</v>
      </c>
      <c r="E127" s="249">
        <f t="shared" si="33"/>
        <v>37893</v>
      </c>
      <c r="F127" s="672">
        <v>116933</v>
      </c>
      <c r="G127" s="249">
        <f>E127+F127</f>
        <v>154826</v>
      </c>
      <c r="H127" s="280">
        <f>IF($G$208=0,0,G127/$G$208)</f>
        <v>2.118799065302876E-2</v>
      </c>
      <c r="I127" s="349"/>
      <c r="J127" s="492">
        <v>2359</v>
      </c>
      <c r="K127" s="492">
        <v>2512</v>
      </c>
      <c r="M127" s="367">
        <f t="shared" si="34"/>
        <v>5.9415918336019651</v>
      </c>
      <c r="N127" s="360">
        <f>SUMMARY!J130</f>
        <v>2.5140796974413586</v>
      </c>
    </row>
    <row r="128" spans="1:14" s="276" customFormat="1">
      <c r="A128" s="278" t="s">
        <v>95</v>
      </c>
      <c r="B128" s="279" t="s">
        <v>152</v>
      </c>
      <c r="C128" s="580"/>
      <c r="D128" s="580"/>
      <c r="E128" s="305"/>
      <c r="F128" s="305"/>
      <c r="G128" s="305"/>
      <c r="H128" s="306"/>
      <c r="I128" s="352"/>
      <c r="J128" s="531"/>
      <c r="K128" s="531"/>
      <c r="M128" s="367"/>
      <c r="N128" s="360"/>
    </row>
    <row r="129" spans="1:14" s="276" customFormat="1">
      <c r="A129" s="278"/>
      <c r="B129" s="272" t="s">
        <v>232</v>
      </c>
      <c r="C129" s="490">
        <f>'[46]Sch C'!D130</f>
        <v>23674</v>
      </c>
      <c r="D129" s="490">
        <f>'[46]Sch C'!F130</f>
        <v>0</v>
      </c>
      <c r="E129" s="249">
        <f t="shared" ref="E129:E133" si="35">C129+D129</f>
        <v>23674</v>
      </c>
      <c r="F129" s="673">
        <v>8661</v>
      </c>
      <c r="G129" s="249">
        <f>E129+F129</f>
        <v>32335</v>
      </c>
      <c r="H129" s="280">
        <f>IF($G$208=0,0,G129/$G$208)</f>
        <v>4.4250557255608551E-3</v>
      </c>
      <c r="I129" s="349"/>
      <c r="J129" s="489"/>
      <c r="K129" s="489"/>
      <c r="M129" s="367">
        <f t="shared" si="34"/>
        <v>1.2408857164786247</v>
      </c>
      <c r="N129" s="360">
        <f>SUMMARY!J132</f>
        <v>0.14225268616367659</v>
      </c>
    </row>
    <row r="130" spans="1:14" s="276" customFormat="1">
      <c r="A130" s="278"/>
      <c r="B130" s="272" t="s">
        <v>194</v>
      </c>
      <c r="C130" s="490">
        <f>'[46]Sch C'!D131</f>
        <v>10843</v>
      </c>
      <c r="D130" s="490">
        <f>'[46]Sch C'!F131</f>
        <v>0</v>
      </c>
      <c r="E130" s="249">
        <f t="shared" si="35"/>
        <v>10843</v>
      </c>
      <c r="F130" s="249">
        <v>0</v>
      </c>
      <c r="G130" s="249">
        <f>E130+F130</f>
        <v>10843</v>
      </c>
      <c r="H130" s="280">
        <f>IF($G$208=0,0,G130/$G$208)</f>
        <v>1.4838682304702754E-3</v>
      </c>
      <c r="I130" s="349"/>
      <c r="J130" s="489"/>
      <c r="K130" s="489"/>
      <c r="M130" s="367">
        <f t="shared" si="34"/>
        <v>0.41611021567273004</v>
      </c>
      <c r="N130" s="360">
        <f>SUMMARY!J133</f>
        <v>1.0792348507966931</v>
      </c>
    </row>
    <row r="131" spans="1:14" s="276" customFormat="1">
      <c r="B131" s="272" t="s">
        <v>195</v>
      </c>
      <c r="C131" s="490">
        <f>'[46]Sch C'!D132</f>
        <v>0</v>
      </c>
      <c r="D131" s="490">
        <f>'[46]Sch C'!F132</f>
        <v>0</v>
      </c>
      <c r="E131" s="249">
        <f t="shared" si="35"/>
        <v>0</v>
      </c>
      <c r="F131" s="249">
        <v>0</v>
      </c>
      <c r="G131" s="249">
        <f>E131+F131</f>
        <v>0</v>
      </c>
      <c r="H131" s="280">
        <f>IF($G$208=0,0,G131/$G$208)</f>
        <v>0</v>
      </c>
      <c r="I131" s="349"/>
      <c r="J131" s="527"/>
      <c r="K131" s="527"/>
      <c r="M131" s="367">
        <f t="shared" si="34"/>
        <v>0</v>
      </c>
      <c r="N131" s="360">
        <f>SUMMARY!J134</f>
        <v>8.2765628075518377E-2</v>
      </c>
    </row>
    <row r="132" spans="1:14" s="276" customFormat="1">
      <c r="B132" s="272" t="s">
        <v>196</v>
      </c>
      <c r="C132" s="490">
        <f>'[46]Sch C'!D133</f>
        <v>0</v>
      </c>
      <c r="D132" s="490">
        <f>'[46]Sch C'!F133</f>
        <v>0</v>
      </c>
      <c r="E132" s="249">
        <f t="shared" si="35"/>
        <v>0</v>
      </c>
      <c r="F132" s="249">
        <v>0</v>
      </c>
      <c r="G132" s="249">
        <f>E132+F132</f>
        <v>0</v>
      </c>
      <c r="H132" s="280">
        <f>IF($G$208=0,0,G132/$G$208)</f>
        <v>0</v>
      </c>
      <c r="I132" s="349"/>
      <c r="J132" s="527"/>
      <c r="K132" s="527"/>
      <c r="M132" s="367">
        <f t="shared" si="34"/>
        <v>0</v>
      </c>
      <c r="N132" s="360">
        <f>SUMMARY!J135</f>
        <v>2.4827298902786038E-2</v>
      </c>
    </row>
    <row r="133" spans="1:14" s="276" customFormat="1">
      <c r="B133" s="272" t="s">
        <v>197</v>
      </c>
      <c r="C133" s="490">
        <f>'[46]Sch C'!D134</f>
        <v>3264</v>
      </c>
      <c r="D133" s="490">
        <f>'[46]Sch C'!F134</f>
        <v>0</v>
      </c>
      <c r="E133" s="249">
        <f t="shared" si="35"/>
        <v>3264</v>
      </c>
      <c r="F133" s="672">
        <v>30110</v>
      </c>
      <c r="G133" s="249">
        <f>E133+F133</f>
        <v>33374</v>
      </c>
      <c r="H133" s="280">
        <f>IF($G$208=0,0,G133/$G$208)</f>
        <v>4.5672432282315755E-3</v>
      </c>
      <c r="I133" s="349"/>
      <c r="J133" s="527"/>
      <c r="K133" s="527"/>
      <c r="M133" s="367">
        <f t="shared" si="34"/>
        <v>1.2807583083889784</v>
      </c>
      <c r="N133" s="360">
        <f>SUMMARY!J136</f>
        <v>0.48951420004915208</v>
      </c>
    </row>
    <row r="134" spans="1:14" s="276" customFormat="1">
      <c r="A134" s="278" t="s">
        <v>86</v>
      </c>
      <c r="B134" s="279" t="s">
        <v>64</v>
      </c>
      <c r="C134" s="196"/>
      <c r="D134" s="196"/>
      <c r="E134" s="298"/>
      <c r="F134" s="298"/>
      <c r="G134" s="298"/>
      <c r="H134" s="299"/>
      <c r="I134" s="349"/>
      <c r="J134" s="489"/>
      <c r="K134" s="489"/>
      <c r="M134" s="367"/>
      <c r="N134" s="360"/>
    </row>
    <row r="135" spans="1:14" s="276" customFormat="1">
      <c r="A135" s="278"/>
      <c r="B135" s="272" t="s">
        <v>194</v>
      </c>
      <c r="C135" s="490">
        <f>'[46]Sch C'!D136</f>
        <v>440777</v>
      </c>
      <c r="D135" s="490">
        <f>'[46]Sch C'!F136</f>
        <v>0</v>
      </c>
      <c r="E135" s="249">
        <f t="shared" ref="E135:E138" si="36">C135+D135</f>
        <v>440777</v>
      </c>
      <c r="F135" s="672">
        <v>290402</v>
      </c>
      <c r="G135" s="249">
        <f>E135+F135</f>
        <v>731179</v>
      </c>
      <c r="H135" s="280">
        <f>IF($G$208=0,0,G135/$G$208)</f>
        <v>0.10006209433616392</v>
      </c>
      <c r="I135" s="349"/>
      <c r="J135" s="492">
        <v>15681</v>
      </c>
      <c r="K135" s="492">
        <v>16555</v>
      </c>
      <c r="M135" s="367">
        <f t="shared" si="34"/>
        <v>28.059674572108374</v>
      </c>
      <c r="N135" s="360">
        <f>SUMMARY!J138</f>
        <v>22.542001283416617</v>
      </c>
    </row>
    <row r="136" spans="1:14" s="276" customFormat="1">
      <c r="A136" s="278"/>
      <c r="B136" s="272" t="s">
        <v>195</v>
      </c>
      <c r="C136" s="490">
        <f>'[46]Sch C'!D137</f>
        <v>198883</v>
      </c>
      <c r="D136" s="490">
        <f>'[46]Sch C'!F137</f>
        <v>0</v>
      </c>
      <c r="E136" s="249">
        <f t="shared" si="36"/>
        <v>198883</v>
      </c>
      <c r="F136" s="672">
        <v>64555</v>
      </c>
      <c r="G136" s="249">
        <f>E136+F136</f>
        <v>263438</v>
      </c>
      <c r="H136" s="280">
        <f>IF($G$208=0,0,G136/$G$208)</f>
        <v>3.6051579719508293E-2</v>
      </c>
      <c r="I136" s="349"/>
      <c r="J136" s="492">
        <v>7662</v>
      </c>
      <c r="K136" s="492">
        <v>8070</v>
      </c>
      <c r="M136" s="367">
        <f t="shared" si="34"/>
        <v>10.109678409701436</v>
      </c>
      <c r="N136" s="360">
        <f>SUMMARY!J139</f>
        <v>10.249133857622674</v>
      </c>
    </row>
    <row r="137" spans="1:14" s="276" customFormat="1">
      <c r="A137" s="278"/>
      <c r="B137" s="272" t="s">
        <v>196</v>
      </c>
      <c r="C137" s="490">
        <f>'[46]Sch C'!D138</f>
        <v>285104</v>
      </c>
      <c r="D137" s="490">
        <f>'[46]Sch C'!F138</f>
        <v>0</v>
      </c>
      <c r="E137" s="249">
        <f t="shared" si="36"/>
        <v>285104</v>
      </c>
      <c r="F137" s="672">
        <v>231693</v>
      </c>
      <c r="G137" s="249">
        <f>E137+F137</f>
        <v>516797</v>
      </c>
      <c r="H137" s="280">
        <f>IF($G$208=0,0,G137/$G$208)</f>
        <v>7.072384486787299E-2</v>
      </c>
      <c r="I137" s="349"/>
      <c r="J137" s="492">
        <v>24642</v>
      </c>
      <c r="K137" s="492">
        <v>25968</v>
      </c>
      <c r="M137" s="367">
        <f t="shared" si="34"/>
        <v>19.832565814721008</v>
      </c>
      <c r="N137" s="360">
        <f>SUMMARY!J140</f>
        <v>27.843137668277773</v>
      </c>
    </row>
    <row r="138" spans="1:14" s="276" customFormat="1">
      <c r="A138" s="278"/>
      <c r="B138" s="272" t="s">
        <v>197</v>
      </c>
      <c r="C138" s="490">
        <f>'[46]Sch C'!D139</f>
        <v>63623</v>
      </c>
      <c r="D138" s="490">
        <f>'[46]Sch C'!F139</f>
        <v>0</v>
      </c>
      <c r="E138" s="249">
        <f t="shared" si="36"/>
        <v>63623</v>
      </c>
      <c r="F138" s="249">
        <v>0</v>
      </c>
      <c r="G138" s="249">
        <f>E138+F138</f>
        <v>63623</v>
      </c>
      <c r="H138" s="280">
        <f>IF($G$208=0,0,G138/$G$208)</f>
        <v>8.7068291457355271E-3</v>
      </c>
      <c r="I138" s="349"/>
      <c r="J138" s="492">
        <v>5795</v>
      </c>
      <c r="K138" s="492">
        <v>6125</v>
      </c>
      <c r="M138" s="367">
        <f t="shared" si="34"/>
        <v>2.4415918336019646</v>
      </c>
      <c r="N138" s="360">
        <f>SUMMARY!J141</f>
        <v>2.553029289205647</v>
      </c>
    </row>
    <row r="139" spans="1:14" s="276" customFormat="1">
      <c r="A139" s="278" t="s">
        <v>96</v>
      </c>
      <c r="B139" s="279" t="s">
        <v>153</v>
      </c>
      <c r="C139" s="196"/>
      <c r="D139" s="196"/>
      <c r="E139" s="298"/>
      <c r="F139" s="298"/>
      <c r="G139" s="298"/>
      <c r="H139" s="299"/>
      <c r="I139" s="349"/>
      <c r="J139" s="532"/>
      <c r="K139" s="532"/>
      <c r="M139" s="367"/>
      <c r="N139" s="360"/>
    </row>
    <row r="140" spans="1:14" s="276" customFormat="1">
      <c r="A140" s="278"/>
      <c r="B140" s="272" t="s">
        <v>194</v>
      </c>
      <c r="C140" s="490">
        <f>'[46]Sch C'!D141</f>
        <v>113670</v>
      </c>
      <c r="D140" s="490">
        <f>'[46]Sch C'!F141</f>
        <v>0</v>
      </c>
      <c r="E140" s="249">
        <f t="shared" ref="E140:E143" si="37">C140+D140</f>
        <v>113670</v>
      </c>
      <c r="F140" s="672">
        <v>74778</v>
      </c>
      <c r="G140" s="249">
        <f>E140+F140</f>
        <v>188448</v>
      </c>
      <c r="H140" s="280">
        <f>IF($G$208=0,0,G140/$G$208)</f>
        <v>2.5789172765439679E-2</v>
      </c>
      <c r="I140" s="349"/>
      <c r="J140" s="527"/>
      <c r="K140" s="527"/>
      <c r="M140" s="367">
        <f t="shared" si="34"/>
        <v>7.2318673727837899</v>
      </c>
      <c r="N140" s="360">
        <f>SUMMARY!J143</f>
        <v>3.8870567805088321</v>
      </c>
    </row>
    <row r="141" spans="1:14" s="276" customFormat="1">
      <c r="A141" s="278"/>
      <c r="B141" s="272" t="s">
        <v>195</v>
      </c>
      <c r="C141" s="490">
        <f>'[46]Sch C'!D142</f>
        <v>52463</v>
      </c>
      <c r="D141" s="490">
        <f>'[46]Sch C'!F142</f>
        <v>0</v>
      </c>
      <c r="E141" s="249">
        <f t="shared" si="37"/>
        <v>52463</v>
      </c>
      <c r="F141" s="672">
        <v>16623</v>
      </c>
      <c r="G141" s="249">
        <f>E141+F141</f>
        <v>69086</v>
      </c>
      <c r="H141" s="280">
        <f>IF($G$208=0,0,G141/$G$208)</f>
        <v>9.4544425500571287E-3</v>
      </c>
      <c r="I141" s="349"/>
      <c r="J141" s="527"/>
      <c r="K141" s="527"/>
      <c r="M141" s="367">
        <f t="shared" si="34"/>
        <v>2.651239542558907</v>
      </c>
      <c r="N141" s="360">
        <f>SUMMARY!J144</f>
        <v>1.7548113884114069</v>
      </c>
    </row>
    <row r="142" spans="1:14" s="276" customFormat="1">
      <c r="A142" s="278"/>
      <c r="B142" s="272" t="s">
        <v>196</v>
      </c>
      <c r="C142" s="490">
        <f>'[46]Sch C'!D143</f>
        <v>73360</v>
      </c>
      <c r="D142" s="490">
        <f>'[46]Sch C'!F143</f>
        <v>0</v>
      </c>
      <c r="E142" s="249">
        <f t="shared" si="37"/>
        <v>73360</v>
      </c>
      <c r="F142" s="672">
        <v>59661</v>
      </c>
      <c r="G142" s="249">
        <f>E142+F142</f>
        <v>133021</v>
      </c>
      <c r="H142" s="280">
        <f>IF($G$208=0,0,G142/$G$208)</f>
        <v>1.8203969001695703E-2</v>
      </c>
      <c r="I142" s="349"/>
      <c r="J142" s="527"/>
      <c r="K142" s="527"/>
      <c r="M142" s="367">
        <f t="shared" si="34"/>
        <v>5.1048046665131626</v>
      </c>
      <c r="N142" s="360">
        <f>SUMMARY!J145</f>
        <v>5.0558410725664986</v>
      </c>
    </row>
    <row r="143" spans="1:14" s="276" customFormat="1">
      <c r="A143" s="278"/>
      <c r="B143" s="272" t="s">
        <v>197</v>
      </c>
      <c r="C143" s="490">
        <f>'[46]Sch C'!D144</f>
        <v>16407</v>
      </c>
      <c r="D143" s="490">
        <f>'[46]Sch C'!F144</f>
        <v>0</v>
      </c>
      <c r="E143" s="249">
        <f t="shared" si="37"/>
        <v>16407</v>
      </c>
      <c r="F143" s="249">
        <v>0</v>
      </c>
      <c r="G143" s="249">
        <f>E143+F143</f>
        <v>16407</v>
      </c>
      <c r="H143" s="280">
        <f>IF($G$208=0,0,G143/$G$208)</f>
        <v>2.2453035190745925E-3</v>
      </c>
      <c r="I143" s="349"/>
      <c r="J143" s="527"/>
      <c r="K143" s="527"/>
      <c r="M143" s="367">
        <f t="shared" si="34"/>
        <v>0.62963389362192035</v>
      </c>
      <c r="N143" s="360">
        <f>SUMMARY!J146</f>
        <v>0.71727598372518497</v>
      </c>
    </row>
    <row r="144" spans="1:14" s="276" customFormat="1">
      <c r="A144" s="278" t="s">
        <v>87</v>
      </c>
      <c r="B144" s="279" t="s">
        <v>98</v>
      </c>
      <c r="C144" s="196"/>
      <c r="D144" s="196"/>
      <c r="E144" s="298"/>
      <c r="F144" s="298"/>
      <c r="G144" s="298"/>
      <c r="H144" s="299"/>
      <c r="I144" s="349"/>
      <c r="J144" s="650" t="s">
        <v>630</v>
      </c>
      <c r="K144" s="489"/>
      <c r="M144" s="367"/>
      <c r="N144" s="360"/>
    </row>
    <row r="145" spans="1:14" s="276" customFormat="1">
      <c r="A145" s="278"/>
      <c r="B145" s="272" t="s">
        <v>232</v>
      </c>
      <c r="C145" s="490">
        <f>'[46]Sch C'!D146</f>
        <v>28000</v>
      </c>
      <c r="D145" s="490">
        <f>'[46]Sch C'!F146</f>
        <v>0</v>
      </c>
      <c r="E145" s="249">
        <f t="shared" ref="E145:E153" si="38">C145+D145</f>
        <v>28000</v>
      </c>
      <c r="F145" s="672">
        <f>135644-107785</f>
        <v>27859</v>
      </c>
      <c r="G145" s="249">
        <f t="shared" ref="G145:G153" si="39">E145+F145</f>
        <v>55859</v>
      </c>
      <c r="H145" s="280">
        <f t="shared" ref="H145:H153" si="40">IF($G$208=0,0,G145/$G$208)</f>
        <v>7.6443231103789644E-3</v>
      </c>
      <c r="I145" s="349"/>
      <c r="J145" s="492">
        <v>0</v>
      </c>
      <c r="K145" s="492" t="s">
        <v>438</v>
      </c>
      <c r="M145" s="367">
        <f t="shared" si="34"/>
        <v>2.143641108296876</v>
      </c>
      <c r="N145" s="360">
        <f>SUMMARY!J148</f>
        <v>1.6388888069686796</v>
      </c>
    </row>
    <row r="146" spans="1:14" s="276" customFormat="1">
      <c r="A146" s="278"/>
      <c r="B146" s="272" t="s">
        <v>194</v>
      </c>
      <c r="C146" s="490">
        <f>'[46]Sch C'!D147</f>
        <v>0</v>
      </c>
      <c r="D146" s="490">
        <f>'[46]Sch C'!F147</f>
        <v>0</v>
      </c>
      <c r="E146" s="249">
        <f t="shared" si="38"/>
        <v>0</v>
      </c>
      <c r="F146" s="672">
        <f>369881-369881</f>
        <v>0</v>
      </c>
      <c r="G146" s="249">
        <f t="shared" si="39"/>
        <v>0</v>
      </c>
      <c r="H146" s="280">
        <f t="shared" si="40"/>
        <v>0</v>
      </c>
      <c r="I146" s="349"/>
      <c r="J146" s="492">
        <v>0</v>
      </c>
      <c r="K146" s="492">
        <v>0</v>
      </c>
      <c r="M146" s="367">
        <f t="shared" si="34"/>
        <v>0</v>
      </c>
      <c r="N146" s="360">
        <f>SUMMARY!J149</f>
        <v>0.18124216706261434</v>
      </c>
    </row>
    <row r="147" spans="1:14" s="276" customFormat="1">
      <c r="A147" s="278"/>
      <c r="B147" s="272" t="s">
        <v>195</v>
      </c>
      <c r="C147" s="490">
        <f>'[46]Sch C'!D148</f>
        <v>0</v>
      </c>
      <c r="D147" s="490">
        <f>'[46]Sch C'!F148</f>
        <v>0</v>
      </c>
      <c r="E147" s="249">
        <f t="shared" si="38"/>
        <v>0</v>
      </c>
      <c r="F147" s="672">
        <f>119043-119043</f>
        <v>0</v>
      </c>
      <c r="G147" s="249">
        <f t="shared" si="39"/>
        <v>0</v>
      </c>
      <c r="H147" s="280">
        <f t="shared" si="40"/>
        <v>0</v>
      </c>
      <c r="I147" s="349"/>
      <c r="J147" s="492">
        <v>0</v>
      </c>
      <c r="K147" s="492">
        <v>0</v>
      </c>
      <c r="M147" s="367">
        <f t="shared" si="34"/>
        <v>0</v>
      </c>
      <c r="N147" s="360">
        <f>SUMMARY!J150</f>
        <v>3.2513399415635851E-2</v>
      </c>
    </row>
    <row r="148" spans="1:14" s="276" customFormat="1">
      <c r="A148" s="278"/>
      <c r="B148" s="272" t="s">
        <v>196</v>
      </c>
      <c r="C148" s="490">
        <f>'[46]Sch C'!D149</f>
        <v>11167</v>
      </c>
      <c r="D148" s="490">
        <f>'[46]Sch C'!F149</f>
        <v>0</v>
      </c>
      <c r="E148" s="249">
        <f t="shared" si="38"/>
        <v>11167</v>
      </c>
      <c r="F148" s="672">
        <f>297905-297905</f>
        <v>0</v>
      </c>
      <c r="G148" s="249">
        <f t="shared" si="39"/>
        <v>11167</v>
      </c>
      <c r="H148" s="280">
        <f t="shared" si="40"/>
        <v>1.5282077404465153E-3</v>
      </c>
      <c r="I148" s="349"/>
      <c r="J148" s="492">
        <v>0</v>
      </c>
      <c r="K148" s="492" t="s">
        <v>627</v>
      </c>
      <c r="M148" s="367">
        <f t="shared" si="34"/>
        <v>0.42854401719241692</v>
      </c>
      <c r="N148" s="360">
        <f>SUMMARY!J151</f>
        <v>9.6307730537123507E-2</v>
      </c>
    </row>
    <row r="149" spans="1:14" s="276" customFormat="1">
      <c r="A149" s="278"/>
      <c r="B149" s="272" t="s">
        <v>197</v>
      </c>
      <c r="C149" s="490">
        <f>'[46]Sch C'!D150</f>
        <v>17159</v>
      </c>
      <c r="D149" s="490">
        <f>'[46]Sch C'!F150</f>
        <v>0</v>
      </c>
      <c r="E149" s="249">
        <f t="shared" si="38"/>
        <v>17159</v>
      </c>
      <c r="F149" s="672">
        <f>48510-45845</f>
        <v>2665</v>
      </c>
      <c r="G149" s="249">
        <f t="shared" si="39"/>
        <v>19824</v>
      </c>
      <c r="H149" s="280">
        <f t="shared" si="40"/>
        <v>2.712921128916604E-3</v>
      </c>
      <c r="I149" s="349"/>
      <c r="J149" s="492">
        <v>0</v>
      </c>
      <c r="K149" s="492" t="s">
        <v>628</v>
      </c>
      <c r="M149" s="367">
        <f t="shared" si="34"/>
        <v>0.76076444853787706</v>
      </c>
      <c r="N149" s="360">
        <f>SUMMARY!J152</f>
        <v>0.33970063624696212</v>
      </c>
    </row>
    <row r="150" spans="1:14" s="276" customFormat="1">
      <c r="A150" s="278">
        <v>110</v>
      </c>
      <c r="B150" s="276" t="s">
        <v>65</v>
      </c>
      <c r="C150" s="490">
        <f>'[46]Sch C'!D151</f>
        <v>89348</v>
      </c>
      <c r="D150" s="490">
        <f>'[46]Sch C'!F151</f>
        <v>0</v>
      </c>
      <c r="E150" s="249">
        <f t="shared" si="38"/>
        <v>89348</v>
      </c>
      <c r="F150" s="249">
        <v>54396</v>
      </c>
      <c r="G150" s="249">
        <f t="shared" si="39"/>
        <v>143744</v>
      </c>
      <c r="H150" s="280">
        <f t="shared" si="40"/>
        <v>1.9671415191434036E-2</v>
      </c>
      <c r="I150" s="349"/>
      <c r="J150" s="527"/>
      <c r="K150" s="527"/>
      <c r="M150" s="367">
        <f t="shared" si="34"/>
        <v>5.5163097705119348</v>
      </c>
      <c r="N150" s="360">
        <f>SUMMARY!J153</f>
        <v>5.9639933098495392</v>
      </c>
    </row>
    <row r="151" spans="1:14" s="276" customFormat="1">
      <c r="A151" s="278">
        <v>111</v>
      </c>
      <c r="B151" s="279" t="s">
        <v>97</v>
      </c>
      <c r="C151" s="490">
        <f>'[46]Sch C'!D152</f>
        <v>1400</v>
      </c>
      <c r="D151" s="490">
        <f>'[46]Sch C'!F152</f>
        <v>0</v>
      </c>
      <c r="E151" s="249">
        <f t="shared" si="38"/>
        <v>1400</v>
      </c>
      <c r="F151" s="249">
        <v>1996</v>
      </c>
      <c r="G151" s="249">
        <f t="shared" si="39"/>
        <v>3396</v>
      </c>
      <c r="H151" s="280">
        <f t="shared" si="40"/>
        <v>4.6474375271392189E-4</v>
      </c>
      <c r="I151" s="349"/>
      <c r="J151" s="527"/>
      <c r="K151" s="527"/>
      <c r="M151" s="367">
        <f t="shared" si="34"/>
        <v>0.13032466037301405</v>
      </c>
      <c r="N151" s="360">
        <f>SUMMARY!J154</f>
        <v>0.31252846181152888</v>
      </c>
    </row>
    <row r="152" spans="1:14" s="276" customFormat="1">
      <c r="A152" s="278">
        <v>230</v>
      </c>
      <c r="B152" s="279" t="s">
        <v>66</v>
      </c>
      <c r="C152" s="490">
        <f>'[46]Sch C'!D153</f>
        <v>0</v>
      </c>
      <c r="D152" s="490">
        <f>'[46]Sch C'!F153</f>
        <v>0</v>
      </c>
      <c r="E152" s="249">
        <f t="shared" si="38"/>
        <v>0</v>
      </c>
      <c r="F152" s="249">
        <v>0</v>
      </c>
      <c r="G152" s="249">
        <f t="shared" si="39"/>
        <v>0</v>
      </c>
      <c r="H152" s="280">
        <f t="shared" si="40"/>
        <v>0</v>
      </c>
      <c r="I152" s="349"/>
      <c r="J152" s="527"/>
      <c r="K152" s="527"/>
      <c r="M152" s="367">
        <f t="shared" si="34"/>
        <v>0</v>
      </c>
      <c r="N152" s="360">
        <f>SUMMARY!J155</f>
        <v>0.16356998443516016</v>
      </c>
    </row>
    <row r="153" spans="1:14" s="276" customFormat="1">
      <c r="A153" s="278">
        <v>430</v>
      </c>
      <c r="B153" s="279" t="s">
        <v>99</v>
      </c>
      <c r="C153" s="490">
        <f>'[46]Sch C'!D154</f>
        <v>0</v>
      </c>
      <c r="D153" s="490">
        <f>'[46]Sch C'!F154</f>
        <v>0</v>
      </c>
      <c r="E153" s="249">
        <f t="shared" si="38"/>
        <v>0</v>
      </c>
      <c r="F153" s="249">
        <v>0</v>
      </c>
      <c r="G153" s="249">
        <f t="shared" si="39"/>
        <v>0</v>
      </c>
      <c r="H153" s="280">
        <f t="shared" si="40"/>
        <v>0</v>
      </c>
      <c r="I153" s="349"/>
      <c r="J153" s="527"/>
      <c r="K153" s="527"/>
      <c r="M153" s="367">
        <f t="shared" si="34"/>
        <v>0</v>
      </c>
      <c r="N153" s="360">
        <f>SUMMARY!J156</f>
        <v>0.98203545506676493</v>
      </c>
    </row>
    <row r="154" spans="1:14" s="276" customFormat="1">
      <c r="A154" s="278"/>
      <c r="B154" s="209" t="s">
        <v>302</v>
      </c>
      <c r="C154" s="572"/>
      <c r="D154" s="572"/>
      <c r="E154" s="307"/>
      <c r="F154" s="307"/>
      <c r="G154" s="307"/>
      <c r="H154" s="308"/>
      <c r="I154" s="349"/>
      <c r="J154" s="527"/>
      <c r="K154" s="527"/>
      <c r="M154" s="367"/>
      <c r="N154" s="360"/>
    </row>
    <row r="155" spans="1:14" s="276" customFormat="1">
      <c r="A155" s="278">
        <v>440.1</v>
      </c>
      <c r="B155" s="272" t="s">
        <v>223</v>
      </c>
      <c r="C155" s="490">
        <f>'[46]Sch C'!D156</f>
        <v>0</v>
      </c>
      <c r="D155" s="490">
        <f>'[46]Sch C'!F156</f>
        <v>0</v>
      </c>
      <c r="E155" s="249">
        <f t="shared" ref="E155:E160" si="41">C155+D155</f>
        <v>0</v>
      </c>
      <c r="F155" s="249">
        <v>0</v>
      </c>
      <c r="G155" s="249">
        <f t="shared" ref="G155:G160" si="42">E155+F155</f>
        <v>0</v>
      </c>
      <c r="H155" s="280">
        <f t="shared" ref="H155:H161" si="43">IF($G$208=0,0,G155/$G$208)</f>
        <v>0</v>
      </c>
      <c r="I155" s="349"/>
      <c r="J155" s="527"/>
      <c r="K155" s="527"/>
      <c r="M155" s="367">
        <f t="shared" si="34"/>
        <v>0</v>
      </c>
      <c r="N155" s="360">
        <f>SUMMARY!J158</f>
        <v>4.0927336773982138E-4</v>
      </c>
    </row>
    <row r="156" spans="1:14" s="276" customFormat="1">
      <c r="A156" s="278">
        <v>440.2</v>
      </c>
      <c r="B156" s="272" t="s">
        <v>224</v>
      </c>
      <c r="C156" s="490">
        <f>'[46]Sch C'!D157</f>
        <v>0</v>
      </c>
      <c r="D156" s="490">
        <f>'[46]Sch C'!F157</f>
        <v>0</v>
      </c>
      <c r="E156" s="249">
        <f t="shared" si="41"/>
        <v>0</v>
      </c>
      <c r="F156" s="249">
        <v>0</v>
      </c>
      <c r="G156" s="249">
        <f t="shared" si="42"/>
        <v>0</v>
      </c>
      <c r="H156" s="280">
        <f t="shared" si="43"/>
        <v>0</v>
      </c>
      <c r="I156" s="349"/>
      <c r="J156" s="527"/>
      <c r="K156" s="527"/>
      <c r="M156" s="367">
        <f t="shared" si="34"/>
        <v>0</v>
      </c>
      <c r="N156" s="360">
        <f>SUMMARY!J159</f>
        <v>2.1257535293957019E-2</v>
      </c>
    </row>
    <row r="157" spans="1:14" s="276" customFormat="1">
      <c r="A157" s="278">
        <v>440.3</v>
      </c>
      <c r="B157" s="272" t="s">
        <v>225</v>
      </c>
      <c r="C157" s="490">
        <f>'[46]Sch C'!D158</f>
        <v>606</v>
      </c>
      <c r="D157" s="490">
        <f>'[46]Sch C'!F158</f>
        <v>0</v>
      </c>
      <c r="E157" s="249">
        <f t="shared" si="41"/>
        <v>606</v>
      </c>
      <c r="F157" s="249">
        <v>0</v>
      </c>
      <c r="G157" s="249">
        <f t="shared" si="42"/>
        <v>606</v>
      </c>
      <c r="H157" s="280">
        <f t="shared" si="43"/>
        <v>8.2931305696300545E-5</v>
      </c>
      <c r="I157" s="349"/>
      <c r="J157" s="527"/>
      <c r="K157" s="527"/>
      <c r="M157" s="367">
        <f t="shared" si="34"/>
        <v>2.3255813953488372E-2</v>
      </c>
      <c r="N157" s="360">
        <f>SUMMARY!J160</f>
        <v>4.0452199557630868E-3</v>
      </c>
    </row>
    <row r="158" spans="1:14" s="276" customFormat="1">
      <c r="A158" s="278">
        <v>440.4</v>
      </c>
      <c r="B158" s="272" t="s">
        <v>226</v>
      </c>
      <c r="C158" s="490">
        <f>'[46]Sch C'!D159</f>
        <v>0</v>
      </c>
      <c r="D158" s="490">
        <f>'[46]Sch C'!F159</f>
        <v>0</v>
      </c>
      <c r="E158" s="249">
        <f t="shared" si="41"/>
        <v>0</v>
      </c>
      <c r="F158" s="249">
        <v>0</v>
      </c>
      <c r="G158" s="249">
        <f t="shared" si="42"/>
        <v>0</v>
      </c>
      <c r="H158" s="280">
        <f t="shared" si="43"/>
        <v>0</v>
      </c>
      <c r="I158" s="349"/>
      <c r="J158" s="527"/>
      <c r="K158" s="527"/>
      <c r="M158" s="367">
        <f t="shared" si="34"/>
        <v>0</v>
      </c>
      <c r="N158" s="360">
        <f>SUMMARY!J161</f>
        <v>3.2579667403948552E-4</v>
      </c>
    </row>
    <row r="159" spans="1:14" s="276" customFormat="1">
      <c r="A159" s="278">
        <v>440.5</v>
      </c>
      <c r="B159" s="272" t="s">
        <v>301</v>
      </c>
      <c r="C159" s="490">
        <f>'[46]Sch C'!D160</f>
        <v>0</v>
      </c>
      <c r="D159" s="490">
        <f>'[46]Sch C'!F160</f>
        <v>0</v>
      </c>
      <c r="E159" s="249">
        <f t="shared" si="41"/>
        <v>0</v>
      </c>
      <c r="F159" s="249">
        <v>994</v>
      </c>
      <c r="G159" s="249">
        <f t="shared" si="42"/>
        <v>994</v>
      </c>
      <c r="H159" s="280">
        <f t="shared" si="43"/>
        <v>1.3602923739624214E-4</v>
      </c>
      <c r="I159" s="349"/>
      <c r="J159" s="527"/>
      <c r="K159" s="527"/>
      <c r="M159" s="367">
        <f t="shared" si="34"/>
        <v>3.8145675032619543E-2</v>
      </c>
      <c r="N159" s="360">
        <f>SUMMARY!J162</f>
        <v>6.5155839545615896E-3</v>
      </c>
    </row>
    <row r="160" spans="1:14" s="276" customFormat="1">
      <c r="A160" s="278">
        <v>490</v>
      </c>
      <c r="B160" s="23" t="s">
        <v>350</v>
      </c>
      <c r="C160" s="490">
        <f>'[46]Sch C'!D161</f>
        <v>246</v>
      </c>
      <c r="D160" s="490">
        <f>'[46]Sch C'!F161</f>
        <v>0</v>
      </c>
      <c r="E160" s="249">
        <f t="shared" si="41"/>
        <v>246</v>
      </c>
      <c r="F160" s="249">
        <v>485</v>
      </c>
      <c r="G160" s="249">
        <f t="shared" si="42"/>
        <v>731</v>
      </c>
      <c r="H160" s="280">
        <f t="shared" si="43"/>
        <v>1.0003759812540545E-4</v>
      </c>
      <c r="I160" s="349"/>
      <c r="J160" s="527"/>
      <c r="K160" s="527"/>
      <c r="M160" s="367">
        <f t="shared" si="34"/>
        <v>2.8052805280528052E-2</v>
      </c>
      <c r="N160" s="360">
        <f>SUMMARY!J163</f>
        <v>0.61572967423063263</v>
      </c>
    </row>
    <row r="161" spans="1:14" s="276" customFormat="1">
      <c r="A161" s="278"/>
      <c r="B161" s="279" t="s">
        <v>233</v>
      </c>
      <c r="C161" s="490">
        <f>SUM(C123:C160)</f>
        <v>1601588</v>
      </c>
      <c r="D161" s="490">
        <f>SUM(D123:D160)</f>
        <v>0</v>
      </c>
      <c r="E161" s="249">
        <f t="shared" ref="E161:F161" si="44">SUM(E123:E160)</f>
        <v>1601588</v>
      </c>
      <c r="F161" s="249">
        <f t="shared" si="44"/>
        <v>1015446</v>
      </c>
      <c r="G161" s="249">
        <f>SUM(G123:G160)</f>
        <v>2617034</v>
      </c>
      <c r="H161" s="280">
        <f t="shared" si="43"/>
        <v>0.35814199120728085</v>
      </c>
      <c r="I161" s="349"/>
      <c r="J161" s="527"/>
      <c r="K161" s="527"/>
      <c r="M161" s="367">
        <f>G161/G$228</f>
        <v>100.43111520454372</v>
      </c>
      <c r="N161" s="360">
        <f>SUMMARY!J164</f>
        <v>98.597321527877028</v>
      </c>
    </row>
    <row r="162" spans="1:14" s="276" customFormat="1">
      <c r="A162" s="278"/>
      <c r="B162" s="170"/>
      <c r="C162" s="196"/>
      <c r="D162" s="196"/>
      <c r="E162" s="298"/>
      <c r="F162" s="298"/>
      <c r="G162" s="298"/>
      <c r="H162" s="299"/>
      <c r="I162" s="349"/>
      <c r="J162" s="527"/>
      <c r="K162" s="527"/>
      <c r="M162" s="360"/>
      <c r="N162" s="360"/>
    </row>
    <row r="163" spans="1:14" s="276" customFormat="1">
      <c r="A163" s="278" t="s">
        <v>168</v>
      </c>
      <c r="B163" s="212" t="s">
        <v>100</v>
      </c>
      <c r="C163" s="213"/>
      <c r="D163" s="213"/>
      <c r="E163" s="309"/>
      <c r="F163" s="309"/>
      <c r="G163" s="309"/>
      <c r="H163" s="310"/>
      <c r="I163" s="349"/>
      <c r="J163" s="527"/>
      <c r="K163" s="527"/>
      <c r="M163" s="360"/>
      <c r="N163" s="360"/>
    </row>
    <row r="164" spans="1:14" s="221" customFormat="1">
      <c r="A164" s="311" t="s">
        <v>95</v>
      </c>
      <c r="B164" s="301" t="s">
        <v>102</v>
      </c>
      <c r="C164" s="490">
        <f>'[46]Sch C'!D175</f>
        <v>0</v>
      </c>
      <c r="D164" s="490">
        <f>'[46]Sch C'!F175</f>
        <v>0</v>
      </c>
      <c r="E164" s="249">
        <f t="shared" ref="E164:E196" si="45">C164+D164</f>
        <v>0</v>
      </c>
      <c r="F164" s="216">
        <v>0</v>
      </c>
      <c r="G164" s="249">
        <f t="shared" ref="G164:G196" si="46">E164+F164</f>
        <v>0</v>
      </c>
      <c r="H164" s="280">
        <f t="shared" ref="H164:H196" si="47">IF($G$208=0,0,G164/$G$208)</f>
        <v>0</v>
      </c>
      <c r="I164" s="353"/>
      <c r="J164" s="492">
        <v>0</v>
      </c>
      <c r="K164" s="492">
        <v>0</v>
      </c>
      <c r="L164" s="220"/>
      <c r="M164" s="367">
        <f>G164/G$228</f>
        <v>0</v>
      </c>
      <c r="N164" s="360">
        <f>SUMMARY!J167</f>
        <v>0</v>
      </c>
    </row>
    <row r="165" spans="1:14" s="221" customFormat="1">
      <c r="A165" s="311" t="s">
        <v>123</v>
      </c>
      <c r="B165" s="301" t="s">
        <v>103</v>
      </c>
      <c r="C165" s="490">
        <f>'[46]Sch C'!D176</f>
        <v>0</v>
      </c>
      <c r="D165" s="490">
        <f>'[46]Sch C'!F176</f>
        <v>0</v>
      </c>
      <c r="E165" s="249">
        <f t="shared" si="45"/>
        <v>0</v>
      </c>
      <c r="F165" s="216">
        <v>0</v>
      </c>
      <c r="G165" s="249">
        <f t="shared" si="46"/>
        <v>0</v>
      </c>
      <c r="H165" s="280">
        <f t="shared" si="47"/>
        <v>0</v>
      </c>
      <c r="I165" s="354"/>
      <c r="J165" s="533"/>
      <c r="K165" s="533"/>
      <c r="L165" s="220"/>
      <c r="M165" s="367">
        <f t="shared" ref="M165:M196" si="48">G165/G$228</f>
        <v>0</v>
      </c>
      <c r="N165" s="360">
        <f>SUMMARY!J168</f>
        <v>0</v>
      </c>
    </row>
    <row r="166" spans="1:14" s="221" customFormat="1">
      <c r="A166" s="311" t="s">
        <v>124</v>
      </c>
      <c r="B166" s="301" t="s">
        <v>104</v>
      </c>
      <c r="C166" s="490">
        <f>'[46]Sch C'!D177</f>
        <v>163254</v>
      </c>
      <c r="D166" s="490">
        <f>'[46]Sch C'!F177</f>
        <v>0</v>
      </c>
      <c r="E166" s="249">
        <f t="shared" si="45"/>
        <v>163254</v>
      </c>
      <c r="F166" s="674">
        <v>132338</v>
      </c>
      <c r="G166" s="249">
        <f t="shared" si="46"/>
        <v>295592</v>
      </c>
      <c r="H166" s="280">
        <f t="shared" si="47"/>
        <v>4.0451865533631802E-2</v>
      </c>
      <c r="I166" s="353"/>
      <c r="J166" s="492">
        <v>4726</v>
      </c>
      <c r="K166" s="492">
        <v>4969</v>
      </c>
      <c r="L166" s="220"/>
      <c r="M166" s="367">
        <f t="shared" si="48"/>
        <v>11.343618082738507</v>
      </c>
      <c r="N166" s="360">
        <f>SUMMARY!J169</f>
        <v>4.5899160973212085</v>
      </c>
    </row>
    <row r="167" spans="1:14" s="221" customFormat="1">
      <c r="A167" s="311" t="s">
        <v>157</v>
      </c>
      <c r="B167" s="301" t="s">
        <v>105</v>
      </c>
      <c r="C167" s="490">
        <f>'[46]Sch C'!D178</f>
        <v>44242</v>
      </c>
      <c r="D167" s="490">
        <f>'[46]Sch C'!F178</f>
        <v>0</v>
      </c>
      <c r="E167" s="249">
        <f t="shared" si="45"/>
        <v>44242</v>
      </c>
      <c r="F167" s="674">
        <v>38716</v>
      </c>
      <c r="G167" s="249">
        <f t="shared" si="46"/>
        <v>82958</v>
      </c>
      <c r="H167" s="280">
        <f t="shared" si="47"/>
        <v>1.1352830458669473E-2</v>
      </c>
      <c r="I167" s="354"/>
      <c r="J167" s="533"/>
      <c r="K167" s="533"/>
      <c r="L167" s="220"/>
      <c r="M167" s="367">
        <f t="shared" si="48"/>
        <v>3.1835904520684628</v>
      </c>
      <c r="N167" s="360">
        <f>SUMMARY!J170</f>
        <v>0.83466769369350857</v>
      </c>
    </row>
    <row r="168" spans="1:14" s="221" customFormat="1">
      <c r="A168" s="311" t="s">
        <v>158</v>
      </c>
      <c r="B168" s="301" t="s">
        <v>316</v>
      </c>
      <c r="C168" s="490">
        <f>'[46]Sch C'!D179</f>
        <v>65429</v>
      </c>
      <c r="D168" s="490">
        <f>'[46]Sch C'!F179</f>
        <v>0</v>
      </c>
      <c r="E168" s="249">
        <f t="shared" si="45"/>
        <v>65429</v>
      </c>
      <c r="F168" s="674">
        <v>48557</v>
      </c>
      <c r="G168" s="249">
        <f t="shared" si="46"/>
        <v>113986</v>
      </c>
      <c r="H168" s="280">
        <f t="shared" si="47"/>
        <v>1.5599022790591608E-2</v>
      </c>
      <c r="I168" s="353"/>
      <c r="J168" s="492">
        <v>1887</v>
      </c>
      <c r="K168" s="492">
        <v>2028</v>
      </c>
      <c r="L168" s="220"/>
      <c r="M168" s="367">
        <f t="shared" si="48"/>
        <v>4.3743188272315603</v>
      </c>
      <c r="N168" s="360">
        <f>SUMMARY!J171</f>
        <v>0.77161464733349716</v>
      </c>
    </row>
    <row r="169" spans="1:14" s="221" customFormat="1">
      <c r="A169" s="311" t="s">
        <v>86</v>
      </c>
      <c r="B169" s="301" t="s">
        <v>317</v>
      </c>
      <c r="C169" s="490">
        <f>'[46]Sch C'!D180</f>
        <v>14369</v>
      </c>
      <c r="D169" s="490">
        <f>'[46]Sch C'!F180</f>
        <v>0</v>
      </c>
      <c r="E169" s="249">
        <f t="shared" si="45"/>
        <v>14369</v>
      </c>
      <c r="F169" s="674">
        <v>12079</v>
      </c>
      <c r="G169" s="249">
        <f t="shared" si="46"/>
        <v>26448</v>
      </c>
      <c r="H169" s="280">
        <f t="shared" si="47"/>
        <v>3.6194177773197309E-3</v>
      </c>
      <c r="I169" s="354"/>
      <c r="J169" s="533"/>
      <c r="K169" s="533"/>
      <c r="L169" s="220"/>
      <c r="M169" s="367">
        <f t="shared" si="48"/>
        <v>1.0149666129403638</v>
      </c>
      <c r="N169" s="360">
        <f>SUMMARY!J172</f>
        <v>0.13394964091641409</v>
      </c>
    </row>
    <row r="170" spans="1:14" s="221" customFormat="1">
      <c r="A170" s="311" t="s">
        <v>96</v>
      </c>
      <c r="B170" s="301" t="s">
        <v>318</v>
      </c>
      <c r="C170" s="490">
        <f>'[46]Sch C'!D181</f>
        <v>0</v>
      </c>
      <c r="D170" s="490">
        <f>'[46]Sch C'!F181</f>
        <v>0</v>
      </c>
      <c r="E170" s="249">
        <f t="shared" si="45"/>
        <v>0</v>
      </c>
      <c r="F170" s="216">
        <v>0</v>
      </c>
      <c r="G170" s="249">
        <f t="shared" si="46"/>
        <v>0</v>
      </c>
      <c r="H170" s="280">
        <f t="shared" si="47"/>
        <v>0</v>
      </c>
      <c r="I170" s="353"/>
      <c r="J170" s="492">
        <v>0</v>
      </c>
      <c r="K170" s="492">
        <v>0</v>
      </c>
      <c r="L170" s="220"/>
      <c r="M170" s="367">
        <f t="shared" si="48"/>
        <v>0</v>
      </c>
      <c r="N170" s="360">
        <f>SUMMARY!J173</f>
        <v>0</v>
      </c>
    </row>
    <row r="171" spans="1:14" s="221" customFormat="1">
      <c r="A171" s="311" t="s">
        <v>125</v>
      </c>
      <c r="B171" s="301" t="s">
        <v>109</v>
      </c>
      <c r="C171" s="490">
        <f>'[46]Sch C'!D182</f>
        <v>0</v>
      </c>
      <c r="D171" s="490">
        <f>'[46]Sch C'!F182</f>
        <v>0</v>
      </c>
      <c r="E171" s="249">
        <f t="shared" si="45"/>
        <v>0</v>
      </c>
      <c r="F171" s="216">
        <v>0</v>
      </c>
      <c r="G171" s="249">
        <f t="shared" si="46"/>
        <v>0</v>
      </c>
      <c r="H171" s="280">
        <f t="shared" si="47"/>
        <v>0</v>
      </c>
      <c r="I171" s="354"/>
      <c r="J171" s="533"/>
      <c r="K171" s="533"/>
      <c r="L171" s="220"/>
      <c r="M171" s="367">
        <f t="shared" si="48"/>
        <v>0</v>
      </c>
      <c r="N171" s="360">
        <f>SUMMARY!J174</f>
        <v>0</v>
      </c>
    </row>
    <row r="172" spans="1:14" s="221" customFormat="1">
      <c r="A172" s="311" t="s">
        <v>126</v>
      </c>
      <c r="B172" s="301" t="s">
        <v>319</v>
      </c>
      <c r="C172" s="490">
        <f>'[46]Sch C'!D183</f>
        <v>76846</v>
      </c>
      <c r="D172" s="490">
        <f>'[46]Sch C'!F183</f>
        <v>0</v>
      </c>
      <c r="E172" s="249">
        <f t="shared" si="45"/>
        <v>76846</v>
      </c>
      <c r="F172" s="674">
        <v>48374</v>
      </c>
      <c r="G172" s="249">
        <f t="shared" si="46"/>
        <v>125220</v>
      </c>
      <c r="H172" s="280">
        <f t="shared" si="47"/>
        <v>1.7136399503780122E-2</v>
      </c>
      <c r="I172" s="353"/>
      <c r="J172" s="492">
        <v>2282</v>
      </c>
      <c r="K172" s="492">
        <v>2465</v>
      </c>
      <c r="L172" s="220"/>
      <c r="M172" s="367">
        <f t="shared" si="48"/>
        <v>4.8054340317752704</v>
      </c>
      <c r="N172" s="360">
        <f>SUMMARY!J175</f>
        <v>2.5941162939297122</v>
      </c>
    </row>
    <row r="173" spans="1:14" s="221" customFormat="1" ht="13.5">
      <c r="A173" s="311" t="s">
        <v>127</v>
      </c>
      <c r="B173" s="313" t="s">
        <v>111</v>
      </c>
      <c r="C173" s="490">
        <f>'[46]Sch C'!D184</f>
        <v>17084</v>
      </c>
      <c r="D173" s="490">
        <f>'[46]Sch C'!F184</f>
        <v>0</v>
      </c>
      <c r="E173" s="249">
        <f t="shared" si="45"/>
        <v>17084</v>
      </c>
      <c r="F173" s="674">
        <v>11608</v>
      </c>
      <c r="G173" s="249">
        <f t="shared" si="46"/>
        <v>28692</v>
      </c>
      <c r="H173" s="280">
        <f t="shared" si="47"/>
        <v>3.9265099390070222E-3</v>
      </c>
      <c r="I173" s="354"/>
      <c r="J173" s="533"/>
      <c r="K173" s="533"/>
      <c r="L173" s="220"/>
      <c r="M173" s="367">
        <f t="shared" si="48"/>
        <v>1.1010822012433801</v>
      </c>
      <c r="N173" s="360">
        <f>SUMMARY!J176</f>
        <v>0.43431776693811036</v>
      </c>
    </row>
    <row r="174" spans="1:14" s="221" customFormat="1">
      <c r="A174" s="311" t="s">
        <v>128</v>
      </c>
      <c r="B174" s="301" t="s">
        <v>320</v>
      </c>
      <c r="C174" s="490">
        <f>'[46]Sch C'!D185</f>
        <v>0</v>
      </c>
      <c r="D174" s="490">
        <f>'[46]Sch C'!F185</f>
        <v>0</v>
      </c>
      <c r="E174" s="249">
        <f t="shared" si="45"/>
        <v>0</v>
      </c>
      <c r="F174" s="216">
        <v>0</v>
      </c>
      <c r="G174" s="249">
        <f t="shared" si="46"/>
        <v>0</v>
      </c>
      <c r="H174" s="280">
        <f t="shared" si="47"/>
        <v>0</v>
      </c>
      <c r="I174" s="353"/>
      <c r="J174" s="492">
        <v>0</v>
      </c>
      <c r="K174" s="492">
        <v>0</v>
      </c>
      <c r="L174" s="220"/>
      <c r="M174" s="367">
        <f t="shared" si="48"/>
        <v>0</v>
      </c>
      <c r="N174" s="360">
        <f>SUMMARY!J177</f>
        <v>2.3603943092760983E-3</v>
      </c>
    </row>
    <row r="175" spans="1:14" s="221" customFormat="1" ht="13.5">
      <c r="A175" s="311" t="s">
        <v>129</v>
      </c>
      <c r="B175" s="313" t="s">
        <v>321</v>
      </c>
      <c r="C175" s="490">
        <f>'[46]Sch C'!D186</f>
        <v>0</v>
      </c>
      <c r="D175" s="490">
        <f>'[46]Sch C'!F186</f>
        <v>0</v>
      </c>
      <c r="E175" s="249">
        <f t="shared" si="45"/>
        <v>0</v>
      </c>
      <c r="F175" s="216">
        <v>0</v>
      </c>
      <c r="G175" s="249">
        <f t="shared" si="46"/>
        <v>0</v>
      </c>
      <c r="H175" s="280">
        <f t="shared" si="47"/>
        <v>0</v>
      </c>
      <c r="I175" s="349"/>
      <c r="J175" s="534"/>
      <c r="K175" s="535"/>
      <c r="L175" s="220"/>
      <c r="M175" s="367">
        <f t="shared" si="48"/>
        <v>0</v>
      </c>
      <c r="N175" s="360">
        <f>SUMMARY!J178</f>
        <v>0</v>
      </c>
    </row>
    <row r="176" spans="1:14" s="221" customFormat="1">
      <c r="A176" s="314" t="s">
        <v>293</v>
      </c>
      <c r="B176" s="301" t="s">
        <v>154</v>
      </c>
      <c r="C176" s="490">
        <f>'[46]Sch C'!D187</f>
        <v>0</v>
      </c>
      <c r="D176" s="490">
        <f>'[46]Sch C'!F187</f>
        <v>0</v>
      </c>
      <c r="E176" s="249">
        <f t="shared" si="45"/>
        <v>0</v>
      </c>
      <c r="F176" s="216">
        <v>0</v>
      </c>
      <c r="G176" s="249">
        <f t="shared" si="46"/>
        <v>0</v>
      </c>
      <c r="H176" s="280">
        <f t="shared" si="47"/>
        <v>0</v>
      </c>
      <c r="I176" s="349"/>
      <c r="J176" s="534"/>
      <c r="K176" s="535"/>
      <c r="L176" s="220"/>
      <c r="M176" s="367">
        <f t="shared" si="48"/>
        <v>0</v>
      </c>
      <c r="N176" s="360">
        <f>SUMMARY!J179</f>
        <v>0</v>
      </c>
    </row>
    <row r="177" spans="1:14" s="221" customFormat="1">
      <c r="A177" s="314" t="s">
        <v>294</v>
      </c>
      <c r="B177" s="301" t="s">
        <v>322</v>
      </c>
      <c r="C177" s="490">
        <f>'[46]Sch C'!D188</f>
        <v>2470</v>
      </c>
      <c r="D177" s="490">
        <f>'[46]Sch C'!F188</f>
        <v>0</v>
      </c>
      <c r="E177" s="249">
        <f t="shared" si="45"/>
        <v>2470</v>
      </c>
      <c r="F177" s="216">
        <v>1551</v>
      </c>
      <c r="G177" s="249">
        <f t="shared" si="46"/>
        <v>4021</v>
      </c>
      <c r="H177" s="280">
        <f t="shared" si="47"/>
        <v>5.5027521485944634E-4</v>
      </c>
      <c r="I177" s="349"/>
      <c r="J177" s="534"/>
      <c r="K177" s="535"/>
      <c r="L177" s="220"/>
      <c r="M177" s="367">
        <f t="shared" si="48"/>
        <v>0.15430961700821244</v>
      </c>
      <c r="N177" s="360">
        <f>SUMMARY!J180</f>
        <v>9.0641762922913108E-2</v>
      </c>
    </row>
    <row r="178" spans="1:14" s="221" customFormat="1">
      <c r="A178" s="314" t="s">
        <v>295</v>
      </c>
      <c r="B178" s="301" t="s">
        <v>323</v>
      </c>
      <c r="C178" s="490">
        <f>'[46]Sch C'!D189</f>
        <v>694</v>
      </c>
      <c r="D178" s="490">
        <f>'[46]Sch C'!F189</f>
        <v>0</v>
      </c>
      <c r="E178" s="249">
        <f t="shared" si="45"/>
        <v>694</v>
      </c>
      <c r="F178" s="216">
        <v>770</v>
      </c>
      <c r="G178" s="249">
        <f t="shared" si="46"/>
        <v>1464</v>
      </c>
      <c r="H178" s="280">
        <f t="shared" si="47"/>
        <v>2.0034889692967657E-4</v>
      </c>
      <c r="I178" s="349"/>
      <c r="J178" s="534"/>
      <c r="K178" s="535"/>
      <c r="L178" s="220"/>
      <c r="M178" s="367">
        <f t="shared" si="48"/>
        <v>5.6182362422288738E-2</v>
      </c>
      <c r="N178" s="360">
        <f>SUMMARY!J181</f>
        <v>1.778645585866033E-2</v>
      </c>
    </row>
    <row r="179" spans="1:14" s="221" customFormat="1">
      <c r="A179" s="314" t="s">
        <v>296</v>
      </c>
      <c r="B179" s="301" t="s">
        <v>324</v>
      </c>
      <c r="C179" s="490">
        <f>'[46]Sch C'!D190</f>
        <v>0</v>
      </c>
      <c r="D179" s="490">
        <f>'[46]Sch C'!F190</f>
        <v>0</v>
      </c>
      <c r="E179" s="249">
        <f t="shared" si="45"/>
        <v>0</v>
      </c>
      <c r="F179" s="216">
        <v>0</v>
      </c>
      <c r="G179" s="249">
        <f t="shared" si="46"/>
        <v>0</v>
      </c>
      <c r="H179" s="280">
        <f t="shared" si="47"/>
        <v>0</v>
      </c>
      <c r="I179" s="349"/>
      <c r="J179" s="534"/>
      <c r="K179" s="535"/>
      <c r="L179" s="220"/>
      <c r="M179" s="367">
        <f t="shared" si="48"/>
        <v>0</v>
      </c>
      <c r="N179" s="360">
        <f>SUMMARY!J182</f>
        <v>1.1468829360203163E-4</v>
      </c>
    </row>
    <row r="180" spans="1:14" s="221" customFormat="1">
      <c r="A180" s="314" t="s">
        <v>297</v>
      </c>
      <c r="B180" s="301" t="s">
        <v>325</v>
      </c>
      <c r="C180" s="490">
        <f>'[46]Sch C'!D191</f>
        <v>0</v>
      </c>
      <c r="D180" s="490">
        <f>'[46]Sch C'!F191</f>
        <v>0</v>
      </c>
      <c r="E180" s="249">
        <f t="shared" si="45"/>
        <v>0</v>
      </c>
      <c r="F180" s="216">
        <v>32</v>
      </c>
      <c r="G180" s="249">
        <f t="shared" si="46"/>
        <v>32</v>
      </c>
      <c r="H180" s="280">
        <f t="shared" si="47"/>
        <v>4.3792108618508538E-6</v>
      </c>
      <c r="I180" s="349"/>
      <c r="J180" s="534"/>
      <c r="K180" s="535"/>
      <c r="L180" s="220"/>
      <c r="M180" s="367">
        <f t="shared" si="48"/>
        <v>1.2280297797221582E-3</v>
      </c>
      <c r="N180" s="360">
        <f>SUMMARY!J183</f>
        <v>1.8462734496600307E-2</v>
      </c>
    </row>
    <row r="181" spans="1:14" s="221" customFormat="1">
      <c r="A181" s="314" t="s">
        <v>298</v>
      </c>
      <c r="B181" s="301" t="s">
        <v>117</v>
      </c>
      <c r="C181" s="490">
        <f>'[46]Sch C'!D192</f>
        <v>42131</v>
      </c>
      <c r="D181" s="490">
        <f>'[46]Sch C'!F192</f>
        <v>0</v>
      </c>
      <c r="E181" s="249">
        <f t="shared" si="45"/>
        <v>42131</v>
      </c>
      <c r="F181" s="216">
        <v>15987</v>
      </c>
      <c r="G181" s="249">
        <f t="shared" si="46"/>
        <v>58118</v>
      </c>
      <c r="H181" s="280">
        <f t="shared" si="47"/>
        <v>7.9534680271577483E-3</v>
      </c>
      <c r="I181" s="349"/>
      <c r="J181" s="534"/>
      <c r="K181" s="535"/>
      <c r="L181" s="220"/>
      <c r="M181" s="367">
        <f t="shared" si="48"/>
        <v>2.2303323355591371</v>
      </c>
      <c r="N181" s="360">
        <f>SUMMARY!J184</f>
        <v>0.21032919363206901</v>
      </c>
    </row>
    <row r="182" spans="1:14" s="221" customFormat="1">
      <c r="A182" s="314" t="s">
        <v>132</v>
      </c>
      <c r="B182" s="301" t="s">
        <v>118</v>
      </c>
      <c r="C182" s="490">
        <f>'[46]Sch C'!D193</f>
        <v>0</v>
      </c>
      <c r="D182" s="490">
        <f>'[46]Sch C'!F193</f>
        <v>0</v>
      </c>
      <c r="E182" s="249">
        <f t="shared" si="45"/>
        <v>0</v>
      </c>
      <c r="F182" s="216">
        <v>0</v>
      </c>
      <c r="G182" s="249">
        <f t="shared" si="46"/>
        <v>0</v>
      </c>
      <c r="H182" s="280">
        <f t="shared" si="47"/>
        <v>0</v>
      </c>
      <c r="I182" s="349"/>
      <c r="J182" s="534"/>
      <c r="K182" s="535"/>
      <c r="L182" s="220"/>
      <c r="M182" s="367">
        <f t="shared" si="48"/>
        <v>0</v>
      </c>
      <c r="N182" s="360">
        <f>SUMMARY!J185</f>
        <v>4.5937156276453409E-2</v>
      </c>
    </row>
    <row r="183" spans="1:14" s="221" customFormat="1">
      <c r="A183" s="314" t="s">
        <v>133</v>
      </c>
      <c r="B183" s="301" t="s">
        <v>119</v>
      </c>
      <c r="C183" s="490">
        <f>'[46]Sch C'!D194</f>
        <v>0</v>
      </c>
      <c r="D183" s="490">
        <f>'[46]Sch C'!F194</f>
        <v>0</v>
      </c>
      <c r="E183" s="249">
        <f t="shared" si="45"/>
        <v>0</v>
      </c>
      <c r="F183" s="674">
        <f>171054-171054</f>
        <v>0</v>
      </c>
      <c r="G183" s="249">
        <f t="shared" si="46"/>
        <v>0</v>
      </c>
      <c r="H183" s="280">
        <f t="shared" si="47"/>
        <v>0</v>
      </c>
      <c r="I183" s="349"/>
      <c r="J183" s="534"/>
      <c r="K183" s="535"/>
      <c r="L183" s="220"/>
      <c r="M183" s="367">
        <f t="shared" si="48"/>
        <v>0</v>
      </c>
      <c r="N183" s="360">
        <f>SUMMARY!J186</f>
        <v>7.3129851396739571</v>
      </c>
    </row>
    <row r="184" spans="1:14" s="221" customFormat="1">
      <c r="A184" s="314" t="s">
        <v>134</v>
      </c>
      <c r="B184" s="301" t="s">
        <v>326</v>
      </c>
      <c r="C184" s="490">
        <f>'[46]Sch C'!D195</f>
        <v>0</v>
      </c>
      <c r="D184" s="490">
        <f>'[46]Sch C'!F195</f>
        <v>0</v>
      </c>
      <c r="E184" s="249">
        <f t="shared" si="45"/>
        <v>0</v>
      </c>
      <c r="F184" s="674">
        <f>60636-60636</f>
        <v>0</v>
      </c>
      <c r="G184" s="249">
        <f t="shared" si="46"/>
        <v>0</v>
      </c>
      <c r="H184" s="280">
        <f t="shared" si="47"/>
        <v>0</v>
      </c>
      <c r="I184" s="349"/>
      <c r="J184" s="534"/>
      <c r="K184" s="535"/>
      <c r="L184" s="220"/>
      <c r="M184" s="367">
        <f t="shared" si="48"/>
        <v>0</v>
      </c>
      <c r="N184" s="360">
        <f>SUMMARY!J187</f>
        <v>1.617871871330657</v>
      </c>
    </row>
    <row r="185" spans="1:14" s="221" customFormat="1">
      <c r="A185" s="314" t="s">
        <v>135</v>
      </c>
      <c r="B185" s="301" t="s">
        <v>327</v>
      </c>
      <c r="C185" s="490">
        <f>'[46]Sch C'!D196</f>
        <v>0</v>
      </c>
      <c r="D185" s="490">
        <f>'[46]Sch C'!F196</f>
        <v>0</v>
      </c>
      <c r="E185" s="249">
        <f t="shared" si="45"/>
        <v>0</v>
      </c>
      <c r="F185" s="216">
        <v>0</v>
      </c>
      <c r="G185" s="249">
        <f t="shared" si="46"/>
        <v>0</v>
      </c>
      <c r="H185" s="280">
        <f t="shared" si="47"/>
        <v>0</v>
      </c>
      <c r="I185" s="349"/>
      <c r="J185" s="534"/>
      <c r="K185" s="535"/>
      <c r="L185" s="220"/>
      <c r="M185" s="367">
        <f t="shared" si="48"/>
        <v>0</v>
      </c>
      <c r="N185" s="360">
        <f>SUMMARY!J188</f>
        <v>0</v>
      </c>
    </row>
    <row r="186" spans="1:14" s="221" customFormat="1">
      <c r="A186" s="314" t="s">
        <v>136</v>
      </c>
      <c r="B186" s="301" t="s">
        <v>328</v>
      </c>
      <c r="C186" s="490">
        <f>'[46]Sch C'!D197</f>
        <v>0</v>
      </c>
      <c r="D186" s="490">
        <f>'[46]Sch C'!F197</f>
        <v>0</v>
      </c>
      <c r="E186" s="249">
        <f t="shared" si="45"/>
        <v>0</v>
      </c>
      <c r="F186" s="674">
        <f>60571-60571</f>
        <v>0</v>
      </c>
      <c r="G186" s="249">
        <f t="shared" si="46"/>
        <v>0</v>
      </c>
      <c r="H186" s="280">
        <f t="shared" si="47"/>
        <v>0</v>
      </c>
      <c r="I186" s="349"/>
      <c r="J186" s="534"/>
      <c r="K186" s="535"/>
      <c r="L186" s="220"/>
      <c r="M186" s="367">
        <f t="shared" si="48"/>
        <v>0</v>
      </c>
      <c r="N186" s="360">
        <f>SUMMARY!J189</f>
        <v>5.0698778515059661</v>
      </c>
    </row>
    <row r="187" spans="1:14" s="221" customFormat="1">
      <c r="A187" s="314" t="s">
        <v>137</v>
      </c>
      <c r="B187" s="301" t="s">
        <v>122</v>
      </c>
      <c r="C187" s="490">
        <f>'[46]Sch C'!D198</f>
        <v>0</v>
      </c>
      <c r="D187" s="490">
        <f>'[46]Sch C'!F198</f>
        <v>0</v>
      </c>
      <c r="E187" s="249">
        <f t="shared" si="45"/>
        <v>0</v>
      </c>
      <c r="F187" s="216">
        <v>0</v>
      </c>
      <c r="G187" s="249">
        <f t="shared" si="46"/>
        <v>0</v>
      </c>
      <c r="H187" s="280">
        <f t="shared" si="47"/>
        <v>0</v>
      </c>
      <c r="I187" s="349"/>
      <c r="J187" s="534"/>
      <c r="K187" s="535"/>
      <c r="L187" s="220"/>
      <c r="M187" s="367">
        <f t="shared" si="48"/>
        <v>0</v>
      </c>
      <c r="N187" s="360">
        <f>SUMMARY!J190</f>
        <v>1.3048000054613476</v>
      </c>
    </row>
    <row r="188" spans="1:14" s="221" customFormat="1">
      <c r="A188" s="314" t="s">
        <v>275</v>
      </c>
      <c r="B188" s="301" t="s">
        <v>329</v>
      </c>
      <c r="C188" s="490">
        <f>'[46]Sch C'!D199</f>
        <v>0</v>
      </c>
      <c r="D188" s="490">
        <f>'[46]Sch C'!F199</f>
        <v>0</v>
      </c>
      <c r="E188" s="249">
        <f t="shared" si="45"/>
        <v>0</v>
      </c>
      <c r="F188" s="216">
        <v>0</v>
      </c>
      <c r="G188" s="249">
        <f t="shared" si="46"/>
        <v>0</v>
      </c>
      <c r="H188" s="280">
        <f t="shared" si="47"/>
        <v>0</v>
      </c>
      <c r="I188" s="349"/>
      <c r="J188" s="534"/>
      <c r="K188" s="535"/>
      <c r="L188" s="220"/>
      <c r="M188" s="367">
        <f t="shared" si="48"/>
        <v>0</v>
      </c>
      <c r="N188" s="360">
        <f>SUMMARY!J191</f>
        <v>0.39995945495753804</v>
      </c>
    </row>
    <row r="189" spans="1:14" s="221" customFormat="1">
      <c r="A189" s="314" t="s">
        <v>277</v>
      </c>
      <c r="B189" s="301" t="s">
        <v>278</v>
      </c>
      <c r="C189" s="490">
        <f>'[46]Sch C'!D200</f>
        <v>0</v>
      </c>
      <c r="D189" s="490">
        <f>'[46]Sch C'!F200</f>
        <v>0</v>
      </c>
      <c r="E189" s="249">
        <f t="shared" si="45"/>
        <v>0</v>
      </c>
      <c r="F189" s="216">
        <v>0</v>
      </c>
      <c r="G189" s="249">
        <f t="shared" si="46"/>
        <v>0</v>
      </c>
      <c r="H189" s="280">
        <f t="shared" si="47"/>
        <v>0</v>
      </c>
      <c r="I189" s="349"/>
      <c r="J189" s="534"/>
      <c r="K189" s="535"/>
      <c r="L189" s="220"/>
      <c r="M189" s="367">
        <f t="shared" si="48"/>
        <v>0</v>
      </c>
      <c r="N189" s="360">
        <f>SUMMARY!J192</f>
        <v>5.0800032768083883E-3</v>
      </c>
    </row>
    <row r="190" spans="1:14" s="221" customFormat="1">
      <c r="A190" s="315" t="s">
        <v>279</v>
      </c>
      <c r="B190" s="316" t="s">
        <v>280</v>
      </c>
      <c r="C190" s="490">
        <f>'[46]Sch C'!D201</f>
        <v>0</v>
      </c>
      <c r="D190" s="490">
        <f>'[46]Sch C'!F201</f>
        <v>0</v>
      </c>
      <c r="E190" s="249">
        <f t="shared" si="45"/>
        <v>0</v>
      </c>
      <c r="F190" s="216">
        <v>0</v>
      </c>
      <c r="G190" s="249">
        <f t="shared" si="46"/>
        <v>0</v>
      </c>
      <c r="H190" s="280">
        <f t="shared" si="47"/>
        <v>0</v>
      </c>
      <c r="I190" s="349"/>
      <c r="J190" s="534"/>
      <c r="K190" s="535"/>
      <c r="L190" s="220"/>
      <c r="M190" s="367">
        <f t="shared" si="48"/>
        <v>0</v>
      </c>
      <c r="N190" s="360">
        <f>SUMMARY!J193</f>
        <v>-2.2159984708227519E-2</v>
      </c>
    </row>
    <row r="191" spans="1:14" s="221" customFormat="1">
      <c r="A191" s="315" t="s">
        <v>281</v>
      </c>
      <c r="B191" s="316" t="s">
        <v>282</v>
      </c>
      <c r="C191" s="490">
        <f>'[46]Sch C'!D202</f>
        <v>0</v>
      </c>
      <c r="D191" s="490">
        <f>'[46]Sch C'!F202</f>
        <v>0</v>
      </c>
      <c r="E191" s="249">
        <f t="shared" si="45"/>
        <v>0</v>
      </c>
      <c r="F191" s="216">
        <v>0</v>
      </c>
      <c r="G191" s="249">
        <f t="shared" si="46"/>
        <v>0</v>
      </c>
      <c r="H191" s="280">
        <f t="shared" si="47"/>
        <v>0</v>
      </c>
      <c r="I191" s="349"/>
      <c r="J191" s="534"/>
      <c r="K191" s="535"/>
      <c r="L191" s="220"/>
      <c r="M191" s="367">
        <f t="shared" si="48"/>
        <v>0</v>
      </c>
      <c r="N191" s="360">
        <f>SUMMARY!J194</f>
        <v>4.7598918653231749E-4</v>
      </c>
    </row>
    <row r="192" spans="1:14" s="221" customFormat="1">
      <c r="A192" s="315" t="s">
        <v>283</v>
      </c>
      <c r="B192" s="316" t="s">
        <v>330</v>
      </c>
      <c r="C192" s="490">
        <f>'[46]Sch C'!D203</f>
        <v>18193</v>
      </c>
      <c r="D192" s="490">
        <f>'[46]Sch C'!F203</f>
        <v>0</v>
      </c>
      <c r="E192" s="249">
        <f t="shared" si="45"/>
        <v>18193</v>
      </c>
      <c r="F192" s="216">
        <v>10537</v>
      </c>
      <c r="G192" s="249">
        <f t="shared" si="46"/>
        <v>28730</v>
      </c>
      <c r="H192" s="280">
        <f t="shared" si="47"/>
        <v>3.9317102519054702E-3</v>
      </c>
      <c r="I192" s="349"/>
      <c r="J192" s="534"/>
      <c r="K192" s="535"/>
      <c r="L192" s="220"/>
      <c r="M192" s="367">
        <f t="shared" si="48"/>
        <v>1.1025404866068003</v>
      </c>
      <c r="N192" s="360">
        <f>SUMMARY!J195</f>
        <v>9.9736102236421709E-2</v>
      </c>
    </row>
    <row r="193" spans="1:14" s="221" customFormat="1">
      <c r="A193" s="315" t="s">
        <v>285</v>
      </c>
      <c r="B193" s="316" t="s">
        <v>331</v>
      </c>
      <c r="C193" s="490">
        <f>'[46]Sch C'!D204</f>
        <v>0</v>
      </c>
      <c r="D193" s="490">
        <f>'[46]Sch C'!F204</f>
        <v>0</v>
      </c>
      <c r="E193" s="249">
        <f t="shared" si="45"/>
        <v>0</v>
      </c>
      <c r="F193" s="216">
        <v>0</v>
      </c>
      <c r="G193" s="249">
        <f t="shared" si="46"/>
        <v>0</v>
      </c>
      <c r="H193" s="280">
        <f t="shared" si="47"/>
        <v>0</v>
      </c>
      <c r="I193" s="349"/>
      <c r="J193" s="534"/>
      <c r="K193" s="535"/>
      <c r="L193" s="220"/>
      <c r="M193" s="367">
        <f t="shared" si="48"/>
        <v>0</v>
      </c>
      <c r="N193" s="360">
        <f>SUMMARY!J196</f>
        <v>1.4186941918571311E-2</v>
      </c>
    </row>
    <row r="194" spans="1:14" s="221" customFormat="1">
      <c r="A194" s="314" t="s">
        <v>138</v>
      </c>
      <c r="B194" s="301" t="s">
        <v>332</v>
      </c>
      <c r="C194" s="490">
        <f>'[46]Sch C'!D205</f>
        <v>150142</v>
      </c>
      <c r="D194" s="490">
        <f>'[46]Sch C'!F205</f>
        <v>0</v>
      </c>
      <c r="E194" s="249">
        <f t="shared" si="45"/>
        <v>150142</v>
      </c>
      <c r="F194" s="216">
        <v>96149</v>
      </c>
      <c r="G194" s="249">
        <f t="shared" si="46"/>
        <v>246291</v>
      </c>
      <c r="H194" s="280">
        <f t="shared" si="47"/>
        <v>3.3705006949253394E-2</v>
      </c>
      <c r="I194" s="349"/>
      <c r="J194" s="534"/>
      <c r="K194" s="535"/>
      <c r="L194" s="220"/>
      <c r="M194" s="367">
        <f t="shared" si="48"/>
        <v>9.4516463274234397</v>
      </c>
      <c r="N194" s="360">
        <f>SUMMARY!J197</f>
        <v>9.4205484776494348</v>
      </c>
    </row>
    <row r="195" spans="1:14" s="221" customFormat="1">
      <c r="A195" s="314" t="s">
        <v>139</v>
      </c>
      <c r="B195" s="301" t="s">
        <v>67</v>
      </c>
      <c r="C195" s="490">
        <f>'[46]Sch C'!D206</f>
        <v>-1012</v>
      </c>
      <c r="D195" s="490">
        <f>'[46]Sch C'!F206</f>
        <v>0</v>
      </c>
      <c r="E195" s="249">
        <f t="shared" si="45"/>
        <v>-1012</v>
      </c>
      <c r="F195" s="216">
        <v>290</v>
      </c>
      <c r="G195" s="249">
        <f t="shared" si="46"/>
        <v>-722</v>
      </c>
      <c r="H195" s="280">
        <f t="shared" si="47"/>
        <v>-9.8805945070509901E-5</v>
      </c>
      <c r="I195" s="349"/>
      <c r="J195" s="534"/>
      <c r="K195" s="535"/>
      <c r="L195" s="220"/>
      <c r="M195" s="367">
        <f t="shared" si="48"/>
        <v>-2.7707421904981197E-2</v>
      </c>
      <c r="N195" s="360">
        <f>SUMMARY!J198</f>
        <v>0.51514733622784747</v>
      </c>
    </row>
    <row r="196" spans="1:14" s="221" customFormat="1">
      <c r="A196" s="315" t="s">
        <v>143</v>
      </c>
      <c r="B196" s="297" t="s">
        <v>333</v>
      </c>
      <c r="C196" s="490">
        <f>'[46]Sch C'!D207</f>
        <v>16955</v>
      </c>
      <c r="D196" s="490">
        <f>'[46]Sch C'!F207</f>
        <v>0</v>
      </c>
      <c r="E196" s="249">
        <f t="shared" si="45"/>
        <v>16955</v>
      </c>
      <c r="F196" s="216">
        <v>11773</v>
      </c>
      <c r="G196" s="249">
        <f t="shared" si="46"/>
        <v>28728</v>
      </c>
      <c r="H196" s="280">
        <f t="shared" si="47"/>
        <v>3.9314365512266043E-3</v>
      </c>
      <c r="I196" s="349"/>
      <c r="J196" s="534"/>
      <c r="K196" s="535"/>
      <c r="L196" s="220"/>
      <c r="M196" s="367">
        <f t="shared" si="48"/>
        <v>1.1024637347455675</v>
      </c>
      <c r="N196" s="360">
        <f>SUMMARY!J199</f>
        <v>0.43468466925335936</v>
      </c>
    </row>
    <row r="197" spans="1:14" s="276" customFormat="1">
      <c r="A197" s="272"/>
      <c r="B197" s="317" t="s">
        <v>130</v>
      </c>
      <c r="C197" s="490">
        <f>SUM(C164:C196)</f>
        <v>610797</v>
      </c>
      <c r="D197" s="490">
        <f>SUM(D164:D196)</f>
        <v>0</v>
      </c>
      <c r="E197" s="249">
        <f t="shared" ref="E197:F197" si="49">SUM(E164:E196)</f>
        <v>610797</v>
      </c>
      <c r="F197" s="249">
        <f t="shared" si="49"/>
        <v>428761</v>
      </c>
      <c r="G197" s="249">
        <f>SUM(G164:G196)</f>
        <v>1039558</v>
      </c>
      <c r="H197" s="280">
        <f>IF($G$208=0,0,G197/$G$208)</f>
        <v>0.14226386516012343</v>
      </c>
      <c r="I197" s="349"/>
      <c r="J197" s="527"/>
      <c r="K197" s="527"/>
      <c r="M197" s="367">
        <f>G197/G$228</f>
        <v>39.894005679637729</v>
      </c>
      <c r="N197" s="360">
        <f>SUMMARY!J200</f>
        <v>35.91740838389223</v>
      </c>
    </row>
    <row r="198" spans="1:14" s="276" customFormat="1" ht="15">
      <c r="A198" s="272"/>
      <c r="C198" s="165"/>
      <c r="D198" s="165"/>
      <c r="E198" s="274"/>
      <c r="F198" s="647" t="s">
        <v>626</v>
      </c>
      <c r="G198" s="274"/>
      <c r="H198" s="300"/>
      <c r="I198" s="351"/>
      <c r="J198" s="527"/>
      <c r="K198" s="527"/>
      <c r="M198" s="360"/>
      <c r="N198" s="360"/>
    </row>
    <row r="199" spans="1:14" s="276" customFormat="1">
      <c r="A199" s="278" t="s">
        <v>169</v>
      </c>
      <c r="B199" s="279" t="s">
        <v>68</v>
      </c>
      <c r="C199" s="165"/>
      <c r="D199" s="165"/>
      <c r="E199" s="274"/>
      <c r="F199" s="451" t="s">
        <v>612</v>
      </c>
      <c r="G199" s="274"/>
      <c r="H199" s="300"/>
      <c r="I199" s="351"/>
      <c r="J199" s="527"/>
      <c r="K199" s="527"/>
      <c r="M199" s="360"/>
      <c r="N199" s="360"/>
    </row>
    <row r="200" spans="1:14" s="276" customFormat="1">
      <c r="A200" s="278" t="s">
        <v>85</v>
      </c>
      <c r="B200" s="279" t="s">
        <v>69</v>
      </c>
      <c r="C200" s="490">
        <f>'[46]Sch C'!D211</f>
        <v>67742.61</v>
      </c>
      <c r="D200" s="490">
        <f>'[46]Sch C'!F211</f>
        <v>0</v>
      </c>
      <c r="E200" s="249">
        <f t="shared" ref="E200:E205" si="50">C200+D200</f>
        <v>67742.61</v>
      </c>
      <c r="F200" s="672">
        <v>50024</v>
      </c>
      <c r="G200" s="249">
        <f t="shared" ref="G200:G205" si="51">E200+F200</f>
        <v>117766.61</v>
      </c>
      <c r="H200" s="280">
        <f t="shared" ref="H200:H206" si="52">IF($G$208=0,0,G200/$G$208)</f>
        <v>1.6116400552354793E-2</v>
      </c>
      <c r="I200" s="349"/>
      <c r="J200" s="492">
        <v>4721</v>
      </c>
      <c r="K200" s="492">
        <v>4893</v>
      </c>
      <c r="M200" s="367">
        <f t="shared" ref="M200:M205" si="53">G200/G$228</f>
        <v>4.5194032542789166</v>
      </c>
      <c r="N200" s="360">
        <f>SUMMARY!J203</f>
        <v>4.8433639387236838</v>
      </c>
    </row>
    <row r="201" spans="1:14" s="276" customFormat="1">
      <c r="A201" s="278" t="s">
        <v>86</v>
      </c>
      <c r="B201" s="279" t="s">
        <v>45</v>
      </c>
      <c r="C201" s="490">
        <f>'[46]Sch C'!D212</f>
        <v>17900</v>
      </c>
      <c r="D201" s="490">
        <f>'[46]Sch C'!F212</f>
        <v>0</v>
      </c>
      <c r="E201" s="249">
        <f t="shared" si="50"/>
        <v>17900</v>
      </c>
      <c r="F201" s="672">
        <v>10925</v>
      </c>
      <c r="G201" s="249">
        <f t="shared" si="51"/>
        <v>28825</v>
      </c>
      <c r="H201" s="280">
        <f t="shared" si="52"/>
        <v>3.9447110341515896E-3</v>
      </c>
      <c r="I201" s="349"/>
      <c r="J201" s="527"/>
      <c r="K201" s="527"/>
      <c r="M201" s="367">
        <f t="shared" si="53"/>
        <v>1.1061862000153504</v>
      </c>
      <c r="N201" s="360">
        <f>SUMMARY!J204</f>
        <v>0.96144674193499036</v>
      </c>
    </row>
    <row r="202" spans="1:14" s="276" customFormat="1">
      <c r="A202" s="278" t="s">
        <v>140</v>
      </c>
      <c r="B202" s="279" t="s">
        <v>54</v>
      </c>
      <c r="C202" s="490">
        <f>'[46]Sch C'!D213</f>
        <v>5659</v>
      </c>
      <c r="D202" s="490">
        <f>'[46]Sch C'!F213</f>
        <v>0</v>
      </c>
      <c r="E202" s="249">
        <f t="shared" si="50"/>
        <v>5659</v>
      </c>
      <c r="F202" s="672">
        <f>62708-61063</f>
        <v>1645</v>
      </c>
      <c r="G202" s="249">
        <f t="shared" si="51"/>
        <v>7304</v>
      </c>
      <c r="H202" s="280">
        <f t="shared" si="52"/>
        <v>9.9955487921745746E-4</v>
      </c>
      <c r="I202" s="349"/>
      <c r="J202" s="527"/>
      <c r="K202" s="527"/>
      <c r="M202" s="367">
        <f t="shared" si="53"/>
        <v>0.2802977972215826</v>
      </c>
      <c r="N202" s="360">
        <f>SUMMARY!J205</f>
        <v>0.5247184566232489</v>
      </c>
    </row>
    <row r="203" spans="1:14" s="276" customFormat="1">
      <c r="A203" s="278" t="s">
        <v>141</v>
      </c>
      <c r="B203" s="279" t="s">
        <v>70</v>
      </c>
      <c r="C203" s="490">
        <f>'[46]Sch C'!D214</f>
        <v>0</v>
      </c>
      <c r="D203" s="490">
        <f>'[46]Sch C'!F214</f>
        <v>0</v>
      </c>
      <c r="E203" s="249">
        <f t="shared" si="50"/>
        <v>0</v>
      </c>
      <c r="F203" s="249">
        <v>0</v>
      </c>
      <c r="G203" s="249">
        <f t="shared" si="51"/>
        <v>0</v>
      </c>
      <c r="H203" s="280">
        <f t="shared" si="52"/>
        <v>0</v>
      </c>
      <c r="I203" s="349"/>
      <c r="J203" s="527"/>
      <c r="K203" s="527"/>
      <c r="M203" s="367">
        <f t="shared" si="53"/>
        <v>0</v>
      </c>
      <c r="N203" s="360">
        <f>SUMMARY!J206</f>
        <v>1.4027039130553507E-2</v>
      </c>
    </row>
    <row r="204" spans="1:14" s="276" customFormat="1">
      <c r="A204" s="278" t="s">
        <v>142</v>
      </c>
      <c r="B204" s="23" t="s">
        <v>71</v>
      </c>
      <c r="C204" s="490">
        <f>'[46]Sch C'!D215</f>
        <v>0</v>
      </c>
      <c r="D204" s="490">
        <f>'[46]Sch C'!F215</f>
        <v>0</v>
      </c>
      <c r="E204" s="249">
        <f t="shared" si="50"/>
        <v>0</v>
      </c>
      <c r="F204" s="249">
        <v>0</v>
      </c>
      <c r="G204" s="249">
        <f t="shared" si="51"/>
        <v>0</v>
      </c>
      <c r="H204" s="280">
        <f t="shared" si="52"/>
        <v>0</v>
      </c>
      <c r="I204" s="349"/>
      <c r="J204" s="527"/>
      <c r="K204" s="527"/>
      <c r="M204" s="367">
        <f t="shared" si="53"/>
        <v>0</v>
      </c>
      <c r="N204" s="360">
        <f>SUMMARY!J207</f>
        <v>0</v>
      </c>
    </row>
    <row r="205" spans="1:14" s="276" customFormat="1">
      <c r="A205" s="278" t="s">
        <v>143</v>
      </c>
      <c r="B205" s="279" t="s">
        <v>312</v>
      </c>
      <c r="C205" s="490">
        <f>'[46]Sch C'!D216</f>
        <v>33059</v>
      </c>
      <c r="D205" s="490">
        <f>'[46]Sch C'!F216</f>
        <v>0</v>
      </c>
      <c r="E205" s="249">
        <f t="shared" si="50"/>
        <v>33059</v>
      </c>
      <c r="F205" s="249">
        <v>34736</v>
      </c>
      <c r="G205" s="249">
        <f t="shared" si="51"/>
        <v>67795</v>
      </c>
      <c r="H205" s="280">
        <f t="shared" si="52"/>
        <v>9.2777687618493324E-3</v>
      </c>
      <c r="I205" s="349"/>
      <c r="J205" s="527"/>
      <c r="K205" s="527"/>
      <c r="M205" s="367">
        <f t="shared" si="53"/>
        <v>2.6016962161332411</v>
      </c>
      <c r="N205" s="360">
        <f>SUMMARY!J208</f>
        <v>0.36483307391933595</v>
      </c>
    </row>
    <row r="206" spans="1:14" s="276" customFormat="1">
      <c r="A206" s="272"/>
      <c r="B206" s="279" t="s">
        <v>144</v>
      </c>
      <c r="C206" s="490">
        <f>SUM(C200:C205)</f>
        <v>124360.61</v>
      </c>
      <c r="D206" s="490">
        <f>SUM(D200:D205)</f>
        <v>0</v>
      </c>
      <c r="E206" s="249">
        <f t="shared" ref="E206:F206" si="54">SUM(E200:E205)</f>
        <v>124360.61</v>
      </c>
      <c r="F206" s="249">
        <f t="shared" si="54"/>
        <v>97330</v>
      </c>
      <c r="G206" s="249">
        <f>SUM(G200:G205)</f>
        <v>221690.61</v>
      </c>
      <c r="H206" s="280">
        <f t="shared" si="52"/>
        <v>3.0338435227573173E-2</v>
      </c>
      <c r="I206" s="349"/>
      <c r="J206" s="527"/>
      <c r="K206" s="527"/>
      <c r="M206" s="367">
        <f>G206/G$228</f>
        <v>8.5075834676490896</v>
      </c>
      <c r="N206" s="360">
        <f>SUMMARY!J209</f>
        <v>6.7083892503318125</v>
      </c>
    </row>
    <row r="207" spans="1:14" s="276" customFormat="1">
      <c r="A207" s="272"/>
      <c r="C207" s="165"/>
      <c r="D207" s="165"/>
      <c r="E207" s="274"/>
      <c r="F207" s="274"/>
      <c r="G207" s="274"/>
      <c r="H207" s="300"/>
      <c r="I207" s="351"/>
      <c r="J207" s="168"/>
      <c r="K207" s="168"/>
      <c r="M207" s="360"/>
      <c r="N207" s="360"/>
    </row>
    <row r="208" spans="1:14" s="276" customFormat="1">
      <c r="A208" s="227"/>
      <c r="B208" s="178" t="s">
        <v>145</v>
      </c>
      <c r="C208" s="490">
        <f>SUM(C25:C206)/2</f>
        <v>4116853.6100000003</v>
      </c>
      <c r="D208" s="490">
        <f>SUM(D25:D206)/2</f>
        <v>374155</v>
      </c>
      <c r="E208" s="249">
        <f t="shared" ref="E208:F208" si="55">SUM(E25:E206)/2</f>
        <v>4491008.6099999994</v>
      </c>
      <c r="F208" s="249">
        <f t="shared" si="55"/>
        <v>2816244</v>
      </c>
      <c r="G208" s="249">
        <f>SUM(G25:G206)/2</f>
        <v>7307252.6099999994</v>
      </c>
      <c r="H208" s="280">
        <f>IF($G$208=0,0,G208/$G$208)</f>
        <v>1</v>
      </c>
      <c r="I208" s="349"/>
      <c r="J208" s="183">
        <f>SUM(J25:J200)</f>
        <v>98791</v>
      </c>
      <c r="K208" s="183">
        <f>SUM(K25:K200)</f>
        <v>103983</v>
      </c>
      <c r="M208" s="367">
        <f>G208/G$228</f>
        <v>280.42261915726453</v>
      </c>
      <c r="N208" s="360">
        <f>SUMMARY!J211</f>
        <v>251.18209433366243</v>
      </c>
    </row>
    <row r="209" spans="1:14" s="276" customFormat="1" ht="15.5">
      <c r="A209" s="272"/>
      <c r="B209" s="279"/>
      <c r="C209" s="165"/>
      <c r="D209" s="165"/>
      <c r="E209" s="274"/>
      <c r="F209"/>
      <c r="G209"/>
      <c r="I209" s="345"/>
      <c r="J209" s="168"/>
      <c r="K209" s="168"/>
    </row>
    <row r="210" spans="1:14" s="276" customFormat="1" ht="15.5">
      <c r="A210" s="272"/>
      <c r="B210" s="279"/>
      <c r="C210" s="165"/>
      <c r="D210" s="165"/>
      <c r="E210" s="274"/>
      <c r="F210"/>
      <c r="G210"/>
      <c r="I210" s="345"/>
      <c r="J210" s="168"/>
      <c r="K210" s="168"/>
    </row>
    <row r="211" spans="1:14" s="276" customFormat="1" ht="15.5">
      <c r="A211" s="272"/>
      <c r="B211" s="228" t="s">
        <v>181</v>
      </c>
      <c r="C211" s="490">
        <f>'[46]Sch C'!D221</f>
        <v>4116854</v>
      </c>
      <c r="D211" s="196"/>
      <c r="E211" s="274"/>
      <c r="F211"/>
      <c r="G211"/>
      <c r="I211" s="345"/>
      <c r="J211" s="168"/>
      <c r="K211" s="168"/>
    </row>
    <row r="212" spans="1:14" s="276" customFormat="1" ht="15.5">
      <c r="A212" s="272"/>
      <c r="B212" s="279" t="s">
        <v>147</v>
      </c>
      <c r="C212" s="490">
        <f>C208-C211</f>
        <v>-0.38999999966472387</v>
      </c>
      <c r="D212" s="229"/>
      <c r="E212" s="274"/>
      <c r="F212"/>
      <c r="G212"/>
      <c r="I212" s="345"/>
      <c r="J212" s="168"/>
      <c r="K212" s="168"/>
    </row>
    <row r="213" spans="1:14" s="276" customFormat="1">
      <c r="A213" s="272"/>
      <c r="B213" s="318"/>
      <c r="C213" s="619"/>
      <c r="D213" s="232"/>
      <c r="E213" s="319"/>
      <c r="F213" s="319"/>
      <c r="G213" s="319"/>
      <c r="H213" s="275"/>
      <c r="I213" s="348"/>
      <c r="J213" s="168"/>
      <c r="K213" s="168"/>
    </row>
    <row r="214" spans="1:14" s="276" customFormat="1">
      <c r="A214" s="278"/>
      <c r="B214" s="178"/>
      <c r="C214" s="165"/>
      <c r="D214" s="165"/>
      <c r="E214" s="274"/>
      <c r="F214" s="274"/>
      <c r="G214" s="274"/>
      <c r="I214" s="345"/>
      <c r="J214" s="168"/>
      <c r="K214" s="168"/>
    </row>
    <row r="215" spans="1:14" s="276" customFormat="1">
      <c r="A215" s="272"/>
      <c r="B215" s="178" t="s">
        <v>78</v>
      </c>
      <c r="C215" s="490">
        <f>C21-C208</f>
        <v>-83747.610000000335</v>
      </c>
      <c r="D215" s="490">
        <f>D21-D208</f>
        <v>-374155</v>
      </c>
      <c r="E215" s="249">
        <f t="shared" ref="E215:F215" si="56">E21-E208</f>
        <v>-457902.6099999994</v>
      </c>
      <c r="F215" s="249">
        <f t="shared" si="56"/>
        <v>368626.85999999987</v>
      </c>
      <c r="G215" s="249">
        <f>G21-G208</f>
        <v>-89275.749999999069</v>
      </c>
      <c r="I215" s="345"/>
      <c r="J215" s="277"/>
      <c r="K215" s="277"/>
      <c r="M215" s="357"/>
      <c r="N215" s="360"/>
    </row>
    <row r="216" spans="1:14" s="276" customFormat="1">
      <c r="A216" s="272"/>
      <c r="B216" s="178"/>
      <c r="C216" s="196"/>
      <c r="D216" s="196"/>
      <c r="E216" s="298"/>
      <c r="F216" s="298"/>
      <c r="G216" s="298"/>
      <c r="I216" s="345"/>
      <c r="J216" s="277"/>
      <c r="K216" s="277"/>
    </row>
    <row r="217" spans="1:14" s="276" customFormat="1" ht="15">
      <c r="A217" s="272"/>
      <c r="B217" s="178"/>
      <c r="C217" s="196"/>
      <c r="D217" s="196"/>
      <c r="E217" s="298"/>
      <c r="F217" s="647" t="s">
        <v>626</v>
      </c>
      <c r="G217" s="298"/>
      <c r="I217" s="345"/>
      <c r="J217" s="277"/>
      <c r="K217" s="277"/>
    </row>
    <row r="218" spans="1:14">
      <c r="A218" s="272"/>
      <c r="B218" s="164" t="s">
        <v>159</v>
      </c>
      <c r="C218" s="165"/>
      <c r="D218" s="165"/>
      <c r="E218" s="274"/>
      <c r="F218" s="451" t="s">
        <v>612</v>
      </c>
      <c r="G218" s="274"/>
      <c r="H218" s="275"/>
      <c r="I218" s="348"/>
      <c r="J218" s="277"/>
      <c r="K218" s="277"/>
    </row>
    <row r="219" spans="1:14">
      <c r="A219" s="272"/>
      <c r="B219" s="279" t="s">
        <v>218</v>
      </c>
      <c r="C219" s="491">
        <f>'[46]Sch D'!C9</f>
        <v>6240</v>
      </c>
      <c r="D219" s="491"/>
      <c r="E219" s="321">
        <f t="shared" ref="E219:G227" si="57">C219+D219</f>
        <v>6240</v>
      </c>
      <c r="F219" s="320">
        <v>4144</v>
      </c>
      <c r="G219" s="321">
        <f t="shared" si="57"/>
        <v>10384</v>
      </c>
      <c r="H219" s="280">
        <f t="shared" ref="H219:H228" si="58">IF($G$228=0,0,G219/$G$228)</f>
        <v>0.39849566351984034</v>
      </c>
      <c r="I219" s="349"/>
      <c r="J219" s="277"/>
      <c r="K219" s="277"/>
    </row>
    <row r="220" spans="1:14">
      <c r="A220" s="272"/>
      <c r="B220" s="279" t="s">
        <v>217</v>
      </c>
      <c r="C220" s="491">
        <f>'[46]Sch D'!D9</f>
        <v>0</v>
      </c>
      <c r="D220" s="491"/>
      <c r="E220" s="321">
        <f t="shared" ref="E220:E227" si="59">C220+D220</f>
        <v>0</v>
      </c>
      <c r="F220" s="320">
        <v>0</v>
      </c>
      <c r="G220" s="321">
        <f t="shared" si="57"/>
        <v>0</v>
      </c>
      <c r="H220" s="280">
        <f t="shared" si="58"/>
        <v>0</v>
      </c>
      <c r="I220" s="349"/>
      <c r="J220" s="277"/>
      <c r="K220" s="277"/>
    </row>
    <row r="221" spans="1:14">
      <c r="A221" s="272"/>
      <c r="B221" s="279" t="s">
        <v>72</v>
      </c>
      <c r="C221" s="491">
        <f>'[46]Sch D'!E9</f>
        <v>1899</v>
      </c>
      <c r="D221" s="491"/>
      <c r="E221" s="321">
        <f t="shared" si="59"/>
        <v>1899</v>
      </c>
      <c r="F221" s="320">
        <v>1471</v>
      </c>
      <c r="G221" s="321">
        <f t="shared" si="57"/>
        <v>3370</v>
      </c>
      <c r="H221" s="280">
        <f t="shared" si="58"/>
        <v>0.12932688617698979</v>
      </c>
      <c r="I221" s="349"/>
      <c r="J221" s="277"/>
      <c r="K221" s="277"/>
    </row>
    <row r="222" spans="1:14">
      <c r="A222" s="272"/>
      <c r="B222" s="322" t="s">
        <v>334</v>
      </c>
      <c r="C222" s="491">
        <f>'[46]Sch D'!F9</f>
        <v>1138</v>
      </c>
      <c r="D222" s="491"/>
      <c r="E222" s="321">
        <f>C222+D222</f>
        <v>1138</v>
      </c>
      <c r="F222" s="320">
        <v>734</v>
      </c>
      <c r="G222" s="321">
        <f>E222+F222</f>
        <v>1872</v>
      </c>
      <c r="H222" s="280">
        <f t="shared" si="58"/>
        <v>7.1839742113746261E-2</v>
      </c>
      <c r="I222" s="349"/>
      <c r="J222" s="277"/>
      <c r="K222" s="277"/>
    </row>
    <row r="223" spans="1:14">
      <c r="A223" s="272"/>
      <c r="B223" s="279" t="s">
        <v>73</v>
      </c>
      <c r="C223" s="491">
        <f>'[46]Sch D'!G9</f>
        <v>3860</v>
      </c>
      <c r="D223" s="491"/>
      <c r="E223" s="321">
        <f t="shared" si="59"/>
        <v>3860</v>
      </c>
      <c r="F223" s="320">
        <v>2550</v>
      </c>
      <c r="G223" s="321">
        <f t="shared" si="57"/>
        <v>6410</v>
      </c>
      <c r="H223" s="280">
        <f t="shared" si="58"/>
        <v>0.24598971525059482</v>
      </c>
      <c r="I223" s="349"/>
      <c r="J223" s="277"/>
      <c r="K223" s="277"/>
    </row>
    <row r="224" spans="1:14">
      <c r="A224" s="272"/>
      <c r="B224" s="279" t="s">
        <v>74</v>
      </c>
      <c r="C224" s="491">
        <f>'[46]Sch D'!H9</f>
        <v>1426</v>
      </c>
      <c r="D224" s="491"/>
      <c r="E224" s="321">
        <f t="shared" si="59"/>
        <v>1426</v>
      </c>
      <c r="F224" s="320">
        <v>1209</v>
      </c>
      <c r="G224" s="321">
        <f t="shared" si="57"/>
        <v>2635</v>
      </c>
      <c r="H224" s="280">
        <f t="shared" si="58"/>
        <v>0.10112057717399647</v>
      </c>
      <c r="I224" s="349"/>
      <c r="J224" s="277"/>
      <c r="K224" s="277"/>
    </row>
    <row r="225" spans="1:11">
      <c r="A225" s="272"/>
      <c r="B225" s="279" t="s">
        <v>236</v>
      </c>
      <c r="C225" s="491">
        <f>'[46]Sch D'!I9</f>
        <v>650</v>
      </c>
      <c r="D225" s="491"/>
      <c r="E225" s="321">
        <f t="shared" si="59"/>
        <v>650</v>
      </c>
      <c r="F225" s="320">
        <v>602</v>
      </c>
      <c r="G225" s="321">
        <f t="shared" si="57"/>
        <v>1252</v>
      </c>
      <c r="H225" s="280">
        <f t="shared" si="58"/>
        <v>4.8046665131629439E-2</v>
      </c>
      <c r="I225" s="349"/>
      <c r="J225" s="277"/>
      <c r="K225" s="277"/>
    </row>
    <row r="226" spans="1:11">
      <c r="A226" s="272"/>
      <c r="B226" s="279" t="s">
        <v>235</v>
      </c>
      <c r="C226" s="491">
        <f>'[46]Sch D'!J9</f>
        <v>113</v>
      </c>
      <c r="D226" s="491"/>
      <c r="E226" s="321">
        <f>C226+D226</f>
        <v>113</v>
      </c>
      <c r="F226" s="320">
        <v>22</v>
      </c>
      <c r="G226" s="321">
        <f>E226+F226</f>
        <v>135</v>
      </c>
      <c r="H226" s="280">
        <f t="shared" si="58"/>
        <v>5.1807506332028552E-3</v>
      </c>
      <c r="I226" s="349"/>
      <c r="J226" s="277"/>
      <c r="K226" s="277"/>
    </row>
    <row r="227" spans="1:11">
      <c r="A227" s="272"/>
      <c r="B227" s="279" t="s">
        <v>179</v>
      </c>
      <c r="C227" s="491">
        <f>'[46]Sch D'!K9</f>
        <v>0</v>
      </c>
      <c r="D227" s="491"/>
      <c r="E227" s="321">
        <f t="shared" si="59"/>
        <v>0</v>
      </c>
      <c r="F227" s="320">
        <v>0</v>
      </c>
      <c r="G227" s="321">
        <f t="shared" si="57"/>
        <v>0</v>
      </c>
      <c r="H227" s="280">
        <f t="shared" si="58"/>
        <v>0</v>
      </c>
      <c r="I227" s="349"/>
      <c r="J227" s="277"/>
      <c r="K227" s="277"/>
    </row>
    <row r="228" spans="1:11" ht="13.5" thickBot="1">
      <c r="A228" s="272"/>
      <c r="B228" s="332" t="s">
        <v>75</v>
      </c>
      <c r="C228" s="491">
        <f>SUM(C219:C227)</f>
        <v>15326</v>
      </c>
      <c r="D228" s="491">
        <f>SUM(D219:D227)</f>
        <v>0</v>
      </c>
      <c r="E228" s="324">
        <f>SUM(E219:E227)</f>
        <v>15326</v>
      </c>
      <c r="F228" s="324">
        <f>SUM(F219:F227)</f>
        <v>10732</v>
      </c>
      <c r="G228" s="324">
        <f>SUM(G219:G227)</f>
        <v>26058</v>
      </c>
      <c r="H228" s="280">
        <f t="shared" si="58"/>
        <v>1</v>
      </c>
      <c r="I228" s="349"/>
      <c r="J228" s="277"/>
      <c r="K228" s="277"/>
    </row>
    <row r="229" spans="1:11" ht="13.5" thickTop="1">
      <c r="A229" s="272"/>
      <c r="B229" s="276"/>
      <c r="C229" s="238"/>
      <c r="D229" s="239"/>
      <c r="E229" s="319"/>
      <c r="F229" s="325"/>
      <c r="G229" s="319"/>
      <c r="H229" s="276"/>
      <c r="J229" s="277"/>
      <c r="K229" s="277"/>
    </row>
    <row r="230" spans="1:11">
      <c r="A230" s="272"/>
      <c r="B230" s="164" t="s">
        <v>160</v>
      </c>
      <c r="C230" s="231"/>
      <c r="D230" s="232"/>
      <c r="E230" s="319"/>
      <c r="F230" s="319"/>
      <c r="G230" s="319"/>
      <c r="H230" s="276"/>
      <c r="J230" s="277"/>
      <c r="K230" s="277"/>
    </row>
    <row r="231" spans="1:11">
      <c r="A231" s="272"/>
      <c r="B231" s="23" t="s">
        <v>219</v>
      </c>
      <c r="C231" s="492">
        <v>107</v>
      </c>
      <c r="D231" s="526"/>
      <c r="E231" s="321">
        <f>C231+D231</f>
        <v>107</v>
      </c>
      <c r="F231" s="321">
        <v>107</v>
      </c>
      <c r="G231" s="321">
        <f>E231</f>
        <v>107</v>
      </c>
      <c r="H231" s="276"/>
      <c r="J231" s="277"/>
      <c r="K231" s="277"/>
    </row>
    <row r="232" spans="1:11">
      <c r="A232" s="272"/>
      <c r="B232" s="23" t="s">
        <v>290</v>
      </c>
      <c r="C232" s="492">
        <v>107</v>
      </c>
      <c r="D232" s="526"/>
      <c r="E232" s="321">
        <f>C232+D232</f>
        <v>107</v>
      </c>
      <c r="F232" s="321">
        <v>107</v>
      </c>
      <c r="G232" s="321">
        <f>E232</f>
        <v>107</v>
      </c>
      <c r="H232" s="276"/>
      <c r="J232" s="277"/>
      <c r="K232" s="277"/>
    </row>
    <row r="233" spans="1:11">
      <c r="A233" s="272"/>
      <c r="B233" s="23" t="s">
        <v>76</v>
      </c>
      <c r="C233" s="492">
        <v>215</v>
      </c>
      <c r="D233" s="489"/>
      <c r="E233" s="321">
        <f>C233+D233</f>
        <v>215</v>
      </c>
      <c r="F233" s="326">
        <v>150</v>
      </c>
      <c r="G233" s="321">
        <f>E233+F233</f>
        <v>365</v>
      </c>
      <c r="H233" s="276"/>
      <c r="J233" s="277"/>
      <c r="K233" s="277"/>
    </row>
    <row r="234" spans="1:11">
      <c r="A234" s="272"/>
      <c r="B234" s="327"/>
      <c r="C234" s="242"/>
      <c r="D234" s="240"/>
      <c r="E234" s="328"/>
      <c r="F234" s="326"/>
      <c r="G234" s="328"/>
      <c r="H234" s="276"/>
      <c r="J234" s="277"/>
      <c r="K234" s="277"/>
    </row>
    <row r="235" spans="1:11" ht="26">
      <c r="A235" s="272"/>
      <c r="B235" s="329" t="s">
        <v>237</v>
      </c>
      <c r="C235" s="492">
        <v>23005</v>
      </c>
      <c r="D235" s="489"/>
      <c r="E235" s="320">
        <f>E231*E233</f>
        <v>23005</v>
      </c>
      <c r="F235" s="326">
        <v>16050</v>
      </c>
      <c r="G235" s="320">
        <f>G231*G233</f>
        <v>39055</v>
      </c>
      <c r="H235" s="276"/>
      <c r="J235" s="277"/>
      <c r="K235" s="277"/>
    </row>
    <row r="236" spans="1:11" ht="26">
      <c r="A236" s="272"/>
      <c r="B236" s="329" t="s">
        <v>238</v>
      </c>
      <c r="C236" s="493">
        <v>0.66620299934796778</v>
      </c>
      <c r="D236" s="240"/>
      <c r="E236" s="330">
        <f>E228/E235</f>
        <v>0.66620299934796778</v>
      </c>
      <c r="F236" s="331">
        <v>0.6686604361370716</v>
      </c>
      <c r="G236" s="330">
        <f>G228/G235</f>
        <v>0.66721290487773655</v>
      </c>
      <c r="H236" s="276"/>
      <c r="J236" s="277"/>
      <c r="K236" s="277"/>
    </row>
    <row r="237" spans="1:11" ht="26">
      <c r="A237" s="272"/>
      <c r="B237" s="329" t="s">
        <v>239</v>
      </c>
      <c r="C237" s="493">
        <v>0.27124538143881766</v>
      </c>
      <c r="D237" s="240"/>
      <c r="E237" s="330">
        <f>(E219+E220)/E235</f>
        <v>0.27124538143881766</v>
      </c>
      <c r="F237" s="331">
        <v>0.25819314641744551</v>
      </c>
      <c r="G237" s="330">
        <f>(G219+G220)/G235</f>
        <v>0.26588144923825374</v>
      </c>
      <c r="H237" s="276"/>
      <c r="J237" s="277"/>
      <c r="K237" s="277"/>
    </row>
    <row r="238" spans="1:11" ht="26">
      <c r="A238" s="272"/>
      <c r="B238" s="329" t="s">
        <v>240</v>
      </c>
      <c r="C238" s="493">
        <v>0.4071512462482057</v>
      </c>
      <c r="D238" s="240"/>
      <c r="E238" s="330">
        <f>(E237/E236)</f>
        <v>0.4071512462482057</v>
      </c>
      <c r="F238" s="331">
        <v>0.38613492359299301</v>
      </c>
      <c r="G238" s="330">
        <f>(G237/G236)</f>
        <v>0.39849566351984034</v>
      </c>
      <c r="H238" s="276"/>
      <c r="J238" s="277"/>
      <c r="K238" s="277"/>
    </row>
    <row r="239" spans="1:11">
      <c r="C239" s="140"/>
      <c r="D239" s="140"/>
    </row>
    <row r="240" spans="1:11">
      <c r="C240" s="140"/>
      <c r="D240" s="140"/>
    </row>
    <row r="241" spans="2:8">
      <c r="B241" s="257" t="s">
        <v>339</v>
      </c>
      <c r="C241" s="140"/>
      <c r="D241" s="140"/>
      <c r="F241" s="252" t="s">
        <v>340</v>
      </c>
      <c r="G241" s="490">
        <f>'[46]Sch B'!C85</f>
        <v>321.17721518987344</v>
      </c>
    </row>
    <row r="242" spans="2:8">
      <c r="C242" s="140"/>
      <c r="D242" s="140"/>
      <c r="F242" s="252" t="s">
        <v>341</v>
      </c>
      <c r="G242" s="490">
        <f>'[46]Sch B'!E85</f>
        <v>194.79160186625194</v>
      </c>
    </row>
    <row r="243" spans="2:8">
      <c r="C243" s="140"/>
      <c r="D243" s="140"/>
      <c r="F243" s="252" t="s">
        <v>342</v>
      </c>
      <c r="G243" s="490">
        <f>(220+203*2)/3</f>
        <v>208.66666666666666</v>
      </c>
      <c r="H243" s="250" t="s">
        <v>629</v>
      </c>
    </row>
    <row r="244" spans="2:8">
      <c r="F244" s="252" t="s">
        <v>343</v>
      </c>
      <c r="G244" s="490">
        <f>'[47]Sch B'!I85</f>
        <v>213.5070821529745</v>
      </c>
    </row>
    <row r="245" spans="2:8">
      <c r="F245" s="252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A20" sqref="A20"/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63">
    <tabColor rgb="FFE28CAB"/>
  </sheetPr>
  <dimension ref="A1:Q245"/>
  <sheetViews>
    <sheetView showGridLines="0" zoomScale="90" zoomScaleNormal="90" workbookViewId="0">
      <selection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478"/>
      <c r="E1" s="478"/>
      <c r="F1" s="478"/>
      <c r="G1" s="478"/>
      <c r="H1" s="478"/>
      <c r="I1" s="479"/>
    </row>
    <row r="2" spans="1:14" ht="23">
      <c r="B2" s="143" t="s">
        <v>189</v>
      </c>
      <c r="C2" s="247" t="s">
        <v>358</v>
      </c>
      <c r="D2" s="247"/>
      <c r="E2" s="144"/>
    </row>
    <row r="3" spans="1:14">
      <c r="A3" s="145"/>
      <c r="B3" s="140" t="s">
        <v>79</v>
      </c>
      <c r="C3" s="495">
        <v>41821</v>
      </c>
      <c r="D3" s="144"/>
      <c r="E3" s="147"/>
      <c r="F3" s="465"/>
    </row>
    <row r="4" spans="1:14">
      <c r="A4" s="145"/>
      <c r="B4" s="148" t="s">
        <v>80</v>
      </c>
      <c r="C4" s="495">
        <v>42185</v>
      </c>
      <c r="D4" s="144"/>
      <c r="E4" s="149"/>
      <c r="F4" s="465"/>
      <c r="G4" s="150"/>
    </row>
    <row r="5" spans="1:14">
      <c r="A5" s="145"/>
      <c r="B5" s="148"/>
      <c r="C5" s="151"/>
      <c r="D5" s="144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144"/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490">
        <f>'[48]Sch B'!E10</f>
        <v>1909837</v>
      </c>
      <c r="D11" s="490">
        <f>'[48]Sch B'!G10</f>
        <v>0</v>
      </c>
      <c r="E11" s="171">
        <f>C11+D11</f>
        <v>1909837</v>
      </c>
      <c r="F11" s="171"/>
      <c r="G11" s="171">
        <f t="shared" ref="G11:G20" si="0">E11+F11</f>
        <v>1909837</v>
      </c>
      <c r="H11" s="172">
        <f t="shared" ref="H11:H21" si="1">IF($G$21=0,0,G11/$G$21)</f>
        <v>0.38259462562925661</v>
      </c>
      <c r="I11" s="337"/>
      <c r="J11" s="368" t="s">
        <v>344</v>
      </c>
      <c r="K11" s="369">
        <f>G21</f>
        <v>4991803</v>
      </c>
      <c r="M11" s="359">
        <f>IFERROR(G11/G219,0)</f>
        <v>180.54802420117224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490">
        <f>'[48]Sch B'!E15</f>
        <v>0</v>
      </c>
      <c r="D12" s="490">
        <f>'[48]Sch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7"/>
      <c r="J12" s="370" t="s">
        <v>345</v>
      </c>
      <c r="K12" s="371">
        <f>G208</f>
        <v>4897935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490">
        <f>'[48]Sch B'!E21</f>
        <v>1221375</v>
      </c>
      <c r="D13" s="490">
        <f>'[48]Sch B'!G21</f>
        <v>0</v>
      </c>
      <c r="E13" s="171">
        <f t="shared" si="2"/>
        <v>1221375</v>
      </c>
      <c r="F13" s="171"/>
      <c r="G13" s="171">
        <f t="shared" si="0"/>
        <v>1221375</v>
      </c>
      <c r="H13" s="172">
        <f t="shared" si="1"/>
        <v>0.24467612203446329</v>
      </c>
      <c r="I13" s="337"/>
      <c r="J13" s="370" t="s">
        <v>346</v>
      </c>
      <c r="K13" s="371">
        <f>G228</f>
        <v>20459</v>
      </c>
      <c r="M13" s="359">
        <f t="shared" si="3"/>
        <v>531.26359286646368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490">
        <f>'[48]Sch B'!E27</f>
        <v>474695</v>
      </c>
      <c r="D14" s="490">
        <f>'[48]Sch B'!G27</f>
        <v>0</v>
      </c>
      <c r="E14" s="171">
        <f t="shared" si="2"/>
        <v>474695</v>
      </c>
      <c r="F14" s="175"/>
      <c r="G14" s="175">
        <f>E14+F14</f>
        <v>474695</v>
      </c>
      <c r="H14" s="176">
        <f t="shared" si="1"/>
        <v>9.5094898576726691E-2</v>
      </c>
      <c r="I14" s="338"/>
      <c r="J14" s="370" t="s">
        <v>347</v>
      </c>
      <c r="K14" s="371">
        <f>G231</f>
        <v>102</v>
      </c>
      <c r="M14" s="359">
        <f t="shared" si="3"/>
        <v>453.81931166347994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490">
        <f>'[48]Sch B'!E32</f>
        <v>0</v>
      </c>
      <c r="D15" s="490">
        <f>'[48]Sch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7"/>
      <c r="J15" s="370" t="s">
        <v>348</v>
      </c>
      <c r="K15" s="371">
        <f>G235</f>
        <v>37230</v>
      </c>
      <c r="M15" s="359">
        <f t="shared" si="3"/>
        <v>0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490">
        <f>'[48]Sch B'!E37</f>
        <v>849781</v>
      </c>
      <c r="D16" s="490">
        <f>'[48]Sch B'!G37</f>
        <v>0</v>
      </c>
      <c r="E16" s="171">
        <f t="shared" si="2"/>
        <v>849781</v>
      </c>
      <c r="F16" s="171"/>
      <c r="G16" s="171">
        <f t="shared" si="0"/>
        <v>849781</v>
      </c>
      <c r="H16" s="172">
        <f t="shared" si="1"/>
        <v>0.17023528372413735</v>
      </c>
      <c r="I16" s="337"/>
      <c r="J16" s="372"/>
      <c r="K16" s="371"/>
      <c r="M16" s="359">
        <f t="shared" si="3"/>
        <v>196.57205644228546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490">
        <f>'[48]Sch B'!E42</f>
        <v>252666</v>
      </c>
      <c r="D17" s="490">
        <f>'[48]Sch B'!G42</f>
        <v>0</v>
      </c>
      <c r="E17" s="171">
        <f t="shared" si="2"/>
        <v>252666</v>
      </c>
      <c r="F17" s="171"/>
      <c r="G17" s="171">
        <f>E17+F17</f>
        <v>252666</v>
      </c>
      <c r="H17" s="172">
        <f t="shared" si="1"/>
        <v>5.0616180165763754E-2</v>
      </c>
      <c r="I17" s="337"/>
      <c r="J17" s="370" t="s">
        <v>156</v>
      </c>
      <c r="K17" s="371">
        <f>J208</f>
        <v>103478</v>
      </c>
      <c r="M17" s="359">
        <f t="shared" si="3"/>
        <v>178.18476727785614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490">
        <f>'[48]Sch B'!E47</f>
        <v>0</v>
      </c>
      <c r="D18" s="490">
        <f>'[48]Sch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337"/>
      <c r="J18" s="373" t="s">
        <v>252</v>
      </c>
      <c r="K18" s="374">
        <f>K208</f>
        <v>114905</v>
      </c>
      <c r="M18" s="359">
        <f t="shared" si="3"/>
        <v>0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490">
        <f>'[48]Sch B'!E52</f>
        <v>232189</v>
      </c>
      <c r="D19" s="490">
        <f>'[48]Sch B'!G52</f>
        <v>0</v>
      </c>
      <c r="E19" s="171">
        <f t="shared" si="2"/>
        <v>232189</v>
      </c>
      <c r="F19" s="171"/>
      <c r="G19" s="171">
        <f t="shared" si="0"/>
        <v>232189</v>
      </c>
      <c r="H19" s="172">
        <f t="shared" si="1"/>
        <v>4.6514055141999792E-2</v>
      </c>
      <c r="I19" s="337"/>
      <c r="J19" s="168"/>
      <c r="K19" s="168"/>
      <c r="M19" s="359">
        <f t="shared" si="3"/>
        <v>292.06163522012577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490">
        <f>'[48]Sch B'!E67</f>
        <v>60417</v>
      </c>
      <c r="D20" s="490">
        <f>'[48]Sch B'!G67</f>
        <v>-9157</v>
      </c>
      <c r="E20" s="171">
        <f t="shared" si="2"/>
        <v>51260</v>
      </c>
      <c r="F20" s="171"/>
      <c r="G20" s="171">
        <f t="shared" si="0"/>
        <v>51260</v>
      </c>
      <c r="H20" s="172">
        <f t="shared" si="1"/>
        <v>1.0268834727652514E-2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490">
        <f>SUM(C11:C20)</f>
        <v>5000960</v>
      </c>
      <c r="D21" s="490">
        <f>SUM(D11:D20)</f>
        <v>-9157</v>
      </c>
      <c r="E21" s="171">
        <f>SUM(E11:E20)</f>
        <v>4991803</v>
      </c>
      <c r="F21" s="171">
        <f>SUM(F11:F20)</f>
        <v>0</v>
      </c>
      <c r="G21" s="171">
        <f>SUM(G11:G20)</f>
        <v>4991803</v>
      </c>
      <c r="H21" s="172">
        <f t="shared" si="1"/>
        <v>1</v>
      </c>
      <c r="I21" s="337"/>
      <c r="J21" s="168"/>
      <c r="K21" s="168"/>
      <c r="M21" s="359">
        <f>IFERROR(G21/G228,0)</f>
        <v>243.99056649885136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4">
      <c r="A24" s="181" t="s">
        <v>161</v>
      </c>
      <c r="B24" s="148" t="s">
        <v>12</v>
      </c>
      <c r="M24" s="363"/>
      <c r="N24" s="363"/>
    </row>
    <row r="25" spans="1:14" s="167" customFormat="1">
      <c r="A25" s="169" t="s">
        <v>83</v>
      </c>
      <c r="B25" s="170" t="s">
        <v>14</v>
      </c>
      <c r="C25" s="490">
        <f>'[48]Sch C'!D10</f>
        <v>0</v>
      </c>
      <c r="D25" s="490">
        <f>'[48]Sch C'!F10</f>
        <v>108467</v>
      </c>
      <c r="E25" s="171">
        <f t="shared" ref="E25:E60" si="4">C25+D25</f>
        <v>108467</v>
      </c>
      <c r="F25" s="171"/>
      <c r="G25" s="182">
        <f>E25+F25</f>
        <v>108467</v>
      </c>
      <c r="H25" s="172">
        <f>IF($G$208=0,0,G25/$G$208)</f>
        <v>2.2145455176518267E-2</v>
      </c>
      <c r="I25" s="337"/>
      <c r="J25" s="183">
        <v>1756</v>
      </c>
      <c r="K25" s="183">
        <v>1976</v>
      </c>
      <c r="M25" s="359">
        <f>G25/G$228</f>
        <v>5.3016765237792658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490">
        <f>'[48]Sch C'!D11</f>
        <v>0</v>
      </c>
      <c r="D26" s="490">
        <f>'[48]Sch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490">
        <f>'[48]Sch C'!D12</f>
        <v>216751</v>
      </c>
      <c r="D27" s="490">
        <f>'[48]Sch C'!F12</f>
        <v>-108467</v>
      </c>
      <c r="E27" s="171">
        <f t="shared" si="4"/>
        <v>108284</v>
      </c>
      <c r="F27" s="171"/>
      <c r="G27" s="171">
        <f t="shared" si="5"/>
        <v>108284</v>
      </c>
      <c r="H27" s="172">
        <f t="shared" si="6"/>
        <v>2.2108092492040012E-2</v>
      </c>
      <c r="I27" s="337"/>
      <c r="J27" s="185">
        <v>6221</v>
      </c>
      <c r="K27" s="185">
        <v>6695</v>
      </c>
      <c r="M27" s="359">
        <f t="shared" si="7"/>
        <v>5.2927318050735614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490">
        <f>'[48]Sch C'!D13</f>
        <v>28520</v>
      </c>
      <c r="D28" s="490">
        <f>'[48]Sch C'!F13</f>
        <v>-186</v>
      </c>
      <c r="E28" s="171">
        <f t="shared" si="4"/>
        <v>28334</v>
      </c>
      <c r="F28" s="171"/>
      <c r="G28" s="171">
        <f t="shared" si="5"/>
        <v>28334</v>
      </c>
      <c r="H28" s="172">
        <f t="shared" si="6"/>
        <v>5.7848868962123833E-3</v>
      </c>
      <c r="I28" s="337"/>
      <c r="J28" s="168"/>
      <c r="K28" s="168"/>
      <c r="M28" s="359">
        <f t="shared" si="7"/>
        <v>1.3849161738110367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490">
        <f>'[48]Sch C'!D14</f>
        <v>0</v>
      </c>
      <c r="D29" s="490">
        <f>'[48]Sch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490">
        <f>'[48]Sch C'!D15</f>
        <v>0</v>
      </c>
      <c r="D30" s="490">
        <f>'[48]Sch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7"/>
      <c r="J30" s="168"/>
      <c r="K30" s="168"/>
      <c r="M30" s="359">
        <f t="shared" si="7"/>
        <v>0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490">
        <f>'[48]Sch C'!D16</f>
        <v>249346</v>
      </c>
      <c r="D31" s="490">
        <f>'[48]Sch C'!F16</f>
        <v>43996</v>
      </c>
      <c r="E31" s="171">
        <f t="shared" si="4"/>
        <v>293342</v>
      </c>
      <c r="F31" s="171"/>
      <c r="G31" s="171">
        <f t="shared" si="5"/>
        <v>293342</v>
      </c>
      <c r="H31" s="172">
        <f t="shared" si="6"/>
        <v>5.9890954044918933E-2</v>
      </c>
      <c r="I31" s="337"/>
      <c r="J31" s="168"/>
      <c r="K31" s="168"/>
      <c r="M31" s="359">
        <f t="shared" si="7"/>
        <v>14.338041937533603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490">
        <f>'[48]Sch C'!D17</f>
        <v>940</v>
      </c>
      <c r="D32" s="490">
        <f>'[48]Sch C'!F17</f>
        <v>-940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7"/>
      <c r="J32" s="168"/>
      <c r="K32" s="168"/>
      <c r="M32" s="359">
        <f t="shared" si="7"/>
        <v>0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490">
        <f>'[48]Sch C'!D18</f>
        <v>14681</v>
      </c>
      <c r="D33" s="490">
        <f>'[48]Sch C'!F18</f>
        <v>0</v>
      </c>
      <c r="E33" s="171">
        <f t="shared" si="4"/>
        <v>14681</v>
      </c>
      <c r="F33" s="171"/>
      <c r="G33" s="171">
        <f t="shared" si="5"/>
        <v>14681</v>
      </c>
      <c r="H33" s="172">
        <f t="shared" si="6"/>
        <v>2.9973856329248961E-3</v>
      </c>
      <c r="I33" s="337"/>
      <c r="J33" s="168"/>
      <c r="K33" s="168"/>
      <c r="M33" s="359">
        <f t="shared" si="7"/>
        <v>0.71758150447235935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490">
        <f>'[48]Sch C'!D19</f>
        <v>10661</v>
      </c>
      <c r="D34" s="490">
        <f>'[48]Sch C'!F19</f>
        <v>0</v>
      </c>
      <c r="E34" s="171">
        <f t="shared" si="4"/>
        <v>10661</v>
      </c>
      <c r="F34" s="171"/>
      <c r="G34" s="171">
        <f t="shared" si="5"/>
        <v>10661</v>
      </c>
      <c r="H34" s="172">
        <f t="shared" si="6"/>
        <v>2.1766315804517618E-3</v>
      </c>
      <c r="I34" s="337"/>
      <c r="J34" s="168"/>
      <c r="K34" s="168"/>
      <c r="M34" s="359">
        <f t="shared" si="7"/>
        <v>0.52109096241263009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490">
        <f>'[48]Sch C'!D20</f>
        <v>10541</v>
      </c>
      <c r="D35" s="490">
        <f>'[48]Sch C'!F20</f>
        <v>-421</v>
      </c>
      <c r="E35" s="171">
        <f t="shared" si="4"/>
        <v>10120</v>
      </c>
      <c r="F35" s="171"/>
      <c r="G35" s="171">
        <f t="shared" si="5"/>
        <v>10120</v>
      </c>
      <c r="H35" s="172">
        <f t="shared" si="6"/>
        <v>2.0661768684149544E-3</v>
      </c>
      <c r="I35" s="337"/>
      <c r="J35" s="168"/>
      <c r="K35" s="168"/>
      <c r="M35" s="359">
        <f t="shared" si="7"/>
        <v>0.49464783224986558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490">
        <f>'[48]Sch C'!D21</f>
        <v>6882</v>
      </c>
      <c r="D36" s="490">
        <f>'[48]Sch C'!F21</f>
        <v>0</v>
      </c>
      <c r="E36" s="171">
        <f t="shared" si="4"/>
        <v>6882</v>
      </c>
      <c r="F36" s="171"/>
      <c r="G36" s="171">
        <f t="shared" si="5"/>
        <v>6882</v>
      </c>
      <c r="H36" s="172">
        <f t="shared" si="6"/>
        <v>1.4050819375920668E-3</v>
      </c>
      <c r="I36" s="337"/>
      <c r="J36" s="168"/>
      <c r="K36" s="168"/>
      <c r="M36" s="359">
        <f t="shared" si="7"/>
        <v>0.33638007722762597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490">
        <f>'[48]Sch C'!D22</f>
        <v>0</v>
      </c>
      <c r="D37" s="490">
        <f>'[48]Sch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490">
        <f>'[48]Sch C'!D23</f>
        <v>2453</v>
      </c>
      <c r="D38" s="490">
        <f>'[48]Sch C'!F23</f>
        <v>0</v>
      </c>
      <c r="E38" s="171">
        <f t="shared" si="4"/>
        <v>2453</v>
      </c>
      <c r="F38" s="171"/>
      <c r="G38" s="171">
        <f t="shared" si="5"/>
        <v>2453</v>
      </c>
      <c r="H38" s="172">
        <f t="shared" si="6"/>
        <v>5.0082330614840747E-4</v>
      </c>
      <c r="I38" s="337"/>
      <c r="J38" s="168"/>
      <c r="K38" s="168"/>
      <c r="M38" s="359">
        <f t="shared" si="7"/>
        <v>0.11989833325186959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490">
        <f>'[48]Sch C'!D24</f>
        <v>9675</v>
      </c>
      <c r="D39" s="490">
        <f>'[48]Sch C'!F24</f>
        <v>0</v>
      </c>
      <c r="E39" s="171">
        <f t="shared" si="4"/>
        <v>9675</v>
      </c>
      <c r="F39" s="171"/>
      <c r="G39" s="171">
        <f t="shared" si="5"/>
        <v>9675</v>
      </c>
      <c r="H39" s="172">
        <f t="shared" si="6"/>
        <v>1.9753222531536251E-3</v>
      </c>
      <c r="I39" s="337"/>
      <c r="J39" s="168"/>
      <c r="K39" s="168"/>
      <c r="M39" s="359">
        <f t="shared" si="7"/>
        <v>0.47289701353927366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490">
        <f>'[48]Sch C'!D25</f>
        <v>165</v>
      </c>
      <c r="D40" s="490">
        <f>'[48]Sch C'!F25</f>
        <v>0</v>
      </c>
      <c r="E40" s="171">
        <f t="shared" si="4"/>
        <v>165</v>
      </c>
      <c r="F40" s="171"/>
      <c r="G40" s="171">
        <f t="shared" si="5"/>
        <v>165</v>
      </c>
      <c r="H40" s="172">
        <f t="shared" si="6"/>
        <v>3.368766633285252E-5</v>
      </c>
      <c r="I40" s="337"/>
      <c r="J40" s="168"/>
      <c r="K40" s="168"/>
      <c r="M40" s="359">
        <f t="shared" si="7"/>
        <v>8.064910308421722E-3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490">
        <f>'[48]Sch C'!D26</f>
        <v>263508</v>
      </c>
      <c r="D41" s="490">
        <f>'[48]Sch C'!F26</f>
        <v>0</v>
      </c>
      <c r="E41" s="171">
        <f t="shared" si="4"/>
        <v>263508</v>
      </c>
      <c r="F41" s="171"/>
      <c r="G41" s="171">
        <f t="shared" si="5"/>
        <v>263508</v>
      </c>
      <c r="H41" s="172">
        <f t="shared" si="6"/>
        <v>5.3799815636589705E-2</v>
      </c>
      <c r="I41" s="337"/>
      <c r="J41" s="168"/>
      <c r="K41" s="168"/>
      <c r="M41" s="359">
        <f t="shared" si="7"/>
        <v>12.879808397282369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490">
        <f>'[48]Sch C'!D27</f>
        <v>9505</v>
      </c>
      <c r="D42" s="490">
        <f>'[48]Sch C'!F27</f>
        <v>-45</v>
      </c>
      <c r="E42" s="171">
        <f t="shared" si="4"/>
        <v>9460</v>
      </c>
      <c r="F42" s="171"/>
      <c r="G42" s="171">
        <f t="shared" si="5"/>
        <v>9460</v>
      </c>
      <c r="H42" s="172">
        <f t="shared" si="6"/>
        <v>1.9314262030835443E-3</v>
      </c>
      <c r="I42" s="337"/>
      <c r="J42" s="168"/>
      <c r="K42" s="168"/>
      <c r="M42" s="359">
        <f t="shared" si="7"/>
        <v>0.46238819101617867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490">
        <f>'[48]Sch C'!D28</f>
        <v>0</v>
      </c>
      <c r="D43" s="490">
        <f>'[48]Sch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490">
        <f>'[48]Sch C'!D29</f>
        <v>19516</v>
      </c>
      <c r="D44" s="490">
        <f>'[48]Sch C'!F29</f>
        <v>-19516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490">
        <f>'[48]Sch C'!D30</f>
        <v>0</v>
      </c>
      <c r="D45" s="490">
        <f>'[48]Sch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490">
        <f>'[48]Sch C'!D31</f>
        <v>0</v>
      </c>
      <c r="D46" s="490">
        <f>'[48]Sch C'!F31</f>
        <v>0</v>
      </c>
      <c r="E46" s="171">
        <f t="shared" si="4"/>
        <v>0</v>
      </c>
      <c r="F46" s="171"/>
      <c r="G46" s="171">
        <f t="shared" si="5"/>
        <v>0</v>
      </c>
      <c r="H46" s="172">
        <f t="shared" si="6"/>
        <v>0</v>
      </c>
      <c r="I46" s="337"/>
      <c r="J46" s="168"/>
      <c r="K46" s="168"/>
      <c r="M46" s="359">
        <f t="shared" si="7"/>
        <v>0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490">
        <f>'[48]Sch C'!D32</f>
        <v>60000</v>
      </c>
      <c r="D47" s="490">
        <f>'[48]Sch C'!F32</f>
        <v>0</v>
      </c>
      <c r="E47" s="171">
        <f t="shared" si="4"/>
        <v>60000</v>
      </c>
      <c r="F47" s="171"/>
      <c r="G47" s="171">
        <f t="shared" si="5"/>
        <v>60000</v>
      </c>
      <c r="H47" s="172">
        <f t="shared" si="6"/>
        <v>1.2250060484673643E-2</v>
      </c>
      <c r="I47" s="337"/>
      <c r="J47" s="168"/>
      <c r="K47" s="168"/>
      <c r="M47" s="359">
        <f t="shared" si="7"/>
        <v>2.9326946576078989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490">
        <f>'[48]Sch C'!D33</f>
        <v>0</v>
      </c>
      <c r="D48" s="490">
        <f>'[48]Sch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490">
        <f>'[48]Sch C'!D34</f>
        <v>185</v>
      </c>
      <c r="D49" s="490">
        <f>'[48]Sch C'!F34</f>
        <v>0</v>
      </c>
      <c r="E49" s="171">
        <f t="shared" si="4"/>
        <v>185</v>
      </c>
      <c r="F49" s="171"/>
      <c r="G49" s="171">
        <f t="shared" si="5"/>
        <v>185</v>
      </c>
      <c r="H49" s="172">
        <f t="shared" si="6"/>
        <v>3.777101982774373E-5</v>
      </c>
      <c r="I49" s="337"/>
      <c r="J49" s="168"/>
      <c r="K49" s="168"/>
      <c r="M49" s="359">
        <f t="shared" si="7"/>
        <v>9.0424751942910202E-3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490">
        <f>'[48]Sch C'!D35</f>
        <v>0</v>
      </c>
      <c r="D50" s="490">
        <f>'[48]Sch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490">
        <f>'[48]Sch C'!D36</f>
        <v>0</v>
      </c>
      <c r="D51" s="490">
        <f>'[48]Sch C'!F36</f>
        <v>0</v>
      </c>
      <c r="E51" s="171">
        <f t="shared" si="4"/>
        <v>0</v>
      </c>
      <c r="F51" s="171"/>
      <c r="G51" s="171">
        <f t="shared" si="5"/>
        <v>0</v>
      </c>
      <c r="H51" s="172">
        <f t="shared" si="6"/>
        <v>0</v>
      </c>
      <c r="I51" s="337"/>
      <c r="J51" s="183">
        <v>0</v>
      </c>
      <c r="K51" s="183">
        <v>0</v>
      </c>
      <c r="M51" s="359">
        <f t="shared" si="7"/>
        <v>0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490">
        <f>'[48]Sch C'!D37</f>
        <v>0</v>
      </c>
      <c r="D52" s="490">
        <f>'[48]Sch C'!F37</f>
        <v>0</v>
      </c>
      <c r="E52" s="171">
        <f t="shared" si="4"/>
        <v>0</v>
      </c>
      <c r="F52" s="171"/>
      <c r="G52" s="171">
        <f t="shared" si="5"/>
        <v>0</v>
      </c>
      <c r="H52" s="172">
        <f t="shared" si="6"/>
        <v>0</v>
      </c>
      <c r="I52" s="337"/>
      <c r="J52" s="168"/>
      <c r="K52" s="168"/>
      <c r="M52" s="359">
        <f t="shared" si="7"/>
        <v>0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490">
        <f>'[48]Sch C'!D38</f>
        <v>0</v>
      </c>
      <c r="D53" s="490">
        <f>'[48]Sch C'!F38</f>
        <v>0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7"/>
      <c r="J53" s="168"/>
      <c r="K53" s="168"/>
      <c r="M53" s="359">
        <f t="shared" si="7"/>
        <v>0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490">
        <f>'[48]Sch C'!D39</f>
        <v>6004</v>
      </c>
      <c r="D54" s="490">
        <f>'[48]Sch C'!F39</f>
        <v>0</v>
      </c>
      <c r="E54" s="171">
        <f t="shared" si="4"/>
        <v>6004</v>
      </c>
      <c r="F54" s="171"/>
      <c r="G54" s="171">
        <f t="shared" si="5"/>
        <v>6004</v>
      </c>
      <c r="H54" s="172">
        <f t="shared" si="6"/>
        <v>1.2258227191663425E-3</v>
      </c>
      <c r="I54" s="337"/>
      <c r="J54" s="168"/>
      <c r="K54" s="168"/>
      <c r="M54" s="359">
        <f t="shared" si="7"/>
        <v>0.29346497873796373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490">
        <f>'[48]Sch C'!D40</f>
        <v>6204</v>
      </c>
      <c r="D55" s="490">
        <f>'[48]Sch C'!F40</f>
        <v>-6204</v>
      </c>
      <c r="E55" s="171">
        <f t="shared" si="4"/>
        <v>0</v>
      </c>
      <c r="F55" s="171"/>
      <c r="G55" s="171">
        <f t="shared" si="5"/>
        <v>0</v>
      </c>
      <c r="H55" s="172">
        <f t="shared" si="6"/>
        <v>0</v>
      </c>
      <c r="I55" s="337"/>
      <c r="J55" s="168"/>
      <c r="K55" s="168"/>
      <c r="M55" s="359">
        <f t="shared" si="7"/>
        <v>0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490">
        <f>'[48]Sch C'!D41</f>
        <v>110122</v>
      </c>
      <c r="D56" s="490">
        <f>'[48]Sch C'!F41</f>
        <v>-5312</v>
      </c>
      <c r="E56" s="171">
        <f t="shared" si="4"/>
        <v>104810</v>
      </c>
      <c r="F56" s="171"/>
      <c r="G56" s="171">
        <f t="shared" si="5"/>
        <v>104810</v>
      </c>
      <c r="H56" s="172">
        <f t="shared" si="6"/>
        <v>2.1398813989977408E-2</v>
      </c>
      <c r="I56" s="337"/>
      <c r="J56" s="168"/>
      <c r="K56" s="168"/>
      <c r="M56" s="359">
        <f t="shared" si="7"/>
        <v>5.1229287843980646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490">
        <f>'[48]Sch C'!D42</f>
        <v>245</v>
      </c>
      <c r="D57" s="490">
        <f>'[48]Sch C'!F42</f>
        <v>0</v>
      </c>
      <c r="E57" s="171">
        <f t="shared" si="4"/>
        <v>245</v>
      </c>
      <c r="F57" s="171"/>
      <c r="G57" s="171">
        <f t="shared" si="5"/>
        <v>245</v>
      </c>
      <c r="H57" s="172">
        <f t="shared" si="6"/>
        <v>5.0021080312417376E-5</v>
      </c>
      <c r="I57" s="337"/>
      <c r="J57" s="168"/>
      <c r="K57" s="168"/>
      <c r="M57" s="359">
        <f t="shared" si="7"/>
        <v>1.197516985189892E-2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490">
        <f>'[48]Sch C'!D43</f>
        <v>5809</v>
      </c>
      <c r="D58" s="490">
        <f>'[48]Sch C'!F43</f>
        <v>-5809</v>
      </c>
      <c r="E58" s="171">
        <f t="shared" si="4"/>
        <v>0</v>
      </c>
      <c r="F58" s="171"/>
      <c r="G58" s="171">
        <f t="shared" si="5"/>
        <v>0</v>
      </c>
      <c r="H58" s="172">
        <f t="shared" si="6"/>
        <v>0</v>
      </c>
      <c r="I58" s="337"/>
      <c r="J58" s="168"/>
      <c r="K58" s="168"/>
      <c r="M58" s="359">
        <f t="shared" si="7"/>
        <v>0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490">
        <f>'[48]Sch C'!D44</f>
        <v>0</v>
      </c>
      <c r="D59" s="490">
        <f>'[48]Sch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7"/>
      <c r="J59" s="168"/>
      <c r="K59" s="168"/>
      <c r="M59" s="359">
        <f t="shared" si="7"/>
        <v>0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490">
        <f>'[48]Sch C'!D45</f>
        <v>4362</v>
      </c>
      <c r="D60" s="490">
        <f>'[48]Sch C'!F45</f>
        <v>-7074</v>
      </c>
      <c r="E60" s="171">
        <f t="shared" si="4"/>
        <v>-2712</v>
      </c>
      <c r="F60" s="171"/>
      <c r="G60" s="171">
        <f t="shared" si="5"/>
        <v>-2712</v>
      </c>
      <c r="H60" s="172">
        <f t="shared" si="6"/>
        <v>-5.5370273390724866E-4</v>
      </c>
      <c r="I60" s="337"/>
      <c r="J60" s="168"/>
      <c r="K60" s="168"/>
      <c r="M60" s="359">
        <f t="shared" si="7"/>
        <v>-0.13255779852387703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490">
        <f>SUM(C25:C60)</f>
        <v>1036075</v>
      </c>
      <c r="D61" s="490">
        <f>SUM(D25:D60)</f>
        <v>-1511</v>
      </c>
      <c r="E61" s="171">
        <f t="shared" ref="E61:F61" si="8">SUM(E25:E60)</f>
        <v>1034564</v>
      </c>
      <c r="F61" s="171">
        <f t="shared" si="8"/>
        <v>0</v>
      </c>
      <c r="G61" s="171">
        <f>SUM(G25:G60)</f>
        <v>1034564</v>
      </c>
      <c r="H61" s="186">
        <f t="shared" si="6"/>
        <v>0.21122452625443172</v>
      </c>
      <c r="I61" s="339"/>
      <c r="J61" s="168"/>
      <c r="K61" s="168"/>
      <c r="M61" s="364">
        <f>G61/G$228</f>
        <v>50.567671929224304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I62" s="340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490">
        <f>'[48]Sch C'!D57</f>
        <v>437372</v>
      </c>
      <c r="D64" s="490">
        <f>'[48]Sch C'!F57</f>
        <v>0</v>
      </c>
      <c r="E64" s="171">
        <f t="shared" ref="E64:E78" si="9">C64+D64</f>
        <v>437372</v>
      </c>
      <c r="F64" s="582"/>
      <c r="G64" s="171">
        <f t="shared" ref="G64:G78" si="10">E64+F64</f>
        <v>437372</v>
      </c>
      <c r="H64" s="172">
        <f t="shared" ref="H64:H79" si="11">IF($G$208=0,0,G64/$G$208)</f>
        <v>8.9297224238378006E-2</v>
      </c>
      <c r="I64" s="570" t="s">
        <v>467</v>
      </c>
      <c r="J64" s="190"/>
      <c r="K64" s="168"/>
      <c r="M64" s="359">
        <f t="shared" ref="M64:M79" si="12">G64/G$228</f>
        <v>21.377975463121366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490">
        <f>'[48]Sch C'!D58</f>
        <v>16412</v>
      </c>
      <c r="D65" s="490">
        <f>'[48]Sch C'!F58</f>
        <v>0</v>
      </c>
      <c r="E65" s="171">
        <f t="shared" si="9"/>
        <v>16412</v>
      </c>
      <c r="F65" s="171"/>
      <c r="G65" s="171">
        <f t="shared" si="10"/>
        <v>16412</v>
      </c>
      <c r="H65" s="172">
        <f t="shared" si="11"/>
        <v>3.3507998779077307E-3</v>
      </c>
      <c r="I65" s="337"/>
      <c r="J65" s="190"/>
      <c r="K65" s="168"/>
      <c r="M65" s="359">
        <f t="shared" si="12"/>
        <v>0.80218974534434728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490">
        <f>'[48]Sch C'!D59</f>
        <v>0</v>
      </c>
      <c r="D66" s="490">
        <f>'[48]Sch C'!F59</f>
        <v>0</v>
      </c>
      <c r="E66" s="171">
        <f t="shared" si="9"/>
        <v>0</v>
      </c>
      <c r="F66" s="171"/>
      <c r="G66" s="171">
        <f t="shared" si="10"/>
        <v>0</v>
      </c>
      <c r="H66" s="172">
        <f t="shared" si="11"/>
        <v>0</v>
      </c>
      <c r="I66" s="337"/>
      <c r="J66" s="190"/>
      <c r="K66" s="168"/>
      <c r="M66" s="359">
        <f t="shared" si="12"/>
        <v>0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490">
        <f>'[48]Sch C'!D60</f>
        <v>25838</v>
      </c>
      <c r="D67" s="490">
        <f>'[48]Sch C'!F60</f>
        <v>0</v>
      </c>
      <c r="E67" s="171">
        <f t="shared" si="9"/>
        <v>25838</v>
      </c>
      <c r="F67" s="171"/>
      <c r="G67" s="171">
        <f t="shared" si="10"/>
        <v>25838</v>
      </c>
      <c r="H67" s="172">
        <f t="shared" si="11"/>
        <v>5.2752843800499601E-3</v>
      </c>
      <c r="I67" s="337"/>
      <c r="J67" s="193"/>
      <c r="K67" s="168"/>
      <c r="M67" s="359">
        <f t="shared" si="12"/>
        <v>1.2629160760545481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490">
        <f>'[48]Sch C'!D61</f>
        <v>16887</v>
      </c>
      <c r="D68" s="490">
        <f>'[48]Sch C'!F61</f>
        <v>0</v>
      </c>
      <c r="E68" s="171">
        <f t="shared" si="9"/>
        <v>16887</v>
      </c>
      <c r="F68" s="171"/>
      <c r="G68" s="171">
        <f t="shared" si="10"/>
        <v>16887</v>
      </c>
      <c r="H68" s="172">
        <f t="shared" si="11"/>
        <v>3.4477795234113969E-3</v>
      </c>
      <c r="I68" s="337"/>
      <c r="J68" s="193"/>
      <c r="K68" s="168"/>
      <c r="M68" s="359">
        <f t="shared" si="12"/>
        <v>0.82540691138374311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490">
        <f>'[48]Sch C'!D62</f>
        <v>6343</v>
      </c>
      <c r="D69" s="490">
        <f>'[48]Sch C'!F62</f>
        <v>0</v>
      </c>
      <c r="E69" s="171">
        <f t="shared" si="9"/>
        <v>6343</v>
      </c>
      <c r="F69" s="171"/>
      <c r="G69" s="171">
        <f t="shared" si="10"/>
        <v>6343</v>
      </c>
      <c r="H69" s="172">
        <f t="shared" si="11"/>
        <v>1.2950355609047486E-3</v>
      </c>
      <c r="I69" s="337"/>
      <c r="J69" s="195"/>
      <c r="K69" s="168"/>
      <c r="M69" s="359">
        <f t="shared" si="12"/>
        <v>0.31003470355344837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490">
        <f>'[48]Sch C'!D63</f>
        <v>0</v>
      </c>
      <c r="D70" s="490">
        <f>'[48]Sch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7"/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490">
        <f>'[48]Sch C'!D64</f>
        <v>0</v>
      </c>
      <c r="D71" s="490">
        <f>'[48]Sch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490">
        <f>'[48]Sch C'!D65</f>
        <v>0</v>
      </c>
      <c r="D72" s="490">
        <f>'[48]Sch C'!F65</f>
        <v>0</v>
      </c>
      <c r="E72" s="171">
        <f t="shared" si="9"/>
        <v>0</v>
      </c>
      <c r="F72" s="171"/>
      <c r="G72" s="171">
        <f t="shared" si="10"/>
        <v>0</v>
      </c>
      <c r="H72" s="172">
        <f t="shared" si="11"/>
        <v>0</v>
      </c>
      <c r="I72" s="337"/>
      <c r="J72" s="195"/>
      <c r="K72" s="168"/>
      <c r="M72" s="359">
        <f t="shared" si="12"/>
        <v>0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490">
        <f>'[48]Sch C'!D66</f>
        <v>45495</v>
      </c>
      <c r="D73" s="490">
        <f>'[48]Sch C'!F66</f>
        <v>-1157</v>
      </c>
      <c r="E73" s="171">
        <f t="shared" si="9"/>
        <v>44338</v>
      </c>
      <c r="F73" s="582"/>
      <c r="G73" s="171">
        <f t="shared" si="10"/>
        <v>44338</v>
      </c>
      <c r="H73" s="172">
        <f t="shared" si="11"/>
        <v>9.0523863628243339E-3</v>
      </c>
      <c r="I73" s="570" t="s">
        <v>467</v>
      </c>
      <c r="J73" s="195"/>
      <c r="K73" s="168"/>
      <c r="M73" s="359">
        <f t="shared" si="12"/>
        <v>2.1671635954836503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490">
        <f>'[48]Sch C'!D67</f>
        <v>41436</v>
      </c>
      <c r="D74" s="490">
        <f>'[48]Sch C'!F67</f>
        <v>0</v>
      </c>
      <c r="E74" s="171">
        <f t="shared" si="9"/>
        <v>41436</v>
      </c>
      <c r="F74" s="171"/>
      <c r="G74" s="171">
        <f t="shared" si="10"/>
        <v>41436</v>
      </c>
      <c r="H74" s="172">
        <f t="shared" si="11"/>
        <v>8.4598917707156187E-3</v>
      </c>
      <c r="I74" s="337"/>
      <c r="J74" s="195"/>
      <c r="K74" s="168"/>
      <c r="M74" s="359">
        <f t="shared" si="12"/>
        <v>2.0253189305440147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490">
        <f>'[48]Sch C'!D68</f>
        <v>0</v>
      </c>
      <c r="D75" s="490">
        <f>'[48]Sch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490">
        <f>'[48]Sch C'!D69</f>
        <v>4635</v>
      </c>
      <c r="D76" s="490">
        <f>'[48]Sch C'!F69</f>
        <v>0</v>
      </c>
      <c r="E76" s="171">
        <f t="shared" si="9"/>
        <v>4635</v>
      </c>
      <c r="F76" s="171"/>
      <c r="G76" s="171">
        <f t="shared" si="10"/>
        <v>4635</v>
      </c>
      <c r="H76" s="172">
        <f t="shared" si="11"/>
        <v>9.4631717244103889E-4</v>
      </c>
      <c r="I76" s="337"/>
      <c r="J76" s="195"/>
      <c r="K76" s="168"/>
      <c r="M76" s="359">
        <f t="shared" si="12"/>
        <v>0.22655066230021018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490">
        <f>'[48]Sch C'!D70</f>
        <v>0</v>
      </c>
      <c r="D77" s="490">
        <f>'[48]Sch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7"/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490">
        <f>'[48]Sch C'!D71</f>
        <v>0</v>
      </c>
      <c r="D78" s="490">
        <f>'[48]Sch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7"/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490">
        <f>SUM(C64:C78)</f>
        <v>594418</v>
      </c>
      <c r="D79" s="490">
        <f>SUM(D64:D78)</f>
        <v>-1157</v>
      </c>
      <c r="E79" s="171">
        <f t="shared" ref="E79:F79" si="13">SUM(E64:E78)</f>
        <v>593261</v>
      </c>
      <c r="F79" s="171">
        <f t="shared" si="13"/>
        <v>0</v>
      </c>
      <c r="G79" s="171">
        <f>SUM(G64:G78)</f>
        <v>593261</v>
      </c>
      <c r="H79" s="172">
        <f t="shared" si="11"/>
        <v>0.12112471888663284</v>
      </c>
      <c r="I79" s="337"/>
      <c r="J79" s="195"/>
      <c r="K79" s="168"/>
      <c r="M79" s="359">
        <f t="shared" si="12"/>
        <v>28.997556087785327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490">
        <f>'[48]Sch C'!D75</f>
        <v>47777</v>
      </c>
      <c r="D82" s="490">
        <f>'[48]Sch C'!F75</f>
        <v>0</v>
      </c>
      <c r="E82" s="171">
        <f t="shared" ref="E82:E92" si="14">C82+D82</f>
        <v>47777</v>
      </c>
      <c r="F82" s="171"/>
      <c r="G82" s="171">
        <f t="shared" ref="G82:G92" si="15">E82+F82</f>
        <v>47777</v>
      </c>
      <c r="H82" s="172">
        <f t="shared" ref="H82:H93" si="16">IF($G$208=0,0,G82/$G$208)</f>
        <v>9.7545189962708768E-3</v>
      </c>
      <c r="I82" s="337"/>
      <c r="J82" s="183">
        <v>2583</v>
      </c>
      <c r="K82" s="183">
        <v>3072</v>
      </c>
      <c r="M82" s="359">
        <f t="shared" ref="M82:M92" si="17">G82/G$228</f>
        <v>2.3352558776088763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490">
        <f>'[48]Sch C'!D76</f>
        <v>5979</v>
      </c>
      <c r="D83" s="490">
        <f>'[48]Sch C'!F76</f>
        <v>0</v>
      </c>
      <c r="E83" s="171">
        <f t="shared" si="14"/>
        <v>5979</v>
      </c>
      <c r="F83" s="171"/>
      <c r="G83" s="171">
        <f t="shared" si="15"/>
        <v>5979</v>
      </c>
      <c r="H83" s="172">
        <f t="shared" si="16"/>
        <v>1.2207185272977285E-3</v>
      </c>
      <c r="I83" s="337"/>
      <c r="J83" s="168"/>
      <c r="K83" s="168"/>
      <c r="M83" s="359">
        <f t="shared" si="17"/>
        <v>0.29224302263062713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490">
        <f>'[48]Sch C'!D77</f>
        <v>10207</v>
      </c>
      <c r="D84" s="490">
        <f>'[48]Sch C'!F77</f>
        <v>0</v>
      </c>
      <c r="E84" s="171">
        <f t="shared" si="14"/>
        <v>10207</v>
      </c>
      <c r="F84" s="171"/>
      <c r="G84" s="171">
        <f t="shared" si="15"/>
        <v>10207</v>
      </c>
      <c r="H84" s="172">
        <f t="shared" si="16"/>
        <v>2.0839394561177312E-3</v>
      </c>
      <c r="I84" s="337"/>
      <c r="J84" s="168"/>
      <c r="K84" s="168"/>
      <c r="M84" s="359">
        <f t="shared" si="17"/>
        <v>0.49890023950339701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490">
        <f>'[48]Sch C'!D78</f>
        <v>0</v>
      </c>
      <c r="D85" s="490">
        <f>'[48]Sch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I85" s="337"/>
      <c r="J85" s="168"/>
      <c r="K85" s="168"/>
      <c r="M85" s="359">
        <f t="shared" si="17"/>
        <v>0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490">
        <f>'[48]Sch C'!D79</f>
        <v>4404</v>
      </c>
      <c r="D86" s="490">
        <f>'[48]Sch C'!F79</f>
        <v>0</v>
      </c>
      <c r="E86" s="171">
        <f t="shared" si="14"/>
        <v>4404</v>
      </c>
      <c r="F86" s="171"/>
      <c r="G86" s="171">
        <f>E86+F86</f>
        <v>4404</v>
      </c>
      <c r="H86" s="172">
        <f t="shared" si="16"/>
        <v>8.9915443957504541E-4</v>
      </c>
      <c r="I86" s="337"/>
      <c r="J86" s="168"/>
      <c r="K86" s="168"/>
      <c r="M86" s="359">
        <f t="shared" si="17"/>
        <v>0.21525978786841976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490">
        <f>'[48]Sch C'!D80</f>
        <v>11979</v>
      </c>
      <c r="D87" s="490">
        <f>'[48]Sch C'!F80</f>
        <v>0</v>
      </c>
      <c r="E87" s="171">
        <f t="shared" si="14"/>
        <v>11979</v>
      </c>
      <c r="F87" s="171"/>
      <c r="G87" s="171">
        <f t="shared" si="15"/>
        <v>11979</v>
      </c>
      <c r="H87" s="172">
        <f t="shared" si="16"/>
        <v>2.445724575765093E-3</v>
      </c>
      <c r="I87" s="337"/>
      <c r="J87" s="168"/>
      <c r="K87" s="168"/>
      <c r="M87" s="359">
        <f t="shared" si="17"/>
        <v>0.58551248839141701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490">
        <f>'[48]Sch C'!D81</f>
        <v>14561</v>
      </c>
      <c r="D88" s="490">
        <f>'[48]Sch C'!F81</f>
        <v>0</v>
      </c>
      <c r="E88" s="171">
        <f t="shared" si="14"/>
        <v>14561</v>
      </c>
      <c r="F88" s="171"/>
      <c r="G88" s="171">
        <f t="shared" si="15"/>
        <v>14561</v>
      </c>
      <c r="H88" s="172">
        <f t="shared" si="16"/>
        <v>2.9728855119555485E-3</v>
      </c>
      <c r="I88" s="337"/>
      <c r="J88" s="168"/>
      <c r="K88" s="168"/>
      <c r="M88" s="359">
        <f t="shared" si="17"/>
        <v>0.7117161151571435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490">
        <f>'[48]Sch C'!D82</f>
        <v>11434</v>
      </c>
      <c r="D89" s="490">
        <f>'[48]Sch C'!F82</f>
        <v>0</v>
      </c>
      <c r="E89" s="171">
        <f t="shared" si="14"/>
        <v>11434</v>
      </c>
      <c r="F89" s="171"/>
      <c r="G89" s="171">
        <f t="shared" si="15"/>
        <v>11434</v>
      </c>
      <c r="H89" s="172">
        <f t="shared" si="16"/>
        <v>2.3344531930293072E-3</v>
      </c>
      <c r="I89" s="337"/>
      <c r="J89" s="168"/>
      <c r="K89" s="168"/>
      <c r="M89" s="359">
        <f t="shared" si="17"/>
        <v>0.55887384525147854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490">
        <f>'[48]Sch C'!D83</f>
        <v>0</v>
      </c>
      <c r="D90" s="490">
        <f>'[48]Sch C'!F83</f>
        <v>0</v>
      </c>
      <c r="E90" s="171">
        <f t="shared" si="14"/>
        <v>0</v>
      </c>
      <c r="F90" s="171"/>
      <c r="G90" s="171">
        <f t="shared" si="15"/>
        <v>0</v>
      </c>
      <c r="H90" s="172">
        <f t="shared" si="16"/>
        <v>0</v>
      </c>
      <c r="I90" s="337"/>
      <c r="J90" s="168"/>
      <c r="K90" s="168"/>
      <c r="M90" s="359">
        <f t="shared" si="17"/>
        <v>0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490">
        <f>'[48]Sch C'!D84</f>
        <v>101012</v>
      </c>
      <c r="D91" s="490">
        <f>'[48]Sch C'!F84</f>
        <v>0</v>
      </c>
      <c r="E91" s="171">
        <f t="shared" si="14"/>
        <v>101012</v>
      </c>
      <c r="F91" s="171"/>
      <c r="G91" s="171">
        <f t="shared" si="15"/>
        <v>101012</v>
      </c>
      <c r="H91" s="172">
        <f t="shared" si="16"/>
        <v>2.0623385161297567E-2</v>
      </c>
      <c r="I91" s="337"/>
      <c r="J91" s="168"/>
      <c r="K91" s="168"/>
      <c r="M91" s="359">
        <f t="shared" si="17"/>
        <v>4.9372892125714847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490">
        <f>'[48]Sch C'!D85</f>
        <v>0</v>
      </c>
      <c r="D92" s="490">
        <f>'[48]Sch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7"/>
      <c r="J92" s="168"/>
      <c r="K92" s="168"/>
      <c r="M92" s="359">
        <f t="shared" si="17"/>
        <v>0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490">
        <f>SUM(C82:C92)</f>
        <v>207353</v>
      </c>
      <c r="D93" s="490">
        <f>SUM(D82:D92)</f>
        <v>0</v>
      </c>
      <c r="E93" s="171">
        <f t="shared" ref="E93:F93" si="18">SUM(E82:E92)</f>
        <v>207353</v>
      </c>
      <c r="F93" s="171">
        <f t="shared" si="18"/>
        <v>0</v>
      </c>
      <c r="G93" s="171">
        <f>SUM(G82:G92)</f>
        <v>207353</v>
      </c>
      <c r="H93" s="172">
        <f t="shared" si="16"/>
        <v>4.2334779861308895E-2</v>
      </c>
      <c r="I93" s="337"/>
      <c r="J93" s="168"/>
      <c r="K93" s="168"/>
      <c r="M93" s="364">
        <f>G93/G$228</f>
        <v>10.135050588982844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490">
        <f>'[48]Sch C'!D89</f>
        <v>171495</v>
      </c>
      <c r="D96" s="490">
        <f>'[48]Sch C'!F89</f>
        <v>0</v>
      </c>
      <c r="E96" s="171">
        <f t="shared" ref="E96:E101" si="19">C96+D96</f>
        <v>171495</v>
      </c>
      <c r="F96" s="171"/>
      <c r="G96" s="171">
        <f t="shared" ref="G96:G101" si="20">E96+F96</f>
        <v>171495</v>
      </c>
      <c r="H96" s="172">
        <f t="shared" ref="H96:H102" si="21">IF($G$208=0,0,G96/$G$208)</f>
        <v>3.5013735380318441E-2</v>
      </c>
      <c r="I96" s="337"/>
      <c r="J96" s="183">
        <v>12767</v>
      </c>
      <c r="K96" s="183">
        <v>14501</v>
      </c>
      <c r="M96" s="364">
        <f t="shared" ref="M96:M101" si="22">G96/G$228</f>
        <v>8.3823745051077765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490">
        <f>'[48]Sch C'!D90</f>
        <v>26862</v>
      </c>
      <c r="D97" s="490">
        <f>'[48]Sch C'!F90</f>
        <v>0</v>
      </c>
      <c r="E97" s="171">
        <f t="shared" si="19"/>
        <v>26862</v>
      </c>
      <c r="F97" s="171"/>
      <c r="G97" s="171">
        <f t="shared" si="20"/>
        <v>26862</v>
      </c>
      <c r="H97" s="172">
        <f t="shared" si="21"/>
        <v>5.4843520789883901E-3</v>
      </c>
      <c r="I97" s="337"/>
      <c r="J97" s="168"/>
      <c r="K97" s="168"/>
      <c r="M97" s="364">
        <f t="shared" si="22"/>
        <v>1.3129673982110563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490">
        <f>'[48]Sch C'!D91</f>
        <v>7760</v>
      </c>
      <c r="D98" s="490">
        <f>'[48]Sch C'!F91</f>
        <v>0</v>
      </c>
      <c r="E98" s="171">
        <f t="shared" si="19"/>
        <v>7760</v>
      </c>
      <c r="F98" s="171"/>
      <c r="G98" s="171">
        <f t="shared" si="20"/>
        <v>7760</v>
      </c>
      <c r="H98" s="172">
        <f t="shared" si="21"/>
        <v>1.5843411560177911E-3</v>
      </c>
      <c r="I98" s="337"/>
      <c r="J98" s="168"/>
      <c r="K98" s="168"/>
      <c r="M98" s="364">
        <f t="shared" si="22"/>
        <v>0.37929517571728821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490">
        <f>'[48]Sch C'!D92</f>
        <v>127495</v>
      </c>
      <c r="D99" s="490">
        <f>'[48]Sch C'!F92</f>
        <v>-2038</v>
      </c>
      <c r="E99" s="171">
        <f t="shared" si="19"/>
        <v>125457</v>
      </c>
      <c r="F99" s="171"/>
      <c r="G99" s="171">
        <f t="shared" si="20"/>
        <v>125457</v>
      </c>
      <c r="H99" s="172">
        <f t="shared" si="21"/>
        <v>2.5614263970428354E-2</v>
      </c>
      <c r="I99" s="337"/>
      <c r="J99" s="168"/>
      <c r="K99" s="168"/>
      <c r="M99" s="364">
        <f t="shared" si="22"/>
        <v>6.1321178943252361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490">
        <f>'[48]Sch C'!D93</f>
        <v>10298</v>
      </c>
      <c r="D100" s="490">
        <f>'[48]Sch C'!F93</f>
        <v>0</v>
      </c>
      <c r="E100" s="171">
        <f t="shared" si="19"/>
        <v>10298</v>
      </c>
      <c r="F100" s="171"/>
      <c r="G100" s="171">
        <f t="shared" si="20"/>
        <v>10298</v>
      </c>
      <c r="H100" s="172">
        <f t="shared" si="21"/>
        <v>2.1025187145194864E-3</v>
      </c>
      <c r="I100" s="337"/>
      <c r="J100" s="168"/>
      <c r="K100" s="168"/>
      <c r="M100" s="364">
        <f t="shared" si="22"/>
        <v>0.5033481597341023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490">
        <f>'[48]Sch C'!D94</f>
        <v>0</v>
      </c>
      <c r="D101" s="490">
        <f>'[48]Sch C'!F94</f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I101" s="337"/>
      <c r="J101" s="168"/>
      <c r="K101" s="168"/>
      <c r="M101" s="364">
        <f t="shared" si="22"/>
        <v>0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490">
        <f>SUM(C96:C101)</f>
        <v>343910</v>
      </c>
      <c r="D102" s="490">
        <f>SUM(D96:D101)</f>
        <v>-2038</v>
      </c>
      <c r="E102" s="171">
        <f t="shared" ref="E102:F102" si="23">SUM(E96:E101)</f>
        <v>341872</v>
      </c>
      <c r="F102" s="171">
        <f t="shared" si="23"/>
        <v>0</v>
      </c>
      <c r="G102" s="171">
        <f>SUM(G96:G101)</f>
        <v>341872</v>
      </c>
      <c r="H102" s="172">
        <f t="shared" si="21"/>
        <v>6.979921130027246E-2</v>
      </c>
      <c r="I102" s="337"/>
      <c r="J102" s="168"/>
      <c r="K102" s="168"/>
      <c r="M102" s="364">
        <f>G102/G$228</f>
        <v>16.710103133095458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490">
        <f>'[48]Sch C'!D98</f>
        <v>0</v>
      </c>
      <c r="D105" s="490">
        <f>'[48]Sch C'!F98</f>
        <v>0</v>
      </c>
      <c r="E105" s="171">
        <f t="shared" ref="E105:E110" si="24">C105+D105</f>
        <v>0</v>
      </c>
      <c r="F105" s="171"/>
      <c r="G105" s="171">
        <f t="shared" ref="G105:G110" si="25">E105+F105</f>
        <v>0</v>
      </c>
      <c r="H105" s="172">
        <f t="shared" ref="H105:H111" si="26">IF($G$208=0,0,G105/$G$208)</f>
        <v>0</v>
      </c>
      <c r="I105" s="337"/>
      <c r="J105" s="183">
        <v>0</v>
      </c>
      <c r="K105" s="183">
        <v>0</v>
      </c>
      <c r="M105" s="364">
        <f t="shared" ref="M105:M110" si="27">G105/G$228</f>
        <v>0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490">
        <f>'[48]Sch C'!D99</f>
        <v>0</v>
      </c>
      <c r="D106" s="490">
        <f>'[48]Sch C'!F99</f>
        <v>0</v>
      </c>
      <c r="E106" s="171">
        <f t="shared" si="24"/>
        <v>0</v>
      </c>
      <c r="F106" s="171"/>
      <c r="G106" s="171">
        <f t="shared" si="25"/>
        <v>0</v>
      </c>
      <c r="H106" s="172">
        <f t="shared" si="26"/>
        <v>0</v>
      </c>
      <c r="I106" s="337"/>
      <c r="J106" s="168"/>
      <c r="K106" s="168"/>
      <c r="M106" s="364">
        <f t="shared" si="27"/>
        <v>0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490">
        <f>'[48]Sch C'!D100</f>
        <v>0</v>
      </c>
      <c r="D107" s="490">
        <f>'[48]Sch C'!F100</f>
        <v>0</v>
      </c>
      <c r="E107" s="171">
        <f t="shared" si="24"/>
        <v>0</v>
      </c>
      <c r="F107" s="171"/>
      <c r="G107" s="171">
        <f t="shared" si="25"/>
        <v>0</v>
      </c>
      <c r="H107" s="172">
        <f t="shared" si="26"/>
        <v>0</v>
      </c>
      <c r="I107" s="337"/>
      <c r="J107" s="168"/>
      <c r="K107" s="168"/>
      <c r="M107" s="364">
        <f t="shared" si="27"/>
        <v>0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490">
        <f>'[48]Sch C'!D101</f>
        <v>32627</v>
      </c>
      <c r="D108" s="490">
        <f>'[48]Sch C'!F101</f>
        <v>-2222</v>
      </c>
      <c r="E108" s="171">
        <f t="shared" si="24"/>
        <v>30405</v>
      </c>
      <c r="F108" s="171"/>
      <c r="G108" s="171">
        <f t="shared" si="25"/>
        <v>30405</v>
      </c>
      <c r="H108" s="172">
        <f t="shared" si="26"/>
        <v>6.2077181506083687E-3</v>
      </c>
      <c r="I108" s="337"/>
      <c r="J108" s="168"/>
      <c r="K108" s="168"/>
      <c r="M108" s="364">
        <f t="shared" si="27"/>
        <v>1.4861430177428028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490">
        <f>'[48]Sch C'!D102</f>
        <v>5033</v>
      </c>
      <c r="D109" s="490">
        <f>'[48]Sch C'!F102</f>
        <v>0</v>
      </c>
      <c r="E109" s="171">
        <f t="shared" si="24"/>
        <v>5033</v>
      </c>
      <c r="F109" s="171"/>
      <c r="G109" s="171">
        <f t="shared" si="25"/>
        <v>5033</v>
      </c>
      <c r="H109" s="172">
        <f t="shared" si="26"/>
        <v>1.027575906989374E-3</v>
      </c>
      <c r="I109" s="337"/>
      <c r="J109" s="168"/>
      <c r="K109" s="168"/>
      <c r="M109" s="364">
        <f t="shared" si="27"/>
        <v>0.24600420352900923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490">
        <f>'[48]Sch C'!D103</f>
        <v>0</v>
      </c>
      <c r="D110" s="490">
        <f>'[48]Sch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7"/>
      <c r="J110" s="168"/>
      <c r="K110" s="168"/>
      <c r="M110" s="364">
        <f t="shared" si="27"/>
        <v>0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490">
        <f>SUM(C105:C110)</f>
        <v>37660</v>
      </c>
      <c r="D111" s="490">
        <f>SUM(D105:D110)</f>
        <v>-2222</v>
      </c>
      <c r="E111" s="171">
        <f t="shared" ref="E111:F111" si="28">SUM(E105:E110)</f>
        <v>35438</v>
      </c>
      <c r="F111" s="171">
        <f t="shared" si="28"/>
        <v>0</v>
      </c>
      <c r="G111" s="171">
        <f>SUM(G105:G110)</f>
        <v>35438</v>
      </c>
      <c r="H111" s="172">
        <f t="shared" si="26"/>
        <v>7.2352940575977423E-3</v>
      </c>
      <c r="I111" s="337"/>
      <c r="J111" s="168"/>
      <c r="K111" s="168"/>
      <c r="M111" s="364">
        <f>G111/G$228</f>
        <v>1.7321472212718119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490">
        <f>'[48]Sch C'!D115</f>
        <v>0</v>
      </c>
      <c r="D114" s="490">
        <f>'[48]Sch C'!F115</f>
        <v>0</v>
      </c>
      <c r="E114" s="171">
        <f t="shared" ref="E114:E118" si="29">C114+D114</f>
        <v>0</v>
      </c>
      <c r="F114" s="171"/>
      <c r="G114" s="171">
        <f>E114+F114</f>
        <v>0</v>
      </c>
      <c r="H114" s="172">
        <f t="shared" ref="H114:H119" si="30">IF($G$208=0,0,G114/$G$208)</f>
        <v>0</v>
      </c>
      <c r="I114" s="337"/>
      <c r="J114" s="183">
        <v>0</v>
      </c>
      <c r="K114" s="183">
        <v>0</v>
      </c>
      <c r="M114" s="364">
        <f t="shared" ref="M114:M119" si="31">G114/G$228</f>
        <v>0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490">
        <f>'[48]Sch C'!D116</f>
        <v>0</v>
      </c>
      <c r="D115" s="490">
        <f>'[48]Sch C'!F116</f>
        <v>0</v>
      </c>
      <c r="E115" s="171">
        <f t="shared" si="29"/>
        <v>0</v>
      </c>
      <c r="F115" s="171"/>
      <c r="G115" s="171">
        <f>E115+F115</f>
        <v>0</v>
      </c>
      <c r="H115" s="172">
        <f t="shared" si="30"/>
        <v>0</v>
      </c>
      <c r="I115" s="337"/>
      <c r="J115" s="168"/>
      <c r="K115" s="168"/>
      <c r="M115" s="364">
        <f t="shared" si="31"/>
        <v>0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490">
        <f>'[48]Sch C'!D117</f>
        <v>7860</v>
      </c>
      <c r="D116" s="490">
        <f>'[48]Sch C'!F117</f>
        <v>0</v>
      </c>
      <c r="E116" s="171">
        <f t="shared" si="29"/>
        <v>7860</v>
      </c>
      <c r="F116" s="171"/>
      <c r="G116" s="171">
        <f>E116+F116</f>
        <v>7860</v>
      </c>
      <c r="H116" s="172">
        <f t="shared" si="30"/>
        <v>1.6047579234922471E-3</v>
      </c>
      <c r="I116" s="337"/>
      <c r="J116" s="168"/>
      <c r="K116" s="168"/>
      <c r="M116" s="364">
        <f t="shared" si="31"/>
        <v>0.38418300014663476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490">
        <f>'[48]Sch C'!D118</f>
        <v>77045</v>
      </c>
      <c r="D117" s="490">
        <f>'[48]Sch C'!F118</f>
        <v>0</v>
      </c>
      <c r="E117" s="171">
        <f t="shared" si="29"/>
        <v>77045</v>
      </c>
      <c r="F117" s="171"/>
      <c r="G117" s="171">
        <f>E117+F117</f>
        <v>77045</v>
      </c>
      <c r="H117" s="172">
        <f t="shared" si="30"/>
        <v>1.5730098500694682E-2</v>
      </c>
      <c r="I117" s="337"/>
      <c r="J117" s="168"/>
      <c r="K117" s="168"/>
      <c r="M117" s="364">
        <f t="shared" si="31"/>
        <v>3.7658243315900091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490">
        <f>'[48]Sch C'!D119</f>
        <v>0</v>
      </c>
      <c r="D118" s="490">
        <f>'[48]Sch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337"/>
      <c r="J118" s="168"/>
      <c r="K118" s="168"/>
      <c r="M118" s="364">
        <f t="shared" si="31"/>
        <v>0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490">
        <f>SUM(C114:C118)</f>
        <v>84905</v>
      </c>
      <c r="D119" s="490">
        <f>SUM(D114:D118)</f>
        <v>0</v>
      </c>
      <c r="E119" s="171">
        <f t="shared" ref="E119:F119" si="32">SUM(E114:E118)</f>
        <v>84905</v>
      </c>
      <c r="F119" s="171">
        <f t="shared" si="32"/>
        <v>0</v>
      </c>
      <c r="G119" s="171">
        <f>SUM(G114:G118)</f>
        <v>84905</v>
      </c>
      <c r="H119" s="172">
        <f t="shared" si="30"/>
        <v>1.7334856424186928E-2</v>
      </c>
      <c r="I119" s="337"/>
      <c r="J119" s="168"/>
      <c r="K119" s="168"/>
      <c r="M119" s="364">
        <f t="shared" si="31"/>
        <v>4.1500073317366439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1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490">
        <f>'[48]Sch C'!D124</f>
        <v>0</v>
      </c>
      <c r="D123" s="490">
        <f>'[48]Sch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7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0.77002560279620991</v>
      </c>
    </row>
    <row r="124" spans="1:14" s="167" customFormat="1">
      <c r="B124" s="163" t="s">
        <v>194</v>
      </c>
      <c r="C124" s="490">
        <f>'[48]Sch C'!D125</f>
        <v>181033</v>
      </c>
      <c r="D124" s="490">
        <f>'[48]Sch C'!F125</f>
        <v>0</v>
      </c>
      <c r="E124" s="171">
        <f t="shared" si="33"/>
        <v>181033</v>
      </c>
      <c r="F124" s="171"/>
      <c r="G124" s="171">
        <f>E124+F124</f>
        <v>181033</v>
      </c>
      <c r="H124" s="172">
        <f>IF($G$208=0,0,G124/$G$208)</f>
        <v>3.6961086662032058E-2</v>
      </c>
      <c r="I124" s="337"/>
      <c r="J124" s="183">
        <v>4011</v>
      </c>
      <c r="K124" s="183">
        <v>4381</v>
      </c>
      <c r="M124" s="364">
        <f t="shared" si="34"/>
        <v>8.8485751991788462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490">
        <f>'[48]Sch C'!D126</f>
        <v>0</v>
      </c>
      <c r="D125" s="490">
        <f>'[48]Sch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7"/>
      <c r="J125" s="183">
        <v>0</v>
      </c>
      <c r="K125" s="183">
        <v>0</v>
      </c>
      <c r="M125" s="364">
        <f t="shared" si="34"/>
        <v>0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490">
        <f>'[48]Sch C'!D127</f>
        <v>0</v>
      </c>
      <c r="D126" s="490">
        <f>'[48]Sch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7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490">
        <f>'[48]Sch C'!D128</f>
        <v>42248</v>
      </c>
      <c r="D127" s="490">
        <f>'[48]Sch C'!F128</f>
        <v>0</v>
      </c>
      <c r="E127" s="171">
        <f t="shared" si="33"/>
        <v>42248</v>
      </c>
      <c r="F127" s="171"/>
      <c r="G127" s="171">
        <f>E127+F127</f>
        <v>42248</v>
      </c>
      <c r="H127" s="172">
        <f>IF($G$208=0,0,G127/$G$208)</f>
        <v>8.625675922608201E-3</v>
      </c>
      <c r="I127" s="337"/>
      <c r="J127" s="183">
        <v>2723</v>
      </c>
      <c r="K127" s="183">
        <v>3154</v>
      </c>
      <c r="M127" s="364">
        <f t="shared" si="34"/>
        <v>2.0650080649103084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205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490">
        <f>'[48]Sch C'!D130</f>
        <v>0</v>
      </c>
      <c r="D129" s="490">
        <f>'[48]Sch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7"/>
      <c r="J129" s="204"/>
      <c r="K129" s="204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490">
        <f>'[48]Sch C'!D131</f>
        <v>20382</v>
      </c>
      <c r="D130" s="490">
        <f>'[48]Sch C'!F131</f>
        <v>0</v>
      </c>
      <c r="E130" s="171">
        <f t="shared" si="35"/>
        <v>20382</v>
      </c>
      <c r="F130" s="171"/>
      <c r="G130" s="171">
        <f>E130+F130</f>
        <v>20382</v>
      </c>
      <c r="H130" s="172">
        <f>IF($G$208=0,0,G130/$G$208)</f>
        <v>4.1613455466436369E-3</v>
      </c>
      <c r="I130" s="337"/>
      <c r="J130" s="204"/>
      <c r="K130" s="204"/>
      <c r="M130" s="364">
        <f t="shared" si="34"/>
        <v>0.99623637518940322</v>
      </c>
      <c r="N130" s="359">
        <f>SUMMARY!J133</f>
        <v>1.0792348507966931</v>
      </c>
    </row>
    <row r="131" spans="1:14" s="167" customFormat="1">
      <c r="B131" s="163" t="s">
        <v>195</v>
      </c>
      <c r="C131" s="490">
        <f>'[48]Sch C'!D132</f>
        <v>0</v>
      </c>
      <c r="D131" s="490">
        <f>'[48]Sch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7"/>
      <c r="J131" s="168"/>
      <c r="K131" s="168"/>
      <c r="M131" s="364">
        <f t="shared" si="34"/>
        <v>0</v>
      </c>
      <c r="N131" s="359">
        <f>SUMMARY!J134</f>
        <v>8.2765628075518377E-2</v>
      </c>
    </row>
    <row r="132" spans="1:14" s="167" customFormat="1">
      <c r="B132" s="163" t="s">
        <v>196</v>
      </c>
      <c r="C132" s="490">
        <f>'[48]Sch C'!D133</f>
        <v>0</v>
      </c>
      <c r="D132" s="490">
        <f>'[48]Sch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490">
        <f>'[48]Sch C'!D134</f>
        <v>9350</v>
      </c>
      <c r="D133" s="490">
        <f>'[48]Sch C'!F134</f>
        <v>0</v>
      </c>
      <c r="E133" s="171">
        <f t="shared" si="35"/>
        <v>9350</v>
      </c>
      <c r="F133" s="171"/>
      <c r="G133" s="171">
        <f>E133+F133</f>
        <v>9350</v>
      </c>
      <c r="H133" s="172">
        <f>IF($G$208=0,0,G133/$G$208)</f>
        <v>1.9089677588616427E-3</v>
      </c>
      <c r="I133" s="337"/>
      <c r="J133" s="168"/>
      <c r="K133" s="168"/>
      <c r="M133" s="364">
        <f t="shared" si="34"/>
        <v>0.45701158414389753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490">
        <f>'[48]Sch C'!D136</f>
        <v>530328</v>
      </c>
      <c r="D135" s="490">
        <f>'[48]Sch C'!F136</f>
        <v>0</v>
      </c>
      <c r="E135" s="171">
        <f t="shared" ref="E135:E138" si="36">C135+D135</f>
        <v>530328</v>
      </c>
      <c r="F135" s="171"/>
      <c r="G135" s="171">
        <f>E135+F135</f>
        <v>530328</v>
      </c>
      <c r="H135" s="172">
        <f>IF($G$208=0,0,G135/$G$208)</f>
        <v>0.10827583461193339</v>
      </c>
      <c r="I135" s="337"/>
      <c r="J135" s="183">
        <v>18469</v>
      </c>
      <c r="K135" s="183">
        <v>20071</v>
      </c>
      <c r="M135" s="364">
        <f t="shared" si="34"/>
        <v>25.921501539664696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490">
        <f>'[48]Sch C'!D137</f>
        <v>92367</v>
      </c>
      <c r="D136" s="490">
        <f>'[48]Sch C'!F137</f>
        <v>0</v>
      </c>
      <c r="E136" s="171">
        <f t="shared" si="36"/>
        <v>92367</v>
      </c>
      <c r="F136" s="171"/>
      <c r="G136" s="171">
        <f>E136+F136</f>
        <v>92367</v>
      </c>
      <c r="H136" s="172">
        <f>IF($G$208=0,0,G136/$G$208)</f>
        <v>1.8858355613130841E-2</v>
      </c>
      <c r="I136" s="337"/>
      <c r="J136" s="183">
        <v>4247</v>
      </c>
      <c r="K136" s="183">
        <v>4616</v>
      </c>
      <c r="M136" s="364">
        <f t="shared" si="34"/>
        <v>4.5147367906544797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490">
        <f>'[48]Sch C'!D138</f>
        <v>521293</v>
      </c>
      <c r="D137" s="490">
        <f>'[48]Sch C'!F138</f>
        <v>19306</v>
      </c>
      <c r="E137" s="171">
        <f t="shared" si="36"/>
        <v>540599</v>
      </c>
      <c r="F137" s="171"/>
      <c r="G137" s="171">
        <f>E137+F137</f>
        <v>540599</v>
      </c>
      <c r="H137" s="172">
        <f>IF($G$208=0,0,G137/$G$208)</f>
        <v>0.11037284079923478</v>
      </c>
      <c r="I137" s="337"/>
      <c r="J137" s="183">
        <v>44870</v>
      </c>
      <c r="K137" s="183">
        <v>50200</v>
      </c>
      <c r="M137" s="364">
        <f t="shared" si="34"/>
        <v>26.423529986802873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490">
        <f>'[48]Sch C'!D139</f>
        <v>19306</v>
      </c>
      <c r="D138" s="490">
        <f>'[48]Sch C'!F139</f>
        <v>-19306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7"/>
      <c r="J138" s="183">
        <v>0</v>
      </c>
      <c r="K138" s="183">
        <v>0</v>
      </c>
      <c r="M138" s="364">
        <f t="shared" si="34"/>
        <v>0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7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490">
        <f>'[48]Sch C'!D141</f>
        <v>239008</v>
      </c>
      <c r="D140" s="490">
        <f>'[48]Sch C'!F141</f>
        <v>-130048</v>
      </c>
      <c r="E140" s="171">
        <f t="shared" ref="E140:E143" si="37">C140+D140</f>
        <v>108960</v>
      </c>
      <c r="F140" s="171"/>
      <c r="G140" s="171">
        <f>E140+F140</f>
        <v>108960</v>
      </c>
      <c r="H140" s="172">
        <f>IF($G$208=0,0,G140/$G$208)</f>
        <v>2.2246109840167335E-2</v>
      </c>
      <c r="I140" s="337"/>
      <c r="J140" s="168"/>
      <c r="K140" s="168"/>
      <c r="M140" s="364">
        <f t="shared" si="34"/>
        <v>5.3257734982159439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490">
        <f>'[48]Sch C'!D142</f>
        <v>0</v>
      </c>
      <c r="D141" s="490">
        <f>'[48]Sch C'!F142</f>
        <v>18978</v>
      </c>
      <c r="E141" s="171">
        <f t="shared" si="37"/>
        <v>18978</v>
      </c>
      <c r="F141" s="171"/>
      <c r="G141" s="171">
        <f>E141+F141</f>
        <v>18978</v>
      </c>
      <c r="H141" s="172">
        <f>IF($G$208=0,0,G141/$G$208)</f>
        <v>3.8746941313022734E-3</v>
      </c>
      <c r="I141" s="337"/>
      <c r="J141" s="168"/>
      <c r="K141" s="168"/>
      <c r="M141" s="364">
        <f t="shared" si="34"/>
        <v>0.92761132020137838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490">
        <f>'[48]Sch C'!D143</f>
        <v>0</v>
      </c>
      <c r="D142" s="490">
        <f>'[48]Sch C'!F143</f>
        <v>111070</v>
      </c>
      <c r="E142" s="171">
        <f t="shared" si="37"/>
        <v>111070</v>
      </c>
      <c r="F142" s="171"/>
      <c r="G142" s="171">
        <f>E142+F142</f>
        <v>111070</v>
      </c>
      <c r="H142" s="172">
        <f>IF($G$208=0,0,G142/$G$208)</f>
        <v>2.2676903633878358E-2</v>
      </c>
      <c r="I142" s="337"/>
      <c r="J142" s="168"/>
      <c r="K142" s="168"/>
      <c r="M142" s="364">
        <f t="shared" si="34"/>
        <v>5.4289065936751548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490">
        <f>'[48]Sch C'!D144</f>
        <v>0</v>
      </c>
      <c r="D143" s="490">
        <f>'[48]Sch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7"/>
      <c r="J143" s="168"/>
      <c r="K143" s="168"/>
      <c r="M143" s="364">
        <f t="shared" si="34"/>
        <v>0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7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490">
        <f>'[48]Sch C'!D146</f>
        <v>52825</v>
      </c>
      <c r="D145" s="490">
        <f>'[48]Sch C'!F146</f>
        <v>0</v>
      </c>
      <c r="E145" s="171">
        <f t="shared" ref="E145:E153" si="38">C145+D145</f>
        <v>52825</v>
      </c>
      <c r="F145" s="171"/>
      <c r="G145" s="171">
        <f t="shared" ref="G145:G153" si="39">E145+F145</f>
        <v>52825</v>
      </c>
      <c r="H145" s="172">
        <f t="shared" ref="H145:H153" si="40">IF($G$208=0,0,G145/$G$208)</f>
        <v>1.078515741838142E-2</v>
      </c>
      <c r="I145" s="337"/>
      <c r="J145" s="183">
        <v>253</v>
      </c>
      <c r="K145" s="183">
        <v>253</v>
      </c>
      <c r="M145" s="364">
        <f t="shared" si="34"/>
        <v>2.5819932548022875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490">
        <f>'[48]Sch C'!D147</f>
        <v>0</v>
      </c>
      <c r="D146" s="490">
        <f>'[48]Sch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337"/>
      <c r="J146" s="183">
        <v>0</v>
      </c>
      <c r="K146" s="183">
        <v>0</v>
      </c>
      <c r="M146" s="364">
        <f t="shared" si="34"/>
        <v>0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490">
        <f>'[48]Sch C'!D148</f>
        <v>0</v>
      </c>
      <c r="D147" s="490">
        <f>'[48]Sch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7"/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490">
        <f>'[48]Sch C'!D149</f>
        <v>0</v>
      </c>
      <c r="D148" s="490">
        <f>'[48]Sch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7"/>
      <c r="J148" s="183">
        <v>0</v>
      </c>
      <c r="K148" s="183">
        <v>0</v>
      </c>
      <c r="M148" s="364">
        <f t="shared" si="34"/>
        <v>0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490">
        <f>'[48]Sch C'!D150</f>
        <v>421</v>
      </c>
      <c r="D149" s="490">
        <f>'[48]Sch C'!F150</f>
        <v>0</v>
      </c>
      <c r="E149" s="171">
        <f t="shared" si="38"/>
        <v>421</v>
      </c>
      <c r="F149" s="171"/>
      <c r="G149" s="171">
        <f t="shared" si="39"/>
        <v>421</v>
      </c>
      <c r="H149" s="172">
        <f t="shared" si="40"/>
        <v>8.5954591067460056E-5</v>
      </c>
      <c r="I149" s="337"/>
      <c r="J149" s="183">
        <v>0</v>
      </c>
      <c r="K149" s="183">
        <v>0</v>
      </c>
      <c r="M149" s="364">
        <f t="shared" si="34"/>
        <v>2.0577740847548757E-2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490">
        <f>'[48]Sch C'!D151</f>
        <v>106156</v>
      </c>
      <c r="D150" s="490">
        <f>'[48]Sch C'!F151</f>
        <v>-3065</v>
      </c>
      <c r="E150" s="171">
        <f t="shared" si="38"/>
        <v>103091</v>
      </c>
      <c r="F150" s="171"/>
      <c r="G150" s="171">
        <f t="shared" si="39"/>
        <v>103091</v>
      </c>
      <c r="H150" s="172">
        <f t="shared" si="40"/>
        <v>2.1047849757091508E-2</v>
      </c>
      <c r="I150" s="337"/>
      <c r="J150" s="168"/>
      <c r="K150" s="168"/>
      <c r="M150" s="364">
        <f t="shared" si="34"/>
        <v>5.0389070824575981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490">
        <f>'[48]Sch C'!D152</f>
        <v>5689</v>
      </c>
      <c r="D151" s="490">
        <f>'[48]Sch C'!F152</f>
        <v>0</v>
      </c>
      <c r="E151" s="171">
        <f t="shared" si="38"/>
        <v>5689</v>
      </c>
      <c r="F151" s="171"/>
      <c r="G151" s="171">
        <f t="shared" si="39"/>
        <v>5689</v>
      </c>
      <c r="H151" s="172">
        <f t="shared" si="40"/>
        <v>1.1615099016218059E-3</v>
      </c>
      <c r="I151" s="337"/>
      <c r="J151" s="168"/>
      <c r="K151" s="168"/>
      <c r="M151" s="364">
        <f t="shared" si="34"/>
        <v>0.27806833178552226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490">
        <f>'[48]Sch C'!D153</f>
        <v>0</v>
      </c>
      <c r="D152" s="490">
        <f>'[48]Sch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7"/>
      <c r="J152" s="168"/>
      <c r="K152" s="168"/>
      <c r="M152" s="364">
        <f t="shared" si="34"/>
        <v>0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490">
        <f>'[48]Sch C'!D154</f>
        <v>0</v>
      </c>
      <c r="D153" s="490">
        <f>'[48]Sch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210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490">
        <f>'[48]Sch C'!D156</f>
        <v>0</v>
      </c>
      <c r="D155" s="490">
        <f>'[48]Sch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490">
        <f>'[48]Sch C'!D157</f>
        <v>0</v>
      </c>
      <c r="D156" s="490">
        <f>'[48]Sch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490">
        <f>'[48]Sch C'!D158</f>
        <v>0</v>
      </c>
      <c r="D157" s="490">
        <f>'[48]Sch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7"/>
      <c r="J157" s="168"/>
      <c r="K157" s="168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490">
        <f>'[48]Sch C'!D159</f>
        <v>0</v>
      </c>
      <c r="D158" s="490">
        <f>'[48]Sch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490">
        <f>'[48]Sch C'!D160</f>
        <v>0</v>
      </c>
      <c r="D159" s="490">
        <f>'[48]Sch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7"/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490">
        <f>'[48]Sch C'!D161</f>
        <v>10952</v>
      </c>
      <c r="D160" s="490">
        <f>'[48]Sch C'!F161</f>
        <v>-481</v>
      </c>
      <c r="E160" s="171">
        <f t="shared" si="41"/>
        <v>10471</v>
      </c>
      <c r="F160" s="171"/>
      <c r="G160" s="171">
        <f t="shared" si="42"/>
        <v>10471</v>
      </c>
      <c r="H160" s="172">
        <f t="shared" si="43"/>
        <v>2.1378397222502955E-3</v>
      </c>
      <c r="I160" s="337"/>
      <c r="J160" s="168"/>
      <c r="K160" s="168"/>
      <c r="M160" s="364">
        <f t="shared" si="34"/>
        <v>0.51180409599687182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490">
        <f>SUM(C123:C160)</f>
        <v>1831358</v>
      </c>
      <c r="D161" s="490">
        <f>SUM(D123:D160)</f>
        <v>-3546</v>
      </c>
      <c r="E161" s="171">
        <f t="shared" ref="E161:F161" si="44">SUM(E123:E160)</f>
        <v>1827812</v>
      </c>
      <c r="F161" s="171">
        <f t="shared" si="44"/>
        <v>0</v>
      </c>
      <c r="G161" s="171">
        <f>SUM(G123:G160)</f>
        <v>1827812</v>
      </c>
      <c r="H161" s="172">
        <f t="shared" si="43"/>
        <v>0.373180125910205</v>
      </c>
      <c r="I161" s="337"/>
      <c r="J161" s="168"/>
      <c r="K161" s="168"/>
      <c r="M161" s="364">
        <f>G161/G$228</f>
        <v>89.340241458526805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337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7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490">
        <f>'[48]Sch C'!D175</f>
        <v>0</v>
      </c>
      <c r="D164" s="490">
        <f>'[48]Sch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490">
        <f>'[48]Sch C'!D176</f>
        <v>0</v>
      </c>
      <c r="D165" s="490">
        <f>'[48]Sch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490">
        <f>'[48]Sch C'!D177</f>
        <v>0</v>
      </c>
      <c r="D166" s="490">
        <f>'[48]Sch C'!F177</f>
        <v>0</v>
      </c>
      <c r="E166" s="171">
        <f t="shared" si="45"/>
        <v>0</v>
      </c>
      <c r="F166" s="216"/>
      <c r="G166" s="171">
        <f t="shared" si="46"/>
        <v>0</v>
      </c>
      <c r="H166" s="172">
        <f t="shared" si="47"/>
        <v>0</v>
      </c>
      <c r="I166" s="343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490">
        <f>'[48]Sch C'!D178</f>
        <v>0</v>
      </c>
      <c r="D167" s="490">
        <f>'[48]Sch C'!F178</f>
        <v>0</v>
      </c>
      <c r="E167" s="171">
        <f t="shared" si="45"/>
        <v>0</v>
      </c>
      <c r="F167" s="216"/>
      <c r="G167" s="171">
        <f t="shared" si="46"/>
        <v>0</v>
      </c>
      <c r="H167" s="172">
        <f t="shared" si="47"/>
        <v>0</v>
      </c>
      <c r="I167" s="344"/>
      <c r="J167" s="222"/>
      <c r="K167" s="222"/>
      <c r="L167" s="218"/>
      <c r="M167" s="364">
        <f t="shared" si="48"/>
        <v>0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490">
        <f>'[48]Sch C'!D179</f>
        <v>0</v>
      </c>
      <c r="D168" s="490">
        <f>'[48]Sch C'!F179</f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343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490">
        <f>'[48]Sch C'!D180</f>
        <v>0</v>
      </c>
      <c r="D169" s="490">
        <f>'[48]Sch C'!F180</f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344"/>
      <c r="J169" s="222"/>
      <c r="K169" s="222"/>
      <c r="L169" s="218"/>
      <c r="M169" s="364">
        <f t="shared" si="48"/>
        <v>0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490">
        <f>'[48]Sch C'!D181</f>
        <v>0</v>
      </c>
      <c r="D170" s="490">
        <f>'[48]Sch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3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490">
        <f>'[48]Sch C'!D182</f>
        <v>0</v>
      </c>
      <c r="D171" s="490">
        <f>'[48]Sch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490">
        <f>'[48]Sch C'!D183</f>
        <v>0</v>
      </c>
      <c r="D172" s="490">
        <f>'[48]Sch C'!F183</f>
        <v>0</v>
      </c>
      <c r="E172" s="171">
        <f t="shared" si="45"/>
        <v>0</v>
      </c>
      <c r="F172" s="216"/>
      <c r="G172" s="171">
        <f t="shared" si="46"/>
        <v>0</v>
      </c>
      <c r="H172" s="172">
        <f t="shared" si="47"/>
        <v>0</v>
      </c>
      <c r="I172" s="343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490">
        <f>'[48]Sch C'!D184</f>
        <v>0</v>
      </c>
      <c r="D173" s="490">
        <f>'[48]Sch C'!F184</f>
        <v>0</v>
      </c>
      <c r="E173" s="171">
        <f t="shared" si="45"/>
        <v>0</v>
      </c>
      <c r="F173" s="216"/>
      <c r="G173" s="171">
        <f t="shared" si="46"/>
        <v>0</v>
      </c>
      <c r="H173" s="172">
        <f t="shared" si="47"/>
        <v>0</v>
      </c>
      <c r="I173" s="344"/>
      <c r="J173" s="222"/>
      <c r="K173" s="222"/>
      <c r="L173" s="218"/>
      <c r="M173" s="364">
        <f t="shared" si="48"/>
        <v>0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490">
        <f>'[48]Sch C'!D185</f>
        <v>0</v>
      </c>
      <c r="D174" s="490">
        <f>'[48]Sch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3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490">
        <f>'[48]Sch C'!D186</f>
        <v>0</v>
      </c>
      <c r="D175" s="490">
        <f>'[48]Sch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490">
        <f>'[48]Sch C'!D187</f>
        <v>0</v>
      </c>
      <c r="D176" s="490">
        <f>'[48]Sch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490">
        <f>'[48]Sch C'!D188</f>
        <v>0</v>
      </c>
      <c r="D177" s="490">
        <f>'[48]Sch C'!F188</f>
        <v>0</v>
      </c>
      <c r="E177" s="171">
        <f t="shared" si="45"/>
        <v>0</v>
      </c>
      <c r="F177" s="216"/>
      <c r="G177" s="171">
        <f t="shared" si="46"/>
        <v>0</v>
      </c>
      <c r="H177" s="172">
        <f t="shared" si="47"/>
        <v>0</v>
      </c>
      <c r="I177" s="337"/>
      <c r="J177" s="223"/>
      <c r="K177" s="218"/>
      <c r="L177" s="220"/>
      <c r="M177" s="364">
        <f t="shared" si="48"/>
        <v>0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490">
        <f>'[48]Sch C'!D189</f>
        <v>126</v>
      </c>
      <c r="D178" s="490">
        <f>'[48]Sch C'!F189</f>
        <v>0</v>
      </c>
      <c r="E178" s="171">
        <f t="shared" si="45"/>
        <v>126</v>
      </c>
      <c r="F178" s="216"/>
      <c r="G178" s="171">
        <f t="shared" si="46"/>
        <v>126</v>
      </c>
      <c r="H178" s="172">
        <f t="shared" si="47"/>
        <v>2.5725127017814651E-5</v>
      </c>
      <c r="I178" s="337"/>
      <c r="J178" s="223"/>
      <c r="K178" s="218"/>
      <c r="L178" s="220"/>
      <c r="M178" s="364">
        <f t="shared" si="48"/>
        <v>6.1586587809765872E-3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490">
        <f>'[48]Sch C'!D190</f>
        <v>0</v>
      </c>
      <c r="D179" s="490">
        <f>'[48]Sch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490">
        <f>'[48]Sch C'!D191</f>
        <v>0</v>
      </c>
      <c r="D180" s="490">
        <f>'[48]Sch C'!F191</f>
        <v>0</v>
      </c>
      <c r="E180" s="171">
        <f t="shared" si="45"/>
        <v>0</v>
      </c>
      <c r="F180" s="216"/>
      <c r="G180" s="171">
        <f t="shared" si="46"/>
        <v>0</v>
      </c>
      <c r="H180" s="172">
        <f t="shared" si="47"/>
        <v>0</v>
      </c>
      <c r="I180" s="337"/>
      <c r="J180" s="223"/>
      <c r="K180" s="218"/>
      <c r="L180" s="220"/>
      <c r="M180" s="364">
        <f t="shared" si="48"/>
        <v>0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490">
        <f>'[48]Sch C'!D192</f>
        <v>0</v>
      </c>
      <c r="D181" s="490">
        <f>'[48]Sch C'!F192</f>
        <v>0</v>
      </c>
      <c r="E181" s="171">
        <f t="shared" si="45"/>
        <v>0</v>
      </c>
      <c r="F181" s="216"/>
      <c r="G181" s="171">
        <f t="shared" si="46"/>
        <v>0</v>
      </c>
      <c r="H181" s="172">
        <f t="shared" si="47"/>
        <v>0</v>
      </c>
      <c r="I181" s="337"/>
      <c r="J181" s="223"/>
      <c r="K181" s="218"/>
      <c r="L181" s="220"/>
      <c r="M181" s="364">
        <f t="shared" si="48"/>
        <v>0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490">
        <f>'[48]Sch C'!D193</f>
        <v>208</v>
      </c>
      <c r="D182" s="490">
        <f>'[48]Sch C'!F193</f>
        <v>0</v>
      </c>
      <c r="E182" s="171">
        <f t="shared" si="45"/>
        <v>208</v>
      </c>
      <c r="F182" s="216"/>
      <c r="G182" s="171">
        <f t="shared" si="46"/>
        <v>208</v>
      </c>
      <c r="H182" s="172">
        <f t="shared" si="47"/>
        <v>4.2466876346868631E-5</v>
      </c>
      <c r="I182" s="337"/>
      <c r="J182" s="223"/>
      <c r="K182" s="218"/>
      <c r="L182" s="220"/>
      <c r="M182" s="364">
        <f t="shared" si="48"/>
        <v>1.0166674813040715E-2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490">
        <f>'[48]Sch C'!D194</f>
        <v>213938</v>
      </c>
      <c r="D183" s="490">
        <f>'[48]Sch C'!F194</f>
        <v>7894</v>
      </c>
      <c r="E183" s="171">
        <f t="shared" si="45"/>
        <v>221832</v>
      </c>
      <c r="F183" s="216"/>
      <c r="G183" s="171">
        <f t="shared" si="46"/>
        <v>221832</v>
      </c>
      <c r="H183" s="172">
        <f t="shared" si="47"/>
        <v>4.5290923623935393E-2</v>
      </c>
      <c r="I183" s="337"/>
      <c r="J183" s="223"/>
      <c r="K183" s="218"/>
      <c r="M183" s="364">
        <f t="shared" si="48"/>
        <v>10.842758688107923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490">
        <f>'[48]Sch C'!D195</f>
        <v>70733</v>
      </c>
      <c r="D184" s="490">
        <f>'[48]Sch C'!F195</f>
        <v>2610</v>
      </c>
      <c r="E184" s="171">
        <f t="shared" si="45"/>
        <v>73343</v>
      </c>
      <c r="F184" s="216"/>
      <c r="G184" s="171">
        <f t="shared" si="46"/>
        <v>73343</v>
      </c>
      <c r="H184" s="172">
        <f t="shared" si="47"/>
        <v>1.4974269768790316E-2</v>
      </c>
      <c r="I184" s="337"/>
      <c r="J184" s="223"/>
      <c r="K184" s="218"/>
      <c r="M184" s="364">
        <f t="shared" si="48"/>
        <v>3.584877071215602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490">
        <f>'[48]Sch C'!D196</f>
        <v>0</v>
      </c>
      <c r="D185" s="490">
        <f>'[48]Sch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490">
        <f>'[48]Sch C'!D197</f>
        <v>167829</v>
      </c>
      <c r="D186" s="490">
        <f>'[48]Sch C'!F197</f>
        <v>6193</v>
      </c>
      <c r="E186" s="171">
        <f t="shared" si="45"/>
        <v>174022</v>
      </c>
      <c r="F186" s="216"/>
      <c r="G186" s="171">
        <f t="shared" si="46"/>
        <v>174022</v>
      </c>
      <c r="H186" s="172">
        <f t="shared" si="47"/>
        <v>3.5529667094397949E-2</v>
      </c>
      <c r="I186" s="337"/>
      <c r="J186" s="223"/>
      <c r="K186" s="218"/>
      <c r="M186" s="364">
        <f t="shared" si="48"/>
        <v>8.505889828437363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490">
        <f>'[48]Sch C'!D198</f>
        <v>28125</v>
      </c>
      <c r="D187" s="490">
        <f>'[48]Sch C'!F198</f>
        <v>-673</v>
      </c>
      <c r="E187" s="171">
        <f t="shared" si="45"/>
        <v>27452</v>
      </c>
      <c r="F187" s="216"/>
      <c r="G187" s="171">
        <f t="shared" si="46"/>
        <v>27452</v>
      </c>
      <c r="H187" s="172">
        <f t="shared" si="47"/>
        <v>5.6048110070876806E-3</v>
      </c>
      <c r="I187" s="337"/>
      <c r="J187" s="223"/>
      <c r="K187" s="218"/>
      <c r="M187" s="364">
        <f t="shared" si="48"/>
        <v>1.3418055623442007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490">
        <f>'[48]Sch C'!D199</f>
        <v>0</v>
      </c>
      <c r="D188" s="490">
        <f>'[48]Sch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7"/>
      <c r="J188" s="223"/>
      <c r="K188" s="218"/>
      <c r="M188" s="364">
        <f t="shared" si="48"/>
        <v>0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490">
        <f>'[48]Sch C'!D200</f>
        <v>0</v>
      </c>
      <c r="D189" s="490">
        <f>'[48]Sch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7"/>
      <c r="J189" s="223"/>
      <c r="K189" s="218"/>
      <c r="M189" s="364">
        <f t="shared" si="48"/>
        <v>0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490">
        <f>'[48]Sch C'!D201</f>
        <v>0</v>
      </c>
      <c r="D190" s="490">
        <f>'[48]Sch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7"/>
      <c r="J190" s="223"/>
      <c r="K190" s="218"/>
      <c r="M190" s="364">
        <f t="shared" si="48"/>
        <v>0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490">
        <f>'[48]Sch C'!D202</f>
        <v>0</v>
      </c>
      <c r="D191" s="490">
        <f>'[48]Sch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490">
        <f>'[48]Sch C'!D203</f>
        <v>0</v>
      </c>
      <c r="D192" s="490">
        <f>'[48]Sch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7"/>
      <c r="J192" s="223"/>
      <c r="K192" s="218"/>
      <c r="M192" s="364">
        <f t="shared" si="48"/>
        <v>0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490">
        <f>'[48]Sch C'!D204</f>
        <v>0</v>
      </c>
      <c r="D193" s="490">
        <f>'[48]Sch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490">
        <f>'[48]Sch C'!D205</f>
        <v>159403</v>
      </c>
      <c r="D194" s="490">
        <f>'[48]Sch C'!F205</f>
        <v>-10641</v>
      </c>
      <c r="E194" s="171">
        <f t="shared" si="45"/>
        <v>148762</v>
      </c>
      <c r="F194" s="216"/>
      <c r="G194" s="171">
        <f t="shared" si="46"/>
        <v>148762</v>
      </c>
      <c r="H194" s="172">
        <f t="shared" si="47"/>
        <v>3.037239163035034E-2</v>
      </c>
      <c r="I194" s="337"/>
      <c r="J194" s="223"/>
      <c r="K194" s="218"/>
      <c r="M194" s="364">
        <f t="shared" si="48"/>
        <v>7.2712253775844369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490">
        <f>'[48]Sch C'!D206</f>
        <v>1355</v>
      </c>
      <c r="D195" s="490">
        <f>'[48]Sch C'!F206</f>
        <v>0</v>
      </c>
      <c r="E195" s="171">
        <f t="shared" si="45"/>
        <v>1355</v>
      </c>
      <c r="F195" s="216"/>
      <c r="G195" s="171">
        <f t="shared" si="46"/>
        <v>1355</v>
      </c>
      <c r="H195" s="172">
        <f t="shared" si="47"/>
        <v>2.7664719927887978E-4</v>
      </c>
      <c r="I195" s="337"/>
      <c r="J195" s="223"/>
      <c r="K195" s="218"/>
      <c r="M195" s="364">
        <f t="shared" si="48"/>
        <v>6.6230021017645052E-2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490">
        <f>'[48]Sch C'!D207</f>
        <v>9314</v>
      </c>
      <c r="D196" s="490">
        <f>'[48]Sch C'!F207</f>
        <v>-573</v>
      </c>
      <c r="E196" s="171">
        <f t="shared" si="45"/>
        <v>8741</v>
      </c>
      <c r="F196" s="216"/>
      <c r="G196" s="171">
        <f t="shared" si="46"/>
        <v>8741</v>
      </c>
      <c r="H196" s="172">
        <f t="shared" si="47"/>
        <v>1.7846296449422051E-3</v>
      </c>
      <c r="I196" s="337"/>
      <c r="J196" s="223"/>
      <c r="K196" s="218"/>
      <c r="M196" s="364">
        <f t="shared" si="48"/>
        <v>0.4272447333691774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490">
        <f>SUM(C164:C196)</f>
        <v>651031</v>
      </c>
      <c r="D197" s="490">
        <f>SUM(D164:D196)</f>
        <v>4810</v>
      </c>
      <c r="E197" s="171">
        <f t="shared" ref="E197:F197" si="49">SUM(E164:E196)</f>
        <v>655841</v>
      </c>
      <c r="F197" s="171">
        <f t="shared" si="49"/>
        <v>0</v>
      </c>
      <c r="G197" s="171">
        <f>SUM(G164:G196)</f>
        <v>655841</v>
      </c>
      <c r="H197" s="172">
        <f>IF($G$208=0,0,G197/$G$208)</f>
        <v>0.13390153197214744</v>
      </c>
      <c r="I197" s="337"/>
      <c r="J197" s="168"/>
      <c r="K197" s="168"/>
      <c r="M197" s="364">
        <f>G197/G$228</f>
        <v>32.056356615670367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165"/>
      <c r="G198" s="165"/>
      <c r="H198" s="198"/>
      <c r="I198" s="341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1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490">
        <f>'[48]Sch C'!D211</f>
        <v>89286</v>
      </c>
      <c r="D200" s="490">
        <f>'[48]Sch C'!F211</f>
        <v>0</v>
      </c>
      <c r="E200" s="171">
        <f t="shared" ref="E200:E205" si="50">C200+D200</f>
        <v>89286</v>
      </c>
      <c r="F200" s="171"/>
      <c r="G200" s="171">
        <f t="shared" ref="G200:G205" si="51">E200+F200</f>
        <v>89286</v>
      </c>
      <c r="H200" s="172">
        <f t="shared" ref="H200:H206" si="52">IF($G$208=0,0,G200/$G$208)</f>
        <v>1.8229315007242848E-2</v>
      </c>
      <c r="I200" s="337"/>
      <c r="J200" s="183">
        <v>5578</v>
      </c>
      <c r="K200" s="183">
        <v>5986</v>
      </c>
      <c r="M200" s="364">
        <f t="shared" ref="M200:M205" si="53">G200/G$228</f>
        <v>4.364142919986314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490">
        <f>'[48]Sch C'!D212</f>
        <v>14600</v>
      </c>
      <c r="D201" s="490">
        <f>'[48]Sch C'!F212</f>
        <v>0</v>
      </c>
      <c r="E201" s="171">
        <f t="shared" si="50"/>
        <v>14600</v>
      </c>
      <c r="F201" s="171"/>
      <c r="G201" s="171">
        <f t="shared" si="51"/>
        <v>14600</v>
      </c>
      <c r="H201" s="172">
        <f t="shared" si="52"/>
        <v>2.9808480512705867E-3</v>
      </c>
      <c r="I201" s="337"/>
      <c r="J201" s="168"/>
      <c r="K201" s="168"/>
      <c r="M201" s="364">
        <f t="shared" si="53"/>
        <v>0.71362236668458867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490">
        <f>'[48]Sch C'!D213</f>
        <v>9425</v>
      </c>
      <c r="D202" s="490">
        <f>'[48]Sch C'!F213</f>
        <v>0</v>
      </c>
      <c r="E202" s="171">
        <f t="shared" si="50"/>
        <v>9425</v>
      </c>
      <c r="F202" s="171"/>
      <c r="G202" s="171">
        <f t="shared" si="51"/>
        <v>9425</v>
      </c>
      <c r="H202" s="172">
        <f t="shared" si="52"/>
        <v>1.9242803344674847E-3</v>
      </c>
      <c r="I202" s="337"/>
      <c r="J202" s="168"/>
      <c r="K202" s="168"/>
      <c r="M202" s="364">
        <f t="shared" si="53"/>
        <v>0.46067745246590741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490">
        <f>'[48]Sch C'!D214</f>
        <v>0</v>
      </c>
      <c r="D203" s="490">
        <f>'[48]Sch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>
        <f t="shared" si="53"/>
        <v>0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490">
        <f>'[48]Sch C'!D215</f>
        <v>0</v>
      </c>
      <c r="D204" s="490">
        <f>'[48]Sch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490">
        <f>'[48]Sch C'!D216</f>
        <v>3578</v>
      </c>
      <c r="D205" s="490">
        <f>'[48]Sch C'!F216</f>
        <v>0</v>
      </c>
      <c r="E205" s="171">
        <f t="shared" si="50"/>
        <v>3578</v>
      </c>
      <c r="F205" s="171"/>
      <c r="G205" s="171">
        <f t="shared" si="51"/>
        <v>3578</v>
      </c>
      <c r="H205" s="172">
        <f t="shared" si="52"/>
        <v>7.3051194023603821E-4</v>
      </c>
      <c r="I205" s="337"/>
      <c r="J205" s="168"/>
      <c r="K205" s="168"/>
      <c r="M205" s="364">
        <f t="shared" si="53"/>
        <v>0.17488635808201769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490">
        <f>SUM(C200:C205)</f>
        <v>116889</v>
      </c>
      <c r="D206" s="490">
        <f>SUM(D200:D205)</f>
        <v>0</v>
      </c>
      <c r="E206" s="171">
        <f t="shared" ref="E206:F206" si="54">SUM(E200:E205)</f>
        <v>116889</v>
      </c>
      <c r="F206" s="171">
        <f t="shared" si="54"/>
        <v>0</v>
      </c>
      <c r="G206" s="171">
        <f>SUM(G200:G205)</f>
        <v>116889</v>
      </c>
      <c r="H206" s="172">
        <f t="shared" si="52"/>
        <v>2.3864955333216958E-2</v>
      </c>
      <c r="I206" s="337"/>
      <c r="J206" s="168"/>
      <c r="K206" s="168"/>
      <c r="M206" s="364">
        <f>G206/G$228</f>
        <v>5.7133290972188275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490">
        <f>SUM(C25:C206)/2</f>
        <v>4903599</v>
      </c>
      <c r="D208" s="490">
        <f>SUM(D25:D206)/2</f>
        <v>-5664</v>
      </c>
      <c r="E208" s="171">
        <f t="shared" ref="E208:F208" si="55">SUM(E25:E206)/2</f>
        <v>4897935</v>
      </c>
      <c r="F208" s="171">
        <f t="shared" si="55"/>
        <v>0</v>
      </c>
      <c r="G208" s="171">
        <f>SUM(G25:G206)/2</f>
        <v>4897935</v>
      </c>
      <c r="H208" s="172">
        <f>IF($G$208=0,0,G208/$G$208)</f>
        <v>1</v>
      </c>
      <c r="I208" s="337"/>
      <c r="J208" s="183">
        <f>SUM(J25:J200)</f>
        <v>103478</v>
      </c>
      <c r="K208" s="183">
        <f>SUM(K25:K200)</f>
        <v>114905</v>
      </c>
      <c r="M208" s="364">
        <f>G208/G$228</f>
        <v>239.40246346351239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490">
        <f>'[48]Sch C'!D221</f>
        <v>4903599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490">
        <f>C208-C211</f>
        <v>0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619"/>
      <c r="D213" s="232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490">
        <f>C21-C208</f>
        <v>97361</v>
      </c>
      <c r="D215" s="490">
        <f>D21-D208</f>
        <v>-3493</v>
      </c>
      <c r="E215" s="171">
        <f t="shared" ref="E215:F215" si="56">E21-E208</f>
        <v>93868</v>
      </c>
      <c r="F215" s="171">
        <f t="shared" si="56"/>
        <v>0</v>
      </c>
      <c r="G215" s="171">
        <f>G21-G208</f>
        <v>93868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491">
        <f>'[48]Sch D'!C9</f>
        <v>10578</v>
      </c>
      <c r="D219" s="491"/>
      <c r="E219" s="235">
        <f t="shared" ref="E219:G227" si="57">C219+D219</f>
        <v>10578</v>
      </c>
      <c r="F219" s="234"/>
      <c r="G219" s="235">
        <f t="shared" si="57"/>
        <v>10578</v>
      </c>
      <c r="H219" s="172">
        <f t="shared" ref="H219:H228" si="58">IF($G$228=0,0,G219/$G$228)</f>
        <v>0.51703406813627251</v>
      </c>
      <c r="I219" s="337"/>
      <c r="J219" s="168"/>
      <c r="K219" s="168"/>
    </row>
    <row r="220" spans="1:14">
      <c r="A220" s="163"/>
      <c r="B220" s="170" t="s">
        <v>217</v>
      </c>
      <c r="C220" s="491">
        <f>'[48]Sch D'!D9</f>
        <v>0</v>
      </c>
      <c r="D220" s="491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7"/>
      <c r="J220" s="168"/>
      <c r="K220" s="168"/>
    </row>
    <row r="221" spans="1:14">
      <c r="A221" s="163"/>
      <c r="B221" s="170" t="s">
        <v>72</v>
      </c>
      <c r="C221" s="491">
        <f>'[48]Sch D'!E9</f>
        <v>2299</v>
      </c>
      <c r="D221" s="491"/>
      <c r="E221" s="235">
        <f t="shared" si="59"/>
        <v>2299</v>
      </c>
      <c r="F221" s="234"/>
      <c r="G221" s="235">
        <f t="shared" si="57"/>
        <v>2299</v>
      </c>
      <c r="H221" s="172">
        <f t="shared" si="58"/>
        <v>0.11237108363067598</v>
      </c>
      <c r="I221" s="337"/>
      <c r="J221" s="168"/>
      <c r="K221" s="168"/>
    </row>
    <row r="222" spans="1:14">
      <c r="A222" s="163"/>
      <c r="B222" s="202" t="s">
        <v>334</v>
      </c>
      <c r="C222" s="491">
        <f>'[48]Sch D'!F9</f>
        <v>1046</v>
      </c>
      <c r="D222" s="491"/>
      <c r="E222" s="235">
        <f>C222+D222</f>
        <v>1046</v>
      </c>
      <c r="F222" s="234"/>
      <c r="G222" s="235">
        <f>E222+F222</f>
        <v>1046</v>
      </c>
      <c r="H222" s="172">
        <f t="shared" si="58"/>
        <v>5.1126643530964369E-2</v>
      </c>
      <c r="I222" s="337"/>
      <c r="J222" s="168"/>
      <c r="K222" s="168"/>
    </row>
    <row r="223" spans="1:14">
      <c r="A223" s="163"/>
      <c r="B223" s="170" t="s">
        <v>73</v>
      </c>
      <c r="C223" s="491">
        <f>'[48]Sch D'!G9</f>
        <v>0</v>
      </c>
      <c r="D223" s="491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7"/>
      <c r="J223" s="168"/>
      <c r="K223" s="168"/>
    </row>
    <row r="224" spans="1:14">
      <c r="A224" s="163"/>
      <c r="B224" s="170" t="s">
        <v>74</v>
      </c>
      <c r="C224" s="491">
        <f>'[48]Sch D'!H9</f>
        <v>4323</v>
      </c>
      <c r="D224" s="491"/>
      <c r="E224" s="235">
        <f t="shared" si="59"/>
        <v>4323</v>
      </c>
      <c r="F224" s="234"/>
      <c r="G224" s="235">
        <f t="shared" si="57"/>
        <v>4323</v>
      </c>
      <c r="H224" s="172">
        <f t="shared" si="58"/>
        <v>0.21130065008064911</v>
      </c>
      <c r="I224" s="337"/>
      <c r="J224" s="168"/>
      <c r="K224" s="168"/>
    </row>
    <row r="225" spans="1:11">
      <c r="A225" s="163"/>
      <c r="B225" s="170" t="s">
        <v>236</v>
      </c>
      <c r="C225" s="491">
        <f>'[48]Sch D'!I9</f>
        <v>1418</v>
      </c>
      <c r="D225" s="491"/>
      <c r="E225" s="235">
        <f t="shared" si="59"/>
        <v>1418</v>
      </c>
      <c r="F225" s="234"/>
      <c r="G225" s="235">
        <f t="shared" si="57"/>
        <v>1418</v>
      </c>
      <c r="H225" s="172">
        <f t="shared" si="58"/>
        <v>6.9309350408133338E-2</v>
      </c>
      <c r="I225" s="337"/>
      <c r="J225" s="168"/>
      <c r="K225" s="168"/>
    </row>
    <row r="226" spans="1:11">
      <c r="A226" s="163"/>
      <c r="B226" s="170" t="s">
        <v>235</v>
      </c>
      <c r="C226" s="491">
        <f>'[48]Sch D'!J9</f>
        <v>0</v>
      </c>
      <c r="D226" s="491"/>
      <c r="E226" s="235">
        <f>C226+D226</f>
        <v>0</v>
      </c>
      <c r="F226" s="234"/>
      <c r="G226" s="235">
        <f>E226+F226</f>
        <v>0</v>
      </c>
      <c r="H226" s="172">
        <f t="shared" si="58"/>
        <v>0</v>
      </c>
      <c r="I226" s="337"/>
      <c r="J226" s="168"/>
      <c r="K226" s="168"/>
    </row>
    <row r="227" spans="1:11">
      <c r="A227" s="163"/>
      <c r="B227" s="170" t="s">
        <v>179</v>
      </c>
      <c r="C227" s="491">
        <f>'[48]Sch D'!K9</f>
        <v>795</v>
      </c>
      <c r="D227" s="491"/>
      <c r="E227" s="235">
        <f t="shared" si="59"/>
        <v>795</v>
      </c>
      <c r="F227" s="234"/>
      <c r="G227" s="235">
        <f t="shared" si="57"/>
        <v>795</v>
      </c>
      <c r="H227" s="172">
        <f t="shared" si="58"/>
        <v>3.8858204213304659E-2</v>
      </c>
      <c r="I227" s="337"/>
      <c r="J227" s="168"/>
      <c r="K227" s="168"/>
    </row>
    <row r="228" spans="1:11" ht="13.5" thickBot="1">
      <c r="A228" s="163"/>
      <c r="B228" s="236" t="s">
        <v>75</v>
      </c>
      <c r="C228" s="491">
        <f>SUM(C219:C227)</f>
        <v>20459</v>
      </c>
      <c r="D228" s="491">
        <f>SUM(D219:D227)</f>
        <v>0</v>
      </c>
      <c r="E228" s="237">
        <f>SUM(E219:E227)</f>
        <v>20459</v>
      </c>
      <c r="F228" s="237">
        <f>SUM(F219:F227)</f>
        <v>0</v>
      </c>
      <c r="G228" s="237">
        <f>SUM(G219:G227)</f>
        <v>20459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620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619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492">
        <f>'[48]Sch D'!N22</f>
        <v>102</v>
      </c>
      <c r="D231" s="526"/>
      <c r="E231" s="235">
        <f>C231+D231</f>
        <v>102</v>
      </c>
      <c r="F231" s="235"/>
      <c r="G231" s="235">
        <f>E231+F231</f>
        <v>102</v>
      </c>
      <c r="H231" s="167"/>
      <c r="J231" s="168"/>
      <c r="K231" s="168"/>
    </row>
    <row r="232" spans="1:11">
      <c r="A232" s="163"/>
      <c r="B232" s="202" t="s">
        <v>290</v>
      </c>
      <c r="C232" s="492">
        <f>'[48]Sch D'!N24</f>
        <v>102</v>
      </c>
      <c r="D232" s="526"/>
      <c r="E232" s="235">
        <f>C232+D232</f>
        <v>102</v>
      </c>
      <c r="F232" s="235"/>
      <c r="G232" s="235">
        <f>E232+F232</f>
        <v>102</v>
      </c>
      <c r="H232" s="167"/>
      <c r="J232" s="168"/>
      <c r="K232" s="168"/>
    </row>
    <row r="233" spans="1:11">
      <c r="A233" s="163"/>
      <c r="B233" s="202" t="s">
        <v>76</v>
      </c>
      <c r="C233" s="492">
        <f>$C$4-$C$3+1</f>
        <v>365</v>
      </c>
      <c r="D233" s="489"/>
      <c r="E233" s="235">
        <f>C233+D233</f>
        <v>365</v>
      </c>
      <c r="F233" s="240"/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621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492">
        <f>'[48]Sch D'!N28</f>
        <v>37230</v>
      </c>
      <c r="D235" s="489"/>
      <c r="E235" s="234">
        <f>E231*E233</f>
        <v>37230</v>
      </c>
      <c r="F235" s="240"/>
      <c r="G235" s="234">
        <f>G231*G233</f>
        <v>37230</v>
      </c>
      <c r="H235" s="167"/>
      <c r="J235" s="168"/>
      <c r="K235" s="168"/>
    </row>
    <row r="236" spans="1:11" ht="26">
      <c r="A236" s="163"/>
      <c r="B236" s="244" t="s">
        <v>336</v>
      </c>
      <c r="C236" s="493">
        <f>'[48]Sch D'!N30</f>
        <v>0.54952994896588769</v>
      </c>
      <c r="D236" s="240"/>
      <c r="E236" s="245">
        <f>E228/E235</f>
        <v>0.54952994896588769</v>
      </c>
      <c r="F236" s="246"/>
      <c r="G236" s="245">
        <f>G228/G235</f>
        <v>0.54952994896588769</v>
      </c>
      <c r="H236" s="167"/>
      <c r="J236" s="168"/>
      <c r="K236" s="168"/>
    </row>
    <row r="237" spans="1:11" ht="26">
      <c r="A237" s="163"/>
      <c r="B237" s="244" t="s">
        <v>337</v>
      </c>
      <c r="C237" s="493">
        <f>'[48]Sch D'!N32</f>
        <v>0.28412570507655116</v>
      </c>
      <c r="D237" s="240"/>
      <c r="E237" s="245">
        <f>(E219+E220)/E235</f>
        <v>0.28412570507655116</v>
      </c>
      <c r="F237" s="246"/>
      <c r="G237" s="245">
        <f>(G219+G220)/G235</f>
        <v>0.28412570507655116</v>
      </c>
      <c r="H237" s="167"/>
      <c r="J237" s="168"/>
      <c r="K237" s="168"/>
    </row>
    <row r="238" spans="1:11" ht="26">
      <c r="A238" s="163"/>
      <c r="B238" s="244" t="s">
        <v>338</v>
      </c>
      <c r="C238" s="493">
        <f>'[48]Sch D'!N34</f>
        <v>0.51703406813627251</v>
      </c>
      <c r="D238" s="240"/>
      <c r="E238" s="245">
        <f>(E237/E236)</f>
        <v>0.51703406813627251</v>
      </c>
      <c r="F238" s="246"/>
      <c r="G238" s="245">
        <f>(G237/G236)</f>
        <v>0.51703406813627251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490">
        <f>'[48]Sch B'!C85</f>
        <v>196.57243816254416</v>
      </c>
    </row>
    <row r="242" spans="2:7">
      <c r="F242" s="142" t="s">
        <v>341</v>
      </c>
      <c r="G242" s="490">
        <f>'[48]Sch B'!E85</f>
        <v>196.57166806370495</v>
      </c>
    </row>
    <row r="243" spans="2:7">
      <c r="B243" s="465"/>
      <c r="F243" s="142" t="s">
        <v>342</v>
      </c>
      <c r="G243" s="490">
        <f>'[48]Sch B'!G85</f>
        <v>196.57223264540337</v>
      </c>
    </row>
    <row r="244" spans="2:7">
      <c r="B244" s="465"/>
      <c r="F244" s="142" t="s">
        <v>343</v>
      </c>
      <c r="G244" s="490">
        <f>'[48]Sch B'!I85</f>
        <v>196.57188841201716</v>
      </c>
    </row>
    <row r="245" spans="2:7">
      <c r="F245" s="142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0">
    <tabColor rgb="FFE28CAB"/>
  </sheetPr>
  <dimension ref="A1:Q245"/>
  <sheetViews>
    <sheetView showGridLines="0" zoomScale="90" zoomScaleNormal="90" workbookViewId="0">
      <pane xSplit="2" topLeftCell="C1" activePane="topRight" state="frozen"/>
      <selection activeCell="N1" sqref="N1"/>
      <selection pane="topRight"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478"/>
      <c r="E1" s="478"/>
      <c r="F1" s="478"/>
      <c r="G1" s="478"/>
      <c r="H1" s="478"/>
      <c r="I1" s="479"/>
    </row>
    <row r="2" spans="1:14" ht="23">
      <c r="B2" s="143" t="s">
        <v>189</v>
      </c>
      <c r="C2" s="247" t="s">
        <v>454</v>
      </c>
      <c r="D2" s="247"/>
      <c r="E2" s="494" t="s">
        <v>432</v>
      </c>
    </row>
    <row r="3" spans="1:14">
      <c r="A3" s="145"/>
      <c r="B3" s="140" t="s">
        <v>79</v>
      </c>
      <c r="C3" s="495">
        <v>41821</v>
      </c>
      <c r="D3" s="144"/>
      <c r="E3" s="147"/>
    </row>
    <row r="4" spans="1:14">
      <c r="A4" s="145"/>
      <c r="B4" s="148" t="s">
        <v>80</v>
      </c>
      <c r="C4" s="495">
        <v>42185</v>
      </c>
      <c r="D4" s="144"/>
      <c r="E4" s="149"/>
      <c r="G4" s="150"/>
    </row>
    <row r="5" spans="1:14">
      <c r="A5" s="145"/>
      <c r="B5" s="148"/>
      <c r="C5" s="151"/>
      <c r="D5" s="144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144"/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490">
        <f>'[5]Sch B'!E10</f>
        <v>3790583</v>
      </c>
      <c r="D11" s="490">
        <f>'[5]Sch B'!G10</f>
        <v>0</v>
      </c>
      <c r="E11" s="171">
        <f>C11+D11</f>
        <v>3790583</v>
      </c>
      <c r="F11" s="171"/>
      <c r="G11" s="171">
        <f t="shared" ref="G11:G20" si="0">E11+F11</f>
        <v>3790583</v>
      </c>
      <c r="H11" s="172">
        <f t="shared" ref="H11:H21" si="1">IF($G$21=0,0,G11/$G$21)</f>
        <v>0.38157121354101708</v>
      </c>
      <c r="I11" s="337"/>
      <c r="J11" s="368" t="s">
        <v>344</v>
      </c>
      <c r="K11" s="369">
        <f>G21</f>
        <v>9934143</v>
      </c>
      <c r="M11" s="359">
        <f>IFERROR(G11/G219,0)</f>
        <v>180.06664766519404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490">
        <f>'[5]Sch B'!E15</f>
        <v>0</v>
      </c>
      <c r="D12" s="490">
        <f>'[5]Sch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7"/>
      <c r="J12" s="370" t="s">
        <v>345</v>
      </c>
      <c r="K12" s="371">
        <f>G208</f>
        <v>9378692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490">
        <f>'[5]Sch B'!E21</f>
        <v>2448388</v>
      </c>
      <c r="D13" s="490">
        <f>'[5]Sch B'!G21</f>
        <v>0</v>
      </c>
      <c r="E13" s="171">
        <f t="shared" si="2"/>
        <v>2448388</v>
      </c>
      <c r="F13" s="171"/>
      <c r="G13" s="171">
        <f t="shared" si="0"/>
        <v>2448388</v>
      </c>
      <c r="H13" s="172">
        <f t="shared" si="1"/>
        <v>0.24646192429482844</v>
      </c>
      <c r="I13" s="337"/>
      <c r="J13" s="370" t="s">
        <v>346</v>
      </c>
      <c r="K13" s="371">
        <f>G228</f>
        <v>37482</v>
      </c>
      <c r="M13" s="359">
        <f t="shared" si="3"/>
        <v>569.26017205301093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490">
        <f>'[5]Sch B'!E27</f>
        <v>2255616</v>
      </c>
      <c r="D14" s="490">
        <f>'[5]Sch B'!G27</f>
        <v>0</v>
      </c>
      <c r="E14" s="171">
        <f t="shared" si="2"/>
        <v>2255616</v>
      </c>
      <c r="F14" s="175"/>
      <c r="G14" s="175">
        <f>E14+F14</f>
        <v>2255616</v>
      </c>
      <c r="H14" s="176">
        <f t="shared" si="1"/>
        <v>0.22705692881610423</v>
      </c>
      <c r="I14" s="338"/>
      <c r="J14" s="370" t="s">
        <v>347</v>
      </c>
      <c r="K14" s="371">
        <f>G231</f>
        <v>120</v>
      </c>
      <c r="M14" s="359">
        <f t="shared" si="3"/>
        <v>440.89444878811571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490">
        <f>'[5]Sch B'!E32</f>
        <v>0</v>
      </c>
      <c r="D15" s="490">
        <f>'[5]Sch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7"/>
      <c r="J15" s="370" t="s">
        <v>348</v>
      </c>
      <c r="K15" s="371">
        <f>G235</f>
        <v>43800</v>
      </c>
      <c r="M15" s="359">
        <f t="shared" si="3"/>
        <v>0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490">
        <f>'[5]Sch B'!E37</f>
        <v>378619</v>
      </c>
      <c r="D16" s="490">
        <f>'[5]Sch B'!G37</f>
        <v>0</v>
      </c>
      <c r="E16" s="171">
        <f t="shared" si="2"/>
        <v>378619</v>
      </c>
      <c r="F16" s="171"/>
      <c r="G16" s="171">
        <f t="shared" si="0"/>
        <v>378619</v>
      </c>
      <c r="H16" s="172">
        <f t="shared" si="1"/>
        <v>3.8112900126362183E-2</v>
      </c>
      <c r="I16" s="337"/>
      <c r="J16" s="372"/>
      <c r="K16" s="371"/>
      <c r="M16" s="359">
        <f t="shared" si="3"/>
        <v>187.71393158155678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490">
        <f>'[5]Sch B'!E42</f>
        <v>594876</v>
      </c>
      <c r="D17" s="490">
        <f>'[5]Sch B'!G42</f>
        <v>0</v>
      </c>
      <c r="E17" s="171">
        <f t="shared" si="2"/>
        <v>594876</v>
      </c>
      <c r="F17" s="171"/>
      <c r="G17" s="171">
        <f>E17+F17</f>
        <v>594876</v>
      </c>
      <c r="H17" s="172">
        <f t="shared" si="1"/>
        <v>5.9881964654625967E-2</v>
      </c>
      <c r="I17" s="337"/>
      <c r="J17" s="370" t="s">
        <v>156</v>
      </c>
      <c r="K17" s="371">
        <f>J208</f>
        <v>196708</v>
      </c>
      <c r="M17" s="359">
        <f t="shared" si="3"/>
        <v>176.15516730826178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490">
        <f>'[5]Sch B'!E47</f>
        <v>0</v>
      </c>
      <c r="D18" s="490">
        <f>'[5]Sch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337"/>
      <c r="J18" s="373" t="s">
        <v>252</v>
      </c>
      <c r="K18" s="374">
        <f>K208</f>
        <v>218663</v>
      </c>
      <c r="M18" s="359">
        <f t="shared" si="3"/>
        <v>0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490">
        <f>'[5]Sch B'!E52</f>
        <v>401573</v>
      </c>
      <c r="D19" s="490">
        <f>'[5]Sch B'!G52</f>
        <v>0</v>
      </c>
      <c r="E19" s="171">
        <f t="shared" si="2"/>
        <v>401573</v>
      </c>
      <c r="F19" s="171"/>
      <c r="G19" s="171">
        <f t="shared" si="0"/>
        <v>401573</v>
      </c>
      <c r="H19" s="172">
        <f t="shared" si="1"/>
        <v>4.042351715694046E-2</v>
      </c>
      <c r="I19" s="337"/>
      <c r="J19" s="168"/>
      <c r="K19" s="168"/>
      <c r="M19" s="359">
        <f t="shared" si="3"/>
        <v>247.88456790123456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490">
        <f>'[5]Sch B'!E67</f>
        <v>78122</v>
      </c>
      <c r="D20" s="490">
        <f>'[5]Sch B'!G67</f>
        <v>-13634</v>
      </c>
      <c r="E20" s="171">
        <f t="shared" si="2"/>
        <v>64488</v>
      </c>
      <c r="F20" s="171"/>
      <c r="G20" s="171">
        <f t="shared" si="0"/>
        <v>64488</v>
      </c>
      <c r="H20" s="172">
        <f t="shared" si="1"/>
        <v>6.491551410121638E-3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490">
        <f>SUM(C11:C20)</f>
        <v>9947777</v>
      </c>
      <c r="D21" s="490">
        <f>SUM(D11:D20)</f>
        <v>-13634</v>
      </c>
      <c r="E21" s="171">
        <f>SUM(E11:E20)</f>
        <v>9934143</v>
      </c>
      <c r="F21" s="171">
        <f>SUM(F11:F20)</f>
        <v>0</v>
      </c>
      <c r="G21" s="171">
        <f>SUM(G11:G20)</f>
        <v>9934143</v>
      </c>
      <c r="H21" s="172">
        <f t="shared" si="1"/>
        <v>1</v>
      </c>
      <c r="I21" s="337"/>
      <c r="J21" s="168"/>
      <c r="K21" s="168"/>
      <c r="M21" s="359">
        <f>IFERROR(G21/G228,0)</f>
        <v>265.03769809508566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4">
      <c r="A24" s="181" t="s">
        <v>161</v>
      </c>
      <c r="B24" s="148" t="s">
        <v>12</v>
      </c>
      <c r="M24" s="363"/>
      <c r="N24" s="363"/>
    </row>
    <row r="25" spans="1:14" s="167" customFormat="1">
      <c r="A25" s="169" t="s">
        <v>83</v>
      </c>
      <c r="B25" s="170" t="s">
        <v>14</v>
      </c>
      <c r="C25" s="490">
        <f>'[5]Sch C'!D10</f>
        <v>0</v>
      </c>
      <c r="D25" s="490">
        <f>'[5]Sch C'!F10</f>
        <v>164185</v>
      </c>
      <c r="E25" s="171">
        <f t="shared" ref="E25:E60" si="4">C25+D25</f>
        <v>164185</v>
      </c>
      <c r="F25" s="171"/>
      <c r="G25" s="182">
        <f>E25+F25</f>
        <v>164185</v>
      </c>
      <c r="H25" s="172">
        <f>IF($G$208=0,0,G25/$G$208)</f>
        <v>1.750617250251954E-2</v>
      </c>
      <c r="I25" s="337"/>
      <c r="J25" s="183">
        <v>2040</v>
      </c>
      <c r="K25" s="183">
        <v>2127</v>
      </c>
      <c r="M25" s="359">
        <f>G25/G$228</f>
        <v>4.3803692439037407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490">
        <f>'[5]Sch C'!D11</f>
        <v>0</v>
      </c>
      <c r="D26" s="490">
        <f>'[5]Sch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490">
        <f>'[5]Sch C'!D12</f>
        <v>389976</v>
      </c>
      <c r="D27" s="490">
        <f>'[5]Sch C'!F12</f>
        <v>-164185</v>
      </c>
      <c r="E27" s="171">
        <f t="shared" si="4"/>
        <v>225791</v>
      </c>
      <c r="F27" s="171"/>
      <c r="G27" s="171">
        <f t="shared" si="5"/>
        <v>225791</v>
      </c>
      <c r="H27" s="172">
        <f t="shared" si="6"/>
        <v>2.4074892319739256E-2</v>
      </c>
      <c r="I27" s="337"/>
      <c r="J27" s="185">
        <v>12904</v>
      </c>
      <c r="K27" s="185">
        <v>13831</v>
      </c>
      <c r="M27" s="359">
        <f t="shared" si="7"/>
        <v>6.0239848460594416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490">
        <f>'[5]Sch C'!D13</f>
        <v>72762</v>
      </c>
      <c r="D28" s="490">
        <f>'[5]Sch C'!F13</f>
        <v>-418</v>
      </c>
      <c r="E28" s="171">
        <f t="shared" si="4"/>
        <v>72344</v>
      </c>
      <c r="F28" s="171"/>
      <c r="G28" s="171">
        <f t="shared" si="5"/>
        <v>72344</v>
      </c>
      <c r="H28" s="172">
        <f t="shared" si="6"/>
        <v>7.7136555929121029E-3</v>
      </c>
      <c r="I28" s="337"/>
      <c r="J28" s="168"/>
      <c r="K28" s="168"/>
      <c r="M28" s="359">
        <f t="shared" si="7"/>
        <v>1.9300997812283229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490">
        <f>'[5]Sch C'!D14</f>
        <v>0</v>
      </c>
      <c r="D29" s="490">
        <f>'[5]Sch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490">
        <f>'[5]Sch C'!D15</f>
        <v>0</v>
      </c>
      <c r="D30" s="490">
        <f>'[5]Sch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7"/>
      <c r="J30" s="168"/>
      <c r="K30" s="168"/>
      <c r="M30" s="359">
        <f t="shared" si="7"/>
        <v>0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490">
        <f>'[5]Sch C'!D16</f>
        <v>496712</v>
      </c>
      <c r="D31" s="490">
        <f>'[5]Sch C'!F16</f>
        <v>53097</v>
      </c>
      <c r="E31" s="171">
        <f t="shared" si="4"/>
        <v>549809</v>
      </c>
      <c r="F31" s="171"/>
      <c r="G31" s="171">
        <f t="shared" si="5"/>
        <v>549809</v>
      </c>
      <c r="H31" s="172">
        <f t="shared" si="6"/>
        <v>5.8623206732879171E-2</v>
      </c>
      <c r="I31" s="337"/>
      <c r="J31" s="168"/>
      <c r="K31" s="168"/>
      <c r="M31" s="359">
        <f t="shared" si="7"/>
        <v>14.668614268182061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490">
        <f>'[5]Sch C'!D17</f>
        <v>241</v>
      </c>
      <c r="D32" s="490">
        <f>'[5]Sch C'!F17</f>
        <v>-241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7"/>
      <c r="J32" s="168"/>
      <c r="K32" s="168"/>
      <c r="M32" s="359">
        <f t="shared" si="7"/>
        <v>0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490">
        <f>'[5]Sch C'!D18</f>
        <v>21335</v>
      </c>
      <c r="D33" s="490">
        <f>'[5]Sch C'!F18</f>
        <v>0</v>
      </c>
      <c r="E33" s="171">
        <f t="shared" si="4"/>
        <v>21335</v>
      </c>
      <c r="F33" s="171"/>
      <c r="G33" s="171">
        <f t="shared" si="5"/>
        <v>21335</v>
      </c>
      <c r="H33" s="172">
        <f t="shared" si="6"/>
        <v>2.2748374720056911E-3</v>
      </c>
      <c r="I33" s="337"/>
      <c r="J33" s="168"/>
      <c r="K33" s="168"/>
      <c r="M33" s="359">
        <f t="shared" si="7"/>
        <v>0.56920655247852303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490">
        <f>'[5]Sch C'!D19</f>
        <v>14738</v>
      </c>
      <c r="D34" s="490">
        <f>'[5]Sch C'!F19</f>
        <v>0</v>
      </c>
      <c r="E34" s="171">
        <f t="shared" si="4"/>
        <v>14738</v>
      </c>
      <c r="F34" s="171"/>
      <c r="G34" s="171">
        <f t="shared" si="5"/>
        <v>14738</v>
      </c>
      <c r="H34" s="172">
        <f t="shared" si="6"/>
        <v>1.571434481482066E-3</v>
      </c>
      <c r="I34" s="337"/>
      <c r="J34" s="168"/>
      <c r="K34" s="168"/>
      <c r="M34" s="359">
        <f t="shared" si="7"/>
        <v>0.39320207032709031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490">
        <f>'[5]Sch C'!D20</f>
        <v>16831</v>
      </c>
      <c r="D35" s="490">
        <f>'[5]Sch C'!F20</f>
        <v>0</v>
      </c>
      <c r="E35" s="171">
        <f t="shared" si="4"/>
        <v>16831</v>
      </c>
      <c r="F35" s="171"/>
      <c r="G35" s="171">
        <f t="shared" si="5"/>
        <v>16831</v>
      </c>
      <c r="H35" s="172">
        <f t="shared" si="6"/>
        <v>1.7945999292865145E-3</v>
      </c>
      <c r="I35" s="337"/>
      <c r="J35" s="168"/>
      <c r="K35" s="168"/>
      <c r="M35" s="359">
        <f t="shared" si="7"/>
        <v>0.44904220692599112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490">
        <f>'[5]Sch C'!D21</f>
        <v>8720</v>
      </c>
      <c r="D36" s="490">
        <f>'[5]Sch C'!F21</f>
        <v>0</v>
      </c>
      <c r="E36" s="171">
        <f t="shared" si="4"/>
        <v>8720</v>
      </c>
      <c r="F36" s="171"/>
      <c r="G36" s="171">
        <f t="shared" si="5"/>
        <v>8720</v>
      </c>
      <c r="H36" s="172">
        <f t="shared" si="6"/>
        <v>9.2976717862149646E-4</v>
      </c>
      <c r="I36" s="337"/>
      <c r="J36" s="168"/>
      <c r="K36" s="168"/>
      <c r="M36" s="359">
        <f t="shared" si="7"/>
        <v>0.232645002934742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490">
        <f>'[5]Sch C'!D22</f>
        <v>0</v>
      </c>
      <c r="D37" s="490">
        <f>'[5]Sch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490">
        <f>'[5]Sch C'!D23</f>
        <v>5379</v>
      </c>
      <c r="D38" s="490">
        <f>'[5]Sch C'!F23</f>
        <v>0</v>
      </c>
      <c r="E38" s="171">
        <f t="shared" si="4"/>
        <v>5379</v>
      </c>
      <c r="F38" s="171"/>
      <c r="G38" s="171">
        <f t="shared" si="5"/>
        <v>5379</v>
      </c>
      <c r="H38" s="172">
        <f t="shared" si="6"/>
        <v>5.7353413461066853E-4</v>
      </c>
      <c r="I38" s="337"/>
      <c r="J38" s="168"/>
      <c r="K38" s="168"/>
      <c r="M38" s="359">
        <f t="shared" si="7"/>
        <v>0.14350888426444694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490">
        <f>'[5]Sch C'!D24</f>
        <v>0</v>
      </c>
      <c r="D39" s="490">
        <f>'[5]Sch C'!F24</f>
        <v>0</v>
      </c>
      <c r="E39" s="171">
        <f t="shared" si="4"/>
        <v>0</v>
      </c>
      <c r="F39" s="171"/>
      <c r="G39" s="171">
        <f t="shared" si="5"/>
        <v>0</v>
      </c>
      <c r="H39" s="172">
        <f t="shared" si="6"/>
        <v>0</v>
      </c>
      <c r="I39" s="337"/>
      <c r="J39" s="168"/>
      <c r="K39" s="168"/>
      <c r="M39" s="359">
        <f t="shared" si="7"/>
        <v>0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490">
        <f>'[5]Sch C'!D25</f>
        <v>443</v>
      </c>
      <c r="D40" s="490">
        <f>'[5]Sch C'!F25</f>
        <v>0</v>
      </c>
      <c r="E40" s="171">
        <f t="shared" si="4"/>
        <v>443</v>
      </c>
      <c r="F40" s="171"/>
      <c r="G40" s="171">
        <f t="shared" si="5"/>
        <v>443</v>
      </c>
      <c r="H40" s="172">
        <f t="shared" si="6"/>
        <v>4.7234731666206756E-5</v>
      </c>
      <c r="I40" s="337"/>
      <c r="J40" s="168"/>
      <c r="K40" s="168"/>
      <c r="M40" s="359">
        <f t="shared" si="7"/>
        <v>1.1819006456432421E-2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490">
        <f>'[5]Sch C'!D26</f>
        <v>431488</v>
      </c>
      <c r="D41" s="490">
        <f>'[5]Sch C'!F26</f>
        <v>0</v>
      </c>
      <c r="E41" s="171">
        <f t="shared" si="4"/>
        <v>431488</v>
      </c>
      <c r="F41" s="171"/>
      <c r="G41" s="171">
        <f t="shared" si="5"/>
        <v>431488</v>
      </c>
      <c r="H41" s="172">
        <f t="shared" si="6"/>
        <v>4.6007268390944066E-2</v>
      </c>
      <c r="I41" s="337"/>
      <c r="J41" s="168"/>
      <c r="K41" s="168"/>
      <c r="M41" s="359">
        <f t="shared" si="7"/>
        <v>11.511872365402059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490">
        <f>'[5]Sch C'!D27</f>
        <v>27050</v>
      </c>
      <c r="D42" s="490">
        <f>'[5]Sch C'!F27</f>
        <v>-203</v>
      </c>
      <c r="E42" s="171">
        <f t="shared" si="4"/>
        <v>26847</v>
      </c>
      <c r="F42" s="171"/>
      <c r="G42" s="171">
        <f t="shared" si="5"/>
        <v>26847</v>
      </c>
      <c r="H42" s="172">
        <f t="shared" si="6"/>
        <v>2.8625526885838666E-3</v>
      </c>
      <c r="I42" s="337"/>
      <c r="J42" s="168"/>
      <c r="K42" s="168"/>
      <c r="M42" s="359">
        <f t="shared" si="7"/>
        <v>0.71626380662718103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490">
        <f>'[5]Sch C'!D28</f>
        <v>0</v>
      </c>
      <c r="D43" s="490">
        <f>'[5]Sch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490">
        <f>'[5]Sch C'!D29</f>
        <v>211356</v>
      </c>
      <c r="D44" s="490">
        <f>'[5]Sch C'!F29</f>
        <v>-211356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490">
        <f>'[5]Sch C'!D30</f>
        <v>0</v>
      </c>
      <c r="D45" s="490">
        <f>'[5]Sch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490">
        <f>'[5]Sch C'!D31</f>
        <v>0</v>
      </c>
      <c r="D46" s="490">
        <f>'[5]Sch C'!F31</f>
        <v>0</v>
      </c>
      <c r="E46" s="171">
        <f t="shared" si="4"/>
        <v>0</v>
      </c>
      <c r="F46" s="171"/>
      <c r="G46" s="171">
        <f t="shared" si="5"/>
        <v>0</v>
      </c>
      <c r="H46" s="172">
        <f t="shared" si="6"/>
        <v>0</v>
      </c>
      <c r="I46" s="337"/>
      <c r="J46" s="168"/>
      <c r="K46" s="168"/>
      <c r="M46" s="359">
        <f t="shared" si="7"/>
        <v>0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490">
        <f>'[5]Sch C'!D32</f>
        <v>76900</v>
      </c>
      <c r="D47" s="490">
        <f>'[5]Sch C'!F32</f>
        <v>0</v>
      </c>
      <c r="E47" s="171">
        <f t="shared" si="4"/>
        <v>76900</v>
      </c>
      <c r="F47" s="171"/>
      <c r="G47" s="171">
        <f t="shared" si="5"/>
        <v>76900</v>
      </c>
      <c r="H47" s="172">
        <f t="shared" si="6"/>
        <v>8.1994376188065463E-3</v>
      </c>
      <c r="I47" s="337"/>
      <c r="J47" s="168"/>
      <c r="K47" s="168"/>
      <c r="M47" s="359">
        <f t="shared" si="7"/>
        <v>2.0516514593671631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490">
        <f>'[5]Sch C'!D33</f>
        <v>0</v>
      </c>
      <c r="D48" s="490">
        <f>'[5]Sch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490">
        <f>'[5]Sch C'!D34</f>
        <v>868</v>
      </c>
      <c r="D49" s="490">
        <f>'[5]Sch C'!F34</f>
        <v>0</v>
      </c>
      <c r="E49" s="171">
        <f t="shared" si="4"/>
        <v>868</v>
      </c>
      <c r="F49" s="171"/>
      <c r="G49" s="171">
        <f t="shared" si="5"/>
        <v>868</v>
      </c>
      <c r="H49" s="172">
        <f t="shared" si="6"/>
        <v>9.255021915635997E-5</v>
      </c>
      <c r="I49" s="337"/>
      <c r="J49" s="168"/>
      <c r="K49" s="168"/>
      <c r="M49" s="359">
        <f t="shared" si="7"/>
        <v>2.3157782402219731E-2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490">
        <f>'[5]Sch C'!D35</f>
        <v>0</v>
      </c>
      <c r="D50" s="490">
        <f>'[5]Sch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490">
        <f>'[5]Sch C'!D36</f>
        <v>0</v>
      </c>
      <c r="D51" s="490">
        <f>'[5]Sch C'!F36</f>
        <v>0</v>
      </c>
      <c r="E51" s="171">
        <f t="shared" si="4"/>
        <v>0</v>
      </c>
      <c r="F51" s="171"/>
      <c r="G51" s="171">
        <f t="shared" si="5"/>
        <v>0</v>
      </c>
      <c r="H51" s="172">
        <f t="shared" si="6"/>
        <v>0</v>
      </c>
      <c r="I51" s="337"/>
      <c r="J51" s="183">
        <v>0</v>
      </c>
      <c r="K51" s="183">
        <v>0</v>
      </c>
      <c r="M51" s="359">
        <f t="shared" si="7"/>
        <v>0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490">
        <f>'[5]Sch C'!D37</f>
        <v>0</v>
      </c>
      <c r="D52" s="490">
        <f>'[5]Sch C'!F37</f>
        <v>0</v>
      </c>
      <c r="E52" s="171">
        <f t="shared" si="4"/>
        <v>0</v>
      </c>
      <c r="F52" s="171"/>
      <c r="G52" s="171">
        <f t="shared" si="5"/>
        <v>0</v>
      </c>
      <c r="H52" s="172">
        <f t="shared" si="6"/>
        <v>0</v>
      </c>
      <c r="I52" s="337"/>
      <c r="J52" s="168"/>
      <c r="K52" s="168"/>
      <c r="M52" s="359">
        <f t="shared" si="7"/>
        <v>0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490">
        <f>'[5]Sch C'!D38</f>
        <v>181</v>
      </c>
      <c r="D53" s="490">
        <f>'[5]Sch C'!F38</f>
        <v>-181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7"/>
      <c r="J53" s="168"/>
      <c r="K53" s="168"/>
      <c r="M53" s="359">
        <f t="shared" si="7"/>
        <v>0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490">
        <f>'[5]Sch C'!D39</f>
        <v>3050</v>
      </c>
      <c r="D54" s="490">
        <f>'[5]Sch C'!F39</f>
        <v>0</v>
      </c>
      <c r="E54" s="171">
        <f t="shared" si="4"/>
        <v>3050</v>
      </c>
      <c r="F54" s="171"/>
      <c r="G54" s="171">
        <f t="shared" si="5"/>
        <v>3050</v>
      </c>
      <c r="H54" s="172">
        <f t="shared" si="6"/>
        <v>3.2520526316462894E-4</v>
      </c>
      <c r="I54" s="337"/>
      <c r="J54" s="168"/>
      <c r="K54" s="168"/>
      <c r="M54" s="359">
        <f t="shared" si="7"/>
        <v>8.1372392081532463E-2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490">
        <f>'[5]Sch C'!D40</f>
        <v>7284</v>
      </c>
      <c r="D55" s="490">
        <f>'[5]Sch C'!F40</f>
        <v>-7284</v>
      </c>
      <c r="E55" s="171">
        <f t="shared" si="4"/>
        <v>0</v>
      </c>
      <c r="F55" s="171"/>
      <c r="G55" s="171">
        <f t="shared" si="5"/>
        <v>0</v>
      </c>
      <c r="H55" s="172">
        <f t="shared" si="6"/>
        <v>0</v>
      </c>
      <c r="I55" s="337"/>
      <c r="J55" s="168"/>
      <c r="K55" s="168"/>
      <c r="M55" s="359">
        <f t="shared" si="7"/>
        <v>0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490">
        <f>'[5]Sch C'!D41</f>
        <v>199410</v>
      </c>
      <c r="D56" s="490">
        <f>'[5]Sch C'!F41</f>
        <v>-12410</v>
      </c>
      <c r="E56" s="171">
        <f t="shared" si="4"/>
        <v>187000</v>
      </c>
      <c r="F56" s="171"/>
      <c r="G56" s="171">
        <f t="shared" si="5"/>
        <v>187000</v>
      </c>
      <c r="H56" s="172">
        <f t="shared" si="6"/>
        <v>1.9938814495667413E-2</v>
      </c>
      <c r="I56" s="337"/>
      <c r="J56" s="168"/>
      <c r="K56" s="168"/>
      <c r="M56" s="359">
        <f t="shared" si="7"/>
        <v>4.9890614161464173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490">
        <f>'[5]Sch C'!D42</f>
        <v>168</v>
      </c>
      <c r="D57" s="490">
        <f>'[5]Sch C'!F42</f>
        <v>0</v>
      </c>
      <c r="E57" s="171">
        <f t="shared" si="4"/>
        <v>168</v>
      </c>
      <c r="F57" s="171"/>
      <c r="G57" s="171">
        <f t="shared" si="5"/>
        <v>168</v>
      </c>
      <c r="H57" s="172">
        <f t="shared" si="6"/>
        <v>1.7912945643166444E-5</v>
      </c>
      <c r="I57" s="337"/>
      <c r="J57" s="168"/>
      <c r="K57" s="168"/>
      <c r="M57" s="359">
        <f t="shared" si="7"/>
        <v>4.4821514326876897E-3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490">
        <f>'[5]Sch C'!D43</f>
        <v>16213</v>
      </c>
      <c r="D58" s="490">
        <f>'[5]Sch C'!F43</f>
        <v>-16213</v>
      </c>
      <c r="E58" s="171">
        <f t="shared" si="4"/>
        <v>0</v>
      </c>
      <c r="F58" s="171"/>
      <c r="G58" s="171">
        <f t="shared" si="5"/>
        <v>0</v>
      </c>
      <c r="H58" s="172">
        <f t="shared" si="6"/>
        <v>0</v>
      </c>
      <c r="I58" s="337"/>
      <c r="J58" s="168"/>
      <c r="K58" s="168"/>
      <c r="M58" s="359">
        <f t="shared" si="7"/>
        <v>0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490">
        <f>'[5]Sch C'!D44</f>
        <v>0</v>
      </c>
      <c r="D59" s="490">
        <f>'[5]Sch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7"/>
      <c r="J59" s="168"/>
      <c r="K59" s="168"/>
      <c r="M59" s="359">
        <f t="shared" si="7"/>
        <v>0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490">
        <f>'[5]Sch C'!D45</f>
        <v>10268</v>
      </c>
      <c r="D60" s="490">
        <f>'[5]Sch C'!F45</f>
        <v>-371</v>
      </c>
      <c r="E60" s="171">
        <f t="shared" si="4"/>
        <v>9897</v>
      </c>
      <c r="F60" s="171"/>
      <c r="G60" s="171">
        <f t="shared" si="5"/>
        <v>9897</v>
      </c>
      <c r="H60" s="172">
        <f t="shared" si="6"/>
        <v>1.0552644228001089E-3</v>
      </c>
      <c r="I60" s="337"/>
      <c r="J60" s="168"/>
      <c r="K60" s="168"/>
      <c r="M60" s="359">
        <f t="shared" si="7"/>
        <v>0.26404674243636944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490">
        <f>SUM(C25:C60)</f>
        <v>2011373</v>
      </c>
      <c r="D61" s="490">
        <f>SUM(D25:D60)</f>
        <v>-195580</v>
      </c>
      <c r="E61" s="171">
        <f t="shared" ref="E61:F61" si="8">SUM(E25:E60)</f>
        <v>1815793</v>
      </c>
      <c r="F61" s="171">
        <f t="shared" si="8"/>
        <v>0</v>
      </c>
      <c r="G61" s="171">
        <f>SUM(G25:G60)</f>
        <v>1815793</v>
      </c>
      <c r="H61" s="186">
        <f t="shared" si="6"/>
        <v>0.19360834112048886</v>
      </c>
      <c r="I61" s="339"/>
      <c r="J61" s="168"/>
      <c r="K61" s="168"/>
      <c r="M61" s="364">
        <f>G61/G$228</f>
        <v>48.444399978656421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I62" s="340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490">
        <f>'[5]Sch C'!D57</f>
        <v>832140</v>
      </c>
      <c r="D64" s="490">
        <f>'[5]Sch C'!F57</f>
        <v>0</v>
      </c>
      <c r="E64" s="171">
        <f t="shared" ref="E64:E78" si="9">C64+D64</f>
        <v>832140</v>
      </c>
      <c r="F64" s="171"/>
      <c r="G64" s="171">
        <f t="shared" ref="G64:G78" si="10">E64+F64</f>
        <v>832140</v>
      </c>
      <c r="H64" s="172">
        <f t="shared" ref="H64:H79" si="11">IF($G$208=0,0,G64/$G$208)</f>
        <v>8.872665825895551E-2</v>
      </c>
      <c r="I64" s="337"/>
      <c r="J64" s="190"/>
      <c r="K64" s="168"/>
      <c r="M64" s="359">
        <f t="shared" ref="M64:M79" si="12">G64/G$228</f>
        <v>22.201056507123418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490">
        <f>'[5]Sch C'!D58</f>
        <v>28482</v>
      </c>
      <c r="D65" s="490">
        <f>'[5]Sch C'!F58</f>
        <v>0</v>
      </c>
      <c r="E65" s="171">
        <f t="shared" si="9"/>
        <v>28482</v>
      </c>
      <c r="F65" s="171"/>
      <c r="G65" s="171">
        <f t="shared" si="10"/>
        <v>28482</v>
      </c>
      <c r="H65" s="172">
        <f t="shared" si="11"/>
        <v>3.0368840345753969E-3</v>
      </c>
      <c r="I65" s="337"/>
      <c r="J65" s="190"/>
      <c r="K65" s="168"/>
      <c r="M65" s="359">
        <f t="shared" si="12"/>
        <v>0.75988474467744516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490">
        <f>'[5]Sch C'!D59</f>
        <v>0</v>
      </c>
      <c r="D66" s="490">
        <f>'[5]Sch C'!F59</f>
        <v>0</v>
      </c>
      <c r="E66" s="171">
        <f t="shared" si="9"/>
        <v>0</v>
      </c>
      <c r="F66" s="171"/>
      <c r="G66" s="171">
        <f t="shared" si="10"/>
        <v>0</v>
      </c>
      <c r="H66" s="172">
        <f t="shared" si="11"/>
        <v>0</v>
      </c>
      <c r="I66" s="337"/>
      <c r="J66" s="190"/>
      <c r="K66" s="168"/>
      <c r="M66" s="359">
        <f t="shared" si="12"/>
        <v>0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490">
        <f>'[5]Sch C'!D60</f>
        <v>28000</v>
      </c>
      <c r="D67" s="490">
        <f>'[5]Sch C'!F60</f>
        <v>0</v>
      </c>
      <c r="E67" s="171">
        <f t="shared" si="9"/>
        <v>28000</v>
      </c>
      <c r="F67" s="171"/>
      <c r="G67" s="171">
        <f t="shared" si="10"/>
        <v>28000</v>
      </c>
      <c r="H67" s="172">
        <f t="shared" si="11"/>
        <v>2.9854909405277411E-3</v>
      </c>
      <c r="I67" s="337"/>
      <c r="J67" s="193"/>
      <c r="K67" s="168"/>
      <c r="M67" s="359">
        <f t="shared" si="12"/>
        <v>0.74702523878128169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490">
        <f>'[5]Sch C'!D61</f>
        <v>6620</v>
      </c>
      <c r="D68" s="490">
        <f>'[5]Sch C'!F61</f>
        <v>0</v>
      </c>
      <c r="E68" s="171">
        <f t="shared" si="9"/>
        <v>6620</v>
      </c>
      <c r="F68" s="171"/>
      <c r="G68" s="171">
        <f t="shared" si="10"/>
        <v>6620</v>
      </c>
      <c r="H68" s="172">
        <f t="shared" si="11"/>
        <v>7.0585535808191592E-4</v>
      </c>
      <c r="I68" s="337"/>
      <c r="J68" s="193"/>
      <c r="K68" s="168"/>
      <c r="M68" s="359">
        <f t="shared" si="12"/>
        <v>0.17661811002614589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490">
        <f>'[5]Sch C'!D62</f>
        <v>6759</v>
      </c>
      <c r="D69" s="490">
        <f>'[5]Sch C'!F62</f>
        <v>0</v>
      </c>
      <c r="E69" s="171">
        <f t="shared" si="9"/>
        <v>6759</v>
      </c>
      <c r="F69" s="171"/>
      <c r="G69" s="171">
        <f t="shared" si="10"/>
        <v>6759</v>
      </c>
      <c r="H69" s="172">
        <f t="shared" si="11"/>
        <v>7.2067618810810717E-4</v>
      </c>
      <c r="I69" s="337"/>
      <c r="J69" s="195"/>
      <c r="K69" s="168"/>
      <c r="M69" s="359">
        <f t="shared" si="12"/>
        <v>0.18032655674723869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490">
        <f>'[5]Sch C'!D63</f>
        <v>0</v>
      </c>
      <c r="D70" s="490">
        <f>'[5]Sch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7"/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490">
        <f>'[5]Sch C'!D64</f>
        <v>0</v>
      </c>
      <c r="D71" s="490">
        <f>'[5]Sch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490">
        <f>'[5]Sch C'!D65</f>
        <v>84</v>
      </c>
      <c r="D72" s="490">
        <f>'[5]Sch C'!F65</f>
        <v>0</v>
      </c>
      <c r="E72" s="171">
        <f t="shared" si="9"/>
        <v>84</v>
      </c>
      <c r="F72" s="171"/>
      <c r="G72" s="171">
        <f t="shared" si="10"/>
        <v>84</v>
      </c>
      <c r="H72" s="172">
        <f t="shared" si="11"/>
        <v>8.9564728215832221E-6</v>
      </c>
      <c r="I72" s="337"/>
      <c r="J72" s="195"/>
      <c r="K72" s="168"/>
      <c r="M72" s="359">
        <f t="shared" si="12"/>
        <v>2.2410757163438448E-3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490">
        <f>'[5]Sch C'!D66</f>
        <v>111962</v>
      </c>
      <c r="D73" s="490">
        <f>'[5]Sch C'!F66</f>
        <v>-2833</v>
      </c>
      <c r="E73" s="171">
        <f t="shared" si="9"/>
        <v>109129</v>
      </c>
      <c r="F73" s="171"/>
      <c r="G73" s="171">
        <f t="shared" si="10"/>
        <v>109129</v>
      </c>
      <c r="H73" s="172">
        <f t="shared" si="11"/>
        <v>1.1635844316030423E-2</v>
      </c>
      <c r="I73" s="337"/>
      <c r="J73" s="195"/>
      <c r="K73" s="168"/>
      <c r="M73" s="359">
        <f t="shared" si="12"/>
        <v>2.9115041886772319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490">
        <f>'[5]Sch C'!D67</f>
        <v>45409</v>
      </c>
      <c r="D74" s="490">
        <f>'[5]Sch C'!F67</f>
        <v>0</v>
      </c>
      <c r="E74" s="171">
        <f t="shared" si="9"/>
        <v>45409</v>
      </c>
      <c r="F74" s="171"/>
      <c r="G74" s="171">
        <f t="shared" si="10"/>
        <v>45409</v>
      </c>
      <c r="H74" s="172">
        <f t="shared" si="11"/>
        <v>4.8417199328008639E-3</v>
      </c>
      <c r="I74" s="337"/>
      <c r="J74" s="195"/>
      <c r="K74" s="168"/>
      <c r="M74" s="359">
        <f t="shared" si="12"/>
        <v>1.2114881809935436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490">
        <f>'[5]Sch C'!D68</f>
        <v>0</v>
      </c>
      <c r="D75" s="490">
        <f>'[5]Sch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490">
        <f>'[5]Sch C'!D69</f>
        <v>5634</v>
      </c>
      <c r="D76" s="490">
        <f>'[5]Sch C'!F69</f>
        <v>0</v>
      </c>
      <c r="E76" s="171">
        <f t="shared" si="9"/>
        <v>5634</v>
      </c>
      <c r="F76" s="171"/>
      <c r="G76" s="171">
        <f t="shared" si="10"/>
        <v>5634</v>
      </c>
      <c r="H76" s="172">
        <f t="shared" si="11"/>
        <v>6.0072342710476047E-4</v>
      </c>
      <c r="I76" s="337"/>
      <c r="J76" s="195"/>
      <c r="K76" s="168"/>
      <c r="M76" s="359">
        <f t="shared" si="12"/>
        <v>0.15031214983191932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490">
        <f>'[5]Sch C'!D70</f>
        <v>0</v>
      </c>
      <c r="D77" s="490">
        <f>'[5]Sch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7"/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490">
        <f>'[5]Sch C'!D71</f>
        <v>0</v>
      </c>
      <c r="D78" s="490">
        <f>'[5]Sch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7"/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490">
        <f>SUM(C64:C78)</f>
        <v>1065090</v>
      </c>
      <c r="D79" s="490">
        <f>SUM(D64:D78)</f>
        <v>-2833</v>
      </c>
      <c r="E79" s="171">
        <f t="shared" ref="E79:F79" si="13">SUM(E64:E78)</f>
        <v>1062257</v>
      </c>
      <c r="F79" s="171">
        <f t="shared" si="13"/>
        <v>0</v>
      </c>
      <c r="G79" s="171">
        <f>SUM(G64:G78)</f>
        <v>1062257</v>
      </c>
      <c r="H79" s="172">
        <f t="shared" si="11"/>
        <v>0.11326280892900631</v>
      </c>
      <c r="I79" s="337"/>
      <c r="J79" s="195"/>
      <c r="K79" s="168"/>
      <c r="M79" s="359">
        <f t="shared" si="12"/>
        <v>28.340456752574568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490">
        <f>'[5]Sch C'!D75</f>
        <v>58853</v>
      </c>
      <c r="D82" s="490">
        <f>'[5]Sch C'!F75</f>
        <v>0</v>
      </c>
      <c r="E82" s="171">
        <f t="shared" ref="E82:E92" si="14">C82+D82</f>
        <v>58853</v>
      </c>
      <c r="F82" s="171"/>
      <c r="G82" s="171">
        <f t="shared" ref="G82:G92" si="15">E82+F82</f>
        <v>58853</v>
      </c>
      <c r="H82" s="172">
        <f t="shared" ref="H82:H93" si="16">IF($G$208=0,0,G82/$G$208)</f>
        <v>6.2751820829599694E-3</v>
      </c>
      <c r="I82" s="337"/>
      <c r="J82" s="183">
        <v>3899</v>
      </c>
      <c r="K82" s="183">
        <v>4249</v>
      </c>
      <c r="M82" s="359">
        <f t="shared" ref="M82:M92" si="17">G82/G$228</f>
        <v>1.5701670134998131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490">
        <f>'[5]Sch C'!D76</f>
        <v>16929</v>
      </c>
      <c r="D83" s="490">
        <f>'[5]Sch C'!F76</f>
        <v>0</v>
      </c>
      <c r="E83" s="171">
        <f t="shared" si="14"/>
        <v>16929</v>
      </c>
      <c r="F83" s="171"/>
      <c r="G83" s="171">
        <f t="shared" si="15"/>
        <v>16929</v>
      </c>
      <c r="H83" s="172">
        <f t="shared" si="16"/>
        <v>1.8050491475783616E-3</v>
      </c>
      <c r="I83" s="337"/>
      <c r="J83" s="168"/>
      <c r="K83" s="168"/>
      <c r="M83" s="359">
        <f t="shared" si="17"/>
        <v>0.45165679526172564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490">
        <f>'[5]Sch C'!D77</f>
        <v>11233</v>
      </c>
      <c r="D84" s="490">
        <f>'[5]Sch C'!F77</f>
        <v>0</v>
      </c>
      <c r="E84" s="171">
        <f t="shared" si="14"/>
        <v>11233</v>
      </c>
      <c r="F84" s="171"/>
      <c r="G84" s="171">
        <f t="shared" si="15"/>
        <v>11233</v>
      </c>
      <c r="H84" s="172">
        <f t="shared" si="16"/>
        <v>1.1977149905338612E-3</v>
      </c>
      <c r="I84" s="337"/>
      <c r="J84" s="168"/>
      <c r="K84" s="168"/>
      <c r="M84" s="359">
        <f t="shared" si="17"/>
        <v>0.29969051811536201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490">
        <f>'[5]Sch C'!D78</f>
        <v>0</v>
      </c>
      <c r="D85" s="490">
        <f>'[5]Sch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I85" s="337"/>
      <c r="J85" s="168"/>
      <c r="K85" s="168"/>
      <c r="M85" s="359">
        <f t="shared" si="17"/>
        <v>0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490">
        <f>'[5]Sch C'!D79</f>
        <v>3007</v>
      </c>
      <c r="D86" s="490">
        <f>'[5]Sch C'!F79</f>
        <v>0</v>
      </c>
      <c r="E86" s="171">
        <f t="shared" si="14"/>
        <v>3007</v>
      </c>
      <c r="F86" s="171"/>
      <c r="G86" s="171">
        <f>E86+F86</f>
        <v>3007</v>
      </c>
      <c r="H86" s="172">
        <f t="shared" si="16"/>
        <v>3.2062040207738991E-4</v>
      </c>
      <c r="I86" s="337"/>
      <c r="J86" s="168"/>
      <c r="K86" s="168"/>
      <c r="M86" s="359">
        <f t="shared" si="17"/>
        <v>8.0225174750546926E-2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490">
        <f>'[5]Sch C'!D80</f>
        <v>20555</v>
      </c>
      <c r="D87" s="490">
        <f>'[5]Sch C'!F80</f>
        <v>0</v>
      </c>
      <c r="E87" s="171">
        <f t="shared" si="14"/>
        <v>20555</v>
      </c>
      <c r="F87" s="171"/>
      <c r="G87" s="171">
        <f t="shared" si="15"/>
        <v>20555</v>
      </c>
      <c r="H87" s="172">
        <f t="shared" si="16"/>
        <v>2.191670224376704E-3</v>
      </c>
      <c r="I87" s="337"/>
      <c r="J87" s="168"/>
      <c r="K87" s="168"/>
      <c r="M87" s="359">
        <f t="shared" si="17"/>
        <v>0.54839656368390166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490">
        <f>'[5]Sch C'!D81</f>
        <v>27521</v>
      </c>
      <c r="D88" s="490">
        <f>'[5]Sch C'!F81</f>
        <v>0</v>
      </c>
      <c r="E88" s="171">
        <f t="shared" si="14"/>
        <v>27521</v>
      </c>
      <c r="F88" s="171"/>
      <c r="G88" s="171">
        <f t="shared" si="15"/>
        <v>27521</v>
      </c>
      <c r="H88" s="172">
        <f t="shared" si="16"/>
        <v>2.9344177205094272E-3</v>
      </c>
      <c r="I88" s="337"/>
      <c r="J88" s="168"/>
      <c r="K88" s="168"/>
      <c r="M88" s="359">
        <f t="shared" si="17"/>
        <v>0.73424577130355906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490">
        <f>'[5]Sch C'!D82</f>
        <v>18731</v>
      </c>
      <c r="D89" s="490">
        <f>'[5]Sch C'!F82</f>
        <v>0</v>
      </c>
      <c r="E89" s="171">
        <f t="shared" si="14"/>
        <v>18731</v>
      </c>
      <c r="F89" s="171"/>
      <c r="G89" s="171">
        <f t="shared" si="15"/>
        <v>18731</v>
      </c>
      <c r="H89" s="172">
        <f t="shared" si="16"/>
        <v>1.9971868145366111E-3</v>
      </c>
      <c r="I89" s="337"/>
      <c r="J89" s="168"/>
      <c r="K89" s="168"/>
      <c r="M89" s="359">
        <f t="shared" si="17"/>
        <v>0.49973320527186382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490">
        <f>'[5]Sch C'!D83</f>
        <v>0</v>
      </c>
      <c r="D90" s="490">
        <f>'[5]Sch C'!F83</f>
        <v>0</v>
      </c>
      <c r="E90" s="171">
        <f t="shared" si="14"/>
        <v>0</v>
      </c>
      <c r="F90" s="171"/>
      <c r="G90" s="171">
        <f t="shared" si="15"/>
        <v>0</v>
      </c>
      <c r="H90" s="172">
        <f t="shared" si="16"/>
        <v>0</v>
      </c>
      <c r="I90" s="337"/>
      <c r="J90" s="168"/>
      <c r="K90" s="168"/>
      <c r="M90" s="359">
        <f t="shared" si="17"/>
        <v>0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490">
        <f>'[5]Sch C'!D84</f>
        <v>143102</v>
      </c>
      <c r="D91" s="490">
        <f>'[5]Sch C'!F84</f>
        <v>0</v>
      </c>
      <c r="E91" s="171">
        <f t="shared" si="14"/>
        <v>143102</v>
      </c>
      <c r="F91" s="171"/>
      <c r="G91" s="171">
        <f t="shared" si="15"/>
        <v>143102</v>
      </c>
      <c r="H91" s="172">
        <f t="shared" si="16"/>
        <v>1.52582044489786E-2</v>
      </c>
      <c r="I91" s="337"/>
      <c r="J91" s="168"/>
      <c r="K91" s="168"/>
      <c r="M91" s="359">
        <f t="shared" si="17"/>
        <v>3.8178859185742491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490">
        <f>'[5]Sch C'!D85</f>
        <v>0</v>
      </c>
      <c r="D92" s="490">
        <f>'[5]Sch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7"/>
      <c r="J92" s="168"/>
      <c r="K92" s="168"/>
      <c r="M92" s="359">
        <f t="shared" si="17"/>
        <v>0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490">
        <f>SUM(C82:C92)</f>
        <v>299931</v>
      </c>
      <c r="D93" s="490">
        <f>SUM(D82:D92)</f>
        <v>0</v>
      </c>
      <c r="E93" s="171">
        <f t="shared" ref="E93:F93" si="18">SUM(E82:E92)</f>
        <v>299931</v>
      </c>
      <c r="F93" s="171">
        <f t="shared" si="18"/>
        <v>0</v>
      </c>
      <c r="G93" s="171">
        <f>SUM(G82:G92)</f>
        <v>299931</v>
      </c>
      <c r="H93" s="172">
        <f t="shared" si="16"/>
        <v>3.1980045831550924E-2</v>
      </c>
      <c r="I93" s="337"/>
      <c r="J93" s="168"/>
      <c r="K93" s="168"/>
      <c r="M93" s="364">
        <f>G93/G$228</f>
        <v>8.0020009604610216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490">
        <f>'[5]Sch C'!D89</f>
        <v>287865</v>
      </c>
      <c r="D96" s="490">
        <f>'[5]Sch C'!F89</f>
        <v>0</v>
      </c>
      <c r="E96" s="171">
        <f t="shared" ref="E96:E101" si="19">C96+D96</f>
        <v>287865</v>
      </c>
      <c r="F96" s="171"/>
      <c r="G96" s="171">
        <f t="shared" ref="G96:G101" si="20">E96+F96</f>
        <v>287865</v>
      </c>
      <c r="H96" s="172">
        <f t="shared" ref="H96:H102" si="21">IF($G$208=0,0,G96/$G$208)</f>
        <v>3.0693512485536364E-2</v>
      </c>
      <c r="I96" s="337"/>
      <c r="J96" s="183">
        <v>24602</v>
      </c>
      <c r="K96" s="183">
        <v>26946</v>
      </c>
      <c r="M96" s="364">
        <f t="shared" ref="M96:M101" si="22">G96/G$228</f>
        <v>7.6800864414919161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490">
        <f>'[5]Sch C'!D90</f>
        <v>48671</v>
      </c>
      <c r="D97" s="490">
        <f>'[5]Sch C'!F90</f>
        <v>0</v>
      </c>
      <c r="E97" s="171">
        <f t="shared" si="19"/>
        <v>48671</v>
      </c>
      <c r="F97" s="171"/>
      <c r="G97" s="171">
        <f t="shared" si="20"/>
        <v>48671</v>
      </c>
      <c r="H97" s="172">
        <f t="shared" si="21"/>
        <v>5.1895296273723459E-3</v>
      </c>
      <c r="I97" s="337"/>
      <c r="J97" s="168"/>
      <c r="K97" s="168"/>
      <c r="M97" s="364">
        <f t="shared" si="22"/>
        <v>1.2985166213115629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490">
        <f>'[5]Sch C'!D91</f>
        <v>11450</v>
      </c>
      <c r="D98" s="490">
        <f>'[5]Sch C'!F91</f>
        <v>0</v>
      </c>
      <c r="E98" s="171">
        <f t="shared" si="19"/>
        <v>11450</v>
      </c>
      <c r="F98" s="171"/>
      <c r="G98" s="171">
        <f t="shared" si="20"/>
        <v>11450</v>
      </c>
      <c r="H98" s="172">
        <f t="shared" si="21"/>
        <v>1.2208525453229512E-3</v>
      </c>
      <c r="I98" s="337"/>
      <c r="J98" s="168"/>
      <c r="K98" s="168"/>
      <c r="M98" s="364">
        <f t="shared" si="22"/>
        <v>0.30547996371591696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490">
        <f>'[5]Sch C'!D92</f>
        <v>252797</v>
      </c>
      <c r="D99" s="490">
        <f>'[5]Sch C'!F92</f>
        <v>-12060</v>
      </c>
      <c r="E99" s="171">
        <f t="shared" si="19"/>
        <v>240737</v>
      </c>
      <c r="F99" s="171"/>
      <c r="G99" s="171">
        <f t="shared" si="20"/>
        <v>240737</v>
      </c>
      <c r="H99" s="172">
        <f t="shared" si="21"/>
        <v>2.5668504733922386E-2</v>
      </c>
      <c r="I99" s="337"/>
      <c r="J99" s="168"/>
      <c r="K99" s="168"/>
      <c r="M99" s="364">
        <f t="shared" si="22"/>
        <v>6.4227362467317644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490">
        <f>'[5]Sch C'!D93</f>
        <v>24161</v>
      </c>
      <c r="D100" s="490">
        <f>'[5]Sch C'!F93</f>
        <v>0</v>
      </c>
      <c r="E100" s="171">
        <f t="shared" si="19"/>
        <v>24161</v>
      </c>
      <c r="F100" s="171"/>
      <c r="G100" s="171">
        <f t="shared" si="20"/>
        <v>24161</v>
      </c>
      <c r="H100" s="172">
        <f t="shared" si="21"/>
        <v>2.5761588076460983E-3</v>
      </c>
      <c r="I100" s="337"/>
      <c r="J100" s="168"/>
      <c r="K100" s="168"/>
      <c r="M100" s="364">
        <f t="shared" si="22"/>
        <v>0.64460274264980522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490">
        <f>'[5]Sch C'!D94</f>
        <v>0</v>
      </c>
      <c r="D101" s="490">
        <f>'[5]Sch C'!F94</f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I101" s="337"/>
      <c r="J101" s="168"/>
      <c r="K101" s="168"/>
      <c r="M101" s="364">
        <f t="shared" si="22"/>
        <v>0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490">
        <f>SUM(C96:C101)</f>
        <v>624944</v>
      </c>
      <c r="D102" s="490">
        <f>SUM(D96:D101)</f>
        <v>-12060</v>
      </c>
      <c r="E102" s="171">
        <f t="shared" ref="E102:F102" si="23">SUM(E96:E101)</f>
        <v>612884</v>
      </c>
      <c r="F102" s="171">
        <f t="shared" si="23"/>
        <v>0</v>
      </c>
      <c r="G102" s="171">
        <f>SUM(G96:G101)</f>
        <v>612884</v>
      </c>
      <c r="H102" s="172">
        <f t="shared" si="21"/>
        <v>6.5348558199800136E-2</v>
      </c>
      <c r="I102" s="337"/>
      <c r="J102" s="168"/>
      <c r="K102" s="168"/>
      <c r="M102" s="364">
        <f>G102/G$228</f>
        <v>16.351422015900965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490">
        <f>'[5]Sch C'!D98</f>
        <v>0</v>
      </c>
      <c r="D105" s="490">
        <f>'[5]Sch C'!F98</f>
        <v>0</v>
      </c>
      <c r="E105" s="171">
        <f t="shared" ref="E105:E110" si="24">C105+D105</f>
        <v>0</v>
      </c>
      <c r="F105" s="171"/>
      <c r="G105" s="171">
        <f t="shared" ref="G105:G110" si="25">E105+F105</f>
        <v>0</v>
      </c>
      <c r="H105" s="172">
        <f t="shared" ref="H105:H111" si="26">IF($G$208=0,0,G105/$G$208)</f>
        <v>0</v>
      </c>
      <c r="I105" s="337"/>
      <c r="J105" s="183">
        <v>0</v>
      </c>
      <c r="K105" s="183">
        <v>0</v>
      </c>
      <c r="M105" s="364">
        <f t="shared" ref="M105:M110" si="27">G105/G$228</f>
        <v>0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490">
        <f>'[5]Sch C'!D99</f>
        <v>0</v>
      </c>
      <c r="D106" s="490">
        <f>'[5]Sch C'!F99</f>
        <v>0</v>
      </c>
      <c r="E106" s="171">
        <f t="shared" si="24"/>
        <v>0</v>
      </c>
      <c r="F106" s="171"/>
      <c r="G106" s="171">
        <f t="shared" si="25"/>
        <v>0</v>
      </c>
      <c r="H106" s="172">
        <f t="shared" si="26"/>
        <v>0</v>
      </c>
      <c r="I106" s="337"/>
      <c r="J106" s="168"/>
      <c r="K106" s="168"/>
      <c r="M106" s="364">
        <f t="shared" si="27"/>
        <v>0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490">
        <f>'[5]Sch C'!D100</f>
        <v>462</v>
      </c>
      <c r="D107" s="490">
        <f>'[5]Sch C'!F100</f>
        <v>0</v>
      </c>
      <c r="E107" s="171">
        <f t="shared" si="24"/>
        <v>462</v>
      </c>
      <c r="F107" s="171"/>
      <c r="G107" s="171">
        <f t="shared" si="25"/>
        <v>462</v>
      </c>
      <c r="H107" s="172">
        <f t="shared" si="26"/>
        <v>4.9260600518707724E-5</v>
      </c>
      <c r="I107" s="337"/>
      <c r="J107" s="168"/>
      <c r="K107" s="168"/>
      <c r="M107" s="364">
        <f t="shared" si="27"/>
        <v>1.2325916439891147E-2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490">
        <f>'[5]Sch C'!D101</f>
        <v>94948</v>
      </c>
      <c r="D108" s="490">
        <f>'[5]Sch C'!F101</f>
        <v>0</v>
      </c>
      <c r="E108" s="171">
        <f t="shared" si="24"/>
        <v>94948</v>
      </c>
      <c r="F108" s="171"/>
      <c r="G108" s="171">
        <f t="shared" si="25"/>
        <v>94948</v>
      </c>
      <c r="H108" s="172">
        <f t="shared" si="26"/>
        <v>1.0123799779329569E-2</v>
      </c>
      <c r="I108" s="337"/>
      <c r="J108" s="168"/>
      <c r="K108" s="168"/>
      <c r="M108" s="364">
        <f t="shared" si="27"/>
        <v>2.533162584707326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490">
        <f>'[5]Sch C'!D102</f>
        <v>10150</v>
      </c>
      <c r="D109" s="490">
        <f>'[5]Sch C'!F102</f>
        <v>0</v>
      </c>
      <c r="E109" s="171">
        <f t="shared" si="24"/>
        <v>10150</v>
      </c>
      <c r="F109" s="171"/>
      <c r="G109" s="171">
        <f t="shared" si="25"/>
        <v>10150</v>
      </c>
      <c r="H109" s="172">
        <f t="shared" si="26"/>
        <v>1.0822404659413061E-3</v>
      </c>
      <c r="I109" s="337"/>
      <c r="J109" s="168"/>
      <c r="K109" s="168"/>
      <c r="M109" s="364">
        <f t="shared" si="27"/>
        <v>0.2707966490582146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490">
        <f>'[5]Sch C'!D103</f>
        <v>0</v>
      </c>
      <c r="D110" s="490">
        <f>'[5]Sch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7"/>
      <c r="J110" s="168"/>
      <c r="K110" s="168"/>
      <c r="M110" s="364">
        <f t="shared" si="27"/>
        <v>0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490">
        <f>SUM(C105:C110)</f>
        <v>105560</v>
      </c>
      <c r="D111" s="490">
        <f>SUM(D105:D110)</f>
        <v>0</v>
      </c>
      <c r="E111" s="171">
        <f t="shared" ref="E111:F111" si="28">SUM(E105:E110)</f>
        <v>105560</v>
      </c>
      <c r="F111" s="171">
        <f t="shared" si="28"/>
        <v>0</v>
      </c>
      <c r="G111" s="171">
        <f>SUM(G105:G110)</f>
        <v>105560</v>
      </c>
      <c r="H111" s="172">
        <f t="shared" si="26"/>
        <v>1.1255300845789584E-2</v>
      </c>
      <c r="I111" s="337"/>
      <c r="J111" s="168"/>
      <c r="K111" s="168"/>
      <c r="M111" s="364">
        <f>G111/G$228</f>
        <v>2.8162851502054318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490">
        <f>'[5]Sch C'!D115</f>
        <v>0</v>
      </c>
      <c r="D114" s="490">
        <f>'[5]Sch C'!F115</f>
        <v>0</v>
      </c>
      <c r="E114" s="171">
        <f t="shared" ref="E114:E118" si="29">C114+D114</f>
        <v>0</v>
      </c>
      <c r="F114" s="171"/>
      <c r="G114" s="171">
        <f>E114+F114</f>
        <v>0</v>
      </c>
      <c r="H114" s="172">
        <f t="shared" ref="H114:H119" si="30">IF($G$208=0,0,G114/$G$208)</f>
        <v>0</v>
      </c>
      <c r="I114" s="337"/>
      <c r="J114" s="183">
        <v>0</v>
      </c>
      <c r="K114" s="183">
        <v>0</v>
      </c>
      <c r="M114" s="364">
        <f t="shared" ref="M114:M119" si="31">G114/G$228</f>
        <v>0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490">
        <f>'[5]Sch C'!D116</f>
        <v>0</v>
      </c>
      <c r="D115" s="490">
        <f>'[5]Sch C'!F116</f>
        <v>0</v>
      </c>
      <c r="E115" s="171">
        <f t="shared" si="29"/>
        <v>0</v>
      </c>
      <c r="F115" s="171"/>
      <c r="G115" s="171">
        <f>E115+F115</f>
        <v>0</v>
      </c>
      <c r="H115" s="172">
        <f t="shared" si="30"/>
        <v>0</v>
      </c>
      <c r="I115" s="337"/>
      <c r="J115" s="168"/>
      <c r="K115" s="168"/>
      <c r="M115" s="364">
        <f t="shared" si="31"/>
        <v>0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490">
        <f>'[5]Sch C'!D117</f>
        <v>14864</v>
      </c>
      <c r="D116" s="490">
        <f>'[5]Sch C'!F117</f>
        <v>0</v>
      </c>
      <c r="E116" s="171">
        <f t="shared" si="29"/>
        <v>14864</v>
      </c>
      <c r="F116" s="171"/>
      <c r="G116" s="171">
        <f>E116+F116</f>
        <v>14864</v>
      </c>
      <c r="H116" s="172">
        <f t="shared" si="30"/>
        <v>1.5848691907144408E-3</v>
      </c>
      <c r="I116" s="337"/>
      <c r="J116" s="168"/>
      <c r="K116" s="168"/>
      <c r="M116" s="364">
        <f t="shared" si="31"/>
        <v>0.39656368390160612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490">
        <f>'[5]Sch C'!D118</f>
        <v>143166</v>
      </c>
      <c r="D117" s="490">
        <f>'[5]Sch C'!F118</f>
        <v>0</v>
      </c>
      <c r="E117" s="171">
        <f t="shared" si="29"/>
        <v>143166</v>
      </c>
      <c r="F117" s="171"/>
      <c r="G117" s="171">
        <f>E117+F117</f>
        <v>143166</v>
      </c>
      <c r="H117" s="172">
        <f t="shared" si="30"/>
        <v>1.5265028428271234E-2</v>
      </c>
      <c r="I117" s="337"/>
      <c r="J117" s="168"/>
      <c r="K117" s="168"/>
      <c r="M117" s="364">
        <f t="shared" si="31"/>
        <v>3.8195934048343205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490">
        <f>'[5]Sch C'!D119</f>
        <v>0</v>
      </c>
      <c r="D118" s="490">
        <f>'[5]Sch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337"/>
      <c r="J118" s="168"/>
      <c r="K118" s="168"/>
      <c r="M118" s="364">
        <f t="shared" si="31"/>
        <v>0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490">
        <f>SUM(C114:C118)</f>
        <v>158030</v>
      </c>
      <c r="D119" s="490">
        <f>SUM(D114:D118)</f>
        <v>0</v>
      </c>
      <c r="E119" s="171">
        <f t="shared" ref="E119:F119" si="32">SUM(E114:E118)</f>
        <v>158030</v>
      </c>
      <c r="F119" s="171">
        <f t="shared" si="32"/>
        <v>0</v>
      </c>
      <c r="G119" s="171">
        <f>SUM(G114:G118)</f>
        <v>158030</v>
      </c>
      <c r="H119" s="172">
        <f t="shared" si="30"/>
        <v>1.6849897618985674E-2</v>
      </c>
      <c r="I119" s="337"/>
      <c r="J119" s="168"/>
      <c r="K119" s="168"/>
      <c r="M119" s="364">
        <f t="shared" si="31"/>
        <v>4.216157088735927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1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490">
        <f>'[5]Sch C'!D124</f>
        <v>0</v>
      </c>
      <c r="D123" s="490">
        <f>'[5]Sch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7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0.77002560279620991</v>
      </c>
    </row>
    <row r="124" spans="1:14" s="167" customFormat="1">
      <c r="B124" s="163" t="s">
        <v>194</v>
      </c>
      <c r="C124" s="490">
        <f>'[5]Sch C'!D125</f>
        <v>262251</v>
      </c>
      <c r="D124" s="490">
        <f>'[5]Sch C'!F125</f>
        <v>0</v>
      </c>
      <c r="E124" s="171">
        <f t="shared" si="33"/>
        <v>262251</v>
      </c>
      <c r="F124" s="171"/>
      <c r="G124" s="171">
        <f>E124+F124</f>
        <v>262251</v>
      </c>
      <c r="H124" s="172">
        <f>IF($G$208=0,0,G124/$G$208)</f>
        <v>2.7962428023012163E-2</v>
      </c>
      <c r="I124" s="337"/>
      <c r="J124" s="183">
        <v>8520</v>
      </c>
      <c r="K124" s="183">
        <v>9526</v>
      </c>
      <c r="M124" s="364">
        <f t="shared" si="34"/>
        <v>6.9967184248439249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490">
        <f>'[5]Sch C'!D126</f>
        <v>0</v>
      </c>
      <c r="D125" s="490">
        <f>'[5]Sch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7"/>
      <c r="J125" s="183">
        <v>0</v>
      </c>
      <c r="K125" s="183">
        <v>0</v>
      </c>
      <c r="M125" s="364">
        <f t="shared" si="34"/>
        <v>0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490">
        <f>'[5]Sch C'!D127</f>
        <v>0</v>
      </c>
      <c r="D126" s="490">
        <f>'[5]Sch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7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490">
        <f>'[5]Sch C'!D128</f>
        <v>86378</v>
      </c>
      <c r="D127" s="490">
        <f>'[5]Sch C'!F128</f>
        <v>0</v>
      </c>
      <c r="E127" s="171">
        <f t="shared" si="33"/>
        <v>86378</v>
      </c>
      <c r="F127" s="171"/>
      <c r="G127" s="171">
        <f>E127+F127</f>
        <v>86378</v>
      </c>
      <c r="H127" s="172">
        <f>IF($G$208=0,0,G127/$G$208)</f>
        <v>9.2100263021751855E-3</v>
      </c>
      <c r="I127" s="337"/>
      <c r="J127" s="183">
        <v>5748</v>
      </c>
      <c r="K127" s="183">
        <v>6432</v>
      </c>
      <c r="M127" s="364">
        <f t="shared" si="34"/>
        <v>2.3045195026946268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205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490">
        <f>'[5]Sch C'!D130</f>
        <v>0</v>
      </c>
      <c r="D129" s="490">
        <f>'[5]Sch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7"/>
      <c r="J129" s="204"/>
      <c r="K129" s="204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490">
        <f>'[5]Sch C'!D131</f>
        <v>24653</v>
      </c>
      <c r="D130" s="490">
        <f>'[5]Sch C'!F131</f>
        <v>0</v>
      </c>
      <c r="E130" s="171">
        <f t="shared" si="35"/>
        <v>24653</v>
      </c>
      <c r="F130" s="171"/>
      <c r="G130" s="171">
        <f>E130+F130</f>
        <v>24653</v>
      </c>
      <c r="H130" s="172">
        <f>IF($G$208=0,0,G130/$G$208)</f>
        <v>2.6286181484582284E-3</v>
      </c>
      <c r="I130" s="337"/>
      <c r="J130" s="204"/>
      <c r="K130" s="204"/>
      <c r="M130" s="364">
        <f t="shared" si="34"/>
        <v>0.65772904327410486</v>
      </c>
      <c r="N130" s="359">
        <f>SUMMARY!J133</f>
        <v>1.0792348507966931</v>
      </c>
    </row>
    <row r="131" spans="1:14" s="167" customFormat="1">
      <c r="B131" s="163" t="s">
        <v>195</v>
      </c>
      <c r="C131" s="490">
        <f>'[5]Sch C'!D132</f>
        <v>0</v>
      </c>
      <c r="D131" s="490">
        <f>'[5]Sch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7"/>
      <c r="J131" s="168"/>
      <c r="K131" s="168"/>
      <c r="M131" s="364">
        <f t="shared" si="34"/>
        <v>0</v>
      </c>
      <c r="N131" s="359">
        <f>SUMMARY!J134</f>
        <v>8.2765628075518377E-2</v>
      </c>
    </row>
    <row r="132" spans="1:14" s="167" customFormat="1">
      <c r="B132" s="163" t="s">
        <v>196</v>
      </c>
      <c r="C132" s="490">
        <f>'[5]Sch C'!D133</f>
        <v>0</v>
      </c>
      <c r="D132" s="490">
        <f>'[5]Sch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490">
        <f>'[5]Sch C'!D134</f>
        <v>19459</v>
      </c>
      <c r="D133" s="490">
        <f>'[5]Sch C'!F134</f>
        <v>0</v>
      </c>
      <c r="E133" s="171">
        <f t="shared" si="35"/>
        <v>19459</v>
      </c>
      <c r="F133" s="171"/>
      <c r="G133" s="171">
        <f>E133+F133</f>
        <v>19459</v>
      </c>
      <c r="H133" s="172">
        <f>IF($G$208=0,0,G133/$G$208)</f>
        <v>2.0748095789903326E-3</v>
      </c>
      <c r="I133" s="337"/>
      <c r="J133" s="168"/>
      <c r="K133" s="168"/>
      <c r="M133" s="364">
        <f t="shared" si="34"/>
        <v>0.51915586148017712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490">
        <f>'[5]Sch C'!D136</f>
        <v>1004011</v>
      </c>
      <c r="D135" s="490">
        <f>'[5]Sch C'!F136</f>
        <v>0</v>
      </c>
      <c r="E135" s="171">
        <f t="shared" ref="E135:E138" si="36">C135+D135</f>
        <v>1004011</v>
      </c>
      <c r="F135" s="171"/>
      <c r="G135" s="171">
        <f>E135+F135</f>
        <v>1004011</v>
      </c>
      <c r="H135" s="172">
        <f>IF($G$208=0,0,G135/$G$208)</f>
        <v>0.10705234802464991</v>
      </c>
      <c r="I135" s="337"/>
      <c r="J135" s="183">
        <v>36257</v>
      </c>
      <c r="K135" s="183">
        <v>38895</v>
      </c>
      <c r="M135" s="364">
        <f t="shared" si="34"/>
        <v>26.786484179072623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490">
        <f>'[5]Sch C'!D137</f>
        <v>274067</v>
      </c>
      <c r="D136" s="490">
        <f>'[5]Sch C'!F137</f>
        <v>0</v>
      </c>
      <c r="E136" s="171">
        <f t="shared" si="36"/>
        <v>274067</v>
      </c>
      <c r="F136" s="171"/>
      <c r="G136" s="171">
        <f>E136+F136</f>
        <v>274067</v>
      </c>
      <c r="H136" s="172">
        <f>IF($G$208=0,0,G136/$G$208)</f>
        <v>2.922230519991487E-2</v>
      </c>
      <c r="I136" s="337"/>
      <c r="J136" s="183">
        <v>11862</v>
      </c>
      <c r="K136" s="183">
        <v>13147</v>
      </c>
      <c r="M136" s="364">
        <f t="shared" si="34"/>
        <v>7.3119630756096257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490">
        <f>'[5]Sch C'!D138</f>
        <v>957998</v>
      </c>
      <c r="D137" s="490">
        <f>'[5]Sch C'!F138</f>
        <v>46570</v>
      </c>
      <c r="E137" s="171">
        <f t="shared" si="36"/>
        <v>1004568</v>
      </c>
      <c r="F137" s="171"/>
      <c r="G137" s="171">
        <f>E137+F137</f>
        <v>1004568</v>
      </c>
      <c r="H137" s="172">
        <f>IF($G$208=0,0,G137/$G$208)</f>
        <v>0.10711173796943113</v>
      </c>
      <c r="I137" s="337"/>
      <c r="J137" s="183">
        <v>82127</v>
      </c>
      <c r="K137" s="183">
        <v>94066</v>
      </c>
      <c r="M137" s="364">
        <f t="shared" si="34"/>
        <v>26.801344645429808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490">
        <f>'[5]Sch C'!D139</f>
        <v>46570</v>
      </c>
      <c r="D138" s="490">
        <f>'[5]Sch C'!F139</f>
        <v>-46570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7"/>
      <c r="J138" s="183">
        <v>0</v>
      </c>
      <c r="K138" s="183">
        <v>0</v>
      </c>
      <c r="M138" s="364">
        <f t="shared" si="34"/>
        <v>0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7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490">
        <f>'[5]Sch C'!D141</f>
        <v>394364</v>
      </c>
      <c r="D140" s="490">
        <f>'[5]Sch C'!F141</f>
        <v>-220905</v>
      </c>
      <c r="E140" s="171">
        <f t="shared" ref="E140:E143" si="37">C140+D140</f>
        <v>173459</v>
      </c>
      <c r="F140" s="171"/>
      <c r="G140" s="171">
        <f>E140+F140</f>
        <v>173459</v>
      </c>
      <c r="H140" s="172">
        <f>IF($G$208=0,0,G140/$G$208)</f>
        <v>1.8495009751892909E-2</v>
      </c>
      <c r="I140" s="337"/>
      <c r="J140" s="168"/>
      <c r="K140" s="168"/>
      <c r="M140" s="364">
        <f t="shared" si="34"/>
        <v>4.6277946747772267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490">
        <f>'[5]Sch C'!D142</f>
        <v>0</v>
      </c>
      <c r="D141" s="490">
        <f>'[5]Sch C'!F142</f>
        <v>47350</v>
      </c>
      <c r="E141" s="171">
        <f t="shared" si="37"/>
        <v>47350</v>
      </c>
      <c r="F141" s="171"/>
      <c r="G141" s="171">
        <f>E141+F141</f>
        <v>47350</v>
      </c>
      <c r="H141" s="172">
        <f>IF($G$208=0,0,G141/$G$208)</f>
        <v>5.0486784297853046E-3</v>
      </c>
      <c r="I141" s="337"/>
      <c r="J141" s="168"/>
      <c r="K141" s="168"/>
      <c r="M141" s="364">
        <f t="shared" si="34"/>
        <v>1.2632730377247745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490">
        <f>'[5]Sch C'!D143</f>
        <v>0</v>
      </c>
      <c r="D142" s="490">
        <f>'[5]Sch C'!F143</f>
        <v>173555</v>
      </c>
      <c r="E142" s="171">
        <f t="shared" si="37"/>
        <v>173555</v>
      </c>
      <c r="F142" s="171"/>
      <c r="G142" s="171">
        <f>E142+F142</f>
        <v>173555</v>
      </c>
      <c r="H142" s="172">
        <f>IF($G$208=0,0,G142/$G$208)</f>
        <v>1.850524572083186E-2</v>
      </c>
      <c r="I142" s="337"/>
      <c r="J142" s="168"/>
      <c r="K142" s="168"/>
      <c r="M142" s="364">
        <f t="shared" si="34"/>
        <v>4.6303559041673337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490">
        <f>'[5]Sch C'!D144</f>
        <v>0</v>
      </c>
      <c r="D143" s="490">
        <f>'[5]Sch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7"/>
      <c r="J143" s="168"/>
      <c r="K143" s="168"/>
      <c r="M143" s="364">
        <f t="shared" si="34"/>
        <v>0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7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490">
        <f>'[5]Sch C'!D146</f>
        <v>50400</v>
      </c>
      <c r="D145" s="490">
        <f>'[5]Sch C'!F146</f>
        <v>0</v>
      </c>
      <c r="E145" s="171">
        <f t="shared" ref="E145:E153" si="38">C145+D145</f>
        <v>50400</v>
      </c>
      <c r="F145" s="171"/>
      <c r="G145" s="171">
        <f t="shared" ref="G145:G153" si="39">E145+F145</f>
        <v>50400</v>
      </c>
      <c r="H145" s="172">
        <f t="shared" ref="H145:H153" si="40">IF($G$208=0,0,G145/$G$208)</f>
        <v>5.3738836929499339E-3</v>
      </c>
      <c r="I145" s="337"/>
      <c r="J145" s="183">
        <v>182</v>
      </c>
      <c r="K145" s="183">
        <v>182</v>
      </c>
      <c r="M145" s="364">
        <f t="shared" si="34"/>
        <v>1.3446454298063071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490">
        <f>'[5]Sch C'!D147</f>
        <v>0</v>
      </c>
      <c r="D146" s="490">
        <f>'[5]Sch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337"/>
      <c r="J146" s="183">
        <v>0</v>
      </c>
      <c r="K146" s="183">
        <v>0</v>
      </c>
      <c r="M146" s="364">
        <f t="shared" si="34"/>
        <v>0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490">
        <f>'[5]Sch C'!D148</f>
        <v>0</v>
      </c>
      <c r="D147" s="490">
        <f>'[5]Sch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7"/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490">
        <f>'[5]Sch C'!D149</f>
        <v>0</v>
      </c>
      <c r="D148" s="490">
        <f>'[5]Sch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7"/>
      <c r="J148" s="183">
        <v>0</v>
      </c>
      <c r="K148" s="183">
        <v>0</v>
      </c>
      <c r="M148" s="364">
        <f t="shared" si="34"/>
        <v>0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490">
        <f>'[5]Sch C'!D150</f>
        <v>1627</v>
      </c>
      <c r="D149" s="490">
        <f>'[5]Sch C'!F150</f>
        <v>0</v>
      </c>
      <c r="E149" s="171">
        <f t="shared" si="38"/>
        <v>1627</v>
      </c>
      <c r="F149" s="171"/>
      <c r="G149" s="171">
        <f t="shared" si="39"/>
        <v>1627</v>
      </c>
      <c r="H149" s="172">
        <f t="shared" si="40"/>
        <v>1.7347834857995122E-4</v>
      </c>
      <c r="I149" s="337"/>
      <c r="J149" s="183">
        <v>0</v>
      </c>
      <c r="K149" s="183">
        <v>0</v>
      </c>
      <c r="M149" s="364">
        <f t="shared" si="34"/>
        <v>4.3407502267755187E-2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490">
        <f>'[5]Sch C'!D151</f>
        <v>235403</v>
      </c>
      <c r="D150" s="490">
        <f>'[5]Sch C'!F151</f>
        <v>-10439</v>
      </c>
      <c r="E150" s="171">
        <f t="shared" si="38"/>
        <v>224964</v>
      </c>
      <c r="F150" s="171"/>
      <c r="G150" s="171">
        <f t="shared" si="39"/>
        <v>224964</v>
      </c>
      <c r="H150" s="172">
        <f t="shared" si="40"/>
        <v>2.398671371231724E-2</v>
      </c>
      <c r="I150" s="337"/>
      <c r="J150" s="168"/>
      <c r="K150" s="168"/>
      <c r="M150" s="364">
        <f t="shared" si="34"/>
        <v>6.0019209220425802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490">
        <f>'[5]Sch C'!D152</f>
        <v>9093</v>
      </c>
      <c r="D151" s="490">
        <f>'[5]Sch C'!F152</f>
        <v>-112</v>
      </c>
      <c r="E151" s="171">
        <f t="shared" si="38"/>
        <v>8981</v>
      </c>
      <c r="F151" s="171"/>
      <c r="G151" s="171">
        <f t="shared" si="39"/>
        <v>8981</v>
      </c>
      <c r="H151" s="172">
        <f t="shared" si="40"/>
        <v>9.5759621917427293E-4</v>
      </c>
      <c r="I151" s="337"/>
      <c r="J151" s="168"/>
      <c r="K151" s="168"/>
      <c r="M151" s="364">
        <f t="shared" si="34"/>
        <v>0.23960834533909611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490">
        <f>'[5]Sch C'!D153</f>
        <v>0</v>
      </c>
      <c r="D152" s="490">
        <f>'[5]Sch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7"/>
      <c r="J152" s="168"/>
      <c r="K152" s="168"/>
      <c r="M152" s="364">
        <f t="shared" si="34"/>
        <v>0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490">
        <f>'[5]Sch C'!D154</f>
        <v>0</v>
      </c>
      <c r="D153" s="490">
        <f>'[5]Sch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210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490">
        <f>'[5]Sch C'!D156</f>
        <v>0</v>
      </c>
      <c r="D155" s="490">
        <f>'[5]Sch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490">
        <f>'[5]Sch C'!D157</f>
        <v>0</v>
      </c>
      <c r="D156" s="490">
        <f>'[5]Sch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490">
        <f>'[5]Sch C'!D158</f>
        <v>0</v>
      </c>
      <c r="D157" s="490">
        <f>'[5]Sch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7"/>
      <c r="J157" s="168"/>
      <c r="K157" s="168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490">
        <f>'[5]Sch C'!D159</f>
        <v>0</v>
      </c>
      <c r="D158" s="490">
        <f>'[5]Sch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490">
        <f>'[5]Sch C'!D160</f>
        <v>0</v>
      </c>
      <c r="D159" s="490">
        <f>'[5]Sch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7"/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490">
        <f>'[5]Sch C'!D161</f>
        <v>21071</v>
      </c>
      <c r="D160" s="490">
        <f>'[5]Sch C'!F161</f>
        <v>-888</v>
      </c>
      <c r="E160" s="171">
        <f t="shared" si="41"/>
        <v>20183</v>
      </c>
      <c r="F160" s="171"/>
      <c r="G160" s="171">
        <f t="shared" si="42"/>
        <v>20183</v>
      </c>
      <c r="H160" s="172">
        <f t="shared" si="43"/>
        <v>2.152005844738264E-3</v>
      </c>
      <c r="I160" s="337"/>
      <c r="J160" s="168"/>
      <c r="K160" s="168"/>
      <c r="M160" s="364">
        <f t="shared" si="34"/>
        <v>0.53847179979723603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490">
        <f>SUM(C123:C160)</f>
        <v>3387345</v>
      </c>
      <c r="D161" s="490">
        <f>SUM(D123:D160)</f>
        <v>-11439</v>
      </c>
      <c r="E161" s="171">
        <f t="shared" ref="E161:F161" si="44">SUM(E123:E160)</f>
        <v>3375906</v>
      </c>
      <c r="F161" s="171">
        <f t="shared" si="44"/>
        <v>0</v>
      </c>
      <c r="G161" s="171">
        <f>SUM(G123:G160)</f>
        <v>3375906</v>
      </c>
      <c r="H161" s="172">
        <f t="shared" si="43"/>
        <v>0.35995488496690159</v>
      </c>
      <c r="I161" s="337"/>
      <c r="J161" s="168"/>
      <c r="K161" s="168"/>
      <c r="M161" s="364">
        <f>G161/G$228</f>
        <v>90.067392348327203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337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7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490">
        <f>'[5]Sch C'!D175</f>
        <v>0</v>
      </c>
      <c r="D164" s="490">
        <f>'[5]Sch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490">
        <f>'[5]Sch C'!D176</f>
        <v>0</v>
      </c>
      <c r="D165" s="490">
        <f>'[5]Sch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490">
        <f>'[5]Sch C'!D177</f>
        <v>68</v>
      </c>
      <c r="D166" s="490">
        <f>'[5]Sch C'!F177</f>
        <v>0</v>
      </c>
      <c r="E166" s="171">
        <f t="shared" si="45"/>
        <v>68</v>
      </c>
      <c r="F166" s="216"/>
      <c r="G166" s="171">
        <f t="shared" si="46"/>
        <v>68</v>
      </c>
      <c r="H166" s="172">
        <f t="shared" si="47"/>
        <v>7.2504779984245137E-6</v>
      </c>
      <c r="I166" s="343"/>
      <c r="J166" s="217">
        <v>0</v>
      </c>
      <c r="K166" s="217">
        <v>0</v>
      </c>
      <c r="L166" s="218"/>
      <c r="M166" s="364">
        <f t="shared" si="48"/>
        <v>1.8142041513259698E-3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490">
        <f>'[5]Sch C'!D178</f>
        <v>0</v>
      </c>
      <c r="D167" s="490">
        <f>'[5]Sch C'!F178</f>
        <v>0</v>
      </c>
      <c r="E167" s="171">
        <f t="shared" si="45"/>
        <v>0</v>
      </c>
      <c r="F167" s="216"/>
      <c r="G167" s="171">
        <f t="shared" si="46"/>
        <v>0</v>
      </c>
      <c r="H167" s="172">
        <f t="shared" si="47"/>
        <v>0</v>
      </c>
      <c r="I167" s="344"/>
      <c r="J167" s="222"/>
      <c r="K167" s="222"/>
      <c r="L167" s="218"/>
      <c r="M167" s="364">
        <f t="shared" si="48"/>
        <v>0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490">
        <f>'[5]Sch C'!D179</f>
        <v>0</v>
      </c>
      <c r="D168" s="490">
        <f>'[5]Sch C'!F179</f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343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490">
        <f>'[5]Sch C'!D180</f>
        <v>0</v>
      </c>
      <c r="D169" s="490">
        <f>'[5]Sch C'!F180</f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344"/>
      <c r="J169" s="222"/>
      <c r="K169" s="222"/>
      <c r="L169" s="218"/>
      <c r="M169" s="364">
        <f t="shared" si="48"/>
        <v>0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490">
        <f>'[5]Sch C'!D181</f>
        <v>0</v>
      </c>
      <c r="D170" s="490">
        <f>'[5]Sch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3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490">
        <f>'[5]Sch C'!D182</f>
        <v>0</v>
      </c>
      <c r="D171" s="490">
        <f>'[5]Sch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490">
        <f>'[5]Sch C'!D183</f>
        <v>0</v>
      </c>
      <c r="D172" s="490">
        <f>'[5]Sch C'!F183</f>
        <v>0</v>
      </c>
      <c r="E172" s="171">
        <f t="shared" si="45"/>
        <v>0</v>
      </c>
      <c r="F172" s="216"/>
      <c r="G172" s="171">
        <f t="shared" si="46"/>
        <v>0</v>
      </c>
      <c r="H172" s="172">
        <f t="shared" si="47"/>
        <v>0</v>
      </c>
      <c r="I172" s="343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490">
        <f>'[5]Sch C'!D184</f>
        <v>0</v>
      </c>
      <c r="D173" s="490">
        <f>'[5]Sch C'!F184</f>
        <v>0</v>
      </c>
      <c r="E173" s="171">
        <f t="shared" si="45"/>
        <v>0</v>
      </c>
      <c r="F173" s="216"/>
      <c r="G173" s="171">
        <f t="shared" si="46"/>
        <v>0</v>
      </c>
      <c r="H173" s="172">
        <f t="shared" si="47"/>
        <v>0</v>
      </c>
      <c r="I173" s="344"/>
      <c r="J173" s="222"/>
      <c r="K173" s="222"/>
      <c r="L173" s="218"/>
      <c r="M173" s="364">
        <f t="shared" si="48"/>
        <v>0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490">
        <f>'[5]Sch C'!D185</f>
        <v>0</v>
      </c>
      <c r="D174" s="490">
        <f>'[5]Sch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3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490">
        <f>'[5]Sch C'!D186</f>
        <v>0</v>
      </c>
      <c r="D175" s="490">
        <f>'[5]Sch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490">
        <f>'[5]Sch C'!D187</f>
        <v>0</v>
      </c>
      <c r="D176" s="490">
        <f>'[5]Sch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490">
        <f>'[5]Sch C'!D188</f>
        <v>74</v>
      </c>
      <c r="D177" s="490">
        <f>'[5]Sch C'!F188</f>
        <v>0</v>
      </c>
      <c r="E177" s="171">
        <f t="shared" si="45"/>
        <v>74</v>
      </c>
      <c r="F177" s="216"/>
      <c r="G177" s="171">
        <f t="shared" si="46"/>
        <v>74</v>
      </c>
      <c r="H177" s="172">
        <f t="shared" si="47"/>
        <v>7.8902260571090303E-6</v>
      </c>
      <c r="I177" s="337"/>
      <c r="J177" s="223"/>
      <c r="K177" s="218"/>
      <c r="L177" s="220"/>
      <c r="M177" s="364">
        <f t="shared" si="48"/>
        <v>1.9742809882076729E-3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490">
        <f>'[5]Sch C'!D189</f>
        <v>0</v>
      </c>
      <c r="D178" s="490">
        <f>'[5]Sch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337"/>
      <c r="J178" s="223"/>
      <c r="K178" s="218"/>
      <c r="L178" s="220"/>
      <c r="M178" s="364">
        <f t="shared" si="48"/>
        <v>0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490">
        <f>'[5]Sch C'!D190</f>
        <v>0</v>
      </c>
      <c r="D179" s="490">
        <f>'[5]Sch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490">
        <f>'[5]Sch C'!D191</f>
        <v>0</v>
      </c>
      <c r="D180" s="490">
        <f>'[5]Sch C'!F191</f>
        <v>0</v>
      </c>
      <c r="E180" s="171">
        <f t="shared" si="45"/>
        <v>0</v>
      </c>
      <c r="F180" s="216"/>
      <c r="G180" s="171">
        <f t="shared" si="46"/>
        <v>0</v>
      </c>
      <c r="H180" s="172">
        <f t="shared" si="47"/>
        <v>0</v>
      </c>
      <c r="I180" s="337"/>
      <c r="J180" s="223"/>
      <c r="K180" s="218"/>
      <c r="L180" s="220"/>
      <c r="M180" s="364">
        <f t="shared" si="48"/>
        <v>0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490">
        <f>'[5]Sch C'!D192</f>
        <v>1808</v>
      </c>
      <c r="D181" s="490">
        <f>'[5]Sch C'!F192</f>
        <v>0</v>
      </c>
      <c r="E181" s="171">
        <f t="shared" si="45"/>
        <v>1808</v>
      </c>
      <c r="F181" s="216"/>
      <c r="G181" s="171">
        <f t="shared" si="46"/>
        <v>1808</v>
      </c>
      <c r="H181" s="172">
        <f t="shared" si="47"/>
        <v>1.9277741501693414E-4</v>
      </c>
      <c r="I181" s="337"/>
      <c r="J181" s="223"/>
      <c r="K181" s="218"/>
      <c r="L181" s="220"/>
      <c r="M181" s="364">
        <f t="shared" si="48"/>
        <v>4.8236486847019901E-2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490">
        <f>'[5]Sch C'!D193</f>
        <v>1051</v>
      </c>
      <c r="D182" s="490">
        <f>'[5]Sch C'!F193</f>
        <v>0</v>
      </c>
      <c r="E182" s="171">
        <f t="shared" si="45"/>
        <v>1051</v>
      </c>
      <c r="F182" s="216"/>
      <c r="G182" s="171">
        <f t="shared" si="46"/>
        <v>1051</v>
      </c>
      <c r="H182" s="172">
        <f t="shared" si="47"/>
        <v>1.1206253494623771E-4</v>
      </c>
      <c r="I182" s="337"/>
      <c r="J182" s="223"/>
      <c r="K182" s="218"/>
      <c r="L182" s="220"/>
      <c r="M182" s="364">
        <f t="shared" si="48"/>
        <v>2.8040125927111682E-2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490">
        <f>'[5]Sch C'!D194</f>
        <v>594241</v>
      </c>
      <c r="D183" s="490">
        <f>'[5]Sch C'!F194</f>
        <v>-21927</v>
      </c>
      <c r="E183" s="171">
        <f t="shared" si="45"/>
        <v>572314</v>
      </c>
      <c r="F183" s="216"/>
      <c r="G183" s="171">
        <f t="shared" si="46"/>
        <v>572314</v>
      </c>
      <c r="H183" s="172">
        <f t="shared" si="47"/>
        <v>6.1022795076328344E-2</v>
      </c>
      <c r="I183" s="337"/>
      <c r="J183" s="223"/>
      <c r="K183" s="218"/>
      <c r="M183" s="364">
        <f t="shared" si="48"/>
        <v>15.269035803852516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490">
        <f>'[5]Sch C'!D195</f>
        <v>188467</v>
      </c>
      <c r="D184" s="490">
        <f>'[5]Sch C'!F195</f>
        <v>-6954</v>
      </c>
      <c r="E184" s="171">
        <f t="shared" si="45"/>
        <v>181513</v>
      </c>
      <c r="F184" s="216"/>
      <c r="G184" s="171">
        <f t="shared" si="46"/>
        <v>181513</v>
      </c>
      <c r="H184" s="172">
        <f t="shared" si="47"/>
        <v>1.9353764896000422E-2</v>
      </c>
      <c r="I184" s="337"/>
      <c r="J184" s="223"/>
      <c r="K184" s="218"/>
      <c r="M184" s="364">
        <f t="shared" si="48"/>
        <v>4.8426711488180993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490">
        <f>'[5]Sch C'!D196</f>
        <v>0</v>
      </c>
      <c r="D185" s="490">
        <f>'[5]Sch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490">
        <f>'[5]Sch C'!D197</f>
        <v>494255</v>
      </c>
      <c r="D186" s="490">
        <f>'[5]Sch C'!F197</f>
        <v>-18238</v>
      </c>
      <c r="E186" s="171">
        <f t="shared" si="45"/>
        <v>476017</v>
      </c>
      <c r="F186" s="216"/>
      <c r="G186" s="171">
        <f t="shared" si="46"/>
        <v>476017</v>
      </c>
      <c r="H186" s="172">
        <f t="shared" si="47"/>
        <v>5.0755158608471206E-2</v>
      </c>
      <c r="I186" s="337"/>
      <c r="J186" s="223"/>
      <c r="K186" s="218"/>
      <c r="M186" s="364">
        <f t="shared" si="48"/>
        <v>12.699882610319619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490">
        <f>'[5]Sch C'!D198</f>
        <v>81821</v>
      </c>
      <c r="D187" s="490">
        <f>'[5]Sch C'!F198</f>
        <v>0</v>
      </c>
      <c r="E187" s="171">
        <f t="shared" si="45"/>
        <v>81821</v>
      </c>
      <c r="F187" s="216"/>
      <c r="G187" s="171">
        <f t="shared" si="46"/>
        <v>81821</v>
      </c>
      <c r="H187" s="172">
        <f t="shared" si="47"/>
        <v>8.7241376516042964E-3</v>
      </c>
      <c r="I187" s="337"/>
      <c r="J187" s="223"/>
      <c r="K187" s="218"/>
      <c r="M187" s="364">
        <f t="shared" si="48"/>
        <v>2.1829411450829732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490">
        <f>'[5]Sch C'!D199</f>
        <v>0</v>
      </c>
      <c r="D188" s="490">
        <f>'[5]Sch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7"/>
      <c r="J188" s="223"/>
      <c r="K188" s="218"/>
      <c r="M188" s="364">
        <f t="shared" si="48"/>
        <v>0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490">
        <f>'[5]Sch C'!D200</f>
        <v>0</v>
      </c>
      <c r="D189" s="490">
        <f>'[5]Sch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7"/>
      <c r="J189" s="223"/>
      <c r="K189" s="218"/>
      <c r="M189" s="364">
        <f t="shared" si="48"/>
        <v>0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490">
        <f>'[5]Sch C'!D201</f>
        <v>0</v>
      </c>
      <c r="D190" s="490">
        <f>'[5]Sch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7"/>
      <c r="J190" s="223"/>
      <c r="K190" s="218"/>
      <c r="M190" s="364">
        <f t="shared" si="48"/>
        <v>0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490">
        <f>'[5]Sch C'!D202</f>
        <v>0</v>
      </c>
      <c r="D191" s="490">
        <f>'[5]Sch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490">
        <f>'[5]Sch C'!D203</f>
        <v>0</v>
      </c>
      <c r="D192" s="490">
        <f>'[5]Sch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7"/>
      <c r="J192" s="223"/>
      <c r="K192" s="218"/>
      <c r="M192" s="364">
        <f t="shared" si="48"/>
        <v>0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490">
        <f>'[5]Sch C'!D204</f>
        <v>0</v>
      </c>
      <c r="D193" s="490">
        <f>'[5]Sch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490">
        <f>'[5]Sch C'!D205</f>
        <v>472390</v>
      </c>
      <c r="D194" s="490">
        <f>'[5]Sch C'!F205</f>
        <v>-30879</v>
      </c>
      <c r="E194" s="171">
        <f t="shared" si="45"/>
        <v>441511</v>
      </c>
      <c r="F194" s="216"/>
      <c r="G194" s="171">
        <f t="shared" si="46"/>
        <v>441511</v>
      </c>
      <c r="H194" s="172">
        <f t="shared" si="47"/>
        <v>4.7075967522976554E-2</v>
      </c>
      <c r="I194" s="337"/>
      <c r="J194" s="223"/>
      <c r="K194" s="218"/>
      <c r="M194" s="364">
        <f t="shared" si="48"/>
        <v>11.779280721412945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490">
        <f>'[5]Sch C'!D206</f>
        <v>4898</v>
      </c>
      <c r="D195" s="490">
        <f>'[5]Sch C'!F206</f>
        <v>0</v>
      </c>
      <c r="E195" s="171">
        <f t="shared" si="45"/>
        <v>4898</v>
      </c>
      <c r="F195" s="216"/>
      <c r="G195" s="171">
        <f t="shared" si="46"/>
        <v>4898</v>
      </c>
      <c r="H195" s="172">
        <f t="shared" si="47"/>
        <v>5.2224766523945986E-4</v>
      </c>
      <c r="I195" s="337"/>
      <c r="J195" s="223"/>
      <c r="K195" s="218"/>
      <c r="M195" s="364">
        <f t="shared" si="48"/>
        <v>0.13067605784109707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490">
        <f>'[5]Sch C'!D207</f>
        <v>0</v>
      </c>
      <c r="D196" s="490">
        <f>'[5]Sch C'!F207</f>
        <v>0</v>
      </c>
      <c r="E196" s="171">
        <f t="shared" si="45"/>
        <v>0</v>
      </c>
      <c r="F196" s="216"/>
      <c r="G196" s="171">
        <f t="shared" si="46"/>
        <v>0</v>
      </c>
      <c r="H196" s="172">
        <f t="shared" si="47"/>
        <v>0</v>
      </c>
      <c r="I196" s="337"/>
      <c r="J196" s="223"/>
      <c r="K196" s="218"/>
      <c r="M196" s="364">
        <f t="shared" si="48"/>
        <v>0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490">
        <f>SUM(C164:C196)</f>
        <v>1839073</v>
      </c>
      <c r="D197" s="490">
        <f>SUM(D164:D196)</f>
        <v>-77998</v>
      </c>
      <c r="E197" s="171">
        <f t="shared" ref="E197:F197" si="49">SUM(E164:E196)</f>
        <v>1761075</v>
      </c>
      <c r="F197" s="171">
        <f t="shared" si="49"/>
        <v>0</v>
      </c>
      <c r="G197" s="171">
        <f>SUM(G164:G196)</f>
        <v>1761075</v>
      </c>
      <c r="H197" s="172">
        <f>IF($G$208=0,0,G197/$G$208)</f>
        <v>0.18777405207463899</v>
      </c>
      <c r="I197" s="337"/>
      <c r="J197" s="168"/>
      <c r="K197" s="168"/>
      <c r="M197" s="364">
        <f>G197/G$228</f>
        <v>46.984552585240912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165"/>
      <c r="G198" s="165"/>
      <c r="H198" s="198"/>
      <c r="I198" s="341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1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490">
        <f>'[5]Sch C'!D211</f>
        <v>146282</v>
      </c>
      <c r="D200" s="490">
        <f>'[5]Sch C'!F211</f>
        <v>0</v>
      </c>
      <c r="E200" s="171">
        <f t="shared" ref="E200:E205" si="50">C200+D200</f>
        <v>146282</v>
      </c>
      <c r="F200" s="171"/>
      <c r="G200" s="171">
        <f t="shared" ref="G200:G205" si="51">E200+F200</f>
        <v>146282</v>
      </c>
      <c r="H200" s="172">
        <f t="shared" ref="H200:H206" si="52">IF($G$208=0,0,G200/$G$208)</f>
        <v>1.5597270920081393E-2</v>
      </c>
      <c r="I200" s="337"/>
      <c r="J200" s="183">
        <v>8567</v>
      </c>
      <c r="K200" s="183">
        <v>9262</v>
      </c>
      <c r="M200" s="364">
        <f t="shared" ref="M200:M205" si="53">G200/G$228</f>
        <v>3.9027266421215518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490">
        <f>'[5]Sch C'!D212</f>
        <v>28939</v>
      </c>
      <c r="D201" s="490">
        <f>'[5]Sch C'!F212</f>
        <v>0</v>
      </c>
      <c r="E201" s="171">
        <f t="shared" si="50"/>
        <v>28939</v>
      </c>
      <c r="F201" s="171"/>
      <c r="G201" s="171">
        <f t="shared" si="51"/>
        <v>28939</v>
      </c>
      <c r="H201" s="172">
        <f t="shared" si="52"/>
        <v>3.0856115117118676E-3</v>
      </c>
      <c r="I201" s="337"/>
      <c r="J201" s="168"/>
      <c r="K201" s="168"/>
      <c r="M201" s="364">
        <f t="shared" si="53"/>
        <v>0.77207726375326824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490">
        <f>'[5]Sch C'!D213</f>
        <v>9808</v>
      </c>
      <c r="D202" s="490">
        <f>'[5]Sch C'!F213</f>
        <v>0</v>
      </c>
      <c r="E202" s="171">
        <f t="shared" si="50"/>
        <v>9808</v>
      </c>
      <c r="F202" s="171"/>
      <c r="G202" s="171">
        <f t="shared" si="51"/>
        <v>9808</v>
      </c>
      <c r="H202" s="172">
        <f t="shared" si="52"/>
        <v>1.0457748265962888E-3</v>
      </c>
      <c r="I202" s="337"/>
      <c r="J202" s="168"/>
      <c r="K202" s="168"/>
      <c r="M202" s="364">
        <f t="shared" si="53"/>
        <v>0.2616722693559575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490">
        <f>'[5]Sch C'!D214</f>
        <v>0</v>
      </c>
      <c r="D203" s="490">
        <f>'[5]Sch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>
        <f t="shared" si="53"/>
        <v>0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490">
        <f>'[5]Sch C'!D215</f>
        <v>0</v>
      </c>
      <c r="D204" s="490">
        <f>'[5]Sch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490">
        <f>'[5]Sch C'!D216</f>
        <v>2227</v>
      </c>
      <c r="D205" s="490">
        <f>'[5]Sch C'!F216</f>
        <v>0</v>
      </c>
      <c r="E205" s="171">
        <f t="shared" si="50"/>
        <v>2227</v>
      </c>
      <c r="F205" s="171"/>
      <c r="G205" s="171">
        <f t="shared" si="51"/>
        <v>2227</v>
      </c>
      <c r="H205" s="172">
        <f t="shared" si="52"/>
        <v>2.3745315444840282E-4</v>
      </c>
      <c r="I205" s="337"/>
      <c r="J205" s="168"/>
      <c r="K205" s="168"/>
      <c r="M205" s="364">
        <f t="shared" si="53"/>
        <v>5.9415185955925508E-2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490">
        <f>SUM(C200:C205)</f>
        <v>187256</v>
      </c>
      <c r="D206" s="490">
        <f>SUM(D200:D205)</f>
        <v>0</v>
      </c>
      <c r="E206" s="171">
        <f t="shared" ref="E206:F206" si="54">SUM(E200:E205)</f>
        <v>187256</v>
      </c>
      <c r="F206" s="171">
        <f t="shared" si="54"/>
        <v>0</v>
      </c>
      <c r="G206" s="171">
        <f>SUM(G200:G205)</f>
        <v>187256</v>
      </c>
      <c r="H206" s="172">
        <f t="shared" si="52"/>
        <v>1.9966110412837954E-2</v>
      </c>
      <c r="I206" s="337"/>
      <c r="J206" s="168"/>
      <c r="K206" s="168"/>
      <c r="M206" s="364">
        <f>G206/G$228</f>
        <v>4.9958913611867031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490">
        <f>SUM(C25:C206)/2</f>
        <v>9678602</v>
      </c>
      <c r="D208" s="490">
        <f>SUM(D25:D206)/2</f>
        <v>-299910</v>
      </c>
      <c r="E208" s="171">
        <f t="shared" ref="E208:F208" si="55">SUM(E25:E206)/2</f>
        <v>9378692</v>
      </c>
      <c r="F208" s="171">
        <f t="shared" si="55"/>
        <v>0</v>
      </c>
      <c r="G208" s="171">
        <f>SUM(G25:G206)/2</f>
        <v>9378692</v>
      </c>
      <c r="H208" s="172">
        <f>IF($G$208=0,0,G208/$G$208)</f>
        <v>1</v>
      </c>
      <c r="I208" s="337"/>
      <c r="J208" s="183">
        <f>SUM(J25:J200)</f>
        <v>196708</v>
      </c>
      <c r="K208" s="183">
        <f>SUM(K25:K200)</f>
        <v>218663</v>
      </c>
      <c r="M208" s="364">
        <f>G208/G$228</f>
        <v>250.21855824128914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490">
        <f>'[5]Sch C'!D221</f>
        <v>9678602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490">
        <f>C208-C211</f>
        <v>0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585"/>
      <c r="D213" s="232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490">
        <f>C21-C208</f>
        <v>269175</v>
      </c>
      <c r="D215" s="490">
        <f>D21-D208</f>
        <v>286276</v>
      </c>
      <c r="E215" s="171">
        <f t="shared" ref="E215:F215" si="56">E21-E208</f>
        <v>555451</v>
      </c>
      <c r="F215" s="171">
        <f t="shared" si="56"/>
        <v>0</v>
      </c>
      <c r="G215" s="171">
        <f>G21-G208</f>
        <v>555451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491">
        <f>'[5]Sch D'!C9</f>
        <v>21051</v>
      </c>
      <c r="D219" s="491"/>
      <c r="E219" s="235">
        <f t="shared" ref="E219:G227" si="57">C219+D219</f>
        <v>21051</v>
      </c>
      <c r="F219" s="234"/>
      <c r="G219" s="235">
        <f t="shared" si="57"/>
        <v>21051</v>
      </c>
      <c r="H219" s="172">
        <f t="shared" ref="H219:H228" si="58">IF($G$228=0,0,G219/$G$228)</f>
        <v>0.56162958219945569</v>
      </c>
      <c r="I219" s="337"/>
      <c r="J219" s="168"/>
      <c r="K219" s="168"/>
    </row>
    <row r="220" spans="1:14">
      <c r="A220" s="163"/>
      <c r="B220" s="170" t="s">
        <v>217</v>
      </c>
      <c r="C220" s="491">
        <f>'[5]Sch D'!D9</f>
        <v>0</v>
      </c>
      <c r="D220" s="491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7"/>
      <c r="J220" s="168"/>
      <c r="K220" s="168"/>
    </row>
    <row r="221" spans="1:14">
      <c r="A221" s="163"/>
      <c r="B221" s="170" t="s">
        <v>72</v>
      </c>
      <c r="C221" s="491">
        <f>'[5]Sch D'!E9</f>
        <v>4301</v>
      </c>
      <c r="D221" s="491"/>
      <c r="E221" s="235">
        <f t="shared" si="59"/>
        <v>4301</v>
      </c>
      <c r="F221" s="234"/>
      <c r="G221" s="235">
        <f t="shared" si="57"/>
        <v>4301</v>
      </c>
      <c r="H221" s="172">
        <f t="shared" si="58"/>
        <v>0.11474841257136759</v>
      </c>
      <c r="I221" s="337"/>
      <c r="J221" s="168"/>
      <c r="K221" s="168"/>
    </row>
    <row r="222" spans="1:14">
      <c r="A222" s="163"/>
      <c r="B222" s="202" t="s">
        <v>334</v>
      </c>
      <c r="C222" s="491">
        <f>'[5]Sch D'!F9</f>
        <v>5116</v>
      </c>
      <c r="D222" s="491"/>
      <c r="E222" s="235">
        <f>C222+D222</f>
        <v>5116</v>
      </c>
      <c r="F222" s="234"/>
      <c r="G222" s="235">
        <f>E222+F222</f>
        <v>5116</v>
      </c>
      <c r="H222" s="172">
        <f t="shared" si="58"/>
        <v>0.1364921829144656</v>
      </c>
      <c r="I222" s="337"/>
      <c r="J222" s="168"/>
      <c r="K222" s="168"/>
    </row>
    <row r="223" spans="1:14">
      <c r="A223" s="163"/>
      <c r="B223" s="170" t="s">
        <v>73</v>
      </c>
      <c r="C223" s="491">
        <f>'[5]Sch D'!G9</f>
        <v>0</v>
      </c>
      <c r="D223" s="491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7"/>
      <c r="J223" s="168"/>
      <c r="K223" s="168"/>
    </row>
    <row r="224" spans="1:14">
      <c r="A224" s="163"/>
      <c r="B224" s="170" t="s">
        <v>74</v>
      </c>
      <c r="C224" s="491">
        <f>'[5]Sch D'!H9</f>
        <v>2017</v>
      </c>
      <c r="D224" s="491"/>
      <c r="E224" s="235">
        <f t="shared" si="59"/>
        <v>2017</v>
      </c>
      <c r="F224" s="234"/>
      <c r="G224" s="235">
        <f t="shared" si="57"/>
        <v>2017</v>
      </c>
      <c r="H224" s="172">
        <f t="shared" si="58"/>
        <v>5.38124966650659E-2</v>
      </c>
      <c r="I224" s="337"/>
      <c r="J224" s="168"/>
      <c r="K224" s="168"/>
    </row>
    <row r="225" spans="1:11">
      <c r="A225" s="163"/>
      <c r="B225" s="170" t="s">
        <v>236</v>
      </c>
      <c r="C225" s="491">
        <f>'[5]Sch D'!I9</f>
        <v>3377</v>
      </c>
      <c r="D225" s="491"/>
      <c r="E225" s="235">
        <f t="shared" si="59"/>
        <v>3377</v>
      </c>
      <c r="F225" s="234"/>
      <c r="G225" s="235">
        <f t="shared" si="57"/>
        <v>3377</v>
      </c>
      <c r="H225" s="172">
        <f t="shared" si="58"/>
        <v>9.0096579691585299E-2</v>
      </c>
      <c r="I225" s="337"/>
      <c r="J225" s="168"/>
      <c r="K225" s="168"/>
    </row>
    <row r="226" spans="1:11">
      <c r="A226" s="163"/>
      <c r="B226" s="170" t="s">
        <v>235</v>
      </c>
      <c r="C226" s="491">
        <f>'[5]Sch D'!J9</f>
        <v>0</v>
      </c>
      <c r="D226" s="491"/>
      <c r="E226" s="235">
        <f>C226+D226</f>
        <v>0</v>
      </c>
      <c r="F226" s="234"/>
      <c r="G226" s="235">
        <f>E226+F226</f>
        <v>0</v>
      </c>
      <c r="H226" s="172">
        <f t="shared" si="58"/>
        <v>0</v>
      </c>
      <c r="I226" s="337"/>
      <c r="J226" s="168"/>
      <c r="K226" s="168"/>
    </row>
    <row r="227" spans="1:11">
      <c r="A227" s="163"/>
      <c r="B227" s="170" t="s">
        <v>179</v>
      </c>
      <c r="C227" s="491">
        <f>'[5]Sch D'!K9</f>
        <v>1620</v>
      </c>
      <c r="D227" s="491"/>
      <c r="E227" s="235">
        <f t="shared" si="59"/>
        <v>1620</v>
      </c>
      <c r="F227" s="234"/>
      <c r="G227" s="235">
        <f t="shared" si="57"/>
        <v>1620</v>
      </c>
      <c r="H227" s="172">
        <f t="shared" si="58"/>
        <v>4.3220745958059865E-2</v>
      </c>
      <c r="I227" s="337"/>
      <c r="J227" s="168"/>
      <c r="K227" s="168"/>
    </row>
    <row r="228" spans="1:11" ht="13.5" thickBot="1">
      <c r="A228" s="163"/>
      <c r="B228" s="236" t="s">
        <v>75</v>
      </c>
      <c r="C228" s="491">
        <f>SUM(C219:C227)</f>
        <v>37482</v>
      </c>
      <c r="D228" s="491">
        <f>SUM(D219:D227)</f>
        <v>0</v>
      </c>
      <c r="E228" s="237">
        <f>SUM(E219:E227)</f>
        <v>37482</v>
      </c>
      <c r="F228" s="237">
        <f>SUM(F219:F227)</f>
        <v>0</v>
      </c>
      <c r="G228" s="237">
        <f>SUM(G219:G227)</f>
        <v>37482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586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585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492">
        <f>'[5]Sch D'!N22</f>
        <v>120</v>
      </c>
      <c r="D231" s="526"/>
      <c r="E231" s="235">
        <f>C231+D231</f>
        <v>120</v>
      </c>
      <c r="F231" s="235"/>
      <c r="G231" s="235">
        <f>E231+F231</f>
        <v>120</v>
      </c>
      <c r="H231" s="167"/>
      <c r="J231" s="168"/>
      <c r="K231" s="168"/>
    </row>
    <row r="232" spans="1:11">
      <c r="A232" s="163"/>
      <c r="B232" s="202" t="s">
        <v>290</v>
      </c>
      <c r="C232" s="492">
        <f>'[5]Sch D'!N24</f>
        <v>120</v>
      </c>
      <c r="D232" s="526"/>
      <c r="E232" s="235">
        <f>C232+D232</f>
        <v>120</v>
      </c>
      <c r="F232" s="235"/>
      <c r="G232" s="235">
        <f>E232+F232</f>
        <v>120</v>
      </c>
      <c r="H232" s="167"/>
      <c r="J232" s="168"/>
      <c r="K232" s="168"/>
    </row>
    <row r="233" spans="1:11">
      <c r="A233" s="163"/>
      <c r="B233" s="202" t="s">
        <v>76</v>
      </c>
      <c r="C233" s="492">
        <f>$C$4-$C$3+1</f>
        <v>365</v>
      </c>
      <c r="D233" s="489"/>
      <c r="E233" s="235">
        <f>C233+D233</f>
        <v>365</v>
      </c>
      <c r="F233" s="240"/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587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492">
        <f>'[5]Sch D'!N28</f>
        <v>43800</v>
      </c>
      <c r="D235" s="489"/>
      <c r="E235" s="234">
        <f>E231*E233</f>
        <v>43800</v>
      </c>
      <c r="F235" s="240"/>
      <c r="G235" s="234">
        <f>G231*G233</f>
        <v>43800</v>
      </c>
      <c r="H235" s="167"/>
      <c r="J235" s="168"/>
      <c r="K235" s="168"/>
    </row>
    <row r="236" spans="1:11" ht="26">
      <c r="A236" s="163"/>
      <c r="B236" s="244" t="s">
        <v>336</v>
      </c>
      <c r="C236" s="493">
        <f>'[5]Sch D'!N30</f>
        <v>0.85575342465753423</v>
      </c>
      <c r="D236" s="240"/>
      <c r="E236" s="245">
        <f>E228/E235</f>
        <v>0.85575342465753423</v>
      </c>
      <c r="F236" s="246"/>
      <c r="G236" s="245">
        <f>G228/G235</f>
        <v>0.85575342465753423</v>
      </c>
      <c r="H236" s="167"/>
      <c r="J236" s="168"/>
      <c r="K236" s="168"/>
    </row>
    <row r="237" spans="1:11" ht="26">
      <c r="A237" s="163"/>
      <c r="B237" s="244" t="s">
        <v>337</v>
      </c>
      <c r="C237" s="493">
        <f>'[5]Sch D'!N32</f>
        <v>0.48061643835616441</v>
      </c>
      <c r="D237" s="240"/>
      <c r="E237" s="245">
        <f>(E219+E220)/E235</f>
        <v>0.48061643835616441</v>
      </c>
      <c r="F237" s="246"/>
      <c r="G237" s="245">
        <f>(G219+G220)/G235</f>
        <v>0.48061643835616441</v>
      </c>
      <c r="H237" s="167"/>
      <c r="J237" s="168"/>
      <c r="K237" s="168"/>
    </row>
    <row r="238" spans="1:11" ht="26">
      <c r="A238" s="163"/>
      <c r="B238" s="244" t="s">
        <v>338</v>
      </c>
      <c r="C238" s="493">
        <f>'[5]Sch D'!N34</f>
        <v>0.5616295821994558</v>
      </c>
      <c r="D238" s="240"/>
      <c r="E238" s="245">
        <f>(E237/E236)</f>
        <v>0.5616295821994558</v>
      </c>
      <c r="F238" s="246"/>
      <c r="G238" s="245">
        <f>(G237/G236)</f>
        <v>0.5616295821994558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490">
        <f>'[5]Sch B'!C85</f>
        <v>187.71428571428572</v>
      </c>
    </row>
    <row r="242" spans="2:7">
      <c r="F242" s="142" t="s">
        <v>341</v>
      </c>
      <c r="G242" s="490">
        <f>'[5]Sch B'!E85</f>
        <v>187.71428571428572</v>
      </c>
    </row>
    <row r="243" spans="2:7">
      <c r="F243" s="142" t="s">
        <v>342</v>
      </c>
      <c r="G243" s="490">
        <f>'[5]Sch B'!G85</f>
        <v>187.71501272264632</v>
      </c>
    </row>
    <row r="244" spans="2:7">
      <c r="F244" s="142" t="s">
        <v>343</v>
      </c>
      <c r="G244" s="490">
        <f>'[5]Sch B'!I85</f>
        <v>187.71208791208792</v>
      </c>
    </row>
    <row r="245" spans="2:7">
      <c r="F245" s="142"/>
    </row>
  </sheetData>
  <customSheetViews>
    <customSheetView guid="{8B6AA640-12E9-11D5-ABB1-E7A21A3D4A14}" showGridLines="0" showRuler="0">
      <selection activeCell="B90" sqref="B90"/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F9" sqref="F9"/>
      <pageMargins left="0" right="0" top="0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E28CAB"/>
  </sheetPr>
  <dimension ref="A1:Q245"/>
  <sheetViews>
    <sheetView workbookViewId="0">
      <selection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478"/>
      <c r="E1" s="478"/>
      <c r="F1" s="478"/>
      <c r="G1" s="478"/>
      <c r="H1" s="478"/>
      <c r="I1" s="479"/>
    </row>
    <row r="2" spans="1:14" ht="23">
      <c r="B2" s="143" t="s">
        <v>189</v>
      </c>
      <c r="C2" s="247" t="s">
        <v>439</v>
      </c>
      <c r="D2" s="144"/>
      <c r="E2" s="144"/>
    </row>
    <row r="3" spans="1:14">
      <c r="A3" s="145"/>
      <c r="B3" s="140" t="s">
        <v>79</v>
      </c>
      <c r="C3" s="495">
        <v>41821</v>
      </c>
      <c r="D3" s="144"/>
      <c r="E3" s="147"/>
      <c r="F3" s="465" t="s">
        <v>643</v>
      </c>
    </row>
    <row r="4" spans="1:14">
      <c r="A4" s="145"/>
      <c r="B4" s="148" t="s">
        <v>80</v>
      </c>
      <c r="C4" s="495">
        <v>42185</v>
      </c>
      <c r="D4" s="144"/>
      <c r="E4" s="149"/>
      <c r="F4" s="465" t="s">
        <v>641</v>
      </c>
      <c r="G4" s="150"/>
    </row>
    <row r="5" spans="1:14">
      <c r="A5" s="145"/>
      <c r="B5" s="148"/>
      <c r="C5" s="151"/>
      <c r="D5" s="144"/>
      <c r="F5" s="465" t="s">
        <v>642</v>
      </c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144"/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490">
        <f>'[49]Sch B'!E10</f>
        <v>443032</v>
      </c>
      <c r="D11" s="490">
        <f>'[49]Sch B'!G10</f>
        <v>0</v>
      </c>
      <c r="E11" s="171">
        <f>C11+D11</f>
        <v>443032</v>
      </c>
      <c r="F11" s="171"/>
      <c r="G11" s="171">
        <f t="shared" ref="G11:G20" si="0">E11+F11</f>
        <v>443032</v>
      </c>
      <c r="H11" s="172">
        <f t="shared" ref="H11:H21" si="1">IF($G$21=0,0,G11/$G$21)</f>
        <v>4.1221531865710877E-2</v>
      </c>
      <c r="I11" s="337"/>
      <c r="J11" s="368" t="s">
        <v>344</v>
      </c>
      <c r="K11" s="369">
        <f>G21</f>
        <v>10747587</v>
      </c>
      <c r="M11" s="359">
        <f>IFERROR(G11/G219,0)</f>
        <v>170.65947611710322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490">
        <f>'[49]Sch B'!E15</f>
        <v>0</v>
      </c>
      <c r="D12" s="490">
        <f>'[49]Sch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7"/>
      <c r="J12" s="370" t="s">
        <v>345</v>
      </c>
      <c r="K12" s="371">
        <f>G208</f>
        <v>9466502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490">
        <f>'[49]Sch B'!E21</f>
        <v>1521838</v>
      </c>
      <c r="D13" s="490">
        <f>'[49]Sch B'!G21</f>
        <v>0</v>
      </c>
      <c r="E13" s="171">
        <f t="shared" si="2"/>
        <v>1521838</v>
      </c>
      <c r="F13" s="171"/>
      <c r="G13" s="171">
        <f t="shared" si="0"/>
        <v>1521838</v>
      </c>
      <c r="H13" s="172">
        <f t="shared" si="1"/>
        <v>0.14159810941749065</v>
      </c>
      <c r="I13" s="337"/>
      <c r="J13" s="370" t="s">
        <v>346</v>
      </c>
      <c r="K13" s="371">
        <f>G228</f>
        <v>42349</v>
      </c>
      <c r="M13" s="359">
        <f t="shared" si="3"/>
        <v>603.66441888139627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490">
        <f>'[49]Sch B'!E27</f>
        <v>277483</v>
      </c>
      <c r="D14" s="490">
        <f>'[49]Sch B'!G27</f>
        <v>0</v>
      </c>
      <c r="E14" s="171">
        <f t="shared" si="2"/>
        <v>277483</v>
      </c>
      <c r="F14" s="175"/>
      <c r="G14" s="175">
        <f>E14+F14</f>
        <v>277483</v>
      </c>
      <c r="H14" s="176">
        <f t="shared" si="1"/>
        <v>2.5818167370964294E-2</v>
      </c>
      <c r="I14" s="338"/>
      <c r="J14" s="370" t="s">
        <v>347</v>
      </c>
      <c r="K14" s="371">
        <f>G231</f>
        <v>120</v>
      </c>
      <c r="M14" s="359">
        <f t="shared" si="3"/>
        <v>447.55322580645162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490">
        <f>'[49]Sch B'!E32</f>
        <v>6172088</v>
      </c>
      <c r="D15" s="490">
        <f>'[49]Sch B'!G32</f>
        <v>-2908551</v>
      </c>
      <c r="E15" s="171">
        <f t="shared" si="2"/>
        <v>3263537</v>
      </c>
      <c r="F15" s="171"/>
      <c r="G15" s="171">
        <f t="shared" si="0"/>
        <v>3263537</v>
      </c>
      <c r="H15" s="172">
        <f t="shared" si="1"/>
        <v>0.30365299671451834</v>
      </c>
      <c r="I15" s="337"/>
      <c r="J15" s="370" t="s">
        <v>348</v>
      </c>
      <c r="K15" s="371">
        <f>G235</f>
        <v>43800</v>
      </c>
      <c r="M15" s="359">
        <f t="shared" si="3"/>
        <v>375.59408447462306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490">
        <f>'[49]Sch B'!E37</f>
        <v>2096126</v>
      </c>
      <c r="D16" s="490">
        <f>'[49]Sch B'!G37</f>
        <v>2913599</v>
      </c>
      <c r="E16" s="171">
        <f t="shared" si="2"/>
        <v>5009725</v>
      </c>
      <c r="F16" s="171"/>
      <c r="G16" s="171">
        <f t="shared" si="0"/>
        <v>5009725</v>
      </c>
      <c r="H16" s="172">
        <f t="shared" si="1"/>
        <v>0.46612555916039572</v>
      </c>
      <c r="I16" s="337"/>
      <c r="J16" s="372"/>
      <c r="K16" s="371"/>
      <c r="M16" s="359">
        <f t="shared" si="3"/>
        <v>187.67935413778892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490">
        <f>'[49]Sch B'!E42</f>
        <v>223210</v>
      </c>
      <c r="D17" s="490">
        <f>'[49]Sch B'!G42</f>
        <v>0</v>
      </c>
      <c r="E17" s="171">
        <f t="shared" si="2"/>
        <v>223210</v>
      </c>
      <c r="F17" s="171"/>
      <c r="G17" s="171">
        <f>E17+F17</f>
        <v>223210</v>
      </c>
      <c r="H17" s="172">
        <f t="shared" si="1"/>
        <v>2.0768382707671965E-2</v>
      </c>
      <c r="I17" s="337"/>
      <c r="J17" s="370" t="s">
        <v>156</v>
      </c>
      <c r="K17" s="371">
        <f>J208</f>
        <v>311410</v>
      </c>
      <c r="M17" s="359">
        <f t="shared" si="3"/>
        <v>181.47154471544715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490">
        <f>'[49]Sch B'!E47</f>
        <v>0</v>
      </c>
      <c r="D18" s="490">
        <f>'[49]Sch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337"/>
      <c r="J18" s="373" t="s">
        <v>252</v>
      </c>
      <c r="K18" s="374">
        <f>K208</f>
        <v>341622</v>
      </c>
      <c r="M18" s="359">
        <f t="shared" si="3"/>
        <v>0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490">
        <f>'[49]Sch B'!E52</f>
        <v>5048</v>
      </c>
      <c r="D19" s="490">
        <f>'[49]Sch B'!G52</f>
        <v>-5048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337"/>
      <c r="J19" s="168"/>
      <c r="K19" s="168"/>
      <c r="M19" s="359">
        <f t="shared" si="3"/>
        <v>0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490">
        <f>'[49]Sch B'!E67</f>
        <v>24195</v>
      </c>
      <c r="D20" s="490">
        <f>'[49]Sch B'!G67</f>
        <v>-15433</v>
      </c>
      <c r="E20" s="171">
        <f t="shared" si="2"/>
        <v>8762</v>
      </c>
      <c r="F20" s="171"/>
      <c r="G20" s="171">
        <f t="shared" si="0"/>
        <v>8762</v>
      </c>
      <c r="H20" s="172">
        <f t="shared" si="1"/>
        <v>8.152527632481598E-4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490">
        <f>SUM(C11:C20)</f>
        <v>10763020</v>
      </c>
      <c r="D21" s="490">
        <f>SUM(D11:D20)</f>
        <v>-15433</v>
      </c>
      <c r="E21" s="171">
        <f>SUM(E11:E20)</f>
        <v>10747587</v>
      </c>
      <c r="F21" s="171">
        <f>SUM(F11:F20)</f>
        <v>0</v>
      </c>
      <c r="G21" s="171">
        <f>SUM(G11:G20)</f>
        <v>10747587</v>
      </c>
      <c r="H21" s="172">
        <f t="shared" si="1"/>
        <v>1</v>
      </c>
      <c r="I21" s="337"/>
      <c r="J21" s="168"/>
      <c r="K21" s="168"/>
      <c r="M21" s="359">
        <f>IFERROR(G21/G228,0)</f>
        <v>253.78608703865498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4">
      <c r="A24" s="181" t="s">
        <v>161</v>
      </c>
      <c r="B24" s="148" t="s">
        <v>12</v>
      </c>
      <c r="M24" s="363"/>
      <c r="N24" s="363"/>
    </row>
    <row r="25" spans="1:14" s="167" customFormat="1">
      <c r="A25" s="169" t="s">
        <v>83</v>
      </c>
      <c r="B25" s="170" t="s">
        <v>14</v>
      </c>
      <c r="C25" s="490">
        <f>'[49]Sch C'!D10</f>
        <v>0</v>
      </c>
      <c r="D25" s="490">
        <f>'[49]Sch C'!F10</f>
        <v>109886</v>
      </c>
      <c r="E25" s="171">
        <f t="shared" ref="E25:E60" si="4">C25+D25</f>
        <v>109886</v>
      </c>
      <c r="F25" s="171"/>
      <c r="G25" s="182">
        <f>E25+F25</f>
        <v>109886</v>
      </c>
      <c r="H25" s="172">
        <f>IF($G$208=0,0,G25/$G$208)</f>
        <v>1.1607877968018177E-2</v>
      </c>
      <c r="I25" s="337"/>
      <c r="J25" s="183">
        <v>1668</v>
      </c>
      <c r="K25" s="183">
        <v>1768</v>
      </c>
      <c r="M25" s="359">
        <f>G25/G$228</f>
        <v>2.5947720135068124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490">
        <f>'[49]Sch C'!D11</f>
        <v>0</v>
      </c>
      <c r="D26" s="490">
        <f>'[49]Sch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490">
        <f>'[49]Sch C'!D12</f>
        <v>402074</v>
      </c>
      <c r="D27" s="490">
        <f>'[49]Sch C'!F12</f>
        <v>-109886</v>
      </c>
      <c r="E27" s="171">
        <f t="shared" si="4"/>
        <v>292188</v>
      </c>
      <c r="F27" s="171"/>
      <c r="G27" s="171">
        <f t="shared" si="5"/>
        <v>292188</v>
      </c>
      <c r="H27" s="172">
        <f t="shared" si="6"/>
        <v>3.0865466462691289E-2</v>
      </c>
      <c r="I27" s="337"/>
      <c r="J27" s="185">
        <v>13911</v>
      </c>
      <c r="K27" s="185">
        <v>15022</v>
      </c>
      <c r="M27" s="359">
        <f t="shared" si="7"/>
        <v>6.8995253724999408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490">
        <f>'[49]Sch C'!D13</f>
        <v>59713</v>
      </c>
      <c r="D28" s="490">
        <f>'[49]Sch C'!F13</f>
        <v>0</v>
      </c>
      <c r="E28" s="171">
        <f t="shared" si="4"/>
        <v>59713</v>
      </c>
      <c r="F28" s="171"/>
      <c r="G28" s="171">
        <f t="shared" si="5"/>
        <v>59713</v>
      </c>
      <c r="H28" s="172">
        <f t="shared" si="6"/>
        <v>6.3078209881538084E-3</v>
      </c>
      <c r="I28" s="337"/>
      <c r="J28" s="168"/>
      <c r="K28" s="168"/>
      <c r="M28" s="359">
        <f t="shared" si="7"/>
        <v>1.4100214881106992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490">
        <f>'[49]Sch C'!D14</f>
        <v>0</v>
      </c>
      <c r="D29" s="490">
        <f>'[49]Sch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490">
        <f>'[49]Sch C'!D15</f>
        <v>0</v>
      </c>
      <c r="D30" s="490">
        <f>'[49]Sch C'!F15</f>
        <v>537410</v>
      </c>
      <c r="E30" s="171">
        <f t="shared" si="4"/>
        <v>537410</v>
      </c>
      <c r="F30" s="171"/>
      <c r="G30" s="171">
        <f t="shared" si="5"/>
        <v>537410</v>
      </c>
      <c r="H30" s="172">
        <f t="shared" si="6"/>
        <v>5.6769649443902302E-2</v>
      </c>
      <c r="I30" s="337"/>
      <c r="J30" s="168"/>
      <c r="K30" s="168"/>
      <c r="M30" s="359">
        <f t="shared" si="7"/>
        <v>12.690028099837068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490">
        <f>'[49]Sch C'!D16</f>
        <v>537410</v>
      </c>
      <c r="D31" s="490">
        <f>'[49]Sch C'!F16</f>
        <v>-537410</v>
      </c>
      <c r="E31" s="171">
        <f t="shared" si="4"/>
        <v>0</v>
      </c>
      <c r="F31" s="171"/>
      <c r="G31" s="171">
        <f t="shared" si="5"/>
        <v>0</v>
      </c>
      <c r="H31" s="172">
        <f t="shared" si="6"/>
        <v>0</v>
      </c>
      <c r="I31" s="337"/>
      <c r="J31" s="168"/>
      <c r="K31" s="168"/>
      <c r="M31" s="359">
        <f t="shared" si="7"/>
        <v>0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490">
        <f>'[49]Sch C'!D17</f>
        <v>799</v>
      </c>
      <c r="D32" s="490">
        <f>'[49]Sch C'!F17</f>
        <v>-799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7"/>
      <c r="J32" s="168"/>
      <c r="K32" s="168"/>
      <c r="M32" s="359">
        <f t="shared" si="7"/>
        <v>0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490">
        <f>'[49]Sch C'!D18</f>
        <v>76455</v>
      </c>
      <c r="D33" s="490">
        <f>'[49]Sch C'!F18</f>
        <v>0</v>
      </c>
      <c r="E33" s="171">
        <f t="shared" si="4"/>
        <v>76455</v>
      </c>
      <c r="F33" s="171"/>
      <c r="G33" s="171">
        <f t="shared" si="5"/>
        <v>76455</v>
      </c>
      <c r="H33" s="172">
        <f t="shared" si="6"/>
        <v>8.0763728777535782E-3</v>
      </c>
      <c r="I33" s="337"/>
      <c r="J33" s="168"/>
      <c r="K33" s="168"/>
      <c r="M33" s="359">
        <f t="shared" si="7"/>
        <v>1.8053554983588751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490">
        <f>'[49]Sch C'!D19</f>
        <v>16387</v>
      </c>
      <c r="D34" s="490">
        <f>'[49]Sch C'!F19</f>
        <v>0</v>
      </c>
      <c r="E34" s="171">
        <f t="shared" si="4"/>
        <v>16387</v>
      </c>
      <c r="F34" s="171"/>
      <c r="G34" s="171">
        <f t="shared" si="5"/>
        <v>16387</v>
      </c>
      <c r="H34" s="172">
        <f t="shared" si="6"/>
        <v>1.7310512372996911E-3</v>
      </c>
      <c r="I34" s="337"/>
      <c r="J34" s="168"/>
      <c r="K34" s="168"/>
      <c r="M34" s="359">
        <f t="shared" si="7"/>
        <v>0.38695128574464566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490">
        <f>'[49]Sch C'!D20</f>
        <v>35488</v>
      </c>
      <c r="D35" s="490">
        <f>'[49]Sch C'!F20</f>
        <v>0</v>
      </c>
      <c r="E35" s="171">
        <f t="shared" si="4"/>
        <v>35488</v>
      </c>
      <c r="F35" s="171"/>
      <c r="G35" s="171">
        <f t="shared" si="5"/>
        <v>35488</v>
      </c>
      <c r="H35" s="172">
        <f t="shared" si="6"/>
        <v>3.748797602324491E-3</v>
      </c>
      <c r="I35" s="337"/>
      <c r="J35" s="168"/>
      <c r="K35" s="168"/>
      <c r="M35" s="359">
        <f t="shared" si="7"/>
        <v>0.83798909065149119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490">
        <f>'[49]Sch C'!D21</f>
        <v>5308</v>
      </c>
      <c r="D36" s="490">
        <f>'[49]Sch C'!F21</f>
        <v>0</v>
      </c>
      <c r="E36" s="171">
        <f t="shared" si="4"/>
        <v>5308</v>
      </c>
      <c r="F36" s="171"/>
      <c r="G36" s="171">
        <f t="shared" si="5"/>
        <v>5308</v>
      </c>
      <c r="H36" s="172">
        <f t="shared" si="6"/>
        <v>5.6071397861638856E-4</v>
      </c>
      <c r="I36" s="337"/>
      <c r="J36" s="168"/>
      <c r="K36" s="168"/>
      <c r="M36" s="359">
        <f t="shared" si="7"/>
        <v>0.12533944130912181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490">
        <f>'[49]Sch C'!D22</f>
        <v>0</v>
      </c>
      <c r="D37" s="490">
        <f>'[49]Sch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490">
        <f>'[49]Sch C'!D23</f>
        <v>30151</v>
      </c>
      <c r="D38" s="490">
        <f>'[49]Sch C'!F23</f>
        <v>0</v>
      </c>
      <c r="E38" s="171">
        <f t="shared" si="4"/>
        <v>30151</v>
      </c>
      <c r="F38" s="171"/>
      <c r="G38" s="171">
        <f t="shared" si="5"/>
        <v>30151</v>
      </c>
      <c r="H38" s="172">
        <f t="shared" si="6"/>
        <v>3.185020190139927E-3</v>
      </c>
      <c r="I38" s="337"/>
      <c r="J38" s="168"/>
      <c r="K38" s="168"/>
      <c r="M38" s="359">
        <f t="shared" si="7"/>
        <v>0.71196486339701059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490">
        <f>'[49]Sch C'!D24</f>
        <v>15681</v>
      </c>
      <c r="D39" s="490">
        <f>'[49]Sch C'!F24</f>
        <v>0</v>
      </c>
      <c r="E39" s="171">
        <f t="shared" si="4"/>
        <v>15681</v>
      </c>
      <c r="F39" s="171"/>
      <c r="G39" s="171">
        <f t="shared" si="5"/>
        <v>15681</v>
      </c>
      <c r="H39" s="172">
        <f t="shared" si="6"/>
        <v>1.6564724752606613E-3</v>
      </c>
      <c r="I39" s="337"/>
      <c r="J39" s="168"/>
      <c r="K39" s="168"/>
      <c r="M39" s="359">
        <f t="shared" si="7"/>
        <v>0.37028028997142792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490">
        <f>'[49]Sch C'!D25</f>
        <v>0</v>
      </c>
      <c r="D40" s="490">
        <f>'[49]Sch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337"/>
      <c r="J40" s="168"/>
      <c r="K40" s="168"/>
      <c r="M40" s="359">
        <f t="shared" si="7"/>
        <v>0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490">
        <f>'[49]Sch C'!D26</f>
        <v>0</v>
      </c>
      <c r="D41" s="490">
        <f>'[49]Sch C'!F26</f>
        <v>0</v>
      </c>
      <c r="E41" s="171">
        <f t="shared" si="4"/>
        <v>0</v>
      </c>
      <c r="F41" s="171"/>
      <c r="G41" s="171">
        <f t="shared" si="5"/>
        <v>0</v>
      </c>
      <c r="H41" s="172">
        <f t="shared" si="6"/>
        <v>0</v>
      </c>
      <c r="I41" s="337"/>
      <c r="J41" s="168"/>
      <c r="K41" s="168"/>
      <c r="M41" s="359">
        <f t="shared" si="7"/>
        <v>0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490">
        <f>'[49]Sch C'!D27</f>
        <v>1129</v>
      </c>
      <c r="D42" s="490">
        <f>'[49]Sch C'!F27</f>
        <v>-8</v>
      </c>
      <c r="E42" s="171">
        <f t="shared" si="4"/>
        <v>1121</v>
      </c>
      <c r="F42" s="171"/>
      <c r="G42" s="171">
        <f t="shared" si="5"/>
        <v>1121</v>
      </c>
      <c r="H42" s="172">
        <f t="shared" si="6"/>
        <v>1.1841755275602329E-4</v>
      </c>
      <c r="I42" s="337"/>
      <c r="J42" s="168"/>
      <c r="K42" s="168"/>
      <c r="M42" s="359">
        <f t="shared" si="7"/>
        <v>2.647051878438688E-2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490">
        <f>'[49]Sch C'!D28</f>
        <v>0</v>
      </c>
      <c r="D43" s="490">
        <f>'[49]Sch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490">
        <f>'[49]Sch C'!D29</f>
        <v>69577</v>
      </c>
      <c r="D44" s="490">
        <f>'[49]Sch C'!F29</f>
        <v>-69577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490">
        <f>'[49]Sch C'!D30</f>
        <v>1125</v>
      </c>
      <c r="D45" s="490">
        <f>'[49]Sch C'!F30</f>
        <v>-1125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490">
        <f>'[49]Sch C'!D31</f>
        <v>0</v>
      </c>
      <c r="D46" s="490">
        <f>'[49]Sch C'!F31</f>
        <v>0</v>
      </c>
      <c r="E46" s="171">
        <f t="shared" si="4"/>
        <v>0</v>
      </c>
      <c r="F46" s="171"/>
      <c r="G46" s="171">
        <f t="shared" si="5"/>
        <v>0</v>
      </c>
      <c r="H46" s="172">
        <f t="shared" si="6"/>
        <v>0</v>
      </c>
      <c r="I46" s="337"/>
      <c r="J46" s="168"/>
      <c r="K46" s="168"/>
      <c r="M46" s="359">
        <f t="shared" si="7"/>
        <v>0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490">
        <f>'[49]Sch C'!D32</f>
        <v>93923</v>
      </c>
      <c r="D47" s="490">
        <f>'[49]Sch C'!F32</f>
        <v>0</v>
      </c>
      <c r="E47" s="171">
        <f t="shared" si="4"/>
        <v>93923</v>
      </c>
      <c r="F47" s="171"/>
      <c r="G47" s="171">
        <f t="shared" si="5"/>
        <v>93923</v>
      </c>
      <c r="H47" s="172">
        <f t="shared" si="6"/>
        <v>9.9216162421980163E-3</v>
      </c>
      <c r="I47" s="337"/>
      <c r="J47" s="168"/>
      <c r="K47" s="168"/>
      <c r="M47" s="359">
        <f t="shared" si="7"/>
        <v>2.2178327705494816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490">
        <f>'[49]Sch C'!D33</f>
        <v>0</v>
      </c>
      <c r="D48" s="490">
        <f>'[49]Sch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490">
        <f>'[49]Sch C'!D34</f>
        <v>6316</v>
      </c>
      <c r="D49" s="490">
        <f>'[49]Sch C'!F34</f>
        <v>0</v>
      </c>
      <c r="E49" s="171">
        <f t="shared" si="4"/>
        <v>6316</v>
      </c>
      <c r="F49" s="171"/>
      <c r="G49" s="171">
        <f t="shared" si="5"/>
        <v>6316</v>
      </c>
      <c r="H49" s="172">
        <f t="shared" si="6"/>
        <v>6.671947040205558E-4</v>
      </c>
      <c r="I49" s="337"/>
      <c r="J49" s="168"/>
      <c r="K49" s="168"/>
      <c r="M49" s="359">
        <f t="shared" si="7"/>
        <v>0.14914165623745543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490">
        <f>'[49]Sch C'!D35</f>
        <v>0</v>
      </c>
      <c r="D50" s="490">
        <f>'[49]Sch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490">
        <f>'[49]Sch C'!D36</f>
        <v>40802</v>
      </c>
      <c r="D51" s="490">
        <f>'[49]Sch C'!F36</f>
        <v>0</v>
      </c>
      <c r="E51" s="171">
        <f t="shared" si="4"/>
        <v>40802</v>
      </c>
      <c r="F51" s="171"/>
      <c r="G51" s="171">
        <f t="shared" si="5"/>
        <v>40802</v>
      </c>
      <c r="H51" s="172">
        <f t="shared" si="6"/>
        <v>4.3101453947825708E-3</v>
      </c>
      <c r="I51" s="337"/>
      <c r="J51" s="183">
        <v>3160</v>
      </c>
      <c r="K51" s="183">
        <v>3599</v>
      </c>
      <c r="M51" s="359">
        <f t="shared" si="7"/>
        <v>0.96347021181137693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490">
        <f>'[49]Sch C'!D37</f>
        <v>5866</v>
      </c>
      <c r="D52" s="490">
        <f>'[49]Sch C'!F37</f>
        <v>0</v>
      </c>
      <c r="E52" s="171">
        <f t="shared" si="4"/>
        <v>5866</v>
      </c>
      <c r="F52" s="171"/>
      <c r="G52" s="171">
        <f t="shared" si="5"/>
        <v>5866</v>
      </c>
      <c r="H52" s="172">
        <f t="shared" si="6"/>
        <v>6.1965866589369547E-4</v>
      </c>
      <c r="I52" s="337"/>
      <c r="J52" s="168"/>
      <c r="K52" s="168"/>
      <c r="M52" s="359">
        <f t="shared" si="7"/>
        <v>0.13851566743016364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490">
        <f>'[49]Sch C'!D38</f>
        <v>25035</v>
      </c>
      <c r="D53" s="490">
        <f>'[49]Sch C'!F38</f>
        <v>-25035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7"/>
      <c r="J53" s="168"/>
      <c r="K53" s="168"/>
      <c r="M53" s="359">
        <f t="shared" si="7"/>
        <v>0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490">
        <f>'[49]Sch C'!D39</f>
        <v>11238</v>
      </c>
      <c r="D54" s="490">
        <f>'[49]Sch C'!F39</f>
        <v>0</v>
      </c>
      <c r="E54" s="171">
        <f t="shared" si="4"/>
        <v>11238</v>
      </c>
      <c r="F54" s="171"/>
      <c r="G54" s="171">
        <f t="shared" si="5"/>
        <v>11238</v>
      </c>
      <c r="H54" s="172">
        <f t="shared" si="6"/>
        <v>1.1871333254881264E-3</v>
      </c>
      <c r="I54" s="337"/>
      <c r="J54" s="168"/>
      <c r="K54" s="168"/>
      <c r="M54" s="359">
        <f t="shared" si="7"/>
        <v>0.26536636048076695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490">
        <f>'[49]Sch C'!D40</f>
        <v>26847</v>
      </c>
      <c r="D55" s="490">
        <f>'[49]Sch C'!F40</f>
        <v>-26847</v>
      </c>
      <c r="E55" s="171">
        <f t="shared" si="4"/>
        <v>0</v>
      </c>
      <c r="F55" s="171"/>
      <c r="G55" s="171">
        <f t="shared" si="5"/>
        <v>0</v>
      </c>
      <c r="H55" s="172">
        <f t="shared" si="6"/>
        <v>0</v>
      </c>
      <c r="I55" s="337"/>
      <c r="J55" s="168"/>
      <c r="K55" s="168"/>
      <c r="M55" s="359">
        <f t="shared" si="7"/>
        <v>0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490">
        <f>'[49]Sch C'!D41</f>
        <v>60203</v>
      </c>
      <c r="D56" s="490">
        <f>'[49]Sch C'!F41</f>
        <v>0</v>
      </c>
      <c r="E56" s="171">
        <f t="shared" si="4"/>
        <v>60203</v>
      </c>
      <c r="F56" s="171"/>
      <c r="G56" s="171">
        <f t="shared" si="5"/>
        <v>60203</v>
      </c>
      <c r="H56" s="172">
        <f t="shared" si="6"/>
        <v>6.3595824518919448E-3</v>
      </c>
      <c r="I56" s="337"/>
      <c r="J56" s="168"/>
      <c r="K56" s="168"/>
      <c r="M56" s="359">
        <f t="shared" si="7"/>
        <v>1.4215920092564169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490">
        <f>'[49]Sch C'!D42</f>
        <v>3049</v>
      </c>
      <c r="D57" s="490">
        <f>'[49]Sch C'!F42</f>
        <v>0</v>
      </c>
      <c r="E57" s="171">
        <f t="shared" si="4"/>
        <v>3049</v>
      </c>
      <c r="F57" s="171"/>
      <c r="G57" s="171">
        <f t="shared" si="5"/>
        <v>3049</v>
      </c>
      <c r="H57" s="172">
        <f t="shared" si="6"/>
        <v>3.2208306721954951E-4</v>
      </c>
      <c r="I57" s="337"/>
      <c r="J57" s="168"/>
      <c r="K57" s="168"/>
      <c r="M57" s="359">
        <f t="shared" si="7"/>
        <v>7.1996977496517039E-2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490">
        <f>'[49]Sch C'!D43</f>
        <v>15487</v>
      </c>
      <c r="D58" s="490">
        <f>'[49]Sch C'!F43</f>
        <v>-15487</v>
      </c>
      <c r="E58" s="171">
        <f t="shared" si="4"/>
        <v>0</v>
      </c>
      <c r="F58" s="171"/>
      <c r="G58" s="171">
        <f t="shared" si="5"/>
        <v>0</v>
      </c>
      <c r="H58" s="172">
        <f t="shared" si="6"/>
        <v>0</v>
      </c>
      <c r="I58" s="337"/>
      <c r="J58" s="168"/>
      <c r="K58" s="168"/>
      <c r="M58" s="359">
        <f t="shared" si="7"/>
        <v>0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490">
        <f>'[49]Sch C'!D44</f>
        <v>0</v>
      </c>
      <c r="D59" s="490">
        <f>'[49]Sch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7"/>
      <c r="J59" s="168"/>
      <c r="K59" s="168"/>
      <c r="M59" s="359">
        <f t="shared" si="7"/>
        <v>0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490">
        <f>'[49]Sch C'!D45</f>
        <v>458801</v>
      </c>
      <c r="D60" s="490">
        <f>'[49]Sch C'!F45</f>
        <v>-424112</v>
      </c>
      <c r="E60" s="171">
        <f t="shared" si="4"/>
        <v>34689</v>
      </c>
      <c r="F60" s="171"/>
      <c r="G60" s="171">
        <f t="shared" si="5"/>
        <v>34689</v>
      </c>
      <c r="H60" s="172">
        <f t="shared" si="6"/>
        <v>3.6643947257392435E-3</v>
      </c>
      <c r="I60" s="337"/>
      <c r="J60" s="168"/>
      <c r="K60" s="168"/>
      <c r="M60" s="359">
        <f t="shared" si="7"/>
        <v>0.81912205719143305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490">
        <f>SUM(C25:C60)</f>
        <v>1998864</v>
      </c>
      <c r="D61" s="490">
        <f>SUM(D25:D60)</f>
        <v>-562990</v>
      </c>
      <c r="E61" s="171">
        <f t="shared" ref="E61:F61" si="8">SUM(E25:E60)</f>
        <v>1435874</v>
      </c>
      <c r="F61" s="171">
        <f t="shared" si="8"/>
        <v>0</v>
      </c>
      <c r="G61" s="171">
        <f>SUM(G25:G60)</f>
        <v>1435874</v>
      </c>
      <c r="H61" s="186">
        <f t="shared" si="6"/>
        <v>0.15167946935415003</v>
      </c>
      <c r="I61" s="339"/>
      <c r="J61" s="168"/>
      <c r="K61" s="168"/>
      <c r="M61" s="364">
        <f>G61/G$228</f>
        <v>33.905735672625092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I62" s="340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490">
        <f>'[49]Sch C'!D57</f>
        <v>0</v>
      </c>
      <c r="D64" s="490">
        <f>'[49]Sch C'!F57</f>
        <v>0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I64" s="337"/>
      <c r="J64" s="190"/>
      <c r="K64" s="168"/>
      <c r="M64" s="359">
        <f t="shared" ref="M64:M79" si="12">G64/G$228</f>
        <v>0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490">
        <f>'[49]Sch C'!D58</f>
        <v>5113</v>
      </c>
      <c r="D65" s="490">
        <f>'[49]Sch C'!F58</f>
        <v>0</v>
      </c>
      <c r="E65" s="171">
        <f t="shared" si="9"/>
        <v>5113</v>
      </c>
      <c r="F65" s="171"/>
      <c r="G65" s="171">
        <f t="shared" si="10"/>
        <v>5113</v>
      </c>
      <c r="H65" s="172">
        <f t="shared" si="11"/>
        <v>5.4011502876141575E-4</v>
      </c>
      <c r="I65" s="337"/>
      <c r="J65" s="190"/>
      <c r="K65" s="168"/>
      <c r="M65" s="359">
        <f t="shared" si="12"/>
        <v>0.12073484615929538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490">
        <f>'[49]Sch C'!D59</f>
        <v>0</v>
      </c>
      <c r="D66" s="490">
        <f>'[49]Sch C'!F59</f>
        <v>0</v>
      </c>
      <c r="E66" s="171">
        <f t="shared" si="9"/>
        <v>0</v>
      </c>
      <c r="F66" s="171"/>
      <c r="G66" s="171">
        <f t="shared" si="10"/>
        <v>0</v>
      </c>
      <c r="H66" s="172">
        <f t="shared" si="11"/>
        <v>0</v>
      </c>
      <c r="I66" s="337"/>
      <c r="J66" s="190"/>
      <c r="K66" s="168"/>
      <c r="M66" s="359">
        <f t="shared" si="12"/>
        <v>0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490">
        <f>'[49]Sch C'!D60</f>
        <v>0</v>
      </c>
      <c r="D67" s="490">
        <f>'[49]Sch C'!F60</f>
        <v>0</v>
      </c>
      <c r="E67" s="171">
        <f t="shared" si="9"/>
        <v>0</v>
      </c>
      <c r="F67" s="171"/>
      <c r="G67" s="171">
        <f t="shared" si="10"/>
        <v>0</v>
      </c>
      <c r="H67" s="172">
        <f t="shared" si="11"/>
        <v>0</v>
      </c>
      <c r="I67" s="337"/>
      <c r="J67" s="193"/>
      <c r="K67" s="168"/>
      <c r="M67" s="359">
        <f t="shared" si="12"/>
        <v>0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490">
        <f>'[49]Sch C'!D61</f>
        <v>24679</v>
      </c>
      <c r="D68" s="490">
        <f>'[49]Sch C'!F61</f>
        <v>0</v>
      </c>
      <c r="E68" s="171">
        <f t="shared" si="9"/>
        <v>24679</v>
      </c>
      <c r="F68" s="171"/>
      <c r="G68" s="171">
        <f t="shared" si="10"/>
        <v>24679</v>
      </c>
      <c r="H68" s="172">
        <f t="shared" si="11"/>
        <v>2.606981966517305E-3</v>
      </c>
      <c r="I68" s="337"/>
      <c r="J68" s="193"/>
      <c r="K68" s="168"/>
      <c r="M68" s="359">
        <f t="shared" si="12"/>
        <v>0.5827528395003424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490">
        <f>'[49]Sch C'!D62</f>
        <v>18780</v>
      </c>
      <c r="D69" s="490">
        <f>'[49]Sch C'!F62</f>
        <v>0</v>
      </c>
      <c r="E69" s="171">
        <f t="shared" si="9"/>
        <v>18780</v>
      </c>
      <c r="F69" s="171"/>
      <c r="G69" s="171">
        <f t="shared" si="10"/>
        <v>18780</v>
      </c>
      <c r="H69" s="172">
        <f t="shared" si="11"/>
        <v>1.9838373244943064E-3</v>
      </c>
      <c r="I69" s="337"/>
      <c r="J69" s="195"/>
      <c r="K69" s="168"/>
      <c r="M69" s="359">
        <f t="shared" si="12"/>
        <v>0.44345793289097735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490">
        <f>'[49]Sch C'!D63</f>
        <v>0</v>
      </c>
      <c r="D70" s="490">
        <f>'[49]Sch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7"/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490">
        <f>'[49]Sch C'!D64</f>
        <v>0</v>
      </c>
      <c r="D71" s="490">
        <f>'[49]Sch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490">
        <f>'[49]Sch C'!D65</f>
        <v>5243</v>
      </c>
      <c r="D72" s="490">
        <f>'[49]Sch C'!F65</f>
        <v>0</v>
      </c>
      <c r="E72" s="171">
        <f t="shared" si="9"/>
        <v>5243</v>
      </c>
      <c r="F72" s="171"/>
      <c r="G72" s="171">
        <f t="shared" si="10"/>
        <v>5243</v>
      </c>
      <c r="H72" s="172">
        <f t="shared" si="11"/>
        <v>5.5384766199806433E-4</v>
      </c>
      <c r="I72" s="337"/>
      <c r="J72" s="195"/>
      <c r="K72" s="168"/>
      <c r="M72" s="359">
        <f t="shared" si="12"/>
        <v>0.12380457625917968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490">
        <f>'[49]Sch C'!D66</f>
        <v>72822</v>
      </c>
      <c r="D73" s="490">
        <f>'[49]Sch C'!F66</f>
        <v>0</v>
      </c>
      <c r="E73" s="171">
        <f t="shared" si="9"/>
        <v>72822</v>
      </c>
      <c r="F73" s="171"/>
      <c r="G73" s="171">
        <f t="shared" si="10"/>
        <v>72822</v>
      </c>
      <c r="H73" s="172">
        <f t="shared" si="11"/>
        <v>7.6925985966093914E-3</v>
      </c>
      <c r="I73" s="337"/>
      <c r="J73" s="195"/>
      <c r="K73" s="168"/>
      <c r="M73" s="359">
        <f t="shared" si="12"/>
        <v>1.7195683487213393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490">
        <f>'[49]Sch C'!D67</f>
        <v>21363</v>
      </c>
      <c r="D74" s="490">
        <f>'[49]Sch C'!F67</f>
        <v>0</v>
      </c>
      <c r="E74" s="171">
        <f t="shared" si="9"/>
        <v>21363</v>
      </c>
      <c r="F74" s="171"/>
      <c r="G74" s="171">
        <f t="shared" si="10"/>
        <v>21363</v>
      </c>
      <c r="H74" s="172">
        <f t="shared" si="11"/>
        <v>2.2566941833424849E-3</v>
      </c>
      <c r="I74" s="337"/>
      <c r="J74" s="195"/>
      <c r="K74" s="168"/>
      <c r="M74" s="359">
        <f t="shared" si="12"/>
        <v>0.50445110864483222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490">
        <f>'[49]Sch C'!D68</f>
        <v>0</v>
      </c>
      <c r="D75" s="490">
        <f>'[49]Sch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490">
        <f>'[49]Sch C'!D69</f>
        <v>2053</v>
      </c>
      <c r="D76" s="490">
        <f>'[49]Sch C'!F69</f>
        <v>0</v>
      </c>
      <c r="E76" s="171">
        <f t="shared" si="9"/>
        <v>2053</v>
      </c>
      <c r="F76" s="171"/>
      <c r="G76" s="171">
        <f t="shared" si="10"/>
        <v>2053</v>
      </c>
      <c r="H76" s="172">
        <f t="shared" si="11"/>
        <v>2.1686996949876522E-4</v>
      </c>
      <c r="I76" s="337"/>
      <c r="J76" s="195"/>
      <c r="K76" s="168"/>
      <c r="M76" s="359">
        <f t="shared" si="12"/>
        <v>4.847812226971121E-2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490">
        <f>'[49]Sch C'!D70</f>
        <v>0</v>
      </c>
      <c r="D77" s="490">
        <f>'[49]Sch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7"/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490">
        <f>'[49]Sch C'!D71</f>
        <v>0</v>
      </c>
      <c r="D78" s="490">
        <f>'[49]Sch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7"/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490">
        <f>SUM(C64:C78)</f>
        <v>150053</v>
      </c>
      <c r="D79" s="490">
        <f>SUM(D64:D78)</f>
        <v>0</v>
      </c>
      <c r="E79" s="171">
        <f t="shared" ref="E79:F79" si="13">SUM(E64:E78)</f>
        <v>150053</v>
      </c>
      <c r="F79" s="171">
        <f t="shared" si="13"/>
        <v>0</v>
      </c>
      <c r="G79" s="171">
        <f>SUM(G64:G78)</f>
        <v>150053</v>
      </c>
      <c r="H79" s="172">
        <f t="shared" si="11"/>
        <v>1.5850944731221735E-2</v>
      </c>
      <c r="I79" s="337"/>
      <c r="J79" s="195"/>
      <c r="K79" s="168"/>
      <c r="M79" s="359">
        <f t="shared" si="12"/>
        <v>3.5432477744456774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490">
        <f>'[49]Sch C'!D75</f>
        <v>100820</v>
      </c>
      <c r="D82" s="490">
        <f>'[49]Sch C'!F75</f>
        <v>0</v>
      </c>
      <c r="E82" s="171">
        <f t="shared" ref="E82:E92" si="14">C82+D82</f>
        <v>100820</v>
      </c>
      <c r="F82" s="171"/>
      <c r="G82" s="171">
        <f t="shared" ref="G82:G92" si="15">E82+F82</f>
        <v>100820</v>
      </c>
      <c r="H82" s="172">
        <f t="shared" ref="H82:H93" si="16">IF($G$208=0,0,G82/$G$208)</f>
        <v>1.0650185253222363E-2</v>
      </c>
      <c r="I82" s="337"/>
      <c r="J82" s="183">
        <v>5671</v>
      </c>
      <c r="K82" s="183">
        <v>6352</v>
      </c>
      <c r="M82" s="359">
        <f t="shared" ref="M82:M92" si="17">G82/G$228</f>
        <v>2.3806937590025741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490">
        <f>'[49]Sch C'!D76</f>
        <v>25105</v>
      </c>
      <c r="D83" s="490">
        <f>'[49]Sch C'!F76</f>
        <v>0</v>
      </c>
      <c r="E83" s="171">
        <f t="shared" si="14"/>
        <v>25105</v>
      </c>
      <c r="F83" s="171"/>
      <c r="G83" s="171">
        <f t="shared" si="15"/>
        <v>25105</v>
      </c>
      <c r="H83" s="172">
        <f t="shared" si="16"/>
        <v>2.6519827492773995E-3</v>
      </c>
      <c r="I83" s="337"/>
      <c r="J83" s="168"/>
      <c r="K83" s="168"/>
      <c r="M83" s="359">
        <f t="shared" si="17"/>
        <v>0.59281210890457858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490">
        <f>'[49]Sch C'!D77</f>
        <v>30243</v>
      </c>
      <c r="D84" s="490">
        <f>'[49]Sch C'!F77</f>
        <v>0</v>
      </c>
      <c r="E84" s="171">
        <f t="shared" si="14"/>
        <v>30243</v>
      </c>
      <c r="F84" s="171"/>
      <c r="G84" s="171">
        <f t="shared" si="15"/>
        <v>30243</v>
      </c>
      <c r="H84" s="172">
        <f t="shared" si="16"/>
        <v>3.1947386690458629E-3</v>
      </c>
      <c r="I84" s="337"/>
      <c r="J84" s="168"/>
      <c r="K84" s="168"/>
      <c r="M84" s="359">
        <f t="shared" si="17"/>
        <v>0.71413728777539021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490">
        <f>'[49]Sch C'!D78</f>
        <v>0</v>
      </c>
      <c r="D85" s="490">
        <f>'[49]Sch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I85" s="337"/>
      <c r="J85" s="168"/>
      <c r="K85" s="168"/>
      <c r="M85" s="359">
        <f t="shared" si="17"/>
        <v>0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490">
        <f>'[49]Sch C'!D79</f>
        <v>11962</v>
      </c>
      <c r="D86" s="490">
        <f>'[49]Sch C'!F79</f>
        <v>0</v>
      </c>
      <c r="E86" s="171">
        <f t="shared" si="14"/>
        <v>11962</v>
      </c>
      <c r="F86" s="171"/>
      <c r="G86" s="171">
        <f>E86+F86</f>
        <v>11962</v>
      </c>
      <c r="H86" s="172">
        <f t="shared" si="16"/>
        <v>1.2636135290522306E-3</v>
      </c>
      <c r="I86" s="337"/>
      <c r="J86" s="168"/>
      <c r="K86" s="168"/>
      <c r="M86" s="359">
        <f t="shared" si="17"/>
        <v>0.28246239580627641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490">
        <f>'[49]Sch C'!D80</f>
        <v>38190</v>
      </c>
      <c r="D87" s="490">
        <f>'[49]Sch C'!F80</f>
        <v>0</v>
      </c>
      <c r="E87" s="171">
        <f t="shared" si="14"/>
        <v>38190</v>
      </c>
      <c r="F87" s="171"/>
      <c r="G87" s="171">
        <f t="shared" si="15"/>
        <v>38190</v>
      </c>
      <c r="H87" s="172">
        <f t="shared" si="16"/>
        <v>4.0342251023662169E-3</v>
      </c>
      <c r="I87" s="337"/>
      <c r="J87" s="168"/>
      <c r="K87" s="168"/>
      <c r="M87" s="359">
        <f t="shared" si="17"/>
        <v>0.90179225011216324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490">
        <f>'[49]Sch C'!D81</f>
        <v>81809</v>
      </c>
      <c r="D88" s="490">
        <f>'[49]Sch C'!F81</f>
        <v>0</v>
      </c>
      <c r="E88" s="171">
        <f t="shared" si="14"/>
        <v>81809</v>
      </c>
      <c r="F88" s="171"/>
      <c r="G88" s="171">
        <f t="shared" si="15"/>
        <v>81809</v>
      </c>
      <c r="H88" s="172">
        <f t="shared" si="16"/>
        <v>8.641946095822934E-3</v>
      </c>
      <c r="I88" s="337"/>
      <c r="J88" s="168"/>
      <c r="K88" s="168"/>
      <c r="M88" s="359">
        <f t="shared" si="17"/>
        <v>1.9317811518571868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490">
        <f>'[49]Sch C'!D82</f>
        <v>77316</v>
      </c>
      <c r="D89" s="490">
        <f>'[49]Sch C'!F82</f>
        <v>0</v>
      </c>
      <c r="E89" s="171">
        <f t="shared" si="14"/>
        <v>77316</v>
      </c>
      <c r="F89" s="171"/>
      <c r="G89" s="171">
        <f t="shared" si="15"/>
        <v>77316</v>
      </c>
      <c r="H89" s="172">
        <f t="shared" si="16"/>
        <v>8.1673251640363032E-3</v>
      </c>
      <c r="I89" s="337"/>
      <c r="J89" s="168"/>
      <c r="K89" s="168"/>
      <c r="M89" s="359">
        <f t="shared" si="17"/>
        <v>1.8256865569434932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490">
        <f>'[49]Sch C'!D83</f>
        <v>26735</v>
      </c>
      <c r="D90" s="490">
        <f>'[49]Sch C'!F83</f>
        <v>0</v>
      </c>
      <c r="E90" s="171">
        <f t="shared" si="14"/>
        <v>26735</v>
      </c>
      <c r="F90" s="171"/>
      <c r="G90" s="171">
        <f t="shared" si="15"/>
        <v>26735</v>
      </c>
      <c r="H90" s="172">
        <f t="shared" si="16"/>
        <v>2.8241688429369157E-3</v>
      </c>
      <c r="I90" s="337"/>
      <c r="J90" s="168"/>
      <c r="K90" s="168"/>
      <c r="M90" s="359">
        <f t="shared" si="17"/>
        <v>0.63130180169543559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490">
        <f>'[49]Sch C'!D84</f>
        <v>198994</v>
      </c>
      <c r="D91" s="490">
        <f>'[49]Sch C'!F84</f>
        <v>0</v>
      </c>
      <c r="E91" s="171">
        <f t="shared" si="14"/>
        <v>198994</v>
      </c>
      <c r="F91" s="171"/>
      <c r="G91" s="171">
        <f t="shared" si="15"/>
        <v>198994</v>
      </c>
      <c r="H91" s="172">
        <f t="shared" si="16"/>
        <v>2.1020858602258784E-2</v>
      </c>
      <c r="I91" s="337"/>
      <c r="J91" s="168"/>
      <c r="K91" s="168"/>
      <c r="M91" s="359">
        <f t="shared" si="17"/>
        <v>4.6989067038182721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490">
        <f>'[49]Sch C'!D85</f>
        <v>0</v>
      </c>
      <c r="D92" s="490">
        <f>'[49]Sch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7"/>
      <c r="J92" s="168"/>
      <c r="K92" s="168"/>
      <c r="M92" s="359">
        <f t="shared" si="17"/>
        <v>0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490">
        <f>SUM(C82:C92)</f>
        <v>591174</v>
      </c>
      <c r="D93" s="490">
        <f>SUM(D82:D92)</f>
        <v>0</v>
      </c>
      <c r="E93" s="171">
        <f t="shared" ref="E93:F93" si="18">SUM(E82:E92)</f>
        <v>591174</v>
      </c>
      <c r="F93" s="171">
        <f t="shared" si="18"/>
        <v>0</v>
      </c>
      <c r="G93" s="171">
        <f>SUM(G82:G92)</f>
        <v>591174</v>
      </c>
      <c r="H93" s="172">
        <f t="shared" si="16"/>
        <v>6.2449044008019011E-2</v>
      </c>
      <c r="I93" s="337"/>
      <c r="J93" s="168"/>
      <c r="K93" s="168"/>
      <c r="M93" s="364">
        <f>G93/G$228</f>
        <v>13.95957401591537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490">
        <f>'[49]Sch C'!D89</f>
        <v>387248</v>
      </c>
      <c r="D96" s="490">
        <f>'[49]Sch C'!F89</f>
        <v>0</v>
      </c>
      <c r="E96" s="171">
        <f t="shared" ref="E96:E101" si="19">C96+D96</f>
        <v>387248</v>
      </c>
      <c r="F96" s="171"/>
      <c r="G96" s="171">
        <f t="shared" ref="G96:G101" si="20">E96+F96</f>
        <v>387248</v>
      </c>
      <c r="H96" s="172">
        <f t="shared" ref="H96:H102" si="21">IF($G$208=0,0,G96/$G$208)</f>
        <v>4.0907190427889838E-2</v>
      </c>
      <c r="I96" s="337"/>
      <c r="J96" s="183">
        <v>33612</v>
      </c>
      <c r="K96" s="183">
        <v>36290</v>
      </c>
      <c r="M96" s="364">
        <f t="shared" ref="M96:M101" si="22">G96/G$228</f>
        <v>9.1442064747691791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490">
        <f>'[49]Sch C'!D90</f>
        <v>61128</v>
      </c>
      <c r="D97" s="490">
        <f>'[49]Sch C'!F90</f>
        <v>0</v>
      </c>
      <c r="E97" s="171">
        <f t="shared" si="19"/>
        <v>61128</v>
      </c>
      <c r="F97" s="171"/>
      <c r="G97" s="171">
        <f t="shared" si="20"/>
        <v>61128</v>
      </c>
      <c r="H97" s="172">
        <f t="shared" si="21"/>
        <v>6.4572954191527135E-3</v>
      </c>
      <c r="I97" s="337"/>
      <c r="J97" s="168"/>
      <c r="K97" s="168"/>
      <c r="M97" s="364">
        <f t="shared" si="22"/>
        <v>1.4434343195825168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490">
        <f>'[49]Sch C'!D91</f>
        <v>15671</v>
      </c>
      <c r="D98" s="490">
        <f>'[49]Sch C'!F91</f>
        <v>0</v>
      </c>
      <c r="E98" s="171">
        <f t="shared" si="19"/>
        <v>15671</v>
      </c>
      <c r="F98" s="171"/>
      <c r="G98" s="171">
        <f t="shared" si="20"/>
        <v>15671</v>
      </c>
      <c r="H98" s="172">
        <f t="shared" si="21"/>
        <v>1.655416118857842E-3</v>
      </c>
      <c r="I98" s="337"/>
      <c r="J98" s="168"/>
      <c r="K98" s="168"/>
      <c r="M98" s="364">
        <f t="shared" si="22"/>
        <v>0.37004415688682141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490">
        <f>'[49]Sch C'!D92</f>
        <v>335225</v>
      </c>
      <c r="D99" s="490">
        <f>'[49]Sch C'!F92</f>
        <v>-14523</v>
      </c>
      <c r="E99" s="171">
        <f t="shared" si="19"/>
        <v>320702</v>
      </c>
      <c r="F99" s="171"/>
      <c r="G99" s="171">
        <f t="shared" si="20"/>
        <v>320702</v>
      </c>
      <c r="H99" s="172">
        <f t="shared" si="21"/>
        <v>3.3877561109689723E-2</v>
      </c>
      <c r="I99" s="337"/>
      <c r="J99" s="168"/>
      <c r="K99" s="168"/>
      <c r="M99" s="364">
        <f t="shared" si="22"/>
        <v>7.5728352499468699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490">
        <f>'[49]Sch C'!D93</f>
        <v>36775</v>
      </c>
      <c r="D100" s="490">
        <f>'[49]Sch C'!F93</f>
        <v>0</v>
      </c>
      <c r="E100" s="171">
        <f t="shared" si="19"/>
        <v>36775</v>
      </c>
      <c r="F100" s="171"/>
      <c r="G100" s="171">
        <f t="shared" si="20"/>
        <v>36775</v>
      </c>
      <c r="H100" s="172">
        <f t="shared" si="21"/>
        <v>3.8847506713673118E-3</v>
      </c>
      <c r="I100" s="337"/>
      <c r="J100" s="168"/>
      <c r="K100" s="168"/>
      <c r="M100" s="364">
        <f t="shared" si="22"/>
        <v>0.86837941864034573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490">
        <f>'[49]Sch C'!D94</f>
        <v>0</v>
      </c>
      <c r="D101" s="490">
        <f>'[49]Sch C'!F94</f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I101" s="337"/>
      <c r="J101" s="168"/>
      <c r="K101" s="168"/>
      <c r="M101" s="364">
        <f t="shared" si="22"/>
        <v>0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490">
        <f>SUM(C96:C101)</f>
        <v>836047</v>
      </c>
      <c r="D102" s="490">
        <f>SUM(D96:D101)</f>
        <v>-14523</v>
      </c>
      <c r="E102" s="171">
        <f t="shared" ref="E102:F102" si="23">SUM(E96:E101)</f>
        <v>821524</v>
      </c>
      <c r="F102" s="171">
        <f t="shared" si="23"/>
        <v>0</v>
      </c>
      <c r="G102" s="171">
        <f>SUM(G96:G101)</f>
        <v>821524</v>
      </c>
      <c r="H102" s="172">
        <f t="shared" si="21"/>
        <v>8.6782213746957423E-2</v>
      </c>
      <c r="I102" s="337"/>
      <c r="J102" s="168"/>
      <c r="K102" s="168"/>
      <c r="M102" s="364">
        <f>G102/G$228</f>
        <v>19.398899619825734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490">
        <f>'[49]Sch C'!D98</f>
        <v>44805</v>
      </c>
      <c r="D105" s="490">
        <f>'[49]Sch C'!F98</f>
        <v>0</v>
      </c>
      <c r="E105" s="171">
        <f t="shared" ref="E105:E110" si="24">C105+D105</f>
        <v>44805</v>
      </c>
      <c r="F105" s="171"/>
      <c r="G105" s="171">
        <f t="shared" ref="G105:G110" si="25">E105+F105</f>
        <v>44805</v>
      </c>
      <c r="H105" s="172">
        <f t="shared" ref="H105:H111" si="26">IF($G$208=0,0,G105/$G$208)</f>
        <v>4.7330048628310651E-3</v>
      </c>
      <c r="I105" s="337"/>
      <c r="J105" s="183">
        <v>4567</v>
      </c>
      <c r="K105" s="183">
        <v>5025</v>
      </c>
      <c r="M105" s="364">
        <f t="shared" ref="M105:M110" si="27">G105/G$228</f>
        <v>1.0579942855793525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490">
        <f>'[49]Sch C'!D99</f>
        <v>11492</v>
      </c>
      <c r="D106" s="490">
        <f>'[49]Sch C'!F99</f>
        <v>0</v>
      </c>
      <c r="E106" s="171">
        <f t="shared" si="24"/>
        <v>11492</v>
      </c>
      <c r="F106" s="171"/>
      <c r="G106" s="171">
        <f t="shared" si="25"/>
        <v>11492</v>
      </c>
      <c r="H106" s="172">
        <f t="shared" si="26"/>
        <v>1.2139647781197322E-3</v>
      </c>
      <c r="I106" s="337"/>
      <c r="J106" s="168"/>
      <c r="K106" s="168"/>
      <c r="M106" s="364">
        <f t="shared" si="27"/>
        <v>0.27136414082977167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490">
        <f>'[49]Sch C'!D100</f>
        <v>11212</v>
      </c>
      <c r="D107" s="490">
        <f>'[49]Sch C'!F100</f>
        <v>0</v>
      </c>
      <c r="E107" s="171">
        <f t="shared" si="24"/>
        <v>11212</v>
      </c>
      <c r="F107" s="171"/>
      <c r="G107" s="171">
        <f t="shared" si="25"/>
        <v>11212</v>
      </c>
      <c r="H107" s="172">
        <f t="shared" si="26"/>
        <v>1.1843867988407968E-3</v>
      </c>
      <c r="I107" s="337"/>
      <c r="J107" s="168"/>
      <c r="K107" s="168"/>
      <c r="M107" s="364">
        <f t="shared" si="27"/>
        <v>0.26475241446079012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490">
        <f>'[49]Sch C'!D101</f>
        <v>0</v>
      </c>
      <c r="D108" s="490">
        <f>'[49]Sch C'!F101</f>
        <v>0</v>
      </c>
      <c r="E108" s="171">
        <f t="shared" si="24"/>
        <v>0</v>
      </c>
      <c r="F108" s="171"/>
      <c r="G108" s="171">
        <f t="shared" si="25"/>
        <v>0</v>
      </c>
      <c r="H108" s="172">
        <f t="shared" si="26"/>
        <v>0</v>
      </c>
      <c r="I108" s="337"/>
      <c r="J108" s="168"/>
      <c r="K108" s="168"/>
      <c r="M108" s="364">
        <f t="shared" si="27"/>
        <v>0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490">
        <f>'[49]Sch C'!D102</f>
        <v>11411</v>
      </c>
      <c r="D109" s="490">
        <f>'[49]Sch C'!F102</f>
        <v>0</v>
      </c>
      <c r="E109" s="171">
        <f t="shared" si="24"/>
        <v>11411</v>
      </c>
      <c r="F109" s="171"/>
      <c r="G109" s="171">
        <f t="shared" si="25"/>
        <v>11411</v>
      </c>
      <c r="H109" s="172">
        <f t="shared" si="26"/>
        <v>1.2054082912568971E-3</v>
      </c>
      <c r="I109" s="337"/>
      <c r="J109" s="168"/>
      <c r="K109" s="168"/>
      <c r="M109" s="364">
        <f t="shared" si="27"/>
        <v>0.26945146284445914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490">
        <f>'[49]Sch C'!D103</f>
        <v>0</v>
      </c>
      <c r="D110" s="490">
        <f>'[49]Sch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7"/>
      <c r="J110" s="168"/>
      <c r="K110" s="168"/>
      <c r="M110" s="364">
        <f t="shared" si="27"/>
        <v>0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490">
        <f>SUM(C105:C110)</f>
        <v>78920</v>
      </c>
      <c r="D111" s="490">
        <f>SUM(D105:D110)</f>
        <v>0</v>
      </c>
      <c r="E111" s="171">
        <f t="shared" ref="E111:F111" si="28">SUM(E105:E110)</f>
        <v>78920</v>
      </c>
      <c r="F111" s="171">
        <f t="shared" si="28"/>
        <v>0</v>
      </c>
      <c r="G111" s="171">
        <f>SUM(G105:G110)</f>
        <v>78920</v>
      </c>
      <c r="H111" s="172">
        <f t="shared" si="26"/>
        <v>8.3367647310484908E-3</v>
      </c>
      <c r="I111" s="337"/>
      <c r="J111" s="168"/>
      <c r="K111" s="168"/>
      <c r="M111" s="364">
        <f>G111/G$228</f>
        <v>1.8635623037143734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490">
        <f>'[49]Sch C'!D115</f>
        <v>220895</v>
      </c>
      <c r="D114" s="490">
        <f>'[49]Sch C'!F115</f>
        <v>0</v>
      </c>
      <c r="E114" s="171">
        <f t="shared" ref="E114:E118" si="29">C114+D114</f>
        <v>220895</v>
      </c>
      <c r="F114" s="171"/>
      <c r="G114" s="171">
        <f>E114+F114</f>
        <v>220895</v>
      </c>
      <c r="H114" s="172">
        <f t="shared" ref="H114:H119" si="30">IF($G$208=0,0,G114/$G$208)</f>
        <v>2.3334384760072938E-2</v>
      </c>
      <c r="I114" s="337"/>
      <c r="J114" s="183">
        <v>21020</v>
      </c>
      <c r="K114" s="183">
        <v>22928</v>
      </c>
      <c r="M114" s="364">
        <f t="shared" ref="M114:M119" si="31">G114/G$228</f>
        <v>5.2160617724149327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490">
        <f>'[49]Sch C'!D116</f>
        <v>49405</v>
      </c>
      <c r="D115" s="490">
        <f>'[49]Sch C'!F116</f>
        <v>0</v>
      </c>
      <c r="E115" s="171">
        <f t="shared" si="29"/>
        <v>49405</v>
      </c>
      <c r="F115" s="171"/>
      <c r="G115" s="171">
        <f>E115+F115</f>
        <v>49405</v>
      </c>
      <c r="H115" s="172">
        <f t="shared" si="30"/>
        <v>5.2189288081278601E-3</v>
      </c>
      <c r="I115" s="337"/>
      <c r="J115" s="168"/>
      <c r="K115" s="168"/>
      <c r="M115" s="364">
        <f t="shared" si="31"/>
        <v>1.1666155044983353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490">
        <f>'[49]Sch C'!D117</f>
        <v>96342</v>
      </c>
      <c r="D116" s="490">
        <f>'[49]Sch C'!F117</f>
        <v>0</v>
      </c>
      <c r="E116" s="171">
        <f t="shared" si="29"/>
        <v>96342</v>
      </c>
      <c r="F116" s="171"/>
      <c r="G116" s="171">
        <f>E116+F116</f>
        <v>96342</v>
      </c>
      <c r="H116" s="172">
        <f t="shared" si="30"/>
        <v>1.017714885603996E-2</v>
      </c>
      <c r="I116" s="337"/>
      <c r="J116" s="168"/>
      <c r="K116" s="168"/>
      <c r="M116" s="364">
        <f t="shared" si="31"/>
        <v>2.2749533637157904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490">
        <f>'[49]Sch C'!D118</f>
        <v>452</v>
      </c>
      <c r="D117" s="490">
        <f>'[49]Sch C'!F118</f>
        <v>0</v>
      </c>
      <c r="E117" s="171">
        <f t="shared" si="29"/>
        <v>452</v>
      </c>
      <c r="F117" s="171"/>
      <c r="G117" s="171">
        <f>E117+F117</f>
        <v>452</v>
      </c>
      <c r="H117" s="172">
        <f t="shared" si="30"/>
        <v>4.7747309407424197E-5</v>
      </c>
      <c r="I117" s="337"/>
      <c r="J117" s="168"/>
      <c r="K117" s="168"/>
      <c r="M117" s="364">
        <f t="shared" si="31"/>
        <v>1.0673215424213086E-2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490">
        <f>'[49]Sch C'!D119</f>
        <v>240</v>
      </c>
      <c r="D118" s="490">
        <f>'[49]Sch C'!F119</f>
        <v>0</v>
      </c>
      <c r="E118" s="171">
        <f t="shared" si="29"/>
        <v>240</v>
      </c>
      <c r="F118" s="171"/>
      <c r="G118" s="171">
        <f>E118+F118</f>
        <v>240</v>
      </c>
      <c r="H118" s="172">
        <f t="shared" si="30"/>
        <v>2.5352553667658867E-5</v>
      </c>
      <c r="I118" s="337"/>
      <c r="J118" s="168"/>
      <c r="K118" s="168"/>
      <c r="M118" s="364">
        <f t="shared" si="31"/>
        <v>5.6671940305556209E-3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490">
        <f>SUM(C114:C118)</f>
        <v>367334</v>
      </c>
      <c r="D119" s="490">
        <f>SUM(D114:D118)</f>
        <v>0</v>
      </c>
      <c r="E119" s="171">
        <f t="shared" ref="E119:F119" si="32">SUM(E114:E118)</f>
        <v>367334</v>
      </c>
      <c r="F119" s="171">
        <f t="shared" si="32"/>
        <v>0</v>
      </c>
      <c r="G119" s="171">
        <f>SUM(G114:G118)</f>
        <v>367334</v>
      </c>
      <c r="H119" s="172">
        <f t="shared" si="30"/>
        <v>3.8803562287315845E-2</v>
      </c>
      <c r="I119" s="337"/>
      <c r="J119" s="168"/>
      <c r="K119" s="168"/>
      <c r="M119" s="364">
        <f t="shared" si="31"/>
        <v>8.6739710500838267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1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490">
        <f>'[49]Sch C'!D124</f>
        <v>0</v>
      </c>
      <c r="D123" s="490">
        <f>'[49]Sch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7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0.77002560279620991</v>
      </c>
    </row>
    <row r="124" spans="1:14" s="167" customFormat="1">
      <c r="B124" s="163" t="s">
        <v>194</v>
      </c>
      <c r="C124" s="490">
        <f>'[49]Sch C'!D125</f>
        <v>438713</v>
      </c>
      <c r="D124" s="490">
        <f>'[49]Sch C'!F125</f>
        <v>0</v>
      </c>
      <c r="E124" s="171">
        <f t="shared" si="33"/>
        <v>438713</v>
      </c>
      <c r="F124" s="171"/>
      <c r="G124" s="171">
        <f>E124+F124</f>
        <v>438713</v>
      </c>
      <c r="H124" s="172">
        <f>IF($G$208=0,0,G124/$G$208)</f>
        <v>4.6343728654998438E-2</v>
      </c>
      <c r="I124" s="337"/>
      <c r="J124" s="183">
        <v>14656</v>
      </c>
      <c r="K124" s="183">
        <v>15877</v>
      </c>
      <c r="M124" s="364">
        <f t="shared" si="34"/>
        <v>10.359465394696452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490">
        <f>'[49]Sch C'!D126</f>
        <v>0</v>
      </c>
      <c r="D125" s="490">
        <f>'[49]Sch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7"/>
      <c r="J125" s="183">
        <v>0</v>
      </c>
      <c r="K125" s="183">
        <v>0</v>
      </c>
      <c r="M125" s="364">
        <f t="shared" si="34"/>
        <v>0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490">
        <f>'[49]Sch C'!D127</f>
        <v>0</v>
      </c>
      <c r="D126" s="490">
        <f>'[49]Sch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7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490">
        <f>'[49]Sch C'!D128</f>
        <v>62084</v>
      </c>
      <c r="D127" s="490">
        <f>'[49]Sch C'!F128</f>
        <v>0</v>
      </c>
      <c r="E127" s="171">
        <f t="shared" si="33"/>
        <v>62084</v>
      </c>
      <c r="F127" s="171"/>
      <c r="G127" s="171">
        <f>E127+F127</f>
        <v>62084</v>
      </c>
      <c r="H127" s="172">
        <f>IF($G$208=0,0,G127/$G$208)</f>
        <v>6.5582830912622216E-3</v>
      </c>
      <c r="I127" s="337"/>
      <c r="J127" s="183">
        <v>4175</v>
      </c>
      <c r="K127" s="183">
        <v>4516</v>
      </c>
      <c r="M127" s="364">
        <f t="shared" si="34"/>
        <v>1.4660086424708967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205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490">
        <f>'[49]Sch C'!D130</f>
        <v>0</v>
      </c>
      <c r="D129" s="490">
        <f>'[49]Sch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7"/>
      <c r="J129" s="204"/>
      <c r="K129" s="204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490">
        <f>'[49]Sch C'!D131</f>
        <v>87989</v>
      </c>
      <c r="D130" s="490">
        <f>'[49]Sch C'!F131</f>
        <v>0</v>
      </c>
      <c r="E130" s="171">
        <f t="shared" si="35"/>
        <v>87989</v>
      </c>
      <c r="F130" s="171"/>
      <c r="G130" s="171">
        <f>E130+F130</f>
        <v>87989</v>
      </c>
      <c r="H130" s="172">
        <f>IF($G$208=0,0,G130/$G$208)</f>
        <v>9.2947743527651509E-3</v>
      </c>
      <c r="I130" s="337"/>
      <c r="J130" s="204"/>
      <c r="K130" s="204"/>
      <c r="M130" s="364">
        <f t="shared" si="34"/>
        <v>2.0777113981439941</v>
      </c>
      <c r="N130" s="359">
        <f>SUMMARY!J133</f>
        <v>1.0792348507966931</v>
      </c>
    </row>
    <row r="131" spans="1:14" s="167" customFormat="1">
      <c r="B131" s="163" t="s">
        <v>195</v>
      </c>
      <c r="C131" s="490">
        <f>'[49]Sch C'!D132</f>
        <v>0</v>
      </c>
      <c r="D131" s="490">
        <f>'[49]Sch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7"/>
      <c r="J131" s="168"/>
      <c r="K131" s="168"/>
      <c r="M131" s="364">
        <f t="shared" si="34"/>
        <v>0</v>
      </c>
      <c r="N131" s="359">
        <f>SUMMARY!J134</f>
        <v>8.2765628075518377E-2</v>
      </c>
    </row>
    <row r="132" spans="1:14" s="167" customFormat="1">
      <c r="B132" s="163" t="s">
        <v>196</v>
      </c>
      <c r="C132" s="490">
        <f>'[49]Sch C'!D133</f>
        <v>0</v>
      </c>
      <c r="D132" s="490">
        <f>'[49]Sch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490">
        <f>'[49]Sch C'!D134</f>
        <v>15733</v>
      </c>
      <c r="D133" s="490">
        <f>'[49]Sch C'!F134</f>
        <v>0</v>
      </c>
      <c r="E133" s="171">
        <f t="shared" si="35"/>
        <v>15733</v>
      </c>
      <c r="F133" s="171"/>
      <c r="G133" s="171">
        <f>E133+F133</f>
        <v>15733</v>
      </c>
      <c r="H133" s="172">
        <f>IF($G$208=0,0,G133/$G$208)</f>
        <v>1.6619655285553207E-3</v>
      </c>
      <c r="I133" s="337"/>
      <c r="J133" s="168"/>
      <c r="K133" s="168"/>
      <c r="M133" s="364">
        <f t="shared" si="34"/>
        <v>0.37150818201138164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490">
        <f>'[49]Sch C'!D136</f>
        <v>1179872</v>
      </c>
      <c r="D135" s="490">
        <f>'[49]Sch C'!F136</f>
        <v>0</v>
      </c>
      <c r="E135" s="171">
        <f t="shared" ref="E135:E138" si="36">C135+D135</f>
        <v>1179872</v>
      </c>
      <c r="F135" s="171"/>
      <c r="G135" s="171">
        <f>E135+F135</f>
        <v>1179872</v>
      </c>
      <c r="H135" s="172">
        <f>IF($G$208=0,0,G135/$G$208)</f>
        <v>0.12463653417070002</v>
      </c>
      <c r="I135" s="337"/>
      <c r="J135" s="183">
        <v>39235</v>
      </c>
      <c r="K135" s="183">
        <v>42285</v>
      </c>
      <c r="M135" s="364">
        <f t="shared" si="34"/>
        <v>27.860681480082174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490">
        <f>'[49]Sch C'!D137</f>
        <v>404499</v>
      </c>
      <c r="D136" s="490">
        <f>'[49]Sch C'!F137</f>
        <v>0</v>
      </c>
      <c r="E136" s="171">
        <f t="shared" si="36"/>
        <v>404499</v>
      </c>
      <c r="F136" s="171"/>
      <c r="G136" s="171">
        <f>E136+F136</f>
        <v>404499</v>
      </c>
      <c r="H136" s="172">
        <f>IF($G$208=0,0,G136/$G$208)</f>
        <v>4.2729510858393098E-2</v>
      </c>
      <c r="I136" s="337"/>
      <c r="J136" s="183">
        <v>19223</v>
      </c>
      <c r="K136" s="183">
        <v>20404</v>
      </c>
      <c r="M136" s="364">
        <f t="shared" si="34"/>
        <v>9.551559659023825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490">
        <f>'[49]Sch C'!D138</f>
        <v>1563158</v>
      </c>
      <c r="D137" s="490">
        <f>'[49]Sch C'!F138</f>
        <v>78552</v>
      </c>
      <c r="E137" s="171">
        <f t="shared" si="36"/>
        <v>1641710</v>
      </c>
      <c r="F137" s="171"/>
      <c r="G137" s="171">
        <f>E137+F137</f>
        <v>1641710</v>
      </c>
      <c r="H137" s="172">
        <f>IF($G$208=0,0,G137/$G$208)</f>
        <v>0.17342308700721767</v>
      </c>
      <c r="I137" s="337"/>
      <c r="J137" s="183">
        <v>134743</v>
      </c>
      <c r="K137" s="183">
        <v>150074</v>
      </c>
      <c r="M137" s="364">
        <f t="shared" si="34"/>
        <v>38.766204632931121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490">
        <f>'[49]Sch C'!D139</f>
        <v>78552</v>
      </c>
      <c r="D138" s="490">
        <f>'[49]Sch C'!F139</f>
        <v>-78552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7"/>
      <c r="J138" s="183">
        <v>0</v>
      </c>
      <c r="K138" s="183">
        <v>0</v>
      </c>
      <c r="M138" s="364">
        <f t="shared" si="34"/>
        <v>0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7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490">
        <f>'[49]Sch C'!D141</f>
        <v>549854</v>
      </c>
      <c r="D140" s="490">
        <f>'[49]Sch C'!F141</f>
        <v>-348756</v>
      </c>
      <c r="E140" s="171">
        <f t="shared" ref="E140:E143" si="37">C140+D140</f>
        <v>201098</v>
      </c>
      <c r="F140" s="171"/>
      <c r="G140" s="171">
        <f>E140+F140</f>
        <v>201098</v>
      </c>
      <c r="H140" s="172">
        <f>IF($G$208=0,0,G140/$G$208)</f>
        <v>2.1243115989411927E-2</v>
      </c>
      <c r="I140" s="337"/>
      <c r="J140" s="168"/>
      <c r="K140" s="168"/>
      <c r="M140" s="364">
        <f t="shared" si="34"/>
        <v>4.7485891048194766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490">
        <f>'[49]Sch C'!D142</f>
        <v>0</v>
      </c>
      <c r="D141" s="490">
        <f>'[49]Sch C'!F142</f>
        <v>68943</v>
      </c>
      <c r="E141" s="171">
        <f t="shared" si="37"/>
        <v>68943</v>
      </c>
      <c r="F141" s="171"/>
      <c r="G141" s="171">
        <f>E141+F141</f>
        <v>68943</v>
      </c>
      <c r="H141" s="172">
        <f>IF($G$208=0,0,G141/$G$208)</f>
        <v>7.2828379479558556E-3</v>
      </c>
      <c r="I141" s="337"/>
      <c r="J141" s="168"/>
      <c r="K141" s="168"/>
      <c r="M141" s="364">
        <f t="shared" si="34"/>
        <v>1.627972325202484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490">
        <f>'[49]Sch C'!D143</f>
        <v>0</v>
      </c>
      <c r="D142" s="490">
        <f>'[49]Sch C'!F143</f>
        <v>279813</v>
      </c>
      <c r="E142" s="171">
        <f t="shared" si="37"/>
        <v>279813</v>
      </c>
      <c r="F142" s="171"/>
      <c r="G142" s="171">
        <f>E142+F142</f>
        <v>279813</v>
      </c>
      <c r="H142" s="172">
        <f>IF($G$208=0,0,G142/$G$208)</f>
        <v>2.9558225414202628E-2</v>
      </c>
      <c r="I142" s="337"/>
      <c r="J142" s="168"/>
      <c r="K142" s="168"/>
      <c r="M142" s="364">
        <f t="shared" si="34"/>
        <v>6.6073106802994168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490">
        <f>'[49]Sch C'!D144</f>
        <v>0</v>
      </c>
      <c r="D143" s="490">
        <f>'[49]Sch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7"/>
      <c r="J143" s="168"/>
      <c r="K143" s="168"/>
      <c r="M143" s="364">
        <f t="shared" si="34"/>
        <v>0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7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490">
        <f>'[49]Sch C'!D146</f>
        <v>46800</v>
      </c>
      <c r="D145" s="490">
        <f>'[49]Sch C'!F146</f>
        <v>0</v>
      </c>
      <c r="E145" s="171">
        <f t="shared" ref="E145:E153" si="38">C145+D145</f>
        <v>46800</v>
      </c>
      <c r="F145" s="171"/>
      <c r="G145" s="171">
        <f t="shared" ref="G145:G153" si="39">E145+F145</f>
        <v>46800</v>
      </c>
      <c r="H145" s="172">
        <f t="shared" ref="H145:H153" si="40">IF($G$208=0,0,G145/$G$208)</f>
        <v>4.943747965193479E-3</v>
      </c>
      <c r="I145" s="337"/>
      <c r="J145" s="183">
        <v>314</v>
      </c>
      <c r="K145" s="183">
        <v>314</v>
      </c>
      <c r="M145" s="364">
        <f t="shared" si="34"/>
        <v>1.1051028359583461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490">
        <f>'[49]Sch C'!D147</f>
        <v>0</v>
      </c>
      <c r="D146" s="490">
        <f>'[49]Sch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337"/>
      <c r="J146" s="183">
        <v>0</v>
      </c>
      <c r="K146" s="183">
        <v>0</v>
      </c>
      <c r="M146" s="364">
        <f t="shared" si="34"/>
        <v>0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490">
        <f>'[49]Sch C'!D148</f>
        <v>0</v>
      </c>
      <c r="D147" s="490">
        <f>'[49]Sch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7"/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490">
        <f>'[49]Sch C'!D149</f>
        <v>0</v>
      </c>
      <c r="D148" s="490">
        <f>'[49]Sch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7"/>
      <c r="J148" s="183">
        <v>0</v>
      </c>
      <c r="K148" s="183">
        <v>0</v>
      </c>
      <c r="M148" s="364">
        <f t="shared" si="34"/>
        <v>0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490">
        <f>'[49]Sch C'!D150</f>
        <v>2418</v>
      </c>
      <c r="D149" s="490">
        <f>'[49]Sch C'!F150</f>
        <v>0</v>
      </c>
      <c r="E149" s="171">
        <f t="shared" si="38"/>
        <v>2418</v>
      </c>
      <c r="F149" s="171"/>
      <c r="G149" s="171">
        <f t="shared" si="39"/>
        <v>2418</v>
      </c>
      <c r="H149" s="172">
        <f t="shared" si="40"/>
        <v>2.5542697820166307E-4</v>
      </c>
      <c r="I149" s="337"/>
      <c r="J149" s="183">
        <v>0</v>
      </c>
      <c r="K149" s="183">
        <v>0</v>
      </c>
      <c r="M149" s="364">
        <f t="shared" si="34"/>
        <v>5.7096979857847882E-2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490">
        <f>'[49]Sch C'!D151</f>
        <v>178880</v>
      </c>
      <c r="D150" s="490">
        <f>'[49]Sch C'!F151</f>
        <v>0</v>
      </c>
      <c r="E150" s="171">
        <f t="shared" si="38"/>
        <v>178880</v>
      </c>
      <c r="F150" s="171"/>
      <c r="G150" s="171">
        <f t="shared" si="39"/>
        <v>178880</v>
      </c>
      <c r="H150" s="172">
        <f t="shared" si="40"/>
        <v>1.8896103333628411E-2</v>
      </c>
      <c r="I150" s="337"/>
      <c r="J150" s="168"/>
      <c r="K150" s="168"/>
      <c r="M150" s="364">
        <f t="shared" si="34"/>
        <v>4.2239486174407892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490">
        <f>'[49]Sch C'!D152</f>
        <v>38669</v>
      </c>
      <c r="D151" s="490">
        <f>'[49]Sch C'!F152</f>
        <v>0</v>
      </c>
      <c r="E151" s="171">
        <f t="shared" si="38"/>
        <v>38669</v>
      </c>
      <c r="F151" s="171"/>
      <c r="G151" s="171">
        <f t="shared" si="39"/>
        <v>38669</v>
      </c>
      <c r="H151" s="172">
        <f t="shared" si="40"/>
        <v>4.0848245740612533E-3</v>
      </c>
      <c r="I151" s="337"/>
      <c r="J151" s="168"/>
      <c r="K151" s="168"/>
      <c r="M151" s="364">
        <f t="shared" si="34"/>
        <v>0.91310302486481376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490">
        <f>'[49]Sch C'!D153</f>
        <v>0</v>
      </c>
      <c r="D152" s="490">
        <f>'[49]Sch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7"/>
      <c r="J152" s="168"/>
      <c r="K152" s="168"/>
      <c r="M152" s="364">
        <f t="shared" si="34"/>
        <v>0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490">
        <f>'[49]Sch C'!D154</f>
        <v>0</v>
      </c>
      <c r="D153" s="490">
        <f>'[49]Sch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210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490">
        <f>'[49]Sch C'!D156</f>
        <v>0</v>
      </c>
      <c r="D155" s="490">
        <f>'[49]Sch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490">
        <f>'[49]Sch C'!D157</f>
        <v>0</v>
      </c>
      <c r="D156" s="490">
        <f>'[49]Sch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490">
        <f>'[49]Sch C'!D158</f>
        <v>0</v>
      </c>
      <c r="D157" s="490">
        <f>'[49]Sch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7"/>
      <c r="J157" s="168"/>
      <c r="K157" s="168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490">
        <f>'[49]Sch C'!D159</f>
        <v>0</v>
      </c>
      <c r="D158" s="490">
        <f>'[49]Sch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490">
        <f>'[49]Sch C'!D160</f>
        <v>0</v>
      </c>
      <c r="D159" s="490">
        <f>'[49]Sch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7"/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490">
        <f>'[49]Sch C'!D161</f>
        <v>30770</v>
      </c>
      <c r="D160" s="490">
        <f>'[49]Sch C'!F161</f>
        <v>0</v>
      </c>
      <c r="E160" s="171">
        <f t="shared" si="41"/>
        <v>30770</v>
      </c>
      <c r="F160" s="171"/>
      <c r="G160" s="171">
        <f t="shared" si="42"/>
        <v>30770</v>
      </c>
      <c r="H160" s="172">
        <f t="shared" si="43"/>
        <v>3.2504086514744306E-3</v>
      </c>
      <c r="I160" s="337"/>
      <c r="J160" s="168"/>
      <c r="K160" s="168"/>
      <c r="M160" s="364">
        <f t="shared" si="34"/>
        <v>0.72658150133415189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490">
        <f>SUM(C123:C160)</f>
        <v>4677991</v>
      </c>
      <c r="D161" s="490">
        <f>SUM(D123:D160)</f>
        <v>0</v>
      </c>
      <c r="E161" s="171">
        <f t="shared" ref="E161:F161" si="44">SUM(E123:E160)</f>
        <v>4677991</v>
      </c>
      <c r="F161" s="171">
        <f t="shared" si="44"/>
        <v>0</v>
      </c>
      <c r="G161" s="171">
        <f>SUM(G123:G160)</f>
        <v>4677991</v>
      </c>
      <c r="H161" s="172">
        <f t="shared" si="43"/>
        <v>0.49416257451802154</v>
      </c>
      <c r="I161" s="337"/>
      <c r="J161" s="168"/>
      <c r="K161" s="168"/>
      <c r="M161" s="364">
        <f>G161/G$228</f>
        <v>110.46284445913717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337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7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490">
        <f>'[49]Sch C'!D175</f>
        <v>0</v>
      </c>
      <c r="D164" s="490">
        <f>'[49]Sch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490">
        <f>'[49]Sch C'!D176</f>
        <v>0</v>
      </c>
      <c r="D165" s="490">
        <f>'[49]Sch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490">
        <f>'[49]Sch C'!D177</f>
        <v>0</v>
      </c>
      <c r="D166" s="490">
        <f>'[49]Sch C'!F177</f>
        <v>0</v>
      </c>
      <c r="E166" s="171">
        <f t="shared" si="45"/>
        <v>0</v>
      </c>
      <c r="F166" s="216"/>
      <c r="G166" s="171">
        <f t="shared" si="46"/>
        <v>0</v>
      </c>
      <c r="H166" s="172">
        <f t="shared" si="47"/>
        <v>0</v>
      </c>
      <c r="I166" s="343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490">
        <f>'[49]Sch C'!D178</f>
        <v>0</v>
      </c>
      <c r="D167" s="490">
        <f>'[49]Sch C'!F178</f>
        <v>0</v>
      </c>
      <c r="E167" s="171">
        <f t="shared" si="45"/>
        <v>0</v>
      </c>
      <c r="F167" s="216"/>
      <c r="G167" s="171">
        <f t="shared" si="46"/>
        <v>0</v>
      </c>
      <c r="H167" s="172">
        <f t="shared" si="47"/>
        <v>0</v>
      </c>
      <c r="I167" s="344"/>
      <c r="J167" s="222"/>
      <c r="K167" s="222"/>
      <c r="L167" s="218"/>
      <c r="M167" s="364">
        <f t="shared" si="48"/>
        <v>0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490">
        <f>'[49]Sch C'!D179</f>
        <v>0</v>
      </c>
      <c r="D168" s="490">
        <f>'[49]Sch C'!F179</f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343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490">
        <f>'[49]Sch C'!D180</f>
        <v>0</v>
      </c>
      <c r="D169" s="490">
        <f>'[49]Sch C'!F180</f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344"/>
      <c r="J169" s="222"/>
      <c r="K169" s="222"/>
      <c r="L169" s="218"/>
      <c r="M169" s="364">
        <f t="shared" si="48"/>
        <v>0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490">
        <f>'[49]Sch C'!D181</f>
        <v>0</v>
      </c>
      <c r="D170" s="490">
        <f>'[49]Sch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3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490">
        <f>'[49]Sch C'!D182</f>
        <v>0</v>
      </c>
      <c r="D171" s="490">
        <f>'[49]Sch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490">
        <f>'[49]Sch C'!D183</f>
        <v>0</v>
      </c>
      <c r="D172" s="490">
        <f>'[49]Sch C'!F183</f>
        <v>0</v>
      </c>
      <c r="E172" s="171">
        <f t="shared" si="45"/>
        <v>0</v>
      </c>
      <c r="F172" s="216"/>
      <c r="G172" s="171">
        <f t="shared" si="46"/>
        <v>0</v>
      </c>
      <c r="H172" s="172">
        <f t="shared" si="47"/>
        <v>0</v>
      </c>
      <c r="I172" s="343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490">
        <f>'[49]Sch C'!D184</f>
        <v>0</v>
      </c>
      <c r="D173" s="490">
        <f>'[49]Sch C'!F184</f>
        <v>0</v>
      </c>
      <c r="E173" s="171">
        <f t="shared" si="45"/>
        <v>0</v>
      </c>
      <c r="F173" s="216"/>
      <c r="G173" s="171">
        <f t="shared" si="46"/>
        <v>0</v>
      </c>
      <c r="H173" s="172">
        <f t="shared" si="47"/>
        <v>0</v>
      </c>
      <c r="I173" s="344"/>
      <c r="J173" s="222"/>
      <c r="K173" s="222"/>
      <c r="L173" s="218"/>
      <c r="M173" s="364">
        <f t="shared" si="48"/>
        <v>0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490">
        <f>'[49]Sch C'!D185</f>
        <v>0</v>
      </c>
      <c r="D174" s="490">
        <f>'[49]Sch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3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490">
        <f>'[49]Sch C'!D186</f>
        <v>0</v>
      </c>
      <c r="D175" s="490">
        <f>'[49]Sch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490">
        <f>'[49]Sch C'!D187</f>
        <v>0</v>
      </c>
      <c r="D176" s="490">
        <f>'[49]Sch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490">
        <f>'[49]Sch C'!D188</f>
        <v>5</v>
      </c>
      <c r="D177" s="490">
        <f>'[49]Sch C'!F188</f>
        <v>0</v>
      </c>
      <c r="E177" s="171">
        <f t="shared" si="45"/>
        <v>5</v>
      </c>
      <c r="F177" s="216"/>
      <c r="G177" s="171">
        <f t="shared" si="46"/>
        <v>5</v>
      </c>
      <c r="H177" s="172">
        <f t="shared" si="47"/>
        <v>5.2817820140955969E-7</v>
      </c>
      <c r="I177" s="337"/>
      <c r="J177" s="223"/>
      <c r="K177" s="218"/>
      <c r="L177" s="220"/>
      <c r="M177" s="364">
        <f t="shared" si="48"/>
        <v>1.1806654230324211E-4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490">
        <f>'[49]Sch C'!D189</f>
        <v>89</v>
      </c>
      <c r="D178" s="490">
        <f>'[49]Sch C'!F189</f>
        <v>0</v>
      </c>
      <c r="E178" s="171">
        <f t="shared" si="45"/>
        <v>89</v>
      </c>
      <c r="F178" s="216"/>
      <c r="G178" s="171">
        <f t="shared" si="46"/>
        <v>89</v>
      </c>
      <c r="H178" s="172">
        <f t="shared" si="47"/>
        <v>9.4015719850901635E-6</v>
      </c>
      <c r="I178" s="337"/>
      <c r="J178" s="223"/>
      <c r="K178" s="218"/>
      <c r="L178" s="220"/>
      <c r="M178" s="364">
        <f t="shared" si="48"/>
        <v>2.1015844529977093E-3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490">
        <f>'[49]Sch C'!D190</f>
        <v>0</v>
      </c>
      <c r="D179" s="490">
        <f>'[49]Sch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490">
        <f>'[49]Sch C'!D191</f>
        <v>0</v>
      </c>
      <c r="D180" s="490">
        <f>'[49]Sch C'!F191</f>
        <v>0</v>
      </c>
      <c r="E180" s="171">
        <f t="shared" si="45"/>
        <v>0</v>
      </c>
      <c r="F180" s="216"/>
      <c r="G180" s="171">
        <f t="shared" si="46"/>
        <v>0</v>
      </c>
      <c r="H180" s="172">
        <f t="shared" si="47"/>
        <v>0</v>
      </c>
      <c r="I180" s="337"/>
      <c r="J180" s="223"/>
      <c r="K180" s="218"/>
      <c r="L180" s="220"/>
      <c r="M180" s="364">
        <f t="shared" si="48"/>
        <v>0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490">
        <f>'[49]Sch C'!D192</f>
        <v>0</v>
      </c>
      <c r="D181" s="490">
        <f>'[49]Sch C'!F192</f>
        <v>0</v>
      </c>
      <c r="E181" s="171">
        <f t="shared" si="45"/>
        <v>0</v>
      </c>
      <c r="F181" s="216"/>
      <c r="G181" s="171">
        <f t="shared" si="46"/>
        <v>0</v>
      </c>
      <c r="H181" s="172">
        <f t="shared" si="47"/>
        <v>0</v>
      </c>
      <c r="I181" s="337"/>
      <c r="J181" s="223"/>
      <c r="K181" s="218"/>
      <c r="L181" s="220"/>
      <c r="M181" s="364">
        <f t="shared" si="48"/>
        <v>0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490">
        <f>'[49]Sch C'!D193</f>
        <v>19653</v>
      </c>
      <c r="D182" s="490">
        <f>'[49]Sch C'!F193</f>
        <v>0</v>
      </c>
      <c r="E182" s="171">
        <f t="shared" si="45"/>
        <v>19653</v>
      </c>
      <c r="F182" s="216"/>
      <c r="G182" s="171">
        <f t="shared" si="46"/>
        <v>19653</v>
      </c>
      <c r="H182" s="172">
        <f t="shared" si="47"/>
        <v>2.0760572384604156E-3</v>
      </c>
      <c r="I182" s="337"/>
      <c r="J182" s="223"/>
      <c r="K182" s="218"/>
      <c r="L182" s="220"/>
      <c r="M182" s="364">
        <f t="shared" si="48"/>
        <v>0.46407235117712342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490">
        <f>'[49]Sch C'!D194</f>
        <v>286095</v>
      </c>
      <c r="D183" s="490">
        <f>'[49]Sch C'!F194</f>
        <v>0</v>
      </c>
      <c r="E183" s="171">
        <f t="shared" si="45"/>
        <v>286095</v>
      </c>
      <c r="F183" s="216"/>
      <c r="G183" s="171">
        <f t="shared" si="46"/>
        <v>286095</v>
      </c>
      <c r="H183" s="172">
        <f t="shared" si="47"/>
        <v>3.0221828506453597E-2</v>
      </c>
      <c r="I183" s="337"/>
      <c r="J183" s="223"/>
      <c r="K183" s="218"/>
      <c r="M183" s="364">
        <f t="shared" si="48"/>
        <v>6.7556494840492105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490">
        <f>'[49]Sch C'!D195</f>
        <v>75884</v>
      </c>
      <c r="D184" s="490">
        <f>'[49]Sch C'!F195</f>
        <v>0</v>
      </c>
      <c r="E184" s="171">
        <f t="shared" si="45"/>
        <v>75884</v>
      </c>
      <c r="F184" s="216"/>
      <c r="G184" s="171">
        <f t="shared" si="46"/>
        <v>75884</v>
      </c>
      <c r="H184" s="172">
        <f t="shared" si="47"/>
        <v>8.0160549271526063E-3</v>
      </c>
      <c r="I184" s="337"/>
      <c r="J184" s="223"/>
      <c r="K184" s="218"/>
      <c r="M184" s="364">
        <f t="shared" si="48"/>
        <v>1.7918722992278449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490">
        <f>'[49]Sch C'!D196</f>
        <v>0</v>
      </c>
      <c r="D185" s="490">
        <f>'[49]Sch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490">
        <f>'[49]Sch C'!D197</f>
        <v>259829</v>
      </c>
      <c r="D186" s="490">
        <f>'[49]Sch C'!F197</f>
        <v>0</v>
      </c>
      <c r="E186" s="171">
        <f t="shared" si="45"/>
        <v>259829</v>
      </c>
      <c r="F186" s="216"/>
      <c r="G186" s="171">
        <f t="shared" si="46"/>
        <v>259829</v>
      </c>
      <c r="H186" s="172">
        <f t="shared" si="47"/>
        <v>2.74472027788089E-2</v>
      </c>
      <c r="I186" s="337"/>
      <c r="J186" s="223"/>
      <c r="K186" s="218"/>
      <c r="M186" s="364">
        <f t="shared" si="48"/>
        <v>6.1354223240218184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490">
        <f>'[49]Sch C'!D198</f>
        <v>48189</v>
      </c>
      <c r="D187" s="490">
        <f>'[49]Sch C'!F198</f>
        <v>0</v>
      </c>
      <c r="E187" s="171">
        <f t="shared" si="45"/>
        <v>48189</v>
      </c>
      <c r="F187" s="216"/>
      <c r="G187" s="171">
        <f t="shared" si="46"/>
        <v>48189</v>
      </c>
      <c r="H187" s="172">
        <f t="shared" si="47"/>
        <v>5.0904758695450546E-3</v>
      </c>
      <c r="I187" s="337"/>
      <c r="J187" s="223"/>
      <c r="K187" s="218"/>
      <c r="M187" s="364">
        <f t="shared" si="48"/>
        <v>1.1379017214101868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490">
        <f>'[49]Sch C'!D199</f>
        <v>0</v>
      </c>
      <c r="D188" s="490">
        <f>'[49]Sch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7"/>
      <c r="J188" s="223"/>
      <c r="K188" s="218"/>
      <c r="M188" s="364">
        <f t="shared" si="48"/>
        <v>0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490">
        <f>'[49]Sch C'!D200</f>
        <v>0</v>
      </c>
      <c r="D189" s="490">
        <f>'[49]Sch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7"/>
      <c r="J189" s="223"/>
      <c r="K189" s="218"/>
      <c r="M189" s="364">
        <f t="shared" si="48"/>
        <v>0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490">
        <f>'[49]Sch C'!D201</f>
        <v>0</v>
      </c>
      <c r="D190" s="490">
        <f>'[49]Sch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7"/>
      <c r="J190" s="223"/>
      <c r="K190" s="218"/>
      <c r="M190" s="364">
        <f t="shared" si="48"/>
        <v>0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490">
        <f>'[49]Sch C'!D202</f>
        <v>0</v>
      </c>
      <c r="D191" s="490">
        <f>'[49]Sch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490">
        <f>'[49]Sch C'!D203</f>
        <v>0</v>
      </c>
      <c r="D192" s="490">
        <f>'[49]Sch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7"/>
      <c r="J192" s="223"/>
      <c r="K192" s="218"/>
      <c r="M192" s="364">
        <f t="shared" si="48"/>
        <v>0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490">
        <f>'[49]Sch C'!D204</f>
        <v>0</v>
      </c>
      <c r="D193" s="490">
        <f>'[49]Sch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490">
        <f>'[49]Sch C'!D205</f>
        <v>285054</v>
      </c>
      <c r="D194" s="490">
        <f>'[49]Sch C'!F205</f>
        <v>0</v>
      </c>
      <c r="E194" s="171">
        <f t="shared" si="45"/>
        <v>285054</v>
      </c>
      <c r="F194" s="216"/>
      <c r="G194" s="171">
        <f t="shared" si="46"/>
        <v>285054</v>
      </c>
      <c r="H194" s="172">
        <f t="shared" si="47"/>
        <v>3.0111861804920127E-2</v>
      </c>
      <c r="I194" s="337"/>
      <c r="J194" s="223"/>
      <c r="K194" s="218"/>
      <c r="M194" s="364">
        <f t="shared" si="48"/>
        <v>6.7310680299416754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490">
        <f>'[49]Sch C'!D206</f>
        <v>8258</v>
      </c>
      <c r="D195" s="490">
        <f>'[49]Sch C'!F206</f>
        <v>0</v>
      </c>
      <c r="E195" s="171">
        <f t="shared" si="45"/>
        <v>8258</v>
      </c>
      <c r="F195" s="216"/>
      <c r="G195" s="171">
        <f t="shared" si="46"/>
        <v>8258</v>
      </c>
      <c r="H195" s="172">
        <f t="shared" si="47"/>
        <v>8.7233911744802881E-4</v>
      </c>
      <c r="I195" s="337"/>
      <c r="J195" s="223"/>
      <c r="K195" s="218"/>
      <c r="M195" s="364">
        <f t="shared" si="48"/>
        <v>0.19499870126803467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490">
        <f>'[49]Sch C'!D207</f>
        <v>682</v>
      </c>
      <c r="D196" s="490">
        <f>'[49]Sch C'!F207</f>
        <v>0</v>
      </c>
      <c r="E196" s="171">
        <f t="shared" si="45"/>
        <v>682</v>
      </c>
      <c r="F196" s="216"/>
      <c r="G196" s="171">
        <f t="shared" si="46"/>
        <v>682</v>
      </c>
      <c r="H196" s="172">
        <f t="shared" si="47"/>
        <v>7.2043506672263947E-5</v>
      </c>
      <c r="I196" s="337"/>
      <c r="J196" s="223"/>
      <c r="K196" s="218"/>
      <c r="M196" s="364">
        <f t="shared" si="48"/>
        <v>1.6104276370162224E-2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490">
        <f>SUM(C164:C196)</f>
        <v>983738</v>
      </c>
      <c r="D197" s="490">
        <f>SUM(D164:D196)</f>
        <v>0</v>
      </c>
      <c r="E197" s="171">
        <f t="shared" ref="E197:F197" si="49">SUM(E164:E196)</f>
        <v>983738</v>
      </c>
      <c r="F197" s="171">
        <f t="shared" si="49"/>
        <v>0</v>
      </c>
      <c r="G197" s="171">
        <f>SUM(G164:G196)</f>
        <v>983738</v>
      </c>
      <c r="H197" s="172">
        <f>IF($G$208=0,0,G197/$G$208)</f>
        <v>0.1039177934996475</v>
      </c>
      <c r="I197" s="337"/>
      <c r="J197" s="168"/>
      <c r="K197" s="168"/>
      <c r="M197" s="364">
        <f>G197/G$228</f>
        <v>23.229308838461357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165"/>
      <c r="G198" s="165"/>
      <c r="H198" s="198"/>
      <c r="I198" s="341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1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490">
        <f>'[49]Sch C'!D211</f>
        <v>265404</v>
      </c>
      <c r="D200" s="490">
        <f>'[49]Sch C'!F211</f>
        <v>0</v>
      </c>
      <c r="E200" s="171">
        <f t="shared" ref="E200:E205" si="50">C200+D200</f>
        <v>265404</v>
      </c>
      <c r="F200" s="171"/>
      <c r="G200" s="171">
        <f t="shared" ref="G200:G205" si="51">E200+F200</f>
        <v>265404</v>
      </c>
      <c r="H200" s="172">
        <f t="shared" ref="H200:H206" si="52">IF($G$208=0,0,G200/$G$208)</f>
        <v>2.8036121473380558E-2</v>
      </c>
      <c r="I200" s="337"/>
      <c r="J200" s="183">
        <v>15455</v>
      </c>
      <c r="K200" s="183">
        <v>17168</v>
      </c>
      <c r="M200" s="364">
        <f t="shared" ref="M200:M205" si="53">G200/G$228</f>
        <v>6.2670665186899335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490">
        <f>'[49]Sch C'!D212</f>
        <v>68240</v>
      </c>
      <c r="D201" s="490">
        <f>'[49]Sch C'!F212</f>
        <v>0</v>
      </c>
      <c r="E201" s="171">
        <f t="shared" si="50"/>
        <v>68240</v>
      </c>
      <c r="F201" s="171"/>
      <c r="G201" s="171">
        <f t="shared" si="51"/>
        <v>68240</v>
      </c>
      <c r="H201" s="172">
        <f t="shared" si="52"/>
        <v>7.2085760928376711E-3</v>
      </c>
      <c r="I201" s="337"/>
      <c r="J201" s="168"/>
      <c r="K201" s="168"/>
      <c r="M201" s="364">
        <f t="shared" si="53"/>
        <v>1.6113721693546483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490">
        <f>'[49]Sch C'!D213</f>
        <v>7062</v>
      </c>
      <c r="D202" s="490">
        <f>'[49]Sch C'!F213</f>
        <v>0</v>
      </c>
      <c r="E202" s="171">
        <f t="shared" si="50"/>
        <v>7062</v>
      </c>
      <c r="F202" s="171"/>
      <c r="G202" s="171">
        <f t="shared" si="51"/>
        <v>7062</v>
      </c>
      <c r="H202" s="172">
        <f t="shared" si="52"/>
        <v>7.4599889167086214E-4</v>
      </c>
      <c r="I202" s="337"/>
      <c r="J202" s="168"/>
      <c r="K202" s="168"/>
      <c r="M202" s="364">
        <f t="shared" si="53"/>
        <v>0.16675718434909914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490">
        <f>'[49]Sch C'!D214</f>
        <v>0</v>
      </c>
      <c r="D203" s="490">
        <f>'[49]Sch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>
        <f t="shared" si="53"/>
        <v>0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490">
        <f>'[49]Sch C'!D215</f>
        <v>0</v>
      </c>
      <c r="D204" s="490">
        <f>'[49]Sch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490">
        <f>'[49]Sch C'!D216</f>
        <v>19188</v>
      </c>
      <c r="D205" s="490">
        <f>'[49]Sch C'!F216</f>
        <v>0</v>
      </c>
      <c r="E205" s="171">
        <f t="shared" si="50"/>
        <v>19188</v>
      </c>
      <c r="F205" s="171"/>
      <c r="G205" s="171">
        <f t="shared" si="51"/>
        <v>19188</v>
      </c>
      <c r="H205" s="172">
        <f t="shared" si="52"/>
        <v>2.0269366657293263E-3</v>
      </c>
      <c r="I205" s="337"/>
      <c r="J205" s="168"/>
      <c r="K205" s="168"/>
      <c r="M205" s="364">
        <f t="shared" si="53"/>
        <v>0.45309216274292191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490">
        <f>SUM(C200:C205)</f>
        <v>359894</v>
      </c>
      <c r="D206" s="490">
        <f>SUM(D200:D205)</f>
        <v>0</v>
      </c>
      <c r="E206" s="171">
        <f t="shared" ref="E206:F206" si="54">SUM(E200:E205)</f>
        <v>359894</v>
      </c>
      <c r="F206" s="171">
        <f t="shared" si="54"/>
        <v>0</v>
      </c>
      <c r="G206" s="171">
        <f>SUM(G200:G205)</f>
        <v>359894</v>
      </c>
      <c r="H206" s="172">
        <f t="shared" si="52"/>
        <v>3.8017633123618416E-2</v>
      </c>
      <c r="I206" s="337"/>
      <c r="J206" s="168"/>
      <c r="K206" s="168"/>
      <c r="M206" s="364">
        <f>G206/G$228</f>
        <v>8.4982880351366035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490">
        <f>SUM(C25:C206)/2</f>
        <v>10044015</v>
      </c>
      <c r="D208" s="490">
        <f>SUM(D25:D206)/2</f>
        <v>-577513</v>
      </c>
      <c r="E208" s="171">
        <f t="shared" ref="E208:F208" si="55">SUM(E25:E206)/2</f>
        <v>9466502</v>
      </c>
      <c r="F208" s="171">
        <f t="shared" si="55"/>
        <v>0</v>
      </c>
      <c r="G208" s="171">
        <f>SUM(G25:G206)/2</f>
        <v>9466502</v>
      </c>
      <c r="H208" s="172">
        <f>IF($G$208=0,0,G208/$G$208)</f>
        <v>1</v>
      </c>
      <c r="I208" s="337"/>
      <c r="J208" s="183">
        <f>SUM(J25:J200)</f>
        <v>311410</v>
      </c>
      <c r="K208" s="183">
        <f>SUM(K25:K200)</f>
        <v>341622</v>
      </c>
      <c r="M208" s="364">
        <f>G208/G$228</f>
        <v>223.53543176934519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490">
        <f>'[49]Sch C'!D221</f>
        <v>10044015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490">
        <f>C208-C211</f>
        <v>0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619"/>
      <c r="D213" s="232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490">
        <f>C21-C208</f>
        <v>719005</v>
      </c>
      <c r="D215" s="490">
        <f>D21-D208</f>
        <v>562080</v>
      </c>
      <c r="E215" s="171">
        <f t="shared" ref="E215:F215" si="56">E21-E208</f>
        <v>1281085</v>
      </c>
      <c r="F215" s="171">
        <f t="shared" si="56"/>
        <v>0</v>
      </c>
      <c r="G215" s="171">
        <f>G21-G208</f>
        <v>1281085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491">
        <f>'[49]Sch D'!C9</f>
        <v>2596</v>
      </c>
      <c r="D219" s="491"/>
      <c r="E219" s="235">
        <f t="shared" ref="E219:G227" si="57">C219+D219</f>
        <v>2596</v>
      </c>
      <c r="F219" s="234"/>
      <c r="G219" s="235">
        <f t="shared" si="57"/>
        <v>2596</v>
      </c>
      <c r="H219" s="172">
        <f t="shared" ref="H219:H228" si="58">IF($G$228=0,0,G219/$G$228)</f>
        <v>6.13001487638433E-2</v>
      </c>
      <c r="I219" s="337"/>
      <c r="J219" s="168"/>
      <c r="K219" s="168"/>
    </row>
    <row r="220" spans="1:14">
      <c r="A220" s="163"/>
      <c r="B220" s="170" t="s">
        <v>217</v>
      </c>
      <c r="C220" s="491">
        <f>'[49]Sch D'!D9</f>
        <v>0</v>
      </c>
      <c r="D220" s="491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7"/>
      <c r="J220" s="168"/>
      <c r="K220" s="168"/>
    </row>
    <row r="221" spans="1:14">
      <c r="A221" s="163"/>
      <c r="B221" s="170" t="s">
        <v>72</v>
      </c>
      <c r="C221" s="491">
        <f>'[49]Sch D'!E9</f>
        <v>2521</v>
      </c>
      <c r="D221" s="491"/>
      <c r="E221" s="235">
        <f t="shared" si="59"/>
        <v>2521</v>
      </c>
      <c r="F221" s="234"/>
      <c r="G221" s="235">
        <f t="shared" si="57"/>
        <v>2521</v>
      </c>
      <c r="H221" s="172">
        <f t="shared" si="58"/>
        <v>5.9529150629294668E-2</v>
      </c>
      <c r="I221" s="337"/>
      <c r="J221" s="168"/>
      <c r="K221" s="168"/>
    </row>
    <row r="222" spans="1:14">
      <c r="A222" s="163"/>
      <c r="B222" s="202" t="s">
        <v>334</v>
      </c>
      <c r="C222" s="491">
        <f>'[49]Sch D'!F9</f>
        <v>620</v>
      </c>
      <c r="D222" s="491"/>
      <c r="E222" s="235">
        <f>C222+D222</f>
        <v>620</v>
      </c>
      <c r="F222" s="234"/>
      <c r="G222" s="235">
        <f>E222+F222</f>
        <v>620</v>
      </c>
      <c r="H222" s="172">
        <f t="shared" si="58"/>
        <v>1.4640251245602021E-2</v>
      </c>
      <c r="I222" s="337"/>
      <c r="J222" s="168"/>
      <c r="K222" s="168"/>
    </row>
    <row r="223" spans="1:14">
      <c r="A223" s="163"/>
      <c r="B223" s="170" t="s">
        <v>73</v>
      </c>
      <c r="C223" s="491">
        <f>'[49]Sch D'!G9</f>
        <v>8689</v>
      </c>
      <c r="D223" s="491"/>
      <c r="E223" s="235">
        <f t="shared" si="59"/>
        <v>8689</v>
      </c>
      <c r="F223" s="234"/>
      <c r="G223" s="235">
        <f t="shared" si="57"/>
        <v>8689</v>
      </c>
      <c r="H223" s="172">
        <f t="shared" si="58"/>
        <v>0.20517603721457414</v>
      </c>
      <c r="I223" s="337"/>
      <c r="J223" s="168"/>
      <c r="K223" s="168"/>
    </row>
    <row r="224" spans="1:14">
      <c r="A224" s="163"/>
      <c r="B224" s="170" t="s">
        <v>74</v>
      </c>
      <c r="C224" s="491">
        <f>'[49]Sch D'!H9</f>
        <v>26693</v>
      </c>
      <c r="D224" s="491"/>
      <c r="E224" s="235">
        <f t="shared" si="59"/>
        <v>26693</v>
      </c>
      <c r="F224" s="234"/>
      <c r="G224" s="235">
        <f t="shared" si="57"/>
        <v>26693</v>
      </c>
      <c r="H224" s="172">
        <f t="shared" si="58"/>
        <v>0.63031004274008828</v>
      </c>
      <c r="I224" s="337"/>
      <c r="J224" s="168"/>
      <c r="K224" s="168"/>
    </row>
    <row r="225" spans="1:11">
      <c r="A225" s="163"/>
      <c r="B225" s="170" t="s">
        <v>236</v>
      </c>
      <c r="C225" s="491">
        <f>'[49]Sch D'!I9</f>
        <v>1230</v>
      </c>
      <c r="D225" s="491"/>
      <c r="E225" s="235">
        <f t="shared" si="59"/>
        <v>1230</v>
      </c>
      <c r="F225" s="234"/>
      <c r="G225" s="235">
        <f t="shared" si="57"/>
        <v>1230</v>
      </c>
      <c r="H225" s="172">
        <f t="shared" si="58"/>
        <v>2.9044369406597558E-2</v>
      </c>
      <c r="I225" s="337"/>
      <c r="J225" s="168"/>
      <c r="K225" s="168"/>
    </row>
    <row r="226" spans="1:11">
      <c r="A226" s="163"/>
      <c r="B226" s="170" t="s">
        <v>235</v>
      </c>
      <c r="C226" s="491">
        <f>'[49]Sch D'!J9</f>
        <v>0</v>
      </c>
      <c r="D226" s="491"/>
      <c r="E226" s="235">
        <f>C226+D226</f>
        <v>0</v>
      </c>
      <c r="F226" s="234"/>
      <c r="G226" s="235">
        <f>E226+F226</f>
        <v>0</v>
      </c>
      <c r="H226" s="172">
        <f t="shared" si="58"/>
        <v>0</v>
      </c>
      <c r="I226" s="337"/>
      <c r="J226" s="168"/>
      <c r="K226" s="168"/>
    </row>
    <row r="227" spans="1:11">
      <c r="A227" s="163"/>
      <c r="B227" s="170" t="s">
        <v>179</v>
      </c>
      <c r="C227" s="491">
        <f>'[49]Sch D'!K9</f>
        <v>0</v>
      </c>
      <c r="D227" s="491"/>
      <c r="E227" s="235">
        <f t="shared" si="59"/>
        <v>0</v>
      </c>
      <c r="F227" s="234"/>
      <c r="G227" s="235">
        <f t="shared" si="57"/>
        <v>0</v>
      </c>
      <c r="H227" s="172">
        <f t="shared" si="58"/>
        <v>0</v>
      </c>
      <c r="I227" s="337"/>
      <c r="J227" s="168"/>
      <c r="K227" s="168"/>
    </row>
    <row r="228" spans="1:11" ht="13.5" thickBot="1">
      <c r="A228" s="163"/>
      <c r="B228" s="236" t="s">
        <v>75</v>
      </c>
      <c r="C228" s="491">
        <f>SUM(C219:C227)</f>
        <v>42349</v>
      </c>
      <c r="D228" s="491">
        <f>SUM(D219:D227)</f>
        <v>0</v>
      </c>
      <c r="E228" s="237">
        <f>SUM(E219:E227)</f>
        <v>42349</v>
      </c>
      <c r="F228" s="237">
        <f>SUM(F219:F227)</f>
        <v>0</v>
      </c>
      <c r="G228" s="237">
        <f>SUM(G219:G227)</f>
        <v>42349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620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619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492">
        <f>'[49]Sch D'!N22</f>
        <v>120</v>
      </c>
      <c r="D231" s="526"/>
      <c r="E231" s="235">
        <f>C231+D231</f>
        <v>120</v>
      </c>
      <c r="F231" s="235"/>
      <c r="G231" s="235">
        <f>E231+F231</f>
        <v>120</v>
      </c>
      <c r="H231" s="167"/>
      <c r="J231" s="168"/>
      <c r="K231" s="168"/>
    </row>
    <row r="232" spans="1:11">
      <c r="A232" s="163"/>
      <c r="B232" s="202" t="s">
        <v>290</v>
      </c>
      <c r="C232" s="492">
        <f>'[49]Sch D'!N24</f>
        <v>12</v>
      </c>
      <c r="D232" s="526"/>
      <c r="E232" s="235">
        <f>C232+D232</f>
        <v>12</v>
      </c>
      <c r="F232" s="235">
        <v>10</v>
      </c>
      <c r="G232" s="235">
        <f>E232+F232</f>
        <v>22</v>
      </c>
      <c r="H232" s="522" t="s">
        <v>640</v>
      </c>
      <c r="J232" s="168"/>
      <c r="K232" s="168"/>
    </row>
    <row r="233" spans="1:11">
      <c r="A233" s="163"/>
      <c r="B233" s="202" t="s">
        <v>76</v>
      </c>
      <c r="C233" s="492">
        <f>$C$4-$C$3+1</f>
        <v>365</v>
      </c>
      <c r="D233" s="489"/>
      <c r="E233" s="235">
        <f>C233+D233</f>
        <v>365</v>
      </c>
      <c r="F233" s="240"/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621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492">
        <f>'[49]Sch D'!N28</f>
        <v>43800</v>
      </c>
      <c r="D235" s="489"/>
      <c r="E235" s="234">
        <f>E231*E233</f>
        <v>43800</v>
      </c>
      <c r="F235" s="240"/>
      <c r="G235" s="234">
        <f>G231*G233</f>
        <v>43800</v>
      </c>
      <c r="H235" s="167"/>
      <c r="J235" s="168"/>
      <c r="K235" s="168"/>
    </row>
    <row r="236" spans="1:11" ht="26">
      <c r="A236" s="163"/>
      <c r="B236" s="244" t="s">
        <v>336</v>
      </c>
      <c r="C236" s="493">
        <f>'[49]Sch D'!N30</f>
        <v>0.96687214611872141</v>
      </c>
      <c r="D236" s="240"/>
      <c r="E236" s="245">
        <f>E228/E235</f>
        <v>0.96687214611872141</v>
      </c>
      <c r="F236" s="246"/>
      <c r="G236" s="245">
        <f>G228/G235</f>
        <v>0.96687214611872141</v>
      </c>
      <c r="H236" s="167"/>
      <c r="J236" s="168"/>
      <c r="K236" s="168"/>
    </row>
    <row r="237" spans="1:11" ht="26">
      <c r="A237" s="163"/>
      <c r="B237" s="244" t="s">
        <v>337</v>
      </c>
      <c r="C237" s="493">
        <f>'[49]Sch D'!N32</f>
        <v>5.9269406392694061E-2</v>
      </c>
      <c r="D237" s="240"/>
      <c r="E237" s="245">
        <f>(E219+E220)/E235</f>
        <v>5.9269406392694061E-2</v>
      </c>
      <c r="F237" s="246"/>
      <c r="G237" s="245">
        <f>(G219+G220)/G235</f>
        <v>5.9269406392694061E-2</v>
      </c>
      <c r="H237" s="167"/>
      <c r="J237" s="168"/>
      <c r="K237" s="168"/>
    </row>
    <row r="238" spans="1:11" ht="26">
      <c r="A238" s="163"/>
      <c r="B238" s="244" t="s">
        <v>338</v>
      </c>
      <c r="C238" s="493">
        <f>'[49]Sch D'!N34</f>
        <v>6.13001487638433E-2</v>
      </c>
      <c r="D238" s="240"/>
      <c r="E238" s="245">
        <f>(E237/E236)</f>
        <v>6.13001487638433E-2</v>
      </c>
      <c r="F238" s="246"/>
      <c r="G238" s="245">
        <f>(G237/G236)</f>
        <v>6.13001487638433E-2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490">
        <f>'[49]Sch B'!C85</f>
        <v>187.67940915417947</v>
      </c>
    </row>
    <row r="242" spans="2:7">
      <c r="F242" s="142" t="s">
        <v>341</v>
      </c>
      <c r="G242" s="490">
        <f>'[49]Sch B'!E85</f>
        <v>187.67934459495703</v>
      </c>
    </row>
    <row r="243" spans="2:7">
      <c r="F243" s="142" t="s">
        <v>342</v>
      </c>
      <c r="G243" s="490">
        <f>'[49]Sch B'!G85</f>
        <v>187.67942067738301</v>
      </c>
    </row>
    <row r="244" spans="2:7">
      <c r="F244" s="142" t="s">
        <v>343</v>
      </c>
      <c r="G244" s="490">
        <f>'[49]Sch B'!I85</f>
        <v>187.67923894764013</v>
      </c>
    </row>
    <row r="245" spans="2:7">
      <c r="F245" s="142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0">
    <tabColor rgb="FFE28CAB"/>
  </sheetPr>
  <dimension ref="A1:Q245"/>
  <sheetViews>
    <sheetView showGridLines="0" zoomScale="90" zoomScaleNormal="90" workbookViewId="0">
      <pane xSplit="2" topLeftCell="C1" activePane="topRight" state="frozen"/>
      <selection activeCell="N1" sqref="N1"/>
      <selection pane="topRight"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478"/>
      <c r="E1" s="478"/>
      <c r="F1" s="478"/>
      <c r="G1" s="478"/>
      <c r="H1" s="478"/>
      <c r="I1" s="479"/>
    </row>
    <row r="2" spans="1:14" ht="23">
      <c r="B2" s="143" t="s">
        <v>189</v>
      </c>
      <c r="C2" s="247" t="s">
        <v>440</v>
      </c>
      <c r="D2" s="247"/>
      <c r="E2" s="144"/>
    </row>
    <row r="3" spans="1:14">
      <c r="A3" s="145"/>
      <c r="B3" s="140" t="s">
        <v>79</v>
      </c>
      <c r="C3" s="495">
        <v>41821</v>
      </c>
      <c r="D3" s="144"/>
      <c r="E3" s="147"/>
    </row>
    <row r="4" spans="1:14">
      <c r="A4" s="145"/>
      <c r="B4" s="148" t="s">
        <v>80</v>
      </c>
      <c r="C4" s="495">
        <v>42185</v>
      </c>
      <c r="D4" s="144"/>
      <c r="E4" s="149"/>
      <c r="G4" s="150"/>
    </row>
    <row r="5" spans="1:14">
      <c r="A5" s="145"/>
      <c r="B5" s="148"/>
      <c r="C5" s="151"/>
      <c r="D5" s="144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144"/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573">
        <f>'[50]Sch B'!E10</f>
        <v>1164114</v>
      </c>
      <c r="D11" s="573">
        <f>'[50]Sch B'!G10</f>
        <v>0</v>
      </c>
      <c r="E11" s="171">
        <f>C11+D11</f>
        <v>1164114</v>
      </c>
      <c r="F11" s="171"/>
      <c r="G11" s="171">
        <f t="shared" ref="G11:G20" si="0">E11+F11</f>
        <v>1164114</v>
      </c>
      <c r="H11" s="172">
        <f t="shared" ref="H11:H21" si="1">IF($G$21=0,0,G11/$G$21)</f>
        <v>0.21719249841319477</v>
      </c>
      <c r="I11" s="337"/>
      <c r="J11" s="368" t="s">
        <v>344</v>
      </c>
      <c r="K11" s="369">
        <f>G21</f>
        <v>5359826</v>
      </c>
      <c r="M11" s="359">
        <f>IFERROR(G11/G219,0)</f>
        <v>174.11217469338916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573">
        <f>'[50]Sch B'!E15</f>
        <v>0</v>
      </c>
      <c r="D12" s="573">
        <f>'[50]Sch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7"/>
      <c r="J12" s="370" t="s">
        <v>345</v>
      </c>
      <c r="K12" s="371">
        <f>G208</f>
        <v>5535975.0300000003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573">
        <f>'[50]Sch B'!E21</f>
        <v>2800309</v>
      </c>
      <c r="D13" s="573">
        <f>'[50]Sch B'!G21</f>
        <v>0</v>
      </c>
      <c r="E13" s="171">
        <f t="shared" si="2"/>
        <v>2800309</v>
      </c>
      <c r="F13" s="171"/>
      <c r="G13" s="171">
        <f t="shared" si="0"/>
        <v>2800309</v>
      </c>
      <c r="H13" s="172">
        <f t="shared" si="1"/>
        <v>0.52246266949710685</v>
      </c>
      <c r="I13" s="337"/>
      <c r="J13" s="370" t="s">
        <v>346</v>
      </c>
      <c r="K13" s="371">
        <f>G228</f>
        <v>15903</v>
      </c>
      <c r="M13" s="359">
        <f t="shared" si="3"/>
        <v>524.10799176492606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573">
        <f>'[50]Sch B'!E27</f>
        <v>980598</v>
      </c>
      <c r="D14" s="573">
        <f>'[50]Sch B'!G27</f>
        <v>0</v>
      </c>
      <c r="E14" s="171">
        <f t="shared" si="2"/>
        <v>980598</v>
      </c>
      <c r="F14" s="175"/>
      <c r="G14" s="175">
        <f>E14+F14</f>
        <v>980598</v>
      </c>
      <c r="H14" s="176">
        <f t="shared" si="1"/>
        <v>0.18295332721621932</v>
      </c>
      <c r="I14" s="338"/>
      <c r="J14" s="370" t="s">
        <v>347</v>
      </c>
      <c r="K14" s="371">
        <f>G231</f>
        <v>89</v>
      </c>
      <c r="M14" s="359">
        <f t="shared" si="3"/>
        <v>542.66629773104592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573">
        <f>'[50]Sch B'!E32</f>
        <v>0</v>
      </c>
      <c r="D15" s="573">
        <f>'[50]Sch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7"/>
      <c r="J15" s="370" t="s">
        <v>348</v>
      </c>
      <c r="K15" s="371">
        <f>G235</f>
        <v>32485</v>
      </c>
      <c r="M15" s="359">
        <f t="shared" si="3"/>
        <v>0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573">
        <f>'[50]Sch B'!E37</f>
        <v>247365</v>
      </c>
      <c r="D16" s="573">
        <f>'[50]Sch B'!G37</f>
        <v>0</v>
      </c>
      <c r="E16" s="171">
        <f t="shared" si="2"/>
        <v>247365</v>
      </c>
      <c r="F16" s="171"/>
      <c r="G16" s="171">
        <f t="shared" si="0"/>
        <v>247365</v>
      </c>
      <c r="H16" s="172">
        <f t="shared" si="1"/>
        <v>4.6151684774841571E-2</v>
      </c>
      <c r="I16" s="337"/>
      <c r="J16" s="372"/>
      <c r="K16" s="371"/>
      <c r="M16" s="359">
        <f t="shared" si="3"/>
        <v>213.06201550387595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573">
        <f>'[50]Sch B'!E42</f>
        <v>167240</v>
      </c>
      <c r="D17" s="573">
        <f>'[50]Sch B'!G42</f>
        <v>0</v>
      </c>
      <c r="E17" s="171">
        <f t="shared" si="2"/>
        <v>167240</v>
      </c>
      <c r="F17" s="171"/>
      <c r="G17" s="171">
        <f>E17+F17</f>
        <v>167240</v>
      </c>
      <c r="H17" s="172">
        <f t="shared" si="1"/>
        <v>3.1202505454468111E-2</v>
      </c>
      <c r="I17" s="337"/>
      <c r="J17" s="370" t="s">
        <v>156</v>
      </c>
      <c r="K17" s="371">
        <f>J208</f>
        <v>131388</v>
      </c>
      <c r="M17" s="359">
        <f t="shared" si="3"/>
        <v>184.5916114790287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573">
        <f>'[50]Sch B'!E47</f>
        <v>0</v>
      </c>
      <c r="D18" s="573">
        <f>'[50]Sch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337"/>
      <c r="J18" s="373" t="s">
        <v>252</v>
      </c>
      <c r="K18" s="374">
        <f>K208</f>
        <v>121215</v>
      </c>
      <c r="M18" s="359">
        <f t="shared" si="3"/>
        <v>0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573">
        <f>'[50]Sch B'!E52</f>
        <v>200</v>
      </c>
      <c r="D19" s="573">
        <f>'[50]Sch B'!G52</f>
        <v>0</v>
      </c>
      <c r="E19" s="171">
        <f t="shared" si="2"/>
        <v>200</v>
      </c>
      <c r="F19" s="171"/>
      <c r="G19" s="171">
        <f t="shared" si="0"/>
        <v>200</v>
      </c>
      <c r="H19" s="172">
        <f t="shared" si="1"/>
        <v>3.7314644169418933E-5</v>
      </c>
      <c r="I19" s="337"/>
      <c r="J19" s="168"/>
      <c r="K19" s="168"/>
      <c r="M19" s="359">
        <f t="shared" si="3"/>
        <v>0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573">
        <f>'[50]Sch B'!E67</f>
        <v>-137</v>
      </c>
      <c r="D20" s="573">
        <f>'[50]Sch B'!G67</f>
        <v>137</v>
      </c>
      <c r="E20" s="171">
        <f t="shared" si="2"/>
        <v>0</v>
      </c>
      <c r="F20" s="171"/>
      <c r="G20" s="171">
        <f t="shared" si="0"/>
        <v>0</v>
      </c>
      <c r="H20" s="172">
        <f t="shared" si="1"/>
        <v>0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573">
        <f>SUM(C11:C20)</f>
        <v>5359689</v>
      </c>
      <c r="D21" s="573">
        <f>SUM(D11:D20)</f>
        <v>137</v>
      </c>
      <c r="E21" s="171">
        <f>SUM(E11:E20)</f>
        <v>5359826</v>
      </c>
      <c r="F21" s="171">
        <f>SUM(F11:F20)</f>
        <v>0</v>
      </c>
      <c r="G21" s="171">
        <f>SUM(G11:G20)</f>
        <v>5359826</v>
      </c>
      <c r="H21" s="172">
        <f t="shared" si="1"/>
        <v>1</v>
      </c>
      <c r="I21" s="337"/>
      <c r="J21" s="168"/>
      <c r="K21" s="168"/>
      <c r="M21" s="359">
        <f>IFERROR(G21/G228,0)</f>
        <v>337.03238382695088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4">
      <c r="A24" s="181" t="s">
        <v>161</v>
      </c>
      <c r="B24" s="148" t="s">
        <v>12</v>
      </c>
      <c r="M24" s="363"/>
      <c r="N24" s="363"/>
    </row>
    <row r="25" spans="1:14" s="167" customFormat="1">
      <c r="A25" s="169" t="s">
        <v>83</v>
      </c>
      <c r="B25" s="170" t="s">
        <v>14</v>
      </c>
      <c r="C25" s="573">
        <f>'[50]Sch C'!D10</f>
        <v>147028</v>
      </c>
      <c r="D25" s="573">
        <f>'[50]Sch C'!F10</f>
        <v>0</v>
      </c>
      <c r="E25" s="171">
        <f t="shared" ref="E25:E60" si="4">C25+D25</f>
        <v>147028</v>
      </c>
      <c r="F25" s="171"/>
      <c r="G25" s="182">
        <f>E25+F25</f>
        <v>147028</v>
      </c>
      <c r="H25" s="172">
        <f>IF($G$208=0,0,G25/$G$208)</f>
        <v>2.6558645803718518E-2</v>
      </c>
      <c r="I25" s="337"/>
      <c r="J25" s="183">
        <v>2068</v>
      </c>
      <c r="K25" s="183">
        <v>0</v>
      </c>
      <c r="M25" s="359">
        <f>G25/G$228</f>
        <v>9.2452996290008169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573">
        <f>'[50]Sch C'!D11</f>
        <v>0</v>
      </c>
      <c r="D26" s="573">
        <f>'[50]Sch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573">
        <f>'[50]Sch C'!D12</f>
        <v>176131</v>
      </c>
      <c r="D27" s="573">
        <f>'[50]Sch C'!F12</f>
        <v>0</v>
      </c>
      <c r="E27" s="171">
        <f t="shared" si="4"/>
        <v>176131</v>
      </c>
      <c r="F27" s="171"/>
      <c r="G27" s="171">
        <f t="shared" si="5"/>
        <v>176131</v>
      </c>
      <c r="H27" s="172">
        <f t="shared" si="6"/>
        <v>3.1815714313292338E-2</v>
      </c>
      <c r="I27" s="337"/>
      <c r="J27" s="185">
        <v>8105</v>
      </c>
      <c r="K27" s="185">
        <v>0</v>
      </c>
      <c r="M27" s="359">
        <f t="shared" si="7"/>
        <v>11.075331698421682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573">
        <f>'[50]Sch C'!D13</f>
        <v>80098</v>
      </c>
      <c r="D28" s="573">
        <f>'[50]Sch C'!F13</f>
        <v>0</v>
      </c>
      <c r="E28" s="171">
        <f t="shared" si="4"/>
        <v>80098</v>
      </c>
      <c r="F28" s="171"/>
      <c r="G28" s="171">
        <f t="shared" si="5"/>
        <v>80098</v>
      </c>
      <c r="H28" s="172">
        <f t="shared" si="6"/>
        <v>1.4468634624603788E-2</v>
      </c>
      <c r="I28" s="337"/>
      <c r="J28" s="168"/>
      <c r="K28" s="168"/>
      <c r="M28" s="359">
        <f t="shared" si="7"/>
        <v>5.0366597497327552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573">
        <f>'[50]Sch C'!D14</f>
        <v>0</v>
      </c>
      <c r="D29" s="573">
        <f>'[50]Sch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573">
        <f>'[50]Sch C'!D15</f>
        <v>0</v>
      </c>
      <c r="D30" s="573">
        <f>'[50]Sch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7"/>
      <c r="J30" s="168"/>
      <c r="K30" s="168"/>
      <c r="M30" s="359">
        <f t="shared" si="7"/>
        <v>0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573">
        <f>'[50]Sch C'!D16</f>
        <v>0</v>
      </c>
      <c r="D31" s="573">
        <f>'[50]Sch C'!F16</f>
        <v>0</v>
      </c>
      <c r="E31" s="171">
        <f t="shared" si="4"/>
        <v>0</v>
      </c>
      <c r="F31" s="171"/>
      <c r="G31" s="171">
        <f t="shared" si="5"/>
        <v>0</v>
      </c>
      <c r="H31" s="172">
        <f t="shared" si="6"/>
        <v>0</v>
      </c>
      <c r="I31" s="337"/>
      <c r="J31" s="168"/>
      <c r="K31" s="168"/>
      <c r="M31" s="359">
        <f t="shared" si="7"/>
        <v>0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573">
        <f>'[50]Sch C'!D17</f>
        <v>34226</v>
      </c>
      <c r="D32" s="573">
        <f>'[50]Sch C'!F17</f>
        <v>-31444</v>
      </c>
      <c r="E32" s="171">
        <f t="shared" si="4"/>
        <v>2782</v>
      </c>
      <c r="F32" s="171"/>
      <c r="G32" s="171">
        <f t="shared" si="5"/>
        <v>2782</v>
      </c>
      <c r="H32" s="172">
        <f t="shared" si="6"/>
        <v>5.0253116838931981E-4</v>
      </c>
      <c r="I32" s="337"/>
      <c r="J32" s="168"/>
      <c r="K32" s="168"/>
      <c r="M32" s="359">
        <f t="shared" si="7"/>
        <v>0.17493554675218512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573">
        <f>'[50]Sch C'!D18</f>
        <v>15714</v>
      </c>
      <c r="D33" s="573">
        <f>'[50]Sch C'!F18</f>
        <v>0</v>
      </c>
      <c r="E33" s="171">
        <f t="shared" si="4"/>
        <v>15714</v>
      </c>
      <c r="F33" s="171"/>
      <c r="G33" s="171">
        <f t="shared" si="5"/>
        <v>15714</v>
      </c>
      <c r="H33" s="172">
        <f t="shared" si="6"/>
        <v>2.8385243637921538E-3</v>
      </c>
      <c r="I33" s="337"/>
      <c r="J33" s="168"/>
      <c r="K33" s="168"/>
      <c r="M33" s="359">
        <f t="shared" si="7"/>
        <v>0.98811544991511036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573">
        <f>'[50]Sch C'!D19</f>
        <v>17265</v>
      </c>
      <c r="D34" s="573">
        <f>'[50]Sch C'!F19</f>
        <v>0</v>
      </c>
      <c r="E34" s="171">
        <f t="shared" si="4"/>
        <v>17265</v>
      </c>
      <c r="F34" s="171"/>
      <c r="G34" s="171">
        <f t="shared" si="5"/>
        <v>17265</v>
      </c>
      <c r="H34" s="172">
        <f t="shared" si="6"/>
        <v>3.1186918124520512E-3</v>
      </c>
      <c r="I34" s="337"/>
      <c r="J34" s="168"/>
      <c r="K34" s="168"/>
      <c r="M34" s="359">
        <f t="shared" si="7"/>
        <v>1.0856442180720618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573">
        <f>'[50]Sch C'!D20</f>
        <v>34236</v>
      </c>
      <c r="D35" s="573">
        <f>'[50]Sch C'!F20</f>
        <v>0</v>
      </c>
      <c r="E35" s="171">
        <f t="shared" si="4"/>
        <v>34236</v>
      </c>
      <c r="F35" s="171"/>
      <c r="G35" s="171">
        <f t="shared" si="5"/>
        <v>34236</v>
      </c>
      <c r="H35" s="172">
        <f t="shared" si="6"/>
        <v>6.1842764489492283E-3</v>
      </c>
      <c r="I35" s="337"/>
      <c r="J35" s="168"/>
      <c r="K35" s="168"/>
      <c r="M35" s="359">
        <f t="shared" si="7"/>
        <v>2.1528013582342953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573">
        <f>'[50]Sch C'!D21</f>
        <v>80449</v>
      </c>
      <c r="D36" s="573">
        <f>'[50]Sch C'!F21</f>
        <v>-5000</v>
      </c>
      <c r="E36" s="171">
        <f t="shared" si="4"/>
        <v>75449</v>
      </c>
      <c r="F36" s="171"/>
      <c r="G36" s="171">
        <f t="shared" si="5"/>
        <v>75449</v>
      </c>
      <c r="H36" s="172">
        <f t="shared" si="6"/>
        <v>1.3628854825235726E-2</v>
      </c>
      <c r="I36" s="337"/>
      <c r="J36" s="168"/>
      <c r="K36" s="168"/>
      <c r="M36" s="359">
        <f t="shared" si="7"/>
        <v>4.7443249701314221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573">
        <f>'[50]Sch C'!D22</f>
        <v>0</v>
      </c>
      <c r="D37" s="573">
        <f>'[50]Sch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573">
        <f>'[50]Sch C'!D23</f>
        <v>24265</v>
      </c>
      <c r="D38" s="573">
        <f>'[50]Sch C'!F23</f>
        <v>-18214</v>
      </c>
      <c r="E38" s="171">
        <f t="shared" si="4"/>
        <v>6051</v>
      </c>
      <c r="F38" s="171"/>
      <c r="G38" s="171">
        <f t="shared" si="5"/>
        <v>6051</v>
      </c>
      <c r="H38" s="172">
        <f t="shared" si="6"/>
        <v>1.0930323867447069E-3</v>
      </c>
      <c r="I38" s="337"/>
      <c r="J38" s="168"/>
      <c r="K38" s="168"/>
      <c r="M38" s="359">
        <f t="shared" si="7"/>
        <v>0.38049424636860968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573">
        <f>'[50]Sch C'!D24</f>
        <v>24951.72</v>
      </c>
      <c r="D39" s="573">
        <f>'[50]Sch C'!F24</f>
        <v>0</v>
      </c>
      <c r="E39" s="171">
        <f t="shared" si="4"/>
        <v>24951.72</v>
      </c>
      <c r="F39" s="171"/>
      <c r="G39" s="171">
        <f t="shared" si="5"/>
        <v>24951.72</v>
      </c>
      <c r="H39" s="172">
        <f t="shared" si="6"/>
        <v>4.5071951850909992E-3</v>
      </c>
      <c r="I39" s="337"/>
      <c r="J39" s="168"/>
      <c r="K39" s="168"/>
      <c r="M39" s="359">
        <f t="shared" si="7"/>
        <v>1.5689945293340879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573">
        <f>'[50]Sch C'!D25</f>
        <v>0</v>
      </c>
      <c r="D40" s="573">
        <f>'[50]Sch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337"/>
      <c r="J40" s="168"/>
      <c r="K40" s="168"/>
      <c r="M40" s="359">
        <f t="shared" si="7"/>
        <v>0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573">
        <f>'[50]Sch C'!D26</f>
        <v>134795</v>
      </c>
      <c r="D41" s="573">
        <f>'[50]Sch C'!F26</f>
        <v>0</v>
      </c>
      <c r="E41" s="171">
        <f t="shared" si="4"/>
        <v>134795</v>
      </c>
      <c r="F41" s="171"/>
      <c r="G41" s="171">
        <f t="shared" si="5"/>
        <v>134795</v>
      </c>
      <c r="H41" s="172">
        <f t="shared" si="6"/>
        <v>2.4348917628698192E-2</v>
      </c>
      <c r="I41" s="337"/>
      <c r="J41" s="168"/>
      <c r="K41" s="168"/>
      <c r="M41" s="359">
        <f t="shared" si="7"/>
        <v>8.47607369678677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573">
        <f>'[50]Sch C'!D27</f>
        <v>0</v>
      </c>
      <c r="D42" s="573">
        <f>'[50]Sch C'!F27</f>
        <v>0</v>
      </c>
      <c r="E42" s="171">
        <f t="shared" si="4"/>
        <v>0</v>
      </c>
      <c r="F42" s="171"/>
      <c r="G42" s="171">
        <f t="shared" si="5"/>
        <v>0</v>
      </c>
      <c r="H42" s="172">
        <f t="shared" si="6"/>
        <v>0</v>
      </c>
      <c r="I42" s="337"/>
      <c r="J42" s="168"/>
      <c r="K42" s="168"/>
      <c r="M42" s="359">
        <f t="shared" si="7"/>
        <v>0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573">
        <f>'[50]Sch C'!D28</f>
        <v>0</v>
      </c>
      <c r="D43" s="573">
        <f>'[50]Sch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573">
        <f>'[50]Sch C'!D29</f>
        <v>112303</v>
      </c>
      <c r="D44" s="573">
        <f>'[50]Sch C'!F29</f>
        <v>-112303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573">
        <f>'[50]Sch C'!D30</f>
        <v>0</v>
      </c>
      <c r="D45" s="573">
        <f>'[50]Sch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573">
        <f>'[50]Sch C'!D31</f>
        <v>23960</v>
      </c>
      <c r="D46" s="573">
        <f>'[50]Sch C'!F31</f>
        <v>0</v>
      </c>
      <c r="E46" s="171">
        <f t="shared" si="4"/>
        <v>23960</v>
      </c>
      <c r="F46" s="171"/>
      <c r="G46" s="171">
        <f t="shared" si="5"/>
        <v>23960</v>
      </c>
      <c r="H46" s="172">
        <f t="shared" si="6"/>
        <v>4.3280542036693397E-3</v>
      </c>
      <c r="I46" s="337"/>
      <c r="J46" s="168"/>
      <c r="K46" s="168"/>
      <c r="M46" s="359">
        <f t="shared" si="7"/>
        <v>1.506633968433629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573">
        <f>'[50]Sch C'!D32</f>
        <v>441090</v>
      </c>
      <c r="D47" s="573">
        <f>'[50]Sch C'!F32</f>
        <v>0</v>
      </c>
      <c r="E47" s="171">
        <f t="shared" si="4"/>
        <v>441090</v>
      </c>
      <c r="F47" s="171">
        <v>-139239</v>
      </c>
      <c r="G47" s="171">
        <f t="shared" si="5"/>
        <v>301851</v>
      </c>
      <c r="H47" s="172">
        <f t="shared" si="6"/>
        <v>5.4525354316852834E-2</v>
      </c>
      <c r="I47" s="337"/>
      <c r="J47" s="168"/>
      <c r="K47" s="168"/>
      <c r="M47" s="359">
        <f t="shared" si="7"/>
        <v>18.980758347481608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573">
        <f>'[50]Sch C'!D33</f>
        <v>0</v>
      </c>
      <c r="D48" s="573">
        <f>'[50]Sch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573">
        <f>'[50]Sch C'!D34</f>
        <v>0</v>
      </c>
      <c r="D49" s="573">
        <f>'[50]Sch C'!F34</f>
        <v>0</v>
      </c>
      <c r="E49" s="171">
        <f t="shared" si="4"/>
        <v>0</v>
      </c>
      <c r="F49" s="171"/>
      <c r="G49" s="171">
        <f t="shared" si="5"/>
        <v>0</v>
      </c>
      <c r="H49" s="172">
        <f t="shared" si="6"/>
        <v>0</v>
      </c>
      <c r="I49" s="337"/>
      <c r="J49" s="168"/>
      <c r="K49" s="168"/>
      <c r="M49" s="359">
        <f t="shared" si="7"/>
        <v>0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573">
        <f>'[50]Sch C'!D35</f>
        <v>480</v>
      </c>
      <c r="D50" s="573">
        <f>'[50]Sch C'!F35</f>
        <v>-480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573">
        <f>'[50]Sch C'!D36</f>
        <v>0</v>
      </c>
      <c r="D51" s="573">
        <f>'[50]Sch C'!F36</f>
        <v>0</v>
      </c>
      <c r="E51" s="171">
        <f t="shared" si="4"/>
        <v>0</v>
      </c>
      <c r="F51" s="171"/>
      <c r="G51" s="171">
        <f t="shared" si="5"/>
        <v>0</v>
      </c>
      <c r="H51" s="172">
        <f t="shared" si="6"/>
        <v>0</v>
      </c>
      <c r="I51" s="337"/>
      <c r="J51" s="183">
        <v>0</v>
      </c>
      <c r="K51" s="183">
        <v>0</v>
      </c>
      <c r="M51" s="359">
        <f t="shared" si="7"/>
        <v>0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573">
        <f>'[50]Sch C'!D37</f>
        <v>0</v>
      </c>
      <c r="D52" s="573">
        <f>'[50]Sch C'!F37</f>
        <v>0</v>
      </c>
      <c r="E52" s="171">
        <f t="shared" si="4"/>
        <v>0</v>
      </c>
      <c r="F52" s="171"/>
      <c r="G52" s="171">
        <f t="shared" si="5"/>
        <v>0</v>
      </c>
      <c r="H52" s="172">
        <f t="shared" si="6"/>
        <v>0</v>
      </c>
      <c r="I52" s="337"/>
      <c r="J52" s="168"/>
      <c r="K52" s="168"/>
      <c r="M52" s="359">
        <f t="shared" si="7"/>
        <v>0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573">
        <f>'[50]Sch C'!D38</f>
        <v>33</v>
      </c>
      <c r="D53" s="573">
        <f>'[50]Sch C'!F38</f>
        <v>-33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7"/>
      <c r="J53" s="168"/>
      <c r="K53" s="168"/>
      <c r="M53" s="359">
        <f t="shared" si="7"/>
        <v>0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573">
        <f>'[50]Sch C'!D39</f>
        <v>3561</v>
      </c>
      <c r="D54" s="573">
        <f>'[50]Sch C'!F39</f>
        <v>-3561</v>
      </c>
      <c r="E54" s="171">
        <f t="shared" si="4"/>
        <v>0</v>
      </c>
      <c r="F54" s="171"/>
      <c r="G54" s="171">
        <f t="shared" si="5"/>
        <v>0</v>
      </c>
      <c r="H54" s="172">
        <f t="shared" si="6"/>
        <v>0</v>
      </c>
      <c r="I54" s="337"/>
      <c r="J54" s="168"/>
      <c r="K54" s="168"/>
      <c r="M54" s="359">
        <f t="shared" si="7"/>
        <v>0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573">
        <f>'[50]Sch C'!D40</f>
        <v>8211</v>
      </c>
      <c r="D55" s="573">
        <f>'[50]Sch C'!F40</f>
        <v>0</v>
      </c>
      <c r="E55" s="171">
        <f t="shared" si="4"/>
        <v>8211</v>
      </c>
      <c r="F55" s="171"/>
      <c r="G55" s="171">
        <f t="shared" si="5"/>
        <v>8211</v>
      </c>
      <c r="H55" s="172">
        <f t="shared" si="6"/>
        <v>1.4832075570254152E-3</v>
      </c>
      <c r="I55" s="337"/>
      <c r="J55" s="168"/>
      <c r="K55" s="168"/>
      <c r="M55" s="359">
        <f t="shared" si="7"/>
        <v>0.51631767591020561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573">
        <f>'[50]Sch C'!D41</f>
        <v>462711</v>
      </c>
      <c r="D56" s="573">
        <f>'[50]Sch C'!F41</f>
        <v>-102214</v>
      </c>
      <c r="E56" s="171">
        <f t="shared" si="4"/>
        <v>360497</v>
      </c>
      <c r="F56" s="171"/>
      <c r="G56" s="171">
        <f t="shared" si="5"/>
        <v>360497</v>
      </c>
      <c r="H56" s="172">
        <f t="shared" si="6"/>
        <v>6.5118971463279884E-2</v>
      </c>
      <c r="I56" s="337"/>
      <c r="J56" s="168"/>
      <c r="K56" s="168"/>
      <c r="M56" s="359">
        <f t="shared" si="7"/>
        <v>22.668490221970696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573">
        <f>'[50]Sch C'!D42</f>
        <v>0</v>
      </c>
      <c r="D57" s="573">
        <f>'[50]Sch C'!F42</f>
        <v>0</v>
      </c>
      <c r="E57" s="171">
        <f t="shared" si="4"/>
        <v>0</v>
      </c>
      <c r="F57" s="171"/>
      <c r="G57" s="171">
        <f t="shared" si="5"/>
        <v>0</v>
      </c>
      <c r="H57" s="172">
        <f t="shared" si="6"/>
        <v>0</v>
      </c>
      <c r="I57" s="337"/>
      <c r="J57" s="168"/>
      <c r="K57" s="168"/>
      <c r="M57" s="359">
        <f t="shared" si="7"/>
        <v>0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573">
        <f>'[50]Sch C'!D43</f>
        <v>7397</v>
      </c>
      <c r="D58" s="573">
        <f>'[50]Sch C'!F43</f>
        <v>0</v>
      </c>
      <c r="E58" s="171">
        <f t="shared" si="4"/>
        <v>7397</v>
      </c>
      <c r="F58" s="171"/>
      <c r="G58" s="171">
        <f t="shared" si="5"/>
        <v>7397</v>
      </c>
      <c r="H58" s="172">
        <f t="shared" si="6"/>
        <v>1.3361693215585186E-3</v>
      </c>
      <c r="I58" s="337"/>
      <c r="J58" s="168"/>
      <c r="K58" s="168"/>
      <c r="M58" s="359">
        <f t="shared" si="7"/>
        <v>0.4651323649625857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573">
        <f>'[50]Sch C'!D44</f>
        <v>0</v>
      </c>
      <c r="D59" s="573">
        <f>'[50]Sch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7"/>
      <c r="J59" s="168"/>
      <c r="K59" s="168"/>
      <c r="M59" s="359">
        <f t="shared" si="7"/>
        <v>0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573">
        <f>'[50]Sch C'!D45</f>
        <v>-4367</v>
      </c>
      <c r="D60" s="573">
        <f>'[50]Sch C'!F45</f>
        <v>4367</v>
      </c>
      <c r="E60" s="171">
        <f t="shared" si="4"/>
        <v>0</v>
      </c>
      <c r="F60" s="171">
        <v>1031</v>
      </c>
      <c r="G60" s="171">
        <f t="shared" si="5"/>
        <v>1031</v>
      </c>
      <c r="H60" s="172">
        <f t="shared" si="6"/>
        <v>1.8623638914787519E-4</v>
      </c>
      <c r="I60" s="337"/>
      <c r="J60" s="168"/>
      <c r="K60" s="168"/>
      <c r="M60" s="359">
        <f t="shared" si="7"/>
        <v>6.4830535119159913E-2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573">
        <f>SUM(C25:C60)</f>
        <v>1824537.72</v>
      </c>
      <c r="D61" s="573">
        <f>SUM(D25:D60)</f>
        <v>-268882</v>
      </c>
      <c r="E61" s="171">
        <f t="shared" ref="E61" si="8">SUM(E25:E60)</f>
        <v>1555655.72</v>
      </c>
      <c r="F61" s="171">
        <f>SUM(F25:F60)</f>
        <v>-138208</v>
      </c>
      <c r="G61" s="171">
        <f>SUM(G25:G60)</f>
        <v>1417447.72</v>
      </c>
      <c r="H61" s="186">
        <f t="shared" si="6"/>
        <v>0.25604301181250089</v>
      </c>
      <c r="I61" s="339"/>
      <c r="J61" s="168"/>
      <c r="K61" s="168"/>
      <c r="M61" s="364">
        <f>G61/G$228</f>
        <v>89.130838206627672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I62" s="340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573">
        <f>'[50]Sch C'!D57</f>
        <v>400066</v>
      </c>
      <c r="D64" s="573">
        <f>'[50]Sch C'!F57</f>
        <v>-400066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I64" s="337"/>
      <c r="J64" s="190"/>
      <c r="K64" s="168"/>
      <c r="M64" s="359">
        <f t="shared" ref="M64:M79" si="12">G64/G$228</f>
        <v>0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573">
        <f>'[50]Sch C'!D58</f>
        <v>312798</v>
      </c>
      <c r="D65" s="573">
        <f>'[50]Sch C'!F58</f>
        <v>61142</v>
      </c>
      <c r="E65" s="171">
        <f t="shared" si="9"/>
        <v>373940</v>
      </c>
      <c r="F65" s="171"/>
      <c r="G65" s="171">
        <f t="shared" si="10"/>
        <v>373940</v>
      </c>
      <c r="H65" s="172">
        <f t="shared" si="11"/>
        <v>6.7547269988318573E-2</v>
      </c>
      <c r="I65" s="337"/>
      <c r="J65" s="190"/>
      <c r="K65" s="168"/>
      <c r="M65" s="359">
        <f t="shared" si="12"/>
        <v>23.513802427214991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573">
        <f>'[50]Sch C'!D59</f>
        <v>51337</v>
      </c>
      <c r="D66" s="573">
        <f>'[50]Sch C'!F59</f>
        <v>66260</v>
      </c>
      <c r="E66" s="171">
        <f t="shared" si="9"/>
        <v>117597</v>
      </c>
      <c r="F66" s="171"/>
      <c r="G66" s="171">
        <f t="shared" si="10"/>
        <v>117597</v>
      </c>
      <c r="H66" s="172">
        <f t="shared" si="11"/>
        <v>2.1242328471990958E-2</v>
      </c>
      <c r="I66" s="337"/>
      <c r="J66" s="190"/>
      <c r="K66" s="168"/>
      <c r="M66" s="359">
        <f t="shared" si="12"/>
        <v>7.3946425202791923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573">
        <f>'[50]Sch C'!D60</f>
        <v>20820</v>
      </c>
      <c r="D67" s="573">
        <f>'[50]Sch C'!F60</f>
        <v>0</v>
      </c>
      <c r="E67" s="171">
        <f t="shared" si="9"/>
        <v>20820</v>
      </c>
      <c r="F67" s="171"/>
      <c r="G67" s="171">
        <f t="shared" si="10"/>
        <v>20820</v>
      </c>
      <c r="H67" s="172">
        <f t="shared" si="11"/>
        <v>3.7608551135390506E-3</v>
      </c>
      <c r="I67" s="337"/>
      <c r="J67" s="193"/>
      <c r="K67" s="168"/>
      <c r="M67" s="359">
        <f t="shared" si="12"/>
        <v>1.3091869458592718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573">
        <f>'[50]Sch C'!D61</f>
        <v>4020</v>
      </c>
      <c r="D68" s="573">
        <f>'[50]Sch C'!F61</f>
        <v>0</v>
      </c>
      <c r="E68" s="171">
        <f t="shared" si="9"/>
        <v>4020</v>
      </c>
      <c r="F68" s="171"/>
      <c r="G68" s="171">
        <f t="shared" si="10"/>
        <v>4020</v>
      </c>
      <c r="H68" s="172">
        <f t="shared" si="11"/>
        <v>7.2615934468909626E-4</v>
      </c>
      <c r="I68" s="337"/>
      <c r="J68" s="193"/>
      <c r="K68" s="168"/>
      <c r="M68" s="359">
        <f t="shared" si="12"/>
        <v>0.2527824938690813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573">
        <f>'[50]Sch C'!D62</f>
        <v>9144</v>
      </c>
      <c r="D69" s="573">
        <f>'[50]Sch C'!F62</f>
        <v>0</v>
      </c>
      <c r="E69" s="171">
        <f t="shared" si="9"/>
        <v>9144</v>
      </c>
      <c r="F69" s="171"/>
      <c r="G69" s="171">
        <f t="shared" si="10"/>
        <v>9144</v>
      </c>
      <c r="H69" s="172">
        <f t="shared" si="11"/>
        <v>1.6517415541883324E-3</v>
      </c>
      <c r="I69" s="337"/>
      <c r="J69" s="195"/>
      <c r="K69" s="168"/>
      <c r="M69" s="359">
        <f t="shared" si="12"/>
        <v>0.5749858517260894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573">
        <f>'[50]Sch C'!D63</f>
        <v>0</v>
      </c>
      <c r="D70" s="573">
        <f>'[50]Sch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7"/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573">
        <f>'[50]Sch C'!D64</f>
        <v>0</v>
      </c>
      <c r="D71" s="573">
        <f>'[50]Sch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573">
        <f>'[50]Sch C'!D65</f>
        <v>175</v>
      </c>
      <c r="D72" s="573">
        <f>'[50]Sch C'!F65</f>
        <v>0</v>
      </c>
      <c r="E72" s="171">
        <f t="shared" si="9"/>
        <v>175</v>
      </c>
      <c r="F72" s="171"/>
      <c r="G72" s="171">
        <f t="shared" si="10"/>
        <v>175</v>
      </c>
      <c r="H72" s="172">
        <f t="shared" si="11"/>
        <v>3.1611414258853694E-5</v>
      </c>
      <c r="I72" s="337"/>
      <c r="J72" s="195"/>
      <c r="K72" s="168"/>
      <c r="M72" s="359">
        <f t="shared" si="12"/>
        <v>1.1004213041564485E-2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573">
        <f>'[50]Sch C'!D66</f>
        <v>7871.41</v>
      </c>
      <c r="D73" s="573">
        <f>'[50]Sch C'!F66</f>
        <v>0</v>
      </c>
      <c r="E73" s="171">
        <f t="shared" si="9"/>
        <v>7871.41</v>
      </c>
      <c r="F73" s="171"/>
      <c r="G73" s="171">
        <f t="shared" si="10"/>
        <v>7871.41</v>
      </c>
      <c r="H73" s="172">
        <f t="shared" si="11"/>
        <v>1.4218651560644773E-3</v>
      </c>
      <c r="I73" s="337"/>
      <c r="J73" s="195"/>
      <c r="K73" s="168"/>
      <c r="M73" s="359">
        <f t="shared" si="12"/>
        <v>0.49496384330000626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573">
        <f>'[50]Sch C'!D67</f>
        <v>63080</v>
      </c>
      <c r="D74" s="573">
        <f>'[50]Sch C'!F67</f>
        <v>0</v>
      </c>
      <c r="E74" s="171">
        <f t="shared" si="9"/>
        <v>63080</v>
      </c>
      <c r="F74" s="171"/>
      <c r="G74" s="171">
        <f t="shared" si="10"/>
        <v>63080</v>
      </c>
      <c r="H74" s="172">
        <f t="shared" si="11"/>
        <v>1.1394560065419947E-2</v>
      </c>
      <c r="I74" s="337"/>
      <c r="J74" s="195"/>
      <c r="K74" s="168"/>
      <c r="M74" s="359">
        <f t="shared" si="12"/>
        <v>3.9665471923536439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573">
        <f>'[50]Sch C'!D68</f>
        <v>0</v>
      </c>
      <c r="D75" s="573">
        <f>'[50]Sch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573">
        <f>'[50]Sch C'!D69</f>
        <v>6383</v>
      </c>
      <c r="D76" s="573">
        <f>'[50]Sch C'!F69</f>
        <v>0</v>
      </c>
      <c r="E76" s="171">
        <f t="shared" si="9"/>
        <v>6383</v>
      </c>
      <c r="F76" s="171"/>
      <c r="G76" s="171">
        <f t="shared" si="10"/>
        <v>6383</v>
      </c>
      <c r="H76" s="172">
        <f t="shared" si="11"/>
        <v>1.153003755510075E-3</v>
      </c>
      <c r="I76" s="337"/>
      <c r="J76" s="195"/>
      <c r="K76" s="168"/>
      <c r="M76" s="359">
        <f t="shared" si="12"/>
        <v>0.40137081053889201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573">
        <f>'[50]Sch C'!D70</f>
        <v>0</v>
      </c>
      <c r="D77" s="573">
        <f>'[50]Sch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7"/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573">
        <f>'[50]Sch C'!D71</f>
        <v>0</v>
      </c>
      <c r="D78" s="573">
        <f>'[50]Sch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7"/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573">
        <f>SUM(C64:C78)</f>
        <v>875694.41</v>
      </c>
      <c r="D79" s="573">
        <f>SUM(D64:D78)</f>
        <v>-272664</v>
      </c>
      <c r="E79" s="171">
        <f t="shared" ref="E79" si="13">SUM(E64:E78)</f>
        <v>603030.41</v>
      </c>
      <c r="F79" s="171">
        <f>SUM(F64:F78)</f>
        <v>0</v>
      </c>
      <c r="G79" s="171">
        <f>SUM(G64:G78)</f>
        <v>603030.41</v>
      </c>
      <c r="H79" s="172">
        <f t="shared" si="11"/>
        <v>0.10892939486397936</v>
      </c>
      <c r="I79" s="337"/>
      <c r="J79" s="195"/>
      <c r="K79" s="168"/>
      <c r="M79" s="359">
        <f t="shared" si="12"/>
        <v>37.919286298182733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573">
        <f>'[50]Sch C'!D75</f>
        <v>75090</v>
      </c>
      <c r="D82" s="573">
        <f>'[50]Sch C'!F75</f>
        <v>0</v>
      </c>
      <c r="E82" s="171">
        <f t="shared" ref="E82:E92" si="14">C82+D82</f>
        <v>75090</v>
      </c>
      <c r="F82" s="171"/>
      <c r="G82" s="171">
        <f t="shared" ref="G82:G92" si="15">E82+F82</f>
        <v>75090</v>
      </c>
      <c r="H82" s="172">
        <f t="shared" ref="H82:H93" si="16">IF($G$208=0,0,G82/$G$208)</f>
        <v>1.3564006266841849E-2</v>
      </c>
      <c r="I82" s="337"/>
      <c r="J82" s="183">
        <v>4718</v>
      </c>
      <c r="K82" s="183">
        <v>4718</v>
      </c>
      <c r="M82" s="359">
        <f t="shared" ref="M82:M92" si="17">G82/G$228</f>
        <v>4.7217506130918698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573">
        <f>'[50]Sch C'!D76</f>
        <v>11554</v>
      </c>
      <c r="D83" s="573">
        <f>'[50]Sch C'!F76</f>
        <v>0</v>
      </c>
      <c r="E83" s="171">
        <f t="shared" si="14"/>
        <v>11554</v>
      </c>
      <c r="F83" s="171"/>
      <c r="G83" s="171">
        <f t="shared" si="15"/>
        <v>11554</v>
      </c>
      <c r="H83" s="172">
        <f t="shared" si="16"/>
        <v>2.0870758876959748E-3</v>
      </c>
      <c r="I83" s="337"/>
      <c r="J83" s="168"/>
      <c r="K83" s="168"/>
      <c r="M83" s="359">
        <f t="shared" si="17"/>
        <v>0.72652958561277747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573">
        <f>'[50]Sch C'!D77</f>
        <v>44997</v>
      </c>
      <c r="D84" s="573">
        <f>'[50]Sch C'!F77</f>
        <v>0</v>
      </c>
      <c r="E84" s="171">
        <f t="shared" si="14"/>
        <v>44997</v>
      </c>
      <c r="F84" s="171"/>
      <c r="G84" s="171">
        <f t="shared" si="15"/>
        <v>44997</v>
      </c>
      <c r="H84" s="172">
        <f t="shared" si="16"/>
        <v>8.1281074708893682E-3</v>
      </c>
      <c r="I84" s="337"/>
      <c r="J84" s="168"/>
      <c r="K84" s="168"/>
      <c r="M84" s="359">
        <f t="shared" si="17"/>
        <v>2.8294661384644408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573">
        <f>'[50]Sch C'!D78</f>
        <v>35607</v>
      </c>
      <c r="D85" s="573">
        <f>'[50]Sch C'!F78</f>
        <v>0</v>
      </c>
      <c r="E85" s="171">
        <f t="shared" si="14"/>
        <v>35607</v>
      </c>
      <c r="F85" s="171">
        <v>747</v>
      </c>
      <c r="G85" s="171">
        <f t="shared" si="15"/>
        <v>36354</v>
      </c>
      <c r="H85" s="172">
        <f t="shared" si="16"/>
        <v>6.5668648798078121E-3</v>
      </c>
      <c r="I85" s="337"/>
      <c r="J85" s="168"/>
      <c r="K85" s="168"/>
      <c r="M85" s="359">
        <f t="shared" si="17"/>
        <v>2.2859837766459159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573">
        <f>'[50]Sch C'!D79</f>
        <v>0</v>
      </c>
      <c r="D86" s="573">
        <f>'[50]Sch C'!F79</f>
        <v>0</v>
      </c>
      <c r="E86" s="171">
        <f t="shared" si="14"/>
        <v>0</v>
      </c>
      <c r="F86" s="171"/>
      <c r="G86" s="171">
        <f>E86+F86</f>
        <v>0</v>
      </c>
      <c r="H86" s="172">
        <f t="shared" si="16"/>
        <v>0</v>
      </c>
      <c r="I86" s="337"/>
      <c r="J86" s="168"/>
      <c r="K86" s="168"/>
      <c r="M86" s="359">
        <f t="shared" si="17"/>
        <v>0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573">
        <f>'[50]Sch C'!D80</f>
        <v>29444</v>
      </c>
      <c r="D87" s="573">
        <f>'[50]Sch C'!F80</f>
        <v>0</v>
      </c>
      <c r="E87" s="171">
        <f t="shared" si="14"/>
        <v>29444</v>
      </c>
      <c r="F87" s="171"/>
      <c r="G87" s="171">
        <f t="shared" si="15"/>
        <v>29444</v>
      </c>
      <c r="H87" s="172">
        <f t="shared" si="16"/>
        <v>5.3186656082153602E-3</v>
      </c>
      <c r="I87" s="337"/>
      <c r="J87" s="168"/>
      <c r="K87" s="168"/>
      <c r="M87" s="359">
        <f t="shared" si="17"/>
        <v>1.8514745645475696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573">
        <f>'[50]Sch C'!D81</f>
        <v>0</v>
      </c>
      <c r="D88" s="573">
        <f>'[50]Sch C'!F81</f>
        <v>0</v>
      </c>
      <c r="E88" s="171">
        <f t="shared" si="14"/>
        <v>0</v>
      </c>
      <c r="F88" s="171"/>
      <c r="G88" s="171">
        <f t="shared" si="15"/>
        <v>0</v>
      </c>
      <c r="H88" s="172">
        <f t="shared" si="16"/>
        <v>0</v>
      </c>
      <c r="I88" s="337"/>
      <c r="J88" s="168"/>
      <c r="K88" s="168"/>
      <c r="M88" s="359">
        <f t="shared" si="17"/>
        <v>0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573">
        <f>'[50]Sch C'!D82</f>
        <v>0</v>
      </c>
      <c r="D89" s="573">
        <f>'[50]Sch C'!F82</f>
        <v>0</v>
      </c>
      <c r="E89" s="171">
        <f t="shared" si="14"/>
        <v>0</v>
      </c>
      <c r="F89" s="171"/>
      <c r="G89" s="171">
        <f t="shared" si="15"/>
        <v>0</v>
      </c>
      <c r="H89" s="172">
        <f t="shared" si="16"/>
        <v>0</v>
      </c>
      <c r="I89" s="337"/>
      <c r="J89" s="168"/>
      <c r="K89" s="168"/>
      <c r="M89" s="359">
        <f t="shared" si="17"/>
        <v>0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573">
        <f>'[50]Sch C'!D83</f>
        <v>0</v>
      </c>
      <c r="D90" s="573">
        <f>'[50]Sch C'!F83</f>
        <v>0</v>
      </c>
      <c r="E90" s="171">
        <f t="shared" si="14"/>
        <v>0</v>
      </c>
      <c r="F90" s="171"/>
      <c r="G90" s="171">
        <f t="shared" si="15"/>
        <v>0</v>
      </c>
      <c r="H90" s="172">
        <f t="shared" si="16"/>
        <v>0</v>
      </c>
      <c r="I90" s="337"/>
      <c r="J90" s="168"/>
      <c r="K90" s="168"/>
      <c r="M90" s="359">
        <f t="shared" si="17"/>
        <v>0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573">
        <f>'[50]Sch C'!D84</f>
        <v>61080</v>
      </c>
      <c r="D91" s="573">
        <f>'[50]Sch C'!F84</f>
        <v>0</v>
      </c>
      <c r="E91" s="171">
        <f t="shared" si="14"/>
        <v>61080</v>
      </c>
      <c r="F91" s="171"/>
      <c r="G91" s="171">
        <f t="shared" si="15"/>
        <v>61080</v>
      </c>
      <c r="H91" s="172">
        <f t="shared" si="16"/>
        <v>1.1033286759604476E-2</v>
      </c>
      <c r="I91" s="337"/>
      <c r="J91" s="168"/>
      <c r="K91" s="168"/>
      <c r="M91" s="359">
        <f t="shared" si="17"/>
        <v>3.8407847575929068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573">
        <f>'[50]Sch C'!D85</f>
        <v>0</v>
      </c>
      <c r="D92" s="573">
        <f>'[50]Sch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7"/>
      <c r="J92" s="168"/>
      <c r="K92" s="168"/>
      <c r="M92" s="359">
        <f t="shared" si="17"/>
        <v>0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573">
        <f>SUM(C82:C92)</f>
        <v>257772</v>
      </c>
      <c r="D93" s="573">
        <f>SUM(D82:D92)</f>
        <v>0</v>
      </c>
      <c r="E93" s="171">
        <f t="shared" ref="E93" si="18">SUM(E82:E92)</f>
        <v>257772</v>
      </c>
      <c r="F93" s="171">
        <f>SUM(F82:F92)</f>
        <v>747</v>
      </c>
      <c r="G93" s="171">
        <f>SUM(G82:G92)</f>
        <v>258519</v>
      </c>
      <c r="H93" s="172">
        <f t="shared" si="16"/>
        <v>4.6698006873054844E-2</v>
      </c>
      <c r="I93" s="337"/>
      <c r="J93" s="168"/>
      <c r="K93" s="168"/>
      <c r="M93" s="364">
        <f>G93/G$228</f>
        <v>16.255989435955481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573">
        <f>'[50]Sch C'!D89</f>
        <v>186456</v>
      </c>
      <c r="D96" s="573">
        <f>'[50]Sch C'!F89</f>
        <v>0</v>
      </c>
      <c r="E96" s="171">
        <f t="shared" ref="E96:E101" si="19">C96+D96</f>
        <v>186456</v>
      </c>
      <c r="F96" s="171"/>
      <c r="G96" s="171">
        <f t="shared" ref="G96:G101" si="20">E96+F96</f>
        <v>186456</v>
      </c>
      <c r="H96" s="172">
        <f t="shared" ref="H96:H102" si="21">IF($G$208=0,0,G96/$G$208)</f>
        <v>3.3680787754564706E-2</v>
      </c>
      <c r="I96" s="337"/>
      <c r="J96" s="183">
        <v>15680</v>
      </c>
      <c r="K96" s="183">
        <v>15680</v>
      </c>
      <c r="M96" s="364">
        <f t="shared" ref="M96:M101" si="22">G96/G$228</f>
        <v>11.724580267873986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573">
        <f>'[50]Sch C'!D90</f>
        <v>32609</v>
      </c>
      <c r="D97" s="573">
        <f>'[50]Sch C'!F90</f>
        <v>0</v>
      </c>
      <c r="E97" s="171">
        <f t="shared" si="19"/>
        <v>32609</v>
      </c>
      <c r="F97" s="171"/>
      <c r="G97" s="171">
        <f t="shared" si="20"/>
        <v>32609</v>
      </c>
      <c r="H97" s="172">
        <f t="shared" si="21"/>
        <v>5.8903806146683429E-3</v>
      </c>
      <c r="I97" s="337"/>
      <c r="J97" s="168"/>
      <c r="K97" s="168"/>
      <c r="M97" s="364">
        <f t="shared" si="22"/>
        <v>2.0504936175564361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573">
        <f>'[50]Sch C'!D91</f>
        <v>21967</v>
      </c>
      <c r="D98" s="573">
        <f>'[50]Sch C'!F91</f>
        <v>0</v>
      </c>
      <c r="E98" s="171">
        <f t="shared" si="19"/>
        <v>21967</v>
      </c>
      <c r="F98" s="171">
        <v>-747</v>
      </c>
      <c r="G98" s="171">
        <f t="shared" si="20"/>
        <v>21220</v>
      </c>
      <c r="H98" s="172">
        <f t="shared" si="21"/>
        <v>3.8331097747021448E-3</v>
      </c>
      <c r="I98" s="337"/>
      <c r="J98" s="168"/>
      <c r="K98" s="168"/>
      <c r="M98" s="364">
        <f t="shared" si="22"/>
        <v>1.3343394328114193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573">
        <f>'[50]Sch C'!D92</f>
        <v>118011</v>
      </c>
      <c r="D99" s="573">
        <f>'[50]Sch C'!F92</f>
        <v>0</v>
      </c>
      <c r="E99" s="171">
        <f t="shared" si="19"/>
        <v>118011</v>
      </c>
      <c r="F99" s="171"/>
      <c r="G99" s="171">
        <f t="shared" si="20"/>
        <v>118011</v>
      </c>
      <c r="H99" s="172">
        <f t="shared" si="21"/>
        <v>2.1317112046294759E-2</v>
      </c>
      <c r="I99" s="337"/>
      <c r="J99" s="168"/>
      <c r="K99" s="168"/>
      <c r="M99" s="364">
        <f t="shared" si="22"/>
        <v>7.4206753442746649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573">
        <f>'[50]Sch C'!D93</f>
        <v>18054</v>
      </c>
      <c r="D100" s="573">
        <f>'[50]Sch C'!F93</f>
        <v>0</v>
      </c>
      <c r="E100" s="171">
        <f t="shared" si="19"/>
        <v>18054</v>
      </c>
      <c r="F100" s="171"/>
      <c r="G100" s="171">
        <f t="shared" si="20"/>
        <v>18054</v>
      </c>
      <c r="H100" s="172">
        <f t="shared" si="21"/>
        <v>3.2612141315962544E-3</v>
      </c>
      <c r="I100" s="337"/>
      <c r="J100" s="168"/>
      <c r="K100" s="168"/>
      <c r="M100" s="364">
        <f t="shared" si="22"/>
        <v>1.1352574985851727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573">
        <f>'[50]Sch C'!D94</f>
        <v>0</v>
      </c>
      <c r="D101" s="573">
        <f>'[50]Sch C'!F94</f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I101" s="337"/>
      <c r="J101" s="168"/>
      <c r="K101" s="168"/>
      <c r="M101" s="364">
        <f t="shared" si="22"/>
        <v>0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573">
        <f>SUM(C96:C101)</f>
        <v>377097</v>
      </c>
      <c r="D102" s="573">
        <f>SUM(D96:D101)</f>
        <v>0</v>
      </c>
      <c r="E102" s="171">
        <f t="shared" ref="E102" si="23">SUM(E96:E101)</f>
        <v>377097</v>
      </c>
      <c r="F102" s="171">
        <f>SUM(F96:F101)</f>
        <v>-747</v>
      </c>
      <c r="G102" s="171">
        <f>SUM(G96:G101)</f>
        <v>376350</v>
      </c>
      <c r="H102" s="172">
        <f t="shared" si="21"/>
        <v>6.7982604321826207E-2</v>
      </c>
      <c r="I102" s="337"/>
      <c r="J102" s="168"/>
      <c r="K102" s="168"/>
      <c r="M102" s="364">
        <f>G102/G$228</f>
        <v>23.665346161101677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573">
        <f>'[50]Sch C'!D98</f>
        <v>27</v>
      </c>
      <c r="D105" s="573">
        <f>'[50]Sch C'!F98</f>
        <v>0</v>
      </c>
      <c r="E105" s="171">
        <f t="shared" ref="E105:E110" si="24">C105+D105</f>
        <v>27</v>
      </c>
      <c r="F105" s="171"/>
      <c r="G105" s="171">
        <f t="shared" ref="G105:G110" si="25">E105+F105</f>
        <v>27</v>
      </c>
      <c r="H105" s="172">
        <f t="shared" ref="H105:H111" si="26">IF($G$208=0,0,G105/$G$208)</f>
        <v>4.8771896285088556E-6</v>
      </c>
      <c r="I105" s="337"/>
      <c r="J105" s="183">
        <v>3</v>
      </c>
      <c r="K105" s="183">
        <v>3</v>
      </c>
      <c r="M105" s="364">
        <f t="shared" ref="M105:M110" si="27">G105/G$228</f>
        <v>1.697792869269949E-3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573">
        <f>'[50]Sch C'!D99</f>
        <v>207</v>
      </c>
      <c r="D106" s="573">
        <f>'[50]Sch C'!F99</f>
        <v>0</v>
      </c>
      <c r="E106" s="171">
        <f t="shared" si="24"/>
        <v>207</v>
      </c>
      <c r="F106" s="171"/>
      <c r="G106" s="171">
        <f t="shared" si="25"/>
        <v>207</v>
      </c>
      <c r="H106" s="172">
        <f t="shared" si="26"/>
        <v>3.7391787151901225E-5</v>
      </c>
      <c r="I106" s="337"/>
      <c r="J106" s="168"/>
      <c r="K106" s="168"/>
      <c r="M106" s="364">
        <f t="shared" si="27"/>
        <v>1.3016411997736276E-2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573">
        <f>'[50]Sch C'!D100</f>
        <v>7786.95</v>
      </c>
      <c r="D107" s="573">
        <f>'[50]Sch C'!F100</f>
        <v>0</v>
      </c>
      <c r="E107" s="171">
        <f t="shared" si="24"/>
        <v>7786.95</v>
      </c>
      <c r="F107" s="171"/>
      <c r="G107" s="171">
        <f t="shared" si="25"/>
        <v>7786.95</v>
      </c>
      <c r="H107" s="172">
        <f t="shared" si="26"/>
        <v>1.4066085843598901E-3</v>
      </c>
      <c r="I107" s="337"/>
      <c r="J107" s="168"/>
      <c r="K107" s="168"/>
      <c r="M107" s="364">
        <f t="shared" si="27"/>
        <v>0.48965289568006037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573">
        <f>'[50]Sch C'!D101</f>
        <v>10497</v>
      </c>
      <c r="D108" s="573">
        <f>'[50]Sch C'!F101</f>
        <v>0</v>
      </c>
      <c r="E108" s="171">
        <f t="shared" si="24"/>
        <v>10497</v>
      </c>
      <c r="F108" s="171"/>
      <c r="G108" s="171">
        <f t="shared" si="25"/>
        <v>10497</v>
      </c>
      <c r="H108" s="172">
        <f t="shared" si="26"/>
        <v>1.8961429455724983E-3</v>
      </c>
      <c r="I108" s="337"/>
      <c r="J108" s="168"/>
      <c r="K108" s="168"/>
      <c r="M108" s="364">
        <f t="shared" si="27"/>
        <v>0.66006413884172799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573">
        <f>'[50]Sch C'!D102</f>
        <v>9133</v>
      </c>
      <c r="D109" s="573">
        <f>'[50]Sch C'!F102</f>
        <v>0</v>
      </c>
      <c r="E109" s="171">
        <f t="shared" si="24"/>
        <v>9133</v>
      </c>
      <c r="F109" s="171"/>
      <c r="G109" s="171">
        <f t="shared" si="25"/>
        <v>9133</v>
      </c>
      <c r="H109" s="172">
        <f t="shared" si="26"/>
        <v>1.6497545510063471E-3</v>
      </c>
      <c r="I109" s="337"/>
      <c r="J109" s="168"/>
      <c r="K109" s="168"/>
      <c r="M109" s="364">
        <f t="shared" si="27"/>
        <v>0.57429415833490538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573">
        <f>'[50]Sch C'!D103</f>
        <v>0</v>
      </c>
      <c r="D110" s="573">
        <f>'[50]Sch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7"/>
      <c r="J110" s="168"/>
      <c r="K110" s="168"/>
      <c r="M110" s="364">
        <f t="shared" si="27"/>
        <v>0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573">
        <f>SUM(C105:C110)</f>
        <v>27650.95</v>
      </c>
      <c r="D111" s="573">
        <f>SUM(D105:D110)</f>
        <v>0</v>
      </c>
      <c r="E111" s="171">
        <f t="shared" ref="E111" si="28">SUM(E105:E110)</f>
        <v>27650.95</v>
      </c>
      <c r="F111" s="171">
        <f>SUM(F105:F110)</f>
        <v>0</v>
      </c>
      <c r="G111" s="171">
        <f>SUM(G105:G110)</f>
        <v>27650.95</v>
      </c>
      <c r="H111" s="172">
        <f t="shared" si="26"/>
        <v>4.9947750577191453E-3</v>
      </c>
      <c r="I111" s="337"/>
      <c r="J111" s="168"/>
      <c r="K111" s="168"/>
      <c r="M111" s="364">
        <f>G111/G$228</f>
        <v>1.7387253977237001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573">
        <f>'[50]Sch C'!D115</f>
        <v>73052</v>
      </c>
      <c r="D114" s="573">
        <f>'[50]Sch C'!F115</f>
        <v>0</v>
      </c>
      <c r="E114" s="171">
        <f t="shared" ref="E114:E118" si="29">C114+D114</f>
        <v>73052</v>
      </c>
      <c r="F114" s="171"/>
      <c r="G114" s="171">
        <f>E114+F114</f>
        <v>73052</v>
      </c>
      <c r="H114" s="172">
        <f t="shared" ref="H114:H119" si="30">IF($G$208=0,0,G114/$G$208)</f>
        <v>1.3195868768215884E-2</v>
      </c>
      <c r="I114" s="337"/>
      <c r="J114" s="183">
        <v>8198</v>
      </c>
      <c r="K114" s="183">
        <v>8198</v>
      </c>
      <c r="M114" s="364">
        <f t="shared" ref="M114:M119" si="31">G114/G$228</f>
        <v>4.5935986920706782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573">
        <f>'[50]Sch C'!D116</f>
        <v>11037</v>
      </c>
      <c r="D115" s="573">
        <f>'[50]Sch C'!F116</f>
        <v>0</v>
      </c>
      <c r="E115" s="171">
        <f t="shared" si="29"/>
        <v>11037</v>
      </c>
      <c r="F115" s="171"/>
      <c r="G115" s="171">
        <f>E115+F115</f>
        <v>11037</v>
      </c>
      <c r="H115" s="172">
        <f t="shared" si="30"/>
        <v>1.9936867381426752E-3</v>
      </c>
      <c r="I115" s="337"/>
      <c r="J115" s="168"/>
      <c r="K115" s="168"/>
      <c r="M115" s="364">
        <f t="shared" si="31"/>
        <v>0.69401999622712696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573">
        <f>'[50]Sch C'!D117</f>
        <v>18515</v>
      </c>
      <c r="D116" s="573">
        <f>'[50]Sch C'!F117</f>
        <v>0</v>
      </c>
      <c r="E116" s="171">
        <f t="shared" si="29"/>
        <v>18515</v>
      </c>
      <c r="F116" s="171"/>
      <c r="G116" s="171">
        <f>E116+F116</f>
        <v>18515</v>
      </c>
      <c r="H116" s="172">
        <f t="shared" si="30"/>
        <v>3.3444876285867206E-3</v>
      </c>
      <c r="I116" s="337"/>
      <c r="J116" s="168"/>
      <c r="K116" s="168"/>
      <c r="M116" s="364">
        <f t="shared" si="31"/>
        <v>1.1642457397975225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573">
        <f>'[50]Sch C'!D118</f>
        <v>0</v>
      </c>
      <c r="D117" s="573">
        <f>'[50]Sch C'!F118</f>
        <v>0</v>
      </c>
      <c r="E117" s="171">
        <f t="shared" si="29"/>
        <v>0</v>
      </c>
      <c r="F117" s="171"/>
      <c r="G117" s="171">
        <f>E117+F117</f>
        <v>0</v>
      </c>
      <c r="H117" s="172">
        <f t="shared" si="30"/>
        <v>0</v>
      </c>
      <c r="I117" s="337"/>
      <c r="J117" s="168"/>
      <c r="K117" s="168"/>
      <c r="M117" s="364">
        <f t="shared" si="31"/>
        <v>0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573">
        <f>'[50]Sch C'!D119</f>
        <v>0</v>
      </c>
      <c r="D118" s="573">
        <f>'[50]Sch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337"/>
      <c r="J118" s="168"/>
      <c r="K118" s="168"/>
      <c r="M118" s="364">
        <f t="shared" si="31"/>
        <v>0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573">
        <f>SUM(C114:C118)</f>
        <v>102604</v>
      </c>
      <c r="D119" s="573">
        <f>SUM(D114:D118)</f>
        <v>0</v>
      </c>
      <c r="E119" s="171">
        <f t="shared" ref="E119" si="32">SUM(E114:E118)</f>
        <v>102604</v>
      </c>
      <c r="F119" s="171">
        <f>SUM(F114:F118)</f>
        <v>0</v>
      </c>
      <c r="G119" s="171">
        <f>SUM(G114:G118)</f>
        <v>102604</v>
      </c>
      <c r="H119" s="172">
        <f t="shared" si="30"/>
        <v>1.8534043134945281E-2</v>
      </c>
      <c r="I119" s="337"/>
      <c r="J119" s="168"/>
      <c r="K119" s="168"/>
      <c r="M119" s="364">
        <f t="shared" si="31"/>
        <v>6.4518644280953277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1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573">
        <f>'[50]Sch C'!D124</f>
        <v>139616</v>
      </c>
      <c r="D123" s="573">
        <f>'[50]Sch C'!F124</f>
        <v>0</v>
      </c>
      <c r="E123" s="171">
        <f t="shared" ref="E123:E127" si="33">C123+D123</f>
        <v>139616</v>
      </c>
      <c r="F123" s="171"/>
      <c r="G123" s="171">
        <f>E123+F123</f>
        <v>139616</v>
      </c>
      <c r="H123" s="172">
        <f>IF($G$208=0,0,G123/$G$208)</f>
        <v>2.5219766932366383E-2</v>
      </c>
      <c r="I123" s="337"/>
      <c r="J123" s="183">
        <v>2068</v>
      </c>
      <c r="K123" s="183">
        <v>2068</v>
      </c>
      <c r="M123" s="364">
        <f t="shared" ref="M123:M160" si="34">G123/G$228</f>
        <v>8.7792240457775268</v>
      </c>
      <c r="N123" s="359">
        <f>SUMMARY!J126</f>
        <v>0.77002560279620991</v>
      </c>
    </row>
    <row r="124" spans="1:14" s="167" customFormat="1">
      <c r="B124" s="163" t="s">
        <v>194</v>
      </c>
      <c r="C124" s="573">
        <f>'[50]Sch C'!D125</f>
        <v>0</v>
      </c>
      <c r="D124" s="573">
        <f>'[50]Sch C'!F125</f>
        <v>0</v>
      </c>
      <c r="E124" s="171">
        <f t="shared" si="33"/>
        <v>0</v>
      </c>
      <c r="F124" s="171"/>
      <c r="G124" s="171">
        <f>E124+F124</f>
        <v>0</v>
      </c>
      <c r="H124" s="172">
        <f>IF($G$208=0,0,G124/$G$208)</f>
        <v>0</v>
      </c>
      <c r="I124" s="337"/>
      <c r="J124" s="183">
        <v>0</v>
      </c>
      <c r="K124" s="183">
        <v>0</v>
      </c>
      <c r="M124" s="364">
        <f t="shared" si="34"/>
        <v>0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573">
        <f>'[50]Sch C'!D126</f>
        <v>0</v>
      </c>
      <c r="D125" s="573">
        <f>'[50]Sch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7"/>
      <c r="J125" s="183">
        <v>0</v>
      </c>
      <c r="K125" s="183">
        <v>0</v>
      </c>
      <c r="M125" s="364">
        <f t="shared" si="34"/>
        <v>0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573">
        <f>'[50]Sch C'!D127</f>
        <v>0</v>
      </c>
      <c r="D126" s="573">
        <f>'[50]Sch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7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573">
        <f>'[50]Sch C'!D128</f>
        <v>10329</v>
      </c>
      <c r="D127" s="573">
        <f>'[50]Sch C'!F128</f>
        <v>0</v>
      </c>
      <c r="E127" s="171">
        <f t="shared" si="33"/>
        <v>10329</v>
      </c>
      <c r="F127" s="171"/>
      <c r="G127" s="171">
        <f>E127+F127</f>
        <v>10329</v>
      </c>
      <c r="H127" s="172">
        <f>IF($G$208=0,0,G127/$G$208)</f>
        <v>1.8657959878839987E-3</v>
      </c>
      <c r="I127" s="337"/>
      <c r="J127" s="183">
        <v>1077</v>
      </c>
      <c r="K127" s="183">
        <v>1077</v>
      </c>
      <c r="M127" s="364">
        <f t="shared" si="34"/>
        <v>0.64950009432182609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205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573">
        <f>'[50]Sch C'!D130</f>
        <v>17184</v>
      </c>
      <c r="D129" s="573">
        <f>'[50]Sch C'!F130</f>
        <v>0</v>
      </c>
      <c r="E129" s="171">
        <f t="shared" ref="E129:E133" si="35">C129+D129</f>
        <v>17184</v>
      </c>
      <c r="F129" s="171"/>
      <c r="G129" s="171">
        <f>E129+F129</f>
        <v>17184</v>
      </c>
      <c r="H129" s="172">
        <f>IF($G$208=0,0,G129/$G$208)</f>
        <v>3.1040602435665247E-3</v>
      </c>
      <c r="I129" s="337"/>
      <c r="J129" s="204"/>
      <c r="K129" s="204"/>
      <c r="M129" s="364">
        <f t="shared" si="34"/>
        <v>1.080550839464252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573">
        <f>'[50]Sch C'!D131</f>
        <v>0</v>
      </c>
      <c r="D130" s="573">
        <f>'[50]Sch C'!F131</f>
        <v>0</v>
      </c>
      <c r="E130" s="171">
        <f t="shared" si="35"/>
        <v>0</v>
      </c>
      <c r="F130" s="171"/>
      <c r="G130" s="171">
        <f>E130+F130</f>
        <v>0</v>
      </c>
      <c r="H130" s="172">
        <f>IF($G$208=0,0,G130/$G$208)</f>
        <v>0</v>
      </c>
      <c r="I130" s="337"/>
      <c r="J130" s="204"/>
      <c r="K130" s="204"/>
      <c r="M130" s="364">
        <f t="shared" si="34"/>
        <v>0</v>
      </c>
      <c r="N130" s="359">
        <f>SUMMARY!J133</f>
        <v>1.0792348507966931</v>
      </c>
    </row>
    <row r="131" spans="1:14" s="167" customFormat="1">
      <c r="B131" s="163" t="s">
        <v>195</v>
      </c>
      <c r="C131" s="573">
        <f>'[50]Sch C'!D132</f>
        <v>0</v>
      </c>
      <c r="D131" s="573">
        <f>'[50]Sch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7"/>
      <c r="J131" s="168"/>
      <c r="K131" s="168"/>
      <c r="M131" s="364">
        <f t="shared" si="34"/>
        <v>0</v>
      </c>
      <c r="N131" s="359">
        <f>SUMMARY!J134</f>
        <v>8.2765628075518377E-2</v>
      </c>
    </row>
    <row r="132" spans="1:14" s="167" customFormat="1">
      <c r="B132" s="163" t="s">
        <v>196</v>
      </c>
      <c r="C132" s="573">
        <f>'[50]Sch C'!D133</f>
        <v>0</v>
      </c>
      <c r="D132" s="573">
        <f>'[50]Sch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573">
        <f>'[50]Sch C'!D134</f>
        <v>2972</v>
      </c>
      <c r="D133" s="573">
        <f>'[50]Sch C'!F134</f>
        <v>0</v>
      </c>
      <c r="E133" s="171">
        <f t="shared" si="35"/>
        <v>2972</v>
      </c>
      <c r="F133" s="171"/>
      <c r="G133" s="171">
        <f>E133+F133</f>
        <v>2972</v>
      </c>
      <c r="H133" s="172">
        <f>IF($G$208=0,0,G133/$G$208)</f>
        <v>5.3685213244178951E-4</v>
      </c>
      <c r="I133" s="337"/>
      <c r="J133" s="168"/>
      <c r="K133" s="168"/>
      <c r="M133" s="364">
        <f t="shared" si="34"/>
        <v>0.18688297805445514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573">
        <f>'[50]Sch C'!D136</f>
        <v>447810</v>
      </c>
      <c r="D135" s="573">
        <f>'[50]Sch C'!F136</f>
        <v>0</v>
      </c>
      <c r="E135" s="171">
        <f t="shared" ref="E135:E138" si="36">C135+D135</f>
        <v>447810</v>
      </c>
      <c r="F135" s="171"/>
      <c r="G135" s="171">
        <f>E135+F135</f>
        <v>447810</v>
      </c>
      <c r="H135" s="172">
        <f>IF($G$208=0,0,G135/$G$208)</f>
        <v>8.0890899538612976E-2</v>
      </c>
      <c r="I135" s="337"/>
      <c r="J135" s="183">
        <v>15307</v>
      </c>
      <c r="K135" s="183">
        <v>15307</v>
      </c>
      <c r="M135" s="364">
        <f t="shared" si="34"/>
        <v>28.158837955102811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573">
        <f>'[50]Sch C'!D137</f>
        <v>284947</v>
      </c>
      <c r="D136" s="573">
        <f>'[50]Sch C'!F137</f>
        <v>0</v>
      </c>
      <c r="E136" s="171">
        <f t="shared" si="36"/>
        <v>284947</v>
      </c>
      <c r="F136" s="171"/>
      <c r="G136" s="171">
        <f>E136+F136</f>
        <v>284947</v>
      </c>
      <c r="H136" s="172">
        <f>IF($G$208=0,0,G136/$G$208)</f>
        <v>5.1471872336100476E-2</v>
      </c>
      <c r="I136" s="337"/>
      <c r="J136" s="183">
        <v>12304</v>
      </c>
      <c r="K136" s="183">
        <v>12304</v>
      </c>
      <c r="M136" s="364">
        <f t="shared" si="34"/>
        <v>17.917814248883857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573">
        <f>'[50]Sch C'!D138</f>
        <v>428914</v>
      </c>
      <c r="D137" s="573">
        <f>'[50]Sch C'!F138</f>
        <v>0</v>
      </c>
      <c r="E137" s="171">
        <f t="shared" si="36"/>
        <v>428914</v>
      </c>
      <c r="F137" s="171"/>
      <c r="G137" s="171">
        <f>E137+F137</f>
        <v>428914</v>
      </c>
      <c r="H137" s="172">
        <f>IF($G$208=0,0,G137/$G$208)</f>
        <v>7.7477589345268411E-2</v>
      </c>
      <c r="I137" s="337"/>
      <c r="J137" s="183">
        <v>39450</v>
      </c>
      <c r="K137" s="183">
        <v>39450</v>
      </c>
      <c r="M137" s="364">
        <f t="shared" si="34"/>
        <v>26.970634471483368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573">
        <f>'[50]Sch C'!D139</f>
        <v>12890</v>
      </c>
      <c r="D138" s="573">
        <f>'[50]Sch C'!F139</f>
        <v>0</v>
      </c>
      <c r="E138" s="171">
        <f t="shared" si="36"/>
        <v>12890</v>
      </c>
      <c r="F138" s="171"/>
      <c r="G138" s="171">
        <f>E138+F138</f>
        <v>12890</v>
      </c>
      <c r="H138" s="172">
        <f>IF($G$208=0,0,G138/$G$208)</f>
        <v>2.3284064559807092E-3</v>
      </c>
      <c r="I138" s="337"/>
      <c r="J138" s="183">
        <v>716</v>
      </c>
      <c r="K138" s="183">
        <v>716</v>
      </c>
      <c r="M138" s="364">
        <f t="shared" si="34"/>
        <v>0.81053889203294971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7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573">
        <f>'[50]Sch C'!D141</f>
        <v>81870</v>
      </c>
      <c r="D140" s="573">
        <f>'[50]Sch C'!F141</f>
        <v>0</v>
      </c>
      <c r="E140" s="171">
        <f t="shared" ref="E140:E143" si="37">C140+D140</f>
        <v>81870</v>
      </c>
      <c r="F140" s="171"/>
      <c r="G140" s="171">
        <f>E140+F140</f>
        <v>81870</v>
      </c>
      <c r="H140" s="172">
        <f>IF($G$208=0,0,G140/$G$208)</f>
        <v>1.4788722773556296E-2</v>
      </c>
      <c r="I140" s="337"/>
      <c r="J140" s="168"/>
      <c r="K140" s="168"/>
      <c r="M140" s="364">
        <f t="shared" si="34"/>
        <v>5.1480852669307682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573">
        <f>'[50]Sch C'!D142</f>
        <v>52095</v>
      </c>
      <c r="D141" s="573">
        <f>'[50]Sch C'!F142</f>
        <v>0</v>
      </c>
      <c r="E141" s="171">
        <f t="shared" si="37"/>
        <v>52095</v>
      </c>
      <c r="F141" s="171"/>
      <c r="G141" s="171">
        <f>E141+F141</f>
        <v>52095</v>
      </c>
      <c r="H141" s="172">
        <f>IF($G$208=0,0,G141/$G$208)</f>
        <v>9.4102664332284744E-3</v>
      </c>
      <c r="I141" s="337"/>
      <c r="J141" s="168"/>
      <c r="K141" s="168"/>
      <c r="M141" s="364">
        <f t="shared" si="34"/>
        <v>3.2757970194302963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573">
        <f>'[50]Sch C'!D143</f>
        <v>78415</v>
      </c>
      <c r="D142" s="573">
        <f>'[50]Sch C'!F143</f>
        <v>0</v>
      </c>
      <c r="E142" s="171">
        <f t="shared" si="37"/>
        <v>78415</v>
      </c>
      <c r="F142" s="171"/>
      <c r="G142" s="171">
        <f>E142+F142</f>
        <v>78415</v>
      </c>
      <c r="H142" s="172">
        <f>IF($G$208=0,0,G142/$G$208)</f>
        <v>1.416462313776007E-2</v>
      </c>
      <c r="I142" s="337"/>
      <c r="J142" s="168"/>
      <c r="K142" s="168"/>
      <c r="M142" s="364">
        <f t="shared" si="34"/>
        <v>4.9308306608815951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573">
        <f>'[50]Sch C'!D144</f>
        <v>2233</v>
      </c>
      <c r="D143" s="573">
        <f>'[50]Sch C'!F144</f>
        <v>0</v>
      </c>
      <c r="E143" s="171">
        <f t="shared" si="37"/>
        <v>2233</v>
      </c>
      <c r="F143" s="171"/>
      <c r="G143" s="171">
        <f>E143+F143</f>
        <v>2233</v>
      </c>
      <c r="H143" s="172">
        <f>IF($G$208=0,0,G143/$G$208)</f>
        <v>4.0336164594297308E-4</v>
      </c>
      <c r="I143" s="337"/>
      <c r="J143" s="168"/>
      <c r="K143" s="168"/>
      <c r="M143" s="364">
        <f t="shared" si="34"/>
        <v>0.14041375841036283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7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573">
        <f>'[50]Sch C'!D146</f>
        <v>131796</v>
      </c>
      <c r="D145" s="573">
        <f>'[50]Sch C'!F146</f>
        <v>0</v>
      </c>
      <c r="E145" s="171">
        <f t="shared" ref="E145:E153" si="38">C145+D145</f>
        <v>131796</v>
      </c>
      <c r="F145" s="171"/>
      <c r="G145" s="171">
        <f t="shared" ref="G145:G153" si="39">E145+F145</f>
        <v>131796</v>
      </c>
      <c r="H145" s="172">
        <f t="shared" ref="H145:H153" si="40">IF($G$208=0,0,G145/$G$208)</f>
        <v>2.3807188306627893E-2</v>
      </c>
      <c r="I145" s="337"/>
      <c r="J145" s="183">
        <v>0</v>
      </c>
      <c r="K145" s="183">
        <v>0</v>
      </c>
      <c r="M145" s="364">
        <f t="shared" si="34"/>
        <v>8.2874929258630452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573">
        <f>'[50]Sch C'!D147</f>
        <v>17714.95</v>
      </c>
      <c r="D146" s="573">
        <f>'[50]Sch C'!F147</f>
        <v>0</v>
      </c>
      <c r="E146" s="171">
        <f t="shared" si="38"/>
        <v>17714.95</v>
      </c>
      <c r="F146" s="171"/>
      <c r="G146" s="171">
        <f t="shared" si="39"/>
        <v>17714.95</v>
      </c>
      <c r="H146" s="172">
        <f t="shared" si="40"/>
        <v>3.1999692744278871E-3</v>
      </c>
      <c r="I146" s="337"/>
      <c r="J146" s="183">
        <v>0</v>
      </c>
      <c r="K146" s="183">
        <v>0</v>
      </c>
      <c r="M146" s="364">
        <f t="shared" si="34"/>
        <v>1.1139376218323587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573">
        <f>'[50]Sch C'!D148</f>
        <v>0</v>
      </c>
      <c r="D147" s="573">
        <f>'[50]Sch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7"/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573">
        <f>'[50]Sch C'!D149</f>
        <v>0</v>
      </c>
      <c r="D148" s="573">
        <f>'[50]Sch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7"/>
      <c r="J148" s="183">
        <v>0</v>
      </c>
      <c r="K148" s="183">
        <v>0</v>
      </c>
      <c r="M148" s="364">
        <f t="shared" si="34"/>
        <v>0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573">
        <f>'[50]Sch C'!D150</f>
        <v>44867</v>
      </c>
      <c r="D149" s="573">
        <f>'[50]Sch C'!F150</f>
        <v>0</v>
      </c>
      <c r="E149" s="171">
        <f t="shared" si="38"/>
        <v>44867</v>
      </c>
      <c r="F149" s="171">
        <v>-415</v>
      </c>
      <c r="G149" s="171">
        <f t="shared" si="39"/>
        <v>44452</v>
      </c>
      <c r="H149" s="172">
        <f t="shared" si="40"/>
        <v>8.0296604950546527E-3</v>
      </c>
      <c r="I149" s="337"/>
      <c r="J149" s="183">
        <v>0</v>
      </c>
      <c r="K149" s="183">
        <v>0</v>
      </c>
      <c r="M149" s="364">
        <f t="shared" si="34"/>
        <v>2.7951958749921397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573">
        <f>'[50]Sch C'!D151</f>
        <v>115604</v>
      </c>
      <c r="D150" s="573">
        <f>'[50]Sch C'!F151</f>
        <v>0</v>
      </c>
      <c r="E150" s="171">
        <f t="shared" si="38"/>
        <v>115604</v>
      </c>
      <c r="F150" s="171"/>
      <c r="G150" s="171">
        <f t="shared" si="39"/>
        <v>115604</v>
      </c>
      <c r="H150" s="172">
        <f t="shared" si="40"/>
        <v>2.0882319622745841E-2</v>
      </c>
      <c r="I150" s="337"/>
      <c r="J150" s="168"/>
      <c r="K150" s="168"/>
      <c r="M150" s="364">
        <f t="shared" si="34"/>
        <v>7.2693202540401183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573">
        <f>'[50]Sch C'!D152</f>
        <v>15568</v>
      </c>
      <c r="D151" s="573">
        <f>'[50]Sch C'!F152</f>
        <v>0</v>
      </c>
      <c r="E151" s="171">
        <f t="shared" si="38"/>
        <v>15568</v>
      </c>
      <c r="F151" s="171">
        <v>-1031</v>
      </c>
      <c r="G151" s="171">
        <f t="shared" si="39"/>
        <v>14537</v>
      </c>
      <c r="H151" s="172">
        <f t="shared" si="40"/>
        <v>2.6259150233197493E-3</v>
      </c>
      <c r="I151" s="337"/>
      <c r="J151" s="168"/>
      <c r="K151" s="168"/>
      <c r="M151" s="364">
        <f t="shared" si="34"/>
        <v>0.91410425705841669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573">
        <f>'[50]Sch C'!D153</f>
        <v>15618</v>
      </c>
      <c r="D152" s="573">
        <f>'[50]Sch C'!F153</f>
        <v>0</v>
      </c>
      <c r="E152" s="171">
        <f t="shared" si="38"/>
        <v>15618</v>
      </c>
      <c r="F152" s="171"/>
      <c r="G152" s="171">
        <f t="shared" si="39"/>
        <v>15618</v>
      </c>
      <c r="H152" s="172">
        <f t="shared" si="40"/>
        <v>2.8211832451130112E-3</v>
      </c>
      <c r="I152" s="337"/>
      <c r="J152" s="168"/>
      <c r="K152" s="168"/>
      <c r="M152" s="364">
        <f t="shared" si="34"/>
        <v>0.98207885304659504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573">
        <f>'[50]Sch C'!D154</f>
        <v>0</v>
      </c>
      <c r="D153" s="573">
        <f>'[50]Sch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210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573">
        <f>'[50]Sch C'!D156</f>
        <v>0</v>
      </c>
      <c r="D155" s="573">
        <f>'[50]Sch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573">
        <f>'[50]Sch C'!D157</f>
        <v>0</v>
      </c>
      <c r="D156" s="573">
        <f>'[50]Sch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573">
        <f>'[50]Sch C'!D158</f>
        <v>0</v>
      </c>
      <c r="D157" s="573">
        <f>'[50]Sch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7"/>
      <c r="J157" s="168"/>
      <c r="K157" s="168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573">
        <f>'[50]Sch C'!D159</f>
        <v>0</v>
      </c>
      <c r="D158" s="573">
        <f>'[50]Sch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573">
        <f>'[50]Sch C'!D160</f>
        <v>0</v>
      </c>
      <c r="D159" s="573">
        <f>'[50]Sch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7"/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573">
        <f>'[50]Sch C'!D161</f>
        <v>0</v>
      </c>
      <c r="D160" s="573">
        <f>'[50]Sch C'!F161</f>
        <v>0</v>
      </c>
      <c r="E160" s="171">
        <f t="shared" si="41"/>
        <v>0</v>
      </c>
      <c r="F160" s="171"/>
      <c r="G160" s="171">
        <f t="shared" si="42"/>
        <v>0</v>
      </c>
      <c r="H160" s="172">
        <f t="shared" si="43"/>
        <v>0</v>
      </c>
      <c r="I160" s="337"/>
      <c r="J160" s="168"/>
      <c r="K160" s="168"/>
      <c r="M160" s="364">
        <f t="shared" si="34"/>
        <v>0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573">
        <f>SUM(C123:C160)</f>
        <v>1900442.95</v>
      </c>
      <c r="D161" s="573">
        <f>SUM(D123:D160)</f>
        <v>0</v>
      </c>
      <c r="E161" s="171">
        <f t="shared" ref="E161" si="44">SUM(E123:E160)</f>
        <v>1900442.95</v>
      </c>
      <c r="F161" s="171">
        <f>SUM(F123:F160)</f>
        <v>-1446</v>
      </c>
      <c r="G161" s="171">
        <f>SUM(G123:G160)</f>
        <v>1898996.95</v>
      </c>
      <c r="H161" s="172">
        <f t="shared" si="43"/>
        <v>0.34302845292999812</v>
      </c>
      <c r="I161" s="337"/>
      <c r="J161" s="168"/>
      <c r="K161" s="168"/>
      <c r="M161" s="364">
        <f>G161/G$228</f>
        <v>119.41124001760674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337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7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573">
        <f>'[50]Sch C'!D175</f>
        <v>0</v>
      </c>
      <c r="D164" s="573">
        <f>'[50]Sch C'!F175</f>
        <v>0</v>
      </c>
      <c r="E164" s="171">
        <f t="shared" ref="E164:E196" si="45">C164+D164</f>
        <v>0</v>
      </c>
      <c r="F164" s="665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573">
        <f>'[50]Sch C'!D176</f>
        <v>0</v>
      </c>
      <c r="D165" s="573">
        <f>'[50]Sch C'!F176</f>
        <v>0</v>
      </c>
      <c r="E165" s="171">
        <f t="shared" si="45"/>
        <v>0</v>
      </c>
      <c r="F165" s="665"/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573">
        <f>'[50]Sch C'!D177</f>
        <v>471854</v>
      </c>
      <c r="D166" s="573">
        <f>'[50]Sch C'!F177</f>
        <v>0</v>
      </c>
      <c r="E166" s="171">
        <f t="shared" si="45"/>
        <v>471854</v>
      </c>
      <c r="F166" s="665"/>
      <c r="G166" s="171">
        <f t="shared" si="46"/>
        <v>471854</v>
      </c>
      <c r="H166" s="172">
        <f t="shared" si="47"/>
        <v>8.5234127221126568E-2</v>
      </c>
      <c r="I166" s="343"/>
      <c r="J166" s="217">
        <v>16480</v>
      </c>
      <c r="K166" s="217">
        <v>16480</v>
      </c>
      <c r="L166" s="218"/>
      <c r="M166" s="364">
        <f t="shared" si="48"/>
        <v>29.670753945796392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573">
        <f>'[50]Sch C'!D178</f>
        <v>50751</v>
      </c>
      <c r="D167" s="573">
        <f>'[50]Sch C'!F178</f>
        <v>0</v>
      </c>
      <c r="E167" s="171">
        <f t="shared" si="45"/>
        <v>50751</v>
      </c>
      <c r="F167" s="665"/>
      <c r="G167" s="171">
        <f t="shared" si="46"/>
        <v>50751</v>
      </c>
      <c r="H167" s="172">
        <f t="shared" si="47"/>
        <v>9.1674907717204778E-3</v>
      </c>
      <c r="I167" s="344"/>
      <c r="J167" s="222"/>
      <c r="K167" s="222"/>
      <c r="L167" s="218"/>
      <c r="M167" s="364">
        <f t="shared" si="48"/>
        <v>3.1912846632710807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573">
        <f>'[50]Sch C'!D179</f>
        <v>43260</v>
      </c>
      <c r="D168" s="573">
        <f>'[50]Sch C'!F179</f>
        <v>0</v>
      </c>
      <c r="E168" s="171">
        <f t="shared" si="45"/>
        <v>43260</v>
      </c>
      <c r="F168" s="665"/>
      <c r="G168" s="171">
        <f t="shared" si="46"/>
        <v>43260</v>
      </c>
      <c r="H168" s="172">
        <f t="shared" si="47"/>
        <v>7.8143416047886331E-3</v>
      </c>
      <c r="I168" s="343"/>
      <c r="J168" s="217">
        <v>1362</v>
      </c>
      <c r="K168" s="217">
        <v>1362</v>
      </c>
      <c r="L168" s="218"/>
      <c r="M168" s="364">
        <f t="shared" si="48"/>
        <v>2.7202414638747405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573">
        <f>'[50]Sch C'!D180</f>
        <v>2381</v>
      </c>
      <c r="D169" s="573">
        <f>'[50]Sch C'!F180</f>
        <v>0</v>
      </c>
      <c r="E169" s="171">
        <f t="shared" si="45"/>
        <v>2381</v>
      </c>
      <c r="F169" s="665"/>
      <c r="G169" s="171">
        <f t="shared" si="46"/>
        <v>2381</v>
      </c>
      <c r="H169" s="172">
        <f t="shared" si="47"/>
        <v>4.3009587057331794E-4</v>
      </c>
      <c r="I169" s="344"/>
      <c r="J169" s="222"/>
      <c r="K169" s="222"/>
      <c r="L169" s="218"/>
      <c r="M169" s="364">
        <f t="shared" si="48"/>
        <v>0.14972017858265735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573">
        <f>'[50]Sch C'!D181</f>
        <v>0</v>
      </c>
      <c r="D170" s="573">
        <f>'[50]Sch C'!F181</f>
        <v>0</v>
      </c>
      <c r="E170" s="171">
        <f t="shared" si="45"/>
        <v>0</v>
      </c>
      <c r="F170" s="665"/>
      <c r="G170" s="171">
        <f t="shared" si="46"/>
        <v>0</v>
      </c>
      <c r="H170" s="172">
        <f t="shared" si="47"/>
        <v>0</v>
      </c>
      <c r="I170" s="343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573">
        <f>'[50]Sch C'!D182</f>
        <v>0</v>
      </c>
      <c r="D171" s="573">
        <f>'[50]Sch C'!F182</f>
        <v>0</v>
      </c>
      <c r="E171" s="171">
        <f t="shared" si="45"/>
        <v>0</v>
      </c>
      <c r="F171" s="665"/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573">
        <f>'[50]Sch C'!D183</f>
        <v>6024</v>
      </c>
      <c r="D172" s="573">
        <f>'[50]Sch C'!F183</f>
        <v>0</v>
      </c>
      <c r="E172" s="171">
        <f t="shared" si="45"/>
        <v>6024</v>
      </c>
      <c r="F172" s="665"/>
      <c r="G172" s="171">
        <f t="shared" si="46"/>
        <v>6024</v>
      </c>
      <c r="H172" s="172">
        <f t="shared" si="47"/>
        <v>1.0881551971161979E-3</v>
      </c>
      <c r="I172" s="343"/>
      <c r="J172" s="217">
        <v>186</v>
      </c>
      <c r="K172" s="217">
        <v>186</v>
      </c>
      <c r="L172" s="218"/>
      <c r="M172" s="364">
        <f t="shared" si="48"/>
        <v>0.37879645349933977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573">
        <f>'[50]Sch C'!D184</f>
        <v>4707</v>
      </c>
      <c r="D173" s="573">
        <f>'[50]Sch C'!F184</f>
        <v>0</v>
      </c>
      <c r="E173" s="171">
        <f t="shared" si="45"/>
        <v>4707</v>
      </c>
      <c r="F173" s="665"/>
      <c r="G173" s="171">
        <f t="shared" si="46"/>
        <v>4707</v>
      </c>
      <c r="H173" s="172">
        <f t="shared" si="47"/>
        <v>8.5025672523671039E-4</v>
      </c>
      <c r="I173" s="344"/>
      <c r="J173" s="222"/>
      <c r="K173" s="222"/>
      <c r="L173" s="218"/>
      <c r="M173" s="364">
        <f t="shared" si="48"/>
        <v>0.29598189020939447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573">
        <f>'[50]Sch C'!D185</f>
        <v>0</v>
      </c>
      <c r="D174" s="573">
        <f>'[50]Sch C'!F185</f>
        <v>0</v>
      </c>
      <c r="E174" s="171">
        <f t="shared" si="45"/>
        <v>0</v>
      </c>
      <c r="F174" s="665"/>
      <c r="G174" s="171">
        <f t="shared" si="46"/>
        <v>0</v>
      </c>
      <c r="H174" s="172">
        <f t="shared" si="47"/>
        <v>0</v>
      </c>
      <c r="I174" s="343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573">
        <f>'[50]Sch C'!D186</f>
        <v>0</v>
      </c>
      <c r="D175" s="573">
        <f>'[50]Sch C'!F186</f>
        <v>0</v>
      </c>
      <c r="E175" s="171">
        <f t="shared" si="45"/>
        <v>0</v>
      </c>
      <c r="F175" s="665"/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573">
        <f>'[50]Sch C'!D187</f>
        <v>0</v>
      </c>
      <c r="D176" s="573">
        <f>'[50]Sch C'!F187</f>
        <v>0</v>
      </c>
      <c r="E176" s="171">
        <f t="shared" si="45"/>
        <v>0</v>
      </c>
      <c r="F176" s="665"/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573">
        <f>'[50]Sch C'!D188</f>
        <v>-24954</v>
      </c>
      <c r="D177" s="573">
        <f>'[50]Sch C'!F188</f>
        <v>0</v>
      </c>
      <c r="E177" s="171">
        <f t="shared" si="45"/>
        <v>-24954</v>
      </c>
      <c r="F177" s="665"/>
      <c r="G177" s="171">
        <f t="shared" si="46"/>
        <v>-24954</v>
      </c>
      <c r="H177" s="172">
        <f t="shared" si="47"/>
        <v>-4.5076070366596287E-3</v>
      </c>
      <c r="I177" s="337"/>
      <c r="J177" s="223"/>
      <c r="K177" s="218"/>
      <c r="L177" s="220"/>
      <c r="M177" s="364">
        <f t="shared" si="48"/>
        <v>-1.5691378985097151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573">
        <f>'[50]Sch C'!D189</f>
        <v>2499</v>
      </c>
      <c r="D178" s="573">
        <f>'[50]Sch C'!F189</f>
        <v>0</v>
      </c>
      <c r="E178" s="171">
        <f t="shared" si="45"/>
        <v>2499</v>
      </c>
      <c r="F178" s="665"/>
      <c r="G178" s="171">
        <f t="shared" si="46"/>
        <v>2499</v>
      </c>
      <c r="H178" s="172">
        <f t="shared" si="47"/>
        <v>4.5141099561643073E-4</v>
      </c>
      <c r="I178" s="337"/>
      <c r="J178" s="223"/>
      <c r="K178" s="218"/>
      <c r="L178" s="220"/>
      <c r="M178" s="364">
        <f t="shared" si="48"/>
        <v>0.15714016223354085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573">
        <f>'[50]Sch C'!D190</f>
        <v>0</v>
      </c>
      <c r="D179" s="573">
        <f>'[50]Sch C'!F190</f>
        <v>0</v>
      </c>
      <c r="E179" s="171">
        <f t="shared" si="45"/>
        <v>0</v>
      </c>
      <c r="F179" s="665"/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573">
        <f>'[50]Sch C'!D191</f>
        <v>1862</v>
      </c>
      <c r="D180" s="573">
        <f>'[50]Sch C'!F191</f>
        <v>0</v>
      </c>
      <c r="E180" s="171">
        <f t="shared" si="45"/>
        <v>1862</v>
      </c>
      <c r="F180" s="665"/>
      <c r="G180" s="171">
        <f t="shared" si="46"/>
        <v>1862</v>
      </c>
      <c r="H180" s="172">
        <f t="shared" si="47"/>
        <v>3.3634544771420327E-4</v>
      </c>
      <c r="I180" s="337"/>
      <c r="J180" s="223"/>
      <c r="K180" s="218"/>
      <c r="L180" s="220"/>
      <c r="M180" s="364">
        <f t="shared" si="48"/>
        <v>0.11708482676224612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573">
        <f>'[50]Sch C'!D192</f>
        <v>65520</v>
      </c>
      <c r="D181" s="573">
        <f>'[50]Sch C'!F192</f>
        <v>0</v>
      </c>
      <c r="E181" s="171">
        <f t="shared" si="45"/>
        <v>65520</v>
      </c>
      <c r="F181" s="665"/>
      <c r="G181" s="171">
        <f t="shared" si="46"/>
        <v>65520</v>
      </c>
      <c r="H181" s="172">
        <f t="shared" si="47"/>
        <v>1.1835313498514822E-2</v>
      </c>
      <c r="I181" s="337"/>
      <c r="J181" s="223"/>
      <c r="K181" s="218"/>
      <c r="L181" s="220"/>
      <c r="M181" s="364">
        <f t="shared" si="48"/>
        <v>4.1199773627617429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573">
        <f>'[50]Sch C'!D193</f>
        <v>0</v>
      </c>
      <c r="D182" s="573">
        <f>'[50]Sch C'!F193</f>
        <v>0</v>
      </c>
      <c r="E182" s="171">
        <f t="shared" si="45"/>
        <v>0</v>
      </c>
      <c r="F182" s="665"/>
      <c r="G182" s="171">
        <f t="shared" si="46"/>
        <v>0</v>
      </c>
      <c r="H182" s="172">
        <f t="shared" si="47"/>
        <v>0</v>
      </c>
      <c r="I182" s="337"/>
      <c r="J182" s="223"/>
      <c r="K182" s="218"/>
      <c r="L182" s="220"/>
      <c r="M182" s="364">
        <f t="shared" si="48"/>
        <v>0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573">
        <f>'[50]Sch C'!D194</f>
        <v>0</v>
      </c>
      <c r="D183" s="573">
        <f>'[50]Sch C'!F194</f>
        <v>0</v>
      </c>
      <c r="E183" s="171">
        <f t="shared" si="45"/>
        <v>0</v>
      </c>
      <c r="F183" s="665"/>
      <c r="G183" s="171">
        <f t="shared" si="46"/>
        <v>0</v>
      </c>
      <c r="H183" s="172">
        <f t="shared" si="47"/>
        <v>0</v>
      </c>
      <c r="I183" s="337"/>
      <c r="J183" s="223"/>
      <c r="K183" s="218"/>
      <c r="M183" s="364">
        <f t="shared" si="48"/>
        <v>0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573">
        <f>'[50]Sch C'!D195</f>
        <v>0</v>
      </c>
      <c r="D184" s="573">
        <f>'[50]Sch C'!F195</f>
        <v>0</v>
      </c>
      <c r="E184" s="171">
        <f t="shared" si="45"/>
        <v>0</v>
      </c>
      <c r="F184" s="665"/>
      <c r="G184" s="171">
        <f t="shared" si="46"/>
        <v>0</v>
      </c>
      <c r="H184" s="172">
        <f t="shared" si="47"/>
        <v>0</v>
      </c>
      <c r="I184" s="337"/>
      <c r="J184" s="223"/>
      <c r="K184" s="218"/>
      <c r="M184" s="364">
        <f t="shared" si="48"/>
        <v>0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573">
        <f>'[50]Sch C'!D196</f>
        <v>0</v>
      </c>
      <c r="D185" s="573">
        <f>'[50]Sch C'!F196</f>
        <v>0</v>
      </c>
      <c r="E185" s="171">
        <f t="shared" si="45"/>
        <v>0</v>
      </c>
      <c r="F185" s="665"/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573">
        <f>'[50]Sch C'!D197</f>
        <v>0</v>
      </c>
      <c r="D186" s="573">
        <f>'[50]Sch C'!F197</f>
        <v>0</v>
      </c>
      <c r="E186" s="171">
        <f t="shared" si="45"/>
        <v>0</v>
      </c>
      <c r="F186" s="665"/>
      <c r="G186" s="171">
        <f t="shared" si="46"/>
        <v>0</v>
      </c>
      <c r="H186" s="172">
        <f t="shared" si="47"/>
        <v>0</v>
      </c>
      <c r="I186" s="337"/>
      <c r="J186" s="223"/>
      <c r="K186" s="218"/>
      <c r="M186" s="364">
        <f t="shared" si="48"/>
        <v>0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573">
        <f>'[50]Sch C'!D198</f>
        <v>0</v>
      </c>
      <c r="D187" s="573">
        <f>'[50]Sch C'!F198</f>
        <v>0</v>
      </c>
      <c r="E187" s="171">
        <f t="shared" si="45"/>
        <v>0</v>
      </c>
      <c r="F187" s="665"/>
      <c r="G187" s="171">
        <f t="shared" si="46"/>
        <v>0</v>
      </c>
      <c r="H187" s="172">
        <f t="shared" si="47"/>
        <v>0</v>
      </c>
      <c r="I187" s="337"/>
      <c r="J187" s="223"/>
      <c r="K187" s="218"/>
      <c r="M187" s="364">
        <f t="shared" si="48"/>
        <v>0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573">
        <f>'[50]Sch C'!D199</f>
        <v>0</v>
      </c>
      <c r="D188" s="573">
        <f>'[50]Sch C'!F199</f>
        <v>0</v>
      </c>
      <c r="E188" s="171">
        <f t="shared" si="45"/>
        <v>0</v>
      </c>
      <c r="F188" s="665"/>
      <c r="G188" s="171">
        <f t="shared" si="46"/>
        <v>0</v>
      </c>
      <c r="H188" s="172">
        <f t="shared" si="47"/>
        <v>0</v>
      </c>
      <c r="I188" s="337"/>
      <c r="J188" s="223"/>
      <c r="K188" s="218"/>
      <c r="M188" s="364">
        <f t="shared" si="48"/>
        <v>0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573">
        <f>'[50]Sch C'!D200</f>
        <v>0</v>
      </c>
      <c r="D189" s="573">
        <f>'[50]Sch C'!F200</f>
        <v>0</v>
      </c>
      <c r="E189" s="171">
        <f t="shared" si="45"/>
        <v>0</v>
      </c>
      <c r="F189" s="665"/>
      <c r="G189" s="171">
        <f t="shared" si="46"/>
        <v>0</v>
      </c>
      <c r="H189" s="172">
        <f t="shared" si="47"/>
        <v>0</v>
      </c>
      <c r="I189" s="337"/>
      <c r="J189" s="223"/>
      <c r="K189" s="218"/>
      <c r="M189" s="364">
        <f t="shared" si="48"/>
        <v>0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573">
        <f>'[50]Sch C'!D201</f>
        <v>-54179</v>
      </c>
      <c r="D190" s="573">
        <f>'[50]Sch C'!F201</f>
        <v>0</v>
      </c>
      <c r="E190" s="171">
        <f t="shared" si="45"/>
        <v>-54179</v>
      </c>
      <c r="F190" s="665"/>
      <c r="G190" s="171">
        <f t="shared" si="46"/>
        <v>-54179</v>
      </c>
      <c r="H190" s="172">
        <f t="shared" si="47"/>
        <v>-9.7867132178881943E-3</v>
      </c>
      <c r="I190" s="337"/>
      <c r="J190" s="223"/>
      <c r="K190" s="218"/>
      <c r="M190" s="364">
        <f t="shared" si="48"/>
        <v>-3.406841476450984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573">
        <f>'[50]Sch C'!D202</f>
        <v>0</v>
      </c>
      <c r="D191" s="573">
        <f>'[50]Sch C'!F202</f>
        <v>0</v>
      </c>
      <c r="E191" s="171">
        <f t="shared" si="45"/>
        <v>0</v>
      </c>
      <c r="F191" s="665"/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573">
        <f>'[50]Sch C'!D203</f>
        <v>0</v>
      </c>
      <c r="D192" s="573">
        <f>'[50]Sch C'!F203</f>
        <v>0</v>
      </c>
      <c r="E192" s="171">
        <f t="shared" si="45"/>
        <v>0</v>
      </c>
      <c r="F192" s="665"/>
      <c r="G192" s="171">
        <f t="shared" si="46"/>
        <v>0</v>
      </c>
      <c r="H192" s="172">
        <f t="shared" si="47"/>
        <v>0</v>
      </c>
      <c r="I192" s="337"/>
      <c r="J192" s="223"/>
      <c r="K192" s="218"/>
      <c r="M192" s="364">
        <f t="shared" si="48"/>
        <v>0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573">
        <f>'[50]Sch C'!D204</f>
        <v>0</v>
      </c>
      <c r="D193" s="573">
        <f>'[50]Sch C'!F204</f>
        <v>0</v>
      </c>
      <c r="E193" s="171">
        <f t="shared" si="45"/>
        <v>0</v>
      </c>
      <c r="F193" s="665"/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573">
        <f>'[50]Sch C'!D205</f>
        <v>197622</v>
      </c>
      <c r="D194" s="573">
        <f>'[50]Sch C'!F205</f>
        <v>0</v>
      </c>
      <c r="E194" s="171">
        <f t="shared" si="45"/>
        <v>197622</v>
      </c>
      <c r="F194" s="665"/>
      <c r="G194" s="171">
        <f t="shared" si="46"/>
        <v>197622</v>
      </c>
      <c r="H194" s="172">
        <f t="shared" si="47"/>
        <v>3.569777662093248E-2</v>
      </c>
      <c r="I194" s="337"/>
      <c r="J194" s="223"/>
      <c r="K194" s="218"/>
      <c r="M194" s="364">
        <f t="shared" si="48"/>
        <v>12.42671194114318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573">
        <f>'[50]Sch C'!D206</f>
        <v>0</v>
      </c>
      <c r="D195" s="573">
        <f>'[50]Sch C'!F206</f>
        <v>0</v>
      </c>
      <c r="E195" s="171">
        <f t="shared" si="45"/>
        <v>0</v>
      </c>
      <c r="F195" s="665"/>
      <c r="G195" s="171">
        <f t="shared" si="46"/>
        <v>0</v>
      </c>
      <c r="H195" s="172">
        <f t="shared" si="47"/>
        <v>0</v>
      </c>
      <c r="I195" s="337"/>
      <c r="J195" s="223"/>
      <c r="K195" s="218"/>
      <c r="M195" s="364">
        <f t="shared" si="48"/>
        <v>0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573">
        <f>'[50]Sch C'!D207</f>
        <v>-2603</v>
      </c>
      <c r="D196" s="573">
        <f>'[50]Sch C'!F207</f>
        <v>0</v>
      </c>
      <c r="E196" s="171">
        <f t="shared" si="45"/>
        <v>-2603</v>
      </c>
      <c r="F196" s="665"/>
      <c r="G196" s="171">
        <f t="shared" si="46"/>
        <v>-2603</v>
      </c>
      <c r="H196" s="172">
        <f t="shared" si="47"/>
        <v>-4.7019720751883518E-4</v>
      </c>
      <c r="I196" s="337"/>
      <c r="J196" s="223"/>
      <c r="K196" s="218"/>
      <c r="M196" s="364">
        <f t="shared" si="48"/>
        <v>-0.16367980884109917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573">
        <f>SUM(C164:C196)</f>
        <v>764744</v>
      </c>
      <c r="D197" s="573">
        <f>SUM(D164:D196)</f>
        <v>0</v>
      </c>
      <c r="E197" s="171">
        <f t="shared" ref="E197" si="49">SUM(E164:E196)</f>
        <v>764744</v>
      </c>
      <c r="F197" s="171">
        <f>SUM(F164:F196)</f>
        <v>0</v>
      </c>
      <c r="G197" s="171">
        <f>SUM(G164:G196)</f>
        <v>764744</v>
      </c>
      <c r="H197" s="172">
        <f>IF($G$208=0,0,G197/$G$208)</f>
        <v>0.13814079649127317</v>
      </c>
      <c r="I197" s="337"/>
      <c r="J197" s="168"/>
      <c r="K197" s="168"/>
      <c r="M197" s="364">
        <f>G197/G$228</f>
        <v>48.088033704332517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165"/>
      <c r="G198" s="165"/>
      <c r="H198" s="198"/>
      <c r="I198" s="341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1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573">
        <f>'[50]Sch C'!D211</f>
        <v>67295</v>
      </c>
      <c r="D200" s="573">
        <f>'[50]Sch C'!F211</f>
        <v>0</v>
      </c>
      <c r="E200" s="171">
        <f t="shared" ref="E200:E205" si="50">C200+D200</f>
        <v>67295</v>
      </c>
      <c r="F200" s="171"/>
      <c r="G200" s="171">
        <f t="shared" ref="G200:G205" si="51">E200+F200</f>
        <v>67295</v>
      </c>
      <c r="H200" s="172">
        <f t="shared" ref="H200:H206" si="52">IF($G$208=0,0,G200/$G$208)</f>
        <v>1.2155943557426052E-2</v>
      </c>
      <c r="I200" s="337"/>
      <c r="J200" s="183">
        <v>3666</v>
      </c>
      <c r="K200" s="183">
        <v>3666</v>
      </c>
      <c r="M200" s="364">
        <f t="shared" ref="M200:M205" si="53">G200/G$228</f>
        <v>4.2315915236118968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573">
        <f>'[50]Sch C'!D212</f>
        <v>7737</v>
      </c>
      <c r="D201" s="573">
        <f>'[50]Sch C'!F212</f>
        <v>0</v>
      </c>
      <c r="E201" s="171">
        <f t="shared" si="50"/>
        <v>7737</v>
      </c>
      <c r="F201" s="171"/>
      <c r="G201" s="171">
        <f t="shared" si="51"/>
        <v>7737</v>
      </c>
      <c r="H201" s="172">
        <f t="shared" si="52"/>
        <v>1.3975857835471486E-3</v>
      </c>
      <c r="I201" s="337"/>
      <c r="J201" s="168"/>
      <c r="K201" s="168"/>
      <c r="M201" s="364">
        <f t="shared" si="53"/>
        <v>0.48651197887191094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573">
        <f>'[50]Sch C'!D213</f>
        <v>6236</v>
      </c>
      <c r="D202" s="573">
        <f>'[50]Sch C'!F213</f>
        <v>0</v>
      </c>
      <c r="E202" s="171">
        <f t="shared" si="50"/>
        <v>6236</v>
      </c>
      <c r="F202" s="171"/>
      <c r="G202" s="171">
        <f t="shared" si="51"/>
        <v>6236</v>
      </c>
      <c r="H202" s="172">
        <f t="shared" si="52"/>
        <v>1.1264501675326379E-3</v>
      </c>
      <c r="I202" s="337"/>
      <c r="J202" s="168"/>
      <c r="K202" s="168"/>
      <c r="M202" s="364">
        <f t="shared" si="53"/>
        <v>0.39212727158397787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573">
        <f>'[50]Sch C'!D214</f>
        <v>0</v>
      </c>
      <c r="D203" s="573">
        <f>'[50]Sch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>
        <f t="shared" si="53"/>
        <v>0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573">
        <f>'[50]Sch C'!D215</f>
        <v>0</v>
      </c>
      <c r="D204" s="573">
        <f>'[50]Sch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573">
        <f>'[50]Sch C'!D216</f>
        <v>5364</v>
      </c>
      <c r="D205" s="573">
        <f>'[50]Sch C'!F216</f>
        <v>0</v>
      </c>
      <c r="E205" s="171">
        <f t="shared" si="50"/>
        <v>5364</v>
      </c>
      <c r="F205" s="171"/>
      <c r="G205" s="171">
        <f t="shared" si="51"/>
        <v>5364</v>
      </c>
      <c r="H205" s="172">
        <f t="shared" si="52"/>
        <v>9.6893500619709262E-4</v>
      </c>
      <c r="I205" s="337"/>
      <c r="J205" s="168"/>
      <c r="K205" s="168"/>
      <c r="M205" s="364">
        <f t="shared" si="53"/>
        <v>0.33729485002829657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573">
        <f>SUM(C200:C205)</f>
        <v>86632</v>
      </c>
      <c r="D206" s="573">
        <f>SUM(D200:D205)</f>
        <v>0</v>
      </c>
      <c r="E206" s="171">
        <f t="shared" ref="E206" si="54">SUM(E200:E205)</f>
        <v>86632</v>
      </c>
      <c r="F206" s="171">
        <f>SUM(F200:F205)</f>
        <v>0</v>
      </c>
      <c r="G206" s="171">
        <f>SUM(G200:G205)</f>
        <v>86632</v>
      </c>
      <c r="H206" s="172">
        <f t="shared" si="52"/>
        <v>1.5648914514702933E-2</v>
      </c>
      <c r="I206" s="337"/>
      <c r="J206" s="168"/>
      <c r="K206" s="168"/>
      <c r="M206" s="364">
        <f>G206/G$228</f>
        <v>5.4475256240960821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573">
        <f>SUM(C25:C206)/2</f>
        <v>6217175.0299999993</v>
      </c>
      <c r="D208" s="573">
        <f>SUM(D25:D206)/2</f>
        <v>-541546</v>
      </c>
      <c r="E208" s="171">
        <f t="shared" ref="E208:F208" si="55">SUM(E25:E206)/2</f>
        <v>5675629.0300000003</v>
      </c>
      <c r="F208" s="171">
        <f t="shared" si="55"/>
        <v>-139654</v>
      </c>
      <c r="G208" s="171">
        <f>SUM(G25:G206)/2</f>
        <v>5535975.0300000003</v>
      </c>
      <c r="H208" s="172">
        <f>IF($G$208=0,0,G208/$G$208)</f>
        <v>1</v>
      </c>
      <c r="I208" s="337"/>
      <c r="J208" s="183">
        <f>SUM(J25:J200)</f>
        <v>131388</v>
      </c>
      <c r="K208" s="183">
        <f>SUM(K25:K200)</f>
        <v>121215</v>
      </c>
      <c r="M208" s="364">
        <f>G208/G$228</f>
        <v>348.10884927372194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573">
        <f>'[50]Sch C'!D221</f>
        <v>6217174.9000000004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573">
        <f>C208-C211</f>
        <v>0.12999999895691872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619"/>
      <c r="D213" s="232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573">
        <f>C21-C208</f>
        <v>-857486.02999999933</v>
      </c>
      <c r="D215" s="573">
        <f>D21-D208</f>
        <v>541683</v>
      </c>
      <c r="E215" s="171">
        <f t="shared" ref="E215:F215" si="56">E21-E208</f>
        <v>-315803.03000000026</v>
      </c>
      <c r="F215" s="171">
        <f t="shared" si="56"/>
        <v>139654</v>
      </c>
      <c r="G215" s="171">
        <f>G21-G208</f>
        <v>-176149.03000000026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653">
        <f>'[50]Sch D'!C9</f>
        <v>6686</v>
      </c>
      <c r="D219" s="653"/>
      <c r="E219" s="235">
        <f t="shared" ref="E219:G227" si="57">C219+D219</f>
        <v>6686</v>
      </c>
      <c r="F219" s="234"/>
      <c r="G219" s="235">
        <f t="shared" si="57"/>
        <v>6686</v>
      </c>
      <c r="H219" s="172">
        <f t="shared" ref="H219:H228" si="58">IF($G$228=0,0,G219/$G$228)</f>
        <v>0.42042381940514367</v>
      </c>
      <c r="I219" s="337"/>
      <c r="J219" s="168"/>
      <c r="K219" s="168"/>
    </row>
    <row r="220" spans="1:14">
      <c r="A220" s="163"/>
      <c r="B220" s="170" t="s">
        <v>217</v>
      </c>
      <c r="C220" s="653">
        <f>'[50]Sch D'!D9</f>
        <v>0</v>
      </c>
      <c r="D220" s="653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7"/>
      <c r="J220" s="168"/>
      <c r="K220" s="168"/>
    </row>
    <row r="221" spans="1:14">
      <c r="A221" s="163"/>
      <c r="B221" s="170" t="s">
        <v>72</v>
      </c>
      <c r="C221" s="653">
        <f>'[50]Sch D'!E9</f>
        <v>5343</v>
      </c>
      <c r="D221" s="653"/>
      <c r="E221" s="235">
        <f t="shared" si="59"/>
        <v>5343</v>
      </c>
      <c r="F221" s="234"/>
      <c r="G221" s="235">
        <f t="shared" si="57"/>
        <v>5343</v>
      </c>
      <c r="H221" s="172">
        <f t="shared" si="58"/>
        <v>0.33597434446330882</v>
      </c>
      <c r="I221" s="337"/>
      <c r="J221" s="168"/>
      <c r="K221" s="168"/>
    </row>
    <row r="222" spans="1:14">
      <c r="A222" s="163"/>
      <c r="B222" s="202" t="s">
        <v>334</v>
      </c>
      <c r="C222" s="653">
        <f>'[50]Sch D'!F9</f>
        <v>1807</v>
      </c>
      <c r="D222" s="653"/>
      <c r="E222" s="235">
        <f>C222+D222</f>
        <v>1807</v>
      </c>
      <c r="F222" s="234"/>
      <c r="G222" s="235">
        <f>E222+F222</f>
        <v>1807</v>
      </c>
      <c r="H222" s="172">
        <f t="shared" si="58"/>
        <v>0.11362635980632585</v>
      </c>
      <c r="I222" s="337"/>
      <c r="J222" s="168"/>
      <c r="K222" s="168"/>
    </row>
    <row r="223" spans="1:14">
      <c r="A223" s="163"/>
      <c r="B223" s="170" t="s">
        <v>73</v>
      </c>
      <c r="C223" s="653">
        <f>'[50]Sch D'!G9</f>
        <v>0</v>
      </c>
      <c r="D223" s="653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7"/>
      <c r="J223" s="168"/>
      <c r="K223" s="168"/>
    </row>
    <row r="224" spans="1:14">
      <c r="A224" s="163"/>
      <c r="B224" s="170" t="s">
        <v>74</v>
      </c>
      <c r="C224" s="653">
        <f>'[50]Sch D'!H9</f>
        <v>1161</v>
      </c>
      <c r="D224" s="653"/>
      <c r="E224" s="235">
        <f t="shared" si="59"/>
        <v>1161</v>
      </c>
      <c r="F224" s="234"/>
      <c r="G224" s="235">
        <f t="shared" si="57"/>
        <v>1161</v>
      </c>
      <c r="H224" s="172">
        <f t="shared" si="58"/>
        <v>7.3005093378607805E-2</v>
      </c>
      <c r="I224" s="337"/>
      <c r="J224" s="168"/>
      <c r="K224" s="168"/>
    </row>
    <row r="225" spans="1:11">
      <c r="A225" s="163"/>
      <c r="B225" s="170" t="s">
        <v>236</v>
      </c>
      <c r="C225" s="653">
        <f>'[50]Sch D'!I9</f>
        <v>906</v>
      </c>
      <c r="D225" s="653"/>
      <c r="E225" s="235">
        <f t="shared" si="59"/>
        <v>906</v>
      </c>
      <c r="F225" s="234"/>
      <c r="G225" s="235">
        <f t="shared" si="57"/>
        <v>906</v>
      </c>
      <c r="H225" s="172">
        <f t="shared" si="58"/>
        <v>5.697038294661385E-2</v>
      </c>
      <c r="I225" s="337"/>
      <c r="J225" s="168"/>
      <c r="K225" s="168"/>
    </row>
    <row r="226" spans="1:11">
      <c r="A226" s="163"/>
      <c r="B226" s="170" t="s">
        <v>235</v>
      </c>
      <c r="C226" s="653">
        <f>'[50]Sch D'!J9</f>
        <v>0</v>
      </c>
      <c r="D226" s="653"/>
      <c r="E226" s="235">
        <f>C226+D226</f>
        <v>0</v>
      </c>
      <c r="F226" s="234"/>
      <c r="G226" s="235">
        <f>E226+F226</f>
        <v>0</v>
      </c>
      <c r="H226" s="172">
        <f t="shared" si="58"/>
        <v>0</v>
      </c>
      <c r="I226" s="337"/>
      <c r="J226" s="168"/>
      <c r="K226" s="168"/>
    </row>
    <row r="227" spans="1:11">
      <c r="A227" s="163"/>
      <c r="B227" s="170" t="s">
        <v>179</v>
      </c>
      <c r="C227" s="653">
        <f>'[50]Sch D'!K9</f>
        <v>0</v>
      </c>
      <c r="D227" s="653"/>
      <c r="E227" s="235">
        <f t="shared" si="59"/>
        <v>0</v>
      </c>
      <c r="F227" s="234"/>
      <c r="G227" s="235">
        <f t="shared" si="57"/>
        <v>0</v>
      </c>
      <c r="H227" s="172">
        <f t="shared" si="58"/>
        <v>0</v>
      </c>
      <c r="I227" s="337"/>
      <c r="J227" s="168"/>
      <c r="K227" s="168"/>
    </row>
    <row r="228" spans="1:11" ht="13.5" thickBot="1">
      <c r="A228" s="163"/>
      <c r="B228" s="236" t="s">
        <v>75</v>
      </c>
      <c r="C228" s="653">
        <f>SUM(C219:C227)</f>
        <v>15903</v>
      </c>
      <c r="D228" s="653">
        <f>SUM(D219:D227)</f>
        <v>0</v>
      </c>
      <c r="E228" s="237">
        <f>SUM(E219:E227)</f>
        <v>15903</v>
      </c>
      <c r="F228" s="237">
        <f>SUM(F219:F227)</f>
        <v>0</v>
      </c>
      <c r="G228" s="237">
        <f>SUM(G219:G227)</f>
        <v>15903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620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619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654">
        <f>'[50]Sch D'!N22</f>
        <v>89</v>
      </c>
      <c r="D231" s="574"/>
      <c r="E231" s="235">
        <f>C231+D231</f>
        <v>89</v>
      </c>
      <c r="F231" s="235"/>
      <c r="G231" s="235">
        <f>E231+F231</f>
        <v>89</v>
      </c>
      <c r="H231" s="167"/>
      <c r="J231" s="168"/>
      <c r="K231" s="168"/>
    </row>
    <row r="232" spans="1:11">
      <c r="A232" s="163"/>
      <c r="B232" s="202" t="s">
        <v>290</v>
      </c>
      <c r="C232" s="654">
        <f>'[50]Sch D'!N24</f>
        <v>89</v>
      </c>
      <c r="D232" s="574"/>
      <c r="E232" s="235">
        <f>C232+D232</f>
        <v>89</v>
      </c>
      <c r="F232" s="235"/>
      <c r="G232" s="235">
        <f>E232+F232</f>
        <v>89</v>
      </c>
      <c r="H232" s="167"/>
      <c r="J232" s="168"/>
      <c r="K232" s="168"/>
    </row>
    <row r="233" spans="1:11">
      <c r="A233" s="163"/>
      <c r="B233" s="202" t="s">
        <v>76</v>
      </c>
      <c r="C233" s="654">
        <f>$C$4-$C$3+1</f>
        <v>365</v>
      </c>
      <c r="D233" s="489"/>
      <c r="E233" s="235">
        <f>C233+D233</f>
        <v>365</v>
      </c>
      <c r="F233" s="240"/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621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654">
        <f>'[50]Sch D'!N28</f>
        <v>32485</v>
      </c>
      <c r="D235" s="489"/>
      <c r="E235" s="234">
        <f>E231*E233</f>
        <v>32485</v>
      </c>
      <c r="F235" s="240"/>
      <c r="G235" s="234">
        <f>G231*G233</f>
        <v>32485</v>
      </c>
      <c r="H235" s="167"/>
      <c r="J235" s="168"/>
      <c r="K235" s="168"/>
    </row>
    <row r="236" spans="1:11" ht="26">
      <c r="A236" s="163"/>
      <c r="B236" s="244" t="s">
        <v>336</v>
      </c>
      <c r="C236" s="655">
        <f>'[50]Sch D'!N30</f>
        <v>0.48954902262582728</v>
      </c>
      <c r="D236" s="240"/>
      <c r="E236" s="245">
        <f>E228/E235</f>
        <v>0.48954902262582728</v>
      </c>
      <c r="F236" s="246"/>
      <c r="G236" s="245">
        <f>G228/G235</f>
        <v>0.48954902262582728</v>
      </c>
      <c r="H236" s="167"/>
      <c r="J236" s="168"/>
      <c r="K236" s="168"/>
    </row>
    <row r="237" spans="1:11" ht="26">
      <c r="A237" s="163"/>
      <c r="B237" s="244" t="s">
        <v>337</v>
      </c>
      <c r="C237" s="655">
        <f>'[50]Sch D'!N32</f>
        <v>0.20581806987840542</v>
      </c>
      <c r="D237" s="240"/>
      <c r="E237" s="245">
        <f>(E219+E220)/E235</f>
        <v>0.20581806987840542</v>
      </c>
      <c r="F237" s="246"/>
      <c r="G237" s="245">
        <f>(G219+G220)/G235</f>
        <v>0.20581806987840542</v>
      </c>
      <c r="H237" s="167"/>
      <c r="J237" s="168"/>
      <c r="K237" s="168"/>
    </row>
    <row r="238" spans="1:11" ht="26">
      <c r="A238" s="163"/>
      <c r="B238" s="244" t="s">
        <v>338</v>
      </c>
      <c r="C238" s="655">
        <f>'[50]Sch D'!N34</f>
        <v>0.42042381940514373</v>
      </c>
      <c r="D238" s="240"/>
      <c r="E238" s="245">
        <f>(E237/E236)</f>
        <v>0.42042381940514373</v>
      </c>
      <c r="F238" s="246"/>
      <c r="G238" s="245">
        <f>(G237/G236)</f>
        <v>0.42042381940514373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73">
        <f>'[50]Sch B'!C85</f>
        <v>224.0176322418136</v>
      </c>
    </row>
    <row r="242" spans="2:7">
      <c r="F242" s="142" t="s">
        <v>341</v>
      </c>
      <c r="G242" s="573">
        <f>'[50]Sch B'!E85</f>
        <v>218.43975903614458</v>
      </c>
    </row>
    <row r="243" spans="2:7">
      <c r="F243" s="142" t="s">
        <v>342</v>
      </c>
      <c r="G243" s="573">
        <f>'[50]Sch B'!G85</f>
        <v>216.68965517241378</v>
      </c>
    </row>
    <row r="244" spans="2:7">
      <c r="F244" s="142" t="s">
        <v>343</v>
      </c>
      <c r="G244" s="573">
        <f>'[50]Sch B'!I85</f>
        <v>189.85365853658536</v>
      </c>
    </row>
    <row r="245" spans="2:7">
      <c r="F245" s="142"/>
    </row>
  </sheetData>
  <customSheetViews>
    <customSheetView guid="{8B6AA640-12E9-11D5-ABB1-E7A21A3D4A14}" showGridLines="0" showRuler="0" topLeftCell="B1">
      <selection activeCell="B1" sqref="B1"/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 topLeftCell="A25">
      <selection activeCell="A43" sqref="A43"/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1">
    <tabColor rgb="FFE28CAB"/>
  </sheetPr>
  <dimension ref="A1:Q245"/>
  <sheetViews>
    <sheetView showGridLines="0" zoomScale="90" zoomScaleNormal="90" workbookViewId="0">
      <selection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478"/>
      <c r="E1" s="478"/>
      <c r="F1" s="478"/>
      <c r="G1" s="478"/>
      <c r="H1" s="478"/>
      <c r="I1" s="479"/>
    </row>
    <row r="2" spans="1:14" ht="23">
      <c r="B2" s="143" t="s">
        <v>189</v>
      </c>
      <c r="C2" s="247" t="s">
        <v>388</v>
      </c>
      <c r="D2" s="247"/>
      <c r="E2" s="144"/>
    </row>
    <row r="3" spans="1:14">
      <c r="A3" s="145"/>
      <c r="B3" s="140" t="s">
        <v>79</v>
      </c>
      <c r="C3" s="495">
        <v>41821</v>
      </c>
      <c r="D3" s="144"/>
      <c r="E3" s="147"/>
    </row>
    <row r="4" spans="1:14">
      <c r="A4" s="145"/>
      <c r="B4" s="148" t="s">
        <v>80</v>
      </c>
      <c r="C4" s="495">
        <v>42185</v>
      </c>
      <c r="D4" s="144"/>
      <c r="E4" s="149"/>
      <c r="G4" s="150"/>
    </row>
    <row r="5" spans="1:14">
      <c r="A5" s="145"/>
      <c r="B5" s="148"/>
      <c r="C5" s="151"/>
      <c r="D5" s="144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144"/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573">
        <f>'[51]Sch B'!E10</f>
        <v>1815522</v>
      </c>
      <c r="D11" s="573">
        <f>'[51]Sch B'!G10</f>
        <v>0</v>
      </c>
      <c r="E11" s="171">
        <f>C11+D11</f>
        <v>1815522</v>
      </c>
      <c r="F11" s="171"/>
      <c r="G11" s="171">
        <f t="shared" ref="G11:G20" si="0">E11+F11</f>
        <v>1815522</v>
      </c>
      <c r="H11" s="172">
        <f t="shared" ref="H11:H21" si="1">IF($G$21=0,0,G11/$G$21)</f>
        <v>0.27848696971347098</v>
      </c>
      <c r="I11" s="337"/>
      <c r="J11" s="368" t="s">
        <v>344</v>
      </c>
      <c r="K11" s="369">
        <f>G21</f>
        <v>6519235</v>
      </c>
      <c r="M11" s="359">
        <f>IFERROR(G11/G219,0)</f>
        <v>188.48857973421926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573">
        <f>'[51]Sch B'!E15</f>
        <v>0</v>
      </c>
      <c r="D12" s="573">
        <f>'[51]Sch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7"/>
      <c r="J12" s="370" t="s">
        <v>345</v>
      </c>
      <c r="K12" s="371">
        <f>G208</f>
        <v>5615015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573">
        <f>'[51]Sch B'!E21</f>
        <v>2275224</v>
      </c>
      <c r="D13" s="573">
        <f>'[51]Sch B'!G21</f>
        <v>0</v>
      </c>
      <c r="E13" s="171">
        <f t="shared" si="2"/>
        <v>2275224</v>
      </c>
      <c r="F13" s="171"/>
      <c r="G13" s="171">
        <f t="shared" si="0"/>
        <v>2275224</v>
      </c>
      <c r="H13" s="172">
        <f t="shared" si="1"/>
        <v>0.34900168501365575</v>
      </c>
      <c r="I13" s="337"/>
      <c r="J13" s="370" t="s">
        <v>346</v>
      </c>
      <c r="K13" s="371">
        <f>G228</f>
        <v>21520</v>
      </c>
      <c r="M13" s="359">
        <f t="shared" si="3"/>
        <v>506.73140311804008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573">
        <f>'[51]Sch B'!E27</f>
        <v>1867621</v>
      </c>
      <c r="D14" s="573">
        <f>'[51]Sch B'!G27</f>
        <v>0</v>
      </c>
      <c r="E14" s="171">
        <f t="shared" si="2"/>
        <v>1867621</v>
      </c>
      <c r="F14" s="175"/>
      <c r="G14" s="175">
        <f>E14+F14</f>
        <v>1867621</v>
      </c>
      <c r="H14" s="176">
        <f t="shared" si="1"/>
        <v>0.28647855154784263</v>
      </c>
      <c r="I14" s="338"/>
      <c r="J14" s="370" t="s">
        <v>347</v>
      </c>
      <c r="K14" s="371">
        <f>G231</f>
        <v>120</v>
      </c>
      <c r="M14" s="359">
        <f t="shared" si="3"/>
        <v>414.29037267080747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573">
        <f>'[51]Sch B'!E32</f>
        <v>0</v>
      </c>
      <c r="D15" s="573">
        <f>'[51]Sch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7"/>
      <c r="J15" s="370" t="s">
        <v>348</v>
      </c>
      <c r="K15" s="371">
        <f>G235</f>
        <v>43800</v>
      </c>
      <c r="M15" s="359">
        <f t="shared" si="3"/>
        <v>0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573">
        <f>'[51]Sch B'!E37</f>
        <v>277328</v>
      </c>
      <c r="D16" s="573">
        <f>'[51]Sch B'!G37</f>
        <v>0</v>
      </c>
      <c r="E16" s="171">
        <f t="shared" si="2"/>
        <v>277328</v>
      </c>
      <c r="F16" s="171"/>
      <c r="G16" s="171">
        <f t="shared" si="0"/>
        <v>277328</v>
      </c>
      <c r="H16" s="172">
        <f t="shared" si="1"/>
        <v>4.2539960593535896E-2</v>
      </c>
      <c r="I16" s="337"/>
      <c r="J16" s="372"/>
      <c r="K16" s="371"/>
      <c r="M16" s="359">
        <f t="shared" si="3"/>
        <v>186.87870619946091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573">
        <f>'[51]Sch B'!E42</f>
        <v>0</v>
      </c>
      <c r="D17" s="573">
        <f>'[51]Sch B'!G42</f>
        <v>0</v>
      </c>
      <c r="E17" s="171">
        <f t="shared" si="2"/>
        <v>0</v>
      </c>
      <c r="F17" s="171"/>
      <c r="G17" s="171">
        <f>E17+F17</f>
        <v>0</v>
      </c>
      <c r="H17" s="172">
        <f t="shared" si="1"/>
        <v>0</v>
      </c>
      <c r="I17" s="337"/>
      <c r="J17" s="370" t="s">
        <v>156</v>
      </c>
      <c r="K17" s="371">
        <f>J208</f>
        <v>136442</v>
      </c>
      <c r="M17" s="359">
        <f t="shared" si="3"/>
        <v>0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573">
        <f>'[51]Sch B'!E47</f>
        <v>269729</v>
      </c>
      <c r="D18" s="573">
        <f>'[51]Sch B'!G47</f>
        <v>0</v>
      </c>
      <c r="E18" s="171">
        <f t="shared" si="2"/>
        <v>269729</v>
      </c>
      <c r="F18" s="171"/>
      <c r="G18" s="171">
        <f>E18+F18</f>
        <v>269729</v>
      </c>
      <c r="H18" s="172">
        <f t="shared" si="1"/>
        <v>4.1374333031406293E-2</v>
      </c>
      <c r="I18" s="337"/>
      <c r="J18" s="373" t="s">
        <v>252</v>
      </c>
      <c r="K18" s="374">
        <f>K208</f>
        <v>145737</v>
      </c>
      <c r="M18" s="359">
        <f t="shared" si="3"/>
        <v>191.84139402560456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573">
        <f>'[51]Sch B'!E52</f>
        <v>0</v>
      </c>
      <c r="D19" s="573">
        <f>'[51]Sch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337"/>
      <c r="J19" s="168"/>
      <c r="K19" s="168"/>
      <c r="M19" s="359">
        <f t="shared" si="3"/>
        <v>0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573">
        <f>'[51]Sch B'!E67</f>
        <v>13811</v>
      </c>
      <c r="D20" s="573">
        <f>'[51]Sch B'!G67</f>
        <v>0</v>
      </c>
      <c r="E20" s="171">
        <f t="shared" si="2"/>
        <v>13811</v>
      </c>
      <c r="F20" s="171"/>
      <c r="G20" s="171">
        <f t="shared" si="0"/>
        <v>13811</v>
      </c>
      <c r="H20" s="172">
        <f t="shared" si="1"/>
        <v>2.1185001000884308E-3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573">
        <f>SUM(C11:C20)</f>
        <v>6519235</v>
      </c>
      <c r="D21" s="573">
        <f>SUM(D11:D20)</f>
        <v>0</v>
      </c>
      <c r="E21" s="171">
        <f>SUM(E11:E20)</f>
        <v>6519235</v>
      </c>
      <c r="F21" s="171">
        <f>SUM(F11:F20)</f>
        <v>0</v>
      </c>
      <c r="G21" s="171">
        <f>SUM(G11:G20)</f>
        <v>6519235</v>
      </c>
      <c r="H21" s="172">
        <f t="shared" si="1"/>
        <v>1</v>
      </c>
      <c r="I21" s="337"/>
      <c r="J21" s="168"/>
      <c r="K21" s="168"/>
      <c r="M21" s="359">
        <f>IFERROR(G21/G228,0)</f>
        <v>302.93842936802974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4">
      <c r="A24" s="181" t="s">
        <v>161</v>
      </c>
      <c r="B24" s="148" t="s">
        <v>12</v>
      </c>
      <c r="M24" s="363"/>
      <c r="N24" s="363"/>
    </row>
    <row r="25" spans="1:14" s="167" customFormat="1">
      <c r="A25" s="169" t="s">
        <v>83</v>
      </c>
      <c r="B25" s="170" t="s">
        <v>14</v>
      </c>
      <c r="C25" s="573">
        <f>'[51]Sch C'!D10</f>
        <v>107588</v>
      </c>
      <c r="D25" s="573">
        <f>'[51]Sch C'!F10</f>
        <v>7329</v>
      </c>
      <c r="E25" s="171">
        <f t="shared" ref="E25:E60" si="4">C25+D25</f>
        <v>114917</v>
      </c>
      <c r="F25" s="171"/>
      <c r="G25" s="182">
        <f>E25+F25</f>
        <v>114917</v>
      </c>
      <c r="H25" s="172">
        <f>IF($G$208=0,0,G25/$G$208)</f>
        <v>2.0466018345454109E-2</v>
      </c>
      <c r="I25" s="337"/>
      <c r="J25" s="183">
        <v>1723</v>
      </c>
      <c r="K25" s="183">
        <v>1840</v>
      </c>
      <c r="M25" s="359">
        <f>G25/G$228</f>
        <v>5.3400092936802972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573">
        <f>'[51]Sch C'!D11</f>
        <v>0</v>
      </c>
      <c r="D26" s="573">
        <f>'[51]Sch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573">
        <f>'[51]Sch C'!D12</f>
        <v>230801</v>
      </c>
      <c r="D27" s="573">
        <f>'[51]Sch C'!F12</f>
        <v>-31057</v>
      </c>
      <c r="E27" s="171">
        <f t="shared" si="4"/>
        <v>199744</v>
      </c>
      <c r="F27" s="171"/>
      <c r="G27" s="171">
        <f t="shared" si="5"/>
        <v>199744</v>
      </c>
      <c r="H27" s="172">
        <f t="shared" si="6"/>
        <v>3.5573190810710212E-2</v>
      </c>
      <c r="I27" s="337"/>
      <c r="J27" s="185">
        <v>11300</v>
      </c>
      <c r="K27" s="185">
        <v>12070</v>
      </c>
      <c r="M27" s="359">
        <f t="shared" si="7"/>
        <v>9.281784386617101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573">
        <f>'[51]Sch C'!D13</f>
        <v>616582</v>
      </c>
      <c r="D28" s="573">
        <f>'[51]Sch C'!F13</f>
        <v>-570044</v>
      </c>
      <c r="E28" s="171">
        <f t="shared" si="4"/>
        <v>46538</v>
      </c>
      <c r="F28" s="171"/>
      <c r="G28" s="171">
        <f t="shared" si="5"/>
        <v>46538</v>
      </c>
      <c r="H28" s="172">
        <f t="shared" si="6"/>
        <v>8.2881345820091309E-3</v>
      </c>
      <c r="I28" s="337"/>
      <c r="J28" s="168"/>
      <c r="K28" s="168"/>
      <c r="M28" s="359">
        <f t="shared" si="7"/>
        <v>2.1625464684014868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573">
        <f>'[51]Sch C'!D14</f>
        <v>0</v>
      </c>
      <c r="D29" s="573">
        <f>'[51]Sch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573">
        <f>'[51]Sch C'!D15</f>
        <v>0</v>
      </c>
      <c r="D30" s="573">
        <f>'[51]Sch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7"/>
      <c r="J30" s="168"/>
      <c r="K30" s="168"/>
      <c r="M30" s="359">
        <f t="shared" si="7"/>
        <v>0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573">
        <f>'[51]Sch C'!D16</f>
        <v>326199</v>
      </c>
      <c r="D31" s="573">
        <f>'[51]Sch C'!F16</f>
        <v>135974</v>
      </c>
      <c r="E31" s="171">
        <f t="shared" si="4"/>
        <v>462173</v>
      </c>
      <c r="F31" s="171">
        <v>5174</v>
      </c>
      <c r="G31" s="171">
        <f t="shared" si="5"/>
        <v>467347</v>
      </c>
      <c r="H31" s="172">
        <f t="shared" si="6"/>
        <v>8.3231656549448224E-2</v>
      </c>
      <c r="I31" s="337"/>
      <c r="J31" s="168"/>
      <c r="K31" s="168"/>
      <c r="M31" s="359">
        <f t="shared" si="7"/>
        <v>21.716868029739778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573">
        <f>'[51]Sch C'!D17</f>
        <v>0</v>
      </c>
      <c r="D32" s="573">
        <f>'[51]Sch C'!F17</f>
        <v>0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7"/>
      <c r="J32" s="168"/>
      <c r="K32" s="168"/>
      <c r="M32" s="359">
        <f t="shared" si="7"/>
        <v>0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573">
        <f>'[51]Sch C'!D18</f>
        <v>12388</v>
      </c>
      <c r="D33" s="573">
        <f>'[51]Sch C'!F18</f>
        <v>0</v>
      </c>
      <c r="E33" s="171">
        <f t="shared" si="4"/>
        <v>12388</v>
      </c>
      <c r="F33" s="171"/>
      <c r="G33" s="171">
        <f t="shared" si="5"/>
        <v>12388</v>
      </c>
      <c r="H33" s="172">
        <f t="shared" si="6"/>
        <v>2.2062274099000625E-3</v>
      </c>
      <c r="I33" s="337"/>
      <c r="J33" s="168"/>
      <c r="K33" s="168"/>
      <c r="M33" s="359">
        <f t="shared" si="7"/>
        <v>0.57565055762081785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573">
        <f>'[51]Sch C'!D19</f>
        <v>27992</v>
      </c>
      <c r="D34" s="573">
        <f>'[51]Sch C'!F19</f>
        <v>-1989</v>
      </c>
      <c r="E34" s="171">
        <f t="shared" si="4"/>
        <v>26003</v>
      </c>
      <c r="F34" s="171"/>
      <c r="G34" s="171">
        <f t="shared" si="5"/>
        <v>26003</v>
      </c>
      <c r="H34" s="172">
        <f t="shared" si="6"/>
        <v>4.6309760526018189E-3</v>
      </c>
      <c r="I34" s="337"/>
      <c r="J34" s="168"/>
      <c r="K34" s="168"/>
      <c r="M34" s="359">
        <f t="shared" si="7"/>
        <v>1.208317843866171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573">
        <f>'[51]Sch C'!D20</f>
        <v>26063</v>
      </c>
      <c r="D35" s="573">
        <f>'[51]Sch C'!F20</f>
        <v>0</v>
      </c>
      <c r="E35" s="171">
        <f t="shared" si="4"/>
        <v>26063</v>
      </c>
      <c r="F35" s="171">
        <v>-1118</v>
      </c>
      <c r="G35" s="171">
        <f t="shared" si="5"/>
        <v>24945</v>
      </c>
      <c r="H35" s="172">
        <f t="shared" si="6"/>
        <v>4.442552691310709E-3</v>
      </c>
      <c r="I35" s="337"/>
      <c r="J35" s="168"/>
      <c r="K35" s="168"/>
      <c r="M35" s="359">
        <f t="shared" si="7"/>
        <v>1.1591542750929369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573">
        <f>'[51]Sch C'!D21</f>
        <v>7832</v>
      </c>
      <c r="D36" s="573">
        <f>'[51]Sch C'!F21</f>
        <v>0</v>
      </c>
      <c r="E36" s="171">
        <f t="shared" si="4"/>
        <v>7832</v>
      </c>
      <c r="F36" s="171"/>
      <c r="G36" s="171">
        <f t="shared" si="5"/>
        <v>7832</v>
      </c>
      <c r="H36" s="172">
        <f t="shared" si="6"/>
        <v>1.39483153651415E-3</v>
      </c>
      <c r="I36" s="337"/>
      <c r="J36" s="168"/>
      <c r="K36" s="168"/>
      <c r="M36" s="359">
        <f t="shared" si="7"/>
        <v>0.36394052044609665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573">
        <f>'[51]Sch C'!D22</f>
        <v>0</v>
      </c>
      <c r="D37" s="573">
        <f>'[51]Sch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573">
        <f>'[51]Sch C'!D23</f>
        <v>12310</v>
      </c>
      <c r="D38" s="573">
        <f>'[51]Sch C'!F23</f>
        <v>0</v>
      </c>
      <c r="E38" s="171">
        <f t="shared" si="4"/>
        <v>12310</v>
      </c>
      <c r="F38" s="171"/>
      <c r="G38" s="171">
        <f t="shared" si="5"/>
        <v>12310</v>
      </c>
      <c r="H38" s="172">
        <f t="shared" si="6"/>
        <v>2.1923360845874855E-3</v>
      </c>
      <c r="I38" s="337"/>
      <c r="J38" s="168"/>
      <c r="K38" s="168"/>
      <c r="M38" s="359">
        <f t="shared" si="7"/>
        <v>0.57202602230483268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573">
        <f>'[51]Sch C'!D24</f>
        <v>51830</v>
      </c>
      <c r="D39" s="573">
        <f>'[51]Sch C'!F24</f>
        <v>-13680</v>
      </c>
      <c r="E39" s="171">
        <f t="shared" si="4"/>
        <v>38150</v>
      </c>
      <c r="F39" s="171"/>
      <c r="G39" s="171">
        <f t="shared" si="5"/>
        <v>38150</v>
      </c>
      <c r="H39" s="172">
        <f t="shared" si="6"/>
        <v>6.7942828291643036E-3</v>
      </c>
      <c r="I39" s="337"/>
      <c r="J39" s="168"/>
      <c r="K39" s="168"/>
      <c r="M39" s="359">
        <f t="shared" si="7"/>
        <v>1.7727695167286246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573">
        <f>'[51]Sch C'!D25</f>
        <v>0</v>
      </c>
      <c r="D40" s="573">
        <f>'[51]Sch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337"/>
      <c r="J40" s="168"/>
      <c r="K40" s="168"/>
      <c r="M40" s="359">
        <f t="shared" si="7"/>
        <v>0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573">
        <f>'[51]Sch C'!D26</f>
        <v>192405</v>
      </c>
      <c r="D41" s="573">
        <f>'[51]Sch C'!F26</f>
        <v>0</v>
      </c>
      <c r="E41" s="171">
        <f t="shared" si="4"/>
        <v>192405</v>
      </c>
      <c r="F41" s="171"/>
      <c r="G41" s="171">
        <f t="shared" si="5"/>
        <v>192405</v>
      </c>
      <c r="H41" s="172">
        <f t="shared" si="6"/>
        <v>3.4266159573928118E-2</v>
      </c>
      <c r="I41" s="337"/>
      <c r="J41" s="168"/>
      <c r="K41" s="168"/>
      <c r="M41" s="359">
        <f t="shared" si="7"/>
        <v>8.9407527881040885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573">
        <f>'[51]Sch C'!D27</f>
        <v>0</v>
      </c>
      <c r="D42" s="573">
        <f>'[51]Sch C'!F27</f>
        <v>0</v>
      </c>
      <c r="E42" s="171">
        <f t="shared" si="4"/>
        <v>0</v>
      </c>
      <c r="F42" s="171"/>
      <c r="G42" s="171">
        <f t="shared" si="5"/>
        <v>0</v>
      </c>
      <c r="H42" s="172">
        <f t="shared" si="6"/>
        <v>0</v>
      </c>
      <c r="I42" s="337"/>
      <c r="J42" s="168"/>
      <c r="K42" s="168"/>
      <c r="M42" s="359">
        <f t="shared" si="7"/>
        <v>0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573">
        <f>'[51]Sch C'!D28</f>
        <v>0</v>
      </c>
      <c r="D43" s="573">
        <f>'[51]Sch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573">
        <f>'[51]Sch C'!D29</f>
        <v>66618</v>
      </c>
      <c r="D44" s="573">
        <f>'[51]Sch C'!F29</f>
        <v>-66618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573">
        <f>'[51]Sch C'!D30</f>
        <v>0</v>
      </c>
      <c r="D45" s="573">
        <f>'[51]Sch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573">
        <f>'[51]Sch C'!D31</f>
        <v>79685</v>
      </c>
      <c r="D46" s="573">
        <f>'[51]Sch C'!F31</f>
        <v>0</v>
      </c>
      <c r="E46" s="171">
        <f t="shared" si="4"/>
        <v>79685</v>
      </c>
      <c r="F46" s="171"/>
      <c r="G46" s="171">
        <f t="shared" si="5"/>
        <v>79685</v>
      </c>
      <c r="H46" s="172">
        <f t="shared" si="6"/>
        <v>1.4191413558111599E-2</v>
      </c>
      <c r="I46" s="337"/>
      <c r="J46" s="168"/>
      <c r="K46" s="168"/>
      <c r="M46" s="359">
        <f t="shared" si="7"/>
        <v>3.7028345724907061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573">
        <f>'[51]Sch C'!D32</f>
        <v>109440</v>
      </c>
      <c r="D47" s="573">
        <f>'[51]Sch C'!F32</f>
        <v>-32832</v>
      </c>
      <c r="E47" s="171">
        <f t="shared" si="4"/>
        <v>76608</v>
      </c>
      <c r="F47" s="171"/>
      <c r="G47" s="171">
        <f t="shared" si="5"/>
        <v>76608</v>
      </c>
      <c r="H47" s="172">
        <f t="shared" si="6"/>
        <v>1.364341858392186E-2</v>
      </c>
      <c r="I47" s="337"/>
      <c r="J47" s="168"/>
      <c r="K47" s="168"/>
      <c r="M47" s="359">
        <f t="shared" si="7"/>
        <v>3.5598513011152417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573">
        <f>'[51]Sch C'!D33</f>
        <v>0</v>
      </c>
      <c r="D48" s="573">
        <f>'[51]Sch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573">
        <f>'[51]Sch C'!D34</f>
        <v>0</v>
      </c>
      <c r="D49" s="573">
        <f>'[51]Sch C'!F34</f>
        <v>0</v>
      </c>
      <c r="E49" s="171">
        <f t="shared" si="4"/>
        <v>0</v>
      </c>
      <c r="F49" s="171"/>
      <c r="G49" s="171">
        <f t="shared" si="5"/>
        <v>0</v>
      </c>
      <c r="H49" s="172">
        <f t="shared" si="6"/>
        <v>0</v>
      </c>
      <c r="I49" s="337"/>
      <c r="J49" s="168"/>
      <c r="K49" s="168"/>
      <c r="M49" s="359">
        <f t="shared" si="7"/>
        <v>0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573">
        <f>'[51]Sch C'!D35</f>
        <v>8750</v>
      </c>
      <c r="D50" s="573">
        <f>'[51]Sch C'!F35</f>
        <v>-8750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573">
        <f>'[51]Sch C'!D36</f>
        <v>0</v>
      </c>
      <c r="D51" s="573">
        <f>'[51]Sch C'!F36</f>
        <v>0</v>
      </c>
      <c r="E51" s="171">
        <f t="shared" si="4"/>
        <v>0</v>
      </c>
      <c r="F51" s="171"/>
      <c r="G51" s="171">
        <f t="shared" si="5"/>
        <v>0</v>
      </c>
      <c r="H51" s="172">
        <f t="shared" si="6"/>
        <v>0</v>
      </c>
      <c r="I51" s="337"/>
      <c r="J51" s="183">
        <v>0</v>
      </c>
      <c r="K51" s="183">
        <v>0</v>
      </c>
      <c r="M51" s="359">
        <f t="shared" si="7"/>
        <v>0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573">
        <f>'[51]Sch C'!D37</f>
        <v>0</v>
      </c>
      <c r="D52" s="573">
        <f>'[51]Sch C'!F37</f>
        <v>0</v>
      </c>
      <c r="E52" s="171">
        <f t="shared" si="4"/>
        <v>0</v>
      </c>
      <c r="F52" s="171"/>
      <c r="G52" s="171">
        <f t="shared" si="5"/>
        <v>0</v>
      </c>
      <c r="H52" s="172">
        <f t="shared" si="6"/>
        <v>0</v>
      </c>
      <c r="I52" s="337"/>
      <c r="J52" s="168"/>
      <c r="K52" s="168"/>
      <c r="M52" s="359">
        <f t="shared" si="7"/>
        <v>0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573">
        <f>'[51]Sch C'!D38</f>
        <v>0</v>
      </c>
      <c r="D53" s="573">
        <f>'[51]Sch C'!F38</f>
        <v>0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7"/>
      <c r="J53" s="168"/>
      <c r="K53" s="168"/>
      <c r="M53" s="359">
        <f t="shared" si="7"/>
        <v>0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573">
        <f>'[51]Sch C'!D39</f>
        <v>4713</v>
      </c>
      <c r="D54" s="573">
        <f>'[51]Sch C'!F39</f>
        <v>0</v>
      </c>
      <c r="E54" s="171">
        <f t="shared" si="4"/>
        <v>4713</v>
      </c>
      <c r="F54" s="171"/>
      <c r="G54" s="171">
        <f t="shared" si="5"/>
        <v>4713</v>
      </c>
      <c r="H54" s="172">
        <f t="shared" si="6"/>
        <v>8.3935661792533056E-4</v>
      </c>
      <c r="I54" s="337"/>
      <c r="J54" s="168"/>
      <c r="K54" s="168"/>
      <c r="M54" s="359">
        <f t="shared" si="7"/>
        <v>0.21900557620817843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573">
        <f>'[51]Sch C'!D40</f>
        <v>13965</v>
      </c>
      <c r="D55" s="573">
        <f>'[51]Sch C'!F40</f>
        <v>0</v>
      </c>
      <c r="E55" s="171">
        <f t="shared" si="4"/>
        <v>13965</v>
      </c>
      <c r="F55" s="171"/>
      <c r="G55" s="171">
        <f t="shared" si="5"/>
        <v>13965</v>
      </c>
      <c r="H55" s="172">
        <f t="shared" si="6"/>
        <v>2.4870815126940889E-3</v>
      </c>
      <c r="I55" s="337"/>
      <c r="J55" s="168"/>
      <c r="K55" s="168"/>
      <c r="M55" s="359">
        <f t="shared" si="7"/>
        <v>0.64893122676579928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573">
        <f>'[51]Sch C'!D41</f>
        <v>24005</v>
      </c>
      <c r="D56" s="573">
        <f>'[51]Sch C'!F41</f>
        <v>0</v>
      </c>
      <c r="E56" s="171">
        <f t="shared" si="4"/>
        <v>24005</v>
      </c>
      <c r="F56" s="171"/>
      <c r="G56" s="171">
        <f t="shared" si="5"/>
        <v>24005</v>
      </c>
      <c r="H56" s="172">
        <f t="shared" si="6"/>
        <v>4.2751444119027288E-3</v>
      </c>
      <c r="I56" s="337"/>
      <c r="J56" s="168"/>
      <c r="K56" s="168"/>
      <c r="M56" s="359">
        <f t="shared" si="7"/>
        <v>1.1154739776951672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573">
        <f>'[51]Sch C'!D42</f>
        <v>7267</v>
      </c>
      <c r="D57" s="573">
        <f>'[51]Sch C'!F42</f>
        <v>0</v>
      </c>
      <c r="E57" s="171">
        <f t="shared" si="4"/>
        <v>7267</v>
      </c>
      <c r="F57" s="171"/>
      <c r="G57" s="171">
        <f t="shared" si="5"/>
        <v>7267</v>
      </c>
      <c r="H57" s="172">
        <f t="shared" si="6"/>
        <v>1.2942084749550981E-3</v>
      </c>
      <c r="I57" s="337"/>
      <c r="J57" s="168"/>
      <c r="K57" s="168"/>
      <c r="M57" s="359">
        <f t="shared" si="7"/>
        <v>0.33768587360594793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573">
        <f>'[51]Sch C'!D43</f>
        <v>7827</v>
      </c>
      <c r="D58" s="573">
        <f>'[51]Sch C'!F43</f>
        <v>0</v>
      </c>
      <c r="E58" s="171">
        <f t="shared" si="4"/>
        <v>7827</v>
      </c>
      <c r="F58" s="171"/>
      <c r="G58" s="171">
        <f t="shared" si="5"/>
        <v>7827</v>
      </c>
      <c r="H58" s="172">
        <f t="shared" si="6"/>
        <v>1.3939410669428309E-3</v>
      </c>
      <c r="I58" s="337"/>
      <c r="J58" s="168"/>
      <c r="K58" s="168"/>
      <c r="M58" s="359">
        <f t="shared" si="7"/>
        <v>0.36370817843866171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573">
        <f>'[51]Sch C'!D44</f>
        <v>20</v>
      </c>
      <c r="D59" s="573">
        <f>'[51]Sch C'!F44</f>
        <v>0</v>
      </c>
      <c r="E59" s="171">
        <f t="shared" si="4"/>
        <v>20</v>
      </c>
      <c r="F59" s="171"/>
      <c r="G59" s="171">
        <f t="shared" si="5"/>
        <v>20</v>
      </c>
      <c r="H59" s="172">
        <f t="shared" si="6"/>
        <v>3.5618782852761747E-6</v>
      </c>
      <c r="I59" s="337"/>
      <c r="J59" s="168"/>
      <c r="K59" s="168"/>
      <c r="M59" s="359">
        <f t="shared" si="7"/>
        <v>9.2936802973977691E-4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573">
        <f>'[51]Sch C'!D45</f>
        <v>10444</v>
      </c>
      <c r="D60" s="573">
        <f>'[51]Sch C'!F45</f>
        <v>-13613</v>
      </c>
      <c r="E60" s="171">
        <f t="shared" si="4"/>
        <v>-3169</v>
      </c>
      <c r="F60" s="171"/>
      <c r="G60" s="171">
        <f t="shared" si="5"/>
        <v>-3169</v>
      </c>
      <c r="H60" s="172">
        <f t="shared" si="6"/>
        <v>-5.6437961430200992E-4</v>
      </c>
      <c r="I60" s="337"/>
      <c r="J60" s="168"/>
      <c r="K60" s="168"/>
      <c r="M60" s="359">
        <f t="shared" si="7"/>
        <v>-0.14725836431226766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573">
        <f>SUM(C25:C60)</f>
        <v>1944724</v>
      </c>
      <c r="D61" s="573">
        <f>SUM(D25:D60)</f>
        <v>-595280</v>
      </c>
      <c r="E61" s="171">
        <f t="shared" ref="E61" si="8">SUM(E25:E60)</f>
        <v>1349444</v>
      </c>
      <c r="F61" s="171">
        <f>SUM(F25:F60)</f>
        <v>4056</v>
      </c>
      <c r="G61" s="171">
        <f>SUM(G25:G60)</f>
        <v>1353500</v>
      </c>
      <c r="H61" s="186">
        <f t="shared" si="6"/>
        <v>0.24105011295606513</v>
      </c>
      <c r="I61" s="339"/>
      <c r="J61" s="168"/>
      <c r="K61" s="168"/>
      <c r="M61" s="364">
        <f>G61/G$228</f>
        <v>62.894981412639403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I62" s="340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573">
        <f>'[51]Sch C'!D57</f>
        <v>665000</v>
      </c>
      <c r="D64" s="573">
        <f>'[51]Sch C'!F57</f>
        <v>0</v>
      </c>
      <c r="E64" s="171">
        <f t="shared" ref="E64:E78" si="9">C64+D64</f>
        <v>665000</v>
      </c>
      <c r="F64" s="171">
        <v>-665000</v>
      </c>
      <c r="G64" s="171">
        <f t="shared" ref="G64:G78" si="10">E64+F64</f>
        <v>0</v>
      </c>
      <c r="H64" s="172">
        <f t="shared" ref="H64:H79" si="11">IF($G$208=0,0,G64/$G$208)</f>
        <v>0</v>
      </c>
      <c r="I64" s="337"/>
      <c r="J64" s="190"/>
      <c r="K64" s="168"/>
      <c r="M64" s="359">
        <f t="shared" ref="M64:M79" si="12">G64/G$228</f>
        <v>0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573">
        <f>'[51]Sch C'!D58</f>
        <v>10681</v>
      </c>
      <c r="D65" s="573">
        <f>'[51]Sch C'!F58</f>
        <v>0</v>
      </c>
      <c r="E65" s="171">
        <f t="shared" si="9"/>
        <v>10681</v>
      </c>
      <c r="F65" s="171">
        <v>273886</v>
      </c>
      <c r="G65" s="171">
        <f t="shared" si="10"/>
        <v>284567</v>
      </c>
      <c r="H65" s="172">
        <f t="shared" si="11"/>
        <v>5.0679650900309257E-2</v>
      </c>
      <c r="I65" s="337"/>
      <c r="J65" s="190"/>
      <c r="K65" s="168"/>
      <c r="M65" s="359">
        <f t="shared" si="12"/>
        <v>13.223373605947955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573">
        <f>'[51]Sch C'!D59</f>
        <v>0</v>
      </c>
      <c r="D66" s="573">
        <f>'[51]Sch C'!F59</f>
        <v>0</v>
      </c>
      <c r="E66" s="171">
        <f t="shared" si="9"/>
        <v>0</v>
      </c>
      <c r="F66" s="171"/>
      <c r="G66" s="171">
        <f t="shared" si="10"/>
        <v>0</v>
      </c>
      <c r="H66" s="172">
        <f t="shared" si="11"/>
        <v>0</v>
      </c>
      <c r="I66" s="337"/>
      <c r="J66" s="190"/>
      <c r="K66" s="168"/>
      <c r="M66" s="359">
        <f t="shared" si="12"/>
        <v>0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573">
        <f>'[51]Sch C'!D60</f>
        <v>18073</v>
      </c>
      <c r="D67" s="573">
        <f>'[51]Sch C'!F60</f>
        <v>0</v>
      </c>
      <c r="E67" s="171">
        <f t="shared" si="9"/>
        <v>18073</v>
      </c>
      <c r="F67" s="171"/>
      <c r="G67" s="171">
        <f t="shared" si="10"/>
        <v>18073</v>
      </c>
      <c r="H67" s="172">
        <f t="shared" si="11"/>
        <v>3.2186913124898154E-3</v>
      </c>
      <c r="I67" s="337"/>
      <c r="J67" s="193"/>
      <c r="K67" s="168"/>
      <c r="M67" s="359">
        <f t="shared" si="12"/>
        <v>0.8398234200743494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573">
        <f>'[51]Sch C'!D61</f>
        <v>7822</v>
      </c>
      <c r="D68" s="573">
        <f>'[51]Sch C'!F61</f>
        <v>0</v>
      </c>
      <c r="E68" s="171">
        <f t="shared" si="9"/>
        <v>7822</v>
      </c>
      <c r="F68" s="171"/>
      <c r="G68" s="171">
        <f t="shared" si="10"/>
        <v>7822</v>
      </c>
      <c r="H68" s="172">
        <f t="shared" si="11"/>
        <v>1.3930505973715119E-3</v>
      </c>
      <c r="I68" s="337"/>
      <c r="J68" s="193"/>
      <c r="K68" s="168"/>
      <c r="M68" s="359">
        <f t="shared" si="12"/>
        <v>0.36347583643122677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573">
        <f>'[51]Sch C'!D62</f>
        <v>723</v>
      </c>
      <c r="D69" s="573">
        <f>'[51]Sch C'!F62</f>
        <v>0</v>
      </c>
      <c r="E69" s="171">
        <f t="shared" si="9"/>
        <v>723</v>
      </c>
      <c r="F69" s="171"/>
      <c r="G69" s="171">
        <f t="shared" si="10"/>
        <v>723</v>
      </c>
      <c r="H69" s="172">
        <f t="shared" si="11"/>
        <v>1.2876190001273372E-4</v>
      </c>
      <c r="I69" s="337"/>
      <c r="J69" s="195"/>
      <c r="K69" s="168"/>
      <c r="M69" s="359">
        <f t="shared" si="12"/>
        <v>3.3596654275092938E-2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573">
        <f>'[51]Sch C'!D63</f>
        <v>0</v>
      </c>
      <c r="D70" s="573">
        <f>'[51]Sch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7"/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573">
        <f>'[51]Sch C'!D64</f>
        <v>0</v>
      </c>
      <c r="D71" s="573">
        <f>'[51]Sch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573">
        <f>'[51]Sch C'!D65</f>
        <v>4631</v>
      </c>
      <c r="D72" s="573">
        <f>'[51]Sch C'!F65</f>
        <v>0</v>
      </c>
      <c r="E72" s="171">
        <f t="shared" si="9"/>
        <v>4631</v>
      </c>
      <c r="F72" s="171"/>
      <c r="G72" s="171">
        <f t="shared" si="10"/>
        <v>4631</v>
      </c>
      <c r="H72" s="172">
        <f t="shared" si="11"/>
        <v>8.2475291695569821E-4</v>
      </c>
      <c r="I72" s="337"/>
      <c r="J72" s="195"/>
      <c r="K72" s="168"/>
      <c r="M72" s="359">
        <f t="shared" si="12"/>
        <v>0.21519516728624535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573">
        <f>'[51]Sch C'!D66</f>
        <v>5034</v>
      </c>
      <c r="D73" s="573">
        <f>'[51]Sch C'!F66</f>
        <v>0</v>
      </c>
      <c r="E73" s="171">
        <f t="shared" si="9"/>
        <v>5034</v>
      </c>
      <c r="F73" s="171"/>
      <c r="G73" s="171">
        <f t="shared" si="10"/>
        <v>5034</v>
      </c>
      <c r="H73" s="172">
        <f t="shared" si="11"/>
        <v>8.9652476440401317E-4</v>
      </c>
      <c r="I73" s="337"/>
      <c r="J73" s="195"/>
      <c r="K73" s="168"/>
      <c r="M73" s="359">
        <f t="shared" si="12"/>
        <v>0.23392193308550185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573">
        <f>'[51]Sch C'!D67</f>
        <v>89779</v>
      </c>
      <c r="D74" s="573">
        <f>'[51]Sch C'!F67</f>
        <v>0</v>
      </c>
      <c r="E74" s="171">
        <f t="shared" si="9"/>
        <v>89779</v>
      </c>
      <c r="F74" s="171"/>
      <c r="G74" s="171">
        <f t="shared" si="10"/>
        <v>89779</v>
      </c>
      <c r="H74" s="172">
        <f t="shared" si="11"/>
        <v>1.5989093528690483E-2</v>
      </c>
      <c r="I74" s="337"/>
      <c r="J74" s="195"/>
      <c r="K74" s="168"/>
      <c r="M74" s="359">
        <f t="shared" si="12"/>
        <v>4.1718866171003715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573">
        <f>'[51]Sch C'!D68</f>
        <v>0</v>
      </c>
      <c r="D75" s="573">
        <f>'[51]Sch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573">
        <f>'[51]Sch C'!D69</f>
        <v>7614</v>
      </c>
      <c r="D76" s="573">
        <f>'[51]Sch C'!F69</f>
        <v>0</v>
      </c>
      <c r="E76" s="171">
        <f t="shared" si="9"/>
        <v>7614</v>
      </c>
      <c r="F76" s="171"/>
      <c r="G76" s="171">
        <f t="shared" si="10"/>
        <v>7614</v>
      </c>
      <c r="H76" s="172">
        <f t="shared" si="11"/>
        <v>1.3560070632046397E-3</v>
      </c>
      <c r="I76" s="337"/>
      <c r="J76" s="195"/>
      <c r="K76" s="168"/>
      <c r="M76" s="359">
        <f t="shared" si="12"/>
        <v>0.35381040892193311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573">
        <f>'[51]Sch C'!D70</f>
        <v>0</v>
      </c>
      <c r="D77" s="573">
        <f>'[51]Sch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7"/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573">
        <f>'[51]Sch C'!D71</f>
        <v>0</v>
      </c>
      <c r="D78" s="573">
        <f>'[51]Sch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7"/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573">
        <f>SUM(C64:C78)</f>
        <v>809357</v>
      </c>
      <c r="D79" s="573">
        <f>SUM(D64:D78)</f>
        <v>0</v>
      </c>
      <c r="E79" s="171">
        <f t="shared" ref="E79" si="13">SUM(E64:E78)</f>
        <v>809357</v>
      </c>
      <c r="F79" s="171">
        <f>SUM(F64:F78)</f>
        <v>-391114</v>
      </c>
      <c r="G79" s="171">
        <f>SUM(G64:G78)</f>
        <v>418243</v>
      </c>
      <c r="H79" s="172">
        <f t="shared" si="11"/>
        <v>7.4486532983438158E-2</v>
      </c>
      <c r="I79" s="337"/>
      <c r="J79" s="195"/>
      <c r="K79" s="168"/>
      <c r="M79" s="359">
        <f t="shared" si="12"/>
        <v>19.435083643122677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573">
        <f>'[51]Sch C'!D75</f>
        <v>36294</v>
      </c>
      <c r="D82" s="573">
        <f>'[51]Sch C'!F75</f>
        <v>2472</v>
      </c>
      <c r="E82" s="171">
        <f t="shared" ref="E82:E92" si="14">C82+D82</f>
        <v>38766</v>
      </c>
      <c r="F82" s="171"/>
      <c r="G82" s="171">
        <f t="shared" ref="G82:G92" si="15">E82+F82</f>
        <v>38766</v>
      </c>
      <c r="H82" s="172">
        <f t="shared" ref="H82:H93" si="16">IF($G$208=0,0,G82/$G$208)</f>
        <v>6.9039886803508093E-3</v>
      </c>
      <c r="I82" s="337"/>
      <c r="J82" s="183">
        <v>1811</v>
      </c>
      <c r="K82" s="183">
        <v>1934</v>
      </c>
      <c r="M82" s="359">
        <f t="shared" ref="M82:M92" si="17">G82/G$228</f>
        <v>1.8013940520446097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573">
        <f>'[51]Sch C'!D76</f>
        <v>0</v>
      </c>
      <c r="D83" s="573">
        <f>'[51]Sch C'!F76</f>
        <v>5544</v>
      </c>
      <c r="E83" s="171">
        <f t="shared" si="14"/>
        <v>5544</v>
      </c>
      <c r="F83" s="171"/>
      <c r="G83" s="171">
        <f t="shared" si="15"/>
        <v>5544</v>
      </c>
      <c r="H83" s="172">
        <f t="shared" si="16"/>
        <v>9.8735266067855564E-4</v>
      </c>
      <c r="I83" s="337"/>
      <c r="J83" s="168"/>
      <c r="K83" s="168"/>
      <c r="M83" s="359">
        <f t="shared" si="17"/>
        <v>0.25762081784386615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573">
        <f>'[51]Sch C'!D77</f>
        <v>9486</v>
      </c>
      <c r="D84" s="573">
        <f>'[51]Sch C'!F77</f>
        <v>0</v>
      </c>
      <c r="E84" s="171">
        <f t="shared" si="14"/>
        <v>9486</v>
      </c>
      <c r="F84" s="171"/>
      <c r="G84" s="171">
        <f t="shared" si="15"/>
        <v>9486</v>
      </c>
      <c r="H84" s="172">
        <f t="shared" si="16"/>
        <v>1.6893988707064897E-3</v>
      </c>
      <c r="I84" s="337"/>
      <c r="J84" s="168"/>
      <c r="K84" s="168"/>
      <c r="M84" s="359">
        <f t="shared" si="17"/>
        <v>0.44079925650557622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573">
        <f>'[51]Sch C'!D78</f>
        <v>0</v>
      </c>
      <c r="D85" s="573">
        <f>'[51]Sch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I85" s="337"/>
      <c r="J85" s="168"/>
      <c r="K85" s="168"/>
      <c r="M85" s="359">
        <f t="shared" si="17"/>
        <v>0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573">
        <f>'[51]Sch C'!D79</f>
        <v>1096</v>
      </c>
      <c r="D86" s="573">
        <f>'[51]Sch C'!F79</f>
        <v>0</v>
      </c>
      <c r="E86" s="171">
        <f t="shared" si="14"/>
        <v>1096</v>
      </c>
      <c r="F86" s="171"/>
      <c r="G86" s="171">
        <f>E86+F86</f>
        <v>1096</v>
      </c>
      <c r="H86" s="172">
        <f t="shared" si="16"/>
        <v>1.9519093003313436E-4</v>
      </c>
      <c r="I86" s="337"/>
      <c r="J86" s="168"/>
      <c r="K86" s="168"/>
      <c r="M86" s="359">
        <f t="shared" si="17"/>
        <v>5.0929368029739776E-2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573">
        <f>'[51]Sch C'!D80</f>
        <v>30206</v>
      </c>
      <c r="D87" s="573">
        <f>'[51]Sch C'!F80</f>
        <v>0</v>
      </c>
      <c r="E87" s="171">
        <f t="shared" si="14"/>
        <v>30206</v>
      </c>
      <c r="F87" s="171"/>
      <c r="G87" s="171">
        <f t="shared" si="15"/>
        <v>30206</v>
      </c>
      <c r="H87" s="172">
        <f t="shared" si="16"/>
        <v>5.3795047742526067E-3</v>
      </c>
      <c r="I87" s="337"/>
      <c r="J87" s="168"/>
      <c r="K87" s="168"/>
      <c r="M87" s="359">
        <f t="shared" si="17"/>
        <v>1.4036245353159851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573">
        <f>'[51]Sch C'!D81</f>
        <v>7379</v>
      </c>
      <c r="D88" s="573">
        <f>'[51]Sch C'!F81</f>
        <v>0</v>
      </c>
      <c r="E88" s="171">
        <f t="shared" si="14"/>
        <v>7379</v>
      </c>
      <c r="F88" s="171"/>
      <c r="G88" s="171">
        <f t="shared" si="15"/>
        <v>7379</v>
      </c>
      <c r="H88" s="172">
        <f t="shared" si="16"/>
        <v>1.3141549933526446E-3</v>
      </c>
      <c r="I88" s="337"/>
      <c r="J88" s="168"/>
      <c r="K88" s="168"/>
      <c r="M88" s="359">
        <f t="shared" si="17"/>
        <v>0.34289033457249068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573">
        <f>'[51]Sch C'!D82</f>
        <v>1786</v>
      </c>
      <c r="D89" s="573">
        <f>'[51]Sch C'!F82</f>
        <v>0</v>
      </c>
      <c r="E89" s="171">
        <f t="shared" si="14"/>
        <v>1786</v>
      </c>
      <c r="F89" s="171"/>
      <c r="G89" s="171">
        <f t="shared" si="15"/>
        <v>1786</v>
      </c>
      <c r="H89" s="172">
        <f t="shared" si="16"/>
        <v>3.1807573087516239E-4</v>
      </c>
      <c r="I89" s="337"/>
      <c r="J89" s="168"/>
      <c r="K89" s="168"/>
      <c r="M89" s="359">
        <f t="shared" si="17"/>
        <v>8.299256505576208E-2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573">
        <f>'[51]Sch C'!D83</f>
        <v>0</v>
      </c>
      <c r="D90" s="573">
        <f>'[51]Sch C'!F83</f>
        <v>0</v>
      </c>
      <c r="E90" s="171">
        <f t="shared" si="14"/>
        <v>0</v>
      </c>
      <c r="F90" s="171"/>
      <c r="G90" s="171">
        <f t="shared" si="15"/>
        <v>0</v>
      </c>
      <c r="H90" s="172">
        <f t="shared" si="16"/>
        <v>0</v>
      </c>
      <c r="I90" s="337"/>
      <c r="J90" s="168"/>
      <c r="K90" s="168"/>
      <c r="M90" s="359">
        <f t="shared" si="17"/>
        <v>0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573">
        <f>'[51]Sch C'!D84</f>
        <v>80732</v>
      </c>
      <c r="D91" s="573">
        <f>'[51]Sch C'!F84</f>
        <v>0</v>
      </c>
      <c r="E91" s="171">
        <f t="shared" si="14"/>
        <v>80732</v>
      </c>
      <c r="F91" s="171">
        <v>3295</v>
      </c>
      <c r="G91" s="171">
        <f t="shared" si="15"/>
        <v>84027</v>
      </c>
      <c r="H91" s="172">
        <f t="shared" si="16"/>
        <v>1.4964697333845057E-2</v>
      </c>
      <c r="I91" s="337"/>
      <c r="J91" s="168"/>
      <c r="K91" s="168"/>
      <c r="M91" s="359">
        <f t="shared" si="17"/>
        <v>3.904600371747212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573">
        <f>'[51]Sch C'!D85</f>
        <v>0</v>
      </c>
      <c r="D92" s="573">
        <f>'[51]Sch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7"/>
      <c r="J92" s="168"/>
      <c r="K92" s="168"/>
      <c r="M92" s="359">
        <f t="shared" si="17"/>
        <v>0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573">
        <f>SUM(C82:C92)</f>
        <v>166979</v>
      </c>
      <c r="D93" s="573">
        <f>SUM(D82:D92)</f>
        <v>8016</v>
      </c>
      <c r="E93" s="171">
        <f t="shared" ref="E93" si="18">SUM(E82:E92)</f>
        <v>174995</v>
      </c>
      <c r="F93" s="171">
        <f>SUM(F82:F92)</f>
        <v>3295</v>
      </c>
      <c r="G93" s="171">
        <f>SUM(G82:G92)</f>
        <v>178290</v>
      </c>
      <c r="H93" s="172">
        <f t="shared" si="16"/>
        <v>3.1752363974094457E-2</v>
      </c>
      <c r="I93" s="337"/>
      <c r="J93" s="168"/>
      <c r="K93" s="168"/>
      <c r="M93" s="364">
        <f>G93/G$228</f>
        <v>8.2848513011152409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573">
        <f>'[51]Sch C'!D89</f>
        <v>150813</v>
      </c>
      <c r="D96" s="573">
        <f>'[51]Sch C'!F89</f>
        <v>10274</v>
      </c>
      <c r="E96" s="171">
        <f t="shared" ref="E96:E101" si="19">C96+D96</f>
        <v>161087</v>
      </c>
      <c r="F96" s="171"/>
      <c r="G96" s="171">
        <f t="shared" ref="G96:G101" si="20">E96+F96</f>
        <v>161087</v>
      </c>
      <c r="H96" s="172">
        <f t="shared" ref="H96:H102" si="21">IF($G$208=0,0,G96/$G$208)</f>
        <v>2.8688614367014156E-2</v>
      </c>
      <c r="I96" s="337"/>
      <c r="J96" s="183">
        <v>10407</v>
      </c>
      <c r="K96" s="183">
        <v>11116</v>
      </c>
      <c r="M96" s="364">
        <f t="shared" ref="M96:M101" si="22">G96/G$228</f>
        <v>7.4854553903345726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573">
        <f>'[51]Sch C'!D90</f>
        <v>0</v>
      </c>
      <c r="D97" s="573">
        <f>'[51]Sch C'!F90</f>
        <v>23040</v>
      </c>
      <c r="E97" s="171">
        <f t="shared" si="19"/>
        <v>23040</v>
      </c>
      <c r="F97" s="171"/>
      <c r="G97" s="171">
        <f t="shared" si="20"/>
        <v>23040</v>
      </c>
      <c r="H97" s="172">
        <f t="shared" si="21"/>
        <v>4.1032837846381532E-3</v>
      </c>
      <c r="I97" s="337"/>
      <c r="J97" s="168"/>
      <c r="K97" s="168"/>
      <c r="M97" s="364">
        <f t="shared" si="22"/>
        <v>1.0706319702602229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573">
        <f>'[51]Sch C'!D91</f>
        <v>16447</v>
      </c>
      <c r="D98" s="573">
        <f>'[51]Sch C'!F91</f>
        <v>0</v>
      </c>
      <c r="E98" s="171">
        <f t="shared" si="19"/>
        <v>16447</v>
      </c>
      <c r="F98" s="171"/>
      <c r="G98" s="171">
        <f t="shared" si="20"/>
        <v>16447</v>
      </c>
      <c r="H98" s="172">
        <f t="shared" si="21"/>
        <v>2.9291106078968621E-3</v>
      </c>
      <c r="I98" s="337"/>
      <c r="J98" s="168"/>
      <c r="K98" s="168"/>
      <c r="M98" s="364">
        <f t="shared" si="22"/>
        <v>0.76426579925650562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573">
        <f>'[51]Sch C'!D92</f>
        <v>112798</v>
      </c>
      <c r="D99" s="573">
        <f>'[51]Sch C'!F92</f>
        <v>0</v>
      </c>
      <c r="E99" s="171">
        <f t="shared" si="19"/>
        <v>112798</v>
      </c>
      <c r="F99" s="171"/>
      <c r="G99" s="171">
        <f t="shared" si="20"/>
        <v>112798</v>
      </c>
      <c r="H99" s="172">
        <f t="shared" si="21"/>
        <v>2.0088637341129097E-2</v>
      </c>
      <c r="I99" s="337"/>
      <c r="J99" s="168"/>
      <c r="K99" s="168"/>
      <c r="M99" s="364">
        <f t="shared" si="22"/>
        <v>5.2415427509293684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573">
        <f>'[51]Sch C'!D93</f>
        <v>9174</v>
      </c>
      <c r="D100" s="573">
        <f>'[51]Sch C'!F93</f>
        <v>0</v>
      </c>
      <c r="E100" s="171">
        <f t="shared" si="19"/>
        <v>9174</v>
      </c>
      <c r="F100" s="171"/>
      <c r="G100" s="171">
        <f t="shared" si="20"/>
        <v>9174</v>
      </c>
      <c r="H100" s="172">
        <f t="shared" si="21"/>
        <v>1.6338335694561813E-3</v>
      </c>
      <c r="I100" s="337"/>
      <c r="J100" s="168"/>
      <c r="K100" s="168"/>
      <c r="M100" s="364">
        <f t="shared" si="22"/>
        <v>0.42630111524163566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573">
        <f>'[51]Sch C'!D94</f>
        <v>531</v>
      </c>
      <c r="D101" s="573">
        <f>'[51]Sch C'!F94</f>
        <v>0</v>
      </c>
      <c r="E101" s="171">
        <f t="shared" si="19"/>
        <v>531</v>
      </c>
      <c r="F101" s="171"/>
      <c r="G101" s="171">
        <f t="shared" si="20"/>
        <v>531</v>
      </c>
      <c r="H101" s="172">
        <f t="shared" si="21"/>
        <v>9.4567868474082435E-5</v>
      </c>
      <c r="I101" s="337"/>
      <c r="J101" s="168"/>
      <c r="K101" s="168"/>
      <c r="M101" s="364">
        <f t="shared" si="22"/>
        <v>2.4674721189591079E-2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573">
        <f>SUM(C96:C101)</f>
        <v>289763</v>
      </c>
      <c r="D102" s="573">
        <f>SUM(D96:D101)</f>
        <v>33314</v>
      </c>
      <c r="E102" s="171">
        <f t="shared" ref="E102" si="23">SUM(E96:E101)</f>
        <v>323077</v>
      </c>
      <c r="F102" s="171">
        <f>SUM(F96:F101)</f>
        <v>0</v>
      </c>
      <c r="G102" s="171">
        <f>SUM(G96:G101)</f>
        <v>323077</v>
      </c>
      <c r="H102" s="172">
        <f t="shared" si="21"/>
        <v>5.7538047538608535E-2</v>
      </c>
      <c r="I102" s="337"/>
      <c r="J102" s="168"/>
      <c r="K102" s="168"/>
      <c r="M102" s="364">
        <f>G102/G$228</f>
        <v>15.012871747211896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573">
        <f>'[51]Sch C'!D98</f>
        <v>0</v>
      </c>
      <c r="D105" s="573">
        <f>'[51]Sch C'!F98</f>
        <v>0</v>
      </c>
      <c r="E105" s="171">
        <f t="shared" ref="E105:E110" si="24">C105+D105</f>
        <v>0</v>
      </c>
      <c r="F105" s="171"/>
      <c r="G105" s="171">
        <f t="shared" ref="G105:G110" si="25">E105+F105</f>
        <v>0</v>
      </c>
      <c r="H105" s="172">
        <f t="shared" ref="H105:H111" si="26">IF($G$208=0,0,G105/$G$208)</f>
        <v>0</v>
      </c>
      <c r="I105" s="337"/>
      <c r="J105" s="183">
        <v>0</v>
      </c>
      <c r="K105" s="183">
        <v>0</v>
      </c>
      <c r="M105" s="364">
        <f t="shared" ref="M105:M110" si="27">G105/G$228</f>
        <v>0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573">
        <f>'[51]Sch C'!D99</f>
        <v>0</v>
      </c>
      <c r="D106" s="573">
        <f>'[51]Sch C'!F99</f>
        <v>0</v>
      </c>
      <c r="E106" s="171">
        <f t="shared" si="24"/>
        <v>0</v>
      </c>
      <c r="F106" s="171"/>
      <c r="G106" s="171">
        <f t="shared" si="25"/>
        <v>0</v>
      </c>
      <c r="H106" s="172">
        <f t="shared" si="26"/>
        <v>0</v>
      </c>
      <c r="I106" s="337"/>
      <c r="J106" s="168"/>
      <c r="K106" s="168"/>
      <c r="M106" s="364">
        <f t="shared" si="27"/>
        <v>0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573">
        <f>'[51]Sch C'!D100</f>
        <v>3497</v>
      </c>
      <c r="D107" s="573">
        <f>'[51]Sch C'!F100</f>
        <v>0</v>
      </c>
      <c r="E107" s="171">
        <f t="shared" si="24"/>
        <v>3497</v>
      </c>
      <c r="F107" s="171"/>
      <c r="G107" s="171">
        <f t="shared" si="25"/>
        <v>3497</v>
      </c>
      <c r="H107" s="172">
        <f t="shared" si="26"/>
        <v>6.2279441818053911E-4</v>
      </c>
      <c r="I107" s="337"/>
      <c r="J107" s="168"/>
      <c r="K107" s="168"/>
      <c r="M107" s="364">
        <f t="shared" si="27"/>
        <v>0.16250000000000001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573">
        <f>'[51]Sch C'!D101</f>
        <v>0</v>
      </c>
      <c r="D108" s="573">
        <f>'[51]Sch C'!F101</f>
        <v>0</v>
      </c>
      <c r="E108" s="171">
        <f t="shared" si="24"/>
        <v>0</v>
      </c>
      <c r="F108" s="171"/>
      <c r="G108" s="171">
        <f t="shared" si="25"/>
        <v>0</v>
      </c>
      <c r="H108" s="172">
        <f t="shared" si="26"/>
        <v>0</v>
      </c>
      <c r="I108" s="337"/>
      <c r="J108" s="168"/>
      <c r="K108" s="168"/>
      <c r="M108" s="364">
        <f t="shared" si="27"/>
        <v>0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573">
        <f>'[51]Sch C'!D102</f>
        <v>2630</v>
      </c>
      <c r="D109" s="573">
        <f>'[51]Sch C'!F102</f>
        <v>0</v>
      </c>
      <c r="E109" s="171">
        <f t="shared" si="24"/>
        <v>2630</v>
      </c>
      <c r="F109" s="171"/>
      <c r="G109" s="171">
        <f t="shared" si="25"/>
        <v>2630</v>
      </c>
      <c r="H109" s="172">
        <f t="shared" si="26"/>
        <v>4.6838699451381695E-4</v>
      </c>
      <c r="I109" s="337"/>
      <c r="J109" s="168"/>
      <c r="K109" s="168"/>
      <c r="M109" s="364">
        <f t="shared" si="27"/>
        <v>0.12221189591078067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573">
        <f>'[51]Sch C'!D103</f>
        <v>0</v>
      </c>
      <c r="D110" s="573">
        <f>'[51]Sch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7"/>
      <c r="J110" s="168"/>
      <c r="K110" s="168"/>
      <c r="M110" s="364">
        <f t="shared" si="27"/>
        <v>0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573">
        <f>SUM(C105:C110)</f>
        <v>6127</v>
      </c>
      <c r="D111" s="573">
        <f>SUM(D105:D110)</f>
        <v>0</v>
      </c>
      <c r="E111" s="171">
        <f t="shared" ref="E111" si="28">SUM(E105:E110)</f>
        <v>6127</v>
      </c>
      <c r="F111" s="171">
        <f>SUM(F105:F110)</f>
        <v>0</v>
      </c>
      <c r="G111" s="171">
        <f>SUM(G105:G110)</f>
        <v>6127</v>
      </c>
      <c r="H111" s="172">
        <f t="shared" si="26"/>
        <v>1.0911814126943562E-3</v>
      </c>
      <c r="I111" s="337"/>
      <c r="J111" s="168"/>
      <c r="K111" s="168"/>
      <c r="M111" s="364">
        <f>G111/G$228</f>
        <v>0.28471189591078067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573">
        <f>'[51]Sch C'!D115</f>
        <v>83599</v>
      </c>
      <c r="D114" s="573">
        <f>'[51]Sch C'!F115</f>
        <v>5695</v>
      </c>
      <c r="E114" s="171">
        <f t="shared" ref="E114:E118" si="29">C114+D114</f>
        <v>89294</v>
      </c>
      <c r="F114" s="171"/>
      <c r="G114" s="171">
        <f>E114+F114</f>
        <v>89294</v>
      </c>
      <c r="H114" s="172">
        <f t="shared" ref="H114:H119" si="30">IF($G$208=0,0,G114/$G$208)</f>
        <v>1.5902717980272537E-2</v>
      </c>
      <c r="I114" s="337"/>
      <c r="J114" s="183">
        <v>7825</v>
      </c>
      <c r="K114" s="183">
        <v>8358</v>
      </c>
      <c r="M114" s="364">
        <f t="shared" ref="M114:M119" si="31">G114/G$228</f>
        <v>4.1493494423791821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573">
        <f>'[51]Sch C'!D116</f>
        <v>0</v>
      </c>
      <c r="D115" s="573">
        <f>'[51]Sch C'!F116</f>
        <v>12771</v>
      </c>
      <c r="E115" s="171">
        <f t="shared" si="29"/>
        <v>12771</v>
      </c>
      <c r="F115" s="171"/>
      <c r="G115" s="171">
        <f>E115+F115</f>
        <v>12771</v>
      </c>
      <c r="H115" s="172">
        <f t="shared" si="30"/>
        <v>2.2744373790631015E-3</v>
      </c>
      <c r="I115" s="337"/>
      <c r="J115" s="168"/>
      <c r="K115" s="168"/>
      <c r="M115" s="364">
        <f t="shared" si="31"/>
        <v>0.59344795539033457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573">
        <f>'[51]Sch C'!D117</f>
        <v>10277</v>
      </c>
      <c r="D116" s="573">
        <f>'[51]Sch C'!F117</f>
        <v>0</v>
      </c>
      <c r="E116" s="171">
        <f t="shared" si="29"/>
        <v>10277</v>
      </c>
      <c r="F116" s="171"/>
      <c r="G116" s="171">
        <f>E116+F116</f>
        <v>10277</v>
      </c>
      <c r="H116" s="172">
        <f t="shared" si="30"/>
        <v>1.8302711568891623E-3</v>
      </c>
      <c r="I116" s="337"/>
      <c r="J116" s="168"/>
      <c r="K116" s="168"/>
      <c r="M116" s="364">
        <f t="shared" si="31"/>
        <v>0.47755576208178441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573">
        <f>'[51]Sch C'!D118</f>
        <v>4879</v>
      </c>
      <c r="D117" s="573">
        <f>'[51]Sch C'!F118</f>
        <v>0</v>
      </c>
      <c r="E117" s="171">
        <f t="shared" si="29"/>
        <v>4879</v>
      </c>
      <c r="F117" s="171"/>
      <c r="G117" s="171">
        <f>E117+F117</f>
        <v>4879</v>
      </c>
      <c r="H117" s="172">
        <f t="shared" si="30"/>
        <v>8.6892020769312281E-4</v>
      </c>
      <c r="I117" s="337"/>
      <c r="J117" s="168"/>
      <c r="K117" s="168"/>
      <c r="M117" s="364">
        <f t="shared" si="31"/>
        <v>0.22671933085501858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573">
        <f>'[51]Sch C'!D119</f>
        <v>0</v>
      </c>
      <c r="D118" s="573">
        <f>'[51]Sch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337"/>
      <c r="J118" s="168"/>
      <c r="K118" s="168"/>
      <c r="M118" s="364">
        <f t="shared" si="31"/>
        <v>0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573">
        <f>SUM(C114:C118)</f>
        <v>98755</v>
      </c>
      <c r="D119" s="573">
        <f>SUM(D114:D118)</f>
        <v>18466</v>
      </c>
      <c r="E119" s="171">
        <f t="shared" ref="E119" si="32">SUM(E114:E118)</f>
        <v>117221</v>
      </c>
      <c r="F119" s="171">
        <f>SUM(F114:F118)</f>
        <v>0</v>
      </c>
      <c r="G119" s="171">
        <f>SUM(G114:G118)</f>
        <v>117221</v>
      </c>
      <c r="H119" s="172">
        <f t="shared" si="30"/>
        <v>2.0876346723917923E-2</v>
      </c>
      <c r="I119" s="337"/>
      <c r="J119" s="168"/>
      <c r="K119" s="168"/>
      <c r="M119" s="364">
        <f t="shared" si="31"/>
        <v>5.4470724907063195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1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573">
        <f>'[51]Sch C'!D124</f>
        <v>0</v>
      </c>
      <c r="D123" s="573">
        <f>'[51]Sch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7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0.77002560279620991</v>
      </c>
    </row>
    <row r="124" spans="1:14" s="167" customFormat="1">
      <c r="B124" s="163" t="s">
        <v>194</v>
      </c>
      <c r="C124" s="573">
        <f>'[51]Sch C'!D125</f>
        <v>146961</v>
      </c>
      <c r="D124" s="573">
        <f>'[51]Sch C'!F125</f>
        <v>10011</v>
      </c>
      <c r="E124" s="171">
        <f t="shared" si="33"/>
        <v>156972</v>
      </c>
      <c r="F124" s="171"/>
      <c r="G124" s="171">
        <f>E124+F124</f>
        <v>156972</v>
      </c>
      <c r="H124" s="172">
        <f>IF($G$208=0,0,G124/$G$208)</f>
        <v>2.7955757909818586E-2</v>
      </c>
      <c r="I124" s="337"/>
      <c r="J124" s="183">
        <v>3581</v>
      </c>
      <c r="K124" s="183">
        <v>3825</v>
      </c>
      <c r="M124" s="364">
        <f t="shared" si="34"/>
        <v>7.2942379182156136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573">
        <f>'[51]Sch C'!D126</f>
        <v>65793</v>
      </c>
      <c r="D125" s="573">
        <f>'[51]Sch C'!F126</f>
        <v>4482</v>
      </c>
      <c r="E125" s="171">
        <f t="shared" si="33"/>
        <v>70275</v>
      </c>
      <c r="F125" s="171"/>
      <c r="G125" s="171">
        <f>E125+F125</f>
        <v>70275</v>
      </c>
      <c r="H125" s="172">
        <f>IF($G$208=0,0,G125/$G$208)</f>
        <v>1.251554982488916E-2</v>
      </c>
      <c r="I125" s="337"/>
      <c r="J125" s="183">
        <v>2208</v>
      </c>
      <c r="K125" s="183">
        <v>2358</v>
      </c>
      <c r="M125" s="364">
        <f t="shared" si="34"/>
        <v>3.2655669144981414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573">
        <f>'[51]Sch C'!D127</f>
        <v>0</v>
      </c>
      <c r="D126" s="573">
        <f>'[51]Sch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7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573">
        <f>'[51]Sch C'!D128</f>
        <v>56013</v>
      </c>
      <c r="D127" s="573">
        <f>'[51]Sch C'!F128</f>
        <v>3816</v>
      </c>
      <c r="E127" s="171">
        <f t="shared" si="33"/>
        <v>59829</v>
      </c>
      <c r="F127" s="171"/>
      <c r="G127" s="171">
        <f>E127+F127</f>
        <v>59829</v>
      </c>
      <c r="H127" s="172">
        <f>IF($G$208=0,0,G127/$G$208)</f>
        <v>1.0655180796489413E-2</v>
      </c>
      <c r="I127" s="337"/>
      <c r="J127" s="183">
        <v>3987</v>
      </c>
      <c r="K127" s="183">
        <v>4259</v>
      </c>
      <c r="M127" s="364">
        <f t="shared" si="34"/>
        <v>2.7801579925650559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205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573">
        <f>'[51]Sch C'!D130</f>
        <v>0</v>
      </c>
      <c r="D129" s="573">
        <f>'[51]Sch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7"/>
      <c r="J129" s="204"/>
      <c r="K129" s="204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573">
        <f>'[51]Sch C'!D131</f>
        <v>0</v>
      </c>
      <c r="D130" s="573">
        <f>'[51]Sch C'!F131</f>
        <v>22451</v>
      </c>
      <c r="E130" s="171">
        <f t="shared" si="35"/>
        <v>22451</v>
      </c>
      <c r="F130" s="171"/>
      <c r="G130" s="171">
        <f>E130+F130</f>
        <v>22451</v>
      </c>
      <c r="H130" s="172">
        <f>IF($G$208=0,0,G130/$G$208)</f>
        <v>3.9983864691367698E-3</v>
      </c>
      <c r="I130" s="337"/>
      <c r="J130" s="204"/>
      <c r="K130" s="204"/>
      <c r="M130" s="364">
        <f t="shared" si="34"/>
        <v>1.0432620817843865</v>
      </c>
      <c r="N130" s="359">
        <f>SUMMARY!J133</f>
        <v>1.0792348507966931</v>
      </c>
    </row>
    <row r="131" spans="1:14" s="167" customFormat="1">
      <c r="B131" s="163" t="s">
        <v>195</v>
      </c>
      <c r="C131" s="573">
        <f>'[51]Sch C'!D132</f>
        <v>0</v>
      </c>
      <c r="D131" s="573">
        <f>'[51]Sch C'!F132</f>
        <v>10051</v>
      </c>
      <c r="E131" s="171">
        <f t="shared" si="35"/>
        <v>10051</v>
      </c>
      <c r="F131" s="171"/>
      <c r="G131" s="171">
        <f>E131+F131</f>
        <v>10051</v>
      </c>
      <c r="H131" s="172">
        <f>IF($G$208=0,0,G131/$G$208)</f>
        <v>1.7900219322655416E-3</v>
      </c>
      <c r="I131" s="337"/>
      <c r="J131" s="168"/>
      <c r="K131" s="168"/>
      <c r="M131" s="364">
        <f t="shared" si="34"/>
        <v>0.46705390334572489</v>
      </c>
      <c r="N131" s="359">
        <f>SUMMARY!J134</f>
        <v>8.2765628075518377E-2</v>
      </c>
    </row>
    <row r="132" spans="1:14" s="167" customFormat="1">
      <c r="B132" s="163" t="s">
        <v>196</v>
      </c>
      <c r="C132" s="573">
        <f>'[51]Sch C'!D133</f>
        <v>0</v>
      </c>
      <c r="D132" s="573">
        <f>'[51]Sch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573">
        <f>'[51]Sch C'!D134</f>
        <v>0</v>
      </c>
      <c r="D133" s="573">
        <f>'[51]Sch C'!F134</f>
        <v>8557</v>
      </c>
      <c r="E133" s="171">
        <f t="shared" si="35"/>
        <v>8557</v>
      </c>
      <c r="F133" s="171"/>
      <c r="G133" s="171">
        <f>E133+F133</f>
        <v>8557</v>
      </c>
      <c r="H133" s="172">
        <f>IF($G$208=0,0,G133/$G$208)</f>
        <v>1.5239496243554113E-3</v>
      </c>
      <c r="I133" s="337"/>
      <c r="J133" s="168"/>
      <c r="K133" s="168"/>
      <c r="M133" s="364">
        <f t="shared" si="34"/>
        <v>0.39763011152416355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573">
        <f>'[51]Sch C'!D136</f>
        <v>383648</v>
      </c>
      <c r="D135" s="573">
        <f>'[51]Sch C'!F136</f>
        <v>26135</v>
      </c>
      <c r="E135" s="171">
        <f t="shared" ref="E135:E138" si="36">C135+D135</f>
        <v>409783</v>
      </c>
      <c r="F135" s="171"/>
      <c r="G135" s="171">
        <f>E135+F135</f>
        <v>409783</v>
      </c>
      <c r="H135" s="172">
        <f>IF($G$208=0,0,G135/$G$208)</f>
        <v>7.297985846876634E-2</v>
      </c>
      <c r="I135" s="337"/>
      <c r="J135" s="183">
        <v>13223</v>
      </c>
      <c r="K135" s="183">
        <v>14124</v>
      </c>
      <c r="M135" s="364">
        <f t="shared" si="34"/>
        <v>19.041960966542749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573">
        <f>'[51]Sch C'!D137</f>
        <v>249356</v>
      </c>
      <c r="D136" s="573">
        <f>'[51]Sch C'!F137</f>
        <v>16987</v>
      </c>
      <c r="E136" s="171">
        <f t="shared" si="36"/>
        <v>266343</v>
      </c>
      <c r="F136" s="171"/>
      <c r="G136" s="171">
        <f>E136+F136</f>
        <v>266343</v>
      </c>
      <c r="H136" s="172">
        <f>IF($G$208=0,0,G136/$G$208)</f>
        <v>4.7434067406765611E-2</v>
      </c>
      <c r="I136" s="337"/>
      <c r="J136" s="183">
        <v>9757</v>
      </c>
      <c r="K136" s="183">
        <v>10422</v>
      </c>
      <c r="M136" s="364">
        <f t="shared" si="34"/>
        <v>12.376533457249071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573">
        <f>'[51]Sch C'!D138</f>
        <v>448965</v>
      </c>
      <c r="D137" s="573">
        <f>'[51]Sch C'!F138</f>
        <v>29836</v>
      </c>
      <c r="E137" s="171">
        <f t="shared" si="36"/>
        <v>478801</v>
      </c>
      <c r="F137" s="171"/>
      <c r="G137" s="171">
        <f>E137+F137</f>
        <v>478801</v>
      </c>
      <c r="H137" s="172">
        <f>IF($G$208=0,0,G137/$G$208)</f>
        <v>8.5271544243425881E-2</v>
      </c>
      <c r="I137" s="337"/>
      <c r="J137" s="183">
        <v>36206</v>
      </c>
      <c r="K137" s="183">
        <v>38672</v>
      </c>
      <c r="M137" s="364">
        <f t="shared" si="34"/>
        <v>22.249117100371748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573">
        <f>'[51]Sch C'!D139</f>
        <v>112258</v>
      </c>
      <c r="D138" s="573">
        <f>'[51]Sch C'!F139</f>
        <v>7647</v>
      </c>
      <c r="E138" s="171">
        <f t="shared" si="36"/>
        <v>119905</v>
      </c>
      <c r="F138" s="171"/>
      <c r="G138" s="171">
        <f>E138+F138</f>
        <v>119905</v>
      </c>
      <c r="H138" s="172">
        <f>IF($G$208=0,0,G138/$G$208)</f>
        <v>2.1354350789801985E-2</v>
      </c>
      <c r="I138" s="337"/>
      <c r="J138" s="183">
        <v>9141</v>
      </c>
      <c r="K138" s="183">
        <v>9764</v>
      </c>
      <c r="M138" s="364">
        <f t="shared" si="34"/>
        <v>5.5717936802973975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7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573">
        <f>'[51]Sch C'!D141</f>
        <v>0</v>
      </c>
      <c r="D140" s="573">
        <f>'[51]Sch C'!F141</f>
        <v>58609</v>
      </c>
      <c r="E140" s="171">
        <f t="shared" ref="E140:E143" si="37">C140+D140</f>
        <v>58609</v>
      </c>
      <c r="F140" s="171"/>
      <c r="G140" s="171">
        <f>E140+F140</f>
        <v>58609</v>
      </c>
      <c r="H140" s="172">
        <f>IF($G$208=0,0,G140/$G$208)</f>
        <v>1.0437906221087567E-2</v>
      </c>
      <c r="I140" s="337"/>
      <c r="J140" s="168"/>
      <c r="K140" s="168"/>
      <c r="M140" s="364">
        <f t="shared" si="34"/>
        <v>2.7234665427509293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573">
        <f>'[51]Sch C'!D142</f>
        <v>0</v>
      </c>
      <c r="D141" s="573">
        <f>'[51]Sch C'!F142</f>
        <v>38094</v>
      </c>
      <c r="E141" s="171">
        <f t="shared" si="37"/>
        <v>38094</v>
      </c>
      <c r="F141" s="171"/>
      <c r="G141" s="171">
        <f>E141+F141</f>
        <v>38094</v>
      </c>
      <c r="H141" s="172">
        <f>IF($G$208=0,0,G141/$G$208)</f>
        <v>6.7843095699655302E-3</v>
      </c>
      <c r="I141" s="337"/>
      <c r="J141" s="168"/>
      <c r="K141" s="168"/>
      <c r="M141" s="364">
        <f t="shared" si="34"/>
        <v>1.7701672862453532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573">
        <f>'[51]Sch C'!D143</f>
        <v>0</v>
      </c>
      <c r="D142" s="573">
        <f>'[51]Sch C'!F143</f>
        <v>68485</v>
      </c>
      <c r="E142" s="171">
        <f t="shared" si="37"/>
        <v>68485</v>
      </c>
      <c r="F142" s="171"/>
      <c r="G142" s="171">
        <f>E142+F142</f>
        <v>68485</v>
      </c>
      <c r="H142" s="172">
        <f>IF($G$208=0,0,G142/$G$208)</f>
        <v>1.219676171835694E-2</v>
      </c>
      <c r="I142" s="337"/>
      <c r="J142" s="168"/>
      <c r="K142" s="168"/>
      <c r="M142" s="364">
        <f t="shared" si="34"/>
        <v>3.1823884758364311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573">
        <f>'[51]Sch C'!D144</f>
        <v>0</v>
      </c>
      <c r="D143" s="573">
        <f>'[51]Sch C'!F144</f>
        <v>17150</v>
      </c>
      <c r="E143" s="171">
        <f t="shared" si="37"/>
        <v>17150</v>
      </c>
      <c r="F143" s="171"/>
      <c r="G143" s="171">
        <f>E143+F143</f>
        <v>17150</v>
      </c>
      <c r="H143" s="172">
        <f>IF($G$208=0,0,G143/$G$208)</f>
        <v>3.0543106296243199E-3</v>
      </c>
      <c r="I143" s="337"/>
      <c r="J143" s="168"/>
      <c r="K143" s="168"/>
      <c r="M143" s="364">
        <f t="shared" si="34"/>
        <v>0.79693308550185871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7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573">
        <f>'[51]Sch C'!D146</f>
        <v>37125</v>
      </c>
      <c r="D145" s="573">
        <f>'[51]Sch C'!F146</f>
        <v>0</v>
      </c>
      <c r="E145" s="171">
        <f t="shared" ref="E145:E153" si="38">C145+D145</f>
        <v>37125</v>
      </c>
      <c r="F145" s="171"/>
      <c r="G145" s="171">
        <f t="shared" ref="G145:G153" si="39">E145+F145</f>
        <v>37125</v>
      </c>
      <c r="H145" s="172">
        <f t="shared" ref="H145:H153" si="40">IF($G$208=0,0,G145/$G$208)</f>
        <v>6.6117365670438997E-3</v>
      </c>
      <c r="I145" s="337"/>
      <c r="J145" s="183">
        <v>0</v>
      </c>
      <c r="K145" s="183">
        <v>0</v>
      </c>
      <c r="M145" s="364">
        <f t="shared" si="34"/>
        <v>1.7251394052044611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573">
        <f>'[51]Sch C'!D147</f>
        <v>0</v>
      </c>
      <c r="D146" s="573">
        <f>'[51]Sch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337"/>
      <c r="J146" s="183">
        <v>0</v>
      </c>
      <c r="K146" s="183">
        <v>0</v>
      </c>
      <c r="M146" s="364">
        <f t="shared" si="34"/>
        <v>0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573">
        <f>'[51]Sch C'!D148</f>
        <v>0</v>
      </c>
      <c r="D147" s="573">
        <f>'[51]Sch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7"/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573">
        <f>'[51]Sch C'!D149</f>
        <v>0</v>
      </c>
      <c r="D148" s="573">
        <f>'[51]Sch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7"/>
      <c r="J148" s="183">
        <v>0</v>
      </c>
      <c r="K148" s="183">
        <v>0</v>
      </c>
      <c r="M148" s="364">
        <f t="shared" si="34"/>
        <v>0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573">
        <f>'[51]Sch C'!D150</f>
        <v>10548</v>
      </c>
      <c r="D149" s="573">
        <f>'[51]Sch C'!F150</f>
        <v>0</v>
      </c>
      <c r="E149" s="171">
        <f t="shared" si="38"/>
        <v>10548</v>
      </c>
      <c r="F149" s="171"/>
      <c r="G149" s="171">
        <f t="shared" si="39"/>
        <v>10548</v>
      </c>
      <c r="H149" s="172">
        <f t="shared" si="40"/>
        <v>1.8785346076546545E-3</v>
      </c>
      <c r="I149" s="337"/>
      <c r="J149" s="183">
        <v>0</v>
      </c>
      <c r="K149" s="183">
        <v>0</v>
      </c>
      <c r="M149" s="364">
        <f t="shared" si="34"/>
        <v>0.49014869888475837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573">
        <f>'[51]Sch C'!D151</f>
        <v>84224</v>
      </c>
      <c r="D150" s="573">
        <f>'[51]Sch C'!F151</f>
        <v>0</v>
      </c>
      <c r="E150" s="171">
        <f t="shared" si="38"/>
        <v>84224</v>
      </c>
      <c r="F150" s="171"/>
      <c r="G150" s="171">
        <f t="shared" si="39"/>
        <v>84224</v>
      </c>
      <c r="H150" s="172">
        <f t="shared" si="40"/>
        <v>1.4999781834955027E-2</v>
      </c>
      <c r="I150" s="337"/>
      <c r="J150" s="168"/>
      <c r="K150" s="168"/>
      <c r="M150" s="364">
        <f t="shared" si="34"/>
        <v>3.9137546468401485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573">
        <f>'[51]Sch C'!D152</f>
        <v>3107</v>
      </c>
      <c r="D151" s="573">
        <f>'[51]Sch C'!F152</f>
        <v>0</v>
      </c>
      <c r="E151" s="171">
        <f t="shared" si="38"/>
        <v>3107</v>
      </c>
      <c r="F151" s="171"/>
      <c r="G151" s="171">
        <f t="shared" si="39"/>
        <v>3107</v>
      </c>
      <c r="H151" s="172">
        <f t="shared" si="40"/>
        <v>5.5333779161765369E-4</v>
      </c>
      <c r="I151" s="337"/>
      <c r="J151" s="168"/>
      <c r="K151" s="168"/>
      <c r="M151" s="364">
        <f t="shared" si="34"/>
        <v>0.14437732342007434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573">
        <f>'[51]Sch C'!D153</f>
        <v>0</v>
      </c>
      <c r="D152" s="573">
        <f>'[51]Sch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7"/>
      <c r="J152" s="168"/>
      <c r="K152" s="168"/>
      <c r="M152" s="364">
        <f t="shared" si="34"/>
        <v>0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573">
        <f>'[51]Sch C'!D154</f>
        <v>0</v>
      </c>
      <c r="D153" s="573">
        <f>'[51]Sch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210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573">
        <f>'[51]Sch C'!D156</f>
        <v>0</v>
      </c>
      <c r="D155" s="573">
        <f>'[51]Sch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573">
        <f>'[51]Sch C'!D157</f>
        <v>0</v>
      </c>
      <c r="D156" s="573">
        <f>'[51]Sch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573">
        <f>'[51]Sch C'!D158</f>
        <v>0</v>
      </c>
      <c r="D157" s="573">
        <f>'[51]Sch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7"/>
      <c r="J157" s="168"/>
      <c r="K157" s="168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573">
        <f>'[51]Sch C'!D159</f>
        <v>0</v>
      </c>
      <c r="D158" s="573">
        <f>'[51]Sch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573">
        <f>'[51]Sch C'!D160</f>
        <v>0</v>
      </c>
      <c r="D159" s="573">
        <f>'[51]Sch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7"/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573">
        <f>'[51]Sch C'!D161</f>
        <v>3508</v>
      </c>
      <c r="D160" s="573">
        <f>'[51]Sch C'!F161</f>
        <v>0</v>
      </c>
      <c r="E160" s="171">
        <f t="shared" si="41"/>
        <v>3508</v>
      </c>
      <c r="F160" s="171">
        <v>-3295</v>
      </c>
      <c r="G160" s="171">
        <f t="shared" si="42"/>
        <v>213</v>
      </c>
      <c r="H160" s="172">
        <f t="shared" si="43"/>
        <v>3.7934003738191261E-5</v>
      </c>
      <c r="I160" s="337"/>
      <c r="J160" s="168"/>
      <c r="K160" s="168"/>
      <c r="M160" s="364">
        <f t="shared" si="34"/>
        <v>9.8977695167286241E-3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573">
        <f>SUM(C123:C160)</f>
        <v>1601506</v>
      </c>
      <c r="D161" s="573">
        <f>SUM(D123:D160)</f>
        <v>322311</v>
      </c>
      <c r="E161" s="171">
        <f t="shared" ref="E161" si="44">SUM(E123:E160)</f>
        <v>1923817</v>
      </c>
      <c r="F161" s="171">
        <f>SUM(F123:F160)</f>
        <v>-3295</v>
      </c>
      <c r="G161" s="171">
        <f>SUM(G123:G160)</f>
        <v>1920522</v>
      </c>
      <c r="H161" s="172">
        <f t="shared" si="43"/>
        <v>0.3420332804097585</v>
      </c>
      <c r="I161" s="337"/>
      <c r="J161" s="168"/>
      <c r="K161" s="168"/>
      <c r="M161" s="364">
        <f>G161/G$228</f>
        <v>89.243587360594802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337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7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573">
        <f>'[51]Sch C'!D175</f>
        <v>0</v>
      </c>
      <c r="D164" s="573">
        <f>'[51]Sch C'!F175</f>
        <v>0</v>
      </c>
      <c r="E164" s="171">
        <f t="shared" ref="E164:E196" si="45">C164+D164</f>
        <v>0</v>
      </c>
      <c r="F164" s="665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573">
        <f>'[51]Sch C'!D176</f>
        <v>0</v>
      </c>
      <c r="D165" s="573">
        <f>'[51]Sch C'!F176</f>
        <v>0</v>
      </c>
      <c r="E165" s="171">
        <f t="shared" si="45"/>
        <v>0</v>
      </c>
      <c r="F165" s="665"/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573">
        <f>'[51]Sch C'!D177</f>
        <v>345429</v>
      </c>
      <c r="D166" s="573">
        <f>'[51]Sch C'!F177</f>
        <v>23532</v>
      </c>
      <c r="E166" s="171">
        <f t="shared" si="45"/>
        <v>368961</v>
      </c>
      <c r="F166" s="665"/>
      <c r="G166" s="171">
        <f t="shared" si="46"/>
        <v>368961</v>
      </c>
      <c r="H166" s="172">
        <f t="shared" si="47"/>
        <v>6.5709708700689137E-2</v>
      </c>
      <c r="I166" s="343"/>
      <c r="J166" s="217">
        <v>10863</v>
      </c>
      <c r="K166" s="217">
        <v>11603</v>
      </c>
      <c r="L166" s="218"/>
      <c r="M166" s="364">
        <f t="shared" si="48"/>
        <v>17.145027881040892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573">
        <f>'[51]Sch C'!D178</f>
        <v>0</v>
      </c>
      <c r="D167" s="573">
        <f>'[51]Sch C'!F178</f>
        <v>52770</v>
      </c>
      <c r="E167" s="171">
        <f t="shared" si="45"/>
        <v>52770</v>
      </c>
      <c r="F167" s="665"/>
      <c r="G167" s="171">
        <f t="shared" si="46"/>
        <v>52770</v>
      </c>
      <c r="H167" s="172">
        <f t="shared" si="47"/>
        <v>9.3980158557011861E-3</v>
      </c>
      <c r="I167" s="344"/>
      <c r="J167" s="222"/>
      <c r="K167" s="222"/>
      <c r="L167" s="218"/>
      <c r="M167" s="364">
        <f t="shared" si="48"/>
        <v>2.4521375464684017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573">
        <f>'[51]Sch C'!D179</f>
        <v>34582</v>
      </c>
      <c r="D168" s="573">
        <f>'[51]Sch C'!F179</f>
        <v>2356</v>
      </c>
      <c r="E168" s="171">
        <f t="shared" si="45"/>
        <v>36938</v>
      </c>
      <c r="F168" s="665"/>
      <c r="G168" s="171">
        <f t="shared" si="46"/>
        <v>36938</v>
      </c>
      <c r="H168" s="172">
        <f t="shared" si="47"/>
        <v>6.5784330050765666E-3</v>
      </c>
      <c r="I168" s="343"/>
      <c r="J168" s="217">
        <v>981</v>
      </c>
      <c r="K168" s="217">
        <v>1048</v>
      </c>
      <c r="L168" s="218"/>
      <c r="M168" s="364">
        <f t="shared" si="48"/>
        <v>1.716449814126394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573">
        <f>'[51]Sch C'!D180</f>
        <v>0</v>
      </c>
      <c r="D169" s="573">
        <f>'[51]Sch C'!F180</f>
        <v>5283</v>
      </c>
      <c r="E169" s="171">
        <f t="shared" si="45"/>
        <v>5283</v>
      </c>
      <c r="F169" s="665"/>
      <c r="G169" s="171">
        <f t="shared" si="46"/>
        <v>5283</v>
      </c>
      <c r="H169" s="172">
        <f t="shared" si="47"/>
        <v>9.4087014905570149E-4</v>
      </c>
      <c r="I169" s="344"/>
      <c r="J169" s="222"/>
      <c r="K169" s="222"/>
      <c r="L169" s="218"/>
      <c r="M169" s="364">
        <f t="shared" si="48"/>
        <v>0.24549256505576209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573">
        <f>'[51]Sch C'!D181</f>
        <v>0</v>
      </c>
      <c r="D170" s="573">
        <f>'[51]Sch C'!F181</f>
        <v>0</v>
      </c>
      <c r="E170" s="171">
        <f t="shared" si="45"/>
        <v>0</v>
      </c>
      <c r="F170" s="665"/>
      <c r="G170" s="171">
        <f t="shared" si="46"/>
        <v>0</v>
      </c>
      <c r="H170" s="172">
        <f t="shared" si="47"/>
        <v>0</v>
      </c>
      <c r="I170" s="343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573">
        <f>'[51]Sch C'!D182</f>
        <v>0</v>
      </c>
      <c r="D171" s="573">
        <f>'[51]Sch C'!F182</f>
        <v>0</v>
      </c>
      <c r="E171" s="171">
        <f t="shared" si="45"/>
        <v>0</v>
      </c>
      <c r="F171" s="665"/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573">
        <f>'[51]Sch C'!D183</f>
        <v>272140</v>
      </c>
      <c r="D172" s="573">
        <f>'[51]Sch C'!F183</f>
        <v>18539</v>
      </c>
      <c r="E172" s="171">
        <f t="shared" si="45"/>
        <v>290679</v>
      </c>
      <c r="F172" s="665"/>
      <c r="G172" s="171">
        <f t="shared" si="46"/>
        <v>290679</v>
      </c>
      <c r="H172" s="172">
        <f t="shared" si="47"/>
        <v>5.1768160904289658E-2</v>
      </c>
      <c r="I172" s="343"/>
      <c r="J172" s="217">
        <v>7656</v>
      </c>
      <c r="K172" s="217">
        <v>8178</v>
      </c>
      <c r="L172" s="218"/>
      <c r="M172" s="364">
        <f t="shared" si="48"/>
        <v>13.50738847583643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573">
        <f>'[51]Sch C'!D184</f>
        <v>0</v>
      </c>
      <c r="D173" s="573">
        <f>'[51]Sch C'!F184</f>
        <v>41574</v>
      </c>
      <c r="E173" s="171">
        <f t="shared" si="45"/>
        <v>41574</v>
      </c>
      <c r="F173" s="665"/>
      <c r="G173" s="171">
        <f t="shared" si="46"/>
        <v>41574</v>
      </c>
      <c r="H173" s="172">
        <f t="shared" si="47"/>
        <v>7.4040763916035845E-3</v>
      </c>
      <c r="I173" s="344"/>
      <c r="J173" s="222"/>
      <c r="K173" s="222"/>
      <c r="L173" s="218"/>
      <c r="M173" s="364">
        <f t="shared" si="48"/>
        <v>1.9318773234200743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573">
        <f>'[51]Sch C'!D185</f>
        <v>0</v>
      </c>
      <c r="D174" s="573">
        <f>'[51]Sch C'!F185</f>
        <v>0</v>
      </c>
      <c r="E174" s="171">
        <f t="shared" si="45"/>
        <v>0</v>
      </c>
      <c r="F174" s="665"/>
      <c r="G174" s="171">
        <f t="shared" si="46"/>
        <v>0</v>
      </c>
      <c r="H174" s="172">
        <f t="shared" si="47"/>
        <v>0</v>
      </c>
      <c r="I174" s="343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573">
        <f>'[51]Sch C'!D186</f>
        <v>0</v>
      </c>
      <c r="D175" s="573">
        <f>'[51]Sch C'!F186</f>
        <v>0</v>
      </c>
      <c r="E175" s="171">
        <f t="shared" si="45"/>
        <v>0</v>
      </c>
      <c r="F175" s="665"/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573">
        <f>'[51]Sch C'!D187</f>
        <v>0</v>
      </c>
      <c r="D176" s="573">
        <f>'[51]Sch C'!F187</f>
        <v>0</v>
      </c>
      <c r="E176" s="171">
        <f t="shared" si="45"/>
        <v>0</v>
      </c>
      <c r="F176" s="665"/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573">
        <f>'[51]Sch C'!D188</f>
        <v>1381</v>
      </c>
      <c r="D177" s="573">
        <f>'[51]Sch C'!F188</f>
        <v>0</v>
      </c>
      <c r="E177" s="171">
        <f t="shared" si="45"/>
        <v>1381</v>
      </c>
      <c r="F177" s="665"/>
      <c r="G177" s="171">
        <f t="shared" si="46"/>
        <v>1381</v>
      </c>
      <c r="H177" s="172">
        <f t="shared" si="47"/>
        <v>2.4594769559831988E-4</v>
      </c>
      <c r="I177" s="337"/>
      <c r="J177" s="223"/>
      <c r="K177" s="218"/>
      <c r="L177" s="220"/>
      <c r="M177" s="364">
        <f t="shared" si="48"/>
        <v>6.4172862453531598E-2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573">
        <f>'[51]Sch C'!D189</f>
        <v>0</v>
      </c>
      <c r="D178" s="573">
        <f>'[51]Sch C'!F189</f>
        <v>0</v>
      </c>
      <c r="E178" s="171">
        <f t="shared" si="45"/>
        <v>0</v>
      </c>
      <c r="F178" s="665"/>
      <c r="G178" s="171">
        <f t="shared" si="46"/>
        <v>0</v>
      </c>
      <c r="H178" s="172">
        <f t="shared" si="47"/>
        <v>0</v>
      </c>
      <c r="I178" s="337"/>
      <c r="J178" s="223"/>
      <c r="K178" s="218"/>
      <c r="L178" s="220"/>
      <c r="M178" s="364">
        <f t="shared" si="48"/>
        <v>0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573">
        <f>'[51]Sch C'!D190</f>
        <v>0</v>
      </c>
      <c r="D179" s="573">
        <f>'[51]Sch C'!F190</f>
        <v>0</v>
      </c>
      <c r="E179" s="171">
        <f t="shared" si="45"/>
        <v>0</v>
      </c>
      <c r="F179" s="665"/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573">
        <f>'[51]Sch C'!D191</f>
        <v>0</v>
      </c>
      <c r="D180" s="573">
        <f>'[51]Sch C'!F191</f>
        <v>0</v>
      </c>
      <c r="E180" s="171">
        <f t="shared" si="45"/>
        <v>0</v>
      </c>
      <c r="F180" s="665"/>
      <c r="G180" s="171">
        <f t="shared" si="46"/>
        <v>0</v>
      </c>
      <c r="H180" s="172">
        <f t="shared" si="47"/>
        <v>0</v>
      </c>
      <c r="I180" s="337"/>
      <c r="J180" s="223"/>
      <c r="K180" s="218"/>
      <c r="L180" s="220"/>
      <c r="M180" s="364">
        <f t="shared" si="48"/>
        <v>0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573">
        <f>'[51]Sch C'!D192</f>
        <v>0</v>
      </c>
      <c r="D181" s="573">
        <f>'[51]Sch C'!F192</f>
        <v>0</v>
      </c>
      <c r="E181" s="171">
        <f t="shared" si="45"/>
        <v>0</v>
      </c>
      <c r="F181" s="665"/>
      <c r="G181" s="171">
        <f t="shared" si="46"/>
        <v>0</v>
      </c>
      <c r="H181" s="172">
        <f t="shared" si="47"/>
        <v>0</v>
      </c>
      <c r="I181" s="337"/>
      <c r="J181" s="223"/>
      <c r="K181" s="218"/>
      <c r="L181" s="220"/>
      <c r="M181" s="364">
        <f t="shared" si="48"/>
        <v>0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573">
        <f>'[51]Sch C'!D193</f>
        <v>0</v>
      </c>
      <c r="D182" s="573">
        <f>'[51]Sch C'!F193</f>
        <v>0</v>
      </c>
      <c r="E182" s="171">
        <f t="shared" si="45"/>
        <v>0</v>
      </c>
      <c r="F182" s="665"/>
      <c r="G182" s="171">
        <f t="shared" si="46"/>
        <v>0</v>
      </c>
      <c r="H182" s="172">
        <f t="shared" si="47"/>
        <v>0</v>
      </c>
      <c r="I182" s="337"/>
      <c r="J182" s="223"/>
      <c r="K182" s="218"/>
      <c r="L182" s="220"/>
      <c r="M182" s="364">
        <f t="shared" si="48"/>
        <v>0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573">
        <f>'[51]Sch C'!D194</f>
        <v>0</v>
      </c>
      <c r="D183" s="573">
        <f>'[51]Sch C'!F194</f>
        <v>0</v>
      </c>
      <c r="E183" s="171">
        <f t="shared" si="45"/>
        <v>0</v>
      </c>
      <c r="F183" s="665"/>
      <c r="G183" s="171">
        <f t="shared" si="46"/>
        <v>0</v>
      </c>
      <c r="H183" s="172">
        <f t="shared" si="47"/>
        <v>0</v>
      </c>
      <c r="I183" s="337"/>
      <c r="J183" s="223"/>
      <c r="K183" s="218"/>
      <c r="M183" s="364">
        <f t="shared" si="48"/>
        <v>0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573">
        <f>'[51]Sch C'!D195</f>
        <v>0</v>
      </c>
      <c r="D184" s="573">
        <f>'[51]Sch C'!F195</f>
        <v>0</v>
      </c>
      <c r="E184" s="171">
        <f t="shared" si="45"/>
        <v>0</v>
      </c>
      <c r="F184" s="665"/>
      <c r="G184" s="171">
        <f t="shared" si="46"/>
        <v>0</v>
      </c>
      <c r="H184" s="172">
        <f t="shared" si="47"/>
        <v>0</v>
      </c>
      <c r="I184" s="337"/>
      <c r="J184" s="223"/>
      <c r="K184" s="218"/>
      <c r="M184" s="364">
        <f t="shared" si="48"/>
        <v>0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573">
        <f>'[51]Sch C'!D196</f>
        <v>0</v>
      </c>
      <c r="D185" s="573">
        <f>'[51]Sch C'!F196</f>
        <v>0</v>
      </c>
      <c r="E185" s="171">
        <f t="shared" si="45"/>
        <v>0</v>
      </c>
      <c r="F185" s="665"/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573">
        <f>'[51]Sch C'!D197</f>
        <v>0</v>
      </c>
      <c r="D186" s="573">
        <f>'[51]Sch C'!F197</f>
        <v>0</v>
      </c>
      <c r="E186" s="171">
        <f t="shared" si="45"/>
        <v>0</v>
      </c>
      <c r="F186" s="665"/>
      <c r="G186" s="171">
        <f t="shared" si="46"/>
        <v>0</v>
      </c>
      <c r="H186" s="172">
        <f t="shared" si="47"/>
        <v>0</v>
      </c>
      <c r="I186" s="337"/>
      <c r="J186" s="223"/>
      <c r="K186" s="218"/>
      <c r="M186" s="364">
        <f t="shared" si="48"/>
        <v>0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573">
        <f>'[51]Sch C'!D198</f>
        <v>72273</v>
      </c>
      <c r="D187" s="573">
        <f>'[51]Sch C'!F198</f>
        <v>0</v>
      </c>
      <c r="E187" s="171">
        <f t="shared" si="45"/>
        <v>72273</v>
      </c>
      <c r="F187" s="665"/>
      <c r="G187" s="171">
        <f t="shared" si="46"/>
        <v>72273</v>
      </c>
      <c r="H187" s="172">
        <f t="shared" si="47"/>
        <v>1.2871381465588248E-2</v>
      </c>
      <c r="I187" s="337"/>
      <c r="J187" s="223"/>
      <c r="K187" s="218"/>
      <c r="M187" s="364">
        <f t="shared" si="48"/>
        <v>3.358410780669145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573">
        <f>'[51]Sch C'!D199</f>
        <v>771</v>
      </c>
      <c r="D188" s="573">
        <f>'[51]Sch C'!F199</f>
        <v>0</v>
      </c>
      <c r="E188" s="171">
        <f t="shared" si="45"/>
        <v>771</v>
      </c>
      <c r="F188" s="665"/>
      <c r="G188" s="171">
        <f t="shared" si="46"/>
        <v>771</v>
      </c>
      <c r="H188" s="172">
        <f t="shared" si="47"/>
        <v>1.3731040789739652E-4</v>
      </c>
      <c r="I188" s="337"/>
      <c r="J188" s="223"/>
      <c r="K188" s="218"/>
      <c r="M188" s="364">
        <f t="shared" si="48"/>
        <v>3.58271375464684E-2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573">
        <f>'[51]Sch C'!D200</f>
        <v>0</v>
      </c>
      <c r="D189" s="573">
        <f>'[51]Sch C'!F200</f>
        <v>0</v>
      </c>
      <c r="E189" s="171">
        <f t="shared" si="45"/>
        <v>0</v>
      </c>
      <c r="F189" s="665"/>
      <c r="G189" s="171">
        <f t="shared" si="46"/>
        <v>0</v>
      </c>
      <c r="H189" s="172">
        <f t="shared" si="47"/>
        <v>0</v>
      </c>
      <c r="I189" s="337"/>
      <c r="J189" s="223"/>
      <c r="K189" s="218"/>
      <c r="M189" s="364">
        <f t="shared" si="48"/>
        <v>0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573">
        <f>'[51]Sch C'!D201</f>
        <v>0</v>
      </c>
      <c r="D190" s="573">
        <f>'[51]Sch C'!F201</f>
        <v>0</v>
      </c>
      <c r="E190" s="171">
        <f t="shared" si="45"/>
        <v>0</v>
      </c>
      <c r="F190" s="665"/>
      <c r="G190" s="171">
        <f t="shared" si="46"/>
        <v>0</v>
      </c>
      <c r="H190" s="172">
        <f t="shared" si="47"/>
        <v>0</v>
      </c>
      <c r="I190" s="337"/>
      <c r="J190" s="223"/>
      <c r="K190" s="218"/>
      <c r="M190" s="364">
        <f t="shared" si="48"/>
        <v>0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573">
        <f>'[51]Sch C'!D202</f>
        <v>0</v>
      </c>
      <c r="D191" s="573">
        <f>'[51]Sch C'!F202</f>
        <v>0</v>
      </c>
      <c r="E191" s="171">
        <f t="shared" si="45"/>
        <v>0</v>
      </c>
      <c r="F191" s="665"/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573">
        <f>'[51]Sch C'!D203</f>
        <v>0</v>
      </c>
      <c r="D192" s="573">
        <f>'[51]Sch C'!F203</f>
        <v>0</v>
      </c>
      <c r="E192" s="171">
        <f t="shared" si="45"/>
        <v>0</v>
      </c>
      <c r="F192" s="665"/>
      <c r="G192" s="171">
        <f t="shared" si="46"/>
        <v>0</v>
      </c>
      <c r="H192" s="172">
        <f t="shared" si="47"/>
        <v>0</v>
      </c>
      <c r="I192" s="337"/>
      <c r="J192" s="223"/>
      <c r="K192" s="218"/>
      <c r="M192" s="364">
        <f t="shared" si="48"/>
        <v>0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573">
        <f>'[51]Sch C'!D204</f>
        <v>0</v>
      </c>
      <c r="D193" s="573">
        <f>'[51]Sch C'!F204</f>
        <v>0</v>
      </c>
      <c r="E193" s="171">
        <f t="shared" si="45"/>
        <v>0</v>
      </c>
      <c r="F193" s="665"/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573">
        <f>'[51]Sch C'!D205</f>
        <v>257330</v>
      </c>
      <c r="D194" s="573">
        <f>'[51]Sch C'!F205</f>
        <v>0</v>
      </c>
      <c r="E194" s="171">
        <f t="shared" si="45"/>
        <v>257330</v>
      </c>
      <c r="F194" s="665"/>
      <c r="G194" s="171">
        <f t="shared" si="46"/>
        <v>257330</v>
      </c>
      <c r="H194" s="172">
        <f t="shared" si="47"/>
        <v>4.5828906957505904E-2</v>
      </c>
      <c r="I194" s="337"/>
      <c r="J194" s="223"/>
      <c r="K194" s="218"/>
      <c r="M194" s="364">
        <f t="shared" si="48"/>
        <v>11.957713754646839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573">
        <f>'[51]Sch C'!D206</f>
        <v>6091</v>
      </c>
      <c r="D195" s="573">
        <f>'[51]Sch C'!F206</f>
        <v>0</v>
      </c>
      <c r="E195" s="171">
        <f t="shared" si="45"/>
        <v>6091</v>
      </c>
      <c r="F195" s="665"/>
      <c r="G195" s="171">
        <f t="shared" si="46"/>
        <v>6091</v>
      </c>
      <c r="H195" s="172">
        <f t="shared" si="47"/>
        <v>1.0847700317808591E-3</v>
      </c>
      <c r="I195" s="337"/>
      <c r="J195" s="223"/>
      <c r="K195" s="218"/>
      <c r="M195" s="364">
        <f t="shared" si="48"/>
        <v>0.28303903345724907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573">
        <f>'[51]Sch C'!D207</f>
        <v>40403</v>
      </c>
      <c r="D196" s="573">
        <f>'[51]Sch C'!F207</f>
        <v>-173</v>
      </c>
      <c r="E196" s="171">
        <f t="shared" si="45"/>
        <v>40230</v>
      </c>
      <c r="F196" s="665"/>
      <c r="G196" s="171">
        <f t="shared" si="46"/>
        <v>40230</v>
      </c>
      <c r="H196" s="172">
        <f t="shared" si="47"/>
        <v>7.1647181708330253E-3</v>
      </c>
      <c r="I196" s="337"/>
      <c r="J196" s="223"/>
      <c r="K196" s="218"/>
      <c r="M196" s="364">
        <f t="shared" si="48"/>
        <v>1.8694237918215613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573">
        <f>SUM(C164:C196)</f>
        <v>1030400</v>
      </c>
      <c r="D197" s="573">
        <f>SUM(D164:D196)</f>
        <v>143881</v>
      </c>
      <c r="E197" s="171">
        <f t="shared" ref="E197" si="49">SUM(E164:E196)</f>
        <v>1174281</v>
      </c>
      <c r="F197" s="171">
        <f>SUM(F164:F196)</f>
        <v>0</v>
      </c>
      <c r="G197" s="171">
        <f>SUM(G164:G196)</f>
        <v>1174281</v>
      </c>
      <c r="H197" s="172">
        <f>IF($G$208=0,0,G197/$G$208)</f>
        <v>0.20913229973561959</v>
      </c>
      <c r="I197" s="337"/>
      <c r="J197" s="168"/>
      <c r="K197" s="168"/>
      <c r="M197" s="364">
        <f>G197/G$228</f>
        <v>54.566960966542752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165"/>
      <c r="G198" s="165"/>
      <c r="H198" s="198"/>
      <c r="I198" s="341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1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573">
        <f>'[51]Sch C'!D211</f>
        <v>90994</v>
      </c>
      <c r="D200" s="573">
        <f>'[51]Sch C'!F211</f>
        <v>6199</v>
      </c>
      <c r="E200" s="171">
        <f t="shared" ref="E200:E205" si="50">C200+D200</f>
        <v>97193</v>
      </c>
      <c r="F200" s="171"/>
      <c r="G200" s="171">
        <f t="shared" ref="G200:G205" si="51">E200+F200</f>
        <v>97193</v>
      </c>
      <c r="H200" s="172">
        <f t="shared" ref="H200:H206" si="52">IF($G$208=0,0,G200/$G$208)</f>
        <v>1.7309481809042362E-2</v>
      </c>
      <c r="I200" s="337"/>
      <c r="J200" s="183">
        <v>5773</v>
      </c>
      <c r="K200" s="183">
        <v>6166</v>
      </c>
      <c r="M200" s="364">
        <f t="shared" ref="M200:M205" si="53">G200/G$228</f>
        <v>4.5164033457249069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573">
        <f>'[51]Sch C'!D212</f>
        <v>0</v>
      </c>
      <c r="D201" s="573">
        <f>'[51]Sch C'!F212</f>
        <v>13901</v>
      </c>
      <c r="E201" s="171">
        <f t="shared" si="50"/>
        <v>13901</v>
      </c>
      <c r="F201" s="171"/>
      <c r="G201" s="171">
        <f t="shared" si="51"/>
        <v>13901</v>
      </c>
      <c r="H201" s="172">
        <f t="shared" si="52"/>
        <v>2.4756835021812053E-3</v>
      </c>
      <c r="I201" s="337"/>
      <c r="J201" s="168"/>
      <c r="K201" s="168"/>
      <c r="M201" s="364">
        <f t="shared" si="53"/>
        <v>0.64595724907063201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573">
        <f>'[51]Sch C'!D213</f>
        <v>6537</v>
      </c>
      <c r="D202" s="573">
        <f>'[51]Sch C'!F213</f>
        <v>0</v>
      </c>
      <c r="E202" s="171">
        <f t="shared" si="50"/>
        <v>6537</v>
      </c>
      <c r="F202" s="171"/>
      <c r="G202" s="171">
        <f t="shared" si="51"/>
        <v>6537</v>
      </c>
      <c r="H202" s="172">
        <f t="shared" si="52"/>
        <v>1.1641999175425178E-3</v>
      </c>
      <c r="I202" s="337"/>
      <c r="J202" s="168"/>
      <c r="K202" s="168"/>
      <c r="M202" s="364">
        <f t="shared" si="53"/>
        <v>0.30376394052044609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573">
        <f>'[51]Sch C'!D214</f>
        <v>0</v>
      </c>
      <c r="D203" s="573">
        <f>'[51]Sch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>
        <f t="shared" si="53"/>
        <v>0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573">
        <f>'[51]Sch C'!D215</f>
        <v>0</v>
      </c>
      <c r="D204" s="573">
        <f>'[51]Sch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573">
        <f>'[51]Sch C'!D216</f>
        <v>6123</v>
      </c>
      <c r="D205" s="573">
        <f>'[51]Sch C'!F216</f>
        <v>0</v>
      </c>
      <c r="E205" s="171">
        <f t="shared" si="50"/>
        <v>6123</v>
      </c>
      <c r="F205" s="171"/>
      <c r="G205" s="171">
        <f t="shared" si="51"/>
        <v>6123</v>
      </c>
      <c r="H205" s="172">
        <f t="shared" si="52"/>
        <v>1.0904690370373009E-3</v>
      </c>
      <c r="I205" s="337"/>
      <c r="J205" s="168"/>
      <c r="K205" s="168"/>
      <c r="M205" s="364">
        <f t="shared" si="53"/>
        <v>0.2845260223048327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573">
        <f>SUM(C200:C205)</f>
        <v>103654</v>
      </c>
      <c r="D206" s="573">
        <f>SUM(D200:D205)</f>
        <v>20100</v>
      </c>
      <c r="E206" s="171">
        <f t="shared" ref="E206" si="54">SUM(E200:E205)</f>
        <v>123754</v>
      </c>
      <c r="F206" s="171">
        <f>SUM(F200:F205)</f>
        <v>0</v>
      </c>
      <c r="G206" s="171">
        <f>SUM(G200:G205)</f>
        <v>123754</v>
      </c>
      <c r="H206" s="172">
        <f t="shared" si="52"/>
        <v>2.2039834265803387E-2</v>
      </c>
      <c r="I206" s="337"/>
      <c r="J206" s="168"/>
      <c r="K206" s="168"/>
      <c r="M206" s="364">
        <f>G206/G$228</f>
        <v>5.7506505576208182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573">
        <f>SUM(C25:C206)/2</f>
        <v>6051265</v>
      </c>
      <c r="D208" s="573">
        <f>SUM(D25:D206)/2</f>
        <v>-49192</v>
      </c>
      <c r="E208" s="171">
        <f t="shared" ref="E208:F208" si="55">SUM(E25:E206)/2</f>
        <v>6002073</v>
      </c>
      <c r="F208" s="171">
        <f t="shared" si="55"/>
        <v>-387058</v>
      </c>
      <c r="G208" s="171">
        <f>SUM(G25:G206)/2</f>
        <v>5615015</v>
      </c>
      <c r="H208" s="172">
        <f>IF($G$208=0,0,G208/$G$208)</f>
        <v>1</v>
      </c>
      <c r="I208" s="337"/>
      <c r="J208" s="183">
        <f>SUM(J25:J200)</f>
        <v>136442</v>
      </c>
      <c r="K208" s="183">
        <f>SUM(K25:K200)</f>
        <v>145737</v>
      </c>
      <c r="M208" s="364">
        <f>G208/G$228</f>
        <v>260.92077137546471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573">
        <f>'[51]Sch C'!D221</f>
        <v>6051265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573">
        <f>C208-C211</f>
        <v>0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619"/>
      <c r="D213" s="232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573">
        <f>C21-C208</f>
        <v>467970</v>
      </c>
      <c r="D215" s="573">
        <f>D21-D208</f>
        <v>49192</v>
      </c>
      <c r="E215" s="171">
        <f t="shared" ref="E215:F215" si="56">E21-E208</f>
        <v>517162</v>
      </c>
      <c r="F215" s="171">
        <f t="shared" si="56"/>
        <v>387058</v>
      </c>
      <c r="G215" s="171">
        <f>G21-G208</f>
        <v>904220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653">
        <f>'[51]Sch D'!C9</f>
        <v>9632</v>
      </c>
      <c r="D219" s="653"/>
      <c r="E219" s="235">
        <f t="shared" ref="E219:G227" si="57">C219+D219</f>
        <v>9632</v>
      </c>
      <c r="F219" s="234"/>
      <c r="G219" s="235">
        <f t="shared" si="57"/>
        <v>9632</v>
      </c>
      <c r="H219" s="172">
        <f t="shared" ref="H219:H228" si="58">IF($G$228=0,0,G219/$G$228)</f>
        <v>0.44758364312267657</v>
      </c>
      <c r="I219" s="337"/>
      <c r="J219" s="168"/>
      <c r="K219" s="168"/>
    </row>
    <row r="220" spans="1:14">
      <c r="A220" s="163"/>
      <c r="B220" s="170" t="s">
        <v>217</v>
      </c>
      <c r="C220" s="653">
        <f>'[51]Sch D'!D9</f>
        <v>0</v>
      </c>
      <c r="D220" s="653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7"/>
      <c r="J220" s="168"/>
      <c r="K220" s="168"/>
    </row>
    <row r="221" spans="1:14">
      <c r="A221" s="163"/>
      <c r="B221" s="170" t="s">
        <v>72</v>
      </c>
      <c r="C221" s="653">
        <f>'[51]Sch D'!E9</f>
        <v>4490</v>
      </c>
      <c r="D221" s="653"/>
      <c r="E221" s="235">
        <f t="shared" si="59"/>
        <v>4490</v>
      </c>
      <c r="F221" s="234"/>
      <c r="G221" s="235">
        <f t="shared" si="57"/>
        <v>4490</v>
      </c>
      <c r="H221" s="172">
        <f t="shared" si="58"/>
        <v>0.20864312267657992</v>
      </c>
      <c r="I221" s="337"/>
      <c r="J221" s="168"/>
      <c r="K221" s="168"/>
    </row>
    <row r="222" spans="1:14">
      <c r="A222" s="163"/>
      <c r="B222" s="202" t="s">
        <v>334</v>
      </c>
      <c r="C222" s="653">
        <f>'[51]Sch D'!F9</f>
        <v>4508</v>
      </c>
      <c r="D222" s="653"/>
      <c r="E222" s="235">
        <f>C222+D222</f>
        <v>4508</v>
      </c>
      <c r="F222" s="234"/>
      <c r="G222" s="235">
        <f>E222+F222</f>
        <v>4508</v>
      </c>
      <c r="H222" s="172">
        <f t="shared" si="58"/>
        <v>0.20947955390334572</v>
      </c>
      <c r="I222" s="337"/>
      <c r="J222" s="168"/>
      <c r="K222" s="168"/>
    </row>
    <row r="223" spans="1:14">
      <c r="A223" s="163"/>
      <c r="B223" s="170" t="s">
        <v>73</v>
      </c>
      <c r="C223" s="653">
        <f>'[51]Sch D'!G9</f>
        <v>0</v>
      </c>
      <c r="D223" s="653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7"/>
      <c r="J223" s="168"/>
      <c r="K223" s="168"/>
    </row>
    <row r="224" spans="1:14">
      <c r="A224" s="163"/>
      <c r="B224" s="170" t="s">
        <v>74</v>
      </c>
      <c r="C224" s="653">
        <f>'[51]Sch D'!H9</f>
        <v>1484</v>
      </c>
      <c r="D224" s="653"/>
      <c r="E224" s="235">
        <f t="shared" si="59"/>
        <v>1484</v>
      </c>
      <c r="F224" s="234"/>
      <c r="G224" s="235">
        <f t="shared" si="57"/>
        <v>1484</v>
      </c>
      <c r="H224" s="172">
        <f t="shared" si="58"/>
        <v>6.8959107806691455E-2</v>
      </c>
      <c r="I224" s="337"/>
      <c r="J224" s="168"/>
      <c r="K224" s="168"/>
    </row>
    <row r="225" spans="1:11">
      <c r="A225" s="163"/>
      <c r="B225" s="170" t="s">
        <v>236</v>
      </c>
      <c r="C225" s="653">
        <f>'[51]Sch D'!I9</f>
        <v>0</v>
      </c>
      <c r="D225" s="653"/>
      <c r="E225" s="235">
        <f t="shared" si="59"/>
        <v>0</v>
      </c>
      <c r="F225" s="234"/>
      <c r="G225" s="235">
        <f t="shared" si="57"/>
        <v>0</v>
      </c>
      <c r="H225" s="172">
        <f t="shared" si="58"/>
        <v>0</v>
      </c>
      <c r="I225" s="337"/>
      <c r="J225" s="168"/>
      <c r="K225" s="168"/>
    </row>
    <row r="226" spans="1:11">
      <c r="A226" s="163"/>
      <c r="B226" s="170" t="s">
        <v>235</v>
      </c>
      <c r="C226" s="653">
        <f>'[51]Sch D'!J9</f>
        <v>1406</v>
      </c>
      <c r="D226" s="653"/>
      <c r="E226" s="235">
        <f>C226+D226</f>
        <v>1406</v>
      </c>
      <c r="F226" s="234"/>
      <c r="G226" s="235">
        <f>E226+F226</f>
        <v>1406</v>
      </c>
      <c r="H226" s="172">
        <f t="shared" si="58"/>
        <v>6.5334572490706316E-2</v>
      </c>
      <c r="I226" s="337"/>
      <c r="J226" s="168"/>
      <c r="K226" s="168"/>
    </row>
    <row r="227" spans="1:11">
      <c r="A227" s="163"/>
      <c r="B227" s="170" t="s">
        <v>179</v>
      </c>
      <c r="C227" s="653">
        <f>'[51]Sch D'!K9</f>
        <v>0</v>
      </c>
      <c r="D227" s="653"/>
      <c r="E227" s="235">
        <f t="shared" si="59"/>
        <v>0</v>
      </c>
      <c r="F227" s="234"/>
      <c r="G227" s="235">
        <f t="shared" si="57"/>
        <v>0</v>
      </c>
      <c r="H227" s="172">
        <f t="shared" si="58"/>
        <v>0</v>
      </c>
      <c r="I227" s="337"/>
      <c r="J227" s="168"/>
      <c r="K227" s="168"/>
    </row>
    <row r="228" spans="1:11" ht="13.5" thickBot="1">
      <c r="A228" s="163"/>
      <c r="B228" s="236" t="s">
        <v>75</v>
      </c>
      <c r="C228" s="653">
        <f>SUM(C219:C227)</f>
        <v>21520</v>
      </c>
      <c r="D228" s="653">
        <f>SUM(D219:D227)</f>
        <v>0</v>
      </c>
      <c r="E228" s="237">
        <f>SUM(E219:E227)</f>
        <v>21520</v>
      </c>
      <c r="F228" s="237">
        <f>SUM(F219:F227)</f>
        <v>0</v>
      </c>
      <c r="G228" s="237">
        <f>SUM(G219:G227)</f>
        <v>21520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620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619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654">
        <f>'[51]Sch D'!N22</f>
        <v>120</v>
      </c>
      <c r="D231" s="574"/>
      <c r="E231" s="235">
        <f>C231+D231</f>
        <v>120</v>
      </c>
      <c r="F231" s="235"/>
      <c r="G231" s="235">
        <f>E231+F231</f>
        <v>120</v>
      </c>
      <c r="H231" s="167"/>
      <c r="J231" s="168"/>
      <c r="K231" s="168"/>
    </row>
    <row r="232" spans="1:11">
      <c r="A232" s="163"/>
      <c r="B232" s="202" t="s">
        <v>290</v>
      </c>
      <c r="C232" s="654">
        <f>'[51]Sch D'!N24</f>
        <v>120</v>
      </c>
      <c r="D232" s="574"/>
      <c r="E232" s="235">
        <f>C232+D232</f>
        <v>120</v>
      </c>
      <c r="F232" s="235"/>
      <c r="G232" s="235">
        <f>E232+F232</f>
        <v>120</v>
      </c>
      <c r="H232" s="167"/>
      <c r="J232" s="168"/>
      <c r="K232" s="168"/>
    </row>
    <row r="233" spans="1:11">
      <c r="A233" s="163"/>
      <c r="B233" s="202" t="s">
        <v>76</v>
      </c>
      <c r="C233" s="654">
        <f>$C$4-$C$3+1</f>
        <v>365</v>
      </c>
      <c r="D233" s="489"/>
      <c r="E233" s="235">
        <f>C233+D233</f>
        <v>365</v>
      </c>
      <c r="F233" s="240"/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621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654">
        <f>'[51]Sch D'!N28</f>
        <v>43800</v>
      </c>
      <c r="D235" s="489"/>
      <c r="E235" s="234">
        <f>E231*E233</f>
        <v>43800</v>
      </c>
      <c r="F235" s="240"/>
      <c r="G235" s="234">
        <f>G231*G233</f>
        <v>43800</v>
      </c>
      <c r="H235" s="167"/>
      <c r="J235" s="168"/>
      <c r="K235" s="168"/>
    </row>
    <row r="236" spans="1:11" ht="26">
      <c r="A236" s="163"/>
      <c r="B236" s="244" t="s">
        <v>336</v>
      </c>
      <c r="C236" s="655">
        <f>'[51]Sch D'!N30</f>
        <v>0.49132420091324203</v>
      </c>
      <c r="D236" s="240"/>
      <c r="E236" s="245">
        <f>E228/E235</f>
        <v>0.49132420091324203</v>
      </c>
      <c r="F236" s="246"/>
      <c r="G236" s="245">
        <f>G228/G235</f>
        <v>0.49132420091324203</v>
      </c>
      <c r="H236" s="167"/>
      <c r="J236" s="168"/>
      <c r="K236" s="168"/>
    </row>
    <row r="237" spans="1:11" ht="26">
      <c r="A237" s="163"/>
      <c r="B237" s="244" t="s">
        <v>337</v>
      </c>
      <c r="C237" s="655">
        <f>'[51]Sch D'!N32</f>
        <v>0.21990867579908677</v>
      </c>
      <c r="D237" s="240"/>
      <c r="E237" s="245">
        <f>(E219+E220)/E235</f>
        <v>0.21990867579908677</v>
      </c>
      <c r="F237" s="246"/>
      <c r="G237" s="245">
        <f>(G219+G220)/G235</f>
        <v>0.21990867579908677</v>
      </c>
      <c r="H237" s="167"/>
      <c r="J237" s="168"/>
      <c r="K237" s="168"/>
    </row>
    <row r="238" spans="1:11" ht="26">
      <c r="A238" s="163"/>
      <c r="B238" s="244" t="s">
        <v>338</v>
      </c>
      <c r="C238" s="655">
        <f>'[51]Sch D'!N34</f>
        <v>0.44758364312267657</v>
      </c>
      <c r="D238" s="240"/>
      <c r="E238" s="245">
        <f>(E237/E236)</f>
        <v>0.44758364312267657</v>
      </c>
      <c r="F238" s="246"/>
      <c r="G238" s="245">
        <f>(G237/G236)</f>
        <v>0.44758364312267657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73">
        <f>'[51]Sch B'!C85</f>
        <v>163.15415019762847</v>
      </c>
    </row>
    <row r="242" spans="2:7">
      <c r="F242" s="142" t="s">
        <v>341</v>
      </c>
      <c r="G242" s="573">
        <f>'[51]Sch B'!E85</f>
        <v>204.1866028708134</v>
      </c>
    </row>
    <row r="243" spans="2:7">
      <c r="F243" s="142" t="s">
        <v>342</v>
      </c>
      <c r="G243" s="573">
        <f>'[51]Sch B'!G85</f>
        <v>209.32634730538922</v>
      </c>
    </row>
    <row r="244" spans="2:7">
      <c r="F244" s="142" t="s">
        <v>343</v>
      </c>
      <c r="G244" s="573">
        <f>'[51]Sch B'!I85</f>
        <v>174.80973451327435</v>
      </c>
    </row>
    <row r="245" spans="2:7">
      <c r="F245" s="142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34">
    <tabColor rgb="FFE28CAB"/>
  </sheetPr>
  <dimension ref="A1:Q245"/>
  <sheetViews>
    <sheetView showGridLines="0" zoomScale="90" zoomScaleNormal="90" workbookViewId="0">
      <pane xSplit="2" ySplit="7" topLeftCell="C8" activePane="bottomRight" state="frozen"/>
      <selection activeCell="N1" sqref="N1"/>
      <selection pane="topRight" activeCell="N1" sqref="N1"/>
      <selection pane="bottomLeft" activeCell="N1" sqref="N1"/>
      <selection pane="bottomRight"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478"/>
      <c r="E1" s="478"/>
      <c r="F1" s="478"/>
      <c r="G1" s="478"/>
      <c r="H1" s="478"/>
      <c r="I1" s="479"/>
    </row>
    <row r="2" spans="1:14" ht="23">
      <c r="B2" s="143" t="s">
        <v>189</v>
      </c>
      <c r="C2" s="247" t="s">
        <v>389</v>
      </c>
      <c r="D2" s="247"/>
      <c r="E2" s="144"/>
    </row>
    <row r="3" spans="1:14">
      <c r="A3" s="145"/>
      <c r="B3" s="140" t="s">
        <v>79</v>
      </c>
      <c r="C3" s="495">
        <v>41821</v>
      </c>
      <c r="D3" s="144"/>
      <c r="E3" s="147"/>
    </row>
    <row r="4" spans="1:14">
      <c r="A4" s="145"/>
      <c r="B4" s="148" t="s">
        <v>80</v>
      </c>
      <c r="C4" s="495">
        <v>42185</v>
      </c>
      <c r="D4" s="144"/>
      <c r="E4" s="149"/>
      <c r="G4" s="150"/>
    </row>
    <row r="5" spans="1:14">
      <c r="A5" s="145"/>
      <c r="B5" s="148"/>
      <c r="C5" s="151"/>
      <c r="D5" s="144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144"/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490">
        <f>'[52]Sch B'!E10</f>
        <v>2812302</v>
      </c>
      <c r="D11" s="490">
        <f>'[52]Sch B'!G10</f>
        <v>0</v>
      </c>
      <c r="E11" s="171">
        <f>C11+D11</f>
        <v>2812302</v>
      </c>
      <c r="F11" s="171"/>
      <c r="G11" s="171">
        <f t="shared" ref="G11:G20" si="0">E11+F11</f>
        <v>2812302</v>
      </c>
      <c r="H11" s="172">
        <f t="shared" ref="H11:H21" si="1">IF($G$21=0,0,G11/$G$21)</f>
        <v>0.67258053059757339</v>
      </c>
      <c r="I11" s="337"/>
      <c r="J11" s="368" t="s">
        <v>344</v>
      </c>
      <c r="K11" s="369">
        <f>G21</f>
        <v>4181361</v>
      </c>
      <c r="M11" s="359">
        <f>IFERROR(G11/G219,0)</f>
        <v>175.374282863557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490">
        <f>'[52]Sch B'!E15</f>
        <v>0</v>
      </c>
      <c r="D12" s="490">
        <f>'[52]Sch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7"/>
      <c r="J12" s="370" t="s">
        <v>345</v>
      </c>
      <c r="K12" s="371">
        <f>G208</f>
        <v>3952356.1032623276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490">
        <f>'[52]Sch B'!E21</f>
        <v>581129</v>
      </c>
      <c r="D13" s="490">
        <f>'[52]Sch B'!G21</f>
        <v>0</v>
      </c>
      <c r="E13" s="171">
        <f t="shared" si="2"/>
        <v>581129</v>
      </c>
      <c r="F13" s="171"/>
      <c r="G13" s="171">
        <f t="shared" si="0"/>
        <v>581129</v>
      </c>
      <c r="H13" s="172">
        <f t="shared" si="1"/>
        <v>0.13898082466450518</v>
      </c>
      <c r="I13" s="337"/>
      <c r="J13" s="370" t="s">
        <v>346</v>
      </c>
      <c r="K13" s="371">
        <f>G228</f>
        <v>20285</v>
      </c>
      <c r="M13" s="359">
        <f t="shared" si="3"/>
        <v>497.11633875106929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490">
        <f>'[52]Sch B'!E27</f>
        <v>428473</v>
      </c>
      <c r="D14" s="490">
        <f>'[52]Sch B'!G27</f>
        <v>0</v>
      </c>
      <c r="E14" s="171">
        <f t="shared" si="2"/>
        <v>428473</v>
      </c>
      <c r="F14" s="175"/>
      <c r="G14" s="175">
        <f>E14+F14</f>
        <v>428473</v>
      </c>
      <c r="H14" s="176">
        <f t="shared" si="1"/>
        <v>0.10247213766044118</v>
      </c>
      <c r="I14" s="338"/>
      <c r="J14" s="370" t="s">
        <v>347</v>
      </c>
      <c r="K14" s="371">
        <f>G231</f>
        <v>99</v>
      </c>
      <c r="M14" s="359">
        <f t="shared" si="3"/>
        <v>368.10395189003435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490">
        <f>'[52]Sch B'!E32</f>
        <v>0</v>
      </c>
      <c r="D15" s="490">
        <f>'[52]Sch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7"/>
      <c r="J15" s="370" t="s">
        <v>348</v>
      </c>
      <c r="K15" s="371">
        <f>G235</f>
        <v>36135</v>
      </c>
      <c r="M15" s="359">
        <f t="shared" si="3"/>
        <v>0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490">
        <f>'[52]Sch B'!E37</f>
        <v>145205</v>
      </c>
      <c r="D16" s="490">
        <f>'[52]Sch B'!G37</f>
        <v>0</v>
      </c>
      <c r="E16" s="171">
        <f t="shared" si="2"/>
        <v>145205</v>
      </c>
      <c r="F16" s="171"/>
      <c r="G16" s="171">
        <f t="shared" si="0"/>
        <v>145205</v>
      </c>
      <c r="H16" s="172">
        <f t="shared" si="1"/>
        <v>3.4726731320256728E-2</v>
      </c>
      <c r="I16" s="337"/>
      <c r="J16" s="372"/>
      <c r="K16" s="371"/>
      <c r="M16" s="359">
        <f t="shared" si="3"/>
        <v>213.22320117474302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490">
        <f>'[52]Sch B'!E42</f>
        <v>0</v>
      </c>
      <c r="D17" s="490">
        <f>'[52]Sch B'!G42</f>
        <v>0</v>
      </c>
      <c r="E17" s="171">
        <f t="shared" si="2"/>
        <v>0</v>
      </c>
      <c r="F17" s="171"/>
      <c r="G17" s="171">
        <f>E17+F17</f>
        <v>0</v>
      </c>
      <c r="H17" s="172">
        <f t="shared" si="1"/>
        <v>0</v>
      </c>
      <c r="I17" s="337"/>
      <c r="J17" s="370" t="s">
        <v>156</v>
      </c>
      <c r="K17" s="371">
        <f>J208</f>
        <v>98473</v>
      </c>
      <c r="M17" s="359">
        <f t="shared" si="3"/>
        <v>0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490">
        <f>'[52]Sch B'!E47</f>
        <v>210732</v>
      </c>
      <c r="D18" s="490">
        <f>'[52]Sch B'!G47</f>
        <v>0</v>
      </c>
      <c r="E18" s="171">
        <f t="shared" si="2"/>
        <v>210732</v>
      </c>
      <c r="F18" s="171"/>
      <c r="G18" s="171">
        <f>E18+F18</f>
        <v>210732</v>
      </c>
      <c r="H18" s="172">
        <f t="shared" si="1"/>
        <v>5.0397944592681668E-2</v>
      </c>
      <c r="I18" s="337"/>
      <c r="J18" s="373" t="s">
        <v>252</v>
      </c>
      <c r="K18" s="374">
        <f>K208</f>
        <v>104235</v>
      </c>
      <c r="M18" s="359">
        <f t="shared" si="3"/>
        <v>170.6331983805668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490">
        <f>'[52]Sch B'!E52</f>
        <v>0</v>
      </c>
      <c r="D19" s="490">
        <f>'[52]Sch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337"/>
      <c r="J19" s="168"/>
      <c r="K19" s="168"/>
      <c r="M19" s="359">
        <f t="shared" si="3"/>
        <v>0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490">
        <f>'[52]Sch B'!E67</f>
        <v>3520</v>
      </c>
      <c r="D20" s="490">
        <f>'[52]Sch B'!G67</f>
        <v>0</v>
      </c>
      <c r="E20" s="171">
        <f t="shared" si="2"/>
        <v>3520</v>
      </c>
      <c r="F20" s="171"/>
      <c r="G20" s="171">
        <f t="shared" si="0"/>
        <v>3520</v>
      </c>
      <c r="H20" s="172">
        <f t="shared" si="1"/>
        <v>8.4183116454188004E-4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490">
        <f>SUM(C11:C20)</f>
        <v>4181361</v>
      </c>
      <c r="D21" s="490">
        <f>SUM(D11:D20)</f>
        <v>0</v>
      </c>
      <c r="E21" s="171">
        <f>SUM(E11:E20)</f>
        <v>4181361</v>
      </c>
      <c r="F21" s="171">
        <f>SUM(F11:F20)</f>
        <v>0</v>
      </c>
      <c r="G21" s="171">
        <f>SUM(G11:G20)</f>
        <v>4181361</v>
      </c>
      <c r="H21" s="172">
        <f t="shared" si="1"/>
        <v>1</v>
      </c>
      <c r="I21" s="337"/>
      <c r="J21" s="168"/>
      <c r="K21" s="168"/>
      <c r="M21" s="359">
        <f>IFERROR(G21/G228,0)</f>
        <v>206.13068770027112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4">
      <c r="A24" s="181" t="s">
        <v>161</v>
      </c>
      <c r="B24" s="148" t="s">
        <v>12</v>
      </c>
      <c r="M24" s="363"/>
      <c r="N24" s="363"/>
    </row>
    <row r="25" spans="1:14" s="167" customFormat="1">
      <c r="A25" s="169" t="s">
        <v>83</v>
      </c>
      <c r="B25" s="170" t="s">
        <v>14</v>
      </c>
      <c r="C25" s="490">
        <f>'[52]Sch C'!D10</f>
        <v>103540</v>
      </c>
      <c r="D25" s="490">
        <f>'[52]Sch C'!F10</f>
        <v>6058</v>
      </c>
      <c r="E25" s="171">
        <f t="shared" ref="E25:E60" si="4">C25+D25</f>
        <v>109598</v>
      </c>
      <c r="F25" s="171"/>
      <c r="G25" s="182">
        <f>E25+F25</f>
        <v>109598</v>
      </c>
      <c r="H25" s="172">
        <f>IF($G$208=0,0,G25/$G$208)</f>
        <v>2.772978879851852E-2</v>
      </c>
      <c r="I25" s="337"/>
      <c r="J25" s="183">
        <v>2476</v>
      </c>
      <c r="K25" s="183">
        <v>2621</v>
      </c>
      <c r="M25" s="359">
        <f>G25/G$228</f>
        <v>5.4029085531180678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490">
        <f>'[52]Sch C'!D11</f>
        <v>0</v>
      </c>
      <c r="D26" s="490">
        <f>'[52]Sch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490">
        <f>'[52]Sch C'!D12</f>
        <v>192492</v>
      </c>
      <c r="D27" s="490">
        <f>'[52]Sch C'!F12</f>
        <v>306.15999999999985</v>
      </c>
      <c r="E27" s="171">
        <f t="shared" si="4"/>
        <v>192798.16</v>
      </c>
      <c r="F27" s="171"/>
      <c r="G27" s="171">
        <f t="shared" si="5"/>
        <v>192798.16</v>
      </c>
      <c r="H27" s="172">
        <f t="shared" si="6"/>
        <v>4.8780564038969521E-2</v>
      </c>
      <c r="I27" s="337"/>
      <c r="J27" s="185">
        <v>8515</v>
      </c>
      <c r="K27" s="185">
        <v>9013</v>
      </c>
      <c r="M27" s="359">
        <f t="shared" si="7"/>
        <v>9.5044693122997295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490">
        <f>'[52]Sch C'!D13</f>
        <v>421956</v>
      </c>
      <c r="D28" s="490">
        <f>'[52]Sch C'!F13</f>
        <v>-378635.65187500446</v>
      </c>
      <c r="E28" s="171">
        <f t="shared" si="4"/>
        <v>43320.348124995537</v>
      </c>
      <c r="F28" s="171"/>
      <c r="G28" s="171">
        <f t="shared" si="5"/>
        <v>43320.348124995537</v>
      </c>
      <c r="H28" s="172">
        <f t="shared" si="6"/>
        <v>1.0960638918451285E-2</v>
      </c>
      <c r="I28" s="337"/>
      <c r="J28" s="168"/>
      <c r="K28" s="168"/>
      <c r="M28" s="359">
        <f t="shared" si="7"/>
        <v>2.1355853155038469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490">
        <f>'[52]Sch C'!D14</f>
        <v>0</v>
      </c>
      <c r="D29" s="490">
        <f>'[52]Sch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490">
        <f>'[52]Sch C'!D15</f>
        <v>0</v>
      </c>
      <c r="D30" s="490">
        <f>'[52]Sch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7"/>
      <c r="J30" s="168"/>
      <c r="K30" s="168"/>
      <c r="M30" s="359">
        <f t="shared" si="7"/>
        <v>0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490">
        <f>'[52]Sch C'!D16</f>
        <v>208735</v>
      </c>
      <c r="D31" s="490">
        <f>'[52]Sch C'!F16</f>
        <v>110169.10545313143</v>
      </c>
      <c r="E31" s="171">
        <f t="shared" si="4"/>
        <v>318904.10545313143</v>
      </c>
      <c r="F31" s="171"/>
      <c r="G31" s="171">
        <f t="shared" si="5"/>
        <v>318904.10545313143</v>
      </c>
      <c r="H31" s="172">
        <f t="shared" si="6"/>
        <v>8.0687088187702441E-2</v>
      </c>
      <c r="I31" s="337"/>
      <c r="J31" s="168"/>
      <c r="K31" s="168"/>
      <c r="M31" s="359">
        <f t="shared" si="7"/>
        <v>15.721178479326174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490">
        <f>'[52]Sch C'!D17</f>
        <v>0</v>
      </c>
      <c r="D32" s="490">
        <f>'[52]Sch C'!F17</f>
        <v>0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7"/>
      <c r="J32" s="168"/>
      <c r="K32" s="168"/>
      <c r="M32" s="359">
        <f t="shared" si="7"/>
        <v>0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490">
        <f>'[52]Sch C'!D18</f>
        <v>11969</v>
      </c>
      <c r="D33" s="490">
        <f>'[52]Sch C'!F18</f>
        <v>0</v>
      </c>
      <c r="E33" s="171">
        <f t="shared" si="4"/>
        <v>11969</v>
      </c>
      <c r="F33" s="171"/>
      <c r="G33" s="171">
        <f t="shared" si="5"/>
        <v>11969</v>
      </c>
      <c r="H33" s="172">
        <f t="shared" si="6"/>
        <v>3.0283202442514296E-3</v>
      </c>
      <c r="I33" s="337"/>
      <c r="J33" s="168"/>
      <c r="K33" s="168"/>
      <c r="M33" s="359">
        <f t="shared" si="7"/>
        <v>0.59004190288390435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490">
        <f>'[52]Sch C'!D19</f>
        <v>11692</v>
      </c>
      <c r="D34" s="490">
        <f>'[52]Sch C'!F19</f>
        <v>-1408.8096</v>
      </c>
      <c r="E34" s="171">
        <f t="shared" si="4"/>
        <v>10283.190399999999</v>
      </c>
      <c r="F34" s="171"/>
      <c r="G34" s="171">
        <f t="shared" si="5"/>
        <v>10283.190399999999</v>
      </c>
      <c r="H34" s="172">
        <f t="shared" si="6"/>
        <v>2.6017874228266317E-3</v>
      </c>
      <c r="I34" s="337"/>
      <c r="J34" s="168"/>
      <c r="K34" s="168"/>
      <c r="M34" s="359">
        <f t="shared" si="7"/>
        <v>0.50693568646783338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490">
        <f>'[52]Sch C'!D20</f>
        <v>10943</v>
      </c>
      <c r="D35" s="490">
        <f>'[52]Sch C'!F20</f>
        <v>0</v>
      </c>
      <c r="E35" s="171">
        <f t="shared" si="4"/>
        <v>10943</v>
      </c>
      <c r="F35" s="171"/>
      <c r="G35" s="171">
        <f t="shared" si="5"/>
        <v>10943</v>
      </c>
      <c r="H35" s="172">
        <f t="shared" si="6"/>
        <v>2.7687282507179709E-3</v>
      </c>
      <c r="I35" s="337"/>
      <c r="J35" s="168"/>
      <c r="K35" s="168"/>
      <c r="M35" s="359">
        <f t="shared" si="7"/>
        <v>0.53946265713581465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490">
        <f>'[52]Sch C'!D21</f>
        <v>7922</v>
      </c>
      <c r="D36" s="490">
        <f>'[52]Sch C'!F21</f>
        <v>0</v>
      </c>
      <c r="E36" s="171">
        <f t="shared" si="4"/>
        <v>7922</v>
      </c>
      <c r="F36" s="171"/>
      <c r="G36" s="171">
        <f t="shared" si="5"/>
        <v>7922</v>
      </c>
      <c r="H36" s="172">
        <f t="shared" si="6"/>
        <v>2.0043740475361202E-3</v>
      </c>
      <c r="I36" s="337"/>
      <c r="J36" s="168"/>
      <c r="K36" s="168"/>
      <c r="M36" s="359">
        <f t="shared" si="7"/>
        <v>0.3905348779886616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490">
        <f>'[52]Sch C'!D22</f>
        <v>0</v>
      </c>
      <c r="D37" s="490">
        <f>'[52]Sch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490">
        <f>'[52]Sch C'!D23</f>
        <v>9426</v>
      </c>
      <c r="D38" s="490">
        <f>'[52]Sch C'!F23</f>
        <v>0</v>
      </c>
      <c r="E38" s="171">
        <f t="shared" si="4"/>
        <v>9426</v>
      </c>
      <c r="F38" s="171"/>
      <c r="G38" s="171">
        <f t="shared" si="5"/>
        <v>9426</v>
      </c>
      <c r="H38" s="172">
        <f t="shared" si="6"/>
        <v>2.3849065604740556E-3</v>
      </c>
      <c r="I38" s="337"/>
      <c r="J38" s="168"/>
      <c r="K38" s="168"/>
      <c r="M38" s="359">
        <f t="shared" si="7"/>
        <v>0.46467833374414591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490">
        <f>'[52]Sch C'!D24</f>
        <v>43291</v>
      </c>
      <c r="D39" s="490">
        <f>'[52]Sch C'!F24</f>
        <v>-10200</v>
      </c>
      <c r="E39" s="171">
        <f t="shared" si="4"/>
        <v>33091</v>
      </c>
      <c r="F39" s="171"/>
      <c r="G39" s="171">
        <f t="shared" si="5"/>
        <v>33091</v>
      </c>
      <c r="H39" s="172">
        <f t="shared" si="6"/>
        <v>8.3724743255513458E-3</v>
      </c>
      <c r="I39" s="337"/>
      <c r="J39" s="168"/>
      <c r="K39" s="168"/>
      <c r="M39" s="359">
        <f t="shared" si="7"/>
        <v>1.6313039191520828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490">
        <f>'[52]Sch C'!D25</f>
        <v>0</v>
      </c>
      <c r="D40" s="490">
        <f>'[52]Sch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337"/>
      <c r="J40" s="168"/>
      <c r="K40" s="168"/>
      <c r="M40" s="359">
        <f t="shared" si="7"/>
        <v>0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490">
        <f>'[52]Sch C'!D26</f>
        <v>274594</v>
      </c>
      <c r="D41" s="490">
        <f>'[52]Sch C'!F26</f>
        <v>0</v>
      </c>
      <c r="E41" s="171">
        <f t="shared" si="4"/>
        <v>274594</v>
      </c>
      <c r="F41" s="171"/>
      <c r="G41" s="171">
        <f t="shared" si="5"/>
        <v>274594</v>
      </c>
      <c r="H41" s="172">
        <f t="shared" si="6"/>
        <v>6.9476027166010285E-2</v>
      </c>
      <c r="I41" s="337"/>
      <c r="J41" s="168"/>
      <c r="K41" s="168"/>
      <c r="M41" s="359">
        <f t="shared" si="7"/>
        <v>13.536800591570126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490">
        <f>'[52]Sch C'!D27</f>
        <v>0</v>
      </c>
      <c r="D42" s="490">
        <f>'[52]Sch C'!F27</f>
        <v>0</v>
      </c>
      <c r="E42" s="171">
        <f t="shared" si="4"/>
        <v>0</v>
      </c>
      <c r="F42" s="171"/>
      <c r="G42" s="171">
        <f t="shared" si="5"/>
        <v>0</v>
      </c>
      <c r="H42" s="172">
        <f t="shared" si="6"/>
        <v>0</v>
      </c>
      <c r="I42" s="337"/>
      <c r="J42" s="168"/>
      <c r="K42" s="168"/>
      <c r="M42" s="359">
        <f t="shared" si="7"/>
        <v>0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490">
        <f>'[52]Sch C'!D28</f>
        <v>0</v>
      </c>
      <c r="D43" s="490">
        <f>'[52]Sch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490">
        <f>'[52]Sch C'!D29</f>
        <v>25135</v>
      </c>
      <c r="D44" s="490">
        <f>'[52]Sch C'!F29</f>
        <v>-25135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490">
        <f>'[52]Sch C'!D30</f>
        <v>0</v>
      </c>
      <c r="D45" s="490">
        <f>'[52]Sch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490">
        <f>'[52]Sch C'!D31</f>
        <v>30291</v>
      </c>
      <c r="D46" s="490">
        <f>'[52]Sch C'!F31</f>
        <v>0</v>
      </c>
      <c r="E46" s="171">
        <f t="shared" si="4"/>
        <v>30291</v>
      </c>
      <c r="F46" s="171"/>
      <c r="G46" s="171">
        <f t="shared" si="5"/>
        <v>30291</v>
      </c>
      <c r="H46" s="172">
        <f t="shared" si="6"/>
        <v>7.6640361365711467E-3</v>
      </c>
      <c r="I46" s="337"/>
      <c r="J46" s="168"/>
      <c r="K46" s="168"/>
      <c r="M46" s="359">
        <f t="shared" si="7"/>
        <v>1.4932708898200642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490">
        <f>'[52]Sch C'!D32</f>
        <v>86105</v>
      </c>
      <c r="D47" s="490">
        <f>'[52]Sch C'!F32</f>
        <v>-25831.290715799514</v>
      </c>
      <c r="E47" s="171">
        <f t="shared" si="4"/>
        <v>60273.709284200486</v>
      </c>
      <c r="F47" s="171"/>
      <c r="G47" s="171">
        <f t="shared" si="5"/>
        <v>60273.709284200486</v>
      </c>
      <c r="H47" s="172">
        <f t="shared" si="6"/>
        <v>1.5250070517292144E-2</v>
      </c>
      <c r="I47" s="337"/>
      <c r="J47" s="168"/>
      <c r="K47" s="168"/>
      <c r="M47" s="359">
        <f t="shared" si="7"/>
        <v>2.9713438148484341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490">
        <f>'[52]Sch C'!D33</f>
        <v>0</v>
      </c>
      <c r="D48" s="490">
        <f>'[52]Sch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490">
        <f>'[52]Sch C'!D34</f>
        <v>0</v>
      </c>
      <c r="D49" s="490">
        <f>'[52]Sch C'!F34</f>
        <v>0</v>
      </c>
      <c r="E49" s="171">
        <f t="shared" si="4"/>
        <v>0</v>
      </c>
      <c r="F49" s="171"/>
      <c r="G49" s="171">
        <f t="shared" si="5"/>
        <v>0</v>
      </c>
      <c r="H49" s="172">
        <f t="shared" si="6"/>
        <v>0</v>
      </c>
      <c r="I49" s="337"/>
      <c r="J49" s="168"/>
      <c r="K49" s="168"/>
      <c r="M49" s="359">
        <f t="shared" si="7"/>
        <v>0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490">
        <f>'[52]Sch C'!D35</f>
        <v>25</v>
      </c>
      <c r="D50" s="490">
        <f>'[52]Sch C'!F35</f>
        <v>-25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490">
        <f>'[52]Sch C'!D36</f>
        <v>0</v>
      </c>
      <c r="D51" s="490">
        <f>'[52]Sch C'!F36</f>
        <v>0</v>
      </c>
      <c r="E51" s="171">
        <f t="shared" si="4"/>
        <v>0</v>
      </c>
      <c r="F51" s="171"/>
      <c r="G51" s="171">
        <f t="shared" si="5"/>
        <v>0</v>
      </c>
      <c r="H51" s="172">
        <f t="shared" si="6"/>
        <v>0</v>
      </c>
      <c r="I51" s="337"/>
      <c r="J51" s="183">
        <v>0</v>
      </c>
      <c r="K51" s="183">
        <v>0</v>
      </c>
      <c r="M51" s="359">
        <f t="shared" si="7"/>
        <v>0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490">
        <f>'[52]Sch C'!D37</f>
        <v>0</v>
      </c>
      <c r="D52" s="490">
        <f>'[52]Sch C'!F37</f>
        <v>0</v>
      </c>
      <c r="E52" s="171">
        <f t="shared" si="4"/>
        <v>0</v>
      </c>
      <c r="F52" s="171"/>
      <c r="G52" s="171">
        <f t="shared" si="5"/>
        <v>0</v>
      </c>
      <c r="H52" s="172">
        <f t="shared" si="6"/>
        <v>0</v>
      </c>
      <c r="I52" s="337"/>
      <c r="J52" s="168"/>
      <c r="K52" s="168"/>
      <c r="M52" s="359">
        <f t="shared" si="7"/>
        <v>0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490">
        <f>'[52]Sch C'!D38</f>
        <v>300</v>
      </c>
      <c r="D53" s="490">
        <f>'[52]Sch C'!F38</f>
        <v>-300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7"/>
      <c r="J53" s="168"/>
      <c r="K53" s="168"/>
      <c r="M53" s="359">
        <f t="shared" si="7"/>
        <v>0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490">
        <f>'[52]Sch C'!D39</f>
        <v>2309</v>
      </c>
      <c r="D54" s="490">
        <f>'[52]Sch C'!F39</f>
        <v>0</v>
      </c>
      <c r="E54" s="171">
        <f t="shared" si="4"/>
        <v>2309</v>
      </c>
      <c r="F54" s="171"/>
      <c r="G54" s="171">
        <f t="shared" si="5"/>
        <v>2309</v>
      </c>
      <c r="H54" s="172">
        <f t="shared" si="6"/>
        <v>5.8420849226974278E-4</v>
      </c>
      <c r="I54" s="337"/>
      <c r="J54" s="168"/>
      <c r="K54" s="168"/>
      <c r="M54" s="359">
        <f t="shared" si="7"/>
        <v>0.11382795168843973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490">
        <f>'[52]Sch C'!D40</f>
        <v>5564</v>
      </c>
      <c r="D55" s="490">
        <f>'[52]Sch C'!F40</f>
        <v>0</v>
      </c>
      <c r="E55" s="171">
        <f t="shared" si="4"/>
        <v>5564</v>
      </c>
      <c r="F55" s="171"/>
      <c r="G55" s="171">
        <f t="shared" si="5"/>
        <v>5564</v>
      </c>
      <c r="H55" s="172">
        <f t="shared" si="6"/>
        <v>1.407767886959224E-3</v>
      </c>
      <c r="I55" s="337"/>
      <c r="J55" s="168"/>
      <c r="K55" s="168"/>
      <c r="M55" s="359">
        <f t="shared" si="7"/>
        <v>0.27429134828691148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490">
        <f>'[52]Sch C'!D41</f>
        <v>10756</v>
      </c>
      <c r="D56" s="490">
        <f>'[52]Sch C'!F41</f>
        <v>0</v>
      </c>
      <c r="E56" s="171">
        <f t="shared" si="4"/>
        <v>10756</v>
      </c>
      <c r="F56" s="171"/>
      <c r="G56" s="171">
        <f t="shared" si="5"/>
        <v>10756</v>
      </c>
      <c r="H56" s="172">
        <f t="shared" si="6"/>
        <v>2.7214147002396502E-3</v>
      </c>
      <c r="I56" s="337"/>
      <c r="J56" s="168"/>
      <c r="K56" s="168"/>
      <c r="M56" s="359">
        <f t="shared" si="7"/>
        <v>0.53024402267685478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490">
        <f>'[52]Sch C'!D42</f>
        <v>1787</v>
      </c>
      <c r="D57" s="490">
        <f>'[52]Sch C'!F42</f>
        <v>0</v>
      </c>
      <c r="E57" s="171">
        <f t="shared" si="4"/>
        <v>1787</v>
      </c>
      <c r="F57" s="171"/>
      <c r="G57" s="171">
        <f t="shared" si="5"/>
        <v>1787</v>
      </c>
      <c r="H57" s="172">
        <f t="shared" si="6"/>
        <v>4.5213537275271991E-4</v>
      </c>
      <c r="I57" s="337"/>
      <c r="J57" s="168"/>
      <c r="K57" s="168"/>
      <c r="M57" s="359">
        <f t="shared" si="7"/>
        <v>8.8094651220113382E-2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490">
        <f>'[52]Sch C'!D43</f>
        <v>4615</v>
      </c>
      <c r="D58" s="490">
        <f>'[52]Sch C'!F43</f>
        <v>0</v>
      </c>
      <c r="E58" s="171">
        <f t="shared" si="4"/>
        <v>4615</v>
      </c>
      <c r="F58" s="171"/>
      <c r="G58" s="171">
        <f t="shared" si="5"/>
        <v>4615</v>
      </c>
      <c r="H58" s="172">
        <f t="shared" si="6"/>
        <v>1.1676579436227209E-3</v>
      </c>
      <c r="I58" s="337"/>
      <c r="J58" s="168"/>
      <c r="K58" s="168"/>
      <c r="M58" s="359">
        <f t="shared" si="7"/>
        <v>0.2275080108454523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490">
        <f>'[52]Sch C'!D44</f>
        <v>0</v>
      </c>
      <c r="D59" s="490">
        <f>'[52]Sch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7"/>
      <c r="J59" s="168"/>
      <c r="K59" s="168"/>
      <c r="M59" s="359">
        <f t="shared" si="7"/>
        <v>0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490">
        <f>'[52]Sch C'!D45</f>
        <v>9624</v>
      </c>
      <c r="D60" s="490">
        <f>'[52]Sch C'!F45</f>
        <v>-3478.41</v>
      </c>
      <c r="E60" s="171">
        <f t="shared" si="4"/>
        <v>6145.59</v>
      </c>
      <c r="F60" s="171"/>
      <c r="G60" s="171">
        <f t="shared" si="5"/>
        <v>6145.59</v>
      </c>
      <c r="H60" s="172">
        <f t="shared" si="6"/>
        <v>1.5549180892195792E-3</v>
      </c>
      <c r="I60" s="337"/>
      <c r="J60" s="168"/>
      <c r="K60" s="168"/>
      <c r="M60" s="359">
        <f t="shared" si="7"/>
        <v>0.30296228740448611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490">
        <f>SUM(C25:C60)</f>
        <v>1473071</v>
      </c>
      <c r="D61" s="490">
        <f>SUM(D25:D60)</f>
        <v>-328480.8967376725</v>
      </c>
      <c r="E61" s="171">
        <f t="shared" ref="E61:F61" si="8">SUM(E25:E60)</f>
        <v>1144590.1032623276</v>
      </c>
      <c r="F61" s="171">
        <f t="shared" si="8"/>
        <v>0</v>
      </c>
      <c r="G61" s="171">
        <f>SUM(G25:G60)</f>
        <v>1144590.1032623276</v>
      </c>
      <c r="H61" s="186">
        <f t="shared" si="6"/>
        <v>0.28959690709993657</v>
      </c>
      <c r="I61" s="339"/>
      <c r="J61" s="168"/>
      <c r="K61" s="168"/>
      <c r="M61" s="364">
        <f>G61/G$228</f>
        <v>56.425442605981146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I62" s="340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490">
        <f>'[52]Sch C'!D57</f>
        <v>136000</v>
      </c>
      <c r="D64" s="490">
        <f>'[52]Sch C'!F57</f>
        <v>0</v>
      </c>
      <c r="E64" s="171">
        <f t="shared" ref="E64:E78" si="9">C64+D64</f>
        <v>136000</v>
      </c>
      <c r="F64" s="171"/>
      <c r="G64" s="171">
        <f t="shared" ref="G64:G78" si="10">E64+F64</f>
        <v>136000</v>
      </c>
      <c r="H64" s="172">
        <f t="shared" ref="H64:H79" si="11">IF($G$208=0,0,G64/$G$208)</f>
        <v>3.4409854893323953E-2</v>
      </c>
      <c r="I64" s="337"/>
      <c r="J64" s="190"/>
      <c r="K64" s="168"/>
      <c r="M64" s="359">
        <f t="shared" ref="M64:M79" si="12">G64/G$228</f>
        <v>6.704461424698053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490">
        <f>'[52]Sch C'!D58</f>
        <v>172</v>
      </c>
      <c r="D65" s="490">
        <f>'[52]Sch C'!F58</f>
        <v>0</v>
      </c>
      <c r="E65" s="171">
        <f t="shared" si="9"/>
        <v>172</v>
      </c>
      <c r="F65" s="171"/>
      <c r="G65" s="171">
        <f t="shared" si="10"/>
        <v>172</v>
      </c>
      <c r="H65" s="172">
        <f t="shared" si="11"/>
        <v>4.3518345894497946E-5</v>
      </c>
      <c r="I65" s="337"/>
      <c r="J65" s="190"/>
      <c r="K65" s="168"/>
      <c r="M65" s="359">
        <f t="shared" si="12"/>
        <v>8.4791718018240071E-3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490">
        <f>'[52]Sch C'!D59</f>
        <v>0</v>
      </c>
      <c r="D66" s="490">
        <f>'[52]Sch C'!F59</f>
        <v>0</v>
      </c>
      <c r="E66" s="171">
        <f t="shared" si="9"/>
        <v>0</v>
      </c>
      <c r="F66" s="171"/>
      <c r="G66" s="171">
        <f t="shared" si="10"/>
        <v>0</v>
      </c>
      <c r="H66" s="172">
        <f t="shared" si="11"/>
        <v>0</v>
      </c>
      <c r="I66" s="337"/>
      <c r="J66" s="190"/>
      <c r="K66" s="168"/>
      <c r="M66" s="359">
        <f t="shared" si="12"/>
        <v>0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490">
        <f>'[52]Sch C'!D60</f>
        <v>22752</v>
      </c>
      <c r="D67" s="490">
        <f>'[52]Sch C'!F60</f>
        <v>0</v>
      </c>
      <c r="E67" s="171">
        <f t="shared" si="9"/>
        <v>22752</v>
      </c>
      <c r="F67" s="171"/>
      <c r="G67" s="171">
        <f t="shared" si="10"/>
        <v>22752</v>
      </c>
      <c r="H67" s="172">
        <f t="shared" si="11"/>
        <v>5.7565663127419602E-3</v>
      </c>
      <c r="I67" s="337"/>
      <c r="J67" s="193"/>
      <c r="K67" s="168"/>
      <c r="M67" s="359">
        <f t="shared" si="12"/>
        <v>1.1216169583436038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490">
        <f>'[52]Sch C'!D61</f>
        <v>5905</v>
      </c>
      <c r="D68" s="490">
        <f>'[52]Sch C'!F61</f>
        <v>0</v>
      </c>
      <c r="E68" s="171">
        <f t="shared" si="9"/>
        <v>5905</v>
      </c>
      <c r="F68" s="171"/>
      <c r="G68" s="171">
        <f t="shared" si="10"/>
        <v>5905</v>
      </c>
      <c r="H68" s="172">
        <f t="shared" si="11"/>
        <v>1.4940455378314554E-3</v>
      </c>
      <c r="I68" s="337"/>
      <c r="J68" s="193"/>
      <c r="K68" s="168"/>
      <c r="M68" s="359">
        <f t="shared" si="12"/>
        <v>0.29110179935913238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490">
        <f>'[52]Sch C'!D62</f>
        <v>1264</v>
      </c>
      <c r="D69" s="490">
        <f>'[52]Sch C'!F62</f>
        <v>0</v>
      </c>
      <c r="E69" s="171">
        <f t="shared" si="9"/>
        <v>1264</v>
      </c>
      <c r="F69" s="171"/>
      <c r="G69" s="171">
        <f t="shared" si="10"/>
        <v>1264</v>
      </c>
      <c r="H69" s="172">
        <f t="shared" si="11"/>
        <v>3.1980923959677558E-4</v>
      </c>
      <c r="I69" s="337"/>
      <c r="J69" s="195"/>
      <c r="K69" s="168"/>
      <c r="M69" s="359">
        <f t="shared" si="12"/>
        <v>6.231205324131131E-2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490">
        <f>'[52]Sch C'!D63</f>
        <v>0</v>
      </c>
      <c r="D70" s="490">
        <f>'[52]Sch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7"/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490">
        <f>'[52]Sch C'!D64</f>
        <v>0</v>
      </c>
      <c r="D71" s="490">
        <f>'[52]Sch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490">
        <f>'[52]Sch C'!D65</f>
        <v>7682</v>
      </c>
      <c r="D72" s="490">
        <f>'[52]Sch C'!F65</f>
        <v>0</v>
      </c>
      <c r="E72" s="171">
        <f t="shared" si="9"/>
        <v>7682</v>
      </c>
      <c r="F72" s="171"/>
      <c r="G72" s="171">
        <f t="shared" si="10"/>
        <v>7682</v>
      </c>
      <c r="H72" s="172">
        <f t="shared" si="11"/>
        <v>1.9436507741949604E-3</v>
      </c>
      <c r="I72" s="337"/>
      <c r="J72" s="195"/>
      <c r="K72" s="168"/>
      <c r="M72" s="359">
        <f t="shared" si="12"/>
        <v>0.37870347547448852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490">
        <f>'[52]Sch C'!D66</f>
        <v>5196</v>
      </c>
      <c r="D73" s="490">
        <f>'[52]Sch C'!F66</f>
        <v>0</v>
      </c>
      <c r="E73" s="171">
        <f t="shared" si="9"/>
        <v>5196</v>
      </c>
      <c r="F73" s="171"/>
      <c r="G73" s="171">
        <f t="shared" si="10"/>
        <v>5196</v>
      </c>
      <c r="H73" s="172">
        <f t="shared" si="11"/>
        <v>1.3146588678361122E-3</v>
      </c>
      <c r="I73" s="337"/>
      <c r="J73" s="195"/>
      <c r="K73" s="168"/>
      <c r="M73" s="359">
        <f t="shared" si="12"/>
        <v>0.25614986443184617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490">
        <f>'[52]Sch C'!D67</f>
        <v>63424</v>
      </c>
      <c r="D74" s="490">
        <f>'[52]Sch C'!F67</f>
        <v>0</v>
      </c>
      <c r="E74" s="171">
        <f t="shared" si="9"/>
        <v>63424</v>
      </c>
      <c r="F74" s="171"/>
      <c r="G74" s="171">
        <f t="shared" si="10"/>
        <v>63424</v>
      </c>
      <c r="H74" s="172">
        <f t="shared" si="11"/>
        <v>1.6047137034957196E-2</v>
      </c>
      <c r="I74" s="337"/>
      <c r="J74" s="195"/>
      <c r="K74" s="168"/>
      <c r="M74" s="359">
        <f t="shared" si="12"/>
        <v>3.1266453044121274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490">
        <f>'[52]Sch C'!D68</f>
        <v>0</v>
      </c>
      <c r="D75" s="490">
        <f>'[52]Sch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490">
        <f>'[52]Sch C'!D69</f>
        <v>9901</v>
      </c>
      <c r="D76" s="490">
        <f>'[52]Sch C'!F69</f>
        <v>0</v>
      </c>
      <c r="E76" s="171">
        <f t="shared" si="9"/>
        <v>9901</v>
      </c>
      <c r="F76" s="171"/>
      <c r="G76" s="171">
        <f t="shared" si="10"/>
        <v>9901</v>
      </c>
      <c r="H76" s="172">
        <f t="shared" si="11"/>
        <v>2.5050880389617682E-3</v>
      </c>
      <c r="I76" s="337"/>
      <c r="J76" s="195"/>
      <c r="K76" s="168"/>
      <c r="M76" s="359">
        <f t="shared" si="12"/>
        <v>0.48809465122011336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490">
        <f>'[52]Sch C'!D70</f>
        <v>0</v>
      </c>
      <c r="D77" s="490">
        <f>'[52]Sch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7"/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490">
        <f>'[52]Sch C'!D71</f>
        <v>0</v>
      </c>
      <c r="D78" s="490">
        <f>'[52]Sch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7"/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490">
        <f>SUM(C64:C78)</f>
        <v>252296</v>
      </c>
      <c r="D79" s="490">
        <f>SUM(D64:D78)</f>
        <v>0</v>
      </c>
      <c r="E79" s="171">
        <f t="shared" ref="E79:F79" si="13">SUM(E64:E78)</f>
        <v>252296</v>
      </c>
      <c r="F79" s="171">
        <f t="shared" si="13"/>
        <v>0</v>
      </c>
      <c r="G79" s="171">
        <f>SUM(G64:G78)</f>
        <v>252296</v>
      </c>
      <c r="H79" s="172">
        <f t="shared" si="11"/>
        <v>6.3834329045338672E-2</v>
      </c>
      <c r="I79" s="337"/>
      <c r="J79" s="195"/>
      <c r="K79" s="168"/>
      <c r="M79" s="359">
        <f t="shared" si="12"/>
        <v>12.437564702982499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490">
        <f>'[52]Sch C'!D75</f>
        <v>47732</v>
      </c>
      <c r="D82" s="490">
        <f>'[52]Sch C'!F75</f>
        <v>2793</v>
      </c>
      <c r="E82" s="171">
        <f t="shared" ref="E82:E92" si="14">C82+D82</f>
        <v>50525</v>
      </c>
      <c r="F82" s="171"/>
      <c r="G82" s="171">
        <f t="shared" ref="G82:G92" si="15">E82+F82</f>
        <v>50525</v>
      </c>
      <c r="H82" s="172">
        <f t="shared" ref="H82:H93" si="16">IF($G$208=0,0,G82/$G$208)</f>
        <v>1.278351410650877E-2</v>
      </c>
      <c r="I82" s="337"/>
      <c r="J82" s="183">
        <v>1963</v>
      </c>
      <c r="K82" s="183">
        <v>2078</v>
      </c>
      <c r="M82" s="359">
        <f t="shared" ref="M82:M92" si="17">G82/G$228</f>
        <v>2.4907567167858025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490">
        <f>'[52]Sch C'!D76</f>
        <v>0</v>
      </c>
      <c r="D83" s="490">
        <f>'[52]Sch C'!F76</f>
        <v>7241</v>
      </c>
      <c r="E83" s="171">
        <f t="shared" si="14"/>
        <v>7241</v>
      </c>
      <c r="F83" s="171"/>
      <c r="G83" s="171">
        <f t="shared" si="15"/>
        <v>7241</v>
      </c>
      <c r="H83" s="172">
        <f t="shared" si="16"/>
        <v>1.832071759430579E-3</v>
      </c>
      <c r="I83" s="337"/>
      <c r="J83" s="168"/>
      <c r="K83" s="168"/>
      <c r="M83" s="359">
        <f t="shared" si="17"/>
        <v>0.35696327335469558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490">
        <f>'[52]Sch C'!D77</f>
        <v>4376</v>
      </c>
      <c r="D84" s="490">
        <f>'[52]Sch C'!F77</f>
        <v>0</v>
      </c>
      <c r="E84" s="171">
        <f t="shared" si="14"/>
        <v>4376</v>
      </c>
      <c r="F84" s="171"/>
      <c r="G84" s="171">
        <f t="shared" si="15"/>
        <v>4376</v>
      </c>
      <c r="H84" s="172">
        <f t="shared" si="16"/>
        <v>1.1071876839204825E-3</v>
      </c>
      <c r="I84" s="337"/>
      <c r="J84" s="168"/>
      <c r="K84" s="168"/>
      <c r="M84" s="359">
        <f t="shared" si="17"/>
        <v>0.21572590584175499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490">
        <f>'[52]Sch C'!D78</f>
        <v>0</v>
      </c>
      <c r="D85" s="490">
        <f>'[52]Sch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I85" s="337"/>
      <c r="J85" s="168"/>
      <c r="K85" s="168"/>
      <c r="M85" s="359">
        <f t="shared" si="17"/>
        <v>0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490">
        <f>'[52]Sch C'!D79</f>
        <v>8650</v>
      </c>
      <c r="D86" s="490">
        <f>'[52]Sch C'!F79</f>
        <v>0</v>
      </c>
      <c r="E86" s="171">
        <f t="shared" si="14"/>
        <v>8650</v>
      </c>
      <c r="F86" s="171"/>
      <c r="G86" s="171">
        <f>E86+F86</f>
        <v>8650</v>
      </c>
      <c r="H86" s="172">
        <f t="shared" si="16"/>
        <v>2.1885679766709722E-3</v>
      </c>
      <c r="I86" s="337"/>
      <c r="J86" s="168"/>
      <c r="K86" s="168"/>
      <c r="M86" s="359">
        <f t="shared" si="17"/>
        <v>0.42642346561498645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490">
        <f>'[52]Sch C'!D80</f>
        <v>15963</v>
      </c>
      <c r="D87" s="490">
        <f>'[52]Sch C'!F80</f>
        <v>0</v>
      </c>
      <c r="E87" s="171">
        <f t="shared" si="14"/>
        <v>15963</v>
      </c>
      <c r="F87" s="171"/>
      <c r="G87" s="171">
        <f t="shared" si="15"/>
        <v>15963</v>
      </c>
      <c r="H87" s="172">
        <f t="shared" si="16"/>
        <v>4.0388567181038988E-3</v>
      </c>
      <c r="I87" s="337"/>
      <c r="J87" s="168"/>
      <c r="K87" s="168"/>
      <c r="M87" s="359">
        <f t="shared" si="17"/>
        <v>0.78693615972393394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490">
        <f>'[52]Sch C'!D81</f>
        <v>2372</v>
      </c>
      <c r="D88" s="490">
        <f>'[52]Sch C'!F81</f>
        <v>0</v>
      </c>
      <c r="E88" s="171">
        <f t="shared" si="14"/>
        <v>2372</v>
      </c>
      <c r="F88" s="171"/>
      <c r="G88" s="171">
        <f t="shared" si="15"/>
        <v>2372</v>
      </c>
      <c r="H88" s="172">
        <f t="shared" si="16"/>
        <v>6.0014835152179724E-4</v>
      </c>
      <c r="I88" s="337"/>
      <c r="J88" s="168"/>
      <c r="K88" s="168"/>
      <c r="M88" s="359">
        <f t="shared" si="17"/>
        <v>0.11693369484841015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490">
        <f>'[52]Sch C'!D82</f>
        <v>296</v>
      </c>
      <c r="D89" s="490">
        <f>'[52]Sch C'!F82</f>
        <v>0</v>
      </c>
      <c r="E89" s="171">
        <f t="shared" si="14"/>
        <v>296</v>
      </c>
      <c r="F89" s="171"/>
      <c r="G89" s="171">
        <f t="shared" si="15"/>
        <v>296</v>
      </c>
      <c r="H89" s="172">
        <f t="shared" si="16"/>
        <v>7.4892037120763901E-5</v>
      </c>
      <c r="I89" s="337"/>
      <c r="J89" s="168"/>
      <c r="K89" s="168"/>
      <c r="M89" s="359">
        <f t="shared" si="17"/>
        <v>1.4592063100813409E-2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490">
        <f>'[52]Sch C'!D83</f>
        <v>0</v>
      </c>
      <c r="D90" s="490">
        <f>'[52]Sch C'!F83</f>
        <v>0</v>
      </c>
      <c r="E90" s="171">
        <f t="shared" si="14"/>
        <v>0</v>
      </c>
      <c r="F90" s="171"/>
      <c r="G90" s="171">
        <f t="shared" si="15"/>
        <v>0</v>
      </c>
      <c r="H90" s="172">
        <f t="shared" si="16"/>
        <v>0</v>
      </c>
      <c r="I90" s="337"/>
      <c r="J90" s="168"/>
      <c r="K90" s="168"/>
      <c r="M90" s="359">
        <f t="shared" si="17"/>
        <v>0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490">
        <f>'[52]Sch C'!D84</f>
        <v>49324</v>
      </c>
      <c r="D91" s="490">
        <f>'[52]Sch C'!F84</f>
        <v>0</v>
      </c>
      <c r="E91" s="171">
        <f t="shared" si="14"/>
        <v>49324</v>
      </c>
      <c r="F91" s="171"/>
      <c r="G91" s="171">
        <f t="shared" si="15"/>
        <v>49324</v>
      </c>
      <c r="H91" s="172">
        <f t="shared" si="16"/>
        <v>1.2479644726164049E-2</v>
      </c>
      <c r="I91" s="337"/>
      <c r="J91" s="168"/>
      <c r="K91" s="168"/>
      <c r="M91" s="359">
        <f t="shared" si="17"/>
        <v>2.4315504067044613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490">
        <f>'[52]Sch C'!D85</f>
        <v>0</v>
      </c>
      <c r="D92" s="490">
        <f>'[52]Sch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7"/>
      <c r="J92" s="168"/>
      <c r="K92" s="168"/>
      <c r="M92" s="359">
        <f t="shared" si="17"/>
        <v>0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490">
        <f>SUM(C82:C92)</f>
        <v>128713</v>
      </c>
      <c r="D93" s="490">
        <f>SUM(D82:D92)</f>
        <v>10034</v>
      </c>
      <c r="E93" s="171">
        <f t="shared" ref="E93:F93" si="18">SUM(E82:E92)</f>
        <v>138747</v>
      </c>
      <c r="F93" s="171">
        <f t="shared" si="18"/>
        <v>0</v>
      </c>
      <c r="G93" s="171">
        <f>SUM(G82:G92)</f>
        <v>138747</v>
      </c>
      <c r="H93" s="172">
        <f t="shared" si="16"/>
        <v>3.5104883359441313E-2</v>
      </c>
      <c r="I93" s="337"/>
      <c r="J93" s="168"/>
      <c r="K93" s="168"/>
      <c r="M93" s="364">
        <f>G93/G$228</f>
        <v>6.8398816859748583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490">
        <f>'[52]Sch C'!D89</f>
        <v>134514</v>
      </c>
      <c r="D96" s="490">
        <f>'[52]Sch C'!F89</f>
        <v>7870</v>
      </c>
      <c r="E96" s="171">
        <f t="shared" ref="E96:E101" si="19">C96+D96</f>
        <v>142384</v>
      </c>
      <c r="F96" s="171"/>
      <c r="G96" s="171">
        <f t="shared" ref="G96:G101" si="20">E96+F96</f>
        <v>142384</v>
      </c>
      <c r="H96" s="172">
        <f t="shared" ref="H96:H102" si="21">IF($G$208=0,0,G96/$G$208)</f>
        <v>3.6025093964198805E-2</v>
      </c>
      <c r="I96" s="337"/>
      <c r="J96" s="183">
        <v>10037</v>
      </c>
      <c r="K96" s="183">
        <v>10624</v>
      </c>
      <c r="M96" s="364">
        <f t="shared" ref="M96:M101" si="22">G96/G$228</f>
        <v>7.0191767315750555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490">
        <f>'[52]Sch C'!D90</f>
        <v>0</v>
      </c>
      <c r="D97" s="490">
        <f>'[52]Sch C'!F90</f>
        <v>20405</v>
      </c>
      <c r="E97" s="171">
        <f t="shared" si="19"/>
        <v>20405</v>
      </c>
      <c r="F97" s="171"/>
      <c r="G97" s="171">
        <f t="shared" si="20"/>
        <v>20405</v>
      </c>
      <c r="H97" s="172">
        <f t="shared" si="21"/>
        <v>5.162743302193201E-3</v>
      </c>
      <c r="I97" s="337"/>
      <c r="J97" s="168"/>
      <c r="K97" s="168"/>
      <c r="M97" s="364">
        <f t="shared" si="22"/>
        <v>1.0059157012570865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490">
        <f>'[52]Sch C'!D91</f>
        <v>7706</v>
      </c>
      <c r="D98" s="490">
        <f>'[52]Sch C'!F91</f>
        <v>0</v>
      </c>
      <c r="E98" s="171">
        <f t="shared" si="19"/>
        <v>7706</v>
      </c>
      <c r="F98" s="171"/>
      <c r="G98" s="171">
        <f t="shared" si="20"/>
        <v>7706</v>
      </c>
      <c r="H98" s="172">
        <f t="shared" si="21"/>
        <v>1.9497231015290764E-3</v>
      </c>
      <c r="I98" s="337"/>
      <c r="J98" s="168"/>
      <c r="K98" s="168"/>
      <c r="M98" s="364">
        <f t="shared" si="22"/>
        <v>0.37988661572590582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490">
        <f>'[52]Sch C'!D92</f>
        <v>119632</v>
      </c>
      <c r="D99" s="490">
        <f>'[52]Sch C'!F92</f>
        <v>0</v>
      </c>
      <c r="E99" s="171">
        <f t="shared" si="19"/>
        <v>119632</v>
      </c>
      <c r="F99" s="171"/>
      <c r="G99" s="171">
        <f t="shared" si="20"/>
        <v>119632</v>
      </c>
      <c r="H99" s="172">
        <f t="shared" si="21"/>
        <v>3.0268527651456847E-2</v>
      </c>
      <c r="I99" s="337"/>
      <c r="J99" s="168"/>
      <c r="K99" s="168"/>
      <c r="M99" s="364">
        <f t="shared" si="22"/>
        <v>5.8975597732314515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490">
        <f>'[52]Sch C'!D93</f>
        <v>8043</v>
      </c>
      <c r="D100" s="490">
        <f>'[52]Sch C'!F93</f>
        <v>0</v>
      </c>
      <c r="E100" s="171">
        <f t="shared" si="19"/>
        <v>8043</v>
      </c>
      <c r="F100" s="171"/>
      <c r="G100" s="171">
        <f t="shared" si="20"/>
        <v>8043</v>
      </c>
      <c r="H100" s="172">
        <f t="shared" si="21"/>
        <v>2.0349886978456217E-3</v>
      </c>
      <c r="I100" s="337"/>
      <c r="J100" s="168"/>
      <c r="K100" s="168"/>
      <c r="M100" s="364">
        <f t="shared" si="22"/>
        <v>0.39649987675622383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490">
        <f>'[52]Sch C'!D94</f>
        <v>0</v>
      </c>
      <c r="D101" s="490">
        <f>'[52]Sch C'!F94</f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I101" s="337"/>
      <c r="J101" s="168"/>
      <c r="K101" s="168"/>
      <c r="M101" s="364">
        <f t="shared" si="22"/>
        <v>0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490">
        <f>SUM(C96:C101)</f>
        <v>269895</v>
      </c>
      <c r="D102" s="490">
        <f>SUM(D96:D101)</f>
        <v>28275</v>
      </c>
      <c r="E102" s="171">
        <f t="shared" ref="E102:F102" si="23">SUM(E96:E101)</f>
        <v>298170</v>
      </c>
      <c r="F102" s="171">
        <f t="shared" si="23"/>
        <v>0</v>
      </c>
      <c r="G102" s="171">
        <f>SUM(G96:G101)</f>
        <v>298170</v>
      </c>
      <c r="H102" s="172">
        <f t="shared" si="21"/>
        <v>7.5441076717223554E-2</v>
      </c>
      <c r="I102" s="337"/>
      <c r="J102" s="168"/>
      <c r="K102" s="168"/>
      <c r="M102" s="364">
        <f>G102/G$228</f>
        <v>14.699038698545724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490">
        <f>'[52]Sch C'!D98</f>
        <v>18348</v>
      </c>
      <c r="D105" s="490">
        <f>'[52]Sch C'!F98</f>
        <v>1073</v>
      </c>
      <c r="E105" s="171">
        <f t="shared" ref="E105:E110" si="24">C105+D105</f>
        <v>19421</v>
      </c>
      <c r="F105" s="171"/>
      <c r="G105" s="171">
        <f t="shared" ref="G105:G110" si="25">E105+F105</f>
        <v>19421</v>
      </c>
      <c r="H105" s="172">
        <f t="shared" ref="H105:H111" si="26">IF($G$208=0,0,G105/$G$208)</f>
        <v>4.9137778814944454E-3</v>
      </c>
      <c r="I105" s="337"/>
      <c r="J105" s="183">
        <v>1346</v>
      </c>
      <c r="K105" s="183">
        <v>1425</v>
      </c>
      <c r="M105" s="364">
        <f t="shared" ref="M105:M110" si="27">G105/G$228</f>
        <v>0.9574069509489771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490">
        <f>'[52]Sch C'!D99</f>
        <v>0</v>
      </c>
      <c r="D106" s="490">
        <f>'[52]Sch C'!F99</f>
        <v>2783</v>
      </c>
      <c r="E106" s="171">
        <f t="shared" si="24"/>
        <v>2783</v>
      </c>
      <c r="F106" s="171"/>
      <c r="G106" s="171">
        <f t="shared" si="25"/>
        <v>2783</v>
      </c>
      <c r="H106" s="172">
        <f t="shared" si="26"/>
        <v>7.0413695711853358E-4</v>
      </c>
      <c r="I106" s="337"/>
      <c r="J106" s="168"/>
      <c r="K106" s="168"/>
      <c r="M106" s="364">
        <f t="shared" si="27"/>
        <v>0.13719497165393146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490">
        <f>'[52]Sch C'!D100</f>
        <v>3724</v>
      </c>
      <c r="D107" s="490">
        <f>'[52]Sch C'!F100</f>
        <v>0</v>
      </c>
      <c r="E107" s="171">
        <f t="shared" si="24"/>
        <v>3724</v>
      </c>
      <c r="F107" s="171"/>
      <c r="G107" s="171">
        <f t="shared" si="25"/>
        <v>3724</v>
      </c>
      <c r="H107" s="172">
        <f t="shared" si="26"/>
        <v>9.422227913436648E-4</v>
      </c>
      <c r="I107" s="337"/>
      <c r="J107" s="168"/>
      <c r="K107" s="168"/>
      <c r="M107" s="364">
        <f t="shared" si="27"/>
        <v>0.18358392901158491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490">
        <f>'[52]Sch C'!D101</f>
        <v>1852</v>
      </c>
      <c r="D108" s="490">
        <f>'[52]Sch C'!F101</f>
        <v>0</v>
      </c>
      <c r="E108" s="171">
        <f t="shared" si="24"/>
        <v>1852</v>
      </c>
      <c r="F108" s="171"/>
      <c r="G108" s="171">
        <f t="shared" si="25"/>
        <v>1852</v>
      </c>
      <c r="H108" s="172">
        <f t="shared" si="26"/>
        <v>4.6858125928261738E-4</v>
      </c>
      <c r="I108" s="337"/>
      <c r="J108" s="168"/>
      <c r="K108" s="168"/>
      <c r="M108" s="364">
        <f t="shared" si="27"/>
        <v>9.1298989401035244E-2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490">
        <f>'[52]Sch C'!D102</f>
        <v>2629</v>
      </c>
      <c r="D109" s="490">
        <f>'[52]Sch C'!F102</f>
        <v>0</v>
      </c>
      <c r="E109" s="171">
        <f t="shared" si="24"/>
        <v>2629</v>
      </c>
      <c r="F109" s="171"/>
      <c r="G109" s="171">
        <f t="shared" si="25"/>
        <v>2629</v>
      </c>
      <c r="H109" s="172">
        <f t="shared" si="26"/>
        <v>6.6517285672462257E-4</v>
      </c>
      <c r="I109" s="337"/>
      <c r="J109" s="168"/>
      <c r="K109" s="168"/>
      <c r="M109" s="364">
        <f t="shared" si="27"/>
        <v>0.12960315504067044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490">
        <f>'[52]Sch C'!D103</f>
        <v>132</v>
      </c>
      <c r="D110" s="490">
        <f>'[52]Sch C'!F103</f>
        <v>0</v>
      </c>
      <c r="E110" s="171">
        <f t="shared" si="24"/>
        <v>132</v>
      </c>
      <c r="F110" s="171"/>
      <c r="G110" s="171">
        <f t="shared" si="25"/>
        <v>132</v>
      </c>
      <c r="H110" s="172">
        <f t="shared" si="26"/>
        <v>3.3397800337637959E-5</v>
      </c>
      <c r="I110" s="337"/>
      <c r="J110" s="168"/>
      <c r="K110" s="168"/>
      <c r="M110" s="364">
        <f t="shared" si="27"/>
        <v>6.5072713827951691E-3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490">
        <f>SUM(C105:C110)</f>
        <v>26685</v>
      </c>
      <c r="D111" s="490">
        <f>SUM(D105:D110)</f>
        <v>3856</v>
      </c>
      <c r="E111" s="171">
        <f t="shared" ref="E111:F111" si="28">SUM(E105:E110)</f>
        <v>30541</v>
      </c>
      <c r="F111" s="171">
        <f t="shared" si="28"/>
        <v>0</v>
      </c>
      <c r="G111" s="171">
        <f>SUM(G105:G110)</f>
        <v>30541</v>
      </c>
      <c r="H111" s="172">
        <f t="shared" si="26"/>
        <v>7.7272895463015214E-3</v>
      </c>
      <c r="I111" s="337"/>
      <c r="J111" s="168"/>
      <c r="K111" s="168"/>
      <c r="M111" s="364">
        <f>G111/G$228</f>
        <v>1.5055952674389943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490">
        <f>'[52]Sch C'!D115</f>
        <v>73858</v>
      </c>
      <c r="D114" s="490">
        <f>'[52]Sch C'!F115</f>
        <v>4321</v>
      </c>
      <c r="E114" s="171">
        <f t="shared" ref="E114:E118" si="29">C114+D114</f>
        <v>78179</v>
      </c>
      <c r="F114" s="171"/>
      <c r="G114" s="171">
        <f>E114+F114</f>
        <v>78179</v>
      </c>
      <c r="H114" s="172">
        <f t="shared" ref="H114:H119" si="30">IF($G$208=0,0,G114/$G$208)</f>
        <v>1.9780353277243923E-2</v>
      </c>
      <c r="I114" s="337"/>
      <c r="J114" s="183">
        <v>6185</v>
      </c>
      <c r="K114" s="183">
        <v>6547</v>
      </c>
      <c r="M114" s="364">
        <f t="shared" ref="M114:M119" si="31">G114/G$228</f>
        <v>3.85403007148139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490">
        <f>'[52]Sch C'!D116</f>
        <v>0</v>
      </c>
      <c r="D115" s="490">
        <f>'[52]Sch C'!F116</f>
        <v>11203</v>
      </c>
      <c r="E115" s="171">
        <f t="shared" si="29"/>
        <v>11203</v>
      </c>
      <c r="F115" s="171"/>
      <c r="G115" s="171">
        <f>E115+F115</f>
        <v>11203</v>
      </c>
      <c r="H115" s="172">
        <f t="shared" si="30"/>
        <v>2.8345117968375608E-3</v>
      </c>
      <c r="I115" s="337"/>
      <c r="J115" s="168"/>
      <c r="K115" s="168"/>
      <c r="M115" s="364">
        <f t="shared" si="31"/>
        <v>0.5522800098595021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490">
        <f>'[52]Sch C'!D117</f>
        <v>14123</v>
      </c>
      <c r="D116" s="490">
        <f>'[52]Sch C'!F117</f>
        <v>0</v>
      </c>
      <c r="E116" s="171">
        <f t="shared" si="29"/>
        <v>14123</v>
      </c>
      <c r="F116" s="171"/>
      <c r="G116" s="171">
        <f>E116+F116</f>
        <v>14123</v>
      </c>
      <c r="H116" s="172">
        <f t="shared" si="30"/>
        <v>3.57331162248834E-3</v>
      </c>
      <c r="I116" s="337"/>
      <c r="J116" s="168"/>
      <c r="K116" s="168"/>
      <c r="M116" s="364">
        <f t="shared" si="31"/>
        <v>0.69622874044860739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490">
        <f>'[52]Sch C'!D118</f>
        <v>380</v>
      </c>
      <c r="D117" s="490">
        <f>'[52]Sch C'!F118</f>
        <v>0</v>
      </c>
      <c r="E117" s="171">
        <f t="shared" si="29"/>
        <v>380</v>
      </c>
      <c r="F117" s="171"/>
      <c r="G117" s="171">
        <f>E117+F117</f>
        <v>380</v>
      </c>
      <c r="H117" s="172">
        <f t="shared" si="30"/>
        <v>9.6145182790169877E-5</v>
      </c>
      <c r="I117" s="337"/>
      <c r="J117" s="168"/>
      <c r="K117" s="168"/>
      <c r="M117" s="364">
        <f t="shared" si="31"/>
        <v>1.8733053980773972E-2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490">
        <f>'[52]Sch C'!D119</f>
        <v>0</v>
      </c>
      <c r="D118" s="490">
        <f>'[52]Sch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337"/>
      <c r="J118" s="168"/>
      <c r="K118" s="168"/>
      <c r="M118" s="364">
        <f t="shared" si="31"/>
        <v>0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490">
        <f>SUM(C114:C118)</f>
        <v>88361</v>
      </c>
      <c r="D119" s="490">
        <f>SUM(D114:D118)</f>
        <v>15524</v>
      </c>
      <c r="E119" s="171">
        <f t="shared" ref="E119:F119" si="32">SUM(E114:E118)</f>
        <v>103885</v>
      </c>
      <c r="F119" s="171">
        <f t="shared" si="32"/>
        <v>0</v>
      </c>
      <c r="G119" s="171">
        <f>SUM(G114:G118)</f>
        <v>103885</v>
      </c>
      <c r="H119" s="172">
        <f t="shared" si="30"/>
        <v>2.6284321879359994E-2</v>
      </c>
      <c r="I119" s="337"/>
      <c r="J119" s="168"/>
      <c r="K119" s="168"/>
      <c r="M119" s="364">
        <f t="shared" si="31"/>
        <v>5.1212718757702733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1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490">
        <f>'[52]Sch C'!D124</f>
        <v>0</v>
      </c>
      <c r="D123" s="490">
        <f>'[52]Sch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7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0.77002560279620991</v>
      </c>
    </row>
    <row r="124" spans="1:14" s="167" customFormat="1">
      <c r="B124" s="163" t="s">
        <v>194</v>
      </c>
      <c r="C124" s="490">
        <f>'[52]Sch C'!D125</f>
        <v>148107</v>
      </c>
      <c r="D124" s="490">
        <f>'[52]Sch C'!F125</f>
        <v>8665</v>
      </c>
      <c r="E124" s="171">
        <f t="shared" si="33"/>
        <v>156772</v>
      </c>
      <c r="F124" s="171"/>
      <c r="G124" s="171">
        <f>E124+F124</f>
        <v>156772</v>
      </c>
      <c r="H124" s="172">
        <f>IF($G$208=0,0,G124/$G$208)</f>
        <v>3.9665454201001343E-2</v>
      </c>
      <c r="I124" s="337"/>
      <c r="J124" s="183">
        <v>3831</v>
      </c>
      <c r="K124" s="183">
        <v>4055</v>
      </c>
      <c r="M124" s="364">
        <f t="shared" si="34"/>
        <v>7.7284693122997288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490">
        <f>'[52]Sch C'!D126</f>
        <v>54961</v>
      </c>
      <c r="D125" s="490">
        <f>'[52]Sch C'!F126</f>
        <v>3215</v>
      </c>
      <c r="E125" s="171">
        <f t="shared" si="33"/>
        <v>58176</v>
      </c>
      <c r="F125" s="171"/>
      <c r="G125" s="171">
        <f>E125+F125</f>
        <v>58176</v>
      </c>
      <c r="H125" s="172">
        <f>IF($G$208=0,0,G125/$G$208)</f>
        <v>1.4719321457897165E-2</v>
      </c>
      <c r="I125" s="337"/>
      <c r="J125" s="183">
        <v>1668</v>
      </c>
      <c r="K125" s="183">
        <v>1766</v>
      </c>
      <c r="M125" s="364">
        <f t="shared" si="34"/>
        <v>2.8679319694355434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490">
        <f>'[52]Sch C'!D127</f>
        <v>0</v>
      </c>
      <c r="D126" s="490">
        <f>'[52]Sch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7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490">
        <f>'[52]Sch C'!D128</f>
        <v>33995</v>
      </c>
      <c r="D127" s="490">
        <f>'[52]Sch C'!F128</f>
        <v>1989</v>
      </c>
      <c r="E127" s="171">
        <f t="shared" si="33"/>
        <v>35984</v>
      </c>
      <c r="F127" s="171"/>
      <c r="G127" s="171">
        <f>E127+F127</f>
        <v>35984</v>
      </c>
      <c r="H127" s="172">
        <f>IF($G$208=0,0,G127/$G$208)</f>
        <v>9.1044427829512446E-3</v>
      </c>
      <c r="I127" s="337"/>
      <c r="J127" s="183">
        <v>1750</v>
      </c>
      <c r="K127" s="183">
        <v>1852</v>
      </c>
      <c r="M127" s="364">
        <f t="shared" si="34"/>
        <v>1.7739216169583436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205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490">
        <f>'[52]Sch C'!D130</f>
        <v>0</v>
      </c>
      <c r="D129" s="490">
        <f>'[52]Sch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7"/>
      <c r="J129" s="204"/>
      <c r="K129" s="204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490">
        <f>'[52]Sch C'!D131</f>
        <v>0</v>
      </c>
      <c r="D130" s="490">
        <f>'[52]Sch C'!F131</f>
        <v>22466</v>
      </c>
      <c r="E130" s="171">
        <f t="shared" si="35"/>
        <v>22466</v>
      </c>
      <c r="F130" s="171"/>
      <c r="G130" s="171">
        <f>E130+F130</f>
        <v>22466</v>
      </c>
      <c r="H130" s="172">
        <f>IF($G$208=0,0,G130/$G$208)</f>
        <v>5.6842044120104119E-3</v>
      </c>
      <c r="I130" s="337"/>
      <c r="J130" s="204"/>
      <c r="K130" s="204"/>
      <c r="M130" s="364">
        <f t="shared" si="34"/>
        <v>1.1075178703475475</v>
      </c>
      <c r="N130" s="359">
        <f>SUMMARY!J133</f>
        <v>1.0792348507966931</v>
      </c>
    </row>
    <row r="131" spans="1:14" s="167" customFormat="1">
      <c r="B131" s="163" t="s">
        <v>195</v>
      </c>
      <c r="C131" s="490">
        <f>'[52]Sch C'!D132</f>
        <v>0</v>
      </c>
      <c r="D131" s="490">
        <f>'[52]Sch C'!F132</f>
        <v>8337</v>
      </c>
      <c r="E131" s="171">
        <f t="shared" si="35"/>
        <v>8337</v>
      </c>
      <c r="F131" s="171"/>
      <c r="G131" s="171">
        <f>E131+F131</f>
        <v>8337</v>
      </c>
      <c r="H131" s="172">
        <f>IF($G$208=0,0,G131/$G$208)</f>
        <v>2.1093747076885425E-3</v>
      </c>
      <c r="I131" s="337"/>
      <c r="J131" s="168"/>
      <c r="K131" s="168"/>
      <c r="M131" s="364">
        <f t="shared" si="34"/>
        <v>0.41099334483608579</v>
      </c>
      <c r="N131" s="359">
        <f>SUMMARY!J134</f>
        <v>8.2765628075518377E-2</v>
      </c>
    </row>
    <row r="132" spans="1:14" s="167" customFormat="1">
      <c r="B132" s="163" t="s">
        <v>196</v>
      </c>
      <c r="C132" s="490">
        <f>'[52]Sch C'!D133</f>
        <v>0</v>
      </c>
      <c r="D132" s="490">
        <f>'[52]Sch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490">
        <f>'[52]Sch C'!D134</f>
        <v>0</v>
      </c>
      <c r="D133" s="490">
        <f>'[52]Sch C'!F134</f>
        <v>5157</v>
      </c>
      <c r="E133" s="171">
        <f t="shared" si="35"/>
        <v>5157</v>
      </c>
      <c r="F133" s="171"/>
      <c r="G133" s="171">
        <f>E133+F133</f>
        <v>5157</v>
      </c>
      <c r="H133" s="172">
        <f>IF($G$208=0,0,G133/$G$208)</f>
        <v>1.3047913359181737E-3</v>
      </c>
      <c r="I133" s="337"/>
      <c r="J133" s="168"/>
      <c r="K133" s="168"/>
      <c r="M133" s="364">
        <f t="shared" si="34"/>
        <v>0.25422726152329306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490">
        <f>'[52]Sch C'!D136</f>
        <v>233559</v>
      </c>
      <c r="D135" s="490">
        <f>'[52]Sch C'!F136</f>
        <v>13664</v>
      </c>
      <c r="E135" s="171">
        <f t="shared" ref="E135:E138" si="36">C135+D135</f>
        <v>247223</v>
      </c>
      <c r="F135" s="171"/>
      <c r="G135" s="171">
        <f>E135+F135</f>
        <v>247223</v>
      </c>
      <c r="H135" s="172">
        <f>IF($G$208=0,0,G135/$G$208)</f>
        <v>6.2550790855089911E-2</v>
      </c>
      <c r="I135" s="337"/>
      <c r="J135" s="183">
        <v>7835</v>
      </c>
      <c r="K135" s="183">
        <v>8293</v>
      </c>
      <c r="M135" s="364">
        <f t="shared" si="34"/>
        <v>12.187478432339168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490">
        <f>'[52]Sch C'!D137</f>
        <v>220722</v>
      </c>
      <c r="D136" s="490">
        <f>'[52]Sch C'!F137</f>
        <v>12913</v>
      </c>
      <c r="E136" s="171">
        <f t="shared" si="36"/>
        <v>233635</v>
      </c>
      <c r="F136" s="171"/>
      <c r="G136" s="171">
        <f>E136+F136</f>
        <v>233635</v>
      </c>
      <c r="H136" s="172">
        <f>IF($G$208=0,0,G136/$G$208)</f>
        <v>5.9112841529424573E-2</v>
      </c>
      <c r="I136" s="337"/>
      <c r="J136" s="183">
        <v>8643</v>
      </c>
      <c r="K136" s="183">
        <v>9149</v>
      </c>
      <c r="M136" s="364">
        <f t="shared" si="34"/>
        <v>11.517623859995071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490">
        <f>'[52]Sch C'!D138</f>
        <v>399619</v>
      </c>
      <c r="D137" s="490">
        <f>'[52]Sch C'!F138</f>
        <v>23380</v>
      </c>
      <c r="E137" s="171">
        <f t="shared" si="36"/>
        <v>422999</v>
      </c>
      <c r="F137" s="171"/>
      <c r="G137" s="171">
        <f>E137+F137</f>
        <v>422999</v>
      </c>
      <c r="H137" s="172">
        <f>IF($G$208=0,0,G137/$G$208)</f>
        <v>0.10702451625015544</v>
      </c>
      <c r="I137" s="337"/>
      <c r="J137" s="183">
        <v>31187</v>
      </c>
      <c r="K137" s="183">
        <v>33012</v>
      </c>
      <c r="M137" s="364">
        <f t="shared" si="34"/>
        <v>20.852797633719497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490">
        <f>'[52]Sch C'!D139</f>
        <v>52833</v>
      </c>
      <c r="D138" s="490">
        <f>'[52]Sch C'!F139</f>
        <v>3091</v>
      </c>
      <c r="E138" s="171">
        <f t="shared" si="36"/>
        <v>55924</v>
      </c>
      <c r="F138" s="171"/>
      <c r="G138" s="171">
        <f>E138+F138</f>
        <v>55924</v>
      </c>
      <c r="H138" s="172">
        <f>IF($G$208=0,0,G138/$G$208)</f>
        <v>1.4149534743045948E-2</v>
      </c>
      <c r="I138" s="337"/>
      <c r="J138" s="183">
        <v>3282</v>
      </c>
      <c r="K138" s="183">
        <v>3474</v>
      </c>
      <c r="M138" s="364">
        <f t="shared" si="34"/>
        <v>2.75691397584422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7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490">
        <f>'[52]Sch C'!D141</f>
        <v>0</v>
      </c>
      <c r="D140" s="490">
        <f>'[52]Sch C'!F141</f>
        <v>35428</v>
      </c>
      <c r="E140" s="171">
        <f t="shared" ref="E140:E143" si="37">C140+D140</f>
        <v>35428</v>
      </c>
      <c r="F140" s="171"/>
      <c r="G140" s="171">
        <f>E140+F140</f>
        <v>35428</v>
      </c>
      <c r="H140" s="172">
        <f>IF($G$208=0,0,G140/$G$208)</f>
        <v>8.9637671997108894E-3</v>
      </c>
      <c r="I140" s="337"/>
      <c r="J140" s="168"/>
      <c r="K140" s="168"/>
      <c r="M140" s="364">
        <f t="shared" si="34"/>
        <v>1.7465122011338428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490">
        <f>'[52]Sch C'!D142</f>
        <v>0</v>
      </c>
      <c r="D141" s="490">
        <f>'[52]Sch C'!F142</f>
        <v>33481</v>
      </c>
      <c r="E141" s="171">
        <f t="shared" si="37"/>
        <v>33481</v>
      </c>
      <c r="F141" s="171"/>
      <c r="G141" s="171">
        <f>E141+F141</f>
        <v>33481</v>
      </c>
      <c r="H141" s="172">
        <f>IF($G$208=0,0,G141/$G$208)</f>
        <v>8.4711496447307296E-3</v>
      </c>
      <c r="I141" s="337"/>
      <c r="J141" s="168"/>
      <c r="K141" s="168"/>
      <c r="M141" s="364">
        <f t="shared" si="34"/>
        <v>1.6505299482376139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490">
        <f>'[52]Sch C'!D143</f>
        <v>0</v>
      </c>
      <c r="D142" s="490">
        <f>'[52]Sch C'!F143</f>
        <v>60618</v>
      </c>
      <c r="E142" s="171">
        <f t="shared" si="37"/>
        <v>60618</v>
      </c>
      <c r="F142" s="171"/>
      <c r="G142" s="171">
        <f>E142+F142</f>
        <v>60618</v>
      </c>
      <c r="H142" s="172">
        <f>IF($G$208=0,0,G142/$G$208)</f>
        <v>1.5337180764143466E-2</v>
      </c>
      <c r="I142" s="337"/>
      <c r="J142" s="168"/>
      <c r="K142" s="168"/>
      <c r="M142" s="364">
        <f t="shared" si="34"/>
        <v>2.9883164900172541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490">
        <f>'[52]Sch C'!D144</f>
        <v>0</v>
      </c>
      <c r="D143" s="490">
        <f>'[52]Sch C'!F144</f>
        <v>8014</v>
      </c>
      <c r="E143" s="171">
        <f t="shared" si="37"/>
        <v>8014</v>
      </c>
      <c r="F143" s="171"/>
      <c r="G143" s="171">
        <f>E143+F143</f>
        <v>8014</v>
      </c>
      <c r="H143" s="172">
        <f>IF($G$208=0,0,G143/$G$208)</f>
        <v>2.0276513023168982E-3</v>
      </c>
      <c r="I143" s="337"/>
      <c r="J143" s="168"/>
      <c r="K143" s="168"/>
      <c r="M143" s="364">
        <f t="shared" si="34"/>
        <v>0.39507024895242793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7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490">
        <f>'[52]Sch C'!D146</f>
        <v>18000</v>
      </c>
      <c r="D145" s="490">
        <f>'[52]Sch C'!F146</f>
        <v>0</v>
      </c>
      <c r="E145" s="171">
        <f t="shared" ref="E145:E153" si="38">C145+D145</f>
        <v>18000</v>
      </c>
      <c r="F145" s="171"/>
      <c r="G145" s="171">
        <f t="shared" ref="G145:G153" si="39">E145+F145</f>
        <v>18000</v>
      </c>
      <c r="H145" s="172">
        <f t="shared" ref="H145:H153" si="40">IF($G$208=0,0,G145/$G$208)</f>
        <v>4.5542455005869939E-3</v>
      </c>
      <c r="I145" s="337"/>
      <c r="J145" s="183">
        <v>0</v>
      </c>
      <c r="K145" s="183">
        <v>0</v>
      </c>
      <c r="M145" s="364">
        <f t="shared" si="34"/>
        <v>0.88735518856297757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490">
        <f>'[52]Sch C'!D147</f>
        <v>0</v>
      </c>
      <c r="D146" s="490">
        <f>'[52]Sch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337"/>
      <c r="J146" s="183">
        <v>0</v>
      </c>
      <c r="K146" s="183">
        <v>0</v>
      </c>
      <c r="M146" s="364">
        <f t="shared" si="34"/>
        <v>0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490">
        <f>'[52]Sch C'!D148</f>
        <v>0</v>
      </c>
      <c r="D147" s="490">
        <f>'[52]Sch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7"/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490">
        <f>'[52]Sch C'!D149</f>
        <v>0</v>
      </c>
      <c r="D148" s="490">
        <f>'[52]Sch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7"/>
      <c r="J148" s="183">
        <v>0</v>
      </c>
      <c r="K148" s="183">
        <v>0</v>
      </c>
      <c r="M148" s="364">
        <f t="shared" si="34"/>
        <v>0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490">
        <f>'[52]Sch C'!D150</f>
        <v>10230</v>
      </c>
      <c r="D149" s="490">
        <f>'[52]Sch C'!F150</f>
        <v>0</v>
      </c>
      <c r="E149" s="171">
        <f t="shared" si="38"/>
        <v>10230</v>
      </c>
      <c r="F149" s="171"/>
      <c r="G149" s="171">
        <f t="shared" si="39"/>
        <v>10230</v>
      </c>
      <c r="H149" s="172">
        <f t="shared" si="40"/>
        <v>2.5883295261669415E-3</v>
      </c>
      <c r="I149" s="337"/>
      <c r="J149" s="183">
        <v>0</v>
      </c>
      <c r="K149" s="183">
        <v>0</v>
      </c>
      <c r="M149" s="364">
        <f t="shared" si="34"/>
        <v>0.50431353216662556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490">
        <f>'[52]Sch C'!D151</f>
        <v>70767</v>
      </c>
      <c r="D150" s="490">
        <f>'[52]Sch C'!F151</f>
        <v>0</v>
      </c>
      <c r="E150" s="171">
        <f t="shared" si="38"/>
        <v>70767</v>
      </c>
      <c r="F150" s="171"/>
      <c r="G150" s="171">
        <f t="shared" si="39"/>
        <v>70767</v>
      </c>
      <c r="H150" s="172">
        <f t="shared" si="40"/>
        <v>1.7905016185557766E-2</v>
      </c>
      <c r="I150" s="337"/>
      <c r="J150" s="168"/>
      <c r="K150" s="168"/>
      <c r="M150" s="364">
        <f t="shared" si="34"/>
        <v>3.4886369238353465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490">
        <f>'[52]Sch C'!D152</f>
        <v>2624</v>
      </c>
      <c r="D151" s="490">
        <f>'[52]Sch C'!F152</f>
        <v>0</v>
      </c>
      <c r="E151" s="171">
        <f t="shared" si="38"/>
        <v>2624</v>
      </c>
      <c r="F151" s="171"/>
      <c r="G151" s="171">
        <f t="shared" si="39"/>
        <v>2624</v>
      </c>
      <c r="H151" s="172">
        <f t="shared" si="40"/>
        <v>6.6390778853001509E-4</v>
      </c>
      <c r="I151" s="337"/>
      <c r="J151" s="168"/>
      <c r="K151" s="168"/>
      <c r="M151" s="364">
        <f t="shared" si="34"/>
        <v>0.12935666748829183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490">
        <f>'[52]Sch C'!D153</f>
        <v>0</v>
      </c>
      <c r="D152" s="490">
        <f>'[52]Sch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7"/>
      <c r="J152" s="168"/>
      <c r="K152" s="168"/>
      <c r="M152" s="364">
        <f t="shared" si="34"/>
        <v>0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490">
        <f>'[52]Sch C'!D154</f>
        <v>0</v>
      </c>
      <c r="D153" s="490">
        <f>'[52]Sch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210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490">
        <f>'[52]Sch C'!D156</f>
        <v>0</v>
      </c>
      <c r="D155" s="490">
        <f>'[52]Sch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490">
        <f>'[52]Sch C'!D157</f>
        <v>0</v>
      </c>
      <c r="D156" s="490">
        <f>'[52]Sch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490">
        <f>'[52]Sch C'!D158</f>
        <v>0</v>
      </c>
      <c r="D157" s="490">
        <f>'[52]Sch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7"/>
      <c r="J157" s="168"/>
      <c r="K157" s="168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490">
        <f>'[52]Sch C'!D159</f>
        <v>0</v>
      </c>
      <c r="D158" s="490">
        <f>'[52]Sch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490">
        <f>'[52]Sch C'!D160</f>
        <v>0</v>
      </c>
      <c r="D159" s="490">
        <f>'[52]Sch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7"/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490">
        <f>'[52]Sch C'!D161</f>
        <v>600</v>
      </c>
      <c r="D160" s="490">
        <f>'[52]Sch C'!F161</f>
        <v>0</v>
      </c>
      <c r="E160" s="171">
        <f t="shared" si="41"/>
        <v>600</v>
      </c>
      <c r="F160" s="171"/>
      <c r="G160" s="171">
        <f t="shared" si="42"/>
        <v>600</v>
      </c>
      <c r="H160" s="172">
        <f t="shared" si="43"/>
        <v>1.5180818335289981E-4</v>
      </c>
      <c r="I160" s="337"/>
      <c r="J160" s="168"/>
      <c r="K160" s="168"/>
      <c r="M160" s="364">
        <f t="shared" si="34"/>
        <v>2.9578506285432585E-2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490">
        <f>SUM(C123:C160)</f>
        <v>1246017</v>
      </c>
      <c r="D161" s="490">
        <f>SUM(D123:D160)</f>
        <v>240418</v>
      </c>
      <c r="E161" s="171">
        <f t="shared" ref="E161:F161" si="44">SUM(E123:E160)</f>
        <v>1486435</v>
      </c>
      <c r="F161" s="171">
        <f t="shared" si="44"/>
        <v>0</v>
      </c>
      <c r="G161" s="171">
        <f>SUM(G123:G160)</f>
        <v>1486435</v>
      </c>
      <c r="H161" s="172">
        <f t="shared" si="43"/>
        <v>0.37608832837027933</v>
      </c>
      <c r="I161" s="337"/>
      <c r="J161" s="168"/>
      <c r="K161" s="168"/>
      <c r="M161" s="364">
        <f>G161/G$228</f>
        <v>73.277544983978302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337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7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490">
        <f>'[52]Sch C'!D175</f>
        <v>0</v>
      </c>
      <c r="D164" s="490">
        <f>'[52]Sch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490">
        <f>'[52]Sch C'!D176</f>
        <v>0</v>
      </c>
      <c r="D165" s="490">
        <f>'[52]Sch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490">
        <f>'[52]Sch C'!D177</f>
        <v>86712</v>
      </c>
      <c r="D166" s="490">
        <f>'[52]Sch C'!F177</f>
        <v>5073</v>
      </c>
      <c r="E166" s="171">
        <f t="shared" si="45"/>
        <v>91785</v>
      </c>
      <c r="F166" s="216"/>
      <c r="G166" s="171">
        <f t="shared" si="46"/>
        <v>91785</v>
      </c>
      <c r="H166" s="172">
        <f t="shared" si="47"/>
        <v>2.3222856848409846E-2</v>
      </c>
      <c r="I166" s="343"/>
      <c r="J166" s="217">
        <v>2359</v>
      </c>
      <c r="K166" s="217">
        <v>2497</v>
      </c>
      <c r="L166" s="218"/>
      <c r="M166" s="364">
        <f t="shared" si="48"/>
        <v>4.5247719990140496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490">
        <f>'[52]Sch C'!D178</f>
        <v>0</v>
      </c>
      <c r="D167" s="490">
        <f>'[52]Sch C'!F178</f>
        <v>13153</v>
      </c>
      <c r="E167" s="171">
        <f t="shared" si="45"/>
        <v>13153</v>
      </c>
      <c r="F167" s="216"/>
      <c r="G167" s="171">
        <f t="shared" si="46"/>
        <v>13153</v>
      </c>
      <c r="H167" s="172">
        <f t="shared" si="47"/>
        <v>3.3278883927344849E-3</v>
      </c>
      <c r="I167" s="344"/>
      <c r="J167" s="222"/>
      <c r="K167" s="222"/>
      <c r="L167" s="218"/>
      <c r="M167" s="364">
        <f t="shared" si="48"/>
        <v>0.64841015528715795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490">
        <f>'[52]Sch C'!D179</f>
        <v>19307</v>
      </c>
      <c r="D168" s="490">
        <f>'[52]Sch C'!F179</f>
        <v>1130</v>
      </c>
      <c r="E168" s="171">
        <f t="shared" si="45"/>
        <v>20437</v>
      </c>
      <c r="F168" s="216"/>
      <c r="G168" s="171">
        <f t="shared" si="46"/>
        <v>20437</v>
      </c>
      <c r="H168" s="172">
        <f t="shared" si="47"/>
        <v>5.1708397386386884E-3</v>
      </c>
      <c r="I168" s="343"/>
      <c r="J168" s="217">
        <v>471</v>
      </c>
      <c r="K168" s="217">
        <v>499</v>
      </c>
      <c r="L168" s="218"/>
      <c r="M168" s="364">
        <f t="shared" si="48"/>
        <v>1.0074932215923096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490">
        <f>'[52]Sch C'!D180</f>
        <v>0</v>
      </c>
      <c r="D169" s="490">
        <f>'[52]Sch C'!F180</f>
        <v>2928</v>
      </c>
      <c r="E169" s="171">
        <f t="shared" si="45"/>
        <v>2928</v>
      </c>
      <c r="F169" s="216"/>
      <c r="G169" s="171">
        <f t="shared" si="46"/>
        <v>2928</v>
      </c>
      <c r="H169" s="172">
        <f t="shared" si="47"/>
        <v>7.4082393476215098E-4</v>
      </c>
      <c r="I169" s="344"/>
      <c r="J169" s="222"/>
      <c r="K169" s="222"/>
      <c r="L169" s="218"/>
      <c r="M169" s="364">
        <f t="shared" si="48"/>
        <v>0.14434311067291103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490">
        <f>'[52]Sch C'!D181</f>
        <v>0</v>
      </c>
      <c r="D170" s="490">
        <f>'[52]Sch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3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490">
        <f>'[52]Sch C'!D182</f>
        <v>0</v>
      </c>
      <c r="D171" s="490">
        <f>'[52]Sch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490">
        <f>'[52]Sch C'!D183</f>
        <v>104197</v>
      </c>
      <c r="D172" s="490">
        <f>'[52]Sch C'!F183</f>
        <v>6096</v>
      </c>
      <c r="E172" s="171">
        <f t="shared" si="45"/>
        <v>110293</v>
      </c>
      <c r="F172" s="216"/>
      <c r="G172" s="171">
        <f t="shared" si="46"/>
        <v>110293</v>
      </c>
      <c r="H172" s="172">
        <f t="shared" si="47"/>
        <v>2.7905633277568963E-2</v>
      </c>
      <c r="I172" s="343"/>
      <c r="J172" s="217">
        <v>2742</v>
      </c>
      <c r="K172" s="217">
        <v>2902</v>
      </c>
      <c r="L172" s="218"/>
      <c r="M172" s="364">
        <f t="shared" si="48"/>
        <v>5.4371703228986936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490">
        <f>'[52]Sch C'!D184</f>
        <v>0</v>
      </c>
      <c r="D173" s="490">
        <f>'[52]Sch C'!F184</f>
        <v>15806</v>
      </c>
      <c r="E173" s="171">
        <f t="shared" si="45"/>
        <v>15806</v>
      </c>
      <c r="F173" s="216"/>
      <c r="G173" s="171">
        <f t="shared" si="46"/>
        <v>15806</v>
      </c>
      <c r="H173" s="172">
        <f t="shared" si="47"/>
        <v>3.9991335767932236E-3</v>
      </c>
      <c r="I173" s="344"/>
      <c r="J173" s="222"/>
      <c r="K173" s="222"/>
      <c r="L173" s="218"/>
      <c r="M173" s="364">
        <f t="shared" si="48"/>
        <v>0.7791964505792458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490">
        <f>'[52]Sch C'!D185</f>
        <v>0</v>
      </c>
      <c r="D174" s="490">
        <f>'[52]Sch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3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490">
        <f>'[52]Sch C'!D186</f>
        <v>0</v>
      </c>
      <c r="D175" s="490">
        <f>'[52]Sch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490">
        <f>'[52]Sch C'!D187</f>
        <v>0</v>
      </c>
      <c r="D176" s="490">
        <f>'[52]Sch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490">
        <f>'[52]Sch C'!D188</f>
        <v>176</v>
      </c>
      <c r="D177" s="490">
        <f>'[52]Sch C'!F188</f>
        <v>0</v>
      </c>
      <c r="E177" s="171">
        <f t="shared" si="45"/>
        <v>176</v>
      </c>
      <c r="F177" s="216"/>
      <c r="G177" s="171">
        <f t="shared" si="46"/>
        <v>176</v>
      </c>
      <c r="H177" s="172">
        <f t="shared" si="47"/>
        <v>4.453040045018394E-5</v>
      </c>
      <c r="I177" s="337"/>
      <c r="J177" s="223"/>
      <c r="K177" s="218"/>
      <c r="L177" s="220"/>
      <c r="M177" s="364">
        <f t="shared" si="48"/>
        <v>8.6763618437268909E-3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490">
        <f>'[52]Sch C'!D189</f>
        <v>0</v>
      </c>
      <c r="D178" s="490">
        <f>'[52]Sch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337"/>
      <c r="J178" s="223"/>
      <c r="K178" s="218"/>
      <c r="L178" s="220"/>
      <c r="M178" s="364">
        <f t="shared" si="48"/>
        <v>0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490">
        <f>'[52]Sch C'!D190</f>
        <v>0</v>
      </c>
      <c r="D179" s="490">
        <f>'[52]Sch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490">
        <f>'[52]Sch C'!D191</f>
        <v>0</v>
      </c>
      <c r="D180" s="490">
        <f>'[52]Sch C'!F191</f>
        <v>0</v>
      </c>
      <c r="E180" s="171">
        <f t="shared" si="45"/>
        <v>0</v>
      </c>
      <c r="F180" s="216"/>
      <c r="G180" s="171">
        <f t="shared" si="46"/>
        <v>0</v>
      </c>
      <c r="H180" s="172">
        <f t="shared" si="47"/>
        <v>0</v>
      </c>
      <c r="I180" s="337"/>
      <c r="J180" s="223"/>
      <c r="K180" s="218"/>
      <c r="L180" s="220"/>
      <c r="M180" s="364">
        <f t="shared" si="48"/>
        <v>0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490">
        <f>'[52]Sch C'!D192</f>
        <v>0</v>
      </c>
      <c r="D181" s="490">
        <f>'[52]Sch C'!F192</f>
        <v>0</v>
      </c>
      <c r="E181" s="171">
        <f t="shared" si="45"/>
        <v>0</v>
      </c>
      <c r="F181" s="216"/>
      <c r="G181" s="171">
        <f t="shared" si="46"/>
        <v>0</v>
      </c>
      <c r="H181" s="172">
        <f t="shared" si="47"/>
        <v>0</v>
      </c>
      <c r="I181" s="337"/>
      <c r="J181" s="223"/>
      <c r="K181" s="218"/>
      <c r="L181" s="220"/>
      <c r="M181" s="364">
        <f t="shared" si="48"/>
        <v>0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490">
        <f>'[52]Sch C'!D193</f>
        <v>0</v>
      </c>
      <c r="D182" s="490">
        <f>'[52]Sch C'!F193</f>
        <v>0</v>
      </c>
      <c r="E182" s="171">
        <f t="shared" si="45"/>
        <v>0</v>
      </c>
      <c r="F182" s="216"/>
      <c r="G182" s="171">
        <f t="shared" si="46"/>
        <v>0</v>
      </c>
      <c r="H182" s="172">
        <f t="shared" si="47"/>
        <v>0</v>
      </c>
      <c r="I182" s="337"/>
      <c r="J182" s="223"/>
      <c r="K182" s="218"/>
      <c r="L182" s="220"/>
      <c r="M182" s="364">
        <f t="shared" si="48"/>
        <v>0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490">
        <f>'[52]Sch C'!D194</f>
        <v>0</v>
      </c>
      <c r="D183" s="490">
        <f>'[52]Sch C'!F194</f>
        <v>0</v>
      </c>
      <c r="E183" s="171">
        <f t="shared" si="45"/>
        <v>0</v>
      </c>
      <c r="F183" s="216"/>
      <c r="G183" s="171">
        <f t="shared" si="46"/>
        <v>0</v>
      </c>
      <c r="H183" s="172">
        <f t="shared" si="47"/>
        <v>0</v>
      </c>
      <c r="I183" s="337"/>
      <c r="J183" s="223"/>
      <c r="K183" s="218"/>
      <c r="M183" s="364">
        <f t="shared" si="48"/>
        <v>0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490">
        <f>'[52]Sch C'!D195</f>
        <v>939</v>
      </c>
      <c r="D184" s="490">
        <f>'[52]Sch C'!F195</f>
        <v>0</v>
      </c>
      <c r="E184" s="171">
        <f t="shared" si="45"/>
        <v>939</v>
      </c>
      <c r="F184" s="216"/>
      <c r="G184" s="171">
        <f t="shared" si="46"/>
        <v>939</v>
      </c>
      <c r="H184" s="172">
        <f t="shared" si="47"/>
        <v>2.3757980694728817E-4</v>
      </c>
      <c r="I184" s="337"/>
      <c r="J184" s="223"/>
      <c r="K184" s="218"/>
      <c r="M184" s="364">
        <f t="shared" si="48"/>
        <v>4.6290362336701994E-2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490">
        <f>'[52]Sch C'!D196</f>
        <v>0</v>
      </c>
      <c r="D185" s="490">
        <f>'[52]Sch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490">
        <f>'[52]Sch C'!D197</f>
        <v>0</v>
      </c>
      <c r="D186" s="490">
        <f>'[52]Sch C'!F197</f>
        <v>0</v>
      </c>
      <c r="E186" s="171">
        <f t="shared" si="45"/>
        <v>0</v>
      </c>
      <c r="F186" s="216"/>
      <c r="G186" s="171">
        <f t="shared" si="46"/>
        <v>0</v>
      </c>
      <c r="H186" s="172">
        <f t="shared" si="47"/>
        <v>0</v>
      </c>
      <c r="I186" s="337"/>
      <c r="J186" s="223"/>
      <c r="K186" s="218"/>
      <c r="M186" s="364">
        <f t="shared" si="48"/>
        <v>0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490">
        <f>'[52]Sch C'!D198</f>
        <v>13348</v>
      </c>
      <c r="D187" s="490">
        <f>'[52]Sch C'!F198</f>
        <v>0</v>
      </c>
      <c r="E187" s="171">
        <f t="shared" si="45"/>
        <v>13348</v>
      </c>
      <c r="F187" s="216"/>
      <c r="G187" s="171">
        <f t="shared" si="46"/>
        <v>13348</v>
      </c>
      <c r="H187" s="172">
        <f t="shared" si="47"/>
        <v>3.3772260523241776E-3</v>
      </c>
      <c r="I187" s="337"/>
      <c r="J187" s="223"/>
      <c r="K187" s="218"/>
      <c r="M187" s="364">
        <f t="shared" si="48"/>
        <v>0.65802316982992359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490">
        <f>'[52]Sch C'!D199</f>
        <v>0</v>
      </c>
      <c r="D188" s="490">
        <f>'[52]Sch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7"/>
      <c r="J188" s="223"/>
      <c r="K188" s="218"/>
      <c r="M188" s="364">
        <f t="shared" si="48"/>
        <v>0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490">
        <f>'[52]Sch C'!D200</f>
        <v>0</v>
      </c>
      <c r="D189" s="490">
        <f>'[52]Sch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7"/>
      <c r="J189" s="223"/>
      <c r="K189" s="218"/>
      <c r="M189" s="364">
        <f t="shared" si="48"/>
        <v>0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490">
        <f>'[52]Sch C'!D201</f>
        <v>0</v>
      </c>
      <c r="D190" s="490">
        <f>'[52]Sch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7"/>
      <c r="J190" s="223"/>
      <c r="K190" s="218"/>
      <c r="M190" s="364">
        <f t="shared" si="48"/>
        <v>0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490">
        <f>'[52]Sch C'!D202</f>
        <v>0</v>
      </c>
      <c r="D191" s="490">
        <f>'[52]Sch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490">
        <f>'[52]Sch C'!D203</f>
        <v>0</v>
      </c>
      <c r="D192" s="490">
        <f>'[52]Sch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7"/>
      <c r="J192" s="223"/>
      <c r="K192" s="218"/>
      <c r="M192" s="364">
        <f t="shared" si="48"/>
        <v>0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490">
        <f>'[52]Sch C'!D204</f>
        <v>0</v>
      </c>
      <c r="D193" s="490">
        <f>'[52]Sch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490">
        <f>'[52]Sch C'!D205</f>
        <v>74666</v>
      </c>
      <c r="D194" s="490">
        <f>'[52]Sch C'!F205</f>
        <v>0</v>
      </c>
      <c r="E194" s="171">
        <f t="shared" si="45"/>
        <v>74666</v>
      </c>
      <c r="F194" s="216"/>
      <c r="G194" s="171">
        <f t="shared" si="46"/>
        <v>74666</v>
      </c>
      <c r="H194" s="172">
        <f t="shared" si="47"/>
        <v>1.8891516363712692E-2</v>
      </c>
      <c r="I194" s="337"/>
      <c r="J194" s="223"/>
      <c r="K194" s="218"/>
      <c r="M194" s="364">
        <f t="shared" si="48"/>
        <v>3.6808479171801824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490">
        <f>'[52]Sch C'!D206</f>
        <v>0</v>
      </c>
      <c r="D195" s="490">
        <f>'[52]Sch C'!F206</f>
        <v>0</v>
      </c>
      <c r="E195" s="171">
        <f t="shared" si="45"/>
        <v>0</v>
      </c>
      <c r="F195" s="216"/>
      <c r="G195" s="171">
        <f t="shared" si="46"/>
        <v>0</v>
      </c>
      <c r="H195" s="172">
        <f t="shared" si="47"/>
        <v>0</v>
      </c>
      <c r="I195" s="337"/>
      <c r="J195" s="223"/>
      <c r="K195" s="218"/>
      <c r="M195" s="364">
        <f t="shared" si="48"/>
        <v>0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490">
        <f>'[52]Sch C'!D207</f>
        <v>10933</v>
      </c>
      <c r="D196" s="490">
        <f>'[52]Sch C'!F207</f>
        <v>0</v>
      </c>
      <c r="E196" s="171">
        <f t="shared" si="45"/>
        <v>10933</v>
      </c>
      <c r="F196" s="216"/>
      <c r="G196" s="171">
        <f t="shared" si="46"/>
        <v>10933</v>
      </c>
      <c r="H196" s="172">
        <f t="shared" si="47"/>
        <v>2.7661981143287558E-3</v>
      </c>
      <c r="I196" s="337"/>
      <c r="J196" s="223"/>
      <c r="K196" s="218"/>
      <c r="M196" s="364">
        <f t="shared" si="48"/>
        <v>0.53896968203105744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490">
        <f>SUM(C164:C196)</f>
        <v>310278</v>
      </c>
      <c r="D197" s="490">
        <f>SUM(D164:D196)</f>
        <v>44186</v>
      </c>
      <c r="E197" s="171">
        <f t="shared" ref="E197:F197" si="49">SUM(E164:E196)</f>
        <v>354464</v>
      </c>
      <c r="F197" s="171">
        <f t="shared" si="49"/>
        <v>0</v>
      </c>
      <c r="G197" s="171">
        <f>SUM(G164:G196)</f>
        <v>354464</v>
      </c>
      <c r="H197" s="172">
        <f>IF($G$208=0,0,G197/$G$208)</f>
        <v>8.9684226506670461E-2</v>
      </c>
      <c r="I197" s="337"/>
      <c r="J197" s="168"/>
      <c r="K197" s="168"/>
      <c r="M197" s="364">
        <f>G197/G$228</f>
        <v>17.47419275326596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165"/>
      <c r="G198" s="165"/>
      <c r="H198" s="198"/>
      <c r="I198" s="341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1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490">
        <f>'[52]Sch C'!D211</f>
        <v>103608</v>
      </c>
      <c r="D200" s="490">
        <f>'[52]Sch C'!F211</f>
        <v>6062</v>
      </c>
      <c r="E200" s="171">
        <f t="shared" ref="E200:E205" si="50">C200+D200</f>
        <v>109670</v>
      </c>
      <c r="F200" s="171"/>
      <c r="G200" s="171">
        <f t="shared" ref="G200:G205" si="51">E200+F200</f>
        <v>109670</v>
      </c>
      <c r="H200" s="172">
        <f t="shared" ref="H200:H206" si="52">IF($G$208=0,0,G200/$G$208)</f>
        <v>2.7748005780520869E-2</v>
      </c>
      <c r="I200" s="337"/>
      <c r="J200" s="183">
        <v>4183</v>
      </c>
      <c r="K200" s="183">
        <v>4428</v>
      </c>
      <c r="M200" s="364">
        <f t="shared" ref="M200:M205" si="53">G200/G$228</f>
        <v>5.4064579738723193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490">
        <f>'[52]Sch C'!D212</f>
        <v>0</v>
      </c>
      <c r="D201" s="490">
        <f>'[52]Sch C'!F212</f>
        <v>15717</v>
      </c>
      <c r="E201" s="171">
        <f t="shared" si="50"/>
        <v>15717</v>
      </c>
      <c r="F201" s="171"/>
      <c r="G201" s="171">
        <f t="shared" si="51"/>
        <v>15717</v>
      </c>
      <c r="H201" s="172">
        <f t="shared" si="52"/>
        <v>3.9766153629292103E-3</v>
      </c>
      <c r="I201" s="337"/>
      <c r="J201" s="168"/>
      <c r="K201" s="168"/>
      <c r="M201" s="364">
        <f t="shared" si="53"/>
        <v>0.77480897214690658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490">
        <f>'[52]Sch C'!D213</f>
        <v>15901</v>
      </c>
      <c r="D202" s="490">
        <f>'[52]Sch C'!F213</f>
        <v>0</v>
      </c>
      <c r="E202" s="171">
        <f t="shared" si="50"/>
        <v>15901</v>
      </c>
      <c r="F202" s="171"/>
      <c r="G202" s="171">
        <f t="shared" si="51"/>
        <v>15901</v>
      </c>
      <c r="H202" s="172">
        <f t="shared" si="52"/>
        <v>4.0231698724907663E-3</v>
      </c>
      <c r="I202" s="337"/>
      <c r="J202" s="168"/>
      <c r="K202" s="168"/>
      <c r="M202" s="364">
        <f t="shared" si="53"/>
        <v>0.78387971407443924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490">
        <f>'[52]Sch C'!D214</f>
        <v>0</v>
      </c>
      <c r="D203" s="490">
        <f>'[52]Sch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>
        <f t="shared" si="53"/>
        <v>0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490">
        <f>'[52]Sch C'!D215</f>
        <v>0</v>
      </c>
      <c r="D204" s="490">
        <f>'[52]Sch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490">
        <f>'[52]Sch C'!D216</f>
        <v>1940</v>
      </c>
      <c r="D205" s="490">
        <f>'[52]Sch C'!F216</f>
        <v>0</v>
      </c>
      <c r="E205" s="171">
        <f t="shared" si="50"/>
        <v>1940</v>
      </c>
      <c r="F205" s="171"/>
      <c r="G205" s="171">
        <f t="shared" si="51"/>
        <v>1940</v>
      </c>
      <c r="H205" s="172">
        <f t="shared" si="52"/>
        <v>4.908464595077093E-4</v>
      </c>
      <c r="I205" s="337"/>
      <c r="J205" s="168"/>
      <c r="K205" s="168"/>
      <c r="M205" s="364">
        <f t="shared" si="53"/>
        <v>9.5637170322898687E-2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490">
        <f>SUM(C200:C205)</f>
        <v>121449</v>
      </c>
      <c r="D206" s="490">
        <f>SUM(D200:D205)</f>
        <v>21779</v>
      </c>
      <c r="E206" s="171">
        <f t="shared" ref="E206:F206" si="54">SUM(E200:E205)</f>
        <v>143228</v>
      </c>
      <c r="F206" s="171">
        <f t="shared" si="54"/>
        <v>0</v>
      </c>
      <c r="G206" s="171">
        <f>SUM(G200:G205)</f>
        <v>143228</v>
      </c>
      <c r="H206" s="172">
        <f t="shared" si="52"/>
        <v>3.6238637475448553E-2</v>
      </c>
      <c r="I206" s="337"/>
      <c r="J206" s="168"/>
      <c r="K206" s="168"/>
      <c r="M206" s="364">
        <f>G206/G$228</f>
        <v>7.0607838304165638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490">
        <f>SUM(C25:C206)/2</f>
        <v>3916765</v>
      </c>
      <c r="D208" s="490">
        <f>SUM(D25:D206)/2</f>
        <v>35591.103262327495</v>
      </c>
      <c r="E208" s="171">
        <f t="shared" ref="E208:F208" si="55">SUM(E25:E206)/2</f>
        <v>3952356.1032623276</v>
      </c>
      <c r="F208" s="171">
        <f t="shared" si="55"/>
        <v>0</v>
      </c>
      <c r="G208" s="171">
        <f>SUM(G25:G206)/2</f>
        <v>3952356.1032623276</v>
      </c>
      <c r="H208" s="172">
        <f>IF($G$208=0,0,G208/$G$208)</f>
        <v>1</v>
      </c>
      <c r="I208" s="337"/>
      <c r="J208" s="183">
        <f>SUM(J25:J200)</f>
        <v>98473</v>
      </c>
      <c r="K208" s="183">
        <f>SUM(K25:K200)</f>
        <v>104235</v>
      </c>
      <c r="M208" s="364">
        <f>G208/G$228</f>
        <v>194.84131640435433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490">
        <f>'[52]Sch C'!D221</f>
        <v>3916765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490">
        <f>C208-C211</f>
        <v>0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619"/>
      <c r="D213" s="232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490">
        <f>C21-C208</f>
        <v>264596</v>
      </c>
      <c r="D215" s="490">
        <f>D21-D208</f>
        <v>-35591.103262327495</v>
      </c>
      <c r="E215" s="171">
        <f t="shared" ref="E215:F215" si="56">E21-E208</f>
        <v>229004.89673767239</v>
      </c>
      <c r="F215" s="171">
        <f t="shared" si="56"/>
        <v>0</v>
      </c>
      <c r="G215" s="171">
        <f>G21-G208</f>
        <v>229004.89673767239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491">
        <f>'[52]Sch D'!C9</f>
        <v>16036</v>
      </c>
      <c r="D219" s="491"/>
      <c r="E219" s="235">
        <f t="shared" ref="E219:G227" si="57">C219+D219</f>
        <v>16036</v>
      </c>
      <c r="F219" s="234"/>
      <c r="G219" s="235">
        <f t="shared" si="57"/>
        <v>16036</v>
      </c>
      <c r="H219" s="172">
        <f t="shared" ref="H219:H228" si="58">IF($G$228=0,0,G219/$G$228)</f>
        <v>0.79053487798866162</v>
      </c>
      <c r="I219" s="337"/>
      <c r="J219" s="168"/>
      <c r="K219" s="168"/>
    </row>
    <row r="220" spans="1:14">
      <c r="A220" s="163"/>
      <c r="B220" s="170" t="s">
        <v>217</v>
      </c>
      <c r="C220" s="491">
        <f>'[52]Sch D'!D9</f>
        <v>0</v>
      </c>
      <c r="D220" s="491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7"/>
      <c r="J220" s="168"/>
      <c r="K220" s="168"/>
    </row>
    <row r="221" spans="1:14">
      <c r="A221" s="163"/>
      <c r="B221" s="170" t="s">
        <v>72</v>
      </c>
      <c r="C221" s="491">
        <f>'[52]Sch D'!E9</f>
        <v>1169</v>
      </c>
      <c r="D221" s="491"/>
      <c r="E221" s="235">
        <f t="shared" si="59"/>
        <v>1169</v>
      </c>
      <c r="F221" s="234"/>
      <c r="G221" s="235">
        <f t="shared" si="57"/>
        <v>1169</v>
      </c>
      <c r="H221" s="172">
        <f t="shared" si="58"/>
        <v>5.762878974611782E-2</v>
      </c>
      <c r="I221" s="337"/>
      <c r="J221" s="168"/>
      <c r="K221" s="168"/>
    </row>
    <row r="222" spans="1:14">
      <c r="A222" s="163"/>
      <c r="B222" s="202" t="s">
        <v>334</v>
      </c>
      <c r="C222" s="491">
        <f>'[52]Sch D'!F9</f>
        <v>1164</v>
      </c>
      <c r="D222" s="491"/>
      <c r="E222" s="235">
        <f>C222+D222</f>
        <v>1164</v>
      </c>
      <c r="F222" s="234"/>
      <c r="G222" s="235">
        <f>E222+F222</f>
        <v>1164</v>
      </c>
      <c r="H222" s="172">
        <f t="shared" si="58"/>
        <v>5.7382302193739215E-2</v>
      </c>
      <c r="I222" s="337"/>
      <c r="J222" s="168"/>
      <c r="K222" s="168"/>
    </row>
    <row r="223" spans="1:14">
      <c r="A223" s="163"/>
      <c r="B223" s="170" t="s">
        <v>73</v>
      </c>
      <c r="C223" s="491">
        <f>'[52]Sch D'!G9</f>
        <v>0</v>
      </c>
      <c r="D223" s="491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7"/>
      <c r="J223" s="168"/>
      <c r="K223" s="168"/>
    </row>
    <row r="224" spans="1:14">
      <c r="A224" s="163"/>
      <c r="B224" s="170" t="s">
        <v>74</v>
      </c>
      <c r="C224" s="491">
        <f>'[52]Sch D'!H9</f>
        <v>681</v>
      </c>
      <c r="D224" s="491"/>
      <c r="E224" s="235">
        <f t="shared" si="59"/>
        <v>681</v>
      </c>
      <c r="F224" s="234"/>
      <c r="G224" s="235">
        <f t="shared" si="57"/>
        <v>681</v>
      </c>
      <c r="H224" s="172">
        <f t="shared" si="58"/>
        <v>3.3571604633965982E-2</v>
      </c>
      <c r="I224" s="337"/>
      <c r="J224" s="168"/>
      <c r="K224" s="168"/>
    </row>
    <row r="225" spans="1:11">
      <c r="A225" s="163"/>
      <c r="B225" s="170" t="s">
        <v>236</v>
      </c>
      <c r="C225" s="491">
        <f>'[52]Sch D'!I9</f>
        <v>0</v>
      </c>
      <c r="D225" s="491"/>
      <c r="E225" s="235">
        <f t="shared" si="59"/>
        <v>0</v>
      </c>
      <c r="F225" s="234"/>
      <c r="G225" s="235">
        <f t="shared" si="57"/>
        <v>0</v>
      </c>
      <c r="H225" s="172">
        <f t="shared" si="58"/>
        <v>0</v>
      </c>
      <c r="I225" s="337"/>
      <c r="J225" s="168"/>
      <c r="K225" s="168"/>
    </row>
    <row r="226" spans="1:11">
      <c r="A226" s="163"/>
      <c r="B226" s="170" t="s">
        <v>235</v>
      </c>
      <c r="C226" s="491">
        <f>'[52]Sch D'!J9</f>
        <v>1235</v>
      </c>
      <c r="D226" s="491"/>
      <c r="E226" s="235">
        <f>C226+D226</f>
        <v>1235</v>
      </c>
      <c r="F226" s="234"/>
      <c r="G226" s="235">
        <f>E226+F226</f>
        <v>1235</v>
      </c>
      <c r="H226" s="172">
        <f t="shared" si="58"/>
        <v>6.0882425437515403E-2</v>
      </c>
      <c r="I226" s="337"/>
      <c r="J226" s="168"/>
      <c r="K226" s="168"/>
    </row>
    <row r="227" spans="1:11">
      <c r="A227" s="163"/>
      <c r="B227" s="170" t="s">
        <v>179</v>
      </c>
      <c r="C227" s="491">
        <f>'[52]Sch D'!K9</f>
        <v>0</v>
      </c>
      <c r="D227" s="491"/>
      <c r="E227" s="235">
        <f t="shared" si="59"/>
        <v>0</v>
      </c>
      <c r="F227" s="234"/>
      <c r="G227" s="235">
        <f t="shared" si="57"/>
        <v>0</v>
      </c>
      <c r="H227" s="172">
        <f t="shared" si="58"/>
        <v>0</v>
      </c>
      <c r="I227" s="337"/>
      <c r="J227" s="168"/>
      <c r="K227" s="168"/>
    </row>
    <row r="228" spans="1:11" ht="13.5" thickBot="1">
      <c r="A228" s="163"/>
      <c r="B228" s="236" t="s">
        <v>75</v>
      </c>
      <c r="C228" s="491">
        <f>SUM(C219:C227)</f>
        <v>20285</v>
      </c>
      <c r="D228" s="491">
        <f>SUM(D219:D227)</f>
        <v>0</v>
      </c>
      <c r="E228" s="237">
        <f>SUM(E219:E227)</f>
        <v>20285</v>
      </c>
      <c r="F228" s="237">
        <f>SUM(F219:F227)</f>
        <v>0</v>
      </c>
      <c r="G228" s="237">
        <f>SUM(G219:G227)</f>
        <v>20285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620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619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492">
        <f>'[52]Sch D'!N22</f>
        <v>99</v>
      </c>
      <c r="D231" s="526"/>
      <c r="E231" s="235">
        <f>C231+D231</f>
        <v>99</v>
      </c>
      <c r="F231" s="235"/>
      <c r="G231" s="235">
        <f>E231+F231</f>
        <v>99</v>
      </c>
      <c r="H231" s="167"/>
      <c r="J231" s="168"/>
      <c r="K231" s="168"/>
    </row>
    <row r="232" spans="1:11">
      <c r="A232" s="163"/>
      <c r="B232" s="202" t="s">
        <v>290</v>
      </c>
      <c r="C232" s="492">
        <f>'[52]Sch D'!N24</f>
        <v>99</v>
      </c>
      <c r="D232" s="526"/>
      <c r="E232" s="235">
        <f>C232+D232</f>
        <v>99</v>
      </c>
      <c r="F232" s="235"/>
      <c r="G232" s="235">
        <f>E232+F232</f>
        <v>99</v>
      </c>
      <c r="H232" s="167"/>
      <c r="J232" s="168"/>
      <c r="K232" s="168"/>
    </row>
    <row r="233" spans="1:11">
      <c r="A233" s="163"/>
      <c r="B233" s="202" t="s">
        <v>76</v>
      </c>
      <c r="C233" s="492">
        <f>$C$4-$C$3+1</f>
        <v>365</v>
      </c>
      <c r="D233" s="489"/>
      <c r="E233" s="235">
        <f>C233+D233</f>
        <v>365</v>
      </c>
      <c r="F233" s="240"/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621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492">
        <f>'[52]Sch D'!N28</f>
        <v>36135</v>
      </c>
      <c r="D235" s="489"/>
      <c r="E235" s="234">
        <f>E231*E233</f>
        <v>36135</v>
      </c>
      <c r="F235" s="240"/>
      <c r="G235" s="234">
        <f>G231*G233</f>
        <v>36135</v>
      </c>
      <c r="H235" s="167"/>
      <c r="J235" s="168"/>
      <c r="K235" s="168"/>
    </row>
    <row r="236" spans="1:11" ht="26">
      <c r="A236" s="163"/>
      <c r="B236" s="244" t="s">
        <v>336</v>
      </c>
      <c r="C236" s="493">
        <f>'[52]Sch D'!N30</f>
        <v>0.56136709561367093</v>
      </c>
      <c r="D236" s="240"/>
      <c r="E236" s="245">
        <f>E228/E235</f>
        <v>0.56136709561367093</v>
      </c>
      <c r="F236" s="246"/>
      <c r="G236" s="245">
        <f>G228/G235</f>
        <v>0.56136709561367093</v>
      </c>
      <c r="H236" s="167"/>
      <c r="J236" s="168"/>
      <c r="K236" s="168"/>
    </row>
    <row r="237" spans="1:11" ht="26">
      <c r="A237" s="163"/>
      <c r="B237" s="244" t="s">
        <v>337</v>
      </c>
      <c r="C237" s="493">
        <f>'[52]Sch D'!N32</f>
        <v>0.44378026843780266</v>
      </c>
      <c r="D237" s="240"/>
      <c r="E237" s="245">
        <f>(E219+E220)/E235</f>
        <v>0.44378026843780266</v>
      </c>
      <c r="F237" s="246"/>
      <c r="G237" s="245">
        <f>(G219+G220)/G235</f>
        <v>0.44378026843780266</v>
      </c>
      <c r="H237" s="167"/>
      <c r="J237" s="168"/>
      <c r="K237" s="168"/>
    </row>
    <row r="238" spans="1:11" ht="26">
      <c r="A238" s="163"/>
      <c r="B238" s="244" t="s">
        <v>338</v>
      </c>
      <c r="C238" s="493">
        <f>'[52]Sch D'!N34</f>
        <v>0.79053487798866162</v>
      </c>
      <c r="D238" s="240"/>
      <c r="E238" s="245">
        <f>(E237/E236)</f>
        <v>0.79053487798866162</v>
      </c>
      <c r="F238" s="246"/>
      <c r="G238" s="245">
        <f>(G237/G236)</f>
        <v>0.79053487798866162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490">
        <f>'[52]Sch B'!C85</f>
        <v>172.50660792951541</v>
      </c>
    </row>
    <row r="242" spans="2:7">
      <c r="F242" s="142" t="s">
        <v>341</v>
      </c>
      <c r="G242" s="490">
        <f>'[52]Sch B'!E85</f>
        <v>214.59770114942529</v>
      </c>
    </row>
    <row r="243" spans="2:7">
      <c r="F243" s="142" t="s">
        <v>342</v>
      </c>
      <c r="G243" s="490">
        <f>'[52]Sch B'!G85</f>
        <v>278.8354430379747</v>
      </c>
    </row>
    <row r="244" spans="2:7">
      <c r="F244" s="142" t="s">
        <v>343</v>
      </c>
      <c r="G244" s="490">
        <f>'[52]Sch B'!I85</f>
        <v>207.27272727272728</v>
      </c>
    </row>
    <row r="245" spans="2:7">
      <c r="F245" s="142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F5" sqref="F5"/>
      <pageMargins left="0" right="0" top="0" bottom="1" header="0.5" footer="0.5"/>
      <printOptions horizontalCentered="1"/>
      <pageSetup scale="70" orientation="portrait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r:id="rId3"/>
  <headerFooter alignWithMargins="0">
    <oddFooter>&amp;R&amp;D
&amp;T
&amp;F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2">
    <tabColor rgb="FFE28CAB"/>
  </sheetPr>
  <dimension ref="A1:Q245"/>
  <sheetViews>
    <sheetView showGridLines="0" zoomScale="90" zoomScaleNormal="90" workbookViewId="0">
      <selection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43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478"/>
      <c r="E1" s="478"/>
      <c r="F1" s="482"/>
      <c r="G1" s="478"/>
      <c r="H1" s="478"/>
      <c r="I1" s="479"/>
    </row>
    <row r="2" spans="1:14" ht="23">
      <c r="B2" s="143" t="s">
        <v>189</v>
      </c>
      <c r="C2" s="247" t="s">
        <v>622</v>
      </c>
      <c r="D2" s="247"/>
      <c r="E2" s="144"/>
      <c r="F2" s="453"/>
      <c r="G2"/>
      <c r="H2"/>
    </row>
    <row r="3" spans="1:14" ht="15" customHeight="1">
      <c r="A3" s="145"/>
      <c r="B3" s="140" t="s">
        <v>79</v>
      </c>
      <c r="C3" s="495">
        <v>41821</v>
      </c>
      <c r="D3" s="144"/>
      <c r="E3" s="147"/>
      <c r="F3" s="645"/>
      <c r="G3"/>
      <c r="H3"/>
    </row>
    <row r="4" spans="1:14" ht="15.5">
      <c r="A4" s="145"/>
      <c r="B4" s="148" t="s">
        <v>80</v>
      </c>
      <c r="C4" s="495">
        <v>42185</v>
      </c>
      <c r="D4" s="144"/>
      <c r="E4" s="149"/>
      <c r="F4" s="645" t="s">
        <v>624</v>
      </c>
      <c r="G4"/>
      <c r="H4"/>
    </row>
    <row r="5" spans="1:14" ht="15.5">
      <c r="A5" s="145"/>
      <c r="B5" s="148"/>
      <c r="C5" s="151"/>
      <c r="D5" s="144"/>
      <c r="F5" s="646" t="s">
        <v>619</v>
      </c>
      <c r="G5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419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420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421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588" t="s">
        <v>623</v>
      </c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598" t="s">
        <v>604</v>
      </c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490">
        <f>'[53]Sch B'!E10</f>
        <v>815309</v>
      </c>
      <c r="D11" s="490">
        <f>'[53]Sch B'!G10</f>
        <v>0</v>
      </c>
      <c r="E11" s="171">
        <f>C11+D11</f>
        <v>815309</v>
      </c>
      <c r="F11" s="675">
        <f>585625+322544</f>
        <v>908169</v>
      </c>
      <c r="G11" s="171">
        <f t="shared" ref="G11:G20" si="0">E11+F11</f>
        <v>1723478</v>
      </c>
      <c r="H11" s="172">
        <f t="shared" ref="H11:H21" si="1">IF($G$21=0,0,G11/$G$21)</f>
        <v>0.44686769876661903</v>
      </c>
      <c r="I11" s="337"/>
      <c r="J11" s="368" t="s">
        <v>344</v>
      </c>
      <c r="K11" s="369">
        <f>G21</f>
        <v>3856797</v>
      </c>
      <c r="M11" s="359">
        <f>IFERROR(G11/G219,0)</f>
        <v>208.02389861194931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490">
        <f>'[53]Sch B'!E15</f>
        <v>0</v>
      </c>
      <c r="D12" s="490">
        <f>'[53]Sch B'!G15</f>
        <v>0</v>
      </c>
      <c r="E12" s="171">
        <f t="shared" ref="E12:E20" si="2">C12+D12</f>
        <v>0</v>
      </c>
      <c r="F12" s="418">
        <v>0</v>
      </c>
      <c r="G12" s="171">
        <f>E12+F12</f>
        <v>0</v>
      </c>
      <c r="H12" s="172">
        <f t="shared" si="1"/>
        <v>0</v>
      </c>
      <c r="I12" s="337"/>
      <c r="J12" s="370" t="s">
        <v>345</v>
      </c>
      <c r="K12" s="371">
        <f>G208</f>
        <v>3569181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490">
        <f>'[53]Sch B'!E21</f>
        <v>914908</v>
      </c>
      <c r="D13" s="490">
        <f>'[53]Sch B'!G21</f>
        <v>0</v>
      </c>
      <c r="E13" s="171">
        <f t="shared" si="2"/>
        <v>914908</v>
      </c>
      <c r="F13" s="418">
        <v>569431</v>
      </c>
      <c r="G13" s="171">
        <f t="shared" si="0"/>
        <v>1484339</v>
      </c>
      <c r="H13" s="172">
        <f t="shared" si="1"/>
        <v>0.38486313902442881</v>
      </c>
      <c r="I13" s="337"/>
      <c r="J13" s="370" t="s">
        <v>346</v>
      </c>
      <c r="K13" s="371">
        <f>G228</f>
        <v>14862</v>
      </c>
      <c r="M13" s="359">
        <f t="shared" si="3"/>
        <v>535.08976207642388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490">
        <f>'[53]Sch B'!E27</f>
        <v>93743</v>
      </c>
      <c r="D14" s="490">
        <f>'[53]Sch B'!G27</f>
        <v>0</v>
      </c>
      <c r="E14" s="171">
        <f t="shared" si="2"/>
        <v>93743</v>
      </c>
      <c r="F14" s="418">
        <v>37789</v>
      </c>
      <c r="G14" s="175">
        <f>E14+F14</f>
        <v>131532</v>
      </c>
      <c r="H14" s="176">
        <f t="shared" si="1"/>
        <v>3.4103946876125446E-2</v>
      </c>
      <c r="I14" s="338"/>
      <c r="J14" s="370" t="s">
        <v>347</v>
      </c>
      <c r="K14" s="371">
        <f>G231</f>
        <v>58</v>
      </c>
      <c r="M14" s="359">
        <f t="shared" si="3"/>
        <v>458.29965156794424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490">
        <f>'[53]Sch B'!E32</f>
        <v>0</v>
      </c>
      <c r="D15" s="490">
        <f>'[53]Sch B'!G32</f>
        <v>0</v>
      </c>
      <c r="E15" s="171">
        <f t="shared" si="2"/>
        <v>0</v>
      </c>
      <c r="F15" s="418">
        <v>0</v>
      </c>
      <c r="G15" s="171">
        <f t="shared" si="0"/>
        <v>0</v>
      </c>
      <c r="H15" s="172">
        <f t="shared" si="1"/>
        <v>0</v>
      </c>
      <c r="I15" s="337"/>
      <c r="J15" s="370" t="s">
        <v>348</v>
      </c>
      <c r="K15" s="371">
        <f>G235</f>
        <v>21170</v>
      </c>
      <c r="M15" s="359">
        <f t="shared" si="3"/>
        <v>0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490">
        <f>'[53]Sch B'!E37</f>
        <v>261362</v>
      </c>
      <c r="D16" s="490">
        <f>'[53]Sch B'!G37</f>
        <v>0</v>
      </c>
      <c r="E16" s="171">
        <f t="shared" si="2"/>
        <v>261362</v>
      </c>
      <c r="F16" s="418">
        <v>144901</v>
      </c>
      <c r="G16" s="171">
        <f t="shared" si="0"/>
        <v>406263</v>
      </c>
      <c r="H16" s="172">
        <f t="shared" si="1"/>
        <v>0.10533688965221659</v>
      </c>
      <c r="I16" s="337"/>
      <c r="J16" s="372"/>
      <c r="K16" s="371"/>
      <c r="M16" s="359">
        <f t="shared" si="3"/>
        <v>140.81906412478335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490">
        <f>'[53]Sch B'!E42</f>
        <v>57329</v>
      </c>
      <c r="D17" s="490">
        <f>'[53]Sch B'!G42</f>
        <v>0</v>
      </c>
      <c r="E17" s="171">
        <f t="shared" si="2"/>
        <v>57329</v>
      </c>
      <c r="F17" s="418">
        <v>40852</v>
      </c>
      <c r="G17" s="171">
        <f>E17+F17</f>
        <v>98181</v>
      </c>
      <c r="H17" s="172">
        <f t="shared" si="1"/>
        <v>2.5456615943229576E-2</v>
      </c>
      <c r="I17" s="337"/>
      <c r="J17" s="370" t="s">
        <v>156</v>
      </c>
      <c r="K17" s="371">
        <f>J208</f>
        <v>54540</v>
      </c>
      <c r="M17" s="359">
        <f t="shared" si="3"/>
        <v>169.56994818652851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490">
        <f>'[53]Sch B'!E47</f>
        <v>5375</v>
      </c>
      <c r="D18" s="490">
        <f>'[53]Sch B'!G47</f>
        <v>0</v>
      </c>
      <c r="E18" s="171">
        <f t="shared" si="2"/>
        <v>5375</v>
      </c>
      <c r="F18" s="418">
        <v>1755</v>
      </c>
      <c r="G18" s="171">
        <f>E18+F18</f>
        <v>7130</v>
      </c>
      <c r="H18" s="172">
        <f t="shared" si="1"/>
        <v>1.8486842838759728E-3</v>
      </c>
      <c r="I18" s="337"/>
      <c r="J18" s="373" t="s">
        <v>252</v>
      </c>
      <c r="K18" s="374">
        <f>K208</f>
        <v>56311</v>
      </c>
      <c r="M18" s="359">
        <f t="shared" si="3"/>
        <v>137.11538461538461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490">
        <f>'[53]Sch B'!E52</f>
        <v>0</v>
      </c>
      <c r="D19" s="490">
        <f>'[53]Sch B'!G52</f>
        <v>0</v>
      </c>
      <c r="E19" s="171">
        <f t="shared" si="2"/>
        <v>0</v>
      </c>
      <c r="F19" s="418">
        <v>0</v>
      </c>
      <c r="G19" s="171">
        <f t="shared" si="0"/>
        <v>0</v>
      </c>
      <c r="H19" s="172">
        <f t="shared" si="1"/>
        <v>0</v>
      </c>
      <c r="I19" s="337"/>
      <c r="J19" s="168"/>
      <c r="K19" s="168"/>
      <c r="M19" s="359">
        <f t="shared" si="3"/>
        <v>0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490">
        <f>'[53]Sch B'!E67</f>
        <v>9170</v>
      </c>
      <c r="D20" s="490">
        <f>'[53]Sch B'!G67</f>
        <v>-3296</v>
      </c>
      <c r="E20" s="171">
        <f t="shared" si="2"/>
        <v>5874</v>
      </c>
      <c r="F20" s="675">
        <f>322544.45-322544.45</f>
        <v>0</v>
      </c>
      <c r="G20" s="171">
        <f t="shared" si="0"/>
        <v>5874</v>
      </c>
      <c r="H20" s="172">
        <f t="shared" si="1"/>
        <v>1.523025453504553E-3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490">
        <f>SUM(C11:C20)</f>
        <v>2157196</v>
      </c>
      <c r="D21" s="490">
        <f>SUM(D11:D20)</f>
        <v>-3296</v>
      </c>
      <c r="E21" s="171">
        <f>SUM(E11:E20)</f>
        <v>2153900</v>
      </c>
      <c r="F21" s="418">
        <f>SUM(F11:F20)</f>
        <v>1702897</v>
      </c>
      <c r="G21" s="171">
        <f>SUM(G11:G20)</f>
        <v>3856797</v>
      </c>
      <c r="H21" s="172">
        <f t="shared" si="1"/>
        <v>1</v>
      </c>
      <c r="I21" s="337"/>
      <c r="J21" s="168"/>
      <c r="K21" s="168"/>
      <c r="M21" s="359">
        <f>IFERROR(G21/G228,0)</f>
        <v>259.50726685506663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436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588" t="s">
        <v>623</v>
      </c>
      <c r="M23" s="363"/>
      <c r="N23" s="363"/>
    </row>
    <row r="24" spans="1:14">
      <c r="A24" s="181" t="s">
        <v>161</v>
      </c>
      <c r="B24" s="148" t="s">
        <v>12</v>
      </c>
      <c r="F24" s="598" t="s">
        <v>604</v>
      </c>
      <c r="M24" s="363"/>
      <c r="N24" s="363"/>
    </row>
    <row r="25" spans="1:14" s="167" customFormat="1">
      <c r="A25" s="169" t="s">
        <v>83</v>
      </c>
      <c r="B25" s="170" t="s">
        <v>14</v>
      </c>
      <c r="C25" s="490">
        <f>'[53]Sch C'!D10</f>
        <v>93280</v>
      </c>
      <c r="D25" s="490">
        <f>'[53]Sch C'!F10</f>
        <v>0</v>
      </c>
      <c r="E25" s="171">
        <f t="shared" ref="E25:E60" si="4">C25+D25</f>
        <v>93280</v>
      </c>
      <c r="F25" s="675">
        <v>67114</v>
      </c>
      <c r="G25" s="182">
        <f>E25+F25</f>
        <v>160394</v>
      </c>
      <c r="H25" s="172">
        <f>IF($G$208=0,0,G25/$G$208)</f>
        <v>4.4938600760230429E-2</v>
      </c>
      <c r="I25" s="337"/>
      <c r="J25" s="183">
        <v>1213</v>
      </c>
      <c r="K25" s="183">
        <v>1233</v>
      </c>
      <c r="M25" s="359">
        <f>G25/G$228</f>
        <v>10.792221773650923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490">
        <f>'[53]Sch C'!D11</f>
        <v>0</v>
      </c>
      <c r="D26" s="490">
        <f>'[53]Sch C'!F11</f>
        <v>0</v>
      </c>
      <c r="E26" s="171">
        <f t="shared" si="4"/>
        <v>0</v>
      </c>
      <c r="F26" s="418">
        <v>0</v>
      </c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490">
        <f>'[53]Sch C'!D12</f>
        <v>36348</v>
      </c>
      <c r="D27" s="490">
        <f>'[53]Sch C'!F12</f>
        <v>0</v>
      </c>
      <c r="E27" s="171">
        <f t="shared" si="4"/>
        <v>36348</v>
      </c>
      <c r="F27" s="675">
        <v>23934</v>
      </c>
      <c r="G27" s="171">
        <f t="shared" si="5"/>
        <v>60282</v>
      </c>
      <c r="H27" s="172">
        <f t="shared" si="6"/>
        <v>1.6889588956121866E-2</v>
      </c>
      <c r="I27" s="337"/>
      <c r="J27" s="185">
        <v>2500</v>
      </c>
      <c r="K27" s="185">
        <v>2641</v>
      </c>
      <c r="M27" s="359">
        <f t="shared" si="7"/>
        <v>4.0561162696810662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490">
        <f>'[53]Sch C'!D13</f>
        <v>31882</v>
      </c>
      <c r="D28" s="490">
        <f>'[53]Sch C'!F13</f>
        <v>0</v>
      </c>
      <c r="E28" s="171">
        <f t="shared" si="4"/>
        <v>31882</v>
      </c>
      <c r="F28" s="675">
        <v>31276</v>
      </c>
      <c r="G28" s="171">
        <f t="shared" si="5"/>
        <v>63158</v>
      </c>
      <c r="H28" s="172">
        <f t="shared" si="6"/>
        <v>1.769537605405834E-2</v>
      </c>
      <c r="I28" s="337"/>
      <c r="J28" s="168"/>
      <c r="K28" s="168"/>
      <c r="M28" s="359">
        <f t="shared" si="7"/>
        <v>4.2496299286771633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490">
        <f>'[53]Sch C'!D14</f>
        <v>0</v>
      </c>
      <c r="D29" s="490">
        <f>'[53]Sch C'!F14</f>
        <v>0</v>
      </c>
      <c r="E29" s="171">
        <f t="shared" si="4"/>
        <v>0</v>
      </c>
      <c r="F29" s="418">
        <v>0</v>
      </c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490">
        <f>'[53]Sch C'!D15</f>
        <v>92831</v>
      </c>
      <c r="D30" s="490">
        <f>'[53]Sch C'!F15</f>
        <v>-92831</v>
      </c>
      <c r="E30" s="171">
        <f t="shared" si="4"/>
        <v>0</v>
      </c>
      <c r="F30" s="675">
        <f>133323-133323</f>
        <v>0</v>
      </c>
      <c r="G30" s="171">
        <f t="shared" si="5"/>
        <v>0</v>
      </c>
      <c r="H30" s="172">
        <f t="shared" si="6"/>
        <v>0</v>
      </c>
      <c r="I30" s="337"/>
      <c r="J30" s="168"/>
      <c r="K30" s="168"/>
      <c r="M30" s="359">
        <f t="shared" si="7"/>
        <v>0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490">
        <f>'[53]Sch C'!D16</f>
        <v>0</v>
      </c>
      <c r="D31" s="490">
        <f>'[53]Sch C'!F16</f>
        <v>221110</v>
      </c>
      <c r="E31" s="171">
        <f t="shared" si="4"/>
        <v>221110</v>
      </c>
      <c r="F31" s="675">
        <v>92129</v>
      </c>
      <c r="G31" s="171">
        <f t="shared" si="5"/>
        <v>313239</v>
      </c>
      <c r="H31" s="172">
        <f t="shared" si="6"/>
        <v>8.776215047653789E-2</v>
      </c>
      <c r="I31" s="337"/>
      <c r="J31" s="168"/>
      <c r="K31" s="168"/>
      <c r="M31" s="359">
        <f t="shared" si="7"/>
        <v>21.076503835284619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490">
        <f>'[53]Sch C'!D17</f>
        <v>2167</v>
      </c>
      <c r="D32" s="490">
        <f>'[53]Sch C'!F17</f>
        <v>0</v>
      </c>
      <c r="E32" s="171">
        <f t="shared" si="4"/>
        <v>2167</v>
      </c>
      <c r="F32" s="418">
        <v>586</v>
      </c>
      <c r="G32" s="171">
        <f t="shared" si="5"/>
        <v>2753</v>
      </c>
      <c r="H32" s="172">
        <f t="shared" si="6"/>
        <v>7.7132541050734047E-4</v>
      </c>
      <c r="I32" s="337"/>
      <c r="J32" s="168"/>
      <c r="K32" s="168"/>
      <c r="M32" s="359">
        <f t="shared" si="7"/>
        <v>0.18523751850356615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490">
        <f>'[53]Sch C'!D18</f>
        <v>14435</v>
      </c>
      <c r="D33" s="490">
        <f>'[53]Sch C'!F18</f>
        <v>0</v>
      </c>
      <c r="E33" s="171">
        <f t="shared" si="4"/>
        <v>14435</v>
      </c>
      <c r="F33" s="418">
        <v>9253</v>
      </c>
      <c r="G33" s="171">
        <f t="shared" si="5"/>
        <v>23688</v>
      </c>
      <c r="H33" s="172">
        <f t="shared" si="6"/>
        <v>6.6368166814739851E-3</v>
      </c>
      <c r="I33" s="337"/>
      <c r="J33" s="168"/>
      <c r="K33" s="168"/>
      <c r="M33" s="359">
        <f t="shared" si="7"/>
        <v>1.5938635446104159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490">
        <f>'[53]Sch C'!D19</f>
        <v>3276</v>
      </c>
      <c r="D34" s="490">
        <f>'[53]Sch C'!F19</f>
        <v>0</v>
      </c>
      <c r="E34" s="171">
        <f t="shared" si="4"/>
        <v>3276</v>
      </c>
      <c r="F34" s="418">
        <v>4899</v>
      </c>
      <c r="G34" s="171">
        <f t="shared" si="5"/>
        <v>8175</v>
      </c>
      <c r="H34" s="172">
        <f t="shared" si="6"/>
        <v>2.2904414205948088E-3</v>
      </c>
      <c r="I34" s="337"/>
      <c r="J34" s="168"/>
      <c r="K34" s="168"/>
      <c r="M34" s="359">
        <f t="shared" si="7"/>
        <v>0.55006055712555513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490">
        <f>'[53]Sch C'!D20</f>
        <v>7863</v>
      </c>
      <c r="D35" s="490">
        <f>'[53]Sch C'!F20</f>
        <v>0</v>
      </c>
      <c r="E35" s="171">
        <f t="shared" si="4"/>
        <v>7863</v>
      </c>
      <c r="F35" s="418">
        <v>5107</v>
      </c>
      <c r="G35" s="171">
        <f t="shared" si="5"/>
        <v>12970</v>
      </c>
      <c r="H35" s="172">
        <f t="shared" si="6"/>
        <v>3.6338868776898676E-3</v>
      </c>
      <c r="I35" s="337"/>
      <c r="J35" s="168"/>
      <c r="K35" s="168"/>
      <c r="M35" s="359">
        <f t="shared" si="7"/>
        <v>0.87269546494415284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490">
        <f>'[53]Sch C'!D21</f>
        <v>10480</v>
      </c>
      <c r="D36" s="490">
        <f>'[53]Sch C'!F21</f>
        <v>36047</v>
      </c>
      <c r="E36" s="171">
        <f t="shared" si="4"/>
        <v>46527</v>
      </c>
      <c r="F36" s="675">
        <f>22712-19065</f>
        <v>3647</v>
      </c>
      <c r="G36" s="171">
        <f t="shared" si="5"/>
        <v>50174</v>
      </c>
      <c r="H36" s="172">
        <f t="shared" si="6"/>
        <v>1.4057566707880604E-2</v>
      </c>
      <c r="I36" s="337"/>
      <c r="J36" s="168"/>
      <c r="K36" s="168"/>
      <c r="M36" s="359">
        <f t="shared" si="7"/>
        <v>3.3759924640021532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490">
        <f>'[53]Sch C'!D22</f>
        <v>0</v>
      </c>
      <c r="D37" s="490">
        <f>'[53]Sch C'!F22</f>
        <v>0</v>
      </c>
      <c r="E37" s="171">
        <f t="shared" si="4"/>
        <v>0</v>
      </c>
      <c r="F37" s="418">
        <v>0</v>
      </c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490">
        <f>'[53]Sch C'!D23</f>
        <v>11910</v>
      </c>
      <c r="D38" s="490">
        <f>'[53]Sch C'!F23</f>
        <v>0</v>
      </c>
      <c r="E38" s="171">
        <f t="shared" si="4"/>
        <v>11910</v>
      </c>
      <c r="F38" s="418">
        <v>6688</v>
      </c>
      <c r="G38" s="171">
        <f t="shared" si="5"/>
        <v>18598</v>
      </c>
      <c r="H38" s="172">
        <f t="shared" si="6"/>
        <v>5.2107192098131199E-3</v>
      </c>
      <c r="I38" s="337"/>
      <c r="J38" s="168"/>
      <c r="K38" s="168"/>
      <c r="M38" s="359">
        <f t="shared" si="7"/>
        <v>1.2513793567487552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490">
        <f>'[53]Sch C'!D24</f>
        <v>21942</v>
      </c>
      <c r="D39" s="490">
        <f>'[53]Sch C'!F24</f>
        <v>0</v>
      </c>
      <c r="E39" s="171">
        <f t="shared" si="4"/>
        <v>21942</v>
      </c>
      <c r="F39" s="418">
        <v>16246</v>
      </c>
      <c r="G39" s="171">
        <f t="shared" si="5"/>
        <v>38188</v>
      </c>
      <c r="H39" s="172">
        <f t="shared" si="6"/>
        <v>1.0699373329623799E-2</v>
      </c>
      <c r="I39" s="337"/>
      <c r="J39" s="168"/>
      <c r="K39" s="168"/>
      <c r="M39" s="359">
        <f t="shared" si="7"/>
        <v>2.5695061229982508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490">
        <f>'[53]Sch C'!D25</f>
        <v>0</v>
      </c>
      <c r="D40" s="490">
        <f>'[53]Sch C'!F25</f>
        <v>0</v>
      </c>
      <c r="E40" s="171">
        <f t="shared" si="4"/>
        <v>0</v>
      </c>
      <c r="F40" s="418">
        <v>0</v>
      </c>
      <c r="G40" s="171">
        <f t="shared" si="5"/>
        <v>0</v>
      </c>
      <c r="H40" s="172">
        <f t="shared" si="6"/>
        <v>0</v>
      </c>
      <c r="I40" s="337"/>
      <c r="J40" s="168"/>
      <c r="K40" s="168"/>
      <c r="M40" s="359">
        <f t="shared" si="7"/>
        <v>0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490">
        <f>'[53]Sch C'!D26</f>
        <v>108247</v>
      </c>
      <c r="D41" s="490">
        <f>'[53]Sch C'!F26</f>
        <v>0</v>
      </c>
      <c r="E41" s="171">
        <f t="shared" si="4"/>
        <v>108247</v>
      </c>
      <c r="F41" s="418">
        <v>73304</v>
      </c>
      <c r="G41" s="171">
        <f t="shared" si="5"/>
        <v>181551</v>
      </c>
      <c r="H41" s="172">
        <f t="shared" si="6"/>
        <v>5.0866291174361852E-2</v>
      </c>
      <c r="I41" s="337"/>
      <c r="J41" s="168"/>
      <c r="K41" s="168"/>
      <c r="M41" s="359">
        <f t="shared" si="7"/>
        <v>12.215785224061365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490">
        <f>'[53]Sch C'!D27</f>
        <v>2416</v>
      </c>
      <c r="D42" s="490">
        <f>'[53]Sch C'!F27</f>
        <v>4269</v>
      </c>
      <c r="E42" s="171">
        <f t="shared" si="4"/>
        <v>6685</v>
      </c>
      <c r="F42" s="418">
        <v>2539</v>
      </c>
      <c r="G42" s="171">
        <f t="shared" si="5"/>
        <v>9224</v>
      </c>
      <c r="H42" s="172">
        <f t="shared" si="6"/>
        <v>2.5843463808644055E-3</v>
      </c>
      <c r="I42" s="337"/>
      <c r="J42" s="168"/>
      <c r="K42" s="168"/>
      <c r="M42" s="359">
        <f t="shared" si="7"/>
        <v>0.62064325124478537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490">
        <f>'[53]Sch C'!D28</f>
        <v>0</v>
      </c>
      <c r="D43" s="490">
        <f>'[53]Sch C'!F28</f>
        <v>0</v>
      </c>
      <c r="E43" s="171">
        <f t="shared" si="4"/>
        <v>0</v>
      </c>
      <c r="F43" s="418">
        <v>0</v>
      </c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490">
        <f>'[53]Sch C'!D29</f>
        <v>41969</v>
      </c>
      <c r="D44" s="490">
        <f>'[53]Sch C'!F29</f>
        <v>-41969</v>
      </c>
      <c r="E44" s="171">
        <f t="shared" si="4"/>
        <v>0</v>
      </c>
      <c r="F44" s="418">
        <v>0</v>
      </c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490">
        <f>'[53]Sch C'!D30</f>
        <v>621</v>
      </c>
      <c r="D45" s="490">
        <f>'[53]Sch C'!F30</f>
        <v>-621</v>
      </c>
      <c r="E45" s="171">
        <f t="shared" si="4"/>
        <v>0</v>
      </c>
      <c r="F45" s="418">
        <v>0</v>
      </c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490">
        <f>'[53]Sch C'!D31</f>
        <v>0</v>
      </c>
      <c r="D46" s="490">
        <f>'[53]Sch C'!F31</f>
        <v>0</v>
      </c>
      <c r="E46" s="171">
        <f t="shared" si="4"/>
        <v>0</v>
      </c>
      <c r="F46" s="418">
        <v>0</v>
      </c>
      <c r="G46" s="171">
        <f t="shared" si="5"/>
        <v>0</v>
      </c>
      <c r="H46" s="172">
        <f t="shared" si="6"/>
        <v>0</v>
      </c>
      <c r="I46" s="337"/>
      <c r="J46" s="168"/>
      <c r="K46" s="168"/>
      <c r="M46" s="359">
        <f t="shared" si="7"/>
        <v>0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490">
        <f>'[53]Sch C'!D32</f>
        <v>3632</v>
      </c>
      <c r="D47" s="490">
        <f>'[53]Sch C'!F32</f>
        <v>0</v>
      </c>
      <c r="E47" s="171">
        <f t="shared" si="4"/>
        <v>3632</v>
      </c>
      <c r="F47" s="418">
        <v>16587</v>
      </c>
      <c r="G47" s="171">
        <f t="shared" si="5"/>
        <v>20219</v>
      </c>
      <c r="H47" s="172">
        <f t="shared" si="6"/>
        <v>5.6648850254442124E-3</v>
      </c>
      <c r="I47" s="337"/>
      <c r="J47" s="168"/>
      <c r="K47" s="168"/>
      <c r="M47" s="359">
        <f t="shared" si="7"/>
        <v>1.3604494684430091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490">
        <f>'[53]Sch C'!D33</f>
        <v>0</v>
      </c>
      <c r="D48" s="490">
        <f>'[53]Sch C'!F33</f>
        <v>0</v>
      </c>
      <c r="E48" s="171">
        <f t="shared" si="4"/>
        <v>0</v>
      </c>
      <c r="F48" s="418">
        <v>0</v>
      </c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490">
        <f>'[53]Sch C'!D34</f>
        <v>0</v>
      </c>
      <c r="D49" s="490">
        <f>'[53]Sch C'!F34</f>
        <v>0</v>
      </c>
      <c r="E49" s="171">
        <f t="shared" si="4"/>
        <v>0</v>
      </c>
      <c r="F49" s="418">
        <v>0</v>
      </c>
      <c r="G49" s="171">
        <f t="shared" si="5"/>
        <v>0</v>
      </c>
      <c r="H49" s="172">
        <f t="shared" si="6"/>
        <v>0</v>
      </c>
      <c r="I49" s="337"/>
      <c r="J49" s="168"/>
      <c r="K49" s="168"/>
      <c r="M49" s="359">
        <f t="shared" si="7"/>
        <v>0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490">
        <f>'[53]Sch C'!D35</f>
        <v>1560</v>
      </c>
      <c r="D50" s="490">
        <f>'[53]Sch C'!F35</f>
        <v>-1560</v>
      </c>
      <c r="E50" s="171">
        <f t="shared" si="4"/>
        <v>0</v>
      </c>
      <c r="F50" s="418">
        <v>0</v>
      </c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490">
        <f>'[53]Sch C'!D36</f>
        <v>0</v>
      </c>
      <c r="D51" s="490">
        <f>'[53]Sch C'!F36</f>
        <v>0</v>
      </c>
      <c r="E51" s="171">
        <f t="shared" si="4"/>
        <v>0</v>
      </c>
      <c r="F51" s="418">
        <v>0</v>
      </c>
      <c r="G51" s="171">
        <f t="shared" si="5"/>
        <v>0</v>
      </c>
      <c r="H51" s="172">
        <f t="shared" si="6"/>
        <v>0</v>
      </c>
      <c r="I51" s="337"/>
      <c r="J51" s="183">
        <v>0</v>
      </c>
      <c r="K51" s="183">
        <v>0</v>
      </c>
      <c r="M51" s="359">
        <f t="shared" si="7"/>
        <v>0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490">
        <f>'[53]Sch C'!D37</f>
        <v>0</v>
      </c>
      <c r="D52" s="490">
        <f>'[53]Sch C'!F37</f>
        <v>0</v>
      </c>
      <c r="E52" s="171">
        <f t="shared" si="4"/>
        <v>0</v>
      </c>
      <c r="F52" s="418">
        <v>0</v>
      </c>
      <c r="G52" s="171">
        <f t="shared" si="5"/>
        <v>0</v>
      </c>
      <c r="H52" s="172">
        <f t="shared" si="6"/>
        <v>0</v>
      </c>
      <c r="I52" s="337"/>
      <c r="J52" s="168"/>
      <c r="K52" s="168"/>
      <c r="M52" s="359">
        <f t="shared" si="7"/>
        <v>0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490">
        <f>'[53]Sch C'!D38</f>
        <v>0</v>
      </c>
      <c r="D53" s="490">
        <f>'[53]Sch C'!F38</f>
        <v>0</v>
      </c>
      <c r="E53" s="171">
        <f t="shared" si="4"/>
        <v>0</v>
      </c>
      <c r="F53" s="418">
        <v>0</v>
      </c>
      <c r="G53" s="171">
        <f t="shared" si="5"/>
        <v>0</v>
      </c>
      <c r="H53" s="172">
        <f t="shared" si="6"/>
        <v>0</v>
      </c>
      <c r="I53" s="337"/>
      <c r="J53" s="168"/>
      <c r="K53" s="168"/>
      <c r="M53" s="359">
        <f t="shared" si="7"/>
        <v>0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490">
        <f>'[53]Sch C'!D39</f>
        <v>7169</v>
      </c>
      <c r="D54" s="490">
        <f>'[53]Sch C'!F39</f>
        <v>133</v>
      </c>
      <c r="E54" s="171">
        <f t="shared" si="4"/>
        <v>7302</v>
      </c>
      <c r="F54" s="418">
        <v>7534</v>
      </c>
      <c r="G54" s="171">
        <f t="shared" si="5"/>
        <v>14836</v>
      </c>
      <c r="H54" s="172">
        <f t="shared" si="6"/>
        <v>4.1566958918586644E-3</v>
      </c>
      <c r="I54" s="337"/>
      <c r="J54" s="168"/>
      <c r="K54" s="168"/>
      <c r="M54" s="359">
        <f t="shared" si="7"/>
        <v>0.99825057192840805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490">
        <f>'[53]Sch C'!D40</f>
        <v>7088</v>
      </c>
      <c r="D55" s="490">
        <f>'[53]Sch C'!F40</f>
        <v>-7088</v>
      </c>
      <c r="E55" s="171">
        <f t="shared" si="4"/>
        <v>0</v>
      </c>
      <c r="F55" s="418">
        <v>0</v>
      </c>
      <c r="G55" s="171">
        <f t="shared" si="5"/>
        <v>0</v>
      </c>
      <c r="H55" s="172">
        <f t="shared" si="6"/>
        <v>0</v>
      </c>
      <c r="I55" s="337"/>
      <c r="J55" s="168"/>
      <c r="K55" s="168"/>
      <c r="M55" s="359">
        <f t="shared" si="7"/>
        <v>0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490">
        <f>'[53]Sch C'!D41</f>
        <v>6655</v>
      </c>
      <c r="D56" s="490">
        <f>'[53]Sch C'!F41</f>
        <v>0</v>
      </c>
      <c r="E56" s="171">
        <f t="shared" si="4"/>
        <v>6655</v>
      </c>
      <c r="F56" s="675">
        <f>127524-121898</f>
        <v>5626</v>
      </c>
      <c r="G56" s="171">
        <f t="shared" si="5"/>
        <v>12281</v>
      </c>
      <c r="H56" s="172">
        <f t="shared" si="6"/>
        <v>3.4408453928226109E-3</v>
      </c>
      <c r="I56" s="337"/>
      <c r="J56" s="168"/>
      <c r="K56" s="168"/>
      <c r="M56" s="359">
        <f t="shared" si="7"/>
        <v>0.82633562104696545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490">
        <f>'[53]Sch C'!D42</f>
        <v>1921</v>
      </c>
      <c r="D57" s="490">
        <f>'[53]Sch C'!F42</f>
        <v>0</v>
      </c>
      <c r="E57" s="171">
        <f t="shared" si="4"/>
        <v>1921</v>
      </c>
      <c r="F57" s="418">
        <v>0</v>
      </c>
      <c r="G57" s="171">
        <f t="shared" si="5"/>
        <v>1921</v>
      </c>
      <c r="H57" s="172">
        <f t="shared" si="6"/>
        <v>5.3821871179970981E-4</v>
      </c>
      <c r="I57" s="337"/>
      <c r="J57" s="168"/>
      <c r="K57" s="168"/>
      <c r="M57" s="359">
        <f t="shared" si="7"/>
        <v>0.1292558202126228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490">
        <f>'[53]Sch C'!D43</f>
        <v>0</v>
      </c>
      <c r="D58" s="490">
        <f>'[53]Sch C'!F43</f>
        <v>0</v>
      </c>
      <c r="E58" s="171">
        <f t="shared" si="4"/>
        <v>0</v>
      </c>
      <c r="F58" s="418">
        <v>0</v>
      </c>
      <c r="G58" s="171">
        <f t="shared" si="5"/>
        <v>0</v>
      </c>
      <c r="H58" s="172">
        <f t="shared" si="6"/>
        <v>0</v>
      </c>
      <c r="I58" s="337"/>
      <c r="J58" s="168"/>
      <c r="K58" s="168"/>
      <c r="M58" s="359">
        <f t="shared" si="7"/>
        <v>0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490">
        <f>'[53]Sch C'!D44</f>
        <v>3103</v>
      </c>
      <c r="D59" s="490">
        <f>'[53]Sch C'!F44</f>
        <v>-2651</v>
      </c>
      <c r="E59" s="171">
        <f t="shared" si="4"/>
        <v>452</v>
      </c>
      <c r="F59" s="418">
        <v>895</v>
      </c>
      <c r="G59" s="171">
        <f t="shared" si="5"/>
        <v>1347</v>
      </c>
      <c r="H59" s="172">
        <f t="shared" si="6"/>
        <v>3.7739750379708957E-4</v>
      </c>
      <c r="I59" s="337"/>
      <c r="J59" s="168"/>
      <c r="K59" s="168"/>
      <c r="M59" s="359">
        <f t="shared" si="7"/>
        <v>9.0633831247476787E-2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490">
        <f>'[53]Sch C'!D45</f>
        <v>2295</v>
      </c>
      <c r="D60" s="490">
        <f>'[53]Sch C'!F45</f>
        <v>-25</v>
      </c>
      <c r="E60" s="171">
        <f t="shared" si="4"/>
        <v>2270</v>
      </c>
      <c r="F60" s="418">
        <v>505</v>
      </c>
      <c r="G60" s="171">
        <f t="shared" si="5"/>
        <v>2775</v>
      </c>
      <c r="H60" s="172">
        <f t="shared" si="6"/>
        <v>7.7748928955970566E-4</v>
      </c>
      <c r="I60" s="337"/>
      <c r="J60" s="168"/>
      <c r="K60" s="168"/>
      <c r="M60" s="359">
        <f t="shared" si="7"/>
        <v>0.18671780379491321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490">
        <f>SUM(C25:C60)</f>
        <v>513090</v>
      </c>
      <c r="D61" s="490">
        <f>SUM(D25:D60)</f>
        <v>114814</v>
      </c>
      <c r="E61" s="171">
        <f t="shared" ref="E61:F61" si="8">SUM(E25:E60)</f>
        <v>627904</v>
      </c>
      <c r="F61" s="171">
        <f t="shared" si="8"/>
        <v>367869</v>
      </c>
      <c r="G61" s="171">
        <f>SUM(G25:G60)</f>
        <v>995773</v>
      </c>
      <c r="H61" s="186">
        <f t="shared" si="6"/>
        <v>0.2789920152550403</v>
      </c>
      <c r="I61" s="339"/>
      <c r="J61" s="168"/>
      <c r="K61" s="168"/>
      <c r="M61" s="364">
        <f>G61/G$228</f>
        <v>67.001278428206163</v>
      </c>
      <c r="N61" s="359">
        <f>SUMMARY!J64</f>
        <v>50.526072695090264</v>
      </c>
    </row>
    <row r="62" spans="1:14" s="167" customFormat="1" ht="14">
      <c r="A62" s="163"/>
      <c r="C62" s="165"/>
      <c r="D62" s="165"/>
      <c r="E62" s="165"/>
      <c r="F62" s="645" t="s">
        <v>624</v>
      </c>
      <c r="G62" s="165"/>
      <c r="H62" s="187"/>
      <c r="I62" s="340"/>
      <c r="J62" s="168"/>
      <c r="K62" s="168"/>
      <c r="M62" s="359"/>
      <c r="N62" s="359"/>
    </row>
    <row r="63" spans="1:14" s="167" customFormat="1" ht="14">
      <c r="A63" s="169" t="s">
        <v>162</v>
      </c>
      <c r="B63" s="170" t="s">
        <v>178</v>
      </c>
      <c r="C63" s="165"/>
      <c r="D63" s="165"/>
      <c r="E63" s="165"/>
      <c r="F63" s="646" t="s">
        <v>619</v>
      </c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490">
        <f>'[53]Sch C'!D57</f>
        <v>99925</v>
      </c>
      <c r="D64" s="490">
        <f>'[53]Sch C'!F57</f>
        <v>-99925</v>
      </c>
      <c r="E64" s="171">
        <f t="shared" ref="E64:E78" si="9">C64+D64</f>
        <v>0</v>
      </c>
      <c r="F64" s="675">
        <f>158775-158775</f>
        <v>0</v>
      </c>
      <c r="G64" s="171">
        <f t="shared" ref="G64:G78" si="10">E64+F64</f>
        <v>0</v>
      </c>
      <c r="H64" s="172">
        <f t="shared" ref="H64:H79" si="11">IF($G$208=0,0,G64/$G$208)</f>
        <v>0</v>
      </c>
      <c r="I64" s="337"/>
      <c r="J64" s="190"/>
      <c r="K64" s="168"/>
      <c r="M64" s="359">
        <f t="shared" ref="M64:M79" si="12">G64/G$228</f>
        <v>0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490">
        <f>'[53]Sch C'!D58</f>
        <v>22199</v>
      </c>
      <c r="D65" s="490">
        <f>'[53]Sch C'!F58</f>
        <v>17646</v>
      </c>
      <c r="E65" s="171">
        <f t="shared" si="9"/>
        <v>39845</v>
      </c>
      <c r="F65" s="675">
        <f>191+26090</f>
        <v>26281</v>
      </c>
      <c r="G65" s="171">
        <f t="shared" si="10"/>
        <v>66126</v>
      </c>
      <c r="H65" s="172">
        <f t="shared" si="11"/>
        <v>1.8526939373486522E-2</v>
      </c>
      <c r="I65" s="337"/>
      <c r="J65" s="190"/>
      <c r="K65" s="168"/>
      <c r="M65" s="359">
        <f t="shared" si="12"/>
        <v>4.4493338716188937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490">
        <f>'[53]Sch C'!D59</f>
        <v>0</v>
      </c>
      <c r="D66" s="490">
        <f>'[53]Sch C'!F59</f>
        <v>53717</v>
      </c>
      <c r="E66" s="171">
        <f t="shared" si="9"/>
        <v>53717</v>
      </c>
      <c r="F66" s="675">
        <v>27314</v>
      </c>
      <c r="G66" s="171">
        <f t="shared" si="10"/>
        <v>81031</v>
      </c>
      <c r="H66" s="172">
        <f t="shared" si="11"/>
        <v>2.270296743146397E-2</v>
      </c>
      <c r="I66" s="337"/>
      <c r="J66" s="190"/>
      <c r="K66" s="168"/>
      <c r="M66" s="359">
        <f t="shared" si="12"/>
        <v>5.4522271565065266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490">
        <f>'[53]Sch C'!D60</f>
        <v>4178</v>
      </c>
      <c r="D67" s="490">
        <f>'[53]Sch C'!F60</f>
        <v>0</v>
      </c>
      <c r="E67" s="171">
        <f t="shared" si="9"/>
        <v>4178</v>
      </c>
      <c r="F67" s="675">
        <f>6132-1332</f>
        <v>4800</v>
      </c>
      <c r="G67" s="171">
        <f t="shared" si="10"/>
        <v>8978</v>
      </c>
      <c r="H67" s="172">
        <f t="shared" si="11"/>
        <v>2.5154230060061397E-3</v>
      </c>
      <c r="I67" s="337"/>
      <c r="J67" s="193"/>
      <c r="K67" s="168"/>
      <c r="M67" s="359">
        <f t="shared" si="12"/>
        <v>0.6040909702597228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490">
        <f>'[53]Sch C'!D61</f>
        <v>5890</v>
      </c>
      <c r="D68" s="490">
        <f>'[53]Sch C'!F61</f>
        <v>3</v>
      </c>
      <c r="E68" s="171">
        <f t="shared" si="9"/>
        <v>5893</v>
      </c>
      <c r="F68" s="418">
        <v>3734</v>
      </c>
      <c r="G68" s="171">
        <f t="shared" si="10"/>
        <v>9627</v>
      </c>
      <c r="H68" s="172">
        <f t="shared" si="11"/>
        <v>2.6972574380509143E-3</v>
      </c>
      <c r="I68" s="337"/>
      <c r="J68" s="193"/>
      <c r="K68" s="168"/>
      <c r="M68" s="359">
        <f t="shared" si="12"/>
        <v>0.64775938635446106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490">
        <f>'[53]Sch C'!D62</f>
        <v>758</v>
      </c>
      <c r="D69" s="490">
        <f>'[53]Sch C'!F62</f>
        <v>-460</v>
      </c>
      <c r="E69" s="171">
        <f t="shared" si="9"/>
        <v>298</v>
      </c>
      <c r="F69" s="418">
        <v>0</v>
      </c>
      <c r="G69" s="171">
        <f t="shared" si="10"/>
        <v>298</v>
      </c>
      <c r="H69" s="172">
        <f t="shared" si="11"/>
        <v>8.3492543527492727E-5</v>
      </c>
      <c r="I69" s="337"/>
      <c r="J69" s="195"/>
      <c r="K69" s="168"/>
      <c r="M69" s="359">
        <f t="shared" si="12"/>
        <v>2.0051137128246535E-2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490">
        <f>'[53]Sch C'!D63</f>
        <v>0</v>
      </c>
      <c r="D70" s="490">
        <f>'[53]Sch C'!F63</f>
        <v>0</v>
      </c>
      <c r="E70" s="171">
        <f t="shared" si="9"/>
        <v>0</v>
      </c>
      <c r="F70" s="418">
        <v>0</v>
      </c>
      <c r="G70" s="171">
        <f t="shared" si="10"/>
        <v>0</v>
      </c>
      <c r="H70" s="172">
        <f t="shared" si="11"/>
        <v>0</v>
      </c>
      <c r="I70" s="337"/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490">
        <f>'[53]Sch C'!D64</f>
        <v>0</v>
      </c>
      <c r="D71" s="490">
        <f>'[53]Sch C'!F64</f>
        <v>0</v>
      </c>
      <c r="E71" s="171">
        <f t="shared" si="9"/>
        <v>0</v>
      </c>
      <c r="F71" s="418">
        <v>0</v>
      </c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490">
        <f>'[53]Sch C'!D65</f>
        <v>0</v>
      </c>
      <c r="D72" s="490">
        <f>'[53]Sch C'!F65</f>
        <v>0</v>
      </c>
      <c r="E72" s="171">
        <f t="shared" si="9"/>
        <v>0</v>
      </c>
      <c r="F72" s="418">
        <v>0</v>
      </c>
      <c r="G72" s="171">
        <f t="shared" si="10"/>
        <v>0</v>
      </c>
      <c r="H72" s="172">
        <f t="shared" si="11"/>
        <v>0</v>
      </c>
      <c r="I72" s="337"/>
      <c r="J72" s="195"/>
      <c r="K72" s="168"/>
      <c r="M72" s="359">
        <f t="shared" si="12"/>
        <v>0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490">
        <f>'[53]Sch C'!D66</f>
        <v>0</v>
      </c>
      <c r="D73" s="490">
        <f>'[53]Sch C'!F66</f>
        <v>0</v>
      </c>
      <c r="E73" s="171">
        <f t="shared" si="9"/>
        <v>0</v>
      </c>
      <c r="F73" s="418">
        <v>0</v>
      </c>
      <c r="G73" s="171">
        <f t="shared" si="10"/>
        <v>0</v>
      </c>
      <c r="H73" s="172">
        <f t="shared" si="11"/>
        <v>0</v>
      </c>
      <c r="I73" s="337"/>
      <c r="J73" s="195"/>
      <c r="K73" s="168"/>
      <c r="M73" s="359">
        <f t="shared" si="12"/>
        <v>0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490">
        <f>'[53]Sch C'!D67</f>
        <v>23546</v>
      </c>
      <c r="D74" s="490">
        <f>'[53]Sch C'!F67</f>
        <v>51997</v>
      </c>
      <c r="E74" s="171">
        <f t="shared" si="9"/>
        <v>75543</v>
      </c>
      <c r="F74" s="675">
        <f>35+40385</f>
        <v>40420</v>
      </c>
      <c r="G74" s="171">
        <f t="shared" si="10"/>
        <v>115963</v>
      </c>
      <c r="H74" s="172">
        <f t="shared" si="11"/>
        <v>3.2490086661337715E-2</v>
      </c>
      <c r="I74" s="337"/>
      <c r="J74" s="195"/>
      <c r="K74" s="168"/>
      <c r="M74" s="359">
        <f t="shared" si="12"/>
        <v>7.8026510563854128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490">
        <f>'[53]Sch C'!D68</f>
        <v>0</v>
      </c>
      <c r="D75" s="490">
        <f>'[53]Sch C'!F68</f>
        <v>0</v>
      </c>
      <c r="E75" s="171">
        <f t="shared" si="9"/>
        <v>0</v>
      </c>
      <c r="F75" s="418">
        <v>0</v>
      </c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490">
        <f>'[53]Sch C'!D69</f>
        <v>0</v>
      </c>
      <c r="D76" s="490">
        <f>'[53]Sch C'!F69</f>
        <v>0</v>
      </c>
      <c r="E76" s="171">
        <f t="shared" si="9"/>
        <v>0</v>
      </c>
      <c r="F76" s="675">
        <v>1332</v>
      </c>
      <c r="G76" s="171">
        <f t="shared" si="10"/>
        <v>1332</v>
      </c>
      <c r="H76" s="172">
        <f t="shared" si="11"/>
        <v>3.7319485898865872E-4</v>
      </c>
      <c r="I76" s="337"/>
      <c r="J76" s="195"/>
      <c r="K76" s="168"/>
      <c r="M76" s="359">
        <f t="shared" si="12"/>
        <v>8.9624545821558335E-2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490">
        <f>'[53]Sch C'!D70</f>
        <v>0</v>
      </c>
      <c r="D77" s="490">
        <f>'[53]Sch C'!F70</f>
        <v>0</v>
      </c>
      <c r="E77" s="171">
        <f t="shared" si="9"/>
        <v>0</v>
      </c>
      <c r="F77" s="418">
        <v>0</v>
      </c>
      <c r="G77" s="171">
        <f t="shared" si="10"/>
        <v>0</v>
      </c>
      <c r="H77" s="172">
        <f t="shared" si="11"/>
        <v>0</v>
      </c>
      <c r="I77" s="337"/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490">
        <f>'[53]Sch C'!D71</f>
        <v>0</v>
      </c>
      <c r="D78" s="490">
        <f>'[53]Sch C'!F71</f>
        <v>0</v>
      </c>
      <c r="E78" s="171">
        <f t="shared" si="9"/>
        <v>0</v>
      </c>
      <c r="F78" s="418">
        <v>0</v>
      </c>
      <c r="G78" s="171">
        <f t="shared" si="10"/>
        <v>0</v>
      </c>
      <c r="H78" s="172">
        <f t="shared" si="11"/>
        <v>0</v>
      </c>
      <c r="I78" s="337"/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490">
        <f>SUM(C64:C78)</f>
        <v>156496</v>
      </c>
      <c r="D79" s="490">
        <f>SUM(D64:D78)</f>
        <v>22978</v>
      </c>
      <c r="E79" s="171">
        <f t="shared" ref="E79:F79" si="13">SUM(E64:E78)</f>
        <v>179474</v>
      </c>
      <c r="F79" s="171">
        <f t="shared" si="13"/>
        <v>103881</v>
      </c>
      <c r="G79" s="171">
        <f>SUM(G64:G78)</f>
        <v>283355</v>
      </c>
      <c r="H79" s="172">
        <f t="shared" si="11"/>
        <v>7.9389361312861409E-2</v>
      </c>
      <c r="I79" s="337"/>
      <c r="J79" s="195"/>
      <c r="K79" s="168"/>
      <c r="M79" s="359">
        <f t="shared" si="12"/>
        <v>19.065738124074823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422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425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490">
        <f>'[53]Sch C'!D75</f>
        <v>22466</v>
      </c>
      <c r="D82" s="490">
        <f>'[53]Sch C'!F75</f>
        <v>0</v>
      </c>
      <c r="E82" s="171">
        <f t="shared" ref="E82:E92" si="14">C82+D82</f>
        <v>22466</v>
      </c>
      <c r="F82" s="675">
        <v>14996</v>
      </c>
      <c r="G82" s="171">
        <f t="shared" ref="G82:G92" si="15">E82+F82</f>
        <v>37462</v>
      </c>
      <c r="H82" s="172">
        <f t="shared" ref="H82:H93" si="16">IF($G$208=0,0,G82/$G$208)</f>
        <v>1.0495965320895747E-2</v>
      </c>
      <c r="I82" s="337"/>
      <c r="J82" s="183">
        <v>1652</v>
      </c>
      <c r="K82" s="183">
        <v>1684</v>
      </c>
      <c r="M82" s="359">
        <f t="shared" ref="M82:M92" si="17">G82/G$228</f>
        <v>2.5206567083837976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490">
        <f>'[53]Sch C'!D76</f>
        <v>5899</v>
      </c>
      <c r="D83" s="490">
        <f>'[53]Sch C'!F76</f>
        <v>0</v>
      </c>
      <c r="E83" s="171">
        <f t="shared" si="14"/>
        <v>5899</v>
      </c>
      <c r="F83" s="675">
        <v>4771</v>
      </c>
      <c r="G83" s="171">
        <f t="shared" si="15"/>
        <v>10670</v>
      </c>
      <c r="H83" s="172">
        <f t="shared" si="16"/>
        <v>2.9894813403971389E-3</v>
      </c>
      <c r="I83" s="337"/>
      <c r="J83" s="168"/>
      <c r="K83" s="168"/>
      <c r="M83" s="359">
        <f t="shared" si="17"/>
        <v>0.71793836630332386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490">
        <f>'[53]Sch C'!D77</f>
        <v>7351</v>
      </c>
      <c r="D84" s="490">
        <f>'[53]Sch C'!F77</f>
        <v>0</v>
      </c>
      <c r="E84" s="171">
        <f t="shared" si="14"/>
        <v>7351</v>
      </c>
      <c r="F84" s="418">
        <v>3247</v>
      </c>
      <c r="G84" s="171">
        <f t="shared" si="15"/>
        <v>10598</v>
      </c>
      <c r="H84" s="172">
        <f t="shared" si="16"/>
        <v>2.9693086453166707E-3</v>
      </c>
      <c r="I84" s="337"/>
      <c r="J84" s="168"/>
      <c r="K84" s="168"/>
      <c r="M84" s="359">
        <f t="shared" si="17"/>
        <v>0.71309379625891534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490">
        <f>'[53]Sch C'!D78</f>
        <v>6523</v>
      </c>
      <c r="D85" s="490">
        <f>'[53]Sch C'!F78</f>
        <v>1266</v>
      </c>
      <c r="E85" s="171">
        <f t="shared" si="14"/>
        <v>7789</v>
      </c>
      <c r="F85" s="418">
        <v>1773</v>
      </c>
      <c r="G85" s="171">
        <f t="shared" si="15"/>
        <v>9562</v>
      </c>
      <c r="H85" s="172">
        <f t="shared" si="16"/>
        <v>2.6790459772143807E-3</v>
      </c>
      <c r="I85" s="337"/>
      <c r="J85" s="168"/>
      <c r="K85" s="168"/>
      <c r="M85" s="359">
        <f t="shared" si="17"/>
        <v>0.64338581617548107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490">
        <f>'[53]Sch C'!D79</f>
        <v>14769</v>
      </c>
      <c r="D86" s="490">
        <f>'[53]Sch C'!F79</f>
        <v>0</v>
      </c>
      <c r="E86" s="171">
        <f t="shared" si="14"/>
        <v>14769</v>
      </c>
      <c r="F86" s="418">
        <v>10336</v>
      </c>
      <c r="G86" s="171">
        <f>E86+F86</f>
        <v>25105</v>
      </c>
      <c r="H86" s="172">
        <f t="shared" si="16"/>
        <v>7.0338265277104187E-3</v>
      </c>
      <c r="I86" s="337"/>
      <c r="J86" s="168"/>
      <c r="K86" s="168"/>
      <c r="M86" s="359">
        <f t="shared" si="17"/>
        <v>1.6892073745121787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490">
        <f>'[53]Sch C'!D80</f>
        <v>12792</v>
      </c>
      <c r="D87" s="490">
        <f>'[53]Sch C'!F80</f>
        <v>0</v>
      </c>
      <c r="E87" s="171">
        <f t="shared" si="14"/>
        <v>12792</v>
      </c>
      <c r="F87" s="675">
        <f>34807-19492</f>
        <v>15315</v>
      </c>
      <c r="G87" s="171">
        <f t="shared" si="15"/>
        <v>28107</v>
      </c>
      <c r="H87" s="172">
        <f t="shared" si="16"/>
        <v>7.8749158420377118E-3</v>
      </c>
      <c r="I87" s="337"/>
      <c r="J87" s="168"/>
      <c r="K87" s="168"/>
      <c r="M87" s="359">
        <f t="shared" si="17"/>
        <v>1.8911990310859912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490">
        <f>'[53]Sch C'!D81</f>
        <v>4148</v>
      </c>
      <c r="D88" s="490">
        <f>'[53]Sch C'!F81</f>
        <v>0</v>
      </c>
      <c r="E88" s="171">
        <f t="shared" si="14"/>
        <v>4148</v>
      </c>
      <c r="F88" s="418">
        <v>618</v>
      </c>
      <c r="G88" s="171">
        <f t="shared" si="15"/>
        <v>4766</v>
      </c>
      <c r="H88" s="172">
        <f t="shared" si="16"/>
        <v>1.3353203437987595E-3</v>
      </c>
      <c r="I88" s="337"/>
      <c r="J88" s="168"/>
      <c r="K88" s="168"/>
      <c r="M88" s="359">
        <f t="shared" si="17"/>
        <v>0.3206836226618221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490">
        <f>'[53]Sch C'!D82</f>
        <v>0</v>
      </c>
      <c r="D89" s="490">
        <f>'[53]Sch C'!F82</f>
        <v>0</v>
      </c>
      <c r="E89" s="171">
        <f t="shared" si="14"/>
        <v>0</v>
      </c>
      <c r="F89" s="418">
        <v>4910</v>
      </c>
      <c r="G89" s="171">
        <f t="shared" si="15"/>
        <v>4910</v>
      </c>
      <c r="H89" s="172">
        <f t="shared" si="16"/>
        <v>1.3756657339596954E-3</v>
      </c>
      <c r="I89" s="337"/>
      <c r="J89" s="168"/>
      <c r="K89" s="168"/>
      <c r="M89" s="359">
        <f t="shared" si="17"/>
        <v>0.3303727627506392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490">
        <f>'[53]Sch C'!D83</f>
        <v>0</v>
      </c>
      <c r="D90" s="490">
        <f>'[53]Sch C'!F83</f>
        <v>0</v>
      </c>
      <c r="E90" s="171">
        <f t="shared" si="14"/>
        <v>0</v>
      </c>
      <c r="F90" s="418">
        <v>0</v>
      </c>
      <c r="G90" s="171">
        <f t="shared" si="15"/>
        <v>0</v>
      </c>
      <c r="H90" s="172">
        <f t="shared" si="16"/>
        <v>0</v>
      </c>
      <c r="I90" s="337"/>
      <c r="J90" s="168"/>
      <c r="K90" s="168"/>
      <c r="M90" s="359">
        <f t="shared" si="17"/>
        <v>0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490">
        <f>'[53]Sch C'!D84</f>
        <v>48210</v>
      </c>
      <c r="D91" s="490">
        <f>'[53]Sch C'!F84</f>
        <v>59</v>
      </c>
      <c r="E91" s="171">
        <f t="shared" si="14"/>
        <v>48269</v>
      </c>
      <c r="F91" s="418">
        <v>31518</v>
      </c>
      <c r="G91" s="171">
        <f t="shared" si="15"/>
        <v>79787</v>
      </c>
      <c r="H91" s="172">
        <f t="shared" si="16"/>
        <v>2.235442808868477E-2</v>
      </c>
      <c r="I91" s="337"/>
      <c r="J91" s="168"/>
      <c r="K91" s="168"/>
      <c r="M91" s="359">
        <f t="shared" si="17"/>
        <v>5.3685237518503568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490">
        <f>'[53]Sch C'!D85</f>
        <v>0</v>
      </c>
      <c r="D92" s="490">
        <f>'[53]Sch C'!F85</f>
        <v>0</v>
      </c>
      <c r="E92" s="171">
        <f t="shared" si="14"/>
        <v>0</v>
      </c>
      <c r="F92" s="418">
        <v>839</v>
      </c>
      <c r="G92" s="171">
        <f t="shared" si="15"/>
        <v>839</v>
      </c>
      <c r="H92" s="172">
        <f t="shared" si="16"/>
        <v>2.3506793295156509E-4</v>
      </c>
      <c r="I92" s="337"/>
      <c r="J92" s="168"/>
      <c r="K92" s="168"/>
      <c r="M92" s="359">
        <f t="shared" si="17"/>
        <v>5.6452698156371953E-2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490">
        <f>SUM(C82:C92)</f>
        <v>122158</v>
      </c>
      <c r="D93" s="490">
        <f>SUM(D82:D92)</f>
        <v>1325</v>
      </c>
      <c r="E93" s="171">
        <f t="shared" ref="E93:F93" si="18">SUM(E82:E92)</f>
        <v>123483</v>
      </c>
      <c r="F93" s="171">
        <f t="shared" si="18"/>
        <v>88323</v>
      </c>
      <c r="G93" s="171">
        <f>SUM(G82:G92)</f>
        <v>211806</v>
      </c>
      <c r="H93" s="172">
        <f t="shared" si="16"/>
        <v>5.9343025752966856E-2</v>
      </c>
      <c r="I93" s="337"/>
      <c r="J93" s="168"/>
      <c r="K93" s="168"/>
      <c r="M93" s="364">
        <f>G93/G$228</f>
        <v>14.251513928138877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425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42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490">
        <f>'[53]Sch C'!D89</f>
        <v>68410</v>
      </c>
      <c r="D96" s="490">
        <f>'[53]Sch C'!F89</f>
        <v>0</v>
      </c>
      <c r="E96" s="171">
        <f t="shared" ref="E96:E101" si="19">C96+D96</f>
        <v>68410</v>
      </c>
      <c r="F96" s="675">
        <v>42893</v>
      </c>
      <c r="G96" s="171">
        <f t="shared" ref="G96:G101" si="20">E96+F96</f>
        <v>111303</v>
      </c>
      <c r="H96" s="172">
        <f t="shared" ref="H96:H102" si="21">IF($G$208=0,0,G96/$G$208)</f>
        <v>3.1184465007518532E-2</v>
      </c>
      <c r="I96" s="337"/>
      <c r="J96" s="183">
        <v>6929</v>
      </c>
      <c r="K96" s="183">
        <v>7086</v>
      </c>
      <c r="M96" s="364">
        <f t="shared" ref="M96:M101" si="22">G96/G$228</f>
        <v>7.4890997174000811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490">
        <f>'[53]Sch C'!D90</f>
        <v>18187</v>
      </c>
      <c r="D97" s="490">
        <f>'[53]Sch C'!F90</f>
        <v>0</v>
      </c>
      <c r="E97" s="171">
        <f t="shared" si="19"/>
        <v>18187</v>
      </c>
      <c r="F97" s="675">
        <v>13379</v>
      </c>
      <c r="G97" s="171">
        <f t="shared" si="20"/>
        <v>31566</v>
      </c>
      <c r="H97" s="172">
        <f t="shared" si="21"/>
        <v>8.8440457348618641E-3</v>
      </c>
      <c r="I97" s="337"/>
      <c r="J97" s="168"/>
      <c r="K97" s="168"/>
      <c r="M97" s="364">
        <f t="shared" si="22"/>
        <v>2.1239402503027858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490">
        <f>'[53]Sch C'!D91</f>
        <v>8938</v>
      </c>
      <c r="D98" s="490">
        <f>'[53]Sch C'!F91</f>
        <v>0</v>
      </c>
      <c r="E98" s="171">
        <f t="shared" si="19"/>
        <v>8938</v>
      </c>
      <c r="F98" s="675">
        <f>63242-55676</f>
        <v>7566</v>
      </c>
      <c r="G98" s="171">
        <f t="shared" si="20"/>
        <v>16504</v>
      </c>
      <c r="H98" s="172">
        <f t="shared" si="21"/>
        <v>4.6240299945561744E-3</v>
      </c>
      <c r="I98" s="337"/>
      <c r="J98" s="168"/>
      <c r="K98" s="168"/>
      <c r="M98" s="364">
        <f t="shared" si="22"/>
        <v>1.1104831112905396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490">
        <f>'[53]Sch C'!D92</f>
        <v>61268</v>
      </c>
      <c r="D99" s="490">
        <f>'[53]Sch C'!F92</f>
        <v>-620</v>
      </c>
      <c r="E99" s="171">
        <f t="shared" si="19"/>
        <v>60648</v>
      </c>
      <c r="F99" s="418">
        <v>46637</v>
      </c>
      <c r="G99" s="171">
        <f t="shared" si="20"/>
        <v>107285</v>
      </c>
      <c r="H99" s="172">
        <f t="shared" si="21"/>
        <v>3.0058716551500188E-2</v>
      </c>
      <c r="I99" s="337"/>
      <c r="J99" s="168"/>
      <c r="K99" s="168"/>
      <c r="M99" s="364">
        <f t="shared" si="22"/>
        <v>7.2187457946440583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490">
        <f>'[53]Sch C'!D93</f>
        <v>1910</v>
      </c>
      <c r="D100" s="490">
        <f>'[53]Sch C'!F93</f>
        <v>0</v>
      </c>
      <c r="E100" s="171">
        <f t="shared" si="19"/>
        <v>1910</v>
      </c>
      <c r="F100" s="418">
        <v>2150</v>
      </c>
      <c r="G100" s="171">
        <f t="shared" si="20"/>
        <v>4060</v>
      </c>
      <c r="H100" s="172">
        <f t="shared" si="21"/>
        <v>1.1375158614819478E-3</v>
      </c>
      <c r="I100" s="337"/>
      <c r="J100" s="168"/>
      <c r="K100" s="168"/>
      <c r="M100" s="364">
        <f t="shared" si="22"/>
        <v>0.27317992194859375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490">
        <f>'[53]Sch C'!D94</f>
        <v>2984</v>
      </c>
      <c r="D101" s="490">
        <f>'[53]Sch C'!F94</f>
        <v>0</v>
      </c>
      <c r="E101" s="171">
        <f t="shared" si="19"/>
        <v>2984</v>
      </c>
      <c r="F101" s="418">
        <v>2231</v>
      </c>
      <c r="G101" s="171">
        <f t="shared" si="20"/>
        <v>5215</v>
      </c>
      <c r="H101" s="172">
        <f t="shared" si="21"/>
        <v>1.4611195117311226E-3</v>
      </c>
      <c r="I101" s="337"/>
      <c r="J101" s="168"/>
      <c r="K101" s="168"/>
      <c r="M101" s="364">
        <f t="shared" si="22"/>
        <v>0.35089489974431437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490">
        <f>SUM(C96:C101)</f>
        <v>161697</v>
      </c>
      <c r="D102" s="490">
        <f>SUM(D96:D101)</f>
        <v>-620</v>
      </c>
      <c r="E102" s="171">
        <f t="shared" ref="E102:F102" si="23">SUM(E96:E101)</f>
        <v>161077</v>
      </c>
      <c r="F102" s="171">
        <f t="shared" si="23"/>
        <v>114856</v>
      </c>
      <c r="G102" s="171">
        <f>SUM(G96:G101)</f>
        <v>275933</v>
      </c>
      <c r="H102" s="172">
        <f t="shared" si="21"/>
        <v>7.7309892661649823E-2</v>
      </c>
      <c r="I102" s="337"/>
      <c r="J102" s="168"/>
      <c r="K102" s="168"/>
      <c r="M102" s="364">
        <f>G102/G$228</f>
        <v>18.566343695330374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425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425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490">
        <f>'[53]Sch C'!D98</f>
        <v>0</v>
      </c>
      <c r="D105" s="490">
        <f>'[53]Sch C'!F98</f>
        <v>0</v>
      </c>
      <c r="E105" s="171">
        <f t="shared" ref="E105:E110" si="24">C105+D105</f>
        <v>0</v>
      </c>
      <c r="F105" s="675">
        <v>594</v>
      </c>
      <c r="G105" s="171">
        <f t="shared" ref="G105:G110" si="25">E105+F105</f>
        <v>594</v>
      </c>
      <c r="H105" s="172">
        <f t="shared" ref="H105:H111" si="26">IF($G$208=0,0,G105/$G$208)</f>
        <v>1.6642473441386133E-4</v>
      </c>
      <c r="I105" s="337"/>
      <c r="J105" s="183">
        <v>0</v>
      </c>
      <c r="K105" s="183">
        <v>0</v>
      </c>
      <c r="M105" s="364">
        <f t="shared" ref="M105:M110" si="27">G105/G$228</f>
        <v>3.9967702866370608E-2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490">
        <f>'[53]Sch C'!D99</f>
        <v>0</v>
      </c>
      <c r="D106" s="490">
        <f>'[53]Sch C'!F99</f>
        <v>0</v>
      </c>
      <c r="E106" s="171">
        <f t="shared" si="24"/>
        <v>0</v>
      </c>
      <c r="F106" s="675">
        <v>91</v>
      </c>
      <c r="G106" s="171">
        <f t="shared" si="25"/>
        <v>91</v>
      </c>
      <c r="H106" s="172">
        <f t="shared" si="26"/>
        <v>2.5496045171147108E-5</v>
      </c>
      <c r="I106" s="337"/>
      <c r="J106" s="168"/>
      <c r="K106" s="168"/>
      <c r="M106" s="364">
        <f t="shared" si="27"/>
        <v>6.1229982505719288E-3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490">
        <f>'[53]Sch C'!D100</f>
        <v>2738</v>
      </c>
      <c r="D107" s="490">
        <f>'[53]Sch C'!F100</f>
        <v>0</v>
      </c>
      <c r="E107" s="171">
        <f t="shared" si="24"/>
        <v>2738</v>
      </c>
      <c r="F107" s="418">
        <v>1238</v>
      </c>
      <c r="G107" s="171">
        <f t="shared" si="25"/>
        <v>3976</v>
      </c>
      <c r="H107" s="172">
        <f t="shared" si="26"/>
        <v>1.1139810505547351E-3</v>
      </c>
      <c r="I107" s="337"/>
      <c r="J107" s="168"/>
      <c r="K107" s="168"/>
      <c r="M107" s="364">
        <f t="shared" si="27"/>
        <v>0.2675279235634504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490">
        <f>'[53]Sch C'!D101</f>
        <v>129</v>
      </c>
      <c r="D108" s="490">
        <f>'[53]Sch C'!F101</f>
        <v>0</v>
      </c>
      <c r="E108" s="171">
        <f t="shared" si="24"/>
        <v>129</v>
      </c>
      <c r="F108" s="675">
        <f>683-683</f>
        <v>0</v>
      </c>
      <c r="G108" s="171">
        <f t="shared" si="25"/>
        <v>129</v>
      </c>
      <c r="H108" s="172">
        <f t="shared" si="26"/>
        <v>3.6142745352505241E-5</v>
      </c>
      <c r="I108" s="337"/>
      <c r="J108" s="168"/>
      <c r="K108" s="168"/>
      <c r="M108" s="364">
        <f t="shared" si="27"/>
        <v>8.6798546628986673E-3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490">
        <f>'[53]Sch C'!D102</f>
        <v>747</v>
      </c>
      <c r="D109" s="490">
        <f>'[53]Sch C'!F102</f>
        <v>0</v>
      </c>
      <c r="E109" s="171">
        <f t="shared" si="24"/>
        <v>747</v>
      </c>
      <c r="F109" s="418">
        <v>190</v>
      </c>
      <c r="G109" s="171">
        <f t="shared" si="25"/>
        <v>937</v>
      </c>
      <c r="H109" s="172">
        <f t="shared" si="26"/>
        <v>2.6252521236664656E-4</v>
      </c>
      <c r="I109" s="337"/>
      <c r="J109" s="168"/>
      <c r="K109" s="168"/>
      <c r="M109" s="364">
        <f t="shared" si="27"/>
        <v>6.3046696272372499E-2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490">
        <f>'[53]Sch C'!D103</f>
        <v>0</v>
      </c>
      <c r="D110" s="490">
        <f>'[53]Sch C'!F103</f>
        <v>0</v>
      </c>
      <c r="E110" s="171">
        <f t="shared" si="24"/>
        <v>0</v>
      </c>
      <c r="F110" s="418">
        <v>0</v>
      </c>
      <c r="G110" s="171">
        <f t="shared" si="25"/>
        <v>0</v>
      </c>
      <c r="H110" s="172">
        <f t="shared" si="26"/>
        <v>0</v>
      </c>
      <c r="I110" s="337"/>
      <c r="J110" s="168"/>
      <c r="K110" s="168"/>
      <c r="M110" s="364">
        <f t="shared" si="27"/>
        <v>0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490">
        <f>SUM(C105:C110)</f>
        <v>3614</v>
      </c>
      <c r="D111" s="490">
        <f>SUM(D105:D110)</f>
        <v>0</v>
      </c>
      <c r="E111" s="171">
        <f t="shared" ref="E111:F111" si="28">SUM(E105:E110)</f>
        <v>3614</v>
      </c>
      <c r="F111" s="171">
        <f t="shared" si="28"/>
        <v>2113</v>
      </c>
      <c r="G111" s="171">
        <f>SUM(G105:G110)</f>
        <v>5727</v>
      </c>
      <c r="H111" s="172">
        <f t="shared" si="26"/>
        <v>1.6045697878588954E-3</v>
      </c>
      <c r="I111" s="337"/>
      <c r="J111" s="168"/>
      <c r="K111" s="168"/>
      <c r="M111" s="364">
        <f>G111/G$228</f>
        <v>0.38534517561566412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425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425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490">
        <f>'[53]Sch C'!D115</f>
        <v>30768</v>
      </c>
      <c r="D114" s="490">
        <f>'[53]Sch C'!F115</f>
        <v>0</v>
      </c>
      <c r="E114" s="171">
        <f t="shared" ref="E114:E118" si="29">C114+D114</f>
        <v>30768</v>
      </c>
      <c r="F114" s="675">
        <v>22182</v>
      </c>
      <c r="G114" s="171">
        <f>E114+F114</f>
        <v>52950</v>
      </c>
      <c r="H114" s="172">
        <f t="shared" ref="H114:H119" si="30">IF($G$208=0,0,G114/$G$208)</f>
        <v>1.4835336173760871E-2</v>
      </c>
      <c r="I114" s="337"/>
      <c r="J114" s="183">
        <v>3702</v>
      </c>
      <c r="K114" s="183">
        <v>3779</v>
      </c>
      <c r="M114" s="364">
        <f t="shared" ref="M114:M119" si="31">G114/G$228</f>
        <v>3.5627775534921278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490">
        <f>'[53]Sch C'!D116</f>
        <v>7376</v>
      </c>
      <c r="D115" s="490">
        <f>'[53]Sch C'!F116</f>
        <v>0</v>
      </c>
      <c r="E115" s="171">
        <f t="shared" si="29"/>
        <v>7376</v>
      </c>
      <c r="F115" s="675">
        <v>6652</v>
      </c>
      <c r="G115" s="171">
        <f>E115+F115</f>
        <v>14028</v>
      </c>
      <c r="H115" s="172">
        <f t="shared" si="30"/>
        <v>3.9303134248445228E-3</v>
      </c>
      <c r="I115" s="337"/>
      <c r="J115" s="168"/>
      <c r="K115" s="168"/>
      <c r="M115" s="364">
        <f t="shared" si="31"/>
        <v>0.94388373031893424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490">
        <f>'[53]Sch C'!D117</f>
        <v>5465</v>
      </c>
      <c r="D116" s="490">
        <f>'[53]Sch C'!F117</f>
        <v>0</v>
      </c>
      <c r="E116" s="171">
        <f t="shared" si="29"/>
        <v>5465</v>
      </c>
      <c r="F116" s="418">
        <v>3249</v>
      </c>
      <c r="G116" s="171">
        <f>E116+F116</f>
        <v>8714</v>
      </c>
      <c r="H116" s="172">
        <f t="shared" si="30"/>
        <v>2.441456457377757E-3</v>
      </c>
      <c r="I116" s="337"/>
      <c r="J116" s="168"/>
      <c r="K116" s="168"/>
      <c r="M116" s="364">
        <f t="shared" si="31"/>
        <v>0.58632754676355803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490">
        <f>'[53]Sch C'!D118</f>
        <v>125</v>
      </c>
      <c r="D117" s="490">
        <f>'[53]Sch C'!F118</f>
        <v>0</v>
      </c>
      <c r="E117" s="171">
        <f t="shared" si="29"/>
        <v>125</v>
      </c>
      <c r="F117" s="675">
        <f>29187-29078</f>
        <v>109</v>
      </c>
      <c r="G117" s="171">
        <f>E117+F117</f>
        <v>234</v>
      </c>
      <c r="H117" s="172">
        <f t="shared" si="30"/>
        <v>6.5561259011521125E-5</v>
      </c>
      <c r="I117" s="337"/>
      <c r="J117" s="168"/>
      <c r="K117" s="168"/>
      <c r="M117" s="364">
        <f t="shared" si="31"/>
        <v>1.5744852644327817E-2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490">
        <f>'[53]Sch C'!D119</f>
        <v>0</v>
      </c>
      <c r="D118" s="490">
        <f>'[53]Sch C'!F119</f>
        <v>0</v>
      </c>
      <c r="E118" s="171">
        <f t="shared" si="29"/>
        <v>0</v>
      </c>
      <c r="F118" s="418">
        <v>160</v>
      </c>
      <c r="G118" s="171">
        <f>E118+F118</f>
        <v>160</v>
      </c>
      <c r="H118" s="172">
        <f t="shared" si="30"/>
        <v>4.4828211289928979E-5</v>
      </c>
      <c r="I118" s="337"/>
      <c r="J118" s="168"/>
      <c r="K118" s="168"/>
      <c r="M118" s="364">
        <f t="shared" si="31"/>
        <v>1.0765711209796797E-2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490">
        <f>SUM(C114:C118)</f>
        <v>43734</v>
      </c>
      <c r="D119" s="490">
        <f>SUM(D114:D118)</f>
        <v>0</v>
      </c>
      <c r="E119" s="171">
        <f t="shared" ref="E119:F119" si="32">SUM(E114:E118)</f>
        <v>43734</v>
      </c>
      <c r="F119" s="171">
        <f t="shared" si="32"/>
        <v>32352</v>
      </c>
      <c r="G119" s="171">
        <f>SUM(G114:G118)</f>
        <v>76086</v>
      </c>
      <c r="H119" s="172">
        <f t="shared" si="30"/>
        <v>2.1317495526284602E-2</v>
      </c>
      <c r="I119" s="337"/>
      <c r="J119" s="168"/>
      <c r="K119" s="168"/>
      <c r="M119" s="364">
        <f t="shared" si="31"/>
        <v>5.1194993944287441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422"/>
      <c r="G120" s="196"/>
      <c r="H120" s="197"/>
      <c r="I120" s="337"/>
      <c r="J120" s="203"/>
      <c r="K120" s="203"/>
      <c r="M120" s="359"/>
      <c r="N120" s="359"/>
    </row>
    <row r="121" spans="1:14" s="167" customFormat="1" ht="14">
      <c r="A121" s="169" t="s">
        <v>167</v>
      </c>
      <c r="B121" s="170" t="s">
        <v>62</v>
      </c>
      <c r="C121" s="165"/>
      <c r="D121" s="165"/>
      <c r="E121" s="165"/>
      <c r="F121" s="645" t="s">
        <v>624</v>
      </c>
      <c r="G121" s="165"/>
      <c r="H121" s="198"/>
      <c r="I121" s="341"/>
      <c r="J121" s="204"/>
      <c r="K121" s="204"/>
      <c r="M121" s="359"/>
      <c r="N121" s="359"/>
    </row>
    <row r="122" spans="1:14" s="167" customFormat="1" ht="14">
      <c r="A122" s="169" t="s">
        <v>85</v>
      </c>
      <c r="B122" s="170" t="s">
        <v>63</v>
      </c>
      <c r="C122" s="165"/>
      <c r="D122" s="165"/>
      <c r="E122" s="165"/>
      <c r="F122" s="646" t="s">
        <v>619</v>
      </c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490">
        <f>'[53]Sch C'!D124</f>
        <v>41513</v>
      </c>
      <c r="D123" s="490">
        <f>'[53]Sch C'!F124</f>
        <v>0</v>
      </c>
      <c r="E123" s="171">
        <f t="shared" ref="E123:E127" si="33">C123+D123</f>
        <v>41513</v>
      </c>
      <c r="F123" s="675">
        <v>28337</v>
      </c>
      <c r="G123" s="171">
        <f>E123+F123</f>
        <v>69850</v>
      </c>
      <c r="H123" s="172">
        <f>IF($G$208=0,0,G123/$G$208)</f>
        <v>1.9570315991259621E-2</v>
      </c>
      <c r="I123" s="337"/>
      <c r="J123" s="183">
        <v>1181</v>
      </c>
      <c r="K123" s="183">
        <v>1213</v>
      </c>
      <c r="M123" s="364">
        <f t="shared" ref="M123:M160" si="34">G123/G$228</f>
        <v>4.6999058000269143</v>
      </c>
      <c r="N123" s="359">
        <f>SUMMARY!J126</f>
        <v>0.77002560279620991</v>
      </c>
    </row>
    <row r="124" spans="1:14" s="167" customFormat="1">
      <c r="B124" s="163" t="s">
        <v>194</v>
      </c>
      <c r="C124" s="490">
        <f>'[53]Sch C'!D125</f>
        <v>30044</v>
      </c>
      <c r="D124" s="490">
        <f>'[53]Sch C'!F125</f>
        <v>0</v>
      </c>
      <c r="E124" s="171">
        <f t="shared" si="33"/>
        <v>30044</v>
      </c>
      <c r="F124" s="418">
        <v>0</v>
      </c>
      <c r="G124" s="171">
        <f>E124+F124</f>
        <v>30044</v>
      </c>
      <c r="H124" s="172">
        <f>IF($G$208=0,0,G124/$G$208)</f>
        <v>8.4176173749664143E-3</v>
      </c>
      <c r="I124" s="337"/>
      <c r="J124" s="183">
        <v>1189</v>
      </c>
      <c r="K124" s="183">
        <v>1241</v>
      </c>
      <c r="M124" s="364">
        <f t="shared" si="34"/>
        <v>2.0215314224195935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490">
        <f>'[53]Sch C'!D126</f>
        <v>0</v>
      </c>
      <c r="D125" s="490">
        <f>'[53]Sch C'!F126</f>
        <v>0</v>
      </c>
      <c r="E125" s="171">
        <f t="shared" si="33"/>
        <v>0</v>
      </c>
      <c r="F125" s="418">
        <v>0</v>
      </c>
      <c r="G125" s="171">
        <f>E125+F125</f>
        <v>0</v>
      </c>
      <c r="H125" s="172">
        <f>IF($G$208=0,0,G125/$G$208)</f>
        <v>0</v>
      </c>
      <c r="I125" s="337"/>
      <c r="J125" s="183">
        <v>0</v>
      </c>
      <c r="K125" s="183">
        <v>0</v>
      </c>
      <c r="M125" s="364">
        <f t="shared" si="34"/>
        <v>0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490">
        <f>'[53]Sch C'!D127</f>
        <v>0</v>
      </c>
      <c r="D126" s="490">
        <f>'[53]Sch C'!F127</f>
        <v>0</v>
      </c>
      <c r="E126" s="171">
        <f t="shared" si="33"/>
        <v>0</v>
      </c>
      <c r="F126" s="418">
        <v>0</v>
      </c>
      <c r="G126" s="171">
        <f>E126+F126</f>
        <v>0</v>
      </c>
      <c r="H126" s="172">
        <f>IF($G$208=0,0,G126/$G$208)</f>
        <v>0</v>
      </c>
      <c r="I126" s="337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490">
        <f>'[53]Sch C'!D128</f>
        <v>18433</v>
      </c>
      <c r="D127" s="490">
        <f>'[53]Sch C'!F128</f>
        <v>0</v>
      </c>
      <c r="E127" s="171">
        <f t="shared" si="33"/>
        <v>18433</v>
      </c>
      <c r="F127" s="675">
        <v>39879</v>
      </c>
      <c r="G127" s="171">
        <f>E127+F127</f>
        <v>58312</v>
      </c>
      <c r="H127" s="172">
        <f>IF($G$208=0,0,G127/$G$208)</f>
        <v>1.6337641604614615E-2</v>
      </c>
      <c r="I127" s="337"/>
      <c r="J127" s="183">
        <v>1266</v>
      </c>
      <c r="K127" s="183">
        <v>1352</v>
      </c>
      <c r="M127" s="364">
        <f t="shared" si="34"/>
        <v>3.9235634504104429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422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490">
        <f>'[53]Sch C'!D130</f>
        <v>10930</v>
      </c>
      <c r="D129" s="490">
        <f>'[53]Sch C'!F130</f>
        <v>0</v>
      </c>
      <c r="E129" s="171">
        <f t="shared" ref="E129:E133" si="35">C129+D129</f>
        <v>10930</v>
      </c>
      <c r="F129" s="675">
        <v>6800</v>
      </c>
      <c r="G129" s="171">
        <f>E129+F129</f>
        <v>17730</v>
      </c>
      <c r="H129" s="172">
        <f>IF($G$208=0,0,G129/$G$208)</f>
        <v>4.967526163565255E-3</v>
      </c>
      <c r="I129" s="337"/>
      <c r="J129" s="204"/>
      <c r="K129" s="204"/>
      <c r="M129" s="364">
        <f t="shared" si="34"/>
        <v>1.1929753734356077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490">
        <f>'[53]Sch C'!D131</f>
        <v>7904</v>
      </c>
      <c r="D130" s="490">
        <f>'[53]Sch C'!F131</f>
        <v>0</v>
      </c>
      <c r="E130" s="171">
        <f t="shared" si="35"/>
        <v>7904</v>
      </c>
      <c r="F130" s="418">
        <v>0</v>
      </c>
      <c r="G130" s="171">
        <f>E130+F130</f>
        <v>7904</v>
      </c>
      <c r="H130" s="172">
        <f>IF($G$208=0,0,G130/$G$208)</f>
        <v>2.2145136377224916E-3</v>
      </c>
      <c r="I130" s="337"/>
      <c r="J130" s="204"/>
      <c r="K130" s="204"/>
      <c r="M130" s="364">
        <f t="shared" si="34"/>
        <v>0.53182613376396182</v>
      </c>
      <c r="N130" s="359">
        <f>SUMMARY!J133</f>
        <v>1.0792348507966931</v>
      </c>
    </row>
    <row r="131" spans="1:14" s="167" customFormat="1">
      <c r="B131" s="163" t="s">
        <v>195</v>
      </c>
      <c r="C131" s="490">
        <f>'[53]Sch C'!D132</f>
        <v>0</v>
      </c>
      <c r="D131" s="490">
        <f>'[53]Sch C'!F132</f>
        <v>0</v>
      </c>
      <c r="E131" s="171">
        <f t="shared" si="35"/>
        <v>0</v>
      </c>
      <c r="F131" s="418">
        <v>0</v>
      </c>
      <c r="G131" s="171">
        <f>E131+F131</f>
        <v>0</v>
      </c>
      <c r="H131" s="172">
        <f>IF($G$208=0,0,G131/$G$208)</f>
        <v>0</v>
      </c>
      <c r="I131" s="337"/>
      <c r="J131" s="168"/>
      <c r="K131" s="168"/>
      <c r="M131" s="364">
        <f t="shared" si="34"/>
        <v>0</v>
      </c>
      <c r="N131" s="359">
        <f>SUMMARY!J134</f>
        <v>8.2765628075518377E-2</v>
      </c>
    </row>
    <row r="132" spans="1:14" s="167" customFormat="1">
      <c r="B132" s="163" t="s">
        <v>196</v>
      </c>
      <c r="C132" s="490">
        <f>'[53]Sch C'!D133</f>
        <v>0</v>
      </c>
      <c r="D132" s="490">
        <f>'[53]Sch C'!F133</f>
        <v>0</v>
      </c>
      <c r="E132" s="171">
        <f t="shared" si="35"/>
        <v>0</v>
      </c>
      <c r="F132" s="418">
        <v>0</v>
      </c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490">
        <f>'[53]Sch C'!D134</f>
        <v>4107</v>
      </c>
      <c r="D133" s="490">
        <f>'[53]Sch C'!F134</f>
        <v>0</v>
      </c>
      <c r="E133" s="171">
        <f t="shared" si="35"/>
        <v>4107</v>
      </c>
      <c r="F133" s="675">
        <v>9570</v>
      </c>
      <c r="G133" s="171">
        <f>E133+F133</f>
        <v>13677</v>
      </c>
      <c r="H133" s="172">
        <f>IF($G$208=0,0,G133/$G$208)</f>
        <v>3.8319715363272413E-3</v>
      </c>
      <c r="I133" s="337"/>
      <c r="J133" s="168"/>
      <c r="K133" s="168"/>
      <c r="M133" s="364">
        <f t="shared" si="34"/>
        <v>0.92026645135244245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422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490">
        <f>'[53]Sch C'!D136</f>
        <v>126192</v>
      </c>
      <c r="D135" s="490">
        <f>'[53]Sch C'!F136</f>
        <v>0</v>
      </c>
      <c r="E135" s="171">
        <f t="shared" ref="E135:E138" si="36">C135+D135</f>
        <v>126192</v>
      </c>
      <c r="F135" s="675">
        <v>87221</v>
      </c>
      <c r="G135" s="171">
        <f>E135+F135</f>
        <v>213413</v>
      </c>
      <c r="H135" s="172">
        <f>IF($G$208=0,0,G135/$G$208)</f>
        <v>5.9793269100110083E-2</v>
      </c>
      <c r="I135" s="337"/>
      <c r="J135" s="183">
        <v>5236</v>
      </c>
      <c r="K135" s="183">
        <v>5402</v>
      </c>
      <c r="M135" s="364">
        <f t="shared" si="34"/>
        <v>14.359642040102274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490">
        <f>'[53]Sch C'!D137</f>
        <v>87218</v>
      </c>
      <c r="D136" s="490">
        <f>'[53]Sch C'!F137</f>
        <v>0</v>
      </c>
      <c r="E136" s="171">
        <f t="shared" si="36"/>
        <v>87218</v>
      </c>
      <c r="F136" s="675">
        <v>55201</v>
      </c>
      <c r="G136" s="171">
        <f>E136+F136</f>
        <v>142419</v>
      </c>
      <c r="H136" s="172">
        <f>IF($G$208=0,0,G136/$G$208)</f>
        <v>3.9902431398127471E-2</v>
      </c>
      <c r="I136" s="337"/>
      <c r="J136" s="183">
        <v>4934</v>
      </c>
      <c r="K136" s="183">
        <v>5071</v>
      </c>
      <c r="M136" s="364">
        <f t="shared" si="34"/>
        <v>9.5827614049253125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490">
        <f>'[53]Sch C'!D138</f>
        <v>120186</v>
      </c>
      <c r="D137" s="490">
        <f>'[53]Sch C'!F138</f>
        <v>0</v>
      </c>
      <c r="E137" s="171">
        <f t="shared" si="36"/>
        <v>120186</v>
      </c>
      <c r="F137" s="675">
        <v>120539</v>
      </c>
      <c r="G137" s="171">
        <f>E137+F137</f>
        <v>240725</v>
      </c>
      <c r="H137" s="172">
        <f>IF($G$208=0,0,G137/$G$208)</f>
        <v>6.7445444767300952E-2</v>
      </c>
      <c r="I137" s="337"/>
      <c r="J137" s="183">
        <v>11182</v>
      </c>
      <c r="K137" s="183">
        <v>11584</v>
      </c>
      <c r="M137" s="364">
        <f t="shared" si="34"/>
        <v>16.197348943614589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490">
        <f>'[53]Sch C'!D139</f>
        <v>50878</v>
      </c>
      <c r="D138" s="490">
        <f>'[53]Sch C'!F139</f>
        <v>0</v>
      </c>
      <c r="E138" s="171">
        <f t="shared" si="36"/>
        <v>50878</v>
      </c>
      <c r="F138" s="418">
        <v>0</v>
      </c>
      <c r="G138" s="171">
        <f>E138+F138</f>
        <v>50878</v>
      </c>
      <c r="H138" s="172">
        <f>IF($G$208=0,0,G138/$G$208)</f>
        <v>1.4254810837556291E-2</v>
      </c>
      <c r="I138" s="337"/>
      <c r="J138" s="183">
        <v>5077</v>
      </c>
      <c r="K138" s="183">
        <v>5186</v>
      </c>
      <c r="M138" s="364">
        <f t="shared" si="34"/>
        <v>3.423361593325259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422"/>
      <c r="G139" s="196"/>
      <c r="H139" s="197"/>
      <c r="I139" s="337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490">
        <f>'[53]Sch C'!D141</f>
        <v>33219</v>
      </c>
      <c r="D140" s="490">
        <f>'[53]Sch C'!F141</f>
        <v>0</v>
      </c>
      <c r="E140" s="171">
        <f t="shared" ref="E140:E143" si="37">C140+D140</f>
        <v>33219</v>
      </c>
      <c r="F140" s="675">
        <v>20931</v>
      </c>
      <c r="G140" s="171">
        <f>E140+F140</f>
        <v>54150</v>
      </c>
      <c r="H140" s="172">
        <f>IF($G$208=0,0,G140/$G$208)</f>
        <v>1.5171547758435339E-2</v>
      </c>
      <c r="I140" s="337"/>
      <c r="J140" s="168"/>
      <c r="K140" s="168"/>
      <c r="M140" s="364">
        <f t="shared" si="34"/>
        <v>3.6435203875656037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490">
        <f>'[53]Sch C'!D142</f>
        <v>22939</v>
      </c>
      <c r="D141" s="490">
        <f>'[53]Sch C'!F142</f>
        <v>0</v>
      </c>
      <c r="E141" s="171">
        <f t="shared" si="37"/>
        <v>22939</v>
      </c>
      <c r="F141" s="675">
        <v>13247</v>
      </c>
      <c r="G141" s="171">
        <f>E141+F141</f>
        <v>36186</v>
      </c>
      <c r="H141" s="172">
        <f>IF($G$208=0,0,G141/$G$208)</f>
        <v>1.0138460335858563E-2</v>
      </c>
      <c r="I141" s="337"/>
      <c r="J141" s="168"/>
      <c r="K141" s="168"/>
      <c r="M141" s="364">
        <f t="shared" si="34"/>
        <v>2.434800161485668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490">
        <f>'[53]Sch C'!D143</f>
        <v>31616</v>
      </c>
      <c r="D142" s="490">
        <f>'[53]Sch C'!F143</f>
        <v>0</v>
      </c>
      <c r="E142" s="171">
        <f t="shared" si="37"/>
        <v>31616</v>
      </c>
      <c r="F142" s="675">
        <v>28926</v>
      </c>
      <c r="G142" s="171">
        <f>E142+F142</f>
        <v>60542</v>
      </c>
      <c r="H142" s="172">
        <f>IF($G$208=0,0,G142/$G$208)</f>
        <v>1.6962434799468001E-2</v>
      </c>
      <c r="I142" s="337"/>
      <c r="J142" s="168"/>
      <c r="K142" s="168"/>
      <c r="M142" s="364">
        <f t="shared" si="34"/>
        <v>4.0736105503969853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490">
        <f>'[53]Sch C'!D144</f>
        <v>13437</v>
      </c>
      <c r="D143" s="490">
        <f>'[53]Sch C'!F144</f>
        <v>0</v>
      </c>
      <c r="E143" s="171">
        <f t="shared" si="37"/>
        <v>13437</v>
      </c>
      <c r="F143" s="418">
        <v>0</v>
      </c>
      <c r="G143" s="171">
        <f>E143+F143</f>
        <v>13437</v>
      </c>
      <c r="H143" s="172">
        <f>IF($G$208=0,0,G143/$G$208)</f>
        <v>3.7647292193923481E-3</v>
      </c>
      <c r="I143" s="337"/>
      <c r="J143" s="168"/>
      <c r="K143" s="168"/>
      <c r="M143" s="364">
        <f t="shared" si="34"/>
        <v>0.90411788453774733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422"/>
      <c r="G144" s="196"/>
      <c r="H144" s="197"/>
      <c r="I144" s="337"/>
      <c r="J144" s="204" t="s">
        <v>625</v>
      </c>
      <c r="K144" s="204"/>
      <c r="M144" s="364"/>
      <c r="N144" s="359"/>
    </row>
    <row r="145" spans="1:14" s="167" customFormat="1">
      <c r="A145" s="169"/>
      <c r="B145" s="163" t="s">
        <v>232</v>
      </c>
      <c r="C145" s="490">
        <f>'[53]Sch C'!D146</f>
        <v>7500</v>
      </c>
      <c r="D145" s="490">
        <f>'[53]Sch C'!F146</f>
        <v>0</v>
      </c>
      <c r="E145" s="171">
        <f t="shared" ref="E145:E153" si="38">C145+D145</f>
        <v>7500</v>
      </c>
      <c r="F145" s="675">
        <f>73361-65697</f>
        <v>7664</v>
      </c>
      <c r="G145" s="171">
        <f t="shared" ref="G145:G153" si="39">E145+F145</f>
        <v>15164</v>
      </c>
      <c r="H145" s="172">
        <f t="shared" ref="H145:H153" si="40">IF($G$208=0,0,G145/$G$208)</f>
        <v>4.2485937250030187E-3</v>
      </c>
      <c r="I145" s="337"/>
      <c r="J145" s="183">
        <v>0</v>
      </c>
      <c r="K145" s="183" t="s">
        <v>405</v>
      </c>
      <c r="M145" s="364">
        <f t="shared" si="34"/>
        <v>1.0203202799084914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490">
        <f>'[53]Sch C'!D147</f>
        <v>0</v>
      </c>
      <c r="D146" s="490">
        <f>'[53]Sch C'!F147</f>
        <v>0</v>
      </c>
      <c r="E146" s="171">
        <f t="shared" si="38"/>
        <v>0</v>
      </c>
      <c r="F146" s="675">
        <f>110955-110955</f>
        <v>0</v>
      </c>
      <c r="G146" s="171">
        <f t="shared" si="39"/>
        <v>0</v>
      </c>
      <c r="H146" s="172">
        <f t="shared" si="40"/>
        <v>0</v>
      </c>
      <c r="I146" s="337"/>
      <c r="J146" s="183">
        <v>0</v>
      </c>
      <c r="K146" s="183">
        <v>0</v>
      </c>
      <c r="M146" s="364">
        <f t="shared" si="34"/>
        <v>0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490">
        <f>'[53]Sch C'!D148</f>
        <v>0</v>
      </c>
      <c r="D147" s="490">
        <f>'[53]Sch C'!F148</f>
        <v>0</v>
      </c>
      <c r="E147" s="171">
        <f t="shared" si="38"/>
        <v>0</v>
      </c>
      <c r="F147" s="675">
        <f>69211-69211</f>
        <v>0</v>
      </c>
      <c r="G147" s="171">
        <f t="shared" si="39"/>
        <v>0</v>
      </c>
      <c r="H147" s="172">
        <f t="shared" si="40"/>
        <v>0</v>
      </c>
      <c r="I147" s="337"/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490">
        <f>'[53]Sch C'!D149</f>
        <v>0</v>
      </c>
      <c r="D148" s="490">
        <f>'[53]Sch C'!F149</f>
        <v>0</v>
      </c>
      <c r="E148" s="171">
        <f t="shared" si="38"/>
        <v>0</v>
      </c>
      <c r="F148" s="675">
        <f>151402-151402</f>
        <v>0</v>
      </c>
      <c r="G148" s="171">
        <f t="shared" si="39"/>
        <v>0</v>
      </c>
      <c r="H148" s="172">
        <f t="shared" si="40"/>
        <v>0</v>
      </c>
      <c r="I148" s="337"/>
      <c r="J148" s="183">
        <v>0</v>
      </c>
      <c r="K148" s="183">
        <v>0</v>
      </c>
      <c r="M148" s="364">
        <f t="shared" si="34"/>
        <v>0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490">
        <f>'[53]Sch C'!D150</f>
        <v>276</v>
      </c>
      <c r="D149" s="490">
        <f>'[53]Sch C'!F150</f>
        <v>0</v>
      </c>
      <c r="E149" s="171">
        <f t="shared" si="38"/>
        <v>276</v>
      </c>
      <c r="F149" s="675">
        <f>20795-20547</f>
        <v>248</v>
      </c>
      <c r="G149" s="171">
        <f t="shared" si="39"/>
        <v>524</v>
      </c>
      <c r="H149" s="172">
        <f t="shared" si="40"/>
        <v>1.468123919745174E-4</v>
      </c>
      <c r="I149" s="337"/>
      <c r="J149" s="183">
        <v>0</v>
      </c>
      <c r="K149" s="183" t="s">
        <v>431</v>
      </c>
      <c r="M149" s="364">
        <f t="shared" si="34"/>
        <v>3.525770421208451E-2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490">
        <f>'[53]Sch C'!D151</f>
        <v>52033</v>
      </c>
      <c r="D150" s="490">
        <f>'[53]Sch C'!F151</f>
        <v>0</v>
      </c>
      <c r="E150" s="171">
        <f t="shared" si="38"/>
        <v>52033</v>
      </c>
      <c r="F150" s="418">
        <v>33156</v>
      </c>
      <c r="G150" s="171">
        <f t="shared" si="39"/>
        <v>85189</v>
      </c>
      <c r="H150" s="172">
        <f t="shared" si="40"/>
        <v>2.3867940572361E-2</v>
      </c>
      <c r="I150" s="337"/>
      <c r="J150" s="168"/>
      <c r="K150" s="168"/>
      <c r="M150" s="364">
        <f t="shared" si="34"/>
        <v>5.7320010765711213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490">
        <f>'[53]Sch C'!D152</f>
        <v>712</v>
      </c>
      <c r="D151" s="490">
        <f>'[53]Sch C'!F152</f>
        <v>0</v>
      </c>
      <c r="E151" s="171">
        <f t="shared" si="38"/>
        <v>712</v>
      </c>
      <c r="F151" s="418">
        <v>246</v>
      </c>
      <c r="G151" s="171">
        <f t="shared" si="39"/>
        <v>958</v>
      </c>
      <c r="H151" s="172">
        <f t="shared" si="40"/>
        <v>2.6840891509844974E-4</v>
      </c>
      <c r="I151" s="337"/>
      <c r="J151" s="168"/>
      <c r="K151" s="168"/>
      <c r="M151" s="364">
        <f t="shared" si="34"/>
        <v>6.4459695868658323E-2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490">
        <f>'[53]Sch C'!D153</f>
        <v>0</v>
      </c>
      <c r="D152" s="490">
        <f>'[53]Sch C'!F153</f>
        <v>0</v>
      </c>
      <c r="E152" s="171">
        <f t="shared" si="38"/>
        <v>0</v>
      </c>
      <c r="F152" s="418">
        <v>0</v>
      </c>
      <c r="G152" s="171">
        <f t="shared" si="39"/>
        <v>0</v>
      </c>
      <c r="H152" s="172">
        <f t="shared" si="40"/>
        <v>0</v>
      </c>
      <c r="I152" s="337"/>
      <c r="J152" s="168"/>
      <c r="K152" s="168"/>
      <c r="M152" s="364">
        <f t="shared" si="34"/>
        <v>0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490">
        <f>'[53]Sch C'!D154</f>
        <v>0</v>
      </c>
      <c r="D153" s="490">
        <f>'[53]Sch C'!F154</f>
        <v>0</v>
      </c>
      <c r="E153" s="171">
        <f t="shared" si="38"/>
        <v>0</v>
      </c>
      <c r="F153" s="418">
        <v>0</v>
      </c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423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490">
        <f>'[53]Sch C'!D156</f>
        <v>0</v>
      </c>
      <c r="D155" s="490">
        <f>'[53]Sch C'!F156</f>
        <v>0</v>
      </c>
      <c r="E155" s="171">
        <f t="shared" ref="E155:E160" si="41">C155+D155</f>
        <v>0</v>
      </c>
      <c r="F155" s="418">
        <v>0</v>
      </c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490">
        <f>'[53]Sch C'!D157</f>
        <v>0</v>
      </c>
      <c r="D156" s="490">
        <f>'[53]Sch C'!F157</f>
        <v>0</v>
      </c>
      <c r="E156" s="171">
        <f t="shared" si="41"/>
        <v>0</v>
      </c>
      <c r="F156" s="418">
        <v>0</v>
      </c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490">
        <f>'[53]Sch C'!D158</f>
        <v>0</v>
      </c>
      <c r="D157" s="490">
        <f>'[53]Sch C'!F158</f>
        <v>0</v>
      </c>
      <c r="E157" s="171">
        <f t="shared" si="41"/>
        <v>0</v>
      </c>
      <c r="F157" s="418">
        <v>75</v>
      </c>
      <c r="G157" s="171">
        <f t="shared" si="42"/>
        <v>75</v>
      </c>
      <c r="H157" s="172">
        <f t="shared" si="43"/>
        <v>2.1013224042154207E-5</v>
      </c>
      <c r="I157" s="337"/>
      <c r="J157" s="168"/>
      <c r="K157" s="168"/>
      <c r="M157" s="364">
        <f t="shared" si="34"/>
        <v>5.0464271295922484E-3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490">
        <f>'[53]Sch C'!D159</f>
        <v>0</v>
      </c>
      <c r="D158" s="490">
        <f>'[53]Sch C'!F159</f>
        <v>0</v>
      </c>
      <c r="E158" s="171">
        <f t="shared" si="41"/>
        <v>0</v>
      </c>
      <c r="F158" s="418">
        <v>0</v>
      </c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490">
        <f>'[53]Sch C'!D160</f>
        <v>288</v>
      </c>
      <c r="D159" s="490">
        <f>'[53]Sch C'!F160</f>
        <v>0</v>
      </c>
      <c r="E159" s="171">
        <f t="shared" si="41"/>
        <v>288</v>
      </c>
      <c r="F159" s="418">
        <v>1096</v>
      </c>
      <c r="G159" s="171">
        <f t="shared" si="42"/>
        <v>1384</v>
      </c>
      <c r="H159" s="172">
        <f>IF($G$208=0,0,G159/$G$208)</f>
        <v>3.8776402765788566E-4</v>
      </c>
      <c r="I159" s="337"/>
      <c r="J159" s="168"/>
      <c r="K159" s="168"/>
      <c r="M159" s="364">
        <f t="shared" si="34"/>
        <v>9.3123401964742294E-2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490">
        <f>'[53]Sch C'!D161</f>
        <v>576</v>
      </c>
      <c r="D160" s="490">
        <f>'[53]Sch C'!F161</f>
        <v>0</v>
      </c>
      <c r="E160" s="171">
        <f t="shared" si="41"/>
        <v>576</v>
      </c>
      <c r="F160" s="418">
        <v>1629</v>
      </c>
      <c r="G160" s="171">
        <f t="shared" si="42"/>
        <v>2205</v>
      </c>
      <c r="H160" s="172">
        <f t="shared" si="43"/>
        <v>6.1778878683933368E-4</v>
      </c>
      <c r="I160" s="337"/>
      <c r="J160" s="168"/>
      <c r="K160" s="168"/>
      <c r="M160" s="364">
        <f t="shared" si="34"/>
        <v>0.14836495761001212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490">
        <f>SUM(C123:C160)</f>
        <v>660001</v>
      </c>
      <c r="D161" s="490">
        <f>SUM(D123:D160)</f>
        <v>0</v>
      </c>
      <c r="E161" s="171">
        <f t="shared" ref="E161:F161" si="44">SUM(E123:E160)</f>
        <v>660001</v>
      </c>
      <c r="F161" s="171">
        <f t="shared" si="44"/>
        <v>454765</v>
      </c>
      <c r="G161" s="171">
        <f>SUM(G123:G160)</f>
        <v>1114766</v>
      </c>
      <c r="H161" s="172">
        <f t="shared" si="43"/>
        <v>0.31233103616768104</v>
      </c>
      <c r="I161" s="337"/>
      <c r="J161" s="168"/>
      <c r="K161" s="168"/>
      <c r="M161" s="364">
        <f>G161/G$228</f>
        <v>75.007805140627099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422"/>
      <c r="G162" s="196"/>
      <c r="H162" s="197"/>
      <c r="I162" s="337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437"/>
      <c r="G163" s="213"/>
      <c r="H163" s="214"/>
      <c r="I163" s="337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490">
        <f>'[53]Sch C'!D175</f>
        <v>0</v>
      </c>
      <c r="D164" s="490">
        <f>'[53]Sch C'!F175</f>
        <v>0</v>
      </c>
      <c r="E164" s="171">
        <f t="shared" ref="E164:E196" si="45">C164+D164</f>
        <v>0</v>
      </c>
      <c r="F164" s="424">
        <v>0</v>
      </c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490">
        <f>'[53]Sch C'!D176</f>
        <v>0</v>
      </c>
      <c r="D165" s="490">
        <f>'[53]Sch C'!F176</f>
        <v>0</v>
      </c>
      <c r="E165" s="171">
        <f t="shared" si="45"/>
        <v>0</v>
      </c>
      <c r="F165" s="424">
        <v>0</v>
      </c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490">
        <f>'[53]Sch C'!D177</f>
        <v>130846</v>
      </c>
      <c r="D166" s="490">
        <f>'[53]Sch C'!F177</f>
        <v>0</v>
      </c>
      <c r="E166" s="171">
        <f t="shared" si="45"/>
        <v>130846</v>
      </c>
      <c r="F166" s="673">
        <v>83809</v>
      </c>
      <c r="G166" s="171">
        <f t="shared" si="46"/>
        <v>214655</v>
      </c>
      <c r="H166" s="172">
        <f t="shared" si="47"/>
        <v>6.0141248090248157E-2</v>
      </c>
      <c r="I166" s="343"/>
      <c r="J166" s="217">
        <v>3065</v>
      </c>
      <c r="K166" s="217">
        <v>3210</v>
      </c>
      <c r="L166" s="218"/>
      <c r="M166" s="364">
        <f t="shared" si="48"/>
        <v>14.443210873368322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490">
        <f>'[53]Sch C'!D178</f>
        <v>33238</v>
      </c>
      <c r="D167" s="490">
        <f>'[53]Sch C'!F178</f>
        <v>0</v>
      </c>
      <c r="E167" s="171">
        <f t="shared" si="45"/>
        <v>33238</v>
      </c>
      <c r="F167" s="673">
        <v>23023</v>
      </c>
      <c r="G167" s="171">
        <f t="shared" si="46"/>
        <v>56261</v>
      </c>
      <c r="H167" s="172">
        <f t="shared" si="47"/>
        <v>1.576299997114184E-2</v>
      </c>
      <c r="I167" s="344"/>
      <c r="J167" s="222"/>
      <c r="K167" s="222"/>
      <c r="L167" s="218"/>
      <c r="M167" s="364">
        <f t="shared" si="48"/>
        <v>3.78556048983986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490">
        <f>'[53]Sch C'!D179</f>
        <v>0</v>
      </c>
      <c r="D168" s="490">
        <f>'[53]Sch C'!F179</f>
        <v>0</v>
      </c>
      <c r="E168" s="171">
        <f t="shared" si="45"/>
        <v>0</v>
      </c>
      <c r="F168" s="673">
        <v>1483</v>
      </c>
      <c r="G168" s="171">
        <f t="shared" si="46"/>
        <v>1483</v>
      </c>
      <c r="H168" s="172">
        <f t="shared" si="47"/>
        <v>4.1550148339352923E-4</v>
      </c>
      <c r="I168" s="343"/>
      <c r="J168" s="217">
        <v>0</v>
      </c>
      <c r="K168" s="217">
        <v>0</v>
      </c>
      <c r="L168" s="218"/>
      <c r="M168" s="364">
        <f t="shared" si="48"/>
        <v>9.9784685775804058E-2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490">
        <f>'[53]Sch C'!D180</f>
        <v>0</v>
      </c>
      <c r="D169" s="490">
        <f>'[53]Sch C'!F180</f>
        <v>0</v>
      </c>
      <c r="E169" s="171">
        <f t="shared" si="45"/>
        <v>0</v>
      </c>
      <c r="F169" s="424">
        <v>0</v>
      </c>
      <c r="G169" s="171">
        <f t="shared" si="46"/>
        <v>0</v>
      </c>
      <c r="H169" s="172">
        <f t="shared" si="47"/>
        <v>0</v>
      </c>
      <c r="I169" s="344"/>
      <c r="J169" s="222"/>
      <c r="K169" s="222"/>
      <c r="L169" s="218"/>
      <c r="M169" s="364">
        <f t="shared" si="48"/>
        <v>0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490">
        <f>'[53]Sch C'!D181</f>
        <v>0</v>
      </c>
      <c r="D170" s="490">
        <f>'[53]Sch C'!F181</f>
        <v>0</v>
      </c>
      <c r="E170" s="171">
        <f t="shared" si="45"/>
        <v>0</v>
      </c>
      <c r="F170" s="424">
        <v>0</v>
      </c>
      <c r="G170" s="171">
        <f t="shared" si="46"/>
        <v>0</v>
      </c>
      <c r="H170" s="172">
        <f t="shared" si="47"/>
        <v>0</v>
      </c>
      <c r="I170" s="343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490">
        <f>'[53]Sch C'!D182</f>
        <v>0</v>
      </c>
      <c r="D171" s="490">
        <f>'[53]Sch C'!F182</f>
        <v>0</v>
      </c>
      <c r="E171" s="171">
        <f t="shared" si="45"/>
        <v>0</v>
      </c>
      <c r="F171" s="424">
        <v>0</v>
      </c>
      <c r="G171" s="171">
        <f t="shared" si="46"/>
        <v>0</v>
      </c>
      <c r="H171" s="172">
        <f>IF($G$208=0,0,G171/$G$208)</f>
        <v>0</v>
      </c>
      <c r="I171" s="344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490">
        <f>'[53]Sch C'!D183</f>
        <v>34756</v>
      </c>
      <c r="D172" s="490">
        <f>'[53]Sch C'!F183</f>
        <v>0</v>
      </c>
      <c r="E172" s="171">
        <f t="shared" si="45"/>
        <v>34756</v>
      </c>
      <c r="F172" s="673">
        <v>21660</v>
      </c>
      <c r="G172" s="171">
        <f t="shared" si="46"/>
        <v>56416</v>
      </c>
      <c r="H172" s="172">
        <f t="shared" si="47"/>
        <v>1.5806427300828957E-2</v>
      </c>
      <c r="I172" s="343"/>
      <c r="J172" s="217">
        <v>914</v>
      </c>
      <c r="K172" s="217">
        <v>954</v>
      </c>
      <c r="L172" s="218"/>
      <c r="M172" s="364">
        <f t="shared" si="48"/>
        <v>3.7959897725743508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490">
        <f>'[53]Sch C'!D184</f>
        <v>3802</v>
      </c>
      <c r="D173" s="490">
        <f>'[53]Sch C'!F184</f>
        <v>0</v>
      </c>
      <c r="E173" s="171">
        <f t="shared" si="45"/>
        <v>3802</v>
      </c>
      <c r="F173" s="673">
        <v>3204</v>
      </c>
      <c r="G173" s="171">
        <f t="shared" si="46"/>
        <v>7006</v>
      </c>
      <c r="H173" s="172">
        <f t="shared" si="47"/>
        <v>1.9629153018577653E-3</v>
      </c>
      <c r="I173" s="344"/>
      <c r="J173" s="222"/>
      <c r="K173" s="222"/>
      <c r="L173" s="218"/>
      <c r="M173" s="364">
        <f t="shared" si="48"/>
        <v>0.47140357959897727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490">
        <f>'[53]Sch C'!D185</f>
        <v>0</v>
      </c>
      <c r="D174" s="490">
        <f>'[53]Sch C'!F185</f>
        <v>0</v>
      </c>
      <c r="E174" s="171">
        <f t="shared" si="45"/>
        <v>0</v>
      </c>
      <c r="F174" s="424">
        <v>0</v>
      </c>
      <c r="G174" s="171">
        <f t="shared" si="46"/>
        <v>0</v>
      </c>
      <c r="H174" s="172">
        <f t="shared" si="47"/>
        <v>0</v>
      </c>
      <c r="I174" s="343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490">
        <f>'[53]Sch C'!D186</f>
        <v>0</v>
      </c>
      <c r="D175" s="490">
        <f>'[53]Sch C'!F186</f>
        <v>0</v>
      </c>
      <c r="E175" s="171">
        <f t="shared" si="45"/>
        <v>0</v>
      </c>
      <c r="F175" s="424">
        <v>0</v>
      </c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490">
        <f>'[53]Sch C'!D187</f>
        <v>0</v>
      </c>
      <c r="D176" s="490">
        <f>'[53]Sch C'!F187</f>
        <v>0</v>
      </c>
      <c r="E176" s="171">
        <f t="shared" si="45"/>
        <v>0</v>
      </c>
      <c r="F176" s="424">
        <v>0</v>
      </c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490">
        <f>'[53]Sch C'!D188</f>
        <v>1131</v>
      </c>
      <c r="D177" s="490">
        <f>'[53]Sch C'!F188</f>
        <v>0</v>
      </c>
      <c r="E177" s="171">
        <f t="shared" si="45"/>
        <v>1131</v>
      </c>
      <c r="F177" s="424">
        <v>1276</v>
      </c>
      <c r="G177" s="171">
        <f t="shared" si="46"/>
        <v>2407</v>
      </c>
      <c r="H177" s="172">
        <f t="shared" si="47"/>
        <v>6.7438440359286907E-4</v>
      </c>
      <c r="I177" s="337"/>
      <c r="J177" s="223"/>
      <c r="K177" s="218"/>
      <c r="L177" s="220"/>
      <c r="M177" s="364">
        <f t="shared" si="48"/>
        <v>0.16195666801238057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490">
        <f>'[53]Sch C'!D189</f>
        <v>0</v>
      </c>
      <c r="D178" s="490">
        <f>'[53]Sch C'!F189</f>
        <v>0</v>
      </c>
      <c r="E178" s="171">
        <f t="shared" si="45"/>
        <v>0</v>
      </c>
      <c r="F178" s="424">
        <v>0</v>
      </c>
      <c r="G178" s="171">
        <f t="shared" si="46"/>
        <v>0</v>
      </c>
      <c r="H178" s="172">
        <f t="shared" si="47"/>
        <v>0</v>
      </c>
      <c r="I178" s="337"/>
      <c r="J178" s="223"/>
      <c r="K178" s="218"/>
      <c r="L178" s="220"/>
      <c r="M178" s="364">
        <f t="shared" si="48"/>
        <v>0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490">
        <f>'[53]Sch C'!D190</f>
        <v>0</v>
      </c>
      <c r="D179" s="490">
        <f>'[53]Sch C'!F190</f>
        <v>0</v>
      </c>
      <c r="E179" s="171">
        <f t="shared" si="45"/>
        <v>0</v>
      </c>
      <c r="F179" s="424">
        <v>0</v>
      </c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490">
        <f>'[53]Sch C'!D191</f>
        <v>0</v>
      </c>
      <c r="D180" s="490">
        <f>'[53]Sch C'!F191</f>
        <v>0</v>
      </c>
      <c r="E180" s="171">
        <f t="shared" si="45"/>
        <v>0</v>
      </c>
      <c r="F180" s="424">
        <v>0</v>
      </c>
      <c r="G180" s="171">
        <f t="shared" si="46"/>
        <v>0</v>
      </c>
      <c r="H180" s="172">
        <f t="shared" si="47"/>
        <v>0</v>
      </c>
      <c r="I180" s="337"/>
      <c r="J180" s="223"/>
      <c r="K180" s="218"/>
      <c r="L180" s="220"/>
      <c r="M180" s="364">
        <f t="shared" si="48"/>
        <v>0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490">
        <f>'[53]Sch C'!D192</f>
        <v>2508</v>
      </c>
      <c r="D181" s="490">
        <f>'[53]Sch C'!F192</f>
        <v>0</v>
      </c>
      <c r="E181" s="171">
        <f t="shared" si="45"/>
        <v>2508</v>
      </c>
      <c r="F181" s="424">
        <v>4563</v>
      </c>
      <c r="G181" s="171">
        <f t="shared" si="46"/>
        <v>7071</v>
      </c>
      <c r="H181" s="172">
        <f t="shared" si="47"/>
        <v>1.9811267626942989E-3</v>
      </c>
      <c r="I181" s="337"/>
      <c r="J181" s="223"/>
      <c r="K181" s="218"/>
      <c r="L181" s="220"/>
      <c r="M181" s="364">
        <f t="shared" si="48"/>
        <v>0.47577714977795721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490">
        <f>'[53]Sch C'!D193</f>
        <v>0</v>
      </c>
      <c r="D182" s="490">
        <f>'[53]Sch C'!F193</f>
        <v>0</v>
      </c>
      <c r="E182" s="171">
        <f t="shared" si="45"/>
        <v>0</v>
      </c>
      <c r="F182" s="424">
        <v>0</v>
      </c>
      <c r="G182" s="171">
        <f t="shared" si="46"/>
        <v>0</v>
      </c>
      <c r="H182" s="172">
        <f t="shared" si="47"/>
        <v>0</v>
      </c>
      <c r="I182" s="337"/>
      <c r="J182" s="223"/>
      <c r="K182" s="218"/>
      <c r="L182" s="220"/>
      <c r="M182" s="364">
        <f t="shared" si="48"/>
        <v>0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490">
        <f>'[53]Sch C'!D194</f>
        <v>3853</v>
      </c>
      <c r="D183" s="490">
        <f>'[53]Sch C'!F194</f>
        <v>0</v>
      </c>
      <c r="E183" s="171">
        <f t="shared" si="45"/>
        <v>3853</v>
      </c>
      <c r="F183" s="676">
        <f>108533-108533</f>
        <v>0</v>
      </c>
      <c r="G183" s="171">
        <f t="shared" si="46"/>
        <v>3853</v>
      </c>
      <c r="H183" s="172">
        <f t="shared" si="47"/>
        <v>1.0795193631256022E-3</v>
      </c>
      <c r="I183" s="337"/>
      <c r="J183" s="223"/>
      <c r="K183" s="218"/>
      <c r="M183" s="364">
        <f t="shared" si="48"/>
        <v>0.25925178307091912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490">
        <f>'[53]Sch C'!D195</f>
        <v>738</v>
      </c>
      <c r="D184" s="490">
        <f>'[53]Sch C'!F195</f>
        <v>0</v>
      </c>
      <c r="E184" s="171">
        <f t="shared" si="45"/>
        <v>738</v>
      </c>
      <c r="F184" s="676">
        <f>1483-1483</f>
        <v>0</v>
      </c>
      <c r="G184" s="171">
        <f t="shared" si="46"/>
        <v>738</v>
      </c>
      <c r="H184" s="172">
        <f t="shared" si="47"/>
        <v>2.0677012457479742E-4</v>
      </c>
      <c r="I184" s="337"/>
      <c r="J184" s="223"/>
      <c r="K184" s="218"/>
      <c r="M184" s="364">
        <f t="shared" si="48"/>
        <v>4.9656842955187727E-2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490">
        <f>'[53]Sch C'!D196</f>
        <v>0</v>
      </c>
      <c r="D185" s="490">
        <f>'[53]Sch C'!F196</f>
        <v>0</v>
      </c>
      <c r="E185" s="171">
        <f t="shared" si="45"/>
        <v>0</v>
      </c>
      <c r="F185" s="424">
        <v>0</v>
      </c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490">
        <f>'[53]Sch C'!D197</f>
        <v>0</v>
      </c>
      <c r="D186" s="490">
        <f>'[53]Sch C'!F197</f>
        <v>0</v>
      </c>
      <c r="E186" s="171">
        <f t="shared" si="45"/>
        <v>0</v>
      </c>
      <c r="F186" s="676">
        <f>24864-24864</f>
        <v>0</v>
      </c>
      <c r="G186" s="171">
        <f t="shared" si="46"/>
        <v>0</v>
      </c>
      <c r="H186" s="172">
        <f t="shared" si="47"/>
        <v>0</v>
      </c>
      <c r="I186" s="337"/>
      <c r="J186" s="223"/>
      <c r="K186" s="218"/>
      <c r="M186" s="364">
        <f t="shared" si="48"/>
        <v>0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490">
        <f>'[53]Sch C'!D198</f>
        <v>10216</v>
      </c>
      <c r="D187" s="490">
        <f>'[53]Sch C'!F198</f>
        <v>0</v>
      </c>
      <c r="E187" s="171">
        <f t="shared" si="45"/>
        <v>10216</v>
      </c>
      <c r="F187" s="424">
        <v>0</v>
      </c>
      <c r="G187" s="171">
        <f t="shared" si="46"/>
        <v>10216</v>
      </c>
      <c r="H187" s="172">
        <f t="shared" si="47"/>
        <v>2.8622812908619651E-3</v>
      </c>
      <c r="I187" s="337"/>
      <c r="J187" s="223"/>
      <c r="K187" s="218"/>
      <c r="M187" s="364">
        <f t="shared" si="48"/>
        <v>0.68739066074552546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490">
        <f>'[53]Sch C'!D199</f>
        <v>0</v>
      </c>
      <c r="D188" s="490">
        <f>'[53]Sch C'!F199</f>
        <v>0</v>
      </c>
      <c r="E188" s="171">
        <f t="shared" si="45"/>
        <v>0</v>
      </c>
      <c r="F188" s="424">
        <v>0</v>
      </c>
      <c r="G188" s="171">
        <f t="shared" si="46"/>
        <v>0</v>
      </c>
      <c r="H188" s="172">
        <f t="shared" si="47"/>
        <v>0</v>
      </c>
      <c r="I188" s="337"/>
      <c r="J188" s="223"/>
      <c r="K188" s="218"/>
      <c r="M188" s="364">
        <f t="shared" si="48"/>
        <v>0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490">
        <f>'[53]Sch C'!D200</f>
        <v>0</v>
      </c>
      <c r="D189" s="490">
        <f>'[53]Sch C'!F200</f>
        <v>0</v>
      </c>
      <c r="E189" s="171">
        <f t="shared" si="45"/>
        <v>0</v>
      </c>
      <c r="F189" s="424">
        <v>0</v>
      </c>
      <c r="G189" s="171">
        <f t="shared" si="46"/>
        <v>0</v>
      </c>
      <c r="H189" s="172">
        <f t="shared" si="47"/>
        <v>0</v>
      </c>
      <c r="I189" s="337"/>
      <c r="J189" s="223"/>
      <c r="K189" s="218"/>
      <c r="M189" s="364">
        <f t="shared" si="48"/>
        <v>0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490">
        <f>'[53]Sch C'!D201</f>
        <v>0</v>
      </c>
      <c r="D190" s="490">
        <f>'[53]Sch C'!F201</f>
        <v>0</v>
      </c>
      <c r="E190" s="171">
        <f t="shared" si="45"/>
        <v>0</v>
      </c>
      <c r="F190" s="424">
        <v>0</v>
      </c>
      <c r="G190" s="171">
        <f t="shared" si="46"/>
        <v>0</v>
      </c>
      <c r="H190" s="172">
        <f t="shared" si="47"/>
        <v>0</v>
      </c>
      <c r="I190" s="337"/>
      <c r="J190" s="223"/>
      <c r="K190" s="218"/>
      <c r="M190" s="364">
        <f t="shared" si="48"/>
        <v>0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490">
        <f>'[53]Sch C'!D202</f>
        <v>0</v>
      </c>
      <c r="D191" s="490">
        <f>'[53]Sch C'!F202</f>
        <v>0</v>
      </c>
      <c r="E191" s="171">
        <f t="shared" si="45"/>
        <v>0</v>
      </c>
      <c r="F191" s="424">
        <v>0</v>
      </c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490">
        <f>'[53]Sch C'!D203</f>
        <v>11236</v>
      </c>
      <c r="D192" s="490">
        <f>'[53]Sch C'!F203</f>
        <v>0</v>
      </c>
      <c r="E192" s="171">
        <f t="shared" si="45"/>
        <v>11236</v>
      </c>
      <c r="F192" s="424">
        <v>7721</v>
      </c>
      <c r="G192" s="171">
        <f t="shared" si="46"/>
        <v>18957</v>
      </c>
      <c r="H192" s="172">
        <f t="shared" si="47"/>
        <v>5.311302508894898E-3</v>
      </c>
      <c r="I192" s="337"/>
      <c r="J192" s="223"/>
      <c r="K192" s="218"/>
      <c r="M192" s="364">
        <f t="shared" si="48"/>
        <v>1.2755349212757368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490">
        <f>'[53]Sch C'!D204</f>
        <v>0</v>
      </c>
      <c r="D193" s="490">
        <f>'[53]Sch C'!F204</f>
        <v>0</v>
      </c>
      <c r="E193" s="171">
        <f t="shared" si="45"/>
        <v>0</v>
      </c>
      <c r="F193" s="424">
        <v>25977</v>
      </c>
      <c r="G193" s="171">
        <f t="shared" si="46"/>
        <v>25977</v>
      </c>
      <c r="H193" s="172">
        <f t="shared" si="47"/>
        <v>7.2781402792405315E-3</v>
      </c>
      <c r="I193" s="337"/>
      <c r="J193" s="223"/>
      <c r="K193" s="218"/>
      <c r="M193" s="364">
        <f t="shared" si="48"/>
        <v>1.7478805006055713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490">
        <f>'[53]Sch C'!D205</f>
        <v>53933</v>
      </c>
      <c r="D194" s="490">
        <f>'[53]Sch C'!F205</f>
        <v>0</v>
      </c>
      <c r="E194" s="171">
        <f t="shared" si="45"/>
        <v>53933</v>
      </c>
      <c r="F194" s="424">
        <v>4081</v>
      </c>
      <c r="G194" s="171">
        <f t="shared" si="46"/>
        <v>58014</v>
      </c>
      <c r="H194" s="172">
        <f t="shared" si="47"/>
        <v>1.6254149061087124E-2</v>
      </c>
      <c r="I194" s="337"/>
      <c r="J194" s="223"/>
      <c r="K194" s="218"/>
      <c r="M194" s="364">
        <f t="shared" si="48"/>
        <v>3.9035123132821963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490">
        <f>'[53]Sch C'!D206</f>
        <v>3619</v>
      </c>
      <c r="D195" s="490">
        <f>'[53]Sch C'!F206</f>
        <v>0</v>
      </c>
      <c r="E195" s="171">
        <f t="shared" si="45"/>
        <v>3619</v>
      </c>
      <c r="F195" s="424">
        <v>986</v>
      </c>
      <c r="G195" s="171">
        <f t="shared" si="46"/>
        <v>4605</v>
      </c>
      <c r="H195" s="172">
        <f t="shared" si="47"/>
        <v>1.2902119561882684E-3</v>
      </c>
      <c r="I195" s="337"/>
      <c r="J195" s="223"/>
      <c r="K195" s="218"/>
      <c r="M195" s="364">
        <f t="shared" si="48"/>
        <v>0.30985062575696409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490">
        <f>'[53]Sch C'!D207</f>
        <v>5666</v>
      </c>
      <c r="D196" s="490">
        <f>'[53]Sch C'!F207</f>
        <v>0</v>
      </c>
      <c r="E196" s="171">
        <f t="shared" si="45"/>
        <v>5666</v>
      </c>
      <c r="F196" s="424">
        <v>0</v>
      </c>
      <c r="G196" s="171">
        <f t="shared" si="46"/>
        <v>5666</v>
      </c>
      <c r="H196" s="172">
        <f t="shared" si="47"/>
        <v>1.5874790323046099E-3</v>
      </c>
      <c r="I196" s="337"/>
      <c r="J196" s="223"/>
      <c r="K196" s="218"/>
      <c r="M196" s="364">
        <f t="shared" si="48"/>
        <v>0.3812407482169291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490">
        <f>SUM(C164:C196)</f>
        <v>295542</v>
      </c>
      <c r="D197" s="490">
        <f>SUM(D164:D196)</f>
        <v>0</v>
      </c>
      <c r="E197" s="171">
        <f t="shared" ref="E197:F197" si="49">SUM(E164:E196)</f>
        <v>295542</v>
      </c>
      <c r="F197" s="171">
        <f t="shared" si="49"/>
        <v>177783</v>
      </c>
      <c r="G197" s="171">
        <f>SUM(G164:G196)</f>
        <v>473325</v>
      </c>
      <c r="H197" s="172">
        <f>IF($G$208=0,0,G197/$G$208)</f>
        <v>0.13261445693003521</v>
      </c>
      <c r="I197" s="337"/>
      <c r="J197" s="168"/>
      <c r="K197" s="168"/>
      <c r="M197" s="364">
        <f>G197/G$228</f>
        <v>31.848001614856681</v>
      </c>
      <c r="N197" s="359">
        <f>SUMMARY!J200</f>
        <v>35.91740838389223</v>
      </c>
    </row>
    <row r="198" spans="1:16" s="167" customFormat="1" ht="14">
      <c r="A198" s="163"/>
      <c r="C198" s="165"/>
      <c r="D198" s="165"/>
      <c r="E198" s="165"/>
      <c r="F198" s="645" t="s">
        <v>624</v>
      </c>
      <c r="G198" s="165"/>
      <c r="H198" s="198"/>
      <c r="I198" s="341"/>
      <c r="J198" s="168"/>
      <c r="K198" s="168"/>
      <c r="M198" s="359"/>
      <c r="N198" s="359"/>
    </row>
    <row r="199" spans="1:16" s="167" customFormat="1" ht="14">
      <c r="A199" s="169" t="s">
        <v>169</v>
      </c>
      <c r="B199" s="170" t="s">
        <v>68</v>
      </c>
      <c r="C199" s="165"/>
      <c r="D199" s="165"/>
      <c r="E199" s="165"/>
      <c r="F199" s="646" t="s">
        <v>619</v>
      </c>
      <c r="G199" s="165"/>
      <c r="H199" s="198"/>
      <c r="I199" s="341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490">
        <f>'[53]Sch C'!D211</f>
        <v>48314</v>
      </c>
      <c r="D200" s="490">
        <f>'[53]Sch C'!F211</f>
        <v>0</v>
      </c>
      <c r="E200" s="171">
        <f t="shared" ref="E200:E205" si="50">C200+D200</f>
        <v>48314</v>
      </c>
      <c r="F200" s="675">
        <v>38308</v>
      </c>
      <c r="G200" s="171">
        <f t="shared" ref="G200:G205" si="51">E200+F200</f>
        <v>86622</v>
      </c>
      <c r="H200" s="172">
        <f t="shared" ref="H200:H206" si="52">IF($G$208=0,0,G200/$G$208)</f>
        <v>2.4269433239726426E-2</v>
      </c>
      <c r="I200" s="337"/>
      <c r="J200" s="183">
        <v>4500</v>
      </c>
      <c r="K200" s="183">
        <v>4675</v>
      </c>
      <c r="M200" s="364">
        <f t="shared" ref="M200:M205" si="53">G200/G$228</f>
        <v>5.8284214775938636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490">
        <f>'[53]Sch C'!D212</f>
        <v>12116</v>
      </c>
      <c r="D201" s="490">
        <f>'[53]Sch C'!F212</f>
        <v>0</v>
      </c>
      <c r="E201" s="171">
        <f t="shared" si="50"/>
        <v>12116</v>
      </c>
      <c r="F201" s="675">
        <v>11775</v>
      </c>
      <c r="G201" s="171">
        <f t="shared" si="51"/>
        <v>23891</v>
      </c>
      <c r="H201" s="172">
        <f t="shared" si="52"/>
        <v>6.6936924745480825E-3</v>
      </c>
      <c r="I201" s="337"/>
      <c r="J201" s="168"/>
      <c r="K201" s="168"/>
      <c r="M201" s="364">
        <f t="shared" si="53"/>
        <v>1.6075225407078455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490">
        <f>'[53]Sch C'!D213</f>
        <v>7857</v>
      </c>
      <c r="D202" s="490">
        <f>'[53]Sch C'!F213</f>
        <v>0</v>
      </c>
      <c r="E202" s="171">
        <f t="shared" si="50"/>
        <v>7857</v>
      </c>
      <c r="F202" s="675">
        <f>55420-50013</f>
        <v>5407</v>
      </c>
      <c r="G202" s="171">
        <f t="shared" si="51"/>
        <v>13264</v>
      </c>
      <c r="H202" s="172">
        <f t="shared" si="52"/>
        <v>3.7162587159351125E-3</v>
      </c>
      <c r="I202" s="337"/>
      <c r="J202" s="168"/>
      <c r="K202" s="168"/>
      <c r="M202" s="364">
        <f t="shared" si="53"/>
        <v>0.8924774592921545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490">
        <f>'[53]Sch C'!D214</f>
        <v>0</v>
      </c>
      <c r="D203" s="490">
        <f>'[53]Sch C'!F214</f>
        <v>0</v>
      </c>
      <c r="E203" s="171">
        <f t="shared" si="50"/>
        <v>0</v>
      </c>
      <c r="F203" s="418">
        <v>0</v>
      </c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>
        <f t="shared" si="53"/>
        <v>0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490">
        <f>'[53]Sch C'!D215</f>
        <v>0</v>
      </c>
      <c r="D204" s="490">
        <f>'[53]Sch C'!F215</f>
        <v>0</v>
      </c>
      <c r="E204" s="171">
        <f t="shared" si="50"/>
        <v>0</v>
      </c>
      <c r="F204" s="418">
        <v>0</v>
      </c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490">
        <f>'[53]Sch C'!D216</f>
        <v>4643</v>
      </c>
      <c r="D205" s="490">
        <f>'[53]Sch C'!F216</f>
        <v>0</v>
      </c>
      <c r="E205" s="171">
        <f t="shared" si="50"/>
        <v>4643</v>
      </c>
      <c r="F205" s="418">
        <v>3990</v>
      </c>
      <c r="G205" s="171">
        <f t="shared" si="51"/>
        <v>8633</v>
      </c>
      <c r="H205" s="172">
        <f t="shared" si="52"/>
        <v>2.4187621754122304E-3</v>
      </c>
      <c r="I205" s="337"/>
      <c r="J205" s="168"/>
      <c r="K205" s="168"/>
      <c r="M205" s="364">
        <f t="shared" si="53"/>
        <v>0.58087740546359845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490">
        <f>SUM(C200:C205)</f>
        <v>72930</v>
      </c>
      <c r="D206" s="490">
        <f>SUM(D200:D205)</f>
        <v>0</v>
      </c>
      <c r="E206" s="171">
        <f t="shared" ref="E206:F206" si="54">SUM(E200:E205)</f>
        <v>72930</v>
      </c>
      <c r="F206" s="171">
        <f t="shared" si="54"/>
        <v>59480</v>
      </c>
      <c r="G206" s="171">
        <f>SUM(G200:G205)</f>
        <v>132410</v>
      </c>
      <c r="H206" s="172">
        <f t="shared" si="52"/>
        <v>3.709814660562185E-2</v>
      </c>
      <c r="I206" s="337"/>
      <c r="J206" s="168"/>
      <c r="K206" s="168"/>
      <c r="M206" s="364">
        <f>G206/G$228</f>
        <v>8.9092988830574615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425"/>
      <c r="G207" s="165"/>
      <c r="H207" s="198"/>
      <c r="I207" s="341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490">
        <f>SUM(C25:C206)/2</f>
        <v>2029262</v>
      </c>
      <c r="D208" s="490">
        <f>SUM(D25:D206)/2</f>
        <v>138497</v>
      </c>
      <c r="E208" s="171">
        <f t="shared" ref="E208:F208" si="55">SUM(E25:E206)/2</f>
        <v>2167759</v>
      </c>
      <c r="F208" s="171">
        <f t="shared" si="55"/>
        <v>1401422</v>
      </c>
      <c r="G208" s="171">
        <f>SUM(G25:G206)/2</f>
        <v>3569181</v>
      </c>
      <c r="H208" s="172">
        <f>IF($G$208=0,0,G208/$G$208)</f>
        <v>1</v>
      </c>
      <c r="I208" s="337"/>
      <c r="J208" s="183">
        <f>SUM(J25:J200)</f>
        <v>54540</v>
      </c>
      <c r="K208" s="183">
        <f>SUM(K25:K200)</f>
        <v>56311</v>
      </c>
      <c r="M208" s="364">
        <f>G208/G$228</f>
        <v>240.15482438433588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490">
        <f>'[53]Sch C'!D221</f>
        <v>2029262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490">
        <f>C208-C211</f>
        <v>0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619"/>
      <c r="D213" s="232"/>
      <c r="E213" s="232"/>
      <c r="F213" s="426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42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490">
        <f>C21-C208</f>
        <v>127934</v>
      </c>
      <c r="D215" s="490">
        <f>D21-D208</f>
        <v>-141793</v>
      </c>
      <c r="E215" s="171">
        <f t="shared" ref="E215:F215" si="56">E21-E208</f>
        <v>-13859</v>
      </c>
      <c r="F215" s="171">
        <f t="shared" si="56"/>
        <v>301475</v>
      </c>
      <c r="G215" s="171">
        <f>G21-G208</f>
        <v>287616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422"/>
      <c r="G216" s="196"/>
      <c r="I216" s="333"/>
      <c r="J216" s="168"/>
      <c r="K216" s="168"/>
    </row>
    <row r="217" spans="1:14" s="167" customFormat="1" ht="14">
      <c r="A217" s="163"/>
      <c r="B217" s="228"/>
      <c r="C217" s="196"/>
      <c r="D217" s="196"/>
      <c r="E217" s="196"/>
      <c r="F217" s="645" t="s">
        <v>624</v>
      </c>
      <c r="G217" s="196"/>
      <c r="I217" s="333"/>
      <c r="J217" s="168"/>
      <c r="K217" s="168"/>
    </row>
    <row r="218" spans="1:14" ht="14">
      <c r="A218" s="163"/>
      <c r="B218" s="233" t="s">
        <v>159</v>
      </c>
      <c r="C218" s="165"/>
      <c r="D218" s="165"/>
      <c r="E218" s="165"/>
      <c r="F218" s="646" t="s">
        <v>619</v>
      </c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491">
        <f>'[53]Sch D'!C9</f>
        <v>4791</v>
      </c>
      <c r="D219" s="491"/>
      <c r="E219" s="235">
        <f t="shared" ref="E219:G227" si="57">C219+D219</f>
        <v>4791</v>
      </c>
      <c r="F219" s="427">
        <v>3494</v>
      </c>
      <c r="G219" s="235">
        <f t="shared" si="57"/>
        <v>8285</v>
      </c>
      <c r="H219" s="172">
        <f t="shared" ref="H219:H228" si="58">IF($G$228=0,0,G219/$G$228)</f>
        <v>0.55746198358229038</v>
      </c>
      <c r="I219" s="337"/>
      <c r="J219" s="168"/>
      <c r="K219" s="168"/>
    </row>
    <row r="220" spans="1:14">
      <c r="A220" s="163"/>
      <c r="B220" s="170" t="s">
        <v>217</v>
      </c>
      <c r="C220" s="491">
        <f>'[53]Sch D'!D9</f>
        <v>0</v>
      </c>
      <c r="D220" s="491"/>
      <c r="E220" s="235">
        <f t="shared" ref="E220:E227" si="59">C220+D220</f>
        <v>0</v>
      </c>
      <c r="F220" s="427">
        <v>0</v>
      </c>
      <c r="G220" s="235">
        <f t="shared" si="57"/>
        <v>0</v>
      </c>
      <c r="H220" s="172">
        <f t="shared" si="58"/>
        <v>0</v>
      </c>
      <c r="I220" s="337"/>
      <c r="J220" s="168"/>
      <c r="K220" s="168"/>
    </row>
    <row r="221" spans="1:14">
      <c r="A221" s="163"/>
      <c r="B221" s="170" t="s">
        <v>72</v>
      </c>
      <c r="C221" s="491">
        <f>'[53]Sch D'!E9</f>
        <v>1707</v>
      </c>
      <c r="D221" s="491"/>
      <c r="E221" s="235">
        <f t="shared" si="59"/>
        <v>1707</v>
      </c>
      <c r="F221" s="427">
        <v>1067</v>
      </c>
      <c r="G221" s="235">
        <f t="shared" si="57"/>
        <v>2774</v>
      </c>
      <c r="H221" s="172">
        <f t="shared" si="58"/>
        <v>0.18665051809985198</v>
      </c>
      <c r="I221" s="337"/>
      <c r="J221" s="168"/>
      <c r="K221" s="168"/>
    </row>
    <row r="222" spans="1:14">
      <c r="A222" s="163"/>
      <c r="B222" s="202" t="s">
        <v>334</v>
      </c>
      <c r="C222" s="491">
        <f>'[53]Sch D'!F9</f>
        <v>220</v>
      </c>
      <c r="D222" s="491"/>
      <c r="E222" s="235">
        <f>C222+D222</f>
        <v>220</v>
      </c>
      <c r="F222" s="427">
        <v>67</v>
      </c>
      <c r="G222" s="235">
        <f>E222+F222</f>
        <v>287</v>
      </c>
      <c r="H222" s="172">
        <f t="shared" si="58"/>
        <v>1.9310994482573004E-2</v>
      </c>
      <c r="I222" s="337"/>
      <c r="J222" s="168"/>
      <c r="K222" s="168"/>
    </row>
    <row r="223" spans="1:14">
      <c r="A223" s="163"/>
      <c r="B223" s="170" t="s">
        <v>73</v>
      </c>
      <c r="C223" s="491">
        <f>'[53]Sch D'!G9</f>
        <v>0</v>
      </c>
      <c r="D223" s="491"/>
      <c r="E223" s="235">
        <f t="shared" si="59"/>
        <v>0</v>
      </c>
      <c r="F223" s="427">
        <v>0</v>
      </c>
      <c r="G223" s="235">
        <f t="shared" si="57"/>
        <v>0</v>
      </c>
      <c r="H223" s="172">
        <f t="shared" si="58"/>
        <v>0</v>
      </c>
      <c r="I223" s="337"/>
      <c r="J223" s="168"/>
      <c r="K223" s="168"/>
    </row>
    <row r="224" spans="1:14">
      <c r="A224" s="163"/>
      <c r="B224" s="170" t="s">
        <v>74</v>
      </c>
      <c r="C224" s="491">
        <f>'[53]Sch D'!H9</f>
        <v>1867</v>
      </c>
      <c r="D224" s="491"/>
      <c r="E224" s="235">
        <f t="shared" si="59"/>
        <v>1867</v>
      </c>
      <c r="F224" s="427">
        <v>1018</v>
      </c>
      <c r="G224" s="235">
        <f t="shared" si="57"/>
        <v>2885</v>
      </c>
      <c r="H224" s="172">
        <f t="shared" si="58"/>
        <v>0.19411923025164851</v>
      </c>
      <c r="I224" s="337"/>
      <c r="J224" s="168"/>
      <c r="K224" s="168"/>
    </row>
    <row r="225" spans="1:11">
      <c r="A225" s="163"/>
      <c r="B225" s="170" t="s">
        <v>236</v>
      </c>
      <c r="C225" s="491">
        <f>'[53]Sch D'!I9</f>
        <v>335</v>
      </c>
      <c r="D225" s="491"/>
      <c r="E225" s="235">
        <f t="shared" si="59"/>
        <v>335</v>
      </c>
      <c r="F225" s="427">
        <v>244</v>
      </c>
      <c r="G225" s="235">
        <f t="shared" si="57"/>
        <v>579</v>
      </c>
      <c r="H225" s="172">
        <f t="shared" si="58"/>
        <v>3.8958417440452163E-2</v>
      </c>
      <c r="I225" s="337"/>
      <c r="J225" s="168"/>
      <c r="K225" s="168"/>
    </row>
    <row r="226" spans="1:11">
      <c r="A226" s="163"/>
      <c r="B226" s="170" t="s">
        <v>235</v>
      </c>
      <c r="C226" s="491">
        <f>'[53]Sch D'!J9</f>
        <v>39</v>
      </c>
      <c r="D226" s="491"/>
      <c r="E226" s="235">
        <f>C226+D226</f>
        <v>39</v>
      </c>
      <c r="F226" s="427">
        <v>13</v>
      </c>
      <c r="G226" s="235">
        <f>E226+F226</f>
        <v>52</v>
      </c>
      <c r="H226" s="172">
        <f t="shared" si="58"/>
        <v>3.4988561431839589E-3</v>
      </c>
      <c r="I226" s="337"/>
      <c r="J226" s="168"/>
      <c r="K226" s="168"/>
    </row>
    <row r="227" spans="1:11">
      <c r="A227" s="163"/>
      <c r="B227" s="170" t="s">
        <v>179</v>
      </c>
      <c r="C227" s="491">
        <f>'[53]Sch D'!K9</f>
        <v>0</v>
      </c>
      <c r="D227" s="491"/>
      <c r="E227" s="235">
        <f t="shared" si="59"/>
        <v>0</v>
      </c>
      <c r="F227" s="427">
        <v>0</v>
      </c>
      <c r="G227" s="235">
        <f t="shared" si="57"/>
        <v>0</v>
      </c>
      <c r="H227" s="172">
        <f t="shared" si="58"/>
        <v>0</v>
      </c>
      <c r="I227" s="337"/>
      <c r="J227" s="168"/>
      <c r="K227" s="168"/>
    </row>
    <row r="228" spans="1:11" ht="13.5" thickBot="1">
      <c r="A228" s="163"/>
      <c r="B228" s="236" t="s">
        <v>75</v>
      </c>
      <c r="C228" s="491">
        <f>SUM(C219:C227)</f>
        <v>8959</v>
      </c>
      <c r="D228" s="491">
        <f>SUM(D219:D227)</f>
        <v>0</v>
      </c>
      <c r="E228" s="237">
        <f>SUM(E219:E227)</f>
        <v>8959</v>
      </c>
      <c r="F228" s="237">
        <f>SUM(F219:F227)</f>
        <v>5903</v>
      </c>
      <c r="G228" s="237">
        <f>SUM(G219:G227)</f>
        <v>14862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238"/>
      <c r="D229" s="239"/>
      <c r="E229" s="232"/>
      <c r="F229" s="431"/>
      <c r="G229" s="232"/>
      <c r="H229" s="167"/>
      <c r="J229" s="168"/>
      <c r="K229" s="168"/>
    </row>
    <row r="230" spans="1:11">
      <c r="A230" s="163"/>
      <c r="B230" s="233" t="s">
        <v>160</v>
      </c>
      <c r="C230" s="231"/>
      <c r="D230" s="232"/>
      <c r="E230" s="232"/>
      <c r="F230" s="426"/>
      <c r="G230" s="232"/>
      <c r="H230" s="167"/>
      <c r="J230" s="168"/>
      <c r="K230" s="168"/>
    </row>
    <row r="231" spans="1:11">
      <c r="A231" s="163"/>
      <c r="B231" s="202" t="s">
        <v>219</v>
      </c>
      <c r="C231" s="492">
        <v>58</v>
      </c>
      <c r="D231" s="526"/>
      <c r="E231" s="235">
        <f>C231+D231</f>
        <v>58</v>
      </c>
      <c r="F231" s="432">
        <v>58</v>
      </c>
      <c r="G231" s="235">
        <f>E231</f>
        <v>58</v>
      </c>
      <c r="H231" s="167"/>
      <c r="J231" s="168"/>
      <c r="K231" s="168"/>
    </row>
    <row r="232" spans="1:11">
      <c r="A232" s="163"/>
      <c r="B232" s="202" t="s">
        <v>290</v>
      </c>
      <c r="C232" s="492">
        <v>58</v>
      </c>
      <c r="D232" s="526"/>
      <c r="E232" s="235">
        <f>C232+D232</f>
        <v>58</v>
      </c>
      <c r="F232" s="432">
        <v>58</v>
      </c>
      <c r="G232" s="235">
        <f>E232</f>
        <v>58</v>
      </c>
      <c r="H232" s="167"/>
      <c r="J232" s="168"/>
      <c r="K232" s="168"/>
    </row>
    <row r="233" spans="1:11">
      <c r="A233" s="163"/>
      <c r="B233" s="202" t="s">
        <v>76</v>
      </c>
      <c r="C233" s="492">
        <v>215</v>
      </c>
      <c r="D233" s="489"/>
      <c r="E233" s="235">
        <f>C233+D233</f>
        <v>215</v>
      </c>
      <c r="F233" s="429">
        <v>150</v>
      </c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242"/>
      <c r="D234" s="240"/>
      <c r="E234" s="243"/>
      <c r="F234" s="429"/>
      <c r="G234" s="243"/>
      <c r="H234" s="167"/>
      <c r="J234" s="168"/>
      <c r="K234" s="168"/>
    </row>
    <row r="235" spans="1:11" ht="26">
      <c r="A235" s="163"/>
      <c r="B235" s="244" t="s">
        <v>335</v>
      </c>
      <c r="C235" s="492">
        <v>12470</v>
      </c>
      <c r="D235" s="489"/>
      <c r="E235" s="234">
        <f>E231*E233</f>
        <v>12470</v>
      </c>
      <c r="F235" s="492">
        <v>8700</v>
      </c>
      <c r="G235" s="234">
        <f>G231*G233</f>
        <v>21170</v>
      </c>
      <c r="H235" s="403"/>
      <c r="J235" s="168"/>
      <c r="K235" s="168"/>
    </row>
    <row r="236" spans="1:11" ht="26">
      <c r="A236" s="163"/>
      <c r="B236" s="244" t="s">
        <v>336</v>
      </c>
      <c r="C236" s="493">
        <v>0.71844426623897351</v>
      </c>
      <c r="D236" s="240"/>
      <c r="E236" s="245">
        <f>E228/E235</f>
        <v>0.71844426623897351</v>
      </c>
      <c r="F236" s="493">
        <v>0.67850574712643674</v>
      </c>
      <c r="G236" s="245">
        <f>G228/G235</f>
        <v>0.70203117619272559</v>
      </c>
      <c r="H236" s="167"/>
      <c r="J236" s="168"/>
      <c r="K236" s="168"/>
    </row>
    <row r="237" spans="1:11" ht="26">
      <c r="A237" s="163"/>
      <c r="B237" s="244" t="s">
        <v>337</v>
      </c>
      <c r="C237" s="493">
        <v>0.3842020850040096</v>
      </c>
      <c r="D237" s="240"/>
      <c r="E237" s="245">
        <f>(E219+E220)/E235</f>
        <v>0.3842020850040096</v>
      </c>
      <c r="F237" s="493">
        <v>0.40160919540229884</v>
      </c>
      <c r="G237" s="245">
        <f>(G219+G220)/G235</f>
        <v>0.39135569201700521</v>
      </c>
      <c r="H237" s="167"/>
      <c r="J237" s="168"/>
      <c r="K237" s="168"/>
    </row>
    <row r="238" spans="1:11" ht="26">
      <c r="A238" s="163"/>
      <c r="B238" s="244" t="s">
        <v>338</v>
      </c>
      <c r="C238" s="493">
        <v>0.53476950552517022</v>
      </c>
      <c r="D238" s="240"/>
      <c r="E238" s="245">
        <f>(E237/E236)</f>
        <v>0.53476950552517022</v>
      </c>
      <c r="F238" s="493">
        <v>0.5919024224970354</v>
      </c>
      <c r="G238" s="245">
        <f>(G237/G236)</f>
        <v>0.55746198358229038</v>
      </c>
      <c r="H238" s="167"/>
      <c r="J238" s="168"/>
      <c r="K238" s="168"/>
    </row>
    <row r="241" spans="2:7">
      <c r="B241" s="148" t="s">
        <v>339</v>
      </c>
      <c r="F241" s="412" t="s">
        <v>340</v>
      </c>
      <c r="G241" s="490">
        <f>'[53]Sch B'!C85</f>
        <v>140.28346456692913</v>
      </c>
    </row>
    <row r="242" spans="2:7">
      <c r="F242" s="412" t="s">
        <v>341</v>
      </c>
      <c r="G242" s="490">
        <f>'[53]Sch B'!E85</f>
        <v>139.21739130434781</v>
      </c>
    </row>
    <row r="243" spans="2:7">
      <c r="F243" s="412" t="s">
        <v>342</v>
      </c>
      <c r="G243" s="573">
        <f>'[54]Sch B'!G85</f>
        <v>141.91951219512194</v>
      </c>
    </row>
    <row r="244" spans="2:7">
      <c r="F244" s="412" t="s">
        <v>343</v>
      </c>
      <c r="G244" s="573">
        <f>'[54]Sch B'!I85</f>
        <v>142.85667215815485</v>
      </c>
    </row>
    <row r="245" spans="2:7">
      <c r="F245" s="412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3">
    <tabColor rgb="FFE28CAB"/>
  </sheetPr>
  <dimension ref="A1:Q247"/>
  <sheetViews>
    <sheetView showGridLines="0" zoomScale="90" zoomScaleNormal="90" workbookViewId="0">
      <pane xSplit="2" topLeftCell="C1" activePane="topRight" state="frozen"/>
      <selection activeCell="N1" sqref="N1"/>
      <selection pane="topRight"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545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478"/>
      <c r="E1" s="478"/>
      <c r="F1" s="478"/>
      <c r="G1" s="478"/>
      <c r="H1" s="478"/>
      <c r="I1" s="544"/>
    </row>
    <row r="2" spans="1:14" ht="23">
      <c r="B2" s="143" t="s">
        <v>189</v>
      </c>
      <c r="C2" s="247" t="s">
        <v>365</v>
      </c>
      <c r="D2" s="247"/>
      <c r="E2" s="144"/>
    </row>
    <row r="3" spans="1:14">
      <c r="A3" s="145"/>
      <c r="B3" s="140" t="s">
        <v>79</v>
      </c>
      <c r="C3" s="495">
        <v>41821</v>
      </c>
      <c r="D3" s="144"/>
      <c r="E3" s="147"/>
      <c r="F3" s="140" t="s">
        <v>646</v>
      </c>
    </row>
    <row r="4" spans="1:14">
      <c r="A4" s="145"/>
      <c r="B4" s="148" t="s">
        <v>80</v>
      </c>
      <c r="C4" s="495">
        <v>42185</v>
      </c>
      <c r="D4" s="144"/>
      <c r="E4" s="149"/>
      <c r="F4" s="140" t="s">
        <v>480</v>
      </c>
      <c r="G4" s="150"/>
    </row>
    <row r="5" spans="1:14">
      <c r="A5" s="145"/>
      <c r="B5" s="148"/>
      <c r="C5" s="151"/>
      <c r="D5" s="144"/>
      <c r="F5" s="140" t="s">
        <v>645</v>
      </c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546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547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547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144"/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548"/>
      <c r="J10" s="168"/>
      <c r="K10" s="168"/>
    </row>
    <row r="11" spans="1:14" s="167" customFormat="1">
      <c r="A11" s="169" t="s">
        <v>13</v>
      </c>
      <c r="B11" s="170" t="s">
        <v>213</v>
      </c>
      <c r="C11" s="490">
        <f>'[55]Sch B'!E10</f>
        <v>1446688.78</v>
      </c>
      <c r="D11" s="490">
        <f>'[55]Sch B'!G10</f>
        <v>0</v>
      </c>
      <c r="E11" s="171">
        <f>C11+D11</f>
        <v>1446688.78</v>
      </c>
      <c r="F11" s="171"/>
      <c r="G11" s="171">
        <f t="shared" ref="G11:G20" si="0">E11+F11</f>
        <v>1446688.78</v>
      </c>
      <c r="H11" s="172">
        <f t="shared" ref="H11:H21" si="1">IF($G$21=0,0,G11/$G$21)</f>
        <v>0.31562231254254186</v>
      </c>
      <c r="I11" s="541"/>
      <c r="J11" s="368" t="s">
        <v>344</v>
      </c>
      <c r="K11" s="369">
        <f>G21</f>
        <v>4583607.4399999995</v>
      </c>
      <c r="M11" s="359">
        <f>IFERROR(G11/G219,0)</f>
        <v>162.1484846446985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490">
        <f>'[55]Sch B'!E15</f>
        <v>0</v>
      </c>
      <c r="D12" s="490">
        <f>'[55]Sch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541"/>
      <c r="J12" s="370" t="s">
        <v>345</v>
      </c>
      <c r="K12" s="371">
        <f>G208</f>
        <v>4786364.3947201343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490">
        <f>'[55]Sch B'!E21</f>
        <v>1806892.3499999999</v>
      </c>
      <c r="D13" s="490">
        <f>'[55]Sch B'!G21</f>
        <v>0</v>
      </c>
      <c r="E13" s="171">
        <f t="shared" si="2"/>
        <v>1806892.3499999999</v>
      </c>
      <c r="F13" s="171"/>
      <c r="G13" s="171">
        <f t="shared" si="0"/>
        <v>1806892.3499999999</v>
      </c>
      <c r="H13" s="172">
        <f t="shared" si="1"/>
        <v>0.39420748256748622</v>
      </c>
      <c r="I13" s="541"/>
      <c r="J13" s="370" t="s">
        <v>346</v>
      </c>
      <c r="K13" s="371">
        <f>G228</f>
        <v>18486</v>
      </c>
      <c r="M13" s="359">
        <f t="shared" si="3"/>
        <v>489.14248781808334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490">
        <f>'[55]Sch B'!E27</f>
        <v>801658.81</v>
      </c>
      <c r="D14" s="490">
        <f>'[55]Sch B'!G27</f>
        <v>0</v>
      </c>
      <c r="E14" s="171">
        <f t="shared" si="2"/>
        <v>801658.81</v>
      </c>
      <c r="F14" s="175"/>
      <c r="G14" s="175">
        <f>E14+F14</f>
        <v>801658.81</v>
      </c>
      <c r="H14" s="176">
        <f t="shared" si="1"/>
        <v>0.17489691700125179</v>
      </c>
      <c r="I14" s="549"/>
      <c r="J14" s="370" t="s">
        <v>347</v>
      </c>
      <c r="K14" s="371">
        <f>G231</f>
        <v>76</v>
      </c>
      <c r="M14" s="359">
        <f t="shared" si="3"/>
        <v>389.53294946550051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490">
        <f>'[55]Sch B'!E32</f>
        <v>0</v>
      </c>
      <c r="D15" s="490">
        <f>'[55]Sch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541"/>
      <c r="J15" s="370" t="s">
        <v>348</v>
      </c>
      <c r="K15" s="371">
        <f>G235</f>
        <v>27740</v>
      </c>
      <c r="M15" s="359">
        <f t="shared" si="3"/>
        <v>0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490">
        <f>'[55]Sch B'!E37</f>
        <v>420666.5199999999</v>
      </c>
      <c r="D16" s="490">
        <f>'[55]Sch B'!G37</f>
        <v>0</v>
      </c>
      <c r="E16" s="171">
        <f t="shared" si="2"/>
        <v>420666.5199999999</v>
      </c>
      <c r="F16" s="171"/>
      <c r="G16" s="171">
        <f t="shared" si="0"/>
        <v>420666.5199999999</v>
      </c>
      <c r="H16" s="172">
        <f t="shared" si="1"/>
        <v>9.1776297492003361E-2</v>
      </c>
      <c r="I16" s="541"/>
      <c r="J16" s="372"/>
      <c r="K16" s="371"/>
      <c r="M16" s="359">
        <f t="shared" si="3"/>
        <v>141.44805648957629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490">
        <f>'[55]Sch B'!E42</f>
        <v>142360.51999999999</v>
      </c>
      <c r="D17" s="490">
        <f>'[55]Sch B'!G42</f>
        <v>0</v>
      </c>
      <c r="E17" s="171">
        <f t="shared" si="2"/>
        <v>142360.51999999999</v>
      </c>
      <c r="F17" s="171"/>
      <c r="G17" s="171">
        <f>E17+F17</f>
        <v>142360.51999999999</v>
      </c>
      <c r="H17" s="172">
        <f t="shared" si="1"/>
        <v>3.1058619627338767E-2</v>
      </c>
      <c r="I17" s="541"/>
      <c r="J17" s="370" t="s">
        <v>156</v>
      </c>
      <c r="K17" s="371">
        <f>J208</f>
        <v>130528.34000000001</v>
      </c>
      <c r="M17" s="359">
        <f t="shared" si="3"/>
        <v>180.66055837563451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490">
        <f>'[55]Sch B'!E47</f>
        <v>6185</v>
      </c>
      <c r="D18" s="490">
        <f>'[55]Sch B'!G47</f>
        <v>0</v>
      </c>
      <c r="E18" s="171">
        <f t="shared" si="2"/>
        <v>6185</v>
      </c>
      <c r="F18" s="171"/>
      <c r="G18" s="171">
        <f>E18+F18</f>
        <v>6185</v>
      </c>
      <c r="H18" s="172">
        <f t="shared" si="1"/>
        <v>1.3493738460290134E-3</v>
      </c>
      <c r="I18" s="541"/>
      <c r="J18" s="373" t="s">
        <v>252</v>
      </c>
      <c r="K18" s="374">
        <f>K208</f>
        <v>137871.01</v>
      </c>
      <c r="M18" s="359">
        <f t="shared" si="3"/>
        <v>123.7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490">
        <f>'[55]Sch B'!E52</f>
        <v>0</v>
      </c>
      <c r="D19" s="490">
        <f>'[55]Sch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541"/>
      <c r="J19" s="168"/>
      <c r="K19" s="168"/>
      <c r="M19" s="359">
        <f t="shared" si="3"/>
        <v>0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490">
        <f>'[55]Sch B'!E67</f>
        <v>-40844.54</v>
      </c>
      <c r="D20" s="490">
        <f>'[55]Sch B'!G67</f>
        <v>0</v>
      </c>
      <c r="E20" s="171">
        <f t="shared" si="2"/>
        <v>-40844.54</v>
      </c>
      <c r="F20" s="171"/>
      <c r="G20" s="171">
        <f t="shared" si="0"/>
        <v>-40844.54</v>
      </c>
      <c r="H20" s="172">
        <f t="shared" si="1"/>
        <v>-8.9110030766509103E-3</v>
      </c>
      <c r="I20" s="541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490">
        <f>SUM(C11:C20)</f>
        <v>4583607.4399999995</v>
      </c>
      <c r="D21" s="490">
        <f>SUM(D11:D20)</f>
        <v>0</v>
      </c>
      <c r="E21" s="171">
        <f>SUM(E11:E20)</f>
        <v>4583607.4399999995</v>
      </c>
      <c r="F21" s="171">
        <f>SUM(F11:F20)</f>
        <v>0</v>
      </c>
      <c r="G21" s="171">
        <f>SUM(G11:G20)</f>
        <v>4583607.4399999995</v>
      </c>
      <c r="H21" s="172">
        <f t="shared" si="1"/>
        <v>1</v>
      </c>
      <c r="I21" s="541"/>
      <c r="J21" s="168"/>
      <c r="K21" s="168"/>
      <c r="M21" s="359">
        <f>IFERROR(G21/G228,0)</f>
        <v>247.95020231526559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4">
      <c r="A24" s="181" t="s">
        <v>161</v>
      </c>
      <c r="B24" s="148" t="s">
        <v>12</v>
      </c>
      <c r="M24" s="363"/>
      <c r="N24" s="363"/>
    </row>
    <row r="25" spans="1:14" s="167" customFormat="1">
      <c r="A25" s="169" t="s">
        <v>83</v>
      </c>
      <c r="B25" s="170" t="s">
        <v>14</v>
      </c>
      <c r="C25" s="490">
        <f>'[55]Sch C'!D10</f>
        <v>68362.75</v>
      </c>
      <c r="D25" s="490">
        <f>'[55]Sch C'!F10</f>
        <v>0</v>
      </c>
      <c r="E25" s="171">
        <f t="shared" ref="E25:E60" si="4">C25+D25</f>
        <v>68362.75</v>
      </c>
      <c r="F25" s="171"/>
      <c r="G25" s="182">
        <f>E25+F25</f>
        <v>68362.75</v>
      </c>
      <c r="H25" s="172">
        <f>IF($G$208=0,0,G25/$G$208)</f>
        <v>1.4282813501498411E-2</v>
      </c>
      <c r="I25" s="541"/>
      <c r="J25" s="183">
        <v>1930.74</v>
      </c>
      <c r="K25" s="183">
        <v>1938.74</v>
      </c>
      <c r="M25" s="359">
        <f>G25/G$228</f>
        <v>3.6980823325760035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490">
        <f>'[55]Sch C'!D11</f>
        <v>0</v>
      </c>
      <c r="D26" s="490">
        <f>'[55]Sch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541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490">
        <f>'[55]Sch C'!D12</f>
        <v>108969.32</v>
      </c>
      <c r="D27" s="490">
        <f>'[55]Sch C'!F12</f>
        <v>0</v>
      </c>
      <c r="E27" s="171">
        <f t="shared" si="4"/>
        <v>108969.32</v>
      </c>
      <c r="F27" s="171"/>
      <c r="G27" s="171">
        <f t="shared" si="5"/>
        <v>108969.32</v>
      </c>
      <c r="H27" s="172">
        <f t="shared" si="6"/>
        <v>2.2766615955986277E-2</v>
      </c>
      <c r="I27" s="541"/>
      <c r="J27" s="185">
        <v>6219.16</v>
      </c>
      <c r="K27" s="185">
        <v>6580.67</v>
      </c>
      <c r="M27" s="359">
        <f t="shared" si="7"/>
        <v>5.8946943633019586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490">
        <f>'[55]Sch C'!D13</f>
        <v>253021.58</v>
      </c>
      <c r="D28" s="490">
        <f>'[55]Sch C'!F13</f>
        <v>-231495</v>
      </c>
      <c r="E28" s="171">
        <f t="shared" si="4"/>
        <v>21526.579999999987</v>
      </c>
      <c r="F28" s="171"/>
      <c r="G28" s="171">
        <f t="shared" si="5"/>
        <v>21526.579999999987</v>
      </c>
      <c r="H28" s="172">
        <f t="shared" si="6"/>
        <v>4.4974803890289001E-3</v>
      </c>
      <c r="I28" s="541"/>
      <c r="J28" s="168"/>
      <c r="K28" s="168"/>
      <c r="M28" s="359">
        <f t="shared" si="7"/>
        <v>1.1644801471383743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490">
        <f>'[55]Sch C'!D14</f>
        <v>0</v>
      </c>
      <c r="D29" s="490">
        <f>'[55]Sch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541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490">
        <f>'[55]Sch C'!D15</f>
        <v>120000</v>
      </c>
      <c r="D30" s="490">
        <f>'[55]Sch C'!F15</f>
        <v>-120000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541"/>
      <c r="J30" s="168"/>
      <c r="K30" s="168"/>
      <c r="M30" s="359">
        <f t="shared" si="7"/>
        <v>0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490">
        <f>'[55]Sch C'!D16</f>
        <v>0</v>
      </c>
      <c r="D31" s="490">
        <f>'[55]Sch C'!F16</f>
        <v>120630</v>
      </c>
      <c r="E31" s="171">
        <f t="shared" si="4"/>
        <v>120630</v>
      </c>
      <c r="F31" s="171"/>
      <c r="G31" s="171">
        <f t="shared" si="5"/>
        <v>120630</v>
      </c>
      <c r="H31" s="172">
        <f t="shared" si="6"/>
        <v>2.5202845009683682E-2</v>
      </c>
      <c r="I31" s="541"/>
      <c r="J31" s="168"/>
      <c r="K31" s="168"/>
      <c r="M31" s="359">
        <f t="shared" si="7"/>
        <v>6.5254787406686141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490">
        <f>'[55]Sch C'!D17</f>
        <v>2752.9</v>
      </c>
      <c r="D32" s="490">
        <f>'[55]Sch C'!F17</f>
        <v>-2753</v>
      </c>
      <c r="E32" s="171">
        <f t="shared" si="4"/>
        <v>-9.9999999999909051E-2</v>
      </c>
      <c r="F32" s="171"/>
      <c r="G32" s="171">
        <f t="shared" si="5"/>
        <v>-9.9999999999909051E-2</v>
      </c>
      <c r="H32" s="172">
        <f t="shared" si="6"/>
        <v>-2.0892684249076317E-8</v>
      </c>
      <c r="I32" s="541"/>
      <c r="J32" s="168"/>
      <c r="K32" s="168"/>
      <c r="M32" s="359">
        <f t="shared" si="7"/>
        <v>-5.4094990803802362E-6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490">
        <f>'[55]Sch C'!D18</f>
        <v>29023.200000000001</v>
      </c>
      <c r="D33" s="490">
        <f>'[55]Sch C'!F18</f>
        <v>0</v>
      </c>
      <c r="E33" s="171">
        <f t="shared" si="4"/>
        <v>29023.200000000001</v>
      </c>
      <c r="F33" s="171"/>
      <c r="G33" s="171">
        <f t="shared" si="5"/>
        <v>29023.200000000001</v>
      </c>
      <c r="H33" s="172">
        <f t="shared" si="6"/>
        <v>6.0637255349834324E-3</v>
      </c>
      <c r="I33" s="541"/>
      <c r="J33" s="168"/>
      <c r="K33" s="168"/>
      <c r="M33" s="359">
        <f t="shared" si="7"/>
        <v>1.5700097370983448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490">
        <f>'[55]Sch C'!D19</f>
        <v>6658.98</v>
      </c>
      <c r="D34" s="490">
        <f>'[55]Sch C'!F19</f>
        <v>0</v>
      </c>
      <c r="E34" s="171">
        <f t="shared" si="4"/>
        <v>6658.98</v>
      </c>
      <c r="F34" s="171"/>
      <c r="G34" s="171">
        <f t="shared" si="5"/>
        <v>6658.98</v>
      </c>
      <c r="H34" s="172">
        <f t="shared" si="6"/>
        <v>1.3912396656104073E-3</v>
      </c>
      <c r="I34" s="541"/>
      <c r="J34" s="168"/>
      <c r="K34" s="168"/>
      <c r="M34" s="359">
        <f t="shared" si="7"/>
        <v>0.36021746186303144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490">
        <f>'[55]Sch C'!D20</f>
        <v>12243.76</v>
      </c>
      <c r="D35" s="490">
        <f>'[55]Sch C'!F20</f>
        <v>0</v>
      </c>
      <c r="E35" s="171">
        <f t="shared" si="4"/>
        <v>12243.76</v>
      </c>
      <c r="F35" s="171"/>
      <c r="G35" s="171">
        <f t="shared" si="5"/>
        <v>12243.76</v>
      </c>
      <c r="H35" s="172">
        <f t="shared" si="6"/>
        <v>2.5580501170170329E-3</v>
      </c>
      <c r="I35" s="541"/>
      <c r="J35" s="168"/>
      <c r="K35" s="168"/>
      <c r="M35" s="359">
        <f t="shared" si="7"/>
        <v>0.66232608460456566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490">
        <f>'[55]Sch C'!D21</f>
        <v>27190.240000000002</v>
      </c>
      <c r="D36" s="490">
        <f>'[55]Sch C'!F21</f>
        <v>5325</v>
      </c>
      <c r="E36" s="171">
        <f t="shared" si="4"/>
        <v>32515.24</v>
      </c>
      <c r="F36" s="171"/>
      <c r="G36" s="171">
        <f t="shared" si="5"/>
        <v>32515.24</v>
      </c>
      <c r="H36" s="172">
        <f t="shared" si="6"/>
        <v>6.7933064260355409E-3</v>
      </c>
      <c r="I36" s="541"/>
      <c r="J36" s="168"/>
      <c r="K36" s="168"/>
      <c r="M36" s="359">
        <f t="shared" si="7"/>
        <v>1.7589116087850265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490">
        <f>'[55]Sch C'!D22</f>
        <v>0</v>
      </c>
      <c r="D37" s="490">
        <f>'[55]Sch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541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490">
        <f>'[55]Sch C'!D23</f>
        <v>4061.43</v>
      </c>
      <c r="D38" s="490">
        <f>'[55]Sch C'!F23</f>
        <v>0</v>
      </c>
      <c r="E38" s="171">
        <f t="shared" si="4"/>
        <v>4061.43</v>
      </c>
      <c r="F38" s="171"/>
      <c r="G38" s="171">
        <f t="shared" si="5"/>
        <v>4061.43</v>
      </c>
      <c r="H38" s="172">
        <f t="shared" si="6"/>
        <v>8.48541745898032E-4</v>
      </c>
      <c r="I38" s="541"/>
      <c r="J38" s="168"/>
      <c r="K38" s="168"/>
      <c r="M38" s="359">
        <f t="shared" si="7"/>
        <v>0.21970301850048685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490">
        <f>'[55]Sch C'!D24</f>
        <v>39292.69</v>
      </c>
      <c r="D39" s="490">
        <f>'[55]Sch C'!F24</f>
        <v>0</v>
      </c>
      <c r="E39" s="171">
        <f t="shared" si="4"/>
        <v>39292.69</v>
      </c>
      <c r="F39" s="171"/>
      <c r="G39" s="171">
        <f t="shared" si="5"/>
        <v>39292.69</v>
      </c>
      <c r="H39" s="172">
        <f t="shared" si="6"/>
        <v>8.2092976546758525E-3</v>
      </c>
      <c r="I39" s="541"/>
      <c r="J39" s="168"/>
      <c r="K39" s="168"/>
      <c r="M39" s="359">
        <f t="shared" si="7"/>
        <v>2.1255377042085906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490">
        <f>'[55]Sch C'!D25</f>
        <v>0</v>
      </c>
      <c r="D40" s="490">
        <f>'[55]Sch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541"/>
      <c r="J40" s="168"/>
      <c r="K40" s="168"/>
      <c r="M40" s="359">
        <f t="shared" si="7"/>
        <v>0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490">
        <f>'[55]Sch C'!D26</f>
        <v>200168.4</v>
      </c>
      <c r="D41" s="490">
        <f>'[55]Sch C'!F26</f>
        <v>0</v>
      </c>
      <c r="E41" s="171">
        <f t="shared" si="4"/>
        <v>200168.4</v>
      </c>
      <c r="F41" s="171"/>
      <c r="G41" s="171">
        <f t="shared" si="5"/>
        <v>200168.4</v>
      </c>
      <c r="H41" s="172">
        <f t="shared" si="6"/>
        <v>4.1820551778466115E-2</v>
      </c>
      <c r="I41" s="541"/>
      <c r="J41" s="168"/>
      <c r="K41" s="168"/>
      <c r="M41" s="359">
        <f t="shared" si="7"/>
        <v>10.82810775722168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490">
        <f>'[55]Sch C'!D27</f>
        <v>601.38</v>
      </c>
      <c r="D42" s="490">
        <f>'[55]Sch C'!F27</f>
        <v>0</v>
      </c>
      <c r="E42" s="171">
        <f t="shared" si="4"/>
        <v>601.38</v>
      </c>
      <c r="F42" s="171"/>
      <c r="G42" s="171">
        <f t="shared" si="5"/>
        <v>601.38</v>
      </c>
      <c r="H42" s="172">
        <f t="shared" si="6"/>
        <v>1.2564442453720943E-4</v>
      </c>
      <c r="I42" s="541"/>
      <c r="J42" s="168"/>
      <c r="K42" s="168"/>
      <c r="M42" s="359">
        <f t="shared" si="7"/>
        <v>3.2531645569620252E-2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490">
        <f>'[55]Sch C'!D28</f>
        <v>0</v>
      </c>
      <c r="D43" s="490">
        <f>'[55]Sch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541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490">
        <f>'[55]Sch C'!D29</f>
        <v>17179.400000000001</v>
      </c>
      <c r="D44" s="490">
        <f>'[55]Sch C'!F29</f>
        <v>-17179.400000000001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541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490">
        <f>'[55]Sch C'!D30</f>
        <v>0</v>
      </c>
      <c r="D45" s="490">
        <f>'[55]Sch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541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490">
        <f>'[55]Sch C'!D31</f>
        <v>61235.19</v>
      </c>
      <c r="D46" s="490">
        <f>'[55]Sch C'!F31</f>
        <v>0</v>
      </c>
      <c r="E46" s="171">
        <f t="shared" si="4"/>
        <v>61235.19</v>
      </c>
      <c r="F46" s="171"/>
      <c r="G46" s="171">
        <f t="shared" si="5"/>
        <v>61235.19</v>
      </c>
      <c r="H46" s="172">
        <f t="shared" si="6"/>
        <v>1.2793674896033592E-2</v>
      </c>
      <c r="I46" s="541"/>
      <c r="J46" s="168"/>
      <c r="K46" s="168"/>
      <c r="M46" s="359">
        <f t="shared" si="7"/>
        <v>3.3125170399221036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490">
        <f>'[55]Sch C'!D32</f>
        <v>0</v>
      </c>
      <c r="D47" s="490">
        <f>'[55]Sch C'!F32</f>
        <v>0</v>
      </c>
      <c r="E47" s="171">
        <f t="shared" si="4"/>
        <v>0</v>
      </c>
      <c r="F47" s="171"/>
      <c r="G47" s="171">
        <f t="shared" si="5"/>
        <v>0</v>
      </c>
      <c r="H47" s="172">
        <f t="shared" si="6"/>
        <v>0</v>
      </c>
      <c r="I47" s="541"/>
      <c r="J47" s="168"/>
      <c r="K47" s="168"/>
      <c r="M47" s="359">
        <f t="shared" si="7"/>
        <v>0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490">
        <f>'[55]Sch C'!D33</f>
        <v>2400</v>
      </c>
      <c r="D48" s="490">
        <f>'[55]Sch C'!F33</f>
        <v>-2400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541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490">
        <f>'[55]Sch C'!D34</f>
        <v>0</v>
      </c>
      <c r="D49" s="490">
        <f>'[55]Sch C'!F34</f>
        <v>0</v>
      </c>
      <c r="E49" s="171">
        <f t="shared" si="4"/>
        <v>0</v>
      </c>
      <c r="F49" s="171"/>
      <c r="G49" s="171">
        <f t="shared" si="5"/>
        <v>0</v>
      </c>
      <c r="H49" s="172">
        <f t="shared" si="6"/>
        <v>0</v>
      </c>
      <c r="I49" s="541"/>
      <c r="J49" s="168"/>
      <c r="K49" s="168"/>
      <c r="M49" s="359">
        <f t="shared" si="7"/>
        <v>0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490">
        <f>'[55]Sch C'!D35</f>
        <v>0</v>
      </c>
      <c r="D50" s="490">
        <f>'[55]Sch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541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490">
        <f>'[55]Sch C'!D36</f>
        <v>28630.19</v>
      </c>
      <c r="D51" s="490">
        <f>'[55]Sch C'!F36</f>
        <v>0</v>
      </c>
      <c r="E51" s="171">
        <f t="shared" si="4"/>
        <v>28630.19</v>
      </c>
      <c r="F51" s="171"/>
      <c r="G51" s="171">
        <f t="shared" si="5"/>
        <v>28630.19</v>
      </c>
      <c r="H51" s="172">
        <f t="shared" si="6"/>
        <v>5.9816151966160629E-3</v>
      </c>
      <c r="I51" s="541"/>
      <c r="J51" s="183">
        <v>2610.96</v>
      </c>
      <c r="K51" s="183">
        <v>2717.27</v>
      </c>
      <c r="M51" s="359">
        <f t="shared" si="7"/>
        <v>1.5487498647625229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490">
        <f>'[55]Sch C'!D37</f>
        <v>0</v>
      </c>
      <c r="D52" s="490">
        <f>'[55]Sch C'!F37</f>
        <v>3475.5035739838704</v>
      </c>
      <c r="E52" s="171">
        <f t="shared" si="4"/>
        <v>3475.5035739838704</v>
      </c>
      <c r="F52" s="171"/>
      <c r="G52" s="171">
        <f t="shared" si="5"/>
        <v>3475.5035739838704</v>
      </c>
      <c r="H52" s="172">
        <f t="shared" si="6"/>
        <v>7.2612598777847294E-4</v>
      </c>
      <c r="I52" s="541"/>
      <c r="J52" s="168"/>
      <c r="K52" s="168"/>
      <c r="M52" s="359">
        <f t="shared" si="7"/>
        <v>0.1880073338734107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490">
        <f>'[55]Sch C'!D38</f>
        <v>0</v>
      </c>
      <c r="D53" s="490">
        <f>'[55]Sch C'!F38</f>
        <v>0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541"/>
      <c r="J53" s="168"/>
      <c r="K53" s="168"/>
      <c r="M53" s="359">
        <f t="shared" si="7"/>
        <v>0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490">
        <f>'[55]Sch C'!D39</f>
        <v>3762.14</v>
      </c>
      <c r="D54" s="490">
        <f>'[55]Sch C'!F39</f>
        <v>0</v>
      </c>
      <c r="E54" s="171">
        <f t="shared" si="4"/>
        <v>3762.14</v>
      </c>
      <c r="F54" s="171"/>
      <c r="G54" s="171">
        <f t="shared" si="5"/>
        <v>3762.14</v>
      </c>
      <c r="H54" s="172">
        <f t="shared" si="6"/>
        <v>7.8601203120891457E-4</v>
      </c>
      <c r="I54" s="541"/>
      <c r="J54" s="168"/>
      <c r="K54" s="168"/>
      <c r="M54" s="359">
        <f t="shared" si="7"/>
        <v>0.2035129287028021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490">
        <f>'[55]Sch C'!D40</f>
        <v>5732.05</v>
      </c>
      <c r="D55" s="490">
        <f>'[55]Sch C'!F40</f>
        <v>-5732</v>
      </c>
      <c r="E55" s="171">
        <f t="shared" si="4"/>
        <v>5.0000000000181899E-2</v>
      </c>
      <c r="F55" s="171"/>
      <c r="G55" s="171">
        <f t="shared" si="5"/>
        <v>5.0000000000181899E-2</v>
      </c>
      <c r="H55" s="172">
        <f t="shared" si="6"/>
        <v>1.0446342124585664E-8</v>
      </c>
      <c r="I55" s="541"/>
      <c r="J55" s="168"/>
      <c r="K55" s="168"/>
      <c r="M55" s="359">
        <f t="shared" si="7"/>
        <v>2.7047495402024178E-6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490">
        <f>'[55]Sch C'!D41</f>
        <v>0</v>
      </c>
      <c r="D56" s="490">
        <f>'[55]Sch C'!F41</f>
        <v>0</v>
      </c>
      <c r="E56" s="171">
        <f t="shared" si="4"/>
        <v>0</v>
      </c>
      <c r="F56" s="171"/>
      <c r="G56" s="171">
        <f t="shared" si="5"/>
        <v>0</v>
      </c>
      <c r="H56" s="172">
        <f t="shared" si="6"/>
        <v>0</v>
      </c>
      <c r="I56" s="541"/>
      <c r="J56" s="168"/>
      <c r="K56" s="168"/>
      <c r="M56" s="359">
        <f t="shared" si="7"/>
        <v>0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490">
        <f>'[55]Sch C'!D42</f>
        <v>4898.13</v>
      </c>
      <c r="D57" s="490">
        <f>'[55]Sch C'!F42</f>
        <v>0</v>
      </c>
      <c r="E57" s="171">
        <f t="shared" si="4"/>
        <v>4898.13</v>
      </c>
      <c r="F57" s="171"/>
      <c r="G57" s="171">
        <f t="shared" si="5"/>
        <v>4898.13</v>
      </c>
      <c r="H57" s="172">
        <f t="shared" si="6"/>
        <v>1.0233508350102126E-3</v>
      </c>
      <c r="I57" s="541"/>
      <c r="J57" s="168"/>
      <c r="K57" s="168"/>
      <c r="M57" s="359">
        <f t="shared" si="7"/>
        <v>0.26496429730606946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490">
        <f>'[55]Sch C'!D43</f>
        <v>8680.98</v>
      </c>
      <c r="D58" s="490">
        <f>'[55]Sch C'!F43</f>
        <v>0</v>
      </c>
      <c r="E58" s="171">
        <f t="shared" si="4"/>
        <v>8680.98</v>
      </c>
      <c r="F58" s="171"/>
      <c r="G58" s="171">
        <f t="shared" si="5"/>
        <v>8680.98</v>
      </c>
      <c r="H58" s="172">
        <f t="shared" si="6"/>
        <v>1.8136897411271148E-3</v>
      </c>
      <c r="I58" s="541"/>
      <c r="J58" s="168"/>
      <c r="K58" s="168"/>
      <c r="M58" s="359">
        <f t="shared" si="7"/>
        <v>0.4695975332684193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490">
        <f>'[55]Sch C'!D44</f>
        <v>640</v>
      </c>
      <c r="D59" s="490">
        <f>'[55]Sch C'!F44</f>
        <v>0</v>
      </c>
      <c r="E59" s="171">
        <f t="shared" si="4"/>
        <v>640</v>
      </c>
      <c r="F59" s="171"/>
      <c r="G59" s="171">
        <f t="shared" si="5"/>
        <v>640</v>
      </c>
      <c r="H59" s="172">
        <f t="shared" si="6"/>
        <v>1.3371317919421005E-4</v>
      </c>
      <c r="I59" s="541"/>
      <c r="J59" s="168"/>
      <c r="K59" s="168"/>
      <c r="M59" s="359">
        <f t="shared" si="7"/>
        <v>3.4620794114465003E-2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490">
        <f>'[55]Sch C'!D45</f>
        <v>10827.43</v>
      </c>
      <c r="D60" s="490">
        <f>'[55]Sch C'!F45</f>
        <v>-10827</v>
      </c>
      <c r="E60" s="171">
        <f t="shared" si="4"/>
        <v>0.43000000000029104</v>
      </c>
      <c r="F60" s="171"/>
      <c r="G60" s="171">
        <f t="shared" si="5"/>
        <v>0.43000000000029104</v>
      </c>
      <c r="H60" s="172">
        <f t="shared" si="6"/>
        <v>8.983854227117067E-8</v>
      </c>
      <c r="I60" s="541"/>
      <c r="J60" s="168"/>
      <c r="K60" s="168"/>
      <c r="M60" s="359">
        <f t="shared" si="7"/>
        <v>2.3260846045671917E-5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490">
        <f>SUM(C25:C60)</f>
        <v>1016332.1400000002</v>
      </c>
      <c r="D61" s="490">
        <f>SUM(D25:D60)</f>
        <v>-260955.89642601612</v>
      </c>
      <c r="E61" s="171">
        <f t="shared" ref="E61:F61" si="8">SUM(E25:E60)</f>
        <v>755376.24357398401</v>
      </c>
      <c r="F61" s="171">
        <f t="shared" si="8"/>
        <v>0</v>
      </c>
      <c r="G61" s="171">
        <f>SUM(G25:G60)</f>
        <v>755376.24357398401</v>
      </c>
      <c r="H61" s="186">
        <f t="shared" si="6"/>
        <v>0.15781837346258965</v>
      </c>
      <c r="I61" s="550"/>
      <c r="J61" s="168"/>
      <c r="K61" s="168"/>
      <c r="M61" s="364">
        <f>G61/G$228</f>
        <v>40.862070949582602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I62" s="551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551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490">
        <f>'[55]Sch C'!D57</f>
        <v>580138.09</v>
      </c>
      <c r="D64" s="490">
        <f>'[55]Sch C'!F57</f>
        <v>-580138</v>
      </c>
      <c r="E64" s="171">
        <f t="shared" ref="E64:E78" si="9">C64+D64</f>
        <v>8.999999996740371E-2</v>
      </c>
      <c r="F64" s="171"/>
      <c r="G64" s="171">
        <f t="shared" ref="G64:G78" si="10">E64+F64</f>
        <v>8.999999996740371E-2</v>
      </c>
      <c r="H64" s="172">
        <f t="shared" ref="H64:H79" si="11">IF($G$208=0,0,G64/$G$208)</f>
        <v>1.8803415817375547E-8</v>
      </c>
      <c r="I64" s="541"/>
      <c r="J64" s="190"/>
      <c r="K64" s="168"/>
      <c r="M64" s="359">
        <f t="shared" ref="M64:M79" si="12">G64/G$228</f>
        <v>4.8685491705833443E-6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490">
        <f>'[55]Sch C'!D58</f>
        <v>0</v>
      </c>
      <c r="D65" s="490">
        <f>'[55]Sch C'!F58</f>
        <v>222961</v>
      </c>
      <c r="E65" s="171">
        <f t="shared" si="9"/>
        <v>222961</v>
      </c>
      <c r="F65" s="171"/>
      <c r="G65" s="171">
        <f t="shared" si="10"/>
        <v>222961</v>
      </c>
      <c r="H65" s="172">
        <f t="shared" si="11"/>
        <v>4.6582537728625417E-2</v>
      </c>
      <c r="I65" s="541"/>
      <c r="J65" s="190"/>
      <c r="K65" s="168"/>
      <c r="M65" s="359">
        <f t="shared" si="12"/>
        <v>12.061073244617548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490">
        <f>'[55]Sch C'!D59</f>
        <v>0</v>
      </c>
      <c r="D66" s="490">
        <f>'[55]Sch C'!F59</f>
        <v>370464</v>
      </c>
      <c r="E66" s="171">
        <f t="shared" si="9"/>
        <v>370464</v>
      </c>
      <c r="F66" s="171"/>
      <c r="G66" s="171">
        <f t="shared" si="10"/>
        <v>370464</v>
      </c>
      <c r="H66" s="172">
        <f t="shared" si="11"/>
        <v>7.7399873776568484E-2</v>
      </c>
      <c r="I66" s="541"/>
      <c r="J66" s="190"/>
      <c r="K66" s="168"/>
      <c r="M66" s="359">
        <f t="shared" si="12"/>
        <v>20.040246673158066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490">
        <f>'[55]Sch C'!D60</f>
        <v>-3759.9</v>
      </c>
      <c r="D67" s="490">
        <f>'[55]Sch C'!F60</f>
        <v>29686</v>
      </c>
      <c r="E67" s="171">
        <f t="shared" si="9"/>
        <v>25926.1</v>
      </c>
      <c r="F67" s="171"/>
      <c r="G67" s="171">
        <f t="shared" si="10"/>
        <v>25926.1</v>
      </c>
      <c r="H67" s="172">
        <f t="shared" si="11"/>
        <v>5.416658211104701E-3</v>
      </c>
      <c r="I67" s="541"/>
      <c r="J67" s="193"/>
      <c r="K67" s="168"/>
      <c r="M67" s="359">
        <f t="shared" si="12"/>
        <v>1.4024721410797358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490">
        <f>'[55]Sch C'!D61</f>
        <v>100</v>
      </c>
      <c r="D68" s="490">
        <f>'[55]Sch C'!F61</f>
        <v>26817</v>
      </c>
      <c r="E68" s="171">
        <f t="shared" si="9"/>
        <v>26917</v>
      </c>
      <c r="F68" s="171"/>
      <c r="G68" s="171">
        <f t="shared" si="10"/>
        <v>26917</v>
      </c>
      <c r="H68" s="172">
        <f t="shared" si="11"/>
        <v>5.6236838193289866E-3</v>
      </c>
      <c r="I68" s="541"/>
      <c r="J68" s="193"/>
      <c r="K68" s="168"/>
      <c r="M68" s="359">
        <f t="shared" si="12"/>
        <v>1.4560748674672725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490">
        <f>'[55]Sch C'!D62</f>
        <v>6774.37</v>
      </c>
      <c r="D69" s="490">
        <f>'[55]Sch C'!F62</f>
        <v>0</v>
      </c>
      <c r="E69" s="171">
        <f t="shared" si="9"/>
        <v>6774.37</v>
      </c>
      <c r="F69" s="171"/>
      <c r="G69" s="171">
        <f t="shared" si="10"/>
        <v>6774.37</v>
      </c>
      <c r="H69" s="172">
        <f t="shared" si="11"/>
        <v>1.4153477339654385E-3</v>
      </c>
      <c r="I69" s="541"/>
      <c r="J69" s="195"/>
      <c r="K69" s="168"/>
      <c r="M69" s="359">
        <f t="shared" si="12"/>
        <v>0.3664594828518879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490">
        <f>'[55]Sch C'!D63</f>
        <v>-3790.06</v>
      </c>
      <c r="D70" s="490">
        <f>'[55]Sch C'!F63</f>
        <v>0</v>
      </c>
      <c r="E70" s="171">
        <f t="shared" si="9"/>
        <v>-3790.06</v>
      </c>
      <c r="F70" s="171"/>
      <c r="G70" s="171">
        <f t="shared" si="10"/>
        <v>-3790.06</v>
      </c>
      <c r="H70" s="172">
        <f t="shared" si="11"/>
        <v>-7.9184526865126205E-4</v>
      </c>
      <c r="I70" s="541"/>
      <c r="J70" s="195"/>
      <c r="K70" s="168"/>
      <c r="M70" s="359">
        <f t="shared" si="12"/>
        <v>-0.20502326084604566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490">
        <f>'[55]Sch C'!D64</f>
        <v>0</v>
      </c>
      <c r="D71" s="490">
        <f>'[55]Sch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541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490">
        <f>'[55]Sch C'!D65</f>
        <v>10361</v>
      </c>
      <c r="D72" s="490">
        <f>'[55]Sch C'!F65</f>
        <v>0</v>
      </c>
      <c r="E72" s="171">
        <f t="shared" si="9"/>
        <v>10361</v>
      </c>
      <c r="F72" s="171"/>
      <c r="G72" s="171">
        <f t="shared" si="10"/>
        <v>10361</v>
      </c>
      <c r="H72" s="172">
        <f t="shared" si="11"/>
        <v>2.1646910150487659E-3</v>
      </c>
      <c r="I72" s="541"/>
      <c r="J72" s="195"/>
      <c r="K72" s="168"/>
      <c r="M72" s="359">
        <f t="shared" si="12"/>
        <v>0.56047819971870605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490">
        <f>'[55]Sch C'!D66</f>
        <v>14678.84</v>
      </c>
      <c r="D73" s="490">
        <f>'[55]Sch C'!F66</f>
        <v>0</v>
      </c>
      <c r="E73" s="171">
        <f t="shared" si="9"/>
        <v>14678.84</v>
      </c>
      <c r="F73" s="171"/>
      <c r="G73" s="171">
        <f t="shared" si="10"/>
        <v>14678.84</v>
      </c>
      <c r="H73" s="172">
        <f t="shared" si="11"/>
        <v>3.0668036926299034E-3</v>
      </c>
      <c r="I73" s="541"/>
      <c r="J73" s="195"/>
      <c r="K73" s="168"/>
      <c r="M73" s="359">
        <f t="shared" si="12"/>
        <v>0.79405171481120851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490">
        <f>'[55]Sch C'!D67</f>
        <v>145126.63</v>
      </c>
      <c r="D74" s="490">
        <f>'[55]Sch C'!F67</f>
        <v>0</v>
      </c>
      <c r="E74" s="171">
        <f t="shared" si="9"/>
        <v>145126.63</v>
      </c>
      <c r="F74" s="171"/>
      <c r="G74" s="171">
        <f t="shared" si="10"/>
        <v>145126.63</v>
      </c>
      <c r="H74" s="172">
        <f t="shared" si="11"/>
        <v>3.0320848567252843E-2</v>
      </c>
      <c r="I74" s="541"/>
      <c r="J74" s="195"/>
      <c r="K74" s="168"/>
      <c r="M74" s="359">
        <f t="shared" si="12"/>
        <v>7.8506237152439686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490">
        <f>'[55]Sch C'!D68</f>
        <v>0</v>
      </c>
      <c r="D75" s="490">
        <f>'[55]Sch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541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490">
        <f>'[55]Sch C'!D69</f>
        <v>4185.7299999999996</v>
      </c>
      <c r="D76" s="490">
        <f>'[55]Sch C'!F69</f>
        <v>0</v>
      </c>
      <c r="E76" s="171">
        <f t="shared" si="9"/>
        <v>4185.7299999999996</v>
      </c>
      <c r="F76" s="171"/>
      <c r="G76" s="171">
        <f t="shared" si="10"/>
        <v>4185.7299999999996</v>
      </c>
      <c r="H76" s="172">
        <f t="shared" si="11"/>
        <v>8.7451135241965738E-4</v>
      </c>
      <c r="I76" s="541"/>
      <c r="J76" s="195"/>
      <c r="K76" s="168"/>
      <c r="M76" s="359">
        <f t="shared" si="12"/>
        <v>0.22642702585740557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490">
        <f>'[55]Sch C'!D70</f>
        <v>0</v>
      </c>
      <c r="D77" s="490">
        <f>'[55]Sch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541"/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490">
        <f>'[55]Sch C'!D71</f>
        <v>0</v>
      </c>
      <c r="D78" s="490">
        <f>'[55]Sch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541"/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490">
        <f>SUM(C64:C78)</f>
        <v>753814.69999999984</v>
      </c>
      <c r="D79" s="490">
        <f>SUM(D64:D78)</f>
        <v>69790</v>
      </c>
      <c r="E79" s="171">
        <f t="shared" ref="E79:F79" si="13">SUM(E64:E78)</f>
        <v>823604.69999999984</v>
      </c>
      <c r="F79" s="171">
        <f t="shared" si="13"/>
        <v>0</v>
      </c>
      <c r="G79" s="171">
        <f>SUM(G64:G78)</f>
        <v>823604.69999999984</v>
      </c>
      <c r="H79" s="172">
        <f t="shared" si="11"/>
        <v>0.17207312943170872</v>
      </c>
      <c r="I79" s="541"/>
      <c r="J79" s="195"/>
      <c r="K79" s="168"/>
      <c r="M79" s="359">
        <f t="shared" si="12"/>
        <v>44.552888672508914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I80" s="541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545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490">
        <f>'[55]Sch C'!D75</f>
        <v>33109.14</v>
      </c>
      <c r="D82" s="490">
        <f>'[55]Sch C'!F75</f>
        <v>0</v>
      </c>
      <c r="E82" s="171">
        <f t="shared" ref="E82:E92" si="14">C82+D82</f>
        <v>33109.14</v>
      </c>
      <c r="F82" s="171"/>
      <c r="G82" s="171">
        <f t="shared" ref="G82:G92" si="15">E82+F82</f>
        <v>33109.14</v>
      </c>
      <c r="H82" s="172">
        <f t="shared" ref="H82:H93" si="16">IF($G$208=0,0,G82/$G$208)</f>
        <v>6.9173880777909178E-3</v>
      </c>
      <c r="I82" s="541"/>
      <c r="J82" s="183">
        <v>1707.69</v>
      </c>
      <c r="K82" s="183">
        <v>1858.63</v>
      </c>
      <c r="M82" s="359">
        <f t="shared" ref="M82:M92" si="17">G82/G$228</f>
        <v>1.7910386238234339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490">
        <f>'[55]Sch C'!D76</f>
        <v>0</v>
      </c>
      <c r="D83" s="490">
        <f>'[55]Sch C'!F76</f>
        <v>4019.216582269707</v>
      </c>
      <c r="E83" s="171">
        <f t="shared" si="14"/>
        <v>4019.216582269707</v>
      </c>
      <c r="F83" s="171"/>
      <c r="G83" s="171">
        <f t="shared" si="15"/>
        <v>4019.216582269707</v>
      </c>
      <c r="H83" s="172">
        <f t="shared" si="16"/>
        <v>8.3972222982089029E-4</v>
      </c>
      <c r="I83" s="541"/>
      <c r="J83" s="168"/>
      <c r="K83" s="168"/>
      <c r="M83" s="359">
        <f t="shared" si="17"/>
        <v>0.21741948405656752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490">
        <f>'[55]Sch C'!D77</f>
        <v>22969.8</v>
      </c>
      <c r="D84" s="490">
        <f>'[55]Sch C'!F77</f>
        <v>0</v>
      </c>
      <c r="E84" s="171">
        <f t="shared" si="14"/>
        <v>22969.8</v>
      </c>
      <c r="F84" s="171"/>
      <c r="G84" s="171">
        <f t="shared" si="15"/>
        <v>22969.8</v>
      </c>
      <c r="H84" s="172">
        <f t="shared" si="16"/>
        <v>4.7990077866486968E-3</v>
      </c>
      <c r="I84" s="541"/>
      <c r="J84" s="168"/>
      <c r="K84" s="168"/>
      <c r="M84" s="359">
        <f t="shared" si="17"/>
        <v>1.2425511197663095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490">
        <f>'[55]Sch C'!D78</f>
        <v>924</v>
      </c>
      <c r="D85" s="490">
        <f>'[55]Sch C'!F78</f>
        <v>0</v>
      </c>
      <c r="E85" s="171">
        <f t="shared" si="14"/>
        <v>924</v>
      </c>
      <c r="F85" s="171"/>
      <c r="G85" s="171">
        <f t="shared" si="15"/>
        <v>924</v>
      </c>
      <c r="H85" s="172">
        <f t="shared" si="16"/>
        <v>1.9304840246164075E-4</v>
      </c>
      <c r="I85" s="541"/>
      <c r="J85" s="168"/>
      <c r="K85" s="168"/>
      <c r="M85" s="359">
        <f t="shared" si="17"/>
        <v>4.9983771502758845E-2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490">
        <f>'[55]Sch C'!D79</f>
        <v>2465.19</v>
      </c>
      <c r="D86" s="490">
        <f>'[55]Sch C'!F79</f>
        <v>0</v>
      </c>
      <c r="E86" s="171">
        <f t="shared" si="14"/>
        <v>2465.19</v>
      </c>
      <c r="F86" s="171"/>
      <c r="G86" s="171">
        <f>E86+F86</f>
        <v>2465.19</v>
      </c>
      <c r="H86" s="172">
        <f t="shared" si="16"/>
        <v>5.1504436284027289E-4</v>
      </c>
      <c r="I86" s="541"/>
      <c r="J86" s="168"/>
      <c r="K86" s="168"/>
      <c r="M86" s="359">
        <f t="shared" si="17"/>
        <v>0.13335443037974684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490">
        <f>'[55]Sch C'!D80</f>
        <v>15982.67</v>
      </c>
      <c r="D87" s="490">
        <f>'[55]Sch C'!F80</f>
        <v>0</v>
      </c>
      <c r="E87" s="171">
        <f t="shared" si="14"/>
        <v>15982.67</v>
      </c>
      <c r="F87" s="171">
        <v>2100</v>
      </c>
      <c r="G87" s="171">
        <f t="shared" si="15"/>
        <v>18082.669999999998</v>
      </c>
      <c r="H87" s="172">
        <f t="shared" si="16"/>
        <v>3.7779551469058841E-3</v>
      </c>
      <c r="I87" s="540" t="s">
        <v>686</v>
      </c>
      <c r="J87" s="168"/>
      <c r="K87" s="168"/>
      <c r="M87" s="359">
        <f t="shared" si="17"/>
        <v>0.97818186735908241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490">
        <f>'[55]Sch C'!D81</f>
        <v>23791.31</v>
      </c>
      <c r="D88" s="490">
        <f>'[55]Sch C'!F81</f>
        <v>0</v>
      </c>
      <c r="E88" s="171">
        <f t="shared" si="14"/>
        <v>23791.31</v>
      </c>
      <c r="F88" s="171"/>
      <c r="G88" s="171">
        <f t="shared" si="15"/>
        <v>23791.31</v>
      </c>
      <c r="H88" s="172">
        <f t="shared" si="16"/>
        <v>4.9706432770234401E-3</v>
      </c>
      <c r="I88" s="541"/>
      <c r="J88" s="168"/>
      <c r="K88" s="168"/>
      <c r="M88" s="359">
        <f t="shared" si="17"/>
        <v>1.2869906956615818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490">
        <f>'[55]Sch C'!D82</f>
        <v>-9489.3799999999992</v>
      </c>
      <c r="D89" s="490">
        <f>'[55]Sch C'!F82</f>
        <v>0</v>
      </c>
      <c r="E89" s="171">
        <f t="shared" si="14"/>
        <v>-9489.3799999999992</v>
      </c>
      <c r="F89" s="171"/>
      <c r="G89" s="171">
        <f t="shared" si="15"/>
        <v>-9489.3799999999992</v>
      </c>
      <c r="H89" s="172">
        <f t="shared" si="16"/>
        <v>-1.982586200596801E-3</v>
      </c>
      <c r="I89" s="541"/>
      <c r="J89" s="168"/>
      <c r="K89" s="168"/>
      <c r="M89" s="359">
        <f t="shared" si="17"/>
        <v>-0.51332792383425285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490">
        <f>'[55]Sch C'!D83</f>
        <v>12153.21</v>
      </c>
      <c r="D90" s="490">
        <f>'[55]Sch C'!F83</f>
        <v>0</v>
      </c>
      <c r="E90" s="171">
        <f t="shared" si="14"/>
        <v>12153.21</v>
      </c>
      <c r="F90" s="171"/>
      <c r="G90" s="171">
        <f t="shared" si="15"/>
        <v>12153.21</v>
      </c>
      <c r="H90" s="172">
        <f t="shared" si="16"/>
        <v>2.5391317914294771E-3</v>
      </c>
      <c r="I90" s="541"/>
      <c r="J90" s="168"/>
      <c r="K90" s="168"/>
      <c r="M90" s="359">
        <f t="shared" si="17"/>
        <v>0.65742778318727679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490">
        <f>'[55]Sch C'!D84</f>
        <v>76043.710000000006</v>
      </c>
      <c r="D91" s="490">
        <f>'[55]Sch C'!F84</f>
        <v>0</v>
      </c>
      <c r="E91" s="171">
        <f t="shared" si="14"/>
        <v>76043.710000000006</v>
      </c>
      <c r="F91" s="171"/>
      <c r="G91" s="171">
        <f t="shared" si="15"/>
        <v>76043.710000000006</v>
      </c>
      <c r="H91" s="172">
        <f t="shared" si="16"/>
        <v>1.5887572221597722E-2</v>
      </c>
      <c r="I91" s="541"/>
      <c r="J91" s="168"/>
      <c r="K91" s="168"/>
      <c r="M91" s="359">
        <f t="shared" si="17"/>
        <v>4.113583793140756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490">
        <f>'[55]Sch C'!D85</f>
        <v>0</v>
      </c>
      <c r="D92" s="490">
        <f>'[55]Sch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541"/>
      <c r="J92" s="168"/>
      <c r="K92" s="168"/>
      <c r="M92" s="359">
        <f t="shared" si="17"/>
        <v>0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490">
        <f>SUM(C82:C92)</f>
        <v>177949.65000000002</v>
      </c>
      <c r="D93" s="490">
        <f>SUM(D82:D92)</f>
        <v>4019.216582269707</v>
      </c>
      <c r="E93" s="171">
        <f t="shared" ref="E93:F93" si="18">SUM(E82:E92)</f>
        <v>181968.86658226972</v>
      </c>
      <c r="F93" s="171">
        <f t="shared" si="18"/>
        <v>2100</v>
      </c>
      <c r="G93" s="171">
        <f>SUM(G82:G92)</f>
        <v>184068.86658226972</v>
      </c>
      <c r="H93" s="172">
        <f t="shared" si="16"/>
        <v>3.845692709592214E-2</v>
      </c>
      <c r="I93" s="541"/>
      <c r="J93" s="168"/>
      <c r="K93" s="168"/>
      <c r="M93" s="364">
        <f>G93/G$228</f>
        <v>9.9572036450432613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I94" s="545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545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490">
        <f>'[55]Sch C'!D89</f>
        <v>129880.23</v>
      </c>
      <c r="D96" s="490">
        <f>'[55]Sch C'!F89</f>
        <v>0</v>
      </c>
      <c r="E96" s="171">
        <f t="shared" ref="E96:E101" si="19">C96+D96</f>
        <v>129880.23</v>
      </c>
      <c r="F96" s="171"/>
      <c r="G96" s="171">
        <f t="shared" ref="G96:G101" si="20">E96+F96</f>
        <v>129880.23</v>
      </c>
      <c r="H96" s="172">
        <f t="shared" ref="H96:H102" si="21">IF($G$208=0,0,G96/$G$208)</f>
        <v>2.7135466355898773E-2</v>
      </c>
      <c r="I96" s="541"/>
      <c r="J96" s="183">
        <v>11852.56</v>
      </c>
      <c r="K96" s="183">
        <v>12662.46</v>
      </c>
      <c r="M96" s="364">
        <f t="shared" ref="M96:M101" si="22">G96/G$228</f>
        <v>7.0258698474521255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490">
        <f>'[55]Sch C'!D90</f>
        <v>0</v>
      </c>
      <c r="D97" s="490">
        <f>'[55]Sch C'!F90</f>
        <v>15766.545857881039</v>
      </c>
      <c r="E97" s="171">
        <f t="shared" si="19"/>
        <v>15766.545857881039</v>
      </c>
      <c r="F97" s="171"/>
      <c r="G97" s="171">
        <f t="shared" si="20"/>
        <v>15766.545857881039</v>
      </c>
      <c r="H97" s="172">
        <f t="shared" si="21"/>
        <v>3.2940546430759022E-3</v>
      </c>
      <c r="I97" s="541"/>
      <c r="J97" s="168"/>
      <c r="K97" s="168"/>
      <c r="M97" s="364">
        <f t="shared" si="22"/>
        <v>0.85289115319057873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490">
        <f>'[55]Sch C'!D91</f>
        <v>12448.75</v>
      </c>
      <c r="D98" s="490">
        <f>'[55]Sch C'!F91</f>
        <v>0</v>
      </c>
      <c r="E98" s="171">
        <f t="shared" si="19"/>
        <v>12448.75</v>
      </c>
      <c r="F98" s="171"/>
      <c r="G98" s="171">
        <f t="shared" si="20"/>
        <v>12448.75</v>
      </c>
      <c r="H98" s="172">
        <f t="shared" si="21"/>
        <v>2.6008780304592537E-3</v>
      </c>
      <c r="I98" s="541"/>
      <c r="J98" s="168"/>
      <c r="K98" s="168"/>
      <c r="M98" s="364">
        <f t="shared" si="22"/>
        <v>0.67341501676944715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490">
        <f>'[55]Sch C'!D92</f>
        <v>119837.42</v>
      </c>
      <c r="D99" s="490">
        <f>'[55]Sch C'!F92</f>
        <v>0</v>
      </c>
      <c r="E99" s="171">
        <f t="shared" si="19"/>
        <v>119837.42</v>
      </c>
      <c r="F99" s="171"/>
      <c r="G99" s="171">
        <f t="shared" si="20"/>
        <v>119837.42</v>
      </c>
      <c r="H99" s="172">
        <f t="shared" si="21"/>
        <v>2.5037253772862204E-2</v>
      </c>
      <c r="I99" s="541"/>
      <c r="J99" s="168"/>
      <c r="K99" s="168"/>
      <c r="M99" s="364">
        <f t="shared" si="22"/>
        <v>6.482604132857297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490">
        <f>'[55]Sch C'!D93</f>
        <v>10361.31</v>
      </c>
      <c r="D100" s="490">
        <f>'[55]Sch C'!F93</f>
        <v>0</v>
      </c>
      <c r="E100" s="171">
        <f t="shared" si="19"/>
        <v>10361.31</v>
      </c>
      <c r="F100" s="171"/>
      <c r="G100" s="171">
        <f t="shared" si="20"/>
        <v>10361.31</v>
      </c>
      <c r="H100" s="172">
        <f t="shared" si="21"/>
        <v>2.1647557823699379E-3</v>
      </c>
      <c r="I100" s="541"/>
      <c r="J100" s="168"/>
      <c r="K100" s="168"/>
      <c r="M100" s="364">
        <f t="shared" si="22"/>
        <v>0.56049496916585517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490">
        <f>'[55]Sch C'!D94</f>
        <v>0</v>
      </c>
      <c r="D101" s="490">
        <f>'[55]Sch C'!F94</f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I101" s="541"/>
      <c r="J101" s="168"/>
      <c r="K101" s="168"/>
      <c r="M101" s="364">
        <f t="shared" si="22"/>
        <v>0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490">
        <f>SUM(C96:C101)</f>
        <v>272527.70999999996</v>
      </c>
      <c r="D102" s="490">
        <f>SUM(D96:D101)</f>
        <v>15766.545857881039</v>
      </c>
      <c r="E102" s="171">
        <f t="shared" ref="E102:F102" si="23">SUM(E96:E101)</f>
        <v>288294.25585788104</v>
      </c>
      <c r="F102" s="171">
        <f t="shared" si="23"/>
        <v>0</v>
      </c>
      <c r="G102" s="171">
        <f>SUM(G96:G101)</f>
        <v>288294.25585788104</v>
      </c>
      <c r="H102" s="172">
        <f t="shared" si="21"/>
        <v>6.0232408584666074E-2</v>
      </c>
      <c r="I102" s="541"/>
      <c r="J102" s="168"/>
      <c r="K102" s="168"/>
      <c r="M102" s="364">
        <f>G102/G$228</f>
        <v>15.595275119435305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I103" s="545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545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490">
        <f>'[55]Sch C'!D98</f>
        <v>0</v>
      </c>
      <c r="D105" s="490">
        <f>'[55]Sch C'!F98</f>
        <v>0</v>
      </c>
      <c r="E105" s="171">
        <f t="shared" ref="E105:E110" si="24">C105+D105</f>
        <v>0</v>
      </c>
      <c r="F105" s="171"/>
      <c r="G105" s="171">
        <f t="shared" ref="G105:G110" si="25">E105+F105</f>
        <v>0</v>
      </c>
      <c r="H105" s="172">
        <f t="shared" ref="H105:H111" si="26">IF($G$208=0,0,G105/$G$208)</f>
        <v>0</v>
      </c>
      <c r="I105" s="541"/>
      <c r="J105" s="183">
        <v>0</v>
      </c>
      <c r="K105" s="183">
        <v>0</v>
      </c>
      <c r="M105" s="364">
        <f t="shared" ref="M105:M110" si="27">G105/G$228</f>
        <v>0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490">
        <f>'[55]Sch C'!D99</f>
        <v>0</v>
      </c>
      <c r="D106" s="490">
        <f>'[55]Sch C'!F99</f>
        <v>0</v>
      </c>
      <c r="E106" s="171">
        <f t="shared" si="24"/>
        <v>0</v>
      </c>
      <c r="F106" s="171"/>
      <c r="G106" s="171">
        <f t="shared" si="25"/>
        <v>0</v>
      </c>
      <c r="H106" s="172">
        <f t="shared" si="26"/>
        <v>0</v>
      </c>
      <c r="I106" s="541"/>
      <c r="J106" s="168"/>
      <c r="K106" s="168"/>
      <c r="M106" s="364">
        <f t="shared" si="27"/>
        <v>0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490">
        <f>'[55]Sch C'!D100</f>
        <v>0</v>
      </c>
      <c r="D107" s="490">
        <f>'[55]Sch C'!F100</f>
        <v>0</v>
      </c>
      <c r="E107" s="171">
        <f t="shared" si="24"/>
        <v>0</v>
      </c>
      <c r="F107" s="171"/>
      <c r="G107" s="171">
        <f t="shared" si="25"/>
        <v>0</v>
      </c>
      <c r="H107" s="172">
        <f t="shared" si="26"/>
        <v>0</v>
      </c>
      <c r="I107" s="541"/>
      <c r="J107" s="168"/>
      <c r="K107" s="168"/>
      <c r="M107" s="364">
        <f t="shared" si="27"/>
        <v>0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490">
        <f>'[55]Sch C'!D101</f>
        <v>2354.1799999999998</v>
      </c>
      <c r="D108" s="490">
        <f>'[55]Sch C'!F101</f>
        <v>0</v>
      </c>
      <c r="E108" s="171">
        <f t="shared" si="24"/>
        <v>2354.1799999999998</v>
      </c>
      <c r="F108" s="171"/>
      <c r="G108" s="171">
        <f t="shared" si="25"/>
        <v>2354.1799999999998</v>
      </c>
      <c r="H108" s="172">
        <f t="shared" si="26"/>
        <v>4.9185139405535211E-4</v>
      </c>
      <c r="I108" s="541"/>
      <c r="J108" s="168"/>
      <c r="K108" s="168"/>
      <c r="M108" s="364">
        <f t="shared" si="27"/>
        <v>0.12734934545061127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490">
        <f>'[55]Sch C'!D102</f>
        <v>2944.99</v>
      </c>
      <c r="D109" s="490">
        <f>'[55]Sch C'!F102</f>
        <v>0</v>
      </c>
      <c r="E109" s="171">
        <f t="shared" si="24"/>
        <v>2944.99</v>
      </c>
      <c r="F109" s="171"/>
      <c r="G109" s="171">
        <f t="shared" si="25"/>
        <v>2944.99</v>
      </c>
      <c r="H109" s="172">
        <f t="shared" si="26"/>
        <v>6.1528746186743216E-4</v>
      </c>
      <c r="I109" s="541"/>
      <c r="J109" s="168"/>
      <c r="K109" s="168"/>
      <c r="M109" s="364">
        <f t="shared" si="27"/>
        <v>0.15930920696743481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490">
        <f>'[55]Sch C'!D103</f>
        <v>0</v>
      </c>
      <c r="D110" s="490">
        <f>'[55]Sch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541"/>
      <c r="J110" s="168"/>
      <c r="K110" s="168"/>
      <c r="M110" s="364">
        <f t="shared" si="27"/>
        <v>0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490">
        <f>SUM(C105:C110)</f>
        <v>5299.17</v>
      </c>
      <c r="D111" s="490">
        <f>SUM(D105:D110)</f>
        <v>0</v>
      </c>
      <c r="E111" s="171">
        <f t="shared" ref="E111:F111" si="28">SUM(E105:E110)</f>
        <v>5299.17</v>
      </c>
      <c r="F111" s="171">
        <f t="shared" si="28"/>
        <v>0</v>
      </c>
      <c r="G111" s="171">
        <f>SUM(G105:G110)</f>
        <v>5299.17</v>
      </c>
      <c r="H111" s="172">
        <f t="shared" si="26"/>
        <v>1.1071388559227844E-3</v>
      </c>
      <c r="I111" s="541"/>
      <c r="J111" s="168"/>
      <c r="K111" s="168"/>
      <c r="M111" s="364">
        <f>G111/G$228</f>
        <v>0.28665855241804611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I112" s="545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545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490">
        <f>'[55]Sch C'!D115</f>
        <v>136072.56</v>
      </c>
      <c r="D114" s="490">
        <f>'[55]Sch C'!F115</f>
        <v>0</v>
      </c>
      <c r="E114" s="171">
        <f t="shared" ref="E114:E118" si="29">C114+D114</f>
        <v>136072.56</v>
      </c>
      <c r="F114" s="171"/>
      <c r="G114" s="171">
        <f>E114+F114</f>
        <v>136072.56</v>
      </c>
      <c r="H114" s="172">
        <f t="shared" ref="H114:H119" si="30">IF($G$208=0,0,G114/$G$208)</f>
        <v>2.8429210310460775E-2</v>
      </c>
      <c r="I114" s="541"/>
      <c r="J114" s="183">
        <v>14936.6</v>
      </c>
      <c r="K114" s="183">
        <v>15820.77</v>
      </c>
      <c r="M114" s="364">
        <f t="shared" ref="M114:M119" si="31">G114/G$228</f>
        <v>7.3608438818565398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490">
        <f>'[55]Sch C'!D116</f>
        <v>0</v>
      </c>
      <c r="D115" s="490">
        <f>'[55]Sch C'!F116</f>
        <v>16518.251139832973</v>
      </c>
      <c r="E115" s="171">
        <f t="shared" si="29"/>
        <v>16518.251139832973</v>
      </c>
      <c r="F115" s="171"/>
      <c r="G115" s="171">
        <f>E115+F115</f>
        <v>16518.251139832973</v>
      </c>
      <c r="H115" s="172">
        <f t="shared" si="30"/>
        <v>3.4511060541178918E-3</v>
      </c>
      <c r="I115" s="541"/>
      <c r="J115" s="168"/>
      <c r="K115" s="168"/>
      <c r="M115" s="364">
        <f t="shared" si="31"/>
        <v>0.89355464350497527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490">
        <f>'[55]Sch C'!D117</f>
        <v>37380.36</v>
      </c>
      <c r="D116" s="490">
        <f>'[55]Sch C'!F117</f>
        <v>0</v>
      </c>
      <c r="E116" s="171">
        <f t="shared" si="29"/>
        <v>37380.36</v>
      </c>
      <c r="F116" s="171"/>
      <c r="G116" s="171">
        <f>E116+F116</f>
        <v>37380.36</v>
      </c>
      <c r="H116" s="172">
        <f t="shared" si="30"/>
        <v>7.8097605859751267E-3</v>
      </c>
      <c r="I116" s="541"/>
      <c r="J116" s="168"/>
      <c r="K116" s="168"/>
      <c r="M116" s="364">
        <f t="shared" si="31"/>
        <v>2.0220902304446611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490">
        <f>'[55]Sch C'!D118</f>
        <v>0</v>
      </c>
      <c r="D117" s="490">
        <f>'[55]Sch C'!F118</f>
        <v>0</v>
      </c>
      <c r="E117" s="171">
        <f t="shared" si="29"/>
        <v>0</v>
      </c>
      <c r="F117" s="171"/>
      <c r="G117" s="171">
        <f>E117+F117</f>
        <v>0</v>
      </c>
      <c r="H117" s="172">
        <f t="shared" si="30"/>
        <v>0</v>
      </c>
      <c r="I117" s="541"/>
      <c r="J117" s="168"/>
      <c r="K117" s="168"/>
      <c r="M117" s="364">
        <f t="shared" si="31"/>
        <v>0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490">
        <f>'[55]Sch C'!D119</f>
        <v>0</v>
      </c>
      <c r="D118" s="490">
        <f>'[55]Sch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541"/>
      <c r="J118" s="168"/>
      <c r="K118" s="168"/>
      <c r="M118" s="364">
        <f t="shared" si="31"/>
        <v>0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490">
        <f>SUM(C114:C118)</f>
        <v>173452.91999999998</v>
      </c>
      <c r="D119" s="490">
        <f>SUM(D114:D118)</f>
        <v>16518.251139832973</v>
      </c>
      <c r="E119" s="171">
        <f t="shared" ref="E119:F119" si="32">SUM(E114:E118)</f>
        <v>189971.17113983299</v>
      </c>
      <c r="F119" s="171">
        <f t="shared" si="32"/>
        <v>0</v>
      </c>
      <c r="G119" s="171">
        <f>SUM(G114:G118)</f>
        <v>189971.17113983299</v>
      </c>
      <c r="H119" s="172">
        <f t="shared" si="30"/>
        <v>3.96900769505538E-2</v>
      </c>
      <c r="I119" s="541"/>
      <c r="J119" s="168"/>
      <c r="K119" s="168"/>
      <c r="M119" s="364">
        <f t="shared" si="31"/>
        <v>10.276488755806177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I120" s="541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545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545"/>
      <c r="J122" s="204"/>
      <c r="K122" s="204"/>
      <c r="M122" s="359"/>
      <c r="N122" s="359"/>
    </row>
    <row r="123" spans="1:14" s="167" customFormat="1">
      <c r="B123" s="163" t="s">
        <v>232</v>
      </c>
      <c r="C123" s="490">
        <f>'[55]Sch C'!D124</f>
        <v>0</v>
      </c>
      <c r="D123" s="490">
        <f>'[55]Sch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541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0.77002560279620991</v>
      </c>
    </row>
    <row r="124" spans="1:14" s="167" customFormat="1">
      <c r="B124" s="163" t="s">
        <v>194</v>
      </c>
      <c r="C124" s="490">
        <f>'[55]Sch C'!D125</f>
        <v>68630.98</v>
      </c>
      <c r="D124" s="490">
        <f>'[55]Sch C'!F125</f>
        <v>0</v>
      </c>
      <c r="E124" s="171">
        <f t="shared" si="33"/>
        <v>68630.98</v>
      </c>
      <c r="F124" s="171"/>
      <c r="G124" s="171">
        <f>E124+F124</f>
        <v>68630.98</v>
      </c>
      <c r="H124" s="172">
        <f>IF($G$208=0,0,G124/$G$208)</f>
        <v>1.4338853948459757E-2</v>
      </c>
      <c r="I124" s="541"/>
      <c r="J124" s="183">
        <v>2086.2800000000002</v>
      </c>
      <c r="K124" s="183">
        <v>2283.1999999999998</v>
      </c>
      <c r="M124" s="364">
        <f t="shared" si="34"/>
        <v>3.7125922319593205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490">
        <f>'[55]Sch C'!D126</f>
        <v>0</v>
      </c>
      <c r="D125" s="490">
        <f>'[55]Sch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541"/>
      <c r="J125" s="183">
        <v>0</v>
      </c>
      <c r="K125" s="183">
        <v>0</v>
      </c>
      <c r="M125" s="364">
        <f t="shared" si="34"/>
        <v>0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490">
        <f>'[55]Sch C'!D127</f>
        <v>35789.5</v>
      </c>
      <c r="D126" s="490">
        <f>'[55]Sch C'!F127</f>
        <v>0</v>
      </c>
      <c r="E126" s="171">
        <f t="shared" si="33"/>
        <v>35789.5</v>
      </c>
      <c r="F126" s="171"/>
      <c r="G126" s="171">
        <f>E126+F126</f>
        <v>35789.5</v>
      </c>
      <c r="H126" s="172">
        <f>IF($G$208=0,0,G126/$G$208)</f>
        <v>7.4773872293299693E-3</v>
      </c>
      <c r="I126" s="540"/>
      <c r="J126" s="183">
        <v>2169.98</v>
      </c>
      <c r="K126" s="183">
        <v>2324.5</v>
      </c>
      <c r="M126" s="364">
        <f t="shared" si="34"/>
        <v>1.9360326733744455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490">
        <f>'[55]Sch C'!D128</f>
        <v>0</v>
      </c>
      <c r="D127" s="490">
        <f>'[55]Sch C'!F128</f>
        <v>0</v>
      </c>
      <c r="E127" s="171">
        <f t="shared" si="33"/>
        <v>0</v>
      </c>
      <c r="F127" s="171"/>
      <c r="G127" s="171">
        <f>E127+F127</f>
        <v>0</v>
      </c>
      <c r="H127" s="172">
        <f>IF($G$208=0,0,G127/$G$208)</f>
        <v>0</v>
      </c>
      <c r="I127" s="540"/>
      <c r="J127" s="183">
        <v>0</v>
      </c>
      <c r="K127" s="183">
        <v>0</v>
      </c>
      <c r="M127" s="364">
        <f t="shared" si="34"/>
        <v>0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205"/>
      <c r="G128" s="205"/>
      <c r="H128" s="206"/>
      <c r="I128" s="55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490">
        <f>'[55]Sch C'!D130</f>
        <v>0</v>
      </c>
      <c r="D129" s="490">
        <f>'[55]Sch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541"/>
      <c r="J129" s="204"/>
      <c r="K129" s="204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490">
        <f>'[55]Sch C'!D131</f>
        <v>0</v>
      </c>
      <c r="D130" s="490">
        <f>'[55]Sch C'!F131</f>
        <v>8331.3179645687142</v>
      </c>
      <c r="E130" s="171">
        <f t="shared" si="35"/>
        <v>8331.3179645687142</v>
      </c>
      <c r="F130" s="171"/>
      <c r="G130" s="171">
        <f>E130+F130</f>
        <v>8331.3179645687142</v>
      </c>
      <c r="H130" s="172">
        <f>IF($G$208=0,0,G130/$G$208)</f>
        <v>1.7406359561254964E-3</v>
      </c>
      <c r="I130" s="541"/>
      <c r="J130" s="204"/>
      <c r="K130" s="204"/>
      <c r="M130" s="364">
        <f t="shared" si="34"/>
        <v>0.45068256867730794</v>
      </c>
      <c r="N130" s="359">
        <f>SUMMARY!J133</f>
        <v>1.0792348507966931</v>
      </c>
    </row>
    <row r="131" spans="1:14" s="167" customFormat="1">
      <c r="B131" s="163" t="s">
        <v>195</v>
      </c>
      <c r="C131" s="490">
        <f>'[55]Sch C'!D132</f>
        <v>0</v>
      </c>
      <c r="D131" s="490">
        <f>'[55]Sch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541"/>
      <c r="J131" s="168"/>
      <c r="K131" s="168"/>
      <c r="M131" s="364">
        <f t="shared" si="34"/>
        <v>0</v>
      </c>
      <c r="N131" s="359">
        <f>SUMMARY!J134</f>
        <v>8.2765628075518377E-2</v>
      </c>
    </row>
    <row r="132" spans="1:14" s="167" customFormat="1">
      <c r="B132" s="163" t="s">
        <v>196</v>
      </c>
      <c r="C132" s="490">
        <f>'[55]Sch C'!D133</f>
        <v>0</v>
      </c>
      <c r="D132" s="490">
        <f>'[55]Sch C'!F133</f>
        <v>4344.5934225758101</v>
      </c>
      <c r="E132" s="171">
        <f t="shared" si="35"/>
        <v>4344.5934225758101</v>
      </c>
      <c r="F132" s="171"/>
      <c r="G132" s="171">
        <f>E132+F132</f>
        <v>4344.5934225758101</v>
      </c>
      <c r="H132" s="172">
        <f>IF($G$208=0,0,G132/$G$208)</f>
        <v>9.0770218568572746E-4</v>
      </c>
      <c r="I132" s="540"/>
      <c r="J132" s="168"/>
      <c r="K132" s="168"/>
      <c r="M132" s="364">
        <f t="shared" si="34"/>
        <v>0.23502074124071243</v>
      </c>
      <c r="N132" s="359">
        <f>SUMMARY!J135</f>
        <v>2.4827298902786038E-2</v>
      </c>
    </row>
    <row r="133" spans="1:14" s="167" customFormat="1">
      <c r="B133" s="163" t="s">
        <v>197</v>
      </c>
      <c r="C133" s="490">
        <f>'[55]Sch C'!D134</f>
        <v>0</v>
      </c>
      <c r="D133" s="490">
        <f>'[55]Sch C'!F134</f>
        <v>0</v>
      </c>
      <c r="E133" s="171">
        <f t="shared" si="35"/>
        <v>0</v>
      </c>
      <c r="F133" s="171"/>
      <c r="G133" s="171">
        <f>E133+F133</f>
        <v>0</v>
      </c>
      <c r="H133" s="172">
        <f>IF($G$208=0,0,G133/$G$208)</f>
        <v>0</v>
      </c>
      <c r="I133" s="540"/>
      <c r="J133" s="168"/>
      <c r="K133" s="168"/>
      <c r="M133" s="364">
        <f t="shared" si="34"/>
        <v>0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541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490">
        <f>'[55]Sch C'!D136</f>
        <v>425358.26</v>
      </c>
      <c r="D135" s="490">
        <f>'[55]Sch C'!F136</f>
        <v>0</v>
      </c>
      <c r="E135" s="171">
        <f t="shared" ref="E135:E138" si="36">C135+D135</f>
        <v>425358.26</v>
      </c>
      <c r="F135" s="171"/>
      <c r="G135" s="171">
        <f>E135+F135</f>
        <v>425358.26</v>
      </c>
      <c r="H135" s="172">
        <f>IF($G$208=0,0,G135/$G$208)</f>
        <v>8.8868758189245917E-2</v>
      </c>
      <c r="I135" s="541"/>
      <c r="J135" s="183">
        <v>16359.09</v>
      </c>
      <c r="K135" s="183">
        <v>17344.86</v>
      </c>
      <c r="M135" s="364">
        <f t="shared" si="34"/>
        <v>23.009751163042303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490">
        <f>'[55]Sch C'!D137</f>
        <v>287150.28999999998</v>
      </c>
      <c r="D136" s="490">
        <f>'[55]Sch C'!F137</f>
        <v>0</v>
      </c>
      <c r="E136" s="171">
        <f t="shared" si="36"/>
        <v>287150.28999999998</v>
      </c>
      <c r="F136" s="171"/>
      <c r="G136" s="171">
        <f>E136+F136</f>
        <v>287150.28999999998</v>
      </c>
      <c r="H136" s="172">
        <f>IF($G$208=0,0,G136/$G$208)</f>
        <v>5.9993403410061527E-2</v>
      </c>
      <c r="I136" s="541"/>
      <c r="J136" s="183">
        <v>12218.13</v>
      </c>
      <c r="K136" s="183">
        <v>12881.31</v>
      </c>
      <c r="M136" s="364">
        <f t="shared" si="34"/>
        <v>15.533392296873309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490">
        <f>'[55]Sch C'!D138</f>
        <v>489036.32</v>
      </c>
      <c r="D137" s="490">
        <f>'[55]Sch C'!F138</f>
        <v>0</v>
      </c>
      <c r="E137" s="171">
        <f t="shared" si="36"/>
        <v>489036.32</v>
      </c>
      <c r="F137" s="171"/>
      <c r="G137" s="171">
        <f>E137+F137</f>
        <v>489036.32</v>
      </c>
      <c r="H137" s="172">
        <f>IF($G$208=0,0,G137/$G$208)</f>
        <v>0.10217281420099539</v>
      </c>
      <c r="I137" s="541"/>
      <c r="J137" s="183">
        <v>48030.75</v>
      </c>
      <c r="K137" s="183">
        <v>50222.73</v>
      </c>
      <c r="M137" s="364">
        <f t="shared" si="34"/>
        <v>26.454415233149412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490">
        <f>'[55]Sch C'!D139</f>
        <v>0</v>
      </c>
      <c r="D138" s="490">
        <f>'[55]Sch C'!F139</f>
        <v>0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541"/>
      <c r="J138" s="183">
        <v>0</v>
      </c>
      <c r="K138" s="183">
        <v>0</v>
      </c>
      <c r="M138" s="364">
        <f t="shared" si="34"/>
        <v>0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541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490">
        <f>'[55]Sch C'!D141</f>
        <v>0</v>
      </c>
      <c r="D140" s="490">
        <f>'[55]Sch C'!F141</f>
        <v>51635.499200444028</v>
      </c>
      <c r="E140" s="171">
        <f t="shared" ref="E140:E143" si="37">C140+D140</f>
        <v>51635.499200444028</v>
      </c>
      <c r="F140" s="171"/>
      <c r="G140" s="171">
        <f>E140+F140</f>
        <v>51635.499200444028</v>
      </c>
      <c r="H140" s="172">
        <f>IF($G$208=0,0,G140/$G$208)</f>
        <v>1.0788041808392908E-2</v>
      </c>
      <c r="I140" s="541"/>
      <c r="J140" s="168"/>
      <c r="K140" s="168"/>
      <c r="M140" s="364">
        <f t="shared" si="34"/>
        <v>2.7932218544003042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490">
        <f>'[55]Sch C'!D142</f>
        <v>0</v>
      </c>
      <c r="D141" s="490">
        <f>'[55]Sch C'!F142</f>
        <v>34858.024315085051</v>
      </c>
      <c r="E141" s="171">
        <f t="shared" si="37"/>
        <v>34858.024315085051</v>
      </c>
      <c r="F141" s="171"/>
      <c r="G141" s="171">
        <f>E141+F141</f>
        <v>34858.024315085051</v>
      </c>
      <c r="H141" s="172">
        <f>IF($G$208=0,0,G141/$G$208)</f>
        <v>7.282776955623591E-3</v>
      </c>
      <c r="I141" s="541"/>
      <c r="J141" s="168"/>
      <c r="K141" s="168"/>
      <c r="M141" s="364">
        <f t="shared" si="34"/>
        <v>1.8856445047649599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490">
        <f>'[55]Sch C'!D143</f>
        <v>0</v>
      </c>
      <c r="D142" s="490">
        <f>'[55]Sch C'!F143</f>
        <v>59365.567534407557</v>
      </c>
      <c r="E142" s="171">
        <f t="shared" si="37"/>
        <v>59365.567534407557</v>
      </c>
      <c r="F142" s="171"/>
      <c r="G142" s="171">
        <f>E142+F142</f>
        <v>59365.567534407557</v>
      </c>
      <c r="H142" s="172">
        <f>IF($G$208=0,0,G142/$G$208)</f>
        <v>1.2403060577647212E-2</v>
      </c>
      <c r="I142" s="541"/>
      <c r="J142" s="168"/>
      <c r="K142" s="168"/>
      <c r="M142" s="364">
        <f t="shared" si="34"/>
        <v>3.2113798298392058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490">
        <f>'[55]Sch C'!D144</f>
        <v>0</v>
      </c>
      <c r="D143" s="490">
        <f>'[55]Sch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541"/>
      <c r="J143" s="168"/>
      <c r="K143" s="168"/>
      <c r="M143" s="364">
        <f t="shared" si="34"/>
        <v>0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541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490">
        <f>'[55]Sch C'!D146</f>
        <v>28800</v>
      </c>
      <c r="D145" s="490">
        <f>'[55]Sch C'!F146</f>
        <v>0</v>
      </c>
      <c r="E145" s="171">
        <f t="shared" ref="E145:E153" si="38">C145+D145</f>
        <v>28800</v>
      </c>
      <c r="F145" s="171"/>
      <c r="G145" s="171">
        <f t="shared" ref="G145:G153" si="39">E145+F145</f>
        <v>28800</v>
      </c>
      <c r="H145" s="172">
        <f t="shared" ref="H145:H153" si="40">IF($G$208=0,0,G145/$G$208)</f>
        <v>6.0170930637394515E-3</v>
      </c>
      <c r="I145" s="541"/>
      <c r="J145" s="183">
        <v>0</v>
      </c>
      <c r="K145" s="183">
        <v>0</v>
      </c>
      <c r="M145" s="364">
        <f t="shared" si="34"/>
        <v>1.5579357351509251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490">
        <f>'[55]Sch C'!D147</f>
        <v>0</v>
      </c>
      <c r="D146" s="490">
        <f>'[55]Sch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541"/>
      <c r="J146" s="183">
        <v>0</v>
      </c>
      <c r="K146" s="183">
        <v>0</v>
      </c>
      <c r="M146" s="364">
        <f t="shared" si="34"/>
        <v>0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490">
        <f>'[55]Sch C'!D148</f>
        <v>0</v>
      </c>
      <c r="D147" s="490">
        <f>'[55]Sch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541"/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490">
        <f>'[55]Sch C'!D149</f>
        <v>0</v>
      </c>
      <c r="D148" s="490">
        <f>'[55]Sch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541"/>
      <c r="J148" s="183">
        <v>0</v>
      </c>
      <c r="K148" s="183">
        <v>0</v>
      </c>
      <c r="M148" s="364">
        <f t="shared" si="34"/>
        <v>0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490">
        <f>'[55]Sch C'!D150</f>
        <v>1543.12</v>
      </c>
      <c r="D149" s="490">
        <f>'[55]Sch C'!F150</f>
        <v>0</v>
      </c>
      <c r="E149" s="171">
        <f t="shared" si="38"/>
        <v>1543.12</v>
      </c>
      <c r="F149" s="171"/>
      <c r="G149" s="171">
        <f t="shared" si="39"/>
        <v>1543.12</v>
      </c>
      <c r="H149" s="172">
        <f t="shared" si="40"/>
        <v>3.2239918918463965E-4</v>
      </c>
      <c r="I149" s="541"/>
      <c r="J149" s="183">
        <v>0</v>
      </c>
      <c r="K149" s="183">
        <v>0</v>
      </c>
      <c r="M149" s="364">
        <f t="shared" si="34"/>
        <v>8.347506220923942E-2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490">
        <f>'[55]Sch C'!D151</f>
        <v>102247.97</v>
      </c>
      <c r="D150" s="490">
        <f>'[55]Sch C'!F151</f>
        <v>0</v>
      </c>
      <c r="E150" s="171">
        <f t="shared" si="38"/>
        <v>102247.97</v>
      </c>
      <c r="F150" s="171">
        <v>-3861</v>
      </c>
      <c r="G150" s="171">
        <f t="shared" si="39"/>
        <v>98386.97</v>
      </c>
      <c r="H150" s="172">
        <f t="shared" si="40"/>
        <v>2.0555678984352135E-2</v>
      </c>
      <c r="I150" s="657" t="s">
        <v>687</v>
      </c>
      <c r="J150" s="168"/>
      <c r="K150" s="168"/>
      <c r="M150" s="364">
        <f t="shared" si="34"/>
        <v>5.3222422373688199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490">
        <f>'[55]Sch C'!D152</f>
        <v>266.07</v>
      </c>
      <c r="D151" s="490">
        <f>'[55]Sch C'!F152</f>
        <v>0</v>
      </c>
      <c r="E151" s="171">
        <f t="shared" si="38"/>
        <v>266.07</v>
      </c>
      <c r="F151" s="171"/>
      <c r="G151" s="171">
        <f t="shared" si="39"/>
        <v>266.07</v>
      </c>
      <c r="H151" s="172">
        <f t="shared" si="40"/>
        <v>5.5589164981567917E-5</v>
      </c>
      <c r="I151" s="541"/>
      <c r="J151" s="168"/>
      <c r="K151" s="168"/>
      <c r="M151" s="364">
        <f t="shared" si="34"/>
        <v>1.4393054203180785E-2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490">
        <f>'[55]Sch C'!D153</f>
        <v>600.41999999999996</v>
      </c>
      <c r="D152" s="490">
        <f>'[55]Sch C'!F153</f>
        <v>0</v>
      </c>
      <c r="E152" s="171">
        <f t="shared" si="38"/>
        <v>600.41999999999996</v>
      </c>
      <c r="F152" s="171"/>
      <c r="G152" s="171">
        <f t="shared" si="39"/>
        <v>600.41999999999996</v>
      </c>
      <c r="H152" s="172">
        <f t="shared" si="40"/>
        <v>1.2544385476841811E-4</v>
      </c>
      <c r="I152" s="541"/>
      <c r="J152" s="168"/>
      <c r="K152" s="168"/>
      <c r="M152" s="364">
        <f t="shared" si="34"/>
        <v>3.247971437844855E-2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490">
        <f>'[55]Sch C'!D154</f>
        <v>0</v>
      </c>
      <c r="D153" s="490">
        <f>'[55]Sch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541"/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210"/>
      <c r="G154" s="210"/>
      <c r="H154" s="211"/>
      <c r="I154" s="541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490">
        <f>'[55]Sch C'!D156</f>
        <v>0</v>
      </c>
      <c r="D155" s="490">
        <f>'[55]Sch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541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490">
        <f>'[55]Sch C'!D157</f>
        <v>0</v>
      </c>
      <c r="D156" s="490">
        <f>'[55]Sch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541"/>
      <c r="J156" s="168"/>
      <c r="K156" s="168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490">
        <f>'[55]Sch C'!D158</f>
        <v>0</v>
      </c>
      <c r="D157" s="490">
        <f>'[55]Sch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541"/>
      <c r="J157" s="168"/>
      <c r="K157" s="168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490">
        <f>'[55]Sch C'!D159</f>
        <v>0</v>
      </c>
      <c r="D158" s="490">
        <f>'[55]Sch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541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490">
        <f>'[55]Sch C'!D160</f>
        <v>0</v>
      </c>
      <c r="D159" s="490">
        <f>'[55]Sch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541"/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490">
        <f>'[55]Sch C'!D161</f>
        <v>0</v>
      </c>
      <c r="D160" s="490">
        <f>'[55]Sch C'!F161</f>
        <v>0</v>
      </c>
      <c r="E160" s="171">
        <f t="shared" si="41"/>
        <v>0</v>
      </c>
      <c r="F160" s="171"/>
      <c r="G160" s="171">
        <f t="shared" si="42"/>
        <v>0</v>
      </c>
      <c r="H160" s="172">
        <f t="shared" si="43"/>
        <v>0</v>
      </c>
      <c r="I160" s="541"/>
      <c r="J160" s="168"/>
      <c r="K160" s="168"/>
      <c r="M160" s="364">
        <f t="shared" si="34"/>
        <v>0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490">
        <f>SUM(C123:C160)</f>
        <v>1439422.9300000002</v>
      </c>
      <c r="D161" s="490">
        <f>SUM(D123:D160)</f>
        <v>158535.00243708116</v>
      </c>
      <c r="E161" s="171">
        <f t="shared" ref="E161:F161" si="44">SUM(E123:E160)</f>
        <v>1597957.9324370814</v>
      </c>
      <c r="F161" s="171">
        <f t="shared" si="44"/>
        <v>-3861</v>
      </c>
      <c r="G161" s="171">
        <f>SUM(G123:G160)</f>
        <v>1594096.9324370814</v>
      </c>
      <c r="H161" s="172">
        <f t="shared" si="43"/>
        <v>0.33304963871859372</v>
      </c>
      <c r="I161" s="541"/>
      <c r="J161" s="168"/>
      <c r="K161" s="168"/>
      <c r="M161" s="364">
        <f>G161/G$228</f>
        <v>86.232658900631904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541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541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490">
        <f>'[55]Sch C'!D175</f>
        <v>0</v>
      </c>
      <c r="D164" s="490">
        <f>'[55]Sch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553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490">
        <f>'[55]Sch C'!D176</f>
        <v>0</v>
      </c>
      <c r="D165" s="490">
        <f>'[55]Sch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554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490">
        <f>'[55]Sch C'!D177</f>
        <v>200658.95</v>
      </c>
      <c r="D166" s="490">
        <f>'[55]Sch C'!F177</f>
        <v>0</v>
      </c>
      <c r="E166" s="171">
        <f t="shared" si="45"/>
        <v>200658.95</v>
      </c>
      <c r="F166" s="216"/>
      <c r="G166" s="171">
        <f t="shared" si="46"/>
        <v>200658.95</v>
      </c>
      <c r="H166" s="172">
        <f t="shared" si="47"/>
        <v>4.1923040841050051E-2</v>
      </c>
      <c r="I166" s="553"/>
      <c r="J166" s="217">
        <v>6442.66</v>
      </c>
      <c r="K166" s="217">
        <v>6926.99</v>
      </c>
      <c r="L166" s="218"/>
      <c r="M166" s="364">
        <f t="shared" si="48"/>
        <v>10.854644054960511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490">
        <f>'[55]Sch C'!D178</f>
        <v>0</v>
      </c>
      <c r="D167" s="490">
        <f>'[55]Sch C'!F178</f>
        <v>24358.584343200335</v>
      </c>
      <c r="E167" s="171">
        <f t="shared" si="45"/>
        <v>24358.584343200335</v>
      </c>
      <c r="F167" s="216"/>
      <c r="G167" s="171">
        <f t="shared" si="46"/>
        <v>24358.584343200335</v>
      </c>
      <c r="H167" s="172">
        <f t="shared" si="47"/>
        <v>5.0891621143744148E-3</v>
      </c>
      <c r="I167" s="554"/>
      <c r="J167" s="222"/>
      <c r="K167" s="222"/>
      <c r="L167" s="218"/>
      <c r="M167" s="364">
        <f t="shared" si="48"/>
        <v>1.3176773960402648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490">
        <f>'[55]Sch C'!D179</f>
        <v>0</v>
      </c>
      <c r="D168" s="490">
        <f>'[55]Sch C'!F179</f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553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490">
        <f>'[55]Sch C'!D180</f>
        <v>0</v>
      </c>
      <c r="D169" s="490">
        <f>'[55]Sch C'!F180</f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554"/>
      <c r="J169" s="222"/>
      <c r="K169" s="222"/>
      <c r="L169" s="218"/>
      <c r="M169" s="364">
        <f t="shared" si="48"/>
        <v>0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490">
        <f>'[55]Sch C'!D181</f>
        <v>0</v>
      </c>
      <c r="D170" s="490">
        <f>'[55]Sch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553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490">
        <f>'[55]Sch C'!D182</f>
        <v>0</v>
      </c>
      <c r="D171" s="490">
        <f>'[55]Sch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554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490">
        <f>'[55]Sch C'!D183</f>
        <v>0</v>
      </c>
      <c r="D172" s="490">
        <f>'[55]Sch C'!F183</f>
        <v>0</v>
      </c>
      <c r="E172" s="171">
        <f t="shared" si="45"/>
        <v>0</v>
      </c>
      <c r="F172" s="216"/>
      <c r="G172" s="171">
        <f t="shared" si="46"/>
        <v>0</v>
      </c>
      <c r="H172" s="172">
        <f t="shared" si="47"/>
        <v>0</v>
      </c>
      <c r="I172" s="553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490">
        <f>'[55]Sch C'!D184</f>
        <v>0</v>
      </c>
      <c r="D173" s="490">
        <f>'[55]Sch C'!F184</f>
        <v>0</v>
      </c>
      <c r="E173" s="171">
        <f t="shared" si="45"/>
        <v>0</v>
      </c>
      <c r="F173" s="216"/>
      <c r="G173" s="171">
        <f t="shared" si="46"/>
        <v>0</v>
      </c>
      <c r="H173" s="172">
        <f t="shared" si="47"/>
        <v>0</v>
      </c>
      <c r="I173" s="554"/>
      <c r="J173" s="222"/>
      <c r="K173" s="222"/>
      <c r="L173" s="218"/>
      <c r="M173" s="364">
        <f t="shared" si="48"/>
        <v>0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490">
        <f>'[55]Sch C'!D185</f>
        <v>0</v>
      </c>
      <c r="D174" s="490">
        <f>'[55]Sch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553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490">
        <f>'[55]Sch C'!D186</f>
        <v>0</v>
      </c>
      <c r="D175" s="490">
        <f>'[55]Sch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541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490">
        <f>'[55]Sch C'!D187</f>
        <v>0</v>
      </c>
      <c r="D176" s="490">
        <f>'[55]Sch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541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490">
        <f>'[55]Sch C'!D188</f>
        <v>17394.009999999998</v>
      </c>
      <c r="D177" s="490">
        <f>'[55]Sch C'!F188</f>
        <v>0</v>
      </c>
      <c r="E177" s="171">
        <f t="shared" si="45"/>
        <v>17394.009999999998</v>
      </c>
      <c r="F177" s="216"/>
      <c r="G177" s="171">
        <f t="shared" si="46"/>
        <v>17394.009999999998</v>
      </c>
      <c r="H177" s="172">
        <f t="shared" si="47"/>
        <v>3.6340755875560642E-3</v>
      </c>
      <c r="I177" s="541"/>
      <c r="J177" s="223"/>
      <c r="K177" s="218"/>
      <c r="L177" s="220"/>
      <c r="M177" s="364">
        <f t="shared" si="48"/>
        <v>0.94092881099210202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490">
        <f>'[55]Sch C'!D189</f>
        <v>0</v>
      </c>
      <c r="D178" s="490">
        <f>'[55]Sch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541"/>
      <c r="J178" s="223"/>
      <c r="K178" s="218"/>
      <c r="L178" s="220"/>
      <c r="M178" s="364">
        <f t="shared" si="48"/>
        <v>0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490">
        <f>'[55]Sch C'!D190</f>
        <v>0</v>
      </c>
      <c r="D179" s="490">
        <f>'[55]Sch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541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490">
        <f>'[55]Sch C'!D191</f>
        <v>0</v>
      </c>
      <c r="D180" s="490">
        <f>'[55]Sch C'!F191</f>
        <v>0</v>
      </c>
      <c r="E180" s="171">
        <f t="shared" si="45"/>
        <v>0</v>
      </c>
      <c r="F180" s="216"/>
      <c r="G180" s="171">
        <f t="shared" si="46"/>
        <v>0</v>
      </c>
      <c r="H180" s="172">
        <f t="shared" si="47"/>
        <v>0</v>
      </c>
      <c r="I180" s="541"/>
      <c r="J180" s="223"/>
      <c r="K180" s="218"/>
      <c r="L180" s="220"/>
      <c r="M180" s="364">
        <f t="shared" si="48"/>
        <v>0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490">
        <f>'[55]Sch C'!D192</f>
        <v>0</v>
      </c>
      <c r="D181" s="490">
        <f>'[55]Sch C'!F192</f>
        <v>0</v>
      </c>
      <c r="E181" s="171">
        <f t="shared" si="45"/>
        <v>0</v>
      </c>
      <c r="F181" s="216"/>
      <c r="G181" s="171">
        <f t="shared" si="46"/>
        <v>0</v>
      </c>
      <c r="H181" s="172">
        <f t="shared" si="47"/>
        <v>0</v>
      </c>
      <c r="I181" s="541"/>
      <c r="J181" s="223"/>
      <c r="K181" s="218"/>
      <c r="L181" s="220"/>
      <c r="M181" s="364">
        <f t="shared" si="48"/>
        <v>0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490">
        <f>'[55]Sch C'!D193</f>
        <v>10528.3</v>
      </c>
      <c r="D182" s="490">
        <f>'[55]Sch C'!F193</f>
        <v>0</v>
      </c>
      <c r="E182" s="171">
        <f t="shared" si="45"/>
        <v>10528.3</v>
      </c>
      <c r="F182" s="216"/>
      <c r="G182" s="171">
        <f t="shared" si="46"/>
        <v>10528.3</v>
      </c>
      <c r="H182" s="172">
        <f t="shared" si="47"/>
        <v>2.1996444757975023E-3</v>
      </c>
      <c r="I182" s="541"/>
      <c r="J182" s="223"/>
      <c r="K182" s="218"/>
      <c r="L182" s="220"/>
      <c r="M182" s="364">
        <f t="shared" si="48"/>
        <v>0.56952829168019037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490">
        <f>'[55]Sch C'!D194</f>
        <v>210165.62</v>
      </c>
      <c r="D183" s="490">
        <f>'[55]Sch C'!F194</f>
        <v>0</v>
      </c>
      <c r="E183" s="171">
        <f t="shared" si="45"/>
        <v>210165.62</v>
      </c>
      <c r="F183" s="216"/>
      <c r="G183" s="171">
        <f t="shared" si="46"/>
        <v>210165.62</v>
      </c>
      <c r="H183" s="172">
        <f t="shared" si="47"/>
        <v>4.3909239386753521E-2</v>
      </c>
      <c r="I183" s="541"/>
      <c r="J183" s="223"/>
      <c r="K183" s="218"/>
      <c r="M183" s="364">
        <f t="shared" si="48"/>
        <v>11.368907281185763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490">
        <f>'[55]Sch C'!D195</f>
        <v>3137.5</v>
      </c>
      <c r="D184" s="490">
        <f>'[55]Sch C'!F195</f>
        <v>0</v>
      </c>
      <c r="E184" s="171">
        <f t="shared" si="45"/>
        <v>3137.5</v>
      </c>
      <c r="F184" s="216"/>
      <c r="G184" s="171">
        <f t="shared" si="46"/>
        <v>3137.5</v>
      </c>
      <c r="H184" s="172">
        <f t="shared" si="47"/>
        <v>6.5550796831536566E-4</v>
      </c>
      <c r="I184" s="541"/>
      <c r="J184" s="223"/>
      <c r="K184" s="218"/>
      <c r="M184" s="364">
        <f t="shared" si="48"/>
        <v>0.16972303364708427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490">
        <f>'[55]Sch C'!D196</f>
        <v>0</v>
      </c>
      <c r="D185" s="490">
        <f>'[55]Sch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541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490">
        <f>'[55]Sch C'!D197</f>
        <v>76818.41</v>
      </c>
      <c r="D186" s="490">
        <f>'[55]Sch C'!F197</f>
        <v>0</v>
      </c>
      <c r="E186" s="171">
        <f t="shared" si="45"/>
        <v>76818.41</v>
      </c>
      <c r="F186" s="216"/>
      <c r="G186" s="171">
        <f t="shared" si="46"/>
        <v>76818.41</v>
      </c>
      <c r="H186" s="172">
        <f t="shared" si="47"/>
        <v>1.6049427846475464E-2</v>
      </c>
      <c r="I186" s="541"/>
      <c r="J186" s="223"/>
      <c r="K186" s="218"/>
      <c r="M186" s="364">
        <f t="shared" si="48"/>
        <v>4.1554911825164993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490">
        <f>'[55]Sch C'!D198</f>
        <v>21896.81</v>
      </c>
      <c r="D187" s="490">
        <f>'[55]Sch C'!F198</f>
        <v>0</v>
      </c>
      <c r="E187" s="171">
        <f t="shared" si="45"/>
        <v>21896.81</v>
      </c>
      <c r="F187" s="216"/>
      <c r="G187" s="171">
        <f t="shared" si="46"/>
        <v>21896.81</v>
      </c>
      <c r="H187" s="172">
        <f t="shared" si="47"/>
        <v>4.5748313739243287E-3</v>
      </c>
      <c r="I187" s="541"/>
      <c r="J187" s="223"/>
      <c r="K187" s="218"/>
      <c r="M187" s="364">
        <f t="shared" si="48"/>
        <v>1.1845077355836851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490">
        <f>'[55]Sch C'!D199</f>
        <v>0</v>
      </c>
      <c r="D188" s="490">
        <f>'[55]Sch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541"/>
      <c r="J188" s="223"/>
      <c r="K188" s="218"/>
      <c r="M188" s="364">
        <f t="shared" si="48"/>
        <v>0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490">
        <f>'[55]Sch C'!D200</f>
        <v>0</v>
      </c>
      <c r="D189" s="490">
        <f>'[55]Sch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541"/>
      <c r="J189" s="223"/>
      <c r="K189" s="218"/>
      <c r="M189" s="364">
        <f t="shared" si="48"/>
        <v>0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490">
        <f>'[55]Sch C'!D201</f>
        <v>0</v>
      </c>
      <c r="D190" s="490">
        <f>'[55]Sch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541"/>
      <c r="J190" s="223"/>
      <c r="K190" s="218"/>
      <c r="M190" s="364">
        <f t="shared" si="48"/>
        <v>0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490">
        <f>'[55]Sch C'!D202</f>
        <v>0</v>
      </c>
      <c r="D191" s="490">
        <f>'[55]Sch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541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490">
        <f>'[55]Sch C'!D203</f>
        <v>0</v>
      </c>
      <c r="D192" s="490">
        <f>'[55]Sch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541"/>
      <c r="J192" s="223"/>
      <c r="K192" s="218"/>
      <c r="M192" s="364">
        <f t="shared" si="48"/>
        <v>0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490">
        <f>'[55]Sch C'!D204</f>
        <v>0</v>
      </c>
      <c r="D193" s="490">
        <f>'[55]Sch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541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490">
        <f>'[55]Sch C'!D205</f>
        <v>272789.62</v>
      </c>
      <c r="D194" s="490">
        <f>'[55]Sch C'!F205</f>
        <v>0</v>
      </c>
      <c r="E194" s="171">
        <f t="shared" si="45"/>
        <v>272789.62</v>
      </c>
      <c r="F194" s="216"/>
      <c r="G194" s="171">
        <f t="shared" si="46"/>
        <v>272789.62</v>
      </c>
      <c r="H194" s="172">
        <f t="shared" si="47"/>
        <v>5.6993073970906971E-2</v>
      </c>
      <c r="I194" s="541"/>
      <c r="J194" s="223"/>
      <c r="K194" s="218"/>
      <c r="M194" s="364">
        <f t="shared" si="48"/>
        <v>14.756551985286162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490">
        <f>'[55]Sch C'!D206</f>
        <v>1328.77</v>
      </c>
      <c r="D195" s="490">
        <f>'[55]Sch C'!F206</f>
        <v>0</v>
      </c>
      <c r="E195" s="171">
        <f t="shared" si="45"/>
        <v>1328.77</v>
      </c>
      <c r="F195" s="216"/>
      <c r="G195" s="171">
        <f t="shared" si="46"/>
        <v>1328.77</v>
      </c>
      <c r="H195" s="172">
        <f t="shared" si="47"/>
        <v>2.7761572049670385E-4</v>
      </c>
      <c r="I195" s="541"/>
      <c r="J195" s="223"/>
      <c r="K195" s="218"/>
      <c r="M195" s="364">
        <f t="shared" si="48"/>
        <v>7.1879800930433835E-2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490">
        <f>'[55]Sch C'!D207</f>
        <v>12662.93</v>
      </c>
      <c r="D196" s="490">
        <f>'[55]Sch C'!F207</f>
        <v>-12663</v>
      </c>
      <c r="E196" s="171">
        <f t="shared" si="45"/>
        <v>-6.9999999999708962E-2</v>
      </c>
      <c r="F196" s="216"/>
      <c r="G196" s="171">
        <f t="shared" si="46"/>
        <v>-6.9999999999708962E-2</v>
      </c>
      <c r="H196" s="172">
        <f t="shared" si="47"/>
        <v>-1.4624878974305917E-8</v>
      </c>
      <c r="I196" s="541"/>
      <c r="J196" s="223"/>
      <c r="K196" s="218"/>
      <c r="M196" s="364">
        <f t="shared" si="48"/>
        <v>-3.7866493562538657E-6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490">
        <f>SUM(C164:C196)</f>
        <v>827380.92000000016</v>
      </c>
      <c r="D197" s="490">
        <f>SUM(D164:D196)</f>
        <v>11695.584343200335</v>
      </c>
      <c r="E197" s="171">
        <f t="shared" ref="E197:F197" si="49">SUM(E164:E196)</f>
        <v>839076.50434320047</v>
      </c>
      <c r="F197" s="171">
        <f t="shared" si="49"/>
        <v>0</v>
      </c>
      <c r="G197" s="171">
        <f>SUM(G164:G196)</f>
        <v>839076.50434320047</v>
      </c>
      <c r="H197" s="172">
        <f>IF($G$208=0,0,G197/$G$208)</f>
        <v>0.17530560466077144</v>
      </c>
      <c r="I197" s="541"/>
      <c r="J197" s="168"/>
      <c r="K197" s="168"/>
      <c r="M197" s="364">
        <f>G197/G$228</f>
        <v>45.389835786173343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165"/>
      <c r="G198" s="165"/>
      <c r="H198" s="198"/>
      <c r="I198" s="545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545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490">
        <f>'[55]Sch C'!D211</f>
        <v>72669.87</v>
      </c>
      <c r="D200" s="490">
        <f>'[55]Sch C'!F211</f>
        <v>0</v>
      </c>
      <c r="E200" s="171">
        <f t="shared" ref="E200:E205" si="50">C200+D200</f>
        <v>72669.87</v>
      </c>
      <c r="F200" s="171"/>
      <c r="G200" s="171">
        <f t="shared" ref="G200:G205" si="51">E200+F200</f>
        <v>72669.87</v>
      </c>
      <c r="H200" s="172">
        <f t="shared" ref="H200:H206" si="52">IF($G$208=0,0,G200/$G$208)</f>
        <v>1.5182686483328043E-2</v>
      </c>
      <c r="I200" s="541"/>
      <c r="J200" s="183">
        <v>3963.74</v>
      </c>
      <c r="K200" s="183">
        <v>4308.88</v>
      </c>
      <c r="M200" s="364">
        <f t="shared" ref="M200:M205" si="53">G200/G$228</f>
        <v>3.9310759493670884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490">
        <f>'[55]Sch C'!D212</f>
        <v>0</v>
      </c>
      <c r="D201" s="490">
        <f>'[55]Sch C'!F212</f>
        <v>8821.6107858852229</v>
      </c>
      <c r="E201" s="171">
        <f t="shared" si="50"/>
        <v>8821.6107858852229</v>
      </c>
      <c r="F201" s="171"/>
      <c r="G201" s="171">
        <f t="shared" si="51"/>
        <v>8821.6107858852229</v>
      </c>
      <c r="H201" s="172">
        <f t="shared" si="52"/>
        <v>1.8430712871791357E-3</v>
      </c>
      <c r="I201" s="541"/>
      <c r="J201" s="168"/>
      <c r="K201" s="168"/>
      <c r="M201" s="364">
        <f t="shared" si="53"/>
        <v>0.47720495433761889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490">
        <f>'[55]Sch C'!D213</f>
        <v>23324.07</v>
      </c>
      <c r="D202" s="490">
        <f>'[55]Sch C'!F213</f>
        <v>0</v>
      </c>
      <c r="E202" s="171">
        <f t="shared" si="50"/>
        <v>23324.07</v>
      </c>
      <c r="F202" s="171"/>
      <c r="G202" s="171">
        <f t="shared" si="51"/>
        <v>23324.07</v>
      </c>
      <c r="H202" s="172">
        <f t="shared" si="52"/>
        <v>4.8730242991379662E-3</v>
      </c>
      <c r="I202" s="541"/>
      <c r="J202" s="168"/>
      <c r="K202" s="168"/>
      <c r="M202" s="364">
        <f t="shared" si="53"/>
        <v>1.2617153521583901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490">
        <f>'[55]Sch C'!D214</f>
        <v>0</v>
      </c>
      <c r="D203" s="490">
        <f>'[55]Sch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541"/>
      <c r="J203" s="168"/>
      <c r="K203" s="168"/>
      <c r="M203" s="364">
        <f t="shared" si="53"/>
        <v>0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490">
        <f>'[55]Sch C'!D215</f>
        <v>0</v>
      </c>
      <c r="D204" s="490">
        <f>'[55]Sch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541"/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490">
        <f>'[55]Sch C'!D216</f>
        <v>0</v>
      </c>
      <c r="D205" s="490">
        <f>'[55]Sch C'!F216</f>
        <v>0</v>
      </c>
      <c r="E205" s="171">
        <f t="shared" si="50"/>
        <v>0</v>
      </c>
      <c r="F205" s="171">
        <f>3861-2100</f>
        <v>1761</v>
      </c>
      <c r="G205" s="171">
        <f t="shared" si="51"/>
        <v>1761</v>
      </c>
      <c r="H205" s="172">
        <f t="shared" si="52"/>
        <v>3.6792016962656858E-4</v>
      </c>
      <c r="I205" s="657" t="s">
        <v>688</v>
      </c>
      <c r="J205" s="168"/>
      <c r="K205" s="168"/>
      <c r="M205" s="364">
        <f t="shared" si="53"/>
        <v>9.5261278805582605E-2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490">
        <f>SUM(C200:C205)</f>
        <v>95993.94</v>
      </c>
      <c r="D206" s="490">
        <f>SUM(D200:D205)</f>
        <v>8821.6107858852229</v>
      </c>
      <c r="E206" s="171">
        <f t="shared" ref="E206:F206" si="54">SUM(E200:E205)</f>
        <v>104815.55078588522</v>
      </c>
      <c r="F206" s="171">
        <f t="shared" si="54"/>
        <v>1761</v>
      </c>
      <c r="G206" s="171">
        <f>SUM(G200:G205)</f>
        <v>106576.55078588522</v>
      </c>
      <c r="H206" s="172">
        <f t="shared" si="52"/>
        <v>2.2266702239271716E-2</v>
      </c>
      <c r="I206" s="541"/>
      <c r="J206" s="637" t="s">
        <v>644</v>
      </c>
      <c r="K206" s="168"/>
      <c r="M206" s="364">
        <f>G206/G$228</f>
        <v>5.7652575346686801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165"/>
      <c r="G207" s="165"/>
      <c r="H207" s="198"/>
      <c r="I207" s="545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490">
        <f>SUM(C25:C206)/2</f>
        <v>4762174.0799999991</v>
      </c>
      <c r="D208" s="490">
        <f>SUM(D25:D206)/2</f>
        <v>24190.314720134287</v>
      </c>
      <c r="E208" s="171">
        <f t="shared" ref="E208:F208" si="55">SUM(E25:E206)/2</f>
        <v>4786364.3947201343</v>
      </c>
      <c r="F208" s="171">
        <f t="shared" si="55"/>
        <v>0</v>
      </c>
      <c r="G208" s="171">
        <f>SUM(G25:G206)/2</f>
        <v>4786364.3947201343</v>
      </c>
      <c r="H208" s="172">
        <f>IF($G$208=0,0,G208/$G$208)</f>
        <v>1</v>
      </c>
      <c r="I208" s="541"/>
      <c r="J208" s="183">
        <f>SUM(J25:J200)</f>
        <v>130528.34000000001</v>
      </c>
      <c r="K208" s="183">
        <f>SUM(K25:K200)</f>
        <v>137871.01</v>
      </c>
      <c r="M208" s="364">
        <f>G208/G$228</f>
        <v>258.91833791626823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545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545"/>
      <c r="J210" s="168"/>
      <c r="K210" s="168"/>
    </row>
    <row r="211" spans="1:14" s="167" customFormat="1" ht="15.5">
      <c r="A211" s="163"/>
      <c r="B211" s="228" t="s">
        <v>181</v>
      </c>
      <c r="C211" s="490">
        <f>'[55]Sch C'!D221</f>
        <v>4762174.08</v>
      </c>
      <c r="D211" s="196"/>
      <c r="E211" s="165"/>
      <c r="F211"/>
      <c r="G211"/>
      <c r="I211" s="545"/>
      <c r="J211" s="168"/>
      <c r="K211" s="168"/>
    </row>
    <row r="212" spans="1:14" s="167" customFormat="1" ht="15.5">
      <c r="A212" s="163"/>
      <c r="B212" s="170" t="s">
        <v>147</v>
      </c>
      <c r="C212" s="490">
        <f>C208-C211</f>
        <v>0</v>
      </c>
      <c r="D212" s="229"/>
      <c r="E212" s="165"/>
      <c r="F212"/>
      <c r="G212"/>
      <c r="I212" s="545"/>
      <c r="J212" s="168"/>
      <c r="K212" s="168"/>
    </row>
    <row r="213" spans="1:14" s="167" customFormat="1">
      <c r="A213" s="163"/>
      <c r="B213" s="230"/>
      <c r="C213" s="619"/>
      <c r="D213" s="232"/>
      <c r="E213" s="232"/>
      <c r="F213" s="232"/>
      <c r="G213" s="232"/>
      <c r="H213" s="166"/>
      <c r="I213" s="548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545"/>
      <c r="J214" s="168"/>
      <c r="K214" s="168"/>
    </row>
    <row r="215" spans="1:14" s="167" customFormat="1">
      <c r="A215" s="163"/>
      <c r="B215" s="228" t="s">
        <v>78</v>
      </c>
      <c r="C215" s="490">
        <f>C21-C208</f>
        <v>-178566.63999999966</v>
      </c>
      <c r="D215" s="490">
        <f>D21-D208</f>
        <v>-24190.314720134287</v>
      </c>
      <c r="E215" s="171">
        <f t="shared" ref="E215:F215" si="56">E21-E208</f>
        <v>-202756.95472013485</v>
      </c>
      <c r="F215" s="171">
        <f t="shared" si="56"/>
        <v>0</v>
      </c>
      <c r="G215" s="171">
        <f>G21-G208</f>
        <v>-202756.95472013485</v>
      </c>
      <c r="I215" s="545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545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545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548"/>
      <c r="J218" s="168"/>
      <c r="K218" s="168"/>
    </row>
    <row r="219" spans="1:14">
      <c r="A219" s="163"/>
      <c r="B219" s="170" t="s">
        <v>218</v>
      </c>
      <c r="C219" s="491">
        <f>'[55]Sch D'!C9</f>
        <v>8922</v>
      </c>
      <c r="D219" s="491"/>
      <c r="E219" s="235">
        <f t="shared" ref="E219:G227" si="57">C219+D219</f>
        <v>8922</v>
      </c>
      <c r="F219" s="234"/>
      <c r="G219" s="235">
        <f t="shared" si="57"/>
        <v>8922</v>
      </c>
      <c r="H219" s="172">
        <f t="shared" ref="H219:H228" si="58">IF($G$228=0,0,G219/$G$228)</f>
        <v>0.48263550795196364</v>
      </c>
      <c r="I219" s="541"/>
      <c r="J219" s="168"/>
      <c r="K219" s="168"/>
    </row>
    <row r="220" spans="1:14">
      <c r="A220" s="163"/>
      <c r="B220" s="170" t="s">
        <v>217</v>
      </c>
      <c r="C220" s="491">
        <f>'[55]Sch D'!D9</f>
        <v>0</v>
      </c>
      <c r="D220" s="491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541"/>
      <c r="J220" s="168"/>
      <c r="K220" s="168"/>
    </row>
    <row r="221" spans="1:14">
      <c r="A221" s="163"/>
      <c r="B221" s="170" t="s">
        <v>72</v>
      </c>
      <c r="C221" s="491">
        <f>'[55]Sch D'!E9</f>
        <v>3694</v>
      </c>
      <c r="D221" s="491"/>
      <c r="E221" s="235">
        <f t="shared" si="59"/>
        <v>3694</v>
      </c>
      <c r="F221" s="234"/>
      <c r="G221" s="235">
        <f t="shared" si="57"/>
        <v>3694</v>
      </c>
      <c r="H221" s="172">
        <f t="shared" si="58"/>
        <v>0.19982689602942769</v>
      </c>
      <c r="I221" s="541"/>
      <c r="J221" s="168"/>
      <c r="K221" s="168"/>
    </row>
    <row r="222" spans="1:14">
      <c r="A222" s="163"/>
      <c r="B222" s="202" t="s">
        <v>334</v>
      </c>
      <c r="C222" s="491">
        <f>'[55]Sch D'!F9</f>
        <v>2058</v>
      </c>
      <c r="D222" s="491"/>
      <c r="E222" s="235">
        <f>C222+D222</f>
        <v>2058</v>
      </c>
      <c r="F222" s="234"/>
      <c r="G222" s="235">
        <f>E222+F222</f>
        <v>2058</v>
      </c>
      <c r="H222" s="172">
        <f t="shared" si="58"/>
        <v>0.11132749107432652</v>
      </c>
      <c r="I222" s="541"/>
      <c r="J222" s="168"/>
      <c r="K222" s="168"/>
    </row>
    <row r="223" spans="1:14">
      <c r="A223" s="163"/>
      <c r="B223" s="170" t="s">
        <v>73</v>
      </c>
      <c r="C223" s="491">
        <f>'[55]Sch D'!G9</f>
        <v>0</v>
      </c>
      <c r="D223" s="491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541"/>
      <c r="J223" s="168"/>
      <c r="K223" s="168"/>
    </row>
    <row r="224" spans="1:14">
      <c r="A224" s="163"/>
      <c r="B224" s="170" t="s">
        <v>74</v>
      </c>
      <c r="C224" s="491">
        <f>'[55]Sch D'!H9</f>
        <v>2974</v>
      </c>
      <c r="D224" s="491"/>
      <c r="E224" s="235">
        <f t="shared" si="59"/>
        <v>2974</v>
      </c>
      <c r="F224" s="234"/>
      <c r="G224" s="235">
        <f t="shared" si="57"/>
        <v>2974</v>
      </c>
      <c r="H224" s="172">
        <f t="shared" si="58"/>
        <v>0.16087850265065454</v>
      </c>
      <c r="I224" s="541"/>
      <c r="J224" s="168"/>
      <c r="K224" s="168"/>
    </row>
    <row r="225" spans="1:11">
      <c r="A225" s="163"/>
      <c r="B225" s="170" t="s">
        <v>236</v>
      </c>
      <c r="C225" s="491">
        <f>'[55]Sch D'!I9</f>
        <v>788</v>
      </c>
      <c r="D225" s="491"/>
      <c r="E225" s="235">
        <f t="shared" si="59"/>
        <v>788</v>
      </c>
      <c r="F225" s="234"/>
      <c r="G225" s="235">
        <f t="shared" si="57"/>
        <v>788</v>
      </c>
      <c r="H225" s="172">
        <f t="shared" si="58"/>
        <v>4.2626852753435029E-2</v>
      </c>
      <c r="I225" s="522"/>
      <c r="J225" s="168"/>
      <c r="K225" s="168"/>
    </row>
    <row r="226" spans="1:11">
      <c r="A226" s="163"/>
      <c r="B226" s="170" t="s">
        <v>235</v>
      </c>
      <c r="C226" s="491">
        <f>'[55]Sch D'!J9</f>
        <v>50</v>
      </c>
      <c r="D226" s="491"/>
      <c r="E226" s="235">
        <f>C226+D226</f>
        <v>50</v>
      </c>
      <c r="F226" s="234"/>
      <c r="G226" s="235">
        <f>E226+F226</f>
        <v>50</v>
      </c>
      <c r="H226" s="172">
        <f t="shared" si="58"/>
        <v>2.704749540192578E-3</v>
      </c>
      <c r="I226" s="522"/>
      <c r="J226" s="168"/>
      <c r="K226" s="168"/>
    </row>
    <row r="227" spans="1:11">
      <c r="A227" s="163"/>
      <c r="B227" s="170" t="s">
        <v>179</v>
      </c>
      <c r="C227" s="491">
        <f>'[55]Sch D'!K9</f>
        <v>0</v>
      </c>
      <c r="D227" s="491"/>
      <c r="E227" s="235">
        <f t="shared" si="59"/>
        <v>0</v>
      </c>
      <c r="F227" s="234"/>
      <c r="G227" s="235">
        <f t="shared" si="57"/>
        <v>0</v>
      </c>
      <c r="H227" s="172">
        <f t="shared" si="58"/>
        <v>0</v>
      </c>
      <c r="I227" s="541"/>
      <c r="J227" s="168"/>
      <c r="K227" s="168"/>
    </row>
    <row r="228" spans="1:11" ht="13.5" thickBot="1">
      <c r="A228" s="163"/>
      <c r="B228" s="236" t="s">
        <v>75</v>
      </c>
      <c r="C228" s="491">
        <f>SUM(C219:C227)</f>
        <v>18486</v>
      </c>
      <c r="D228" s="491">
        <f>SUM(D219:D227)</f>
        <v>0</v>
      </c>
      <c r="E228" s="237">
        <f>SUM(E219:E227)</f>
        <v>18486</v>
      </c>
      <c r="F228" s="237">
        <f>SUM(F219:F227)</f>
        <v>0</v>
      </c>
      <c r="G228" s="237">
        <f>SUM(G219:G227)</f>
        <v>18486</v>
      </c>
      <c r="H228" s="172">
        <f t="shared" si="58"/>
        <v>1</v>
      </c>
      <c r="I228" s="541"/>
      <c r="J228" s="168"/>
      <c r="K228" s="168"/>
    </row>
    <row r="229" spans="1:11" ht="13.5" thickTop="1">
      <c r="A229" s="163"/>
      <c r="B229" s="167"/>
      <c r="C229" s="620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619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492">
        <f>'[55]Sch D'!N22</f>
        <v>76</v>
      </c>
      <c r="D231" s="526"/>
      <c r="E231" s="235">
        <f>C231+D231</f>
        <v>76</v>
      </c>
      <c r="F231" s="235"/>
      <c r="G231" s="235">
        <f>E231+F231</f>
        <v>76</v>
      </c>
      <c r="H231" s="167"/>
      <c r="J231" s="168"/>
      <c r="K231" s="168"/>
    </row>
    <row r="232" spans="1:11">
      <c r="A232" s="163"/>
      <c r="B232" s="202" t="s">
        <v>290</v>
      </c>
      <c r="C232" s="492">
        <f>'[55]Sch D'!N24</f>
        <v>76</v>
      </c>
      <c r="D232" s="526"/>
      <c r="E232" s="235">
        <f>C232+D232</f>
        <v>76</v>
      </c>
      <c r="F232" s="235"/>
      <c r="G232" s="235">
        <f>E232+F232</f>
        <v>76</v>
      </c>
      <c r="H232" s="167"/>
      <c r="J232" s="168"/>
      <c r="K232" s="168"/>
    </row>
    <row r="233" spans="1:11">
      <c r="A233" s="163"/>
      <c r="B233" s="202" t="s">
        <v>76</v>
      </c>
      <c r="C233" s="492">
        <f>$C$4-$C$3+1</f>
        <v>365</v>
      </c>
      <c r="D233" s="489"/>
      <c r="E233" s="235">
        <f>C233+D233</f>
        <v>365</v>
      </c>
      <c r="F233" s="240"/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621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492">
        <f>'[55]Sch D'!N28</f>
        <v>27740</v>
      </c>
      <c r="D235" s="489"/>
      <c r="E235" s="234">
        <f>E231*E233</f>
        <v>27740</v>
      </c>
      <c r="F235" s="240"/>
      <c r="G235" s="234">
        <f>G231*G233</f>
        <v>27740</v>
      </c>
      <c r="H235" s="167"/>
      <c r="J235" s="168"/>
      <c r="K235" s="168"/>
    </row>
    <row r="236" spans="1:11" ht="26">
      <c r="A236" s="163"/>
      <c r="B236" s="244" t="s">
        <v>336</v>
      </c>
      <c r="C236" s="493">
        <f>'[55]Sch D'!N30</f>
        <v>0.66640230713770732</v>
      </c>
      <c r="D236" s="240"/>
      <c r="E236" s="245">
        <f>E228/E235</f>
        <v>0.66640230713770732</v>
      </c>
      <c r="F236" s="246"/>
      <c r="G236" s="245">
        <f>G228/G235</f>
        <v>0.66640230713770732</v>
      </c>
      <c r="H236" s="167"/>
      <c r="J236" s="168"/>
      <c r="K236" s="168"/>
    </row>
    <row r="237" spans="1:11" ht="26">
      <c r="A237" s="163"/>
      <c r="B237" s="244" t="s">
        <v>337</v>
      </c>
      <c r="C237" s="493">
        <f>'[55]Sch D'!N32</f>
        <v>0.32162941600576783</v>
      </c>
      <c r="D237" s="240"/>
      <c r="E237" s="245">
        <f>(E219+E220)/E235</f>
        <v>0.32162941600576783</v>
      </c>
      <c r="F237" s="246"/>
      <c r="G237" s="245">
        <f>(G219+G220)/G235</f>
        <v>0.32162941600576783</v>
      </c>
      <c r="H237" s="167"/>
      <c r="J237" s="168"/>
      <c r="K237" s="168"/>
    </row>
    <row r="238" spans="1:11" ht="26">
      <c r="A238" s="163"/>
      <c r="B238" s="244" t="s">
        <v>338</v>
      </c>
      <c r="C238" s="493">
        <f>'[55]Sch D'!N34</f>
        <v>0.48263550795196358</v>
      </c>
      <c r="D238" s="240"/>
      <c r="E238" s="245">
        <f>(E237/E236)</f>
        <v>0.48263550795196358</v>
      </c>
      <c r="F238" s="246"/>
      <c r="G238" s="245">
        <f>(G237/G236)</f>
        <v>0.48263550795196358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490">
        <f>'[55]Sch B'!C85</f>
        <v>184.47283048211509</v>
      </c>
    </row>
    <row r="242" spans="2:7">
      <c r="F242" s="142" t="s">
        <v>341</v>
      </c>
      <c r="G242" s="490">
        <f>'[55]Sch B'!E85</f>
        <v>-80.255873850197091</v>
      </c>
    </row>
    <row r="243" spans="2:7">
      <c r="B243" s="459" t="s">
        <v>479</v>
      </c>
      <c r="F243" s="142" t="s">
        <v>342</v>
      </c>
      <c r="G243" s="490">
        <f>'[55]Sch B'!G85</f>
        <v>127.01725099601596</v>
      </c>
    </row>
    <row r="244" spans="2:7" ht="16.5">
      <c r="B244" s="556" t="s">
        <v>481</v>
      </c>
      <c r="F244" s="142" t="s">
        <v>343</v>
      </c>
      <c r="G244" s="490">
        <f>'[55]Sch B'!I85</f>
        <v>327.39439412484694</v>
      </c>
    </row>
    <row r="245" spans="2:7" ht="16.5">
      <c r="B245" s="556" t="s">
        <v>482</v>
      </c>
      <c r="F245" s="142"/>
    </row>
    <row r="246" spans="2:7" ht="16.5">
      <c r="B246" s="556" t="s">
        <v>483</v>
      </c>
    </row>
    <row r="247" spans="2:7" ht="16.5">
      <c r="B247" s="556" t="s">
        <v>484</v>
      </c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 topLeftCell="A2">
      <selection activeCell="B14" sqref="B14"/>
      <pageMargins left="0" right="0" top="0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74">
    <tabColor rgb="FFE28CAB"/>
  </sheetPr>
  <dimension ref="A1:Q245"/>
  <sheetViews>
    <sheetView showGridLines="0" zoomScale="90" zoomScaleNormal="90" workbookViewId="0">
      <pane xSplit="2" topLeftCell="C1" activePane="topRight" state="frozen"/>
      <selection activeCell="N1" sqref="N1"/>
      <selection pane="topRight"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478"/>
      <c r="E1" s="478"/>
      <c r="F1" s="478"/>
      <c r="G1" s="478"/>
      <c r="H1" s="478"/>
      <c r="I1" s="479"/>
    </row>
    <row r="2" spans="1:14" ht="23">
      <c r="B2" s="143" t="s">
        <v>189</v>
      </c>
      <c r="C2" s="247" t="s">
        <v>543</v>
      </c>
      <c r="D2" s="247"/>
      <c r="E2" s="144"/>
      <c r="F2" s="591" t="s">
        <v>544</v>
      </c>
    </row>
    <row r="3" spans="1:14">
      <c r="A3" s="145"/>
      <c r="B3" s="140" t="s">
        <v>79</v>
      </c>
      <c r="C3" s="495">
        <v>42005</v>
      </c>
      <c r="D3" s="441" t="s">
        <v>689</v>
      </c>
      <c r="E3" s="147"/>
    </row>
    <row r="4" spans="1:14">
      <c r="A4" s="145"/>
      <c r="B4" s="148" t="s">
        <v>80</v>
      </c>
      <c r="C4" s="495">
        <v>42185</v>
      </c>
      <c r="D4" s="144"/>
      <c r="E4" s="149"/>
      <c r="G4" s="150"/>
    </row>
    <row r="5" spans="1:14">
      <c r="A5" s="145"/>
      <c r="B5" s="148"/>
      <c r="C5" s="151"/>
      <c r="D5" s="144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144"/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490">
        <f>'[56]Sch B'!E10</f>
        <v>989067</v>
      </c>
      <c r="D11" s="490">
        <f>'[56]Sch B'!G10</f>
        <v>0</v>
      </c>
      <c r="E11" s="171">
        <f>C11+D11</f>
        <v>989067</v>
      </c>
      <c r="F11" s="171"/>
      <c r="G11" s="171">
        <f t="shared" ref="G11:G20" si="0">E11+F11</f>
        <v>989067</v>
      </c>
      <c r="H11" s="172">
        <f t="shared" ref="H11:H21" si="1">IF($G$21=0,0,G11/$G$21)</f>
        <v>0.96685164964608195</v>
      </c>
      <c r="I11" s="337"/>
      <c r="J11" s="368" t="s">
        <v>344</v>
      </c>
      <c r="K11" s="369">
        <f>G21</f>
        <v>1022977</v>
      </c>
      <c r="M11" s="359">
        <f>IFERROR(G11/G219,0)</f>
        <v>170.73485240807872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490">
        <f>'[56]Sch B'!E15</f>
        <v>0</v>
      </c>
      <c r="D12" s="490">
        <f>'[56]Sch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7"/>
      <c r="J12" s="370" t="s">
        <v>345</v>
      </c>
      <c r="K12" s="371">
        <f>G208</f>
        <v>876484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490">
        <f>'[56]Sch B'!E21</f>
        <v>0</v>
      </c>
      <c r="D13" s="490">
        <f>'[56]Sch B'!G21</f>
        <v>0</v>
      </c>
      <c r="E13" s="171">
        <f t="shared" si="2"/>
        <v>0</v>
      </c>
      <c r="F13" s="171"/>
      <c r="G13" s="171">
        <f t="shared" si="0"/>
        <v>0</v>
      </c>
      <c r="H13" s="172">
        <f t="shared" si="1"/>
        <v>0</v>
      </c>
      <c r="I13" s="337"/>
      <c r="J13" s="370" t="s">
        <v>346</v>
      </c>
      <c r="K13" s="371">
        <f>G228</f>
        <v>5978</v>
      </c>
      <c r="M13" s="359">
        <f t="shared" si="3"/>
        <v>0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490">
        <f>'[56]Sch B'!E27</f>
        <v>0</v>
      </c>
      <c r="D14" s="490">
        <f>'[56]Sch B'!G27</f>
        <v>0</v>
      </c>
      <c r="E14" s="171">
        <f t="shared" si="2"/>
        <v>0</v>
      </c>
      <c r="F14" s="175"/>
      <c r="G14" s="175">
        <f>E14+F14</f>
        <v>0</v>
      </c>
      <c r="H14" s="176">
        <f t="shared" si="1"/>
        <v>0</v>
      </c>
      <c r="I14" s="338"/>
      <c r="J14" s="370" t="s">
        <v>347</v>
      </c>
      <c r="K14" s="371">
        <f>G231</f>
        <v>36</v>
      </c>
      <c r="M14" s="359">
        <f t="shared" si="3"/>
        <v>0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490">
        <f>'[56]Sch B'!E32</f>
        <v>0</v>
      </c>
      <c r="D15" s="490">
        <f>'[56]Sch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7"/>
      <c r="J15" s="370" t="s">
        <v>348</v>
      </c>
      <c r="K15" s="371">
        <f>G235</f>
        <v>6516</v>
      </c>
      <c r="M15" s="359">
        <f t="shared" si="3"/>
        <v>0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490">
        <f>'[56]Sch B'!E37</f>
        <v>33910</v>
      </c>
      <c r="D16" s="490">
        <f>'[56]Sch B'!G37</f>
        <v>0</v>
      </c>
      <c r="E16" s="171">
        <f t="shared" si="2"/>
        <v>33910</v>
      </c>
      <c r="F16" s="171"/>
      <c r="G16" s="171">
        <f t="shared" si="0"/>
        <v>33910</v>
      </c>
      <c r="H16" s="172">
        <f t="shared" si="1"/>
        <v>3.3148350353918027E-2</v>
      </c>
      <c r="I16" s="337"/>
      <c r="J16" s="372"/>
      <c r="K16" s="371"/>
      <c r="M16" s="359">
        <f t="shared" si="3"/>
        <v>183.29729729729729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490">
        <f>'[56]Sch B'!E42</f>
        <v>0</v>
      </c>
      <c r="D17" s="490">
        <f>'[56]Sch B'!G42</f>
        <v>0</v>
      </c>
      <c r="E17" s="171">
        <f t="shared" si="2"/>
        <v>0</v>
      </c>
      <c r="F17" s="171"/>
      <c r="G17" s="171">
        <f>E17+F17</f>
        <v>0</v>
      </c>
      <c r="H17" s="172">
        <f t="shared" si="1"/>
        <v>0</v>
      </c>
      <c r="I17" s="337"/>
      <c r="J17" s="370" t="s">
        <v>156</v>
      </c>
      <c r="K17" s="371">
        <f>J208</f>
        <v>26868.080000000002</v>
      </c>
      <c r="M17" s="359">
        <f t="shared" si="3"/>
        <v>0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490">
        <f>'[56]Sch B'!E47</f>
        <v>0</v>
      </c>
      <c r="D18" s="490">
        <f>'[56]Sch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337"/>
      <c r="J18" s="373" t="s">
        <v>252</v>
      </c>
      <c r="K18" s="374">
        <f>K208</f>
        <v>26868.080000000002</v>
      </c>
      <c r="M18" s="359">
        <f t="shared" si="3"/>
        <v>0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490">
        <f>'[56]Sch B'!E52</f>
        <v>0</v>
      </c>
      <c r="D19" s="490">
        <f>'[56]Sch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337"/>
      <c r="J19" s="168"/>
      <c r="K19" s="168"/>
      <c r="M19" s="359">
        <f t="shared" si="3"/>
        <v>0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490">
        <f>'[56]Sch B'!E67</f>
        <v>20842</v>
      </c>
      <c r="D20" s="490">
        <f>'[56]Sch B'!G67</f>
        <v>-20842</v>
      </c>
      <c r="E20" s="171">
        <f t="shared" si="2"/>
        <v>0</v>
      </c>
      <c r="F20" s="171"/>
      <c r="G20" s="171">
        <f t="shared" si="0"/>
        <v>0</v>
      </c>
      <c r="H20" s="172">
        <f t="shared" si="1"/>
        <v>0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490">
        <f>SUM(C11:C20)</f>
        <v>1043819</v>
      </c>
      <c r="D21" s="490">
        <f>SUM(D11:D20)</f>
        <v>-20842</v>
      </c>
      <c r="E21" s="171">
        <f>SUM(E11:E20)</f>
        <v>1022977</v>
      </c>
      <c r="F21" s="171">
        <f>SUM(F11:F20)</f>
        <v>0</v>
      </c>
      <c r="G21" s="171">
        <f>SUM(G11:G20)</f>
        <v>1022977</v>
      </c>
      <c r="H21" s="172">
        <f t="shared" si="1"/>
        <v>1</v>
      </c>
      <c r="I21" s="337"/>
      <c r="J21" s="168"/>
      <c r="K21" s="168"/>
      <c r="M21" s="359">
        <f>IFERROR(G21/G228,0)</f>
        <v>171.12361993977919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4">
      <c r="A24" s="181" t="s">
        <v>161</v>
      </c>
      <c r="B24" s="148" t="s">
        <v>12</v>
      </c>
      <c r="M24" s="363"/>
      <c r="N24" s="363"/>
    </row>
    <row r="25" spans="1:14" s="167" customFormat="1">
      <c r="A25" s="169" t="s">
        <v>83</v>
      </c>
      <c r="B25" s="170" t="s">
        <v>14</v>
      </c>
      <c r="C25" s="490">
        <f>'[56]Sch C'!D10</f>
        <v>44822</v>
      </c>
      <c r="D25" s="490">
        <f>'[56]Sch C'!F10</f>
        <v>0</v>
      </c>
      <c r="E25" s="171">
        <f t="shared" ref="E25:E60" si="4">C25+D25</f>
        <v>44822</v>
      </c>
      <c r="F25" s="171"/>
      <c r="G25" s="182">
        <f>E25+F25</f>
        <v>44822</v>
      </c>
      <c r="H25" s="172">
        <f>IF($G$208=0,0,G25/$G$208)</f>
        <v>5.1138412110203951E-2</v>
      </c>
      <c r="I25" s="337"/>
      <c r="J25" s="183">
        <v>1042.8</v>
      </c>
      <c r="K25" s="183">
        <v>1042.8</v>
      </c>
      <c r="M25" s="359">
        <f>G25/G$228</f>
        <v>7.4978253596520572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490">
        <f>'[56]Sch C'!D11</f>
        <v>0</v>
      </c>
      <c r="D26" s="490">
        <f>'[56]Sch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490">
        <f>'[56]Sch C'!D12</f>
        <v>26289</v>
      </c>
      <c r="D27" s="490">
        <f>'[56]Sch C'!F12</f>
        <v>0</v>
      </c>
      <c r="E27" s="171">
        <f t="shared" si="4"/>
        <v>26289</v>
      </c>
      <c r="F27" s="171"/>
      <c r="G27" s="171">
        <f t="shared" si="5"/>
        <v>26289</v>
      </c>
      <c r="H27" s="172">
        <f t="shared" si="6"/>
        <v>2.999370210979322E-2</v>
      </c>
      <c r="I27" s="337"/>
      <c r="J27" s="185">
        <v>2192.04</v>
      </c>
      <c r="K27" s="185">
        <v>2192.04</v>
      </c>
      <c r="M27" s="359">
        <f t="shared" si="7"/>
        <v>4.3976246236199401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490">
        <f>'[56]Sch C'!D13</f>
        <v>4012</v>
      </c>
      <c r="D28" s="490">
        <f>'[56]Sch C'!F13</f>
        <v>0</v>
      </c>
      <c r="E28" s="171">
        <f t="shared" si="4"/>
        <v>4012</v>
      </c>
      <c r="F28" s="171"/>
      <c r="G28" s="171">
        <f t="shared" si="5"/>
        <v>4012</v>
      </c>
      <c r="H28" s="172">
        <f t="shared" si="6"/>
        <v>4.577379621305124E-3</v>
      </c>
      <c r="I28" s="337"/>
      <c r="J28" s="168"/>
      <c r="K28" s="168"/>
      <c r="M28" s="359">
        <f t="shared" si="7"/>
        <v>0.67112746738039475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490">
        <f>'[56]Sch C'!D14</f>
        <v>0</v>
      </c>
      <c r="D29" s="490">
        <f>'[56]Sch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490">
        <f>'[56]Sch C'!D15</f>
        <v>0</v>
      </c>
      <c r="D30" s="490">
        <f>'[56]Sch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7"/>
      <c r="J30" s="168"/>
      <c r="K30" s="168"/>
      <c r="M30" s="359">
        <f t="shared" si="7"/>
        <v>0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490">
        <f>'[56]Sch C'!D16</f>
        <v>0</v>
      </c>
      <c r="D31" s="490">
        <f>'[56]Sch C'!F16</f>
        <v>0</v>
      </c>
      <c r="E31" s="171">
        <f t="shared" si="4"/>
        <v>0</v>
      </c>
      <c r="F31" s="171"/>
      <c r="G31" s="171">
        <f t="shared" si="5"/>
        <v>0</v>
      </c>
      <c r="H31" s="172">
        <f t="shared" si="6"/>
        <v>0</v>
      </c>
      <c r="I31" s="337"/>
      <c r="J31" s="168"/>
      <c r="K31" s="168"/>
      <c r="M31" s="359">
        <f t="shared" si="7"/>
        <v>0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490">
        <f>'[56]Sch C'!D17</f>
        <v>818</v>
      </c>
      <c r="D32" s="490">
        <f>'[56]Sch C'!F17</f>
        <v>-818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7"/>
      <c r="J32" s="168"/>
      <c r="K32" s="168"/>
      <c r="M32" s="359">
        <f t="shared" si="7"/>
        <v>0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490">
        <f>'[56]Sch C'!D18</f>
        <v>2118</v>
      </c>
      <c r="D33" s="490">
        <f>'[56]Sch C'!F18</f>
        <v>0</v>
      </c>
      <c r="E33" s="171">
        <f t="shared" si="4"/>
        <v>2118</v>
      </c>
      <c r="F33" s="171"/>
      <c r="G33" s="171">
        <f t="shared" si="5"/>
        <v>2118</v>
      </c>
      <c r="H33" s="172">
        <f t="shared" si="6"/>
        <v>2.4164730902104317E-3</v>
      </c>
      <c r="I33" s="337"/>
      <c r="J33" s="168"/>
      <c r="K33" s="168"/>
      <c r="M33" s="359">
        <f t="shared" si="7"/>
        <v>0.35429909668785547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490">
        <f>'[56]Sch C'!D19</f>
        <v>13524</v>
      </c>
      <c r="D34" s="490">
        <f>'[56]Sch C'!F19</f>
        <v>0</v>
      </c>
      <c r="E34" s="171">
        <f t="shared" si="4"/>
        <v>13524</v>
      </c>
      <c r="F34" s="171"/>
      <c r="G34" s="171">
        <f t="shared" si="5"/>
        <v>13524</v>
      </c>
      <c r="H34" s="172">
        <f t="shared" si="6"/>
        <v>1.5429831006612785E-2</v>
      </c>
      <c r="I34" s="337"/>
      <c r="J34" s="168"/>
      <c r="K34" s="168"/>
      <c r="M34" s="359">
        <f t="shared" si="7"/>
        <v>2.262295081967213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490">
        <f>'[56]Sch C'!D20</f>
        <v>5856</v>
      </c>
      <c r="D35" s="490">
        <f>'[56]Sch C'!F20</f>
        <v>0</v>
      </c>
      <c r="E35" s="171">
        <f t="shared" si="4"/>
        <v>5856</v>
      </c>
      <c r="F35" s="171"/>
      <c r="G35" s="171">
        <f t="shared" si="5"/>
        <v>5856</v>
      </c>
      <c r="H35" s="172">
        <f t="shared" si="6"/>
        <v>6.681240045454338E-3</v>
      </c>
      <c r="I35" s="337"/>
      <c r="J35" s="168"/>
      <c r="K35" s="168"/>
      <c r="M35" s="359">
        <f t="shared" si="7"/>
        <v>0.97959183673469385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490">
        <f>'[56]Sch C'!D21</f>
        <v>5085</v>
      </c>
      <c r="D36" s="490">
        <f>'[56]Sch C'!F21</f>
        <v>0</v>
      </c>
      <c r="E36" s="171">
        <f t="shared" si="4"/>
        <v>5085</v>
      </c>
      <c r="F36" s="171"/>
      <c r="G36" s="171">
        <f t="shared" si="5"/>
        <v>5085</v>
      </c>
      <c r="H36" s="172">
        <f t="shared" si="6"/>
        <v>5.8015890763550735E-3</v>
      </c>
      <c r="I36" s="337"/>
      <c r="J36" s="168"/>
      <c r="K36" s="168"/>
      <c r="M36" s="359">
        <f t="shared" si="7"/>
        <v>0.85061893609902972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490">
        <f>'[56]Sch C'!D22</f>
        <v>0</v>
      </c>
      <c r="D37" s="490">
        <f>'[56]Sch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490">
        <f>'[56]Sch C'!D23</f>
        <v>2106</v>
      </c>
      <c r="D38" s="490">
        <f>'[56]Sch C'!F23</f>
        <v>0</v>
      </c>
      <c r="E38" s="171">
        <f t="shared" si="4"/>
        <v>2106</v>
      </c>
      <c r="F38" s="171"/>
      <c r="G38" s="171">
        <f t="shared" si="5"/>
        <v>2106</v>
      </c>
      <c r="H38" s="172">
        <f t="shared" si="6"/>
        <v>2.402782024543517E-3</v>
      </c>
      <c r="I38" s="337"/>
      <c r="J38" s="168"/>
      <c r="K38" s="168"/>
      <c r="M38" s="359">
        <f t="shared" si="7"/>
        <v>0.35229173636667782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490">
        <f>'[56]Sch C'!D24</f>
        <v>0</v>
      </c>
      <c r="D39" s="490">
        <f>'[56]Sch C'!F24</f>
        <v>0</v>
      </c>
      <c r="E39" s="171">
        <f t="shared" si="4"/>
        <v>0</v>
      </c>
      <c r="F39" s="171"/>
      <c r="G39" s="171">
        <f t="shared" si="5"/>
        <v>0</v>
      </c>
      <c r="H39" s="172">
        <f t="shared" si="6"/>
        <v>0</v>
      </c>
      <c r="I39" s="337"/>
      <c r="J39" s="168"/>
      <c r="K39" s="168"/>
      <c r="M39" s="359">
        <f t="shared" si="7"/>
        <v>0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490">
        <f>'[56]Sch C'!D25</f>
        <v>0</v>
      </c>
      <c r="D40" s="490">
        <f>'[56]Sch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337"/>
      <c r="J40" s="168"/>
      <c r="K40" s="168"/>
      <c r="M40" s="359">
        <f t="shared" si="7"/>
        <v>0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490">
        <f>'[56]Sch C'!D26</f>
        <v>92675</v>
      </c>
      <c r="D41" s="490">
        <f>'[56]Sch C'!F26</f>
        <v>0</v>
      </c>
      <c r="E41" s="171">
        <f t="shared" si="4"/>
        <v>92675</v>
      </c>
      <c r="F41" s="171"/>
      <c r="G41" s="171">
        <f t="shared" si="5"/>
        <v>92675</v>
      </c>
      <c r="H41" s="172">
        <f t="shared" si="6"/>
        <v>0.10573495922344275</v>
      </c>
      <c r="I41" s="337"/>
      <c r="J41" s="168"/>
      <c r="K41" s="168"/>
      <c r="M41" s="359">
        <f t="shared" si="7"/>
        <v>15.502676480428237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490">
        <f>'[56]Sch C'!D27</f>
        <v>0</v>
      </c>
      <c r="D42" s="490">
        <f>'[56]Sch C'!F27</f>
        <v>0</v>
      </c>
      <c r="E42" s="171">
        <f t="shared" si="4"/>
        <v>0</v>
      </c>
      <c r="F42" s="171"/>
      <c r="G42" s="171">
        <f t="shared" si="5"/>
        <v>0</v>
      </c>
      <c r="H42" s="172">
        <f t="shared" si="6"/>
        <v>0</v>
      </c>
      <c r="I42" s="337"/>
      <c r="J42" s="168"/>
      <c r="K42" s="168"/>
      <c r="M42" s="359">
        <f t="shared" si="7"/>
        <v>0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490">
        <f>'[56]Sch C'!D28</f>
        <v>0</v>
      </c>
      <c r="D43" s="490">
        <f>'[56]Sch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490">
        <f>'[56]Sch C'!D29</f>
        <v>0</v>
      </c>
      <c r="D44" s="490">
        <f>'[56]Sch C'!F29</f>
        <v>0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490">
        <f>'[56]Sch C'!D30</f>
        <v>0</v>
      </c>
      <c r="D45" s="490">
        <f>'[56]Sch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490">
        <f>'[56]Sch C'!D31</f>
        <v>9371</v>
      </c>
      <c r="D46" s="490">
        <f>'[56]Sch C'!F31</f>
        <v>0</v>
      </c>
      <c r="E46" s="171">
        <f t="shared" si="4"/>
        <v>9371</v>
      </c>
      <c r="F46" s="171"/>
      <c r="G46" s="171">
        <f t="shared" si="5"/>
        <v>9371</v>
      </c>
      <c r="H46" s="172">
        <f t="shared" si="6"/>
        <v>1.0691581363721414E-2</v>
      </c>
      <c r="I46" s="337"/>
      <c r="J46" s="168"/>
      <c r="K46" s="168"/>
      <c r="M46" s="359">
        <f t="shared" si="7"/>
        <v>1.567581130812981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490">
        <f>'[56]Sch C'!D32</f>
        <v>13779</v>
      </c>
      <c r="D47" s="490">
        <f>'[56]Sch C'!F32</f>
        <v>0</v>
      </c>
      <c r="E47" s="171">
        <f t="shared" si="4"/>
        <v>13779</v>
      </c>
      <c r="F47" s="171"/>
      <c r="G47" s="171">
        <f t="shared" si="5"/>
        <v>13779</v>
      </c>
      <c r="H47" s="172">
        <f t="shared" si="6"/>
        <v>1.5720766152034722E-2</v>
      </c>
      <c r="I47" s="337"/>
      <c r="J47" s="168"/>
      <c r="K47" s="168"/>
      <c r="M47" s="359">
        <f t="shared" si="7"/>
        <v>2.3049514887922382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490">
        <f>'[56]Sch C'!D33</f>
        <v>0</v>
      </c>
      <c r="D48" s="490">
        <f>'[56]Sch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490">
        <f>'[56]Sch C'!D34</f>
        <v>0</v>
      </c>
      <c r="D49" s="490">
        <f>'[56]Sch C'!F34</f>
        <v>0</v>
      </c>
      <c r="E49" s="171">
        <f t="shared" si="4"/>
        <v>0</v>
      </c>
      <c r="F49" s="171"/>
      <c r="G49" s="171">
        <f t="shared" si="5"/>
        <v>0</v>
      </c>
      <c r="H49" s="172">
        <f t="shared" si="6"/>
        <v>0</v>
      </c>
      <c r="I49" s="337"/>
      <c r="J49" s="168"/>
      <c r="K49" s="168"/>
      <c r="M49" s="359">
        <f t="shared" si="7"/>
        <v>0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490">
        <f>'[56]Sch C'!D35</f>
        <v>0</v>
      </c>
      <c r="D50" s="490">
        <f>'[56]Sch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490">
        <f>'[56]Sch C'!D36</f>
        <v>0</v>
      </c>
      <c r="D51" s="490">
        <f>'[56]Sch C'!F36</f>
        <v>0</v>
      </c>
      <c r="E51" s="171">
        <f t="shared" si="4"/>
        <v>0</v>
      </c>
      <c r="F51" s="171"/>
      <c r="G51" s="171">
        <f t="shared" si="5"/>
        <v>0</v>
      </c>
      <c r="H51" s="172">
        <f t="shared" si="6"/>
        <v>0</v>
      </c>
      <c r="I51" s="337"/>
      <c r="J51" s="183">
        <v>0</v>
      </c>
      <c r="K51" s="183">
        <v>0</v>
      </c>
      <c r="M51" s="359">
        <f t="shared" si="7"/>
        <v>0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490">
        <f>'[56]Sch C'!D37</f>
        <v>0</v>
      </c>
      <c r="D52" s="490">
        <f>'[56]Sch C'!F37</f>
        <v>0</v>
      </c>
      <c r="E52" s="171">
        <f t="shared" si="4"/>
        <v>0</v>
      </c>
      <c r="F52" s="171"/>
      <c r="G52" s="171">
        <f t="shared" si="5"/>
        <v>0</v>
      </c>
      <c r="H52" s="172">
        <f t="shared" si="6"/>
        <v>0</v>
      </c>
      <c r="I52" s="337"/>
      <c r="J52" s="168"/>
      <c r="K52" s="168"/>
      <c r="M52" s="359">
        <f t="shared" si="7"/>
        <v>0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490">
        <f>'[56]Sch C'!D38</f>
        <v>0</v>
      </c>
      <c r="D53" s="490">
        <f>'[56]Sch C'!F38</f>
        <v>0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7"/>
      <c r="J53" s="168"/>
      <c r="K53" s="168"/>
      <c r="M53" s="359">
        <f t="shared" si="7"/>
        <v>0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490">
        <f>'[56]Sch C'!D39</f>
        <v>415</v>
      </c>
      <c r="D54" s="490">
        <f>'[56]Sch C'!F39</f>
        <v>0</v>
      </c>
      <c r="E54" s="171">
        <f t="shared" si="4"/>
        <v>415</v>
      </c>
      <c r="F54" s="171"/>
      <c r="G54" s="171">
        <f t="shared" si="5"/>
        <v>415</v>
      </c>
      <c r="H54" s="172">
        <f t="shared" si="6"/>
        <v>4.734826876474642E-4</v>
      </c>
      <c r="I54" s="337"/>
      <c r="J54" s="168"/>
      <c r="K54" s="168"/>
      <c r="M54" s="359">
        <f t="shared" si="7"/>
        <v>6.9421211107393771E-2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490">
        <f>'[56]Sch C'!D40</f>
        <v>0</v>
      </c>
      <c r="D55" s="490">
        <f>'[56]Sch C'!F40</f>
        <v>0</v>
      </c>
      <c r="E55" s="171">
        <f t="shared" si="4"/>
        <v>0</v>
      </c>
      <c r="F55" s="171"/>
      <c r="G55" s="171">
        <f t="shared" si="5"/>
        <v>0</v>
      </c>
      <c r="H55" s="172">
        <f t="shared" si="6"/>
        <v>0</v>
      </c>
      <c r="I55" s="337"/>
      <c r="J55" s="168"/>
      <c r="K55" s="168"/>
      <c r="M55" s="359">
        <f t="shared" si="7"/>
        <v>0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490">
        <f>'[56]Sch C'!D41</f>
        <v>24857</v>
      </c>
      <c r="D56" s="490">
        <f>'[56]Sch C'!F41</f>
        <v>0</v>
      </c>
      <c r="E56" s="171">
        <f t="shared" si="4"/>
        <v>24857</v>
      </c>
      <c r="F56" s="171"/>
      <c r="G56" s="171">
        <f t="shared" si="5"/>
        <v>24857</v>
      </c>
      <c r="H56" s="172">
        <f t="shared" si="6"/>
        <v>2.8359901606874741E-2</v>
      </c>
      <c r="I56" s="337"/>
      <c r="J56" s="168"/>
      <c r="K56" s="168"/>
      <c r="M56" s="359">
        <f t="shared" si="7"/>
        <v>4.1580796252927401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490">
        <f>'[56]Sch C'!D42</f>
        <v>375</v>
      </c>
      <c r="D57" s="490">
        <f>'[56]Sch C'!F42</f>
        <v>0</v>
      </c>
      <c r="E57" s="171">
        <f t="shared" si="4"/>
        <v>375</v>
      </c>
      <c r="F57" s="171"/>
      <c r="G57" s="171">
        <f t="shared" si="5"/>
        <v>375</v>
      </c>
      <c r="H57" s="172">
        <f t="shared" si="6"/>
        <v>4.2784580209108208E-4</v>
      </c>
      <c r="I57" s="337"/>
      <c r="J57" s="168"/>
      <c r="K57" s="168"/>
      <c r="M57" s="359">
        <f t="shared" si="7"/>
        <v>6.2730010036801606E-2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490">
        <f>'[56]Sch C'!D43</f>
        <v>944</v>
      </c>
      <c r="D58" s="490">
        <f>'[56]Sch C'!F43</f>
        <v>-944</v>
      </c>
      <c r="E58" s="171">
        <f t="shared" si="4"/>
        <v>0</v>
      </c>
      <c r="F58" s="171"/>
      <c r="G58" s="171">
        <f t="shared" si="5"/>
        <v>0</v>
      </c>
      <c r="H58" s="172">
        <f t="shared" si="6"/>
        <v>0</v>
      </c>
      <c r="I58" s="337"/>
      <c r="J58" s="168"/>
      <c r="K58" s="168"/>
      <c r="M58" s="359">
        <f t="shared" si="7"/>
        <v>0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490">
        <f>'[56]Sch C'!D44</f>
        <v>0</v>
      </c>
      <c r="D59" s="490">
        <f>'[56]Sch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7"/>
      <c r="J59" s="168"/>
      <c r="K59" s="168"/>
      <c r="M59" s="359">
        <f t="shared" si="7"/>
        <v>0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490">
        <f>'[56]Sch C'!D45</f>
        <v>3150</v>
      </c>
      <c r="D60" s="490">
        <f>'[56]Sch C'!F45</f>
        <v>0</v>
      </c>
      <c r="E60" s="171">
        <f t="shared" si="4"/>
        <v>3150</v>
      </c>
      <c r="F60" s="171"/>
      <c r="G60" s="171">
        <f t="shared" si="5"/>
        <v>3150</v>
      </c>
      <c r="H60" s="172">
        <f t="shared" si="6"/>
        <v>3.5939047375650895E-3</v>
      </c>
      <c r="I60" s="337"/>
      <c r="J60" s="168"/>
      <c r="K60" s="168"/>
      <c r="M60" s="359">
        <f t="shared" si="7"/>
        <v>0.52693208430913352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490">
        <f>SUM(C25:C60)</f>
        <v>250196</v>
      </c>
      <c r="D61" s="490">
        <f>SUM(D25:D60)</f>
        <v>-1762</v>
      </c>
      <c r="E61" s="171">
        <f t="shared" ref="E61:F61" si="8">SUM(E25:E60)</f>
        <v>248434</v>
      </c>
      <c r="F61" s="171">
        <f t="shared" si="8"/>
        <v>0</v>
      </c>
      <c r="G61" s="171">
        <f>SUM(G25:G60)</f>
        <v>248434</v>
      </c>
      <c r="H61" s="186">
        <f t="shared" si="6"/>
        <v>0.28344385065785571</v>
      </c>
      <c r="I61" s="339"/>
      <c r="J61" s="168"/>
      <c r="K61" s="168"/>
      <c r="M61" s="364">
        <f>G61/G$228</f>
        <v>41.558046169287387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I62" s="340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490">
        <f>'[56]Sch C'!D57</f>
        <v>35226</v>
      </c>
      <c r="D64" s="490">
        <f>'[56]Sch C'!F57</f>
        <v>0</v>
      </c>
      <c r="E64" s="171">
        <f t="shared" ref="E64:E78" si="9">C64+D64</f>
        <v>35226</v>
      </c>
      <c r="F64" s="171"/>
      <c r="G64" s="171">
        <f t="shared" ref="G64:G78" si="10">E64+F64</f>
        <v>35226</v>
      </c>
      <c r="H64" s="172">
        <f t="shared" ref="H64:H79" si="11">IF($G$208=0,0,G64/$G$208)</f>
        <v>4.0190123265227889E-2</v>
      </c>
      <c r="I64" s="337"/>
      <c r="J64" s="190"/>
      <c r="K64" s="168"/>
      <c r="M64" s="359">
        <f t="shared" ref="M64:M79" si="12">G64/G$228</f>
        <v>5.8926062228169958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490">
        <f>'[56]Sch C'!D58</f>
        <v>0</v>
      </c>
      <c r="D65" s="490">
        <f>'[56]Sch C'!F58</f>
        <v>0</v>
      </c>
      <c r="E65" s="171">
        <f t="shared" si="9"/>
        <v>0</v>
      </c>
      <c r="F65" s="171"/>
      <c r="G65" s="171">
        <f t="shared" si="10"/>
        <v>0</v>
      </c>
      <c r="H65" s="172">
        <f t="shared" si="11"/>
        <v>0</v>
      </c>
      <c r="I65" s="337"/>
      <c r="J65" s="190"/>
      <c r="K65" s="168"/>
      <c r="M65" s="359">
        <f t="shared" si="12"/>
        <v>0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490">
        <f>'[56]Sch C'!D59</f>
        <v>0</v>
      </c>
      <c r="D66" s="490">
        <f>'[56]Sch C'!F59</f>
        <v>0</v>
      </c>
      <c r="E66" s="171">
        <f t="shared" si="9"/>
        <v>0</v>
      </c>
      <c r="F66" s="171"/>
      <c r="G66" s="171">
        <f t="shared" si="10"/>
        <v>0</v>
      </c>
      <c r="H66" s="172">
        <f t="shared" si="11"/>
        <v>0</v>
      </c>
      <c r="I66" s="337"/>
      <c r="J66" s="190"/>
      <c r="K66" s="168"/>
      <c r="M66" s="359">
        <f t="shared" si="12"/>
        <v>0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490">
        <f>'[56]Sch C'!D60</f>
        <v>0</v>
      </c>
      <c r="D67" s="490">
        <f>'[56]Sch C'!F60</f>
        <v>0</v>
      </c>
      <c r="E67" s="171">
        <f t="shared" si="9"/>
        <v>0</v>
      </c>
      <c r="F67" s="171"/>
      <c r="G67" s="171">
        <f t="shared" si="10"/>
        <v>0</v>
      </c>
      <c r="H67" s="172">
        <f t="shared" si="11"/>
        <v>0</v>
      </c>
      <c r="I67" s="337"/>
      <c r="J67" s="193"/>
      <c r="K67" s="168"/>
      <c r="M67" s="359">
        <f t="shared" si="12"/>
        <v>0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490">
        <f>'[56]Sch C'!D61</f>
        <v>0</v>
      </c>
      <c r="D68" s="490">
        <f>'[56]Sch C'!F61</f>
        <v>0</v>
      </c>
      <c r="E68" s="171">
        <f t="shared" si="9"/>
        <v>0</v>
      </c>
      <c r="F68" s="171"/>
      <c r="G68" s="171">
        <f t="shared" si="10"/>
        <v>0</v>
      </c>
      <c r="H68" s="172">
        <f t="shared" si="11"/>
        <v>0</v>
      </c>
      <c r="I68" s="337"/>
      <c r="J68" s="193"/>
      <c r="K68" s="168"/>
      <c r="M68" s="359">
        <f t="shared" si="12"/>
        <v>0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490">
        <f>'[56]Sch C'!D62</f>
        <v>0</v>
      </c>
      <c r="D69" s="490">
        <f>'[56]Sch C'!F62</f>
        <v>0</v>
      </c>
      <c r="E69" s="171">
        <f t="shared" si="9"/>
        <v>0</v>
      </c>
      <c r="F69" s="171"/>
      <c r="G69" s="171">
        <f t="shared" si="10"/>
        <v>0</v>
      </c>
      <c r="H69" s="172">
        <f t="shared" si="11"/>
        <v>0</v>
      </c>
      <c r="I69" s="337"/>
      <c r="J69" s="195"/>
      <c r="K69" s="168"/>
      <c r="M69" s="359">
        <f t="shared" si="12"/>
        <v>0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490">
        <f>'[56]Sch C'!D63</f>
        <v>0</v>
      </c>
      <c r="D70" s="490">
        <f>'[56]Sch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7"/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490">
        <f>'[56]Sch C'!D64</f>
        <v>0</v>
      </c>
      <c r="D71" s="490">
        <f>'[56]Sch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490">
        <f>'[56]Sch C'!D65</f>
        <v>0</v>
      </c>
      <c r="D72" s="490">
        <f>'[56]Sch C'!F65</f>
        <v>0</v>
      </c>
      <c r="E72" s="171">
        <f t="shared" si="9"/>
        <v>0</v>
      </c>
      <c r="F72" s="171"/>
      <c r="G72" s="171">
        <f t="shared" si="10"/>
        <v>0</v>
      </c>
      <c r="H72" s="172">
        <f t="shared" si="11"/>
        <v>0</v>
      </c>
      <c r="I72" s="337"/>
      <c r="J72" s="195"/>
      <c r="K72" s="168"/>
      <c r="M72" s="359">
        <f t="shared" si="12"/>
        <v>0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490">
        <f>'[56]Sch C'!D66</f>
        <v>0</v>
      </c>
      <c r="D73" s="490">
        <f>'[56]Sch C'!F66</f>
        <v>0</v>
      </c>
      <c r="E73" s="171">
        <f t="shared" si="9"/>
        <v>0</v>
      </c>
      <c r="F73" s="171"/>
      <c r="G73" s="171">
        <f t="shared" si="10"/>
        <v>0</v>
      </c>
      <c r="H73" s="172">
        <f t="shared" si="11"/>
        <v>0</v>
      </c>
      <c r="I73" s="337"/>
      <c r="J73" s="195"/>
      <c r="K73" s="168"/>
      <c r="M73" s="359">
        <f t="shared" si="12"/>
        <v>0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490">
        <f>'[56]Sch C'!D67</f>
        <v>0</v>
      </c>
      <c r="D74" s="490">
        <f>'[56]Sch C'!F67</f>
        <v>0</v>
      </c>
      <c r="E74" s="171">
        <f t="shared" si="9"/>
        <v>0</v>
      </c>
      <c r="F74" s="171"/>
      <c r="G74" s="171">
        <f t="shared" si="10"/>
        <v>0</v>
      </c>
      <c r="H74" s="172">
        <f t="shared" si="11"/>
        <v>0</v>
      </c>
      <c r="I74" s="337"/>
      <c r="J74" s="195"/>
      <c r="K74" s="168"/>
      <c r="M74" s="359">
        <f t="shared" si="12"/>
        <v>0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490">
        <f>'[56]Sch C'!D68</f>
        <v>0</v>
      </c>
      <c r="D75" s="490">
        <f>'[56]Sch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490">
        <f>'[56]Sch C'!D69</f>
        <v>0</v>
      </c>
      <c r="D76" s="490">
        <f>'[56]Sch C'!F69</f>
        <v>0</v>
      </c>
      <c r="E76" s="171">
        <f t="shared" si="9"/>
        <v>0</v>
      </c>
      <c r="F76" s="171"/>
      <c r="G76" s="171">
        <f t="shared" si="10"/>
        <v>0</v>
      </c>
      <c r="H76" s="172">
        <f t="shared" si="11"/>
        <v>0</v>
      </c>
      <c r="I76" s="337"/>
      <c r="J76" s="195"/>
      <c r="K76" s="168"/>
      <c r="M76" s="359">
        <f t="shared" si="12"/>
        <v>0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490">
        <f>'[56]Sch C'!D70</f>
        <v>0</v>
      </c>
      <c r="D77" s="490">
        <f>'[56]Sch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7"/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490">
        <f>'[56]Sch C'!D71</f>
        <v>0</v>
      </c>
      <c r="D78" s="490">
        <f>'[56]Sch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7"/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490">
        <f>SUM(C64:C78)</f>
        <v>35226</v>
      </c>
      <c r="D79" s="490">
        <f>SUM(D64:D78)</f>
        <v>0</v>
      </c>
      <c r="E79" s="171">
        <f t="shared" ref="E79:F79" si="13">SUM(E64:E78)</f>
        <v>35226</v>
      </c>
      <c r="F79" s="171">
        <f t="shared" si="13"/>
        <v>0</v>
      </c>
      <c r="G79" s="171">
        <f>SUM(G64:G78)</f>
        <v>35226</v>
      </c>
      <c r="H79" s="172">
        <f t="shared" si="11"/>
        <v>4.0190123265227889E-2</v>
      </c>
      <c r="I79" s="337"/>
      <c r="J79" s="195"/>
      <c r="K79" s="168"/>
      <c r="M79" s="359">
        <f t="shared" si="12"/>
        <v>5.8926062228169958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490">
        <f>'[56]Sch C'!D75</f>
        <v>9416</v>
      </c>
      <c r="D82" s="490">
        <f>'[56]Sch C'!F75</f>
        <v>0</v>
      </c>
      <c r="E82" s="171">
        <f t="shared" ref="E82:E92" si="14">C82+D82</f>
        <v>9416</v>
      </c>
      <c r="F82" s="171"/>
      <c r="G82" s="171">
        <f t="shared" ref="G82:G92" si="15">E82+F82</f>
        <v>9416</v>
      </c>
      <c r="H82" s="172">
        <f t="shared" ref="H82:H93" si="16">IF($G$208=0,0,G82/$G$208)</f>
        <v>1.0742922859972344E-2</v>
      </c>
      <c r="I82" s="337"/>
      <c r="J82" s="183">
        <v>520</v>
      </c>
      <c r="K82" s="183">
        <v>520</v>
      </c>
      <c r="M82" s="359">
        <f t="shared" ref="M82:M92" si="17">G82/G$228</f>
        <v>1.5751087320173971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490">
        <f>'[56]Sch C'!D76</f>
        <v>918</v>
      </c>
      <c r="D83" s="490">
        <f>'[56]Sch C'!F76</f>
        <v>0</v>
      </c>
      <c r="E83" s="171">
        <f t="shared" si="14"/>
        <v>918</v>
      </c>
      <c r="F83" s="171"/>
      <c r="G83" s="171">
        <f t="shared" si="15"/>
        <v>918</v>
      </c>
      <c r="H83" s="172">
        <f t="shared" si="16"/>
        <v>1.0473665235189689E-3</v>
      </c>
      <c r="I83" s="337"/>
      <c r="J83" s="168"/>
      <c r="K83" s="168"/>
      <c r="M83" s="359">
        <f t="shared" si="17"/>
        <v>0.15356306457009034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490">
        <f>'[56]Sch C'!D77</f>
        <v>5266</v>
      </c>
      <c r="D84" s="490">
        <f>'[56]Sch C'!F77</f>
        <v>0</v>
      </c>
      <c r="E84" s="171">
        <f t="shared" si="14"/>
        <v>5266</v>
      </c>
      <c r="F84" s="171"/>
      <c r="G84" s="171">
        <f t="shared" si="15"/>
        <v>5266</v>
      </c>
      <c r="H84" s="172">
        <f t="shared" si="16"/>
        <v>6.0080959834977023E-3</v>
      </c>
      <c r="I84" s="337"/>
      <c r="J84" s="168"/>
      <c r="K84" s="168"/>
      <c r="M84" s="359">
        <f t="shared" si="17"/>
        <v>0.88089662094345933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490">
        <f>'[56]Sch C'!D78</f>
        <v>3954</v>
      </c>
      <c r="D85" s="490">
        <f>'[56]Sch C'!F78</f>
        <v>0</v>
      </c>
      <c r="E85" s="171">
        <f t="shared" si="14"/>
        <v>3954</v>
      </c>
      <c r="F85" s="171"/>
      <c r="G85" s="171">
        <f t="shared" si="15"/>
        <v>3954</v>
      </c>
      <c r="H85" s="172">
        <f t="shared" si="16"/>
        <v>4.51120613724837E-3</v>
      </c>
      <c r="I85" s="337"/>
      <c r="J85" s="168"/>
      <c r="K85" s="168"/>
      <c r="M85" s="359">
        <f t="shared" si="17"/>
        <v>0.66142522582803609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490">
        <f>'[56]Sch C'!D79</f>
        <v>0</v>
      </c>
      <c r="D86" s="490">
        <f>'[56]Sch C'!F79</f>
        <v>0</v>
      </c>
      <c r="E86" s="171">
        <f t="shared" si="14"/>
        <v>0</v>
      </c>
      <c r="F86" s="171"/>
      <c r="G86" s="171">
        <f>E86+F86</f>
        <v>0</v>
      </c>
      <c r="H86" s="172">
        <f t="shared" si="16"/>
        <v>0</v>
      </c>
      <c r="I86" s="337"/>
      <c r="J86" s="168"/>
      <c r="K86" s="168"/>
      <c r="M86" s="359">
        <f t="shared" si="17"/>
        <v>0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490">
        <f>'[56]Sch C'!D80</f>
        <v>10316</v>
      </c>
      <c r="D87" s="490">
        <f>'[56]Sch C'!F80</f>
        <v>0</v>
      </c>
      <c r="E87" s="171">
        <f t="shared" si="14"/>
        <v>10316</v>
      </c>
      <c r="F87" s="171"/>
      <c r="G87" s="171">
        <f t="shared" si="15"/>
        <v>10316</v>
      </c>
      <c r="H87" s="172">
        <f t="shared" si="16"/>
        <v>1.1769752784990942E-2</v>
      </c>
      <c r="I87" s="337"/>
      <c r="J87" s="168"/>
      <c r="K87" s="168"/>
      <c r="M87" s="359">
        <f t="shared" si="17"/>
        <v>1.7256607561057209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490">
        <f>'[56]Sch C'!D81</f>
        <v>39663</v>
      </c>
      <c r="D88" s="490">
        <f>'[56]Sch C'!F81</f>
        <v>0</v>
      </c>
      <c r="E88" s="171">
        <f t="shared" si="14"/>
        <v>39663</v>
      </c>
      <c r="F88" s="171"/>
      <c r="G88" s="171">
        <f t="shared" si="15"/>
        <v>39663</v>
      </c>
      <c r="H88" s="172">
        <f t="shared" si="16"/>
        <v>4.525239479556957E-2</v>
      </c>
      <c r="I88" s="337"/>
      <c r="J88" s="168"/>
      <c r="K88" s="168"/>
      <c r="M88" s="359">
        <f t="shared" si="17"/>
        <v>6.6348277015724326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490">
        <f>'[56]Sch C'!D82</f>
        <v>2421</v>
      </c>
      <c r="D89" s="490">
        <f>'[56]Sch C'!F82</f>
        <v>0</v>
      </c>
      <c r="E89" s="171">
        <f t="shared" si="14"/>
        <v>2421</v>
      </c>
      <c r="F89" s="171"/>
      <c r="G89" s="171">
        <f t="shared" si="15"/>
        <v>2421</v>
      </c>
      <c r="H89" s="172">
        <f t="shared" si="16"/>
        <v>2.762172498300026E-3</v>
      </c>
      <c r="I89" s="337"/>
      <c r="J89" s="168"/>
      <c r="K89" s="168"/>
      <c r="M89" s="359">
        <f t="shared" si="17"/>
        <v>0.40498494479759117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490">
        <f>'[56]Sch C'!D83</f>
        <v>0</v>
      </c>
      <c r="D90" s="490">
        <f>'[56]Sch C'!F83</f>
        <v>0</v>
      </c>
      <c r="E90" s="171">
        <f t="shared" si="14"/>
        <v>0</v>
      </c>
      <c r="F90" s="171"/>
      <c r="G90" s="171">
        <f t="shared" si="15"/>
        <v>0</v>
      </c>
      <c r="H90" s="172">
        <f t="shared" si="16"/>
        <v>0</v>
      </c>
      <c r="I90" s="337"/>
      <c r="J90" s="168"/>
      <c r="K90" s="168"/>
      <c r="M90" s="359">
        <f t="shared" si="17"/>
        <v>0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490">
        <f>'[56]Sch C'!D84</f>
        <v>8493</v>
      </c>
      <c r="D91" s="490">
        <f>'[56]Sch C'!F84</f>
        <v>-20842</v>
      </c>
      <c r="E91" s="171">
        <f t="shared" si="14"/>
        <v>-12349</v>
      </c>
      <c r="F91" s="171"/>
      <c r="G91" s="171">
        <f t="shared" si="15"/>
        <v>-12349</v>
      </c>
      <c r="H91" s="172">
        <f t="shared" si="16"/>
        <v>-1.4089247493394061E-2</v>
      </c>
      <c r="I91" s="337"/>
      <c r="J91" s="168"/>
      <c r="K91" s="168"/>
      <c r="M91" s="359">
        <f t="shared" si="17"/>
        <v>-2.065741050518568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490">
        <f>'[56]Sch C'!D85</f>
        <v>700</v>
      </c>
      <c r="D92" s="490">
        <f>'[56]Sch C'!F85</f>
        <v>0</v>
      </c>
      <c r="E92" s="171">
        <f t="shared" si="14"/>
        <v>700</v>
      </c>
      <c r="F92" s="171"/>
      <c r="G92" s="171">
        <f t="shared" si="15"/>
        <v>700</v>
      </c>
      <c r="H92" s="172">
        <f t="shared" si="16"/>
        <v>7.9864549723668657E-4</v>
      </c>
      <c r="I92" s="337"/>
      <c r="J92" s="168"/>
      <c r="K92" s="168"/>
      <c r="M92" s="359">
        <f t="shared" si="17"/>
        <v>0.117096018735363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490">
        <f>SUM(C82:C92)</f>
        <v>81147</v>
      </c>
      <c r="D93" s="490">
        <f>SUM(D82:D92)</f>
        <v>-20842</v>
      </c>
      <c r="E93" s="171">
        <f t="shared" ref="E93:F93" si="18">SUM(E82:E92)</f>
        <v>60305</v>
      </c>
      <c r="F93" s="171">
        <f t="shared" si="18"/>
        <v>0</v>
      </c>
      <c r="G93" s="171">
        <f>SUM(G82:G92)</f>
        <v>60305</v>
      </c>
      <c r="H93" s="172">
        <f t="shared" si="16"/>
        <v>6.8803309586940545E-2</v>
      </c>
      <c r="I93" s="337"/>
      <c r="J93" s="168"/>
      <c r="K93" s="168"/>
      <c r="M93" s="364">
        <f>G93/G$228</f>
        <v>10.087822014051522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490">
        <f>'[56]Sch C'!D89</f>
        <v>47044</v>
      </c>
      <c r="D96" s="490">
        <f>'[56]Sch C'!F89</f>
        <v>0</v>
      </c>
      <c r="E96" s="171">
        <f t="shared" ref="E96:E101" si="19">C96+D96</f>
        <v>47044</v>
      </c>
      <c r="F96" s="171"/>
      <c r="G96" s="171">
        <f t="shared" ref="G96:G101" si="20">E96+F96</f>
        <v>47044</v>
      </c>
      <c r="H96" s="172">
        <f t="shared" ref="H96:H102" si="21">IF($G$208=0,0,G96/$G$208)</f>
        <v>5.3673541102860975E-2</v>
      </c>
      <c r="I96" s="337"/>
      <c r="J96" s="183">
        <v>2963.63</v>
      </c>
      <c r="K96" s="183">
        <v>2963.63</v>
      </c>
      <c r="M96" s="364">
        <f t="shared" ref="M96:M101" si="22">G96/G$228</f>
        <v>7.869521579123453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490">
        <f>'[56]Sch C'!D90</f>
        <v>4554</v>
      </c>
      <c r="D97" s="490">
        <f>'[56]Sch C'!F90</f>
        <v>0</v>
      </c>
      <c r="E97" s="171">
        <f t="shared" si="19"/>
        <v>4554</v>
      </c>
      <c r="F97" s="171"/>
      <c r="G97" s="171">
        <f t="shared" si="20"/>
        <v>4554</v>
      </c>
      <c r="H97" s="172">
        <f t="shared" si="21"/>
        <v>5.1957594205941007E-3</v>
      </c>
      <c r="I97" s="337"/>
      <c r="J97" s="168"/>
      <c r="K97" s="168"/>
      <c r="M97" s="364">
        <f t="shared" si="22"/>
        <v>0.76179324188691866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490">
        <f>'[56]Sch C'!D91</f>
        <v>6847</v>
      </c>
      <c r="D98" s="490">
        <f>'[56]Sch C'!F91</f>
        <v>0</v>
      </c>
      <c r="E98" s="171">
        <f t="shared" si="19"/>
        <v>6847</v>
      </c>
      <c r="F98" s="171"/>
      <c r="G98" s="171">
        <f t="shared" si="20"/>
        <v>6847</v>
      </c>
      <c r="H98" s="172">
        <f t="shared" si="21"/>
        <v>7.811893885113704E-3</v>
      </c>
      <c r="I98" s="337"/>
      <c r="J98" s="168"/>
      <c r="K98" s="168"/>
      <c r="M98" s="364">
        <f t="shared" si="22"/>
        <v>1.145366343258615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490">
        <f>'[56]Sch C'!D92</f>
        <v>42158</v>
      </c>
      <c r="D99" s="490">
        <f>'[56]Sch C'!F92</f>
        <v>0</v>
      </c>
      <c r="E99" s="171">
        <f t="shared" si="19"/>
        <v>42158</v>
      </c>
      <c r="F99" s="171"/>
      <c r="G99" s="171">
        <f t="shared" si="20"/>
        <v>42158</v>
      </c>
      <c r="H99" s="172">
        <f t="shared" si="21"/>
        <v>4.8098995532148907E-2</v>
      </c>
      <c r="I99" s="337"/>
      <c r="J99" s="168"/>
      <c r="K99" s="168"/>
      <c r="M99" s="364">
        <f t="shared" si="22"/>
        <v>7.052191368350619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490">
        <f>'[56]Sch C'!D93</f>
        <v>5169</v>
      </c>
      <c r="D100" s="490">
        <f>'[56]Sch C'!F93</f>
        <v>0</v>
      </c>
      <c r="E100" s="171">
        <f t="shared" si="19"/>
        <v>5169</v>
      </c>
      <c r="F100" s="171"/>
      <c r="G100" s="171">
        <f t="shared" si="20"/>
        <v>5169</v>
      </c>
      <c r="H100" s="172">
        <f t="shared" si="21"/>
        <v>5.8974265360234755E-3</v>
      </c>
      <c r="I100" s="337"/>
      <c r="J100" s="168"/>
      <c r="K100" s="168"/>
      <c r="M100" s="364">
        <f t="shared" si="22"/>
        <v>0.8646704583472733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490">
        <f>'[56]Sch C'!D94</f>
        <v>0</v>
      </c>
      <c r="D101" s="490">
        <f>'[56]Sch C'!F94</f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I101" s="337"/>
      <c r="J101" s="168"/>
      <c r="K101" s="168"/>
      <c r="M101" s="364">
        <f t="shared" si="22"/>
        <v>0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490">
        <f>SUM(C96:C101)</f>
        <v>105772</v>
      </c>
      <c r="D102" s="490">
        <f>SUM(D96:D101)</f>
        <v>0</v>
      </c>
      <c r="E102" s="171">
        <f t="shared" ref="E102:F102" si="23">SUM(E96:E101)</f>
        <v>105772</v>
      </c>
      <c r="F102" s="171">
        <f t="shared" si="23"/>
        <v>0</v>
      </c>
      <c r="G102" s="171">
        <f>SUM(G96:G101)</f>
        <v>105772</v>
      </c>
      <c r="H102" s="172">
        <f t="shared" si="21"/>
        <v>0.12067761647674116</v>
      </c>
      <c r="I102" s="337"/>
      <c r="J102" s="168"/>
      <c r="K102" s="168"/>
      <c r="M102" s="364">
        <f>G102/G$228</f>
        <v>17.693542990966879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490">
        <f>'[56]Sch C'!D98</f>
        <v>0</v>
      </c>
      <c r="D105" s="490">
        <f>'[56]Sch C'!F98</f>
        <v>14525</v>
      </c>
      <c r="E105" s="171">
        <f t="shared" ref="E105:E110" si="24">C105+D105</f>
        <v>14525</v>
      </c>
      <c r="F105" s="171"/>
      <c r="G105" s="171">
        <f t="shared" ref="G105:G110" si="25">E105+F105</f>
        <v>14525</v>
      </c>
      <c r="H105" s="172">
        <f t="shared" ref="H105:H111" si="26">IF($G$208=0,0,G105/$G$208)</f>
        <v>1.6571894067661245E-2</v>
      </c>
      <c r="I105" s="337"/>
      <c r="J105" s="183">
        <v>1285</v>
      </c>
      <c r="K105" s="183">
        <v>1285</v>
      </c>
      <c r="M105" s="364">
        <f t="shared" ref="M105:M110" si="27">G105/G$228</f>
        <v>2.4297423887587821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490">
        <f>'[56]Sch C'!D99</f>
        <v>0</v>
      </c>
      <c r="D106" s="490">
        <f>'[56]Sch C'!F99</f>
        <v>1411</v>
      </c>
      <c r="E106" s="171">
        <f t="shared" si="24"/>
        <v>1411</v>
      </c>
      <c r="F106" s="171"/>
      <c r="G106" s="171">
        <f t="shared" si="25"/>
        <v>1411</v>
      </c>
      <c r="H106" s="172">
        <f t="shared" si="26"/>
        <v>1.6098411380013782E-3</v>
      </c>
      <c r="I106" s="337"/>
      <c r="J106" s="168"/>
      <c r="K106" s="168"/>
      <c r="M106" s="364">
        <f t="shared" si="27"/>
        <v>0.23603211776513885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490">
        <f>'[56]Sch C'!D100</f>
        <v>1023</v>
      </c>
      <c r="D107" s="490">
        <f>'[56]Sch C'!F100</f>
        <v>0</v>
      </c>
      <c r="E107" s="171">
        <f t="shared" si="24"/>
        <v>1023</v>
      </c>
      <c r="F107" s="171"/>
      <c r="G107" s="171">
        <f t="shared" si="25"/>
        <v>1023</v>
      </c>
      <c r="H107" s="172">
        <f t="shared" si="26"/>
        <v>1.167163348104472E-3</v>
      </c>
      <c r="I107" s="337"/>
      <c r="J107" s="168"/>
      <c r="K107" s="168"/>
      <c r="M107" s="364">
        <f t="shared" si="27"/>
        <v>0.17112746738039478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490">
        <f>'[56]Sch C'!D101</f>
        <v>0</v>
      </c>
      <c r="D108" s="490">
        <f>'[56]Sch C'!F101</f>
        <v>0</v>
      </c>
      <c r="E108" s="171">
        <f t="shared" si="24"/>
        <v>0</v>
      </c>
      <c r="F108" s="171"/>
      <c r="G108" s="171">
        <f t="shared" si="25"/>
        <v>0</v>
      </c>
      <c r="H108" s="172">
        <f t="shared" si="26"/>
        <v>0</v>
      </c>
      <c r="I108" s="337"/>
      <c r="J108" s="168"/>
      <c r="K108" s="168"/>
      <c r="M108" s="364">
        <f t="shared" si="27"/>
        <v>0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490">
        <f>'[56]Sch C'!D102</f>
        <v>0</v>
      </c>
      <c r="D109" s="490">
        <f>'[56]Sch C'!F102</f>
        <v>0</v>
      </c>
      <c r="E109" s="171">
        <f t="shared" si="24"/>
        <v>0</v>
      </c>
      <c r="F109" s="171"/>
      <c r="G109" s="171">
        <f t="shared" si="25"/>
        <v>0</v>
      </c>
      <c r="H109" s="172">
        <f t="shared" si="26"/>
        <v>0</v>
      </c>
      <c r="I109" s="337"/>
      <c r="J109" s="168"/>
      <c r="K109" s="168"/>
      <c r="M109" s="364">
        <f t="shared" si="27"/>
        <v>0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490">
        <f>'[56]Sch C'!D103</f>
        <v>222</v>
      </c>
      <c r="D110" s="490">
        <f>'[56]Sch C'!F103</f>
        <v>0</v>
      </c>
      <c r="E110" s="171">
        <f t="shared" si="24"/>
        <v>222</v>
      </c>
      <c r="F110" s="171"/>
      <c r="G110" s="171">
        <f t="shared" si="25"/>
        <v>222</v>
      </c>
      <c r="H110" s="172">
        <f t="shared" si="26"/>
        <v>2.5328471483792062E-4</v>
      </c>
      <c r="I110" s="337"/>
      <c r="J110" s="168"/>
      <c r="K110" s="168"/>
      <c r="M110" s="364">
        <f t="shared" si="27"/>
        <v>3.713616594178655E-2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490">
        <f>SUM(C105:C110)</f>
        <v>1245</v>
      </c>
      <c r="D111" s="490">
        <f>SUM(D105:D110)</f>
        <v>15936</v>
      </c>
      <c r="E111" s="171">
        <f t="shared" ref="E111:F111" si="28">SUM(E105:E110)</f>
        <v>17181</v>
      </c>
      <c r="F111" s="171">
        <f t="shared" si="28"/>
        <v>0</v>
      </c>
      <c r="G111" s="171">
        <f>SUM(G105:G110)</f>
        <v>17181</v>
      </c>
      <c r="H111" s="172">
        <f t="shared" si="26"/>
        <v>1.9602183268605019E-2</v>
      </c>
      <c r="I111" s="337"/>
      <c r="J111" s="168"/>
      <c r="K111" s="168"/>
      <c r="M111" s="364">
        <f>G111/G$228</f>
        <v>2.8740381398461023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490">
        <f>'[56]Sch C'!D115</f>
        <v>29051</v>
      </c>
      <c r="D114" s="490">
        <f>'[56]Sch C'!F115</f>
        <v>-14525</v>
      </c>
      <c r="E114" s="171">
        <f t="shared" ref="E114:E118" si="29">C114+D114</f>
        <v>14526</v>
      </c>
      <c r="F114" s="171"/>
      <c r="G114" s="171">
        <f>E114+F114</f>
        <v>14526</v>
      </c>
      <c r="H114" s="172">
        <f t="shared" ref="H114:H119" si="30">IF($G$208=0,0,G114/$G$208)</f>
        <v>1.6573034989800155E-2</v>
      </c>
      <c r="I114" s="337"/>
      <c r="J114" s="183">
        <v>1285</v>
      </c>
      <c r="K114" s="183">
        <v>1285</v>
      </c>
      <c r="M114" s="364">
        <f t="shared" ref="M114:M119" si="31">G114/G$228</f>
        <v>2.4299096687855468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490">
        <f>'[56]Sch C'!D116</f>
        <v>2823</v>
      </c>
      <c r="D115" s="490">
        <f>'[56]Sch C'!F116</f>
        <v>-1411</v>
      </c>
      <c r="E115" s="171">
        <f t="shared" si="29"/>
        <v>1412</v>
      </c>
      <c r="F115" s="171"/>
      <c r="G115" s="171">
        <f>E115+F115</f>
        <v>1412</v>
      </c>
      <c r="H115" s="172">
        <f t="shared" si="30"/>
        <v>1.6109820601402879E-3</v>
      </c>
      <c r="I115" s="337"/>
      <c r="J115" s="168"/>
      <c r="K115" s="168"/>
      <c r="M115" s="364">
        <f t="shared" si="31"/>
        <v>0.23619939779190366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490">
        <f>'[56]Sch C'!D117</f>
        <v>3937</v>
      </c>
      <c r="D116" s="490">
        <f>'[56]Sch C'!F117</f>
        <v>0</v>
      </c>
      <c r="E116" s="171">
        <f t="shared" si="29"/>
        <v>3937</v>
      </c>
      <c r="F116" s="171"/>
      <c r="G116" s="171">
        <f>E116+F116</f>
        <v>3937</v>
      </c>
      <c r="H116" s="172">
        <f t="shared" si="30"/>
        <v>4.4918104608869074E-3</v>
      </c>
      <c r="I116" s="337"/>
      <c r="J116" s="168"/>
      <c r="K116" s="168"/>
      <c r="M116" s="364">
        <f t="shared" si="31"/>
        <v>0.65858146537303441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490">
        <f>'[56]Sch C'!D118</f>
        <v>280</v>
      </c>
      <c r="D117" s="490">
        <f>'[56]Sch C'!F118</f>
        <v>0</v>
      </c>
      <c r="E117" s="171">
        <f t="shared" si="29"/>
        <v>280</v>
      </c>
      <c r="F117" s="171"/>
      <c r="G117" s="171">
        <f>E117+F117</f>
        <v>280</v>
      </c>
      <c r="H117" s="172">
        <f t="shared" si="30"/>
        <v>3.194581988946746E-4</v>
      </c>
      <c r="I117" s="337"/>
      <c r="J117" s="168"/>
      <c r="K117" s="168"/>
      <c r="M117" s="364">
        <f t="shared" si="31"/>
        <v>4.6838407494145202E-2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490">
        <f>'[56]Sch C'!D119</f>
        <v>0</v>
      </c>
      <c r="D118" s="490">
        <f>'[56]Sch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337"/>
      <c r="J118" s="168"/>
      <c r="K118" s="168"/>
      <c r="M118" s="364">
        <f t="shared" si="31"/>
        <v>0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490">
        <f>SUM(C114:C118)</f>
        <v>36091</v>
      </c>
      <c r="D119" s="490">
        <f>SUM(D114:D118)</f>
        <v>-15936</v>
      </c>
      <c r="E119" s="171">
        <f t="shared" ref="E119:F119" si="32">SUM(E114:E118)</f>
        <v>20155</v>
      </c>
      <c r="F119" s="171">
        <f t="shared" si="32"/>
        <v>0</v>
      </c>
      <c r="G119" s="171">
        <f>SUM(G114:G118)</f>
        <v>20155</v>
      </c>
      <c r="H119" s="172">
        <f t="shared" si="30"/>
        <v>2.2995285709722025E-2</v>
      </c>
      <c r="I119" s="337"/>
      <c r="J119" s="168"/>
      <c r="K119" s="168"/>
      <c r="M119" s="364">
        <f t="shared" si="31"/>
        <v>3.3715289394446302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1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490">
        <f>'[56]Sch C'!D124</f>
        <v>0</v>
      </c>
      <c r="D123" s="490">
        <f>'[56]Sch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7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0.77002560279620991</v>
      </c>
    </row>
    <row r="124" spans="1:14" s="167" customFormat="1">
      <c r="B124" s="163" t="s">
        <v>194</v>
      </c>
      <c r="C124" s="490">
        <f>'[56]Sch C'!D125</f>
        <v>30508</v>
      </c>
      <c r="D124" s="490">
        <f>'[56]Sch C'!F125</f>
        <v>0</v>
      </c>
      <c r="E124" s="171">
        <f t="shared" si="33"/>
        <v>30508</v>
      </c>
      <c r="F124" s="171"/>
      <c r="G124" s="171">
        <f>E124+F124</f>
        <v>30508</v>
      </c>
      <c r="H124" s="172">
        <f>IF($G$208=0,0,G124/$G$208)</f>
        <v>3.4807252613852618E-2</v>
      </c>
      <c r="I124" s="337"/>
      <c r="J124" s="183">
        <v>1043</v>
      </c>
      <c r="K124" s="183">
        <v>1043</v>
      </c>
      <c r="M124" s="364">
        <f t="shared" si="34"/>
        <v>5.1033790565406489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490">
        <f>'[56]Sch C'!D126</f>
        <v>0</v>
      </c>
      <c r="D125" s="490">
        <f>'[56]Sch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7"/>
      <c r="J125" s="183">
        <v>0</v>
      </c>
      <c r="K125" s="183">
        <v>0</v>
      </c>
      <c r="M125" s="364">
        <f t="shared" si="34"/>
        <v>0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490">
        <f>'[56]Sch C'!D127</f>
        <v>0</v>
      </c>
      <c r="D126" s="490">
        <f>'[56]Sch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7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490">
        <f>'[56]Sch C'!D128</f>
        <v>11046</v>
      </c>
      <c r="D127" s="490">
        <f>'[56]Sch C'!F128</f>
        <v>0</v>
      </c>
      <c r="E127" s="171">
        <f t="shared" si="33"/>
        <v>11046</v>
      </c>
      <c r="F127" s="171"/>
      <c r="G127" s="171">
        <f>E127+F127</f>
        <v>11046</v>
      </c>
      <c r="H127" s="172">
        <f>IF($G$208=0,0,G127/$G$208)</f>
        <v>1.2602625946394915E-2</v>
      </c>
      <c r="I127" s="337"/>
      <c r="J127" s="183">
        <v>0</v>
      </c>
      <c r="K127" s="183">
        <v>0</v>
      </c>
      <c r="M127" s="364">
        <f t="shared" si="34"/>
        <v>1.8477751756440282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205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490">
        <f>'[56]Sch C'!D130</f>
        <v>0</v>
      </c>
      <c r="D129" s="490">
        <f>'[56]Sch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7"/>
      <c r="J129" s="204"/>
      <c r="K129" s="204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490">
        <f>'[56]Sch C'!D131</f>
        <v>0</v>
      </c>
      <c r="D130" s="490">
        <f>'[56]Sch C'!F131</f>
        <v>2898</v>
      </c>
      <c r="E130" s="171">
        <f t="shared" si="35"/>
        <v>2898</v>
      </c>
      <c r="F130" s="171"/>
      <c r="G130" s="171">
        <f>E130+F130</f>
        <v>2898</v>
      </c>
      <c r="H130" s="172">
        <f>IF($G$208=0,0,G130/$G$208)</f>
        <v>3.3063923585598823E-3</v>
      </c>
      <c r="I130" s="337"/>
      <c r="J130" s="204"/>
      <c r="K130" s="204"/>
      <c r="M130" s="364">
        <f t="shared" si="34"/>
        <v>0.48477751756440279</v>
      </c>
      <c r="N130" s="359">
        <f>SUMMARY!J133</f>
        <v>1.0792348507966931</v>
      </c>
    </row>
    <row r="131" spans="1:14" s="167" customFormat="1">
      <c r="B131" s="163" t="s">
        <v>195</v>
      </c>
      <c r="C131" s="490">
        <f>'[56]Sch C'!D132</f>
        <v>0</v>
      </c>
      <c r="D131" s="490">
        <f>'[56]Sch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7"/>
      <c r="J131" s="168"/>
      <c r="K131" s="168"/>
      <c r="M131" s="364">
        <f t="shared" si="34"/>
        <v>0</v>
      </c>
      <c r="N131" s="359">
        <f>SUMMARY!J134</f>
        <v>8.2765628075518377E-2</v>
      </c>
    </row>
    <row r="132" spans="1:14" s="167" customFormat="1">
      <c r="B132" s="163" t="s">
        <v>196</v>
      </c>
      <c r="C132" s="490">
        <f>'[56]Sch C'!D133</f>
        <v>0</v>
      </c>
      <c r="D132" s="490">
        <f>'[56]Sch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490">
        <f>'[56]Sch C'!D134</f>
        <v>0</v>
      </c>
      <c r="D133" s="490">
        <f>'[56]Sch C'!F134</f>
        <v>1050</v>
      </c>
      <c r="E133" s="171">
        <f t="shared" si="35"/>
        <v>1050</v>
      </c>
      <c r="F133" s="171"/>
      <c r="G133" s="171">
        <f>E133+F133</f>
        <v>1050</v>
      </c>
      <c r="H133" s="172">
        <f>IF($G$208=0,0,G133/$G$208)</f>
        <v>1.1979682458550299E-3</v>
      </c>
      <c r="I133" s="337"/>
      <c r="J133" s="168"/>
      <c r="K133" s="168"/>
      <c r="M133" s="364">
        <f t="shared" si="34"/>
        <v>0.1756440281030445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490">
        <f>'[56]Sch C'!D136</f>
        <v>15329</v>
      </c>
      <c r="D135" s="490">
        <f>'[56]Sch C'!F136</f>
        <v>0</v>
      </c>
      <c r="E135" s="171">
        <f t="shared" ref="E135:E138" si="36">C135+D135</f>
        <v>15329</v>
      </c>
      <c r="F135" s="171"/>
      <c r="G135" s="171">
        <f>E135+F135</f>
        <v>15329</v>
      </c>
      <c r="H135" s="172">
        <f>IF($G$208=0,0,G135/$G$208)</f>
        <v>1.7489195467344527E-2</v>
      </c>
      <c r="I135" s="337"/>
      <c r="J135" s="183">
        <v>406.63</v>
      </c>
      <c r="K135" s="183">
        <v>406.63</v>
      </c>
      <c r="M135" s="364">
        <f t="shared" si="34"/>
        <v>2.5642355302776849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490">
        <f>'[56]Sch C'!D137</f>
        <v>79225</v>
      </c>
      <c r="D136" s="490">
        <f>'[56]Sch C'!F137</f>
        <v>0</v>
      </c>
      <c r="E136" s="171">
        <f t="shared" si="36"/>
        <v>79225</v>
      </c>
      <c r="F136" s="171"/>
      <c r="G136" s="171">
        <f>E136+F136</f>
        <v>79225</v>
      </c>
      <c r="H136" s="172">
        <f>IF($G$208=0,0,G136/$G$208)</f>
        <v>9.0389556455109279E-2</v>
      </c>
      <c r="I136" s="337"/>
      <c r="J136" s="183">
        <v>2836.15</v>
      </c>
      <c r="K136" s="183">
        <v>2836.15</v>
      </c>
      <c r="M136" s="364">
        <f t="shared" si="34"/>
        <v>13.25276012044162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490">
        <f>'[56]Sch C'!D138</f>
        <v>132776</v>
      </c>
      <c r="D137" s="490">
        <f>'[56]Sch C'!F138</f>
        <v>0</v>
      </c>
      <c r="E137" s="171">
        <f t="shared" si="36"/>
        <v>132776</v>
      </c>
      <c r="F137" s="171"/>
      <c r="G137" s="171">
        <f>E137+F137</f>
        <v>132776</v>
      </c>
      <c r="H137" s="172">
        <f>IF($G$208=0,0,G137/$G$208)</f>
        <v>0.15148707791585472</v>
      </c>
      <c r="I137" s="337"/>
      <c r="J137" s="183">
        <v>11160.87</v>
      </c>
      <c r="K137" s="183">
        <v>11160.87</v>
      </c>
      <c r="M137" s="364">
        <f t="shared" si="34"/>
        <v>22.210772833723652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490">
        <f>'[56]Sch C'!D139</f>
        <v>0</v>
      </c>
      <c r="D138" s="490">
        <f>'[56]Sch C'!F139</f>
        <v>0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7"/>
      <c r="J138" s="183">
        <v>0</v>
      </c>
      <c r="K138" s="183">
        <v>0</v>
      </c>
      <c r="M138" s="364">
        <f t="shared" si="34"/>
        <v>0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7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490">
        <f>'[56]Sch C'!D141</f>
        <v>12738</v>
      </c>
      <c r="D140" s="490">
        <f>'[56]Sch C'!F141</f>
        <v>-11282</v>
      </c>
      <c r="E140" s="171">
        <f t="shared" ref="E140:E143" si="37">C140+D140</f>
        <v>1456</v>
      </c>
      <c r="F140" s="171"/>
      <c r="G140" s="171">
        <f>E140+F140</f>
        <v>1456</v>
      </c>
      <c r="H140" s="172">
        <f>IF($G$208=0,0,G140/$G$208)</f>
        <v>1.661182634252308E-3</v>
      </c>
      <c r="I140" s="337"/>
      <c r="J140" s="168"/>
      <c r="K140" s="168"/>
      <c r="M140" s="364">
        <f t="shared" si="34"/>
        <v>0.24355971896955503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490">
        <f>'[56]Sch C'!D142</f>
        <v>0</v>
      </c>
      <c r="D141" s="490">
        <f>'[56]Sch C'!F142</f>
        <v>7525</v>
      </c>
      <c r="E141" s="171">
        <f t="shared" si="37"/>
        <v>7525</v>
      </c>
      <c r="F141" s="171"/>
      <c r="G141" s="171">
        <f>E141+F141</f>
        <v>7525</v>
      </c>
      <c r="H141" s="172">
        <f>IF($G$208=0,0,G141/$G$208)</f>
        <v>8.5854390952943803E-3</v>
      </c>
      <c r="I141" s="337"/>
      <c r="J141" s="168"/>
      <c r="K141" s="168"/>
      <c r="M141" s="364">
        <f t="shared" si="34"/>
        <v>1.2587822014051522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490">
        <f>'[56]Sch C'!D143</f>
        <v>12803</v>
      </c>
      <c r="D142" s="490">
        <f>'[56]Sch C'!F143</f>
        <v>-191</v>
      </c>
      <c r="E142" s="171">
        <f t="shared" si="37"/>
        <v>12612</v>
      </c>
      <c r="F142" s="171"/>
      <c r="G142" s="171">
        <f>E142+F142</f>
        <v>12612</v>
      </c>
      <c r="H142" s="172">
        <f>IF($G$208=0,0,G142/$G$208)</f>
        <v>1.4389310015927272E-2</v>
      </c>
      <c r="I142" s="337"/>
      <c r="J142" s="168"/>
      <c r="K142" s="168"/>
      <c r="M142" s="364">
        <f t="shared" si="34"/>
        <v>2.1097356975577117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490">
        <f>'[56]Sch C'!D144</f>
        <v>0</v>
      </c>
      <c r="D143" s="490">
        <f>'[56]Sch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7"/>
      <c r="J143" s="168"/>
      <c r="K143" s="168"/>
      <c r="M143" s="364">
        <f t="shared" si="34"/>
        <v>0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7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490">
        <f>'[56]Sch C'!D146</f>
        <v>6000</v>
      </c>
      <c r="D145" s="490">
        <f>'[56]Sch C'!F146</f>
        <v>0</v>
      </c>
      <c r="E145" s="171">
        <f t="shared" ref="E145:E153" si="38">C145+D145</f>
        <v>6000</v>
      </c>
      <c r="F145" s="171"/>
      <c r="G145" s="171">
        <f t="shared" ref="G145:G153" si="39">E145+F145</f>
        <v>6000</v>
      </c>
      <c r="H145" s="172">
        <f t="shared" ref="H145:H153" si="40">IF($G$208=0,0,G145/$G$208)</f>
        <v>6.8455328334573132E-3</v>
      </c>
      <c r="I145" s="337"/>
      <c r="J145" s="183">
        <v>209</v>
      </c>
      <c r="K145" s="183">
        <v>209</v>
      </c>
      <c r="M145" s="364">
        <f t="shared" si="34"/>
        <v>1.0036801605888257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490">
        <f>'[56]Sch C'!D147</f>
        <v>0</v>
      </c>
      <c r="D146" s="490">
        <f>'[56]Sch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337"/>
      <c r="J146" s="183">
        <v>0</v>
      </c>
      <c r="K146" s="183">
        <v>0</v>
      </c>
      <c r="M146" s="364">
        <f t="shared" si="34"/>
        <v>0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490">
        <f>'[56]Sch C'!D148</f>
        <v>0</v>
      </c>
      <c r="D147" s="490">
        <f>'[56]Sch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7"/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490">
        <f>'[56]Sch C'!D149</f>
        <v>0</v>
      </c>
      <c r="D148" s="490">
        <f>'[56]Sch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7"/>
      <c r="J148" s="183">
        <v>0</v>
      </c>
      <c r="K148" s="183">
        <v>0</v>
      </c>
      <c r="M148" s="364">
        <f t="shared" si="34"/>
        <v>0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490">
        <f>'[56]Sch C'!D150</f>
        <v>1516</v>
      </c>
      <c r="D149" s="490">
        <f>'[56]Sch C'!F150</f>
        <v>0</v>
      </c>
      <c r="E149" s="171">
        <f t="shared" si="38"/>
        <v>1516</v>
      </c>
      <c r="F149" s="171"/>
      <c r="G149" s="171">
        <f t="shared" si="39"/>
        <v>1516</v>
      </c>
      <c r="H149" s="172">
        <f t="shared" si="40"/>
        <v>1.7296379625868813E-3</v>
      </c>
      <c r="I149" s="337"/>
      <c r="J149" s="183">
        <v>104</v>
      </c>
      <c r="K149" s="183">
        <v>104</v>
      </c>
      <c r="M149" s="364">
        <f t="shared" si="34"/>
        <v>0.2535965205754433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490">
        <f>'[56]Sch C'!D151</f>
        <v>20966</v>
      </c>
      <c r="D150" s="490">
        <f>'[56]Sch C'!F151</f>
        <v>0</v>
      </c>
      <c r="E150" s="171">
        <f t="shared" si="38"/>
        <v>20966</v>
      </c>
      <c r="F150" s="171"/>
      <c r="G150" s="171">
        <f t="shared" si="39"/>
        <v>20966</v>
      </c>
      <c r="H150" s="172">
        <f t="shared" si="40"/>
        <v>2.3920573564377674E-2</v>
      </c>
      <c r="I150" s="337"/>
      <c r="J150" s="168"/>
      <c r="K150" s="168"/>
      <c r="M150" s="364">
        <f t="shared" si="34"/>
        <v>3.5071930411508867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490">
        <f>'[56]Sch C'!D152</f>
        <v>602</v>
      </c>
      <c r="D151" s="490">
        <f>'[56]Sch C'!F152</f>
        <v>0</v>
      </c>
      <c r="E151" s="171">
        <f t="shared" si="38"/>
        <v>602</v>
      </c>
      <c r="F151" s="171"/>
      <c r="G151" s="171">
        <f t="shared" si="39"/>
        <v>602</v>
      </c>
      <c r="H151" s="172">
        <f t="shared" si="40"/>
        <v>6.8683512762355041E-4</v>
      </c>
      <c r="I151" s="337"/>
      <c r="J151" s="168"/>
      <c r="K151" s="168"/>
      <c r="M151" s="364">
        <f t="shared" si="34"/>
        <v>0.10070257611241218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490">
        <f>'[56]Sch C'!D153</f>
        <v>0</v>
      </c>
      <c r="D152" s="490">
        <f>'[56]Sch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7"/>
      <c r="J152" s="168"/>
      <c r="K152" s="168"/>
      <c r="M152" s="364">
        <f t="shared" si="34"/>
        <v>0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490">
        <f>'[56]Sch C'!D154</f>
        <v>0</v>
      </c>
      <c r="D153" s="490">
        <f>'[56]Sch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210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490">
        <f>'[56]Sch C'!D156</f>
        <v>0</v>
      </c>
      <c r="D155" s="490">
        <f>'[56]Sch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490">
        <f>'[56]Sch C'!D157</f>
        <v>0</v>
      </c>
      <c r="D156" s="490">
        <f>'[56]Sch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490">
        <f>'[56]Sch C'!D158</f>
        <v>0</v>
      </c>
      <c r="D157" s="490">
        <f>'[56]Sch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7"/>
      <c r="J157" s="168"/>
      <c r="K157" s="168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490">
        <f>'[56]Sch C'!D159</f>
        <v>0</v>
      </c>
      <c r="D158" s="490">
        <f>'[56]Sch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490">
        <f>'[56]Sch C'!D160</f>
        <v>0</v>
      </c>
      <c r="D159" s="490">
        <f>'[56]Sch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7"/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490">
        <f>'[56]Sch C'!D161</f>
        <v>1320</v>
      </c>
      <c r="D160" s="490">
        <f>'[56]Sch C'!F161</f>
        <v>0</v>
      </c>
      <c r="E160" s="171">
        <f t="shared" si="41"/>
        <v>1320</v>
      </c>
      <c r="F160" s="171"/>
      <c r="G160" s="171">
        <f t="shared" si="42"/>
        <v>1320</v>
      </c>
      <c r="H160" s="172">
        <f t="shared" si="43"/>
        <v>1.506017223360609E-3</v>
      </c>
      <c r="I160" s="337"/>
      <c r="J160" s="168"/>
      <c r="K160" s="168"/>
      <c r="M160" s="364">
        <f t="shared" si="34"/>
        <v>0.22080963532954165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490">
        <f>SUM(C123:C160)</f>
        <v>324829</v>
      </c>
      <c r="D161" s="490">
        <f>SUM(D123:D160)</f>
        <v>0</v>
      </c>
      <c r="E161" s="171">
        <f t="shared" ref="E161:F161" si="44">SUM(E123:E160)</f>
        <v>324829</v>
      </c>
      <c r="F161" s="171">
        <f t="shared" si="44"/>
        <v>0</v>
      </c>
      <c r="G161" s="171">
        <f>SUM(G123:G160)</f>
        <v>324829</v>
      </c>
      <c r="H161" s="172">
        <f t="shared" si="43"/>
        <v>0.37060459745985097</v>
      </c>
      <c r="I161" s="337"/>
      <c r="J161" s="168"/>
      <c r="K161" s="168"/>
      <c r="M161" s="364">
        <f>G161/G$228</f>
        <v>54.337403813984608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337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7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490">
        <f>'[56]Sch C'!D175</f>
        <v>0</v>
      </c>
      <c r="D164" s="490">
        <f>'[56]Sch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490">
        <f>'[56]Sch C'!D176</f>
        <v>0</v>
      </c>
      <c r="D165" s="490">
        <f>'[56]Sch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490">
        <f>'[56]Sch C'!D177</f>
        <v>0</v>
      </c>
      <c r="D166" s="490">
        <f>'[56]Sch C'!F177</f>
        <v>0</v>
      </c>
      <c r="E166" s="171">
        <f t="shared" si="45"/>
        <v>0</v>
      </c>
      <c r="F166" s="216"/>
      <c r="G166" s="171">
        <f t="shared" si="46"/>
        <v>0</v>
      </c>
      <c r="H166" s="172">
        <f t="shared" si="47"/>
        <v>0</v>
      </c>
      <c r="I166" s="343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490">
        <f>'[56]Sch C'!D178</f>
        <v>0</v>
      </c>
      <c r="D167" s="490">
        <f>'[56]Sch C'!F178</f>
        <v>0</v>
      </c>
      <c r="E167" s="171">
        <f t="shared" si="45"/>
        <v>0</v>
      </c>
      <c r="F167" s="216"/>
      <c r="G167" s="171">
        <f t="shared" si="46"/>
        <v>0</v>
      </c>
      <c r="H167" s="172">
        <f t="shared" si="47"/>
        <v>0</v>
      </c>
      <c r="I167" s="344"/>
      <c r="J167" s="222"/>
      <c r="K167" s="222"/>
      <c r="L167" s="218"/>
      <c r="M167" s="364">
        <f t="shared" si="48"/>
        <v>0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490">
        <f>'[56]Sch C'!D179</f>
        <v>0</v>
      </c>
      <c r="D168" s="490">
        <f>'[56]Sch C'!F179</f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343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490">
        <f>'[56]Sch C'!D180</f>
        <v>0</v>
      </c>
      <c r="D169" s="490">
        <f>'[56]Sch C'!F180</f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344"/>
      <c r="J169" s="222"/>
      <c r="K169" s="222"/>
      <c r="L169" s="218"/>
      <c r="M169" s="364">
        <f t="shared" si="48"/>
        <v>0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490">
        <f>'[56]Sch C'!D181</f>
        <v>0</v>
      </c>
      <c r="D170" s="490">
        <f>'[56]Sch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3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490">
        <f>'[56]Sch C'!D182</f>
        <v>0</v>
      </c>
      <c r="D171" s="490">
        <f>'[56]Sch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490">
        <f>'[56]Sch C'!D183</f>
        <v>0</v>
      </c>
      <c r="D172" s="490">
        <f>'[56]Sch C'!F183</f>
        <v>0</v>
      </c>
      <c r="E172" s="171">
        <f t="shared" si="45"/>
        <v>0</v>
      </c>
      <c r="F172" s="216"/>
      <c r="G172" s="171">
        <f t="shared" si="46"/>
        <v>0</v>
      </c>
      <c r="H172" s="172">
        <f t="shared" si="47"/>
        <v>0</v>
      </c>
      <c r="I172" s="343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490">
        <f>'[56]Sch C'!D184</f>
        <v>0</v>
      </c>
      <c r="D173" s="490">
        <f>'[56]Sch C'!F184</f>
        <v>0</v>
      </c>
      <c r="E173" s="171">
        <f t="shared" si="45"/>
        <v>0</v>
      </c>
      <c r="F173" s="216"/>
      <c r="G173" s="171">
        <f t="shared" si="46"/>
        <v>0</v>
      </c>
      <c r="H173" s="172">
        <f t="shared" si="47"/>
        <v>0</v>
      </c>
      <c r="I173" s="344"/>
      <c r="J173" s="222"/>
      <c r="K173" s="222"/>
      <c r="L173" s="218"/>
      <c r="M173" s="364">
        <f t="shared" si="48"/>
        <v>0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490">
        <f>'[56]Sch C'!D185</f>
        <v>0</v>
      </c>
      <c r="D174" s="490">
        <f>'[56]Sch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3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490">
        <f>'[56]Sch C'!D186</f>
        <v>0</v>
      </c>
      <c r="D175" s="490">
        <f>'[56]Sch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490">
        <f>'[56]Sch C'!D187</f>
        <v>0</v>
      </c>
      <c r="D176" s="490">
        <f>'[56]Sch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490">
        <f>'[56]Sch C'!D188</f>
        <v>0</v>
      </c>
      <c r="D177" s="490">
        <f>'[56]Sch C'!F188</f>
        <v>0</v>
      </c>
      <c r="E177" s="171">
        <f t="shared" si="45"/>
        <v>0</v>
      </c>
      <c r="F177" s="216"/>
      <c r="G177" s="171">
        <f t="shared" si="46"/>
        <v>0</v>
      </c>
      <c r="H177" s="172">
        <f t="shared" si="47"/>
        <v>0</v>
      </c>
      <c r="I177" s="337"/>
      <c r="J177" s="223"/>
      <c r="K177" s="218"/>
      <c r="L177" s="220"/>
      <c r="M177" s="364">
        <f t="shared" si="48"/>
        <v>0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490">
        <f>'[56]Sch C'!D189</f>
        <v>0</v>
      </c>
      <c r="D178" s="490">
        <f>'[56]Sch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337"/>
      <c r="J178" s="223"/>
      <c r="K178" s="218"/>
      <c r="L178" s="220"/>
      <c r="M178" s="364">
        <f t="shared" si="48"/>
        <v>0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490">
        <f>'[56]Sch C'!D190</f>
        <v>0</v>
      </c>
      <c r="D179" s="490">
        <f>'[56]Sch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490">
        <f>'[56]Sch C'!D191</f>
        <v>0</v>
      </c>
      <c r="D180" s="490">
        <f>'[56]Sch C'!F191</f>
        <v>0</v>
      </c>
      <c r="E180" s="171">
        <f t="shared" si="45"/>
        <v>0</v>
      </c>
      <c r="F180" s="216"/>
      <c r="G180" s="171">
        <f t="shared" si="46"/>
        <v>0</v>
      </c>
      <c r="H180" s="172">
        <f t="shared" si="47"/>
        <v>0</v>
      </c>
      <c r="I180" s="337"/>
      <c r="J180" s="223"/>
      <c r="K180" s="218"/>
      <c r="L180" s="220"/>
      <c r="M180" s="364">
        <f t="shared" si="48"/>
        <v>0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490">
        <f>'[56]Sch C'!D192</f>
        <v>0</v>
      </c>
      <c r="D181" s="490">
        <f>'[56]Sch C'!F192</f>
        <v>0</v>
      </c>
      <c r="E181" s="171">
        <f t="shared" si="45"/>
        <v>0</v>
      </c>
      <c r="F181" s="216"/>
      <c r="G181" s="171">
        <f t="shared" si="46"/>
        <v>0</v>
      </c>
      <c r="H181" s="172">
        <f t="shared" si="47"/>
        <v>0</v>
      </c>
      <c r="I181" s="337"/>
      <c r="J181" s="223"/>
      <c r="K181" s="218"/>
      <c r="L181" s="220"/>
      <c r="M181" s="364">
        <f t="shared" si="48"/>
        <v>0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490">
        <f>'[56]Sch C'!D193</f>
        <v>0</v>
      </c>
      <c r="D182" s="490">
        <f>'[56]Sch C'!F193</f>
        <v>0</v>
      </c>
      <c r="E182" s="171">
        <f t="shared" si="45"/>
        <v>0</v>
      </c>
      <c r="F182" s="216"/>
      <c r="G182" s="171">
        <f t="shared" si="46"/>
        <v>0</v>
      </c>
      <c r="H182" s="172">
        <f t="shared" si="47"/>
        <v>0</v>
      </c>
      <c r="I182" s="337"/>
      <c r="J182" s="223"/>
      <c r="K182" s="218"/>
      <c r="L182" s="220"/>
      <c r="M182" s="364">
        <f t="shared" si="48"/>
        <v>0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490">
        <f>'[56]Sch C'!D194</f>
        <v>5565</v>
      </c>
      <c r="D183" s="490">
        <f>'[56]Sch C'!F194</f>
        <v>0</v>
      </c>
      <c r="E183" s="171">
        <f t="shared" si="45"/>
        <v>5565</v>
      </c>
      <c r="F183" s="216"/>
      <c r="G183" s="171">
        <f t="shared" si="46"/>
        <v>5565</v>
      </c>
      <c r="H183" s="172">
        <f t="shared" si="47"/>
        <v>6.3492317030316584E-3</v>
      </c>
      <c r="I183" s="337"/>
      <c r="J183" s="223"/>
      <c r="K183" s="218"/>
      <c r="M183" s="364">
        <f t="shared" si="48"/>
        <v>0.93091334894613587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490">
        <f>'[56]Sch C'!D195</f>
        <v>289</v>
      </c>
      <c r="D184" s="490">
        <f>'[56]Sch C'!F195</f>
        <v>0</v>
      </c>
      <c r="E184" s="171">
        <f t="shared" si="45"/>
        <v>289</v>
      </c>
      <c r="F184" s="216"/>
      <c r="G184" s="171">
        <f t="shared" si="46"/>
        <v>289</v>
      </c>
      <c r="H184" s="172">
        <f t="shared" si="47"/>
        <v>3.2972649814486061E-4</v>
      </c>
      <c r="I184" s="337"/>
      <c r="J184" s="223"/>
      <c r="K184" s="218"/>
      <c r="M184" s="364">
        <f t="shared" si="48"/>
        <v>4.8343927735028436E-2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490">
        <f>'[56]Sch C'!D196</f>
        <v>0</v>
      </c>
      <c r="D185" s="490">
        <f>'[56]Sch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490">
        <f>'[56]Sch C'!D197</f>
        <v>221</v>
      </c>
      <c r="D186" s="490">
        <f>'[56]Sch C'!F197</f>
        <v>0</v>
      </c>
      <c r="E186" s="171">
        <f t="shared" si="45"/>
        <v>221</v>
      </c>
      <c r="F186" s="216"/>
      <c r="G186" s="171">
        <f t="shared" si="46"/>
        <v>221</v>
      </c>
      <c r="H186" s="172">
        <f t="shared" si="47"/>
        <v>2.5214379269901106E-4</v>
      </c>
      <c r="I186" s="337"/>
      <c r="J186" s="223"/>
      <c r="K186" s="218"/>
      <c r="M186" s="364">
        <f t="shared" si="48"/>
        <v>3.6968885915021746E-2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490">
        <f>'[56]Sch C'!D198</f>
        <v>0</v>
      </c>
      <c r="D187" s="490">
        <f>'[56]Sch C'!F198</f>
        <v>0</v>
      </c>
      <c r="E187" s="171">
        <f t="shared" si="45"/>
        <v>0</v>
      </c>
      <c r="F187" s="216"/>
      <c r="G187" s="171">
        <f t="shared" si="46"/>
        <v>0</v>
      </c>
      <c r="H187" s="172">
        <f t="shared" si="47"/>
        <v>0</v>
      </c>
      <c r="I187" s="337"/>
      <c r="J187" s="223"/>
      <c r="K187" s="218"/>
      <c r="M187" s="364">
        <f t="shared" si="48"/>
        <v>0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490">
        <f>'[56]Sch C'!D199</f>
        <v>0</v>
      </c>
      <c r="D188" s="490">
        <f>'[56]Sch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7"/>
      <c r="J188" s="223"/>
      <c r="K188" s="218"/>
      <c r="M188" s="364">
        <f t="shared" si="48"/>
        <v>0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490">
        <f>'[56]Sch C'!D200</f>
        <v>0</v>
      </c>
      <c r="D189" s="490">
        <f>'[56]Sch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7"/>
      <c r="J189" s="223"/>
      <c r="K189" s="218"/>
      <c r="M189" s="364">
        <f t="shared" si="48"/>
        <v>0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490">
        <f>'[56]Sch C'!D201</f>
        <v>0</v>
      </c>
      <c r="D190" s="490">
        <f>'[56]Sch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7"/>
      <c r="J190" s="223"/>
      <c r="K190" s="218"/>
      <c r="M190" s="364">
        <f t="shared" si="48"/>
        <v>0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490">
        <f>'[56]Sch C'!D202</f>
        <v>0</v>
      </c>
      <c r="D191" s="490">
        <f>'[56]Sch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490">
        <f>'[56]Sch C'!D203</f>
        <v>0</v>
      </c>
      <c r="D192" s="490">
        <f>'[56]Sch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7"/>
      <c r="J192" s="223"/>
      <c r="K192" s="218"/>
      <c r="M192" s="364">
        <f t="shared" si="48"/>
        <v>0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490">
        <f>'[56]Sch C'!D204</f>
        <v>0</v>
      </c>
      <c r="D193" s="490">
        <f>'[56]Sch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490">
        <f>'[56]Sch C'!D205</f>
        <v>2003</v>
      </c>
      <c r="D194" s="490">
        <f>'[56]Sch C'!F205</f>
        <v>0</v>
      </c>
      <c r="E194" s="171">
        <f t="shared" si="45"/>
        <v>2003</v>
      </c>
      <c r="F194" s="216"/>
      <c r="G194" s="171">
        <f t="shared" si="46"/>
        <v>2003</v>
      </c>
      <c r="H194" s="172">
        <f t="shared" si="47"/>
        <v>2.285267044235833E-3</v>
      </c>
      <c r="I194" s="337"/>
      <c r="J194" s="223"/>
      <c r="K194" s="218"/>
      <c r="M194" s="364">
        <f t="shared" si="48"/>
        <v>0.33506189360990296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490">
        <f>'[56]Sch C'!D206</f>
        <v>0</v>
      </c>
      <c r="D195" s="490">
        <f>'[56]Sch C'!F206</f>
        <v>0</v>
      </c>
      <c r="E195" s="171">
        <f t="shared" si="45"/>
        <v>0</v>
      </c>
      <c r="F195" s="216"/>
      <c r="G195" s="171">
        <f t="shared" si="46"/>
        <v>0</v>
      </c>
      <c r="H195" s="172">
        <f t="shared" si="47"/>
        <v>0</v>
      </c>
      <c r="I195" s="337"/>
      <c r="J195" s="223"/>
      <c r="K195" s="218"/>
      <c r="M195" s="364">
        <f t="shared" si="48"/>
        <v>0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490">
        <f>'[56]Sch C'!D207</f>
        <v>0</v>
      </c>
      <c r="D196" s="490">
        <f>'[56]Sch C'!F207</f>
        <v>0</v>
      </c>
      <c r="E196" s="171">
        <f t="shared" si="45"/>
        <v>0</v>
      </c>
      <c r="F196" s="216"/>
      <c r="G196" s="171">
        <f t="shared" si="46"/>
        <v>0</v>
      </c>
      <c r="H196" s="172">
        <f t="shared" si="47"/>
        <v>0</v>
      </c>
      <c r="I196" s="337"/>
      <c r="J196" s="223"/>
      <c r="K196" s="218"/>
      <c r="M196" s="364">
        <f t="shared" si="48"/>
        <v>0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490">
        <f>SUM(C164:C196)</f>
        <v>8078</v>
      </c>
      <c r="D197" s="490">
        <f>SUM(D164:D196)</f>
        <v>0</v>
      </c>
      <c r="E197" s="171">
        <f t="shared" ref="E197:F197" si="49">SUM(E164:E196)</f>
        <v>8078</v>
      </c>
      <c r="F197" s="171">
        <f t="shared" si="49"/>
        <v>0</v>
      </c>
      <c r="G197" s="171">
        <f>SUM(G164:G196)</f>
        <v>8078</v>
      </c>
      <c r="H197" s="172">
        <f>IF($G$208=0,0,G197/$G$208)</f>
        <v>9.2163690381113633E-3</v>
      </c>
      <c r="I197" s="337"/>
      <c r="J197" s="168"/>
      <c r="K197" s="168"/>
      <c r="M197" s="364">
        <f>G197/G$228</f>
        <v>1.3512880562060889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165"/>
      <c r="G198" s="165"/>
      <c r="H198" s="198"/>
      <c r="I198" s="341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1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490">
        <f>'[56]Sch C'!D211</f>
        <v>41880</v>
      </c>
      <c r="D200" s="490">
        <f>'[56]Sch C'!F211</f>
        <v>0</v>
      </c>
      <c r="E200" s="171">
        <f t="shared" ref="E200:E205" si="50">C200+D200</f>
        <v>41880</v>
      </c>
      <c r="F200" s="171"/>
      <c r="G200" s="171">
        <f t="shared" ref="G200:G205" si="51">E200+F200</f>
        <v>41880</v>
      </c>
      <c r="H200" s="172">
        <f t="shared" ref="H200:H206" si="52">IF($G$208=0,0,G200/$G$208)</f>
        <v>4.7781819177532048E-2</v>
      </c>
      <c r="I200" s="337"/>
      <c r="J200" s="183">
        <v>1819.96</v>
      </c>
      <c r="K200" s="183">
        <v>1819.96</v>
      </c>
      <c r="M200" s="364">
        <f t="shared" ref="M200:M205" si="53">G200/G$228</f>
        <v>7.0056875209100031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490">
        <f>'[56]Sch C'!D212</f>
        <v>3142</v>
      </c>
      <c r="D201" s="490">
        <f>'[56]Sch C'!F212</f>
        <v>0</v>
      </c>
      <c r="E201" s="171">
        <f t="shared" si="50"/>
        <v>3142</v>
      </c>
      <c r="F201" s="171"/>
      <c r="G201" s="171">
        <f t="shared" si="51"/>
        <v>3142</v>
      </c>
      <c r="H201" s="172">
        <f t="shared" si="52"/>
        <v>3.584777360453813E-3</v>
      </c>
      <c r="I201" s="337"/>
      <c r="J201" s="168"/>
      <c r="K201" s="168"/>
      <c r="M201" s="364">
        <f t="shared" si="53"/>
        <v>0.52559384409501508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490">
        <f>'[56]Sch C'!D213</f>
        <v>9947</v>
      </c>
      <c r="D202" s="490">
        <f>'[56]Sch C'!F213</f>
        <v>0</v>
      </c>
      <c r="E202" s="171">
        <f t="shared" si="50"/>
        <v>9947</v>
      </c>
      <c r="F202" s="171"/>
      <c r="G202" s="171">
        <f t="shared" si="51"/>
        <v>9947</v>
      </c>
      <c r="H202" s="172">
        <f t="shared" si="52"/>
        <v>1.1348752515733316E-2</v>
      </c>
      <c r="I202" s="337"/>
      <c r="J202" s="168"/>
      <c r="K202" s="168"/>
      <c r="M202" s="364">
        <f t="shared" si="53"/>
        <v>1.6639344262295082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490">
        <f>'[56]Sch C'!D214</f>
        <v>0</v>
      </c>
      <c r="D203" s="490">
        <f>'[56]Sch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>
        <f t="shared" si="53"/>
        <v>0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490">
        <f>'[56]Sch C'!D215</f>
        <v>0</v>
      </c>
      <c r="D204" s="490">
        <f>'[56]Sch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490">
        <f>'[56]Sch C'!D216</f>
        <v>1535</v>
      </c>
      <c r="D205" s="490">
        <f>'[56]Sch C'!F216</f>
        <v>0</v>
      </c>
      <c r="E205" s="171">
        <f t="shared" si="50"/>
        <v>1535</v>
      </c>
      <c r="F205" s="171"/>
      <c r="G205" s="171">
        <f t="shared" si="51"/>
        <v>1535</v>
      </c>
      <c r="H205" s="172">
        <f t="shared" si="52"/>
        <v>1.7513154832261627E-3</v>
      </c>
      <c r="I205" s="337"/>
      <c r="J205" s="168"/>
      <c r="K205" s="168"/>
      <c r="M205" s="364">
        <f t="shared" si="53"/>
        <v>0.25677484108397458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490">
        <f>SUM(C200:C205)</f>
        <v>56504</v>
      </c>
      <c r="D206" s="490">
        <f>SUM(D200:D205)</f>
        <v>0</v>
      </c>
      <c r="E206" s="171">
        <f t="shared" ref="E206:F206" si="54">SUM(E200:E205)</f>
        <v>56504</v>
      </c>
      <c r="F206" s="171">
        <f t="shared" si="54"/>
        <v>0</v>
      </c>
      <c r="G206" s="171">
        <f>SUM(G200:G205)</f>
        <v>56504</v>
      </c>
      <c r="H206" s="172">
        <f t="shared" si="52"/>
        <v>6.4466664536945342E-2</v>
      </c>
      <c r="I206" s="337"/>
      <c r="J206" s="168"/>
      <c r="K206" s="168"/>
      <c r="M206" s="364">
        <f>G206/G$228</f>
        <v>9.4519906323185019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490">
        <f>SUM(C25:C206)/2</f>
        <v>899088</v>
      </c>
      <c r="D208" s="490">
        <f>SUM(D25:D206)/2</f>
        <v>-22604</v>
      </c>
      <c r="E208" s="171">
        <f t="shared" ref="E208:F208" si="55">SUM(E25:E206)/2</f>
        <v>876484</v>
      </c>
      <c r="F208" s="171">
        <f t="shared" si="55"/>
        <v>0</v>
      </c>
      <c r="G208" s="171">
        <f>SUM(G25:G206)/2</f>
        <v>876484</v>
      </c>
      <c r="H208" s="172">
        <f>IF($G$208=0,0,G208/$G$208)</f>
        <v>1</v>
      </c>
      <c r="I208" s="337"/>
      <c r="J208" s="183">
        <f>SUM(J25:J200)</f>
        <v>26868.080000000002</v>
      </c>
      <c r="K208" s="183">
        <f>SUM(K25:K200)</f>
        <v>26868.080000000002</v>
      </c>
      <c r="M208" s="364">
        <f>G208/G$228</f>
        <v>146.61826697892272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490">
        <f>'[56]Sch C'!D221</f>
        <v>899088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490">
        <f>C208-C211</f>
        <v>0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585"/>
      <c r="D213" s="232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490">
        <f>C21-C208</f>
        <v>144731</v>
      </c>
      <c r="D215" s="490">
        <f>D21-D208</f>
        <v>1762</v>
      </c>
      <c r="E215" s="171">
        <f t="shared" ref="E215:F215" si="56">E21-E208</f>
        <v>146493</v>
      </c>
      <c r="F215" s="171">
        <f t="shared" si="56"/>
        <v>0</v>
      </c>
      <c r="G215" s="171">
        <f>G21-G208</f>
        <v>146493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491">
        <f>'[56]Sch D'!C9</f>
        <v>5793</v>
      </c>
      <c r="D219" s="491"/>
      <c r="E219" s="235">
        <f t="shared" ref="E219:G227" si="57">C219+D219</f>
        <v>5793</v>
      </c>
      <c r="F219" s="234"/>
      <c r="G219" s="235">
        <f t="shared" si="57"/>
        <v>5793</v>
      </c>
      <c r="H219" s="172">
        <f t="shared" ref="H219:H228" si="58">IF($G$228=0,0,G219/$G$228)</f>
        <v>0.96905319504851117</v>
      </c>
      <c r="I219" s="337"/>
      <c r="J219" s="168"/>
      <c r="K219" s="168"/>
    </row>
    <row r="220" spans="1:14">
      <c r="A220" s="163"/>
      <c r="B220" s="170" t="s">
        <v>217</v>
      </c>
      <c r="C220" s="491">
        <f>'[56]Sch D'!D9</f>
        <v>0</v>
      </c>
      <c r="D220" s="491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7"/>
      <c r="J220" s="168"/>
      <c r="K220" s="168"/>
    </row>
    <row r="221" spans="1:14">
      <c r="A221" s="163"/>
      <c r="B221" s="170" t="s">
        <v>72</v>
      </c>
      <c r="C221" s="491">
        <f>'[56]Sch D'!E9</f>
        <v>0</v>
      </c>
      <c r="D221" s="491"/>
      <c r="E221" s="235">
        <f t="shared" si="59"/>
        <v>0</v>
      </c>
      <c r="F221" s="234"/>
      <c r="G221" s="235">
        <f t="shared" si="57"/>
        <v>0</v>
      </c>
      <c r="H221" s="172">
        <f t="shared" si="58"/>
        <v>0</v>
      </c>
      <c r="I221" s="337"/>
      <c r="J221" s="168"/>
      <c r="K221" s="168"/>
    </row>
    <row r="222" spans="1:14">
      <c r="A222" s="163"/>
      <c r="B222" s="202" t="s">
        <v>334</v>
      </c>
      <c r="C222" s="491">
        <f>'[56]Sch D'!F9</f>
        <v>0</v>
      </c>
      <c r="D222" s="491"/>
      <c r="E222" s="235">
        <f>C222+D222</f>
        <v>0</v>
      </c>
      <c r="F222" s="234"/>
      <c r="G222" s="235">
        <f>E222+F222</f>
        <v>0</v>
      </c>
      <c r="H222" s="172">
        <f t="shared" si="58"/>
        <v>0</v>
      </c>
      <c r="I222" s="337"/>
      <c r="J222" s="168"/>
      <c r="K222" s="168"/>
    </row>
    <row r="223" spans="1:14">
      <c r="A223" s="163"/>
      <c r="B223" s="170" t="s">
        <v>73</v>
      </c>
      <c r="C223" s="491">
        <f>'[56]Sch D'!G9</f>
        <v>0</v>
      </c>
      <c r="D223" s="491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7"/>
      <c r="J223" s="168"/>
      <c r="K223" s="168"/>
    </row>
    <row r="224" spans="1:14">
      <c r="A224" s="163"/>
      <c r="B224" s="170" t="s">
        <v>74</v>
      </c>
      <c r="C224" s="491">
        <f>'[56]Sch D'!H9</f>
        <v>185</v>
      </c>
      <c r="D224" s="491"/>
      <c r="E224" s="235">
        <f t="shared" si="59"/>
        <v>185</v>
      </c>
      <c r="F224" s="234"/>
      <c r="G224" s="235">
        <f t="shared" si="57"/>
        <v>185</v>
      </c>
      <c r="H224" s="172">
        <f t="shared" si="58"/>
        <v>3.0946804951488792E-2</v>
      </c>
      <c r="I224" s="337"/>
      <c r="J224" s="168"/>
      <c r="K224" s="168"/>
    </row>
    <row r="225" spans="1:11">
      <c r="A225" s="163"/>
      <c r="B225" s="170" t="s">
        <v>236</v>
      </c>
      <c r="C225" s="491">
        <f>'[56]Sch D'!I9</f>
        <v>0</v>
      </c>
      <c r="D225" s="491"/>
      <c r="E225" s="235">
        <f t="shared" si="59"/>
        <v>0</v>
      </c>
      <c r="F225" s="234"/>
      <c r="G225" s="235">
        <f t="shared" si="57"/>
        <v>0</v>
      </c>
      <c r="H225" s="172">
        <f t="shared" si="58"/>
        <v>0</v>
      </c>
      <c r="I225" s="337"/>
      <c r="J225" s="168"/>
      <c r="K225" s="168"/>
    </row>
    <row r="226" spans="1:11">
      <c r="A226" s="163"/>
      <c r="B226" s="170" t="s">
        <v>235</v>
      </c>
      <c r="C226" s="491">
        <f>'[56]Sch D'!J9</f>
        <v>0</v>
      </c>
      <c r="D226" s="491"/>
      <c r="E226" s="235">
        <f>C226+D226</f>
        <v>0</v>
      </c>
      <c r="F226" s="234"/>
      <c r="G226" s="235">
        <f>E226+F226</f>
        <v>0</v>
      </c>
      <c r="H226" s="172">
        <f t="shared" si="58"/>
        <v>0</v>
      </c>
      <c r="I226" s="337"/>
      <c r="J226" s="168"/>
      <c r="K226" s="168"/>
    </row>
    <row r="227" spans="1:11">
      <c r="A227" s="163"/>
      <c r="B227" s="170" t="s">
        <v>179</v>
      </c>
      <c r="C227" s="491">
        <f>'[56]Sch D'!K9</f>
        <v>0</v>
      </c>
      <c r="D227" s="491"/>
      <c r="E227" s="235">
        <f t="shared" si="59"/>
        <v>0</v>
      </c>
      <c r="F227" s="234"/>
      <c r="G227" s="235">
        <f t="shared" si="57"/>
        <v>0</v>
      </c>
      <c r="H227" s="172">
        <f t="shared" si="58"/>
        <v>0</v>
      </c>
      <c r="I227" s="337"/>
      <c r="J227" s="168"/>
      <c r="K227" s="168"/>
    </row>
    <row r="228" spans="1:11" ht="13.5" thickBot="1">
      <c r="A228" s="163"/>
      <c r="B228" s="236" t="s">
        <v>75</v>
      </c>
      <c r="C228" s="491">
        <f>SUM(C219:C227)</f>
        <v>5978</v>
      </c>
      <c r="D228" s="491">
        <f>SUM(D219:D227)</f>
        <v>0</v>
      </c>
      <c r="E228" s="237">
        <f>SUM(E219:E227)</f>
        <v>5978</v>
      </c>
      <c r="F228" s="237">
        <f>SUM(F219:F227)</f>
        <v>0</v>
      </c>
      <c r="G228" s="237">
        <f>SUM(G219:G227)</f>
        <v>5978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586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585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492">
        <f>'[56]Sch D'!N22</f>
        <v>36</v>
      </c>
      <c r="D231" s="526"/>
      <c r="E231" s="235">
        <f>C231+D231</f>
        <v>36</v>
      </c>
      <c r="F231" s="235"/>
      <c r="G231" s="235">
        <f>E231+F231</f>
        <v>36</v>
      </c>
      <c r="H231" s="167"/>
      <c r="J231" s="168"/>
      <c r="K231" s="168"/>
    </row>
    <row r="232" spans="1:11">
      <c r="A232" s="163"/>
      <c r="B232" s="202" t="s">
        <v>290</v>
      </c>
      <c r="C232" s="492">
        <f>'[56]Sch D'!N24</f>
        <v>36</v>
      </c>
      <c r="D232" s="526"/>
      <c r="E232" s="235">
        <f>C232+D232</f>
        <v>36</v>
      </c>
      <c r="F232" s="235"/>
      <c r="G232" s="235">
        <f>E232+F232</f>
        <v>36</v>
      </c>
      <c r="H232" s="167"/>
      <c r="J232" s="168"/>
      <c r="K232" s="168"/>
    </row>
    <row r="233" spans="1:11">
      <c r="A233" s="163"/>
      <c r="B233" s="202" t="s">
        <v>76</v>
      </c>
      <c r="C233" s="492">
        <f>$C$4-$C$3+1</f>
        <v>181</v>
      </c>
      <c r="D233" s="489"/>
      <c r="E233" s="235">
        <f>C233+D233</f>
        <v>181</v>
      </c>
      <c r="F233" s="240"/>
      <c r="G233" s="235">
        <f>E233+F233</f>
        <v>181</v>
      </c>
      <c r="H233" s="167"/>
      <c r="J233" s="168"/>
      <c r="K233" s="168"/>
    </row>
    <row r="234" spans="1:11">
      <c r="A234" s="163"/>
      <c r="B234" s="241"/>
      <c r="C234" s="587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492">
        <f>'[56]Sch D'!N28</f>
        <v>6516</v>
      </c>
      <c r="D235" s="489"/>
      <c r="E235" s="234">
        <f>E231*E233</f>
        <v>6516</v>
      </c>
      <c r="F235" s="240"/>
      <c r="G235" s="234">
        <f>G231*G233</f>
        <v>6516</v>
      </c>
      <c r="H235" s="167"/>
      <c r="J235" s="168"/>
      <c r="K235" s="168"/>
    </row>
    <row r="236" spans="1:11" ht="26">
      <c r="A236" s="163"/>
      <c r="B236" s="244" t="s">
        <v>336</v>
      </c>
      <c r="C236" s="493">
        <f>'[56]Sch D'!N30</f>
        <v>0.91743400859422963</v>
      </c>
      <c r="D236" s="240"/>
      <c r="E236" s="245">
        <f>E228/E235</f>
        <v>0.91743400859422963</v>
      </c>
      <c r="F236" s="246"/>
      <c r="G236" s="245">
        <f>G228/G235</f>
        <v>0.91743400859422963</v>
      </c>
      <c r="H236" s="167"/>
      <c r="J236" s="168"/>
      <c r="K236" s="168"/>
    </row>
    <row r="237" spans="1:11" ht="26">
      <c r="A237" s="163"/>
      <c r="B237" s="244" t="s">
        <v>337</v>
      </c>
      <c r="C237" s="493">
        <f>'[56]Sch D'!N32</f>
        <v>0.88904235727440151</v>
      </c>
      <c r="D237" s="240"/>
      <c r="E237" s="245">
        <f>(E219+E220)/E235</f>
        <v>0.88904235727440151</v>
      </c>
      <c r="F237" s="246"/>
      <c r="G237" s="245">
        <f>(G219+G220)/G235</f>
        <v>0.88904235727440151</v>
      </c>
      <c r="H237" s="167"/>
      <c r="J237" s="168"/>
      <c r="K237" s="168"/>
    </row>
    <row r="238" spans="1:11" ht="26">
      <c r="A238" s="163"/>
      <c r="B238" s="244" t="s">
        <v>338</v>
      </c>
      <c r="C238" s="493">
        <f>'[56]Sch D'!N34</f>
        <v>0.96905319504851117</v>
      </c>
      <c r="D238" s="240"/>
      <c r="E238" s="245">
        <f>(E237/E236)</f>
        <v>0.96905319504851117</v>
      </c>
      <c r="F238" s="246"/>
      <c r="G238" s="245">
        <f>(G237/G236)</f>
        <v>0.96905319504851117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73" t="str">
        <f>'[56]Sch B'!C85</f>
        <v/>
      </c>
    </row>
    <row r="242" spans="2:7">
      <c r="F242" s="142" t="s">
        <v>341</v>
      </c>
      <c r="G242" s="573" t="str">
        <f>'[56]Sch B'!E85</f>
        <v/>
      </c>
    </row>
    <row r="243" spans="2:7">
      <c r="F243" s="142" t="s">
        <v>342</v>
      </c>
      <c r="G243" s="573">
        <f>'[56]Sch B'!G85</f>
        <v>177.125</v>
      </c>
    </row>
    <row r="244" spans="2:7">
      <c r="F244" s="142" t="s">
        <v>343</v>
      </c>
      <c r="G244" s="573">
        <f>'[56]Sch B'!I85</f>
        <v>185</v>
      </c>
    </row>
    <row r="245" spans="2:7">
      <c r="F245" s="142"/>
    </row>
  </sheetData>
  <phoneticPr fontId="0" type="noConversion"/>
  <printOptions horizontalCentered="1"/>
  <pageMargins left="0" right="0" top="0.75" bottom="1" header="0.5" footer="0.5"/>
  <pageSetup scale="70" orientation="portrait" horizontalDpi="300" verticalDpi="300" r:id="rId1"/>
  <headerFooter alignWithMargins="0">
    <oddFooter>&amp;R&amp;D
&amp;T
&amp;F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3">
    <tabColor rgb="FFE28CAB"/>
  </sheetPr>
  <dimension ref="A1:N254"/>
  <sheetViews>
    <sheetView showGridLines="0" zoomScale="90" zoomScaleNormal="90" workbookViewId="0">
      <pane xSplit="2" topLeftCell="C1" activePane="topRight" state="frozen"/>
      <selection activeCell="N1" sqref="N1"/>
      <selection pane="topRight" activeCell="N1" sqref="N1"/>
    </sheetView>
  </sheetViews>
  <sheetFormatPr defaultColWidth="8.6640625" defaultRowHeight="13"/>
  <cols>
    <col min="1" max="1" width="8.58203125" style="252" customWidth="1"/>
    <col min="2" max="2" width="33.58203125" style="250" customWidth="1"/>
    <col min="3" max="3" width="24.1640625" style="250" customWidth="1"/>
    <col min="4" max="4" width="12.6640625" style="250" customWidth="1"/>
    <col min="5" max="5" width="12.9140625" style="250" customWidth="1"/>
    <col min="6" max="6" width="14.1640625" style="250" bestFit="1" customWidth="1"/>
    <col min="7" max="7" width="13.5" style="250" bestFit="1" customWidth="1"/>
    <col min="8" max="8" width="12.58203125" style="250" customWidth="1"/>
    <col min="9" max="9" width="2.5" style="345" customWidth="1"/>
    <col min="10" max="10" width="14.6640625" style="251" customWidth="1"/>
    <col min="11" max="11" width="13" style="251" customWidth="1"/>
    <col min="12" max="12" width="2.5" style="250" customWidth="1"/>
    <col min="13" max="13" width="8.6640625" style="250"/>
    <col min="14" max="14" width="10.1640625" style="250" customWidth="1"/>
    <col min="15" max="16384" width="8.6640625" style="25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483"/>
      <c r="E1" s="483"/>
      <c r="F1" s="483"/>
      <c r="G1" s="483"/>
      <c r="H1" s="483"/>
      <c r="I1" s="484"/>
    </row>
    <row r="2" spans="1:14" ht="23">
      <c r="B2" s="253" t="s">
        <v>189</v>
      </c>
      <c r="C2" s="247" t="s">
        <v>390</v>
      </c>
      <c r="D2" s="247"/>
      <c r="E2" s="254"/>
    </row>
    <row r="3" spans="1:14" ht="15.5">
      <c r="A3" s="255"/>
      <c r="B3" s="250" t="s">
        <v>79</v>
      </c>
      <c r="C3" s="495">
        <v>41821</v>
      </c>
      <c r="D3" s="254"/>
      <c r="E3" s="401"/>
      <c r="F3" s="401"/>
    </row>
    <row r="4" spans="1:14" ht="15.5">
      <c r="A4" s="255"/>
      <c r="B4" s="257" t="s">
        <v>80</v>
      </c>
      <c r="C4" s="495">
        <v>42185</v>
      </c>
      <c r="D4" s="254"/>
      <c r="E4" s="401"/>
      <c r="F4" s="401"/>
      <c r="G4" s="259"/>
    </row>
    <row r="5" spans="1:14">
      <c r="A5" s="255"/>
      <c r="B5" s="257"/>
      <c r="C5" s="260"/>
      <c r="D5" s="254"/>
    </row>
    <row r="6" spans="1:14">
      <c r="A6" s="255"/>
      <c r="B6" s="257"/>
      <c r="C6" s="261" t="s">
        <v>37</v>
      </c>
      <c r="D6" s="262" t="s">
        <v>38</v>
      </c>
      <c r="E6" s="258" t="s">
        <v>39</v>
      </c>
      <c r="F6" s="263" t="s">
        <v>40</v>
      </c>
      <c r="G6" s="262" t="s">
        <v>41</v>
      </c>
      <c r="H6" s="258" t="s">
        <v>42</v>
      </c>
      <c r="I6" s="346"/>
      <c r="J6" s="264">
        <v>7</v>
      </c>
      <c r="K6" s="264">
        <v>8</v>
      </c>
      <c r="M6" s="256">
        <v>9</v>
      </c>
      <c r="N6" s="256">
        <v>10</v>
      </c>
    </row>
    <row r="7" spans="1:14">
      <c r="B7" s="257"/>
      <c r="C7" s="265" t="s">
        <v>1</v>
      </c>
      <c r="D7" s="265" t="s">
        <v>2</v>
      </c>
      <c r="E7" s="265" t="s">
        <v>3</v>
      </c>
      <c r="F7" s="265" t="s">
        <v>4</v>
      </c>
      <c r="G7" s="265" t="s">
        <v>5</v>
      </c>
      <c r="H7" s="266" t="s">
        <v>6</v>
      </c>
      <c r="I7" s="347"/>
      <c r="J7" s="267" t="s">
        <v>291</v>
      </c>
      <c r="K7" s="268" t="s">
        <v>292</v>
      </c>
      <c r="M7" s="268" t="s">
        <v>351</v>
      </c>
      <c r="N7" s="268" t="s">
        <v>353</v>
      </c>
    </row>
    <row r="8" spans="1:14">
      <c r="B8" s="257"/>
      <c r="C8" s="269"/>
      <c r="D8" s="269"/>
      <c r="E8" s="269" t="s">
        <v>8</v>
      </c>
      <c r="F8" s="269" t="s">
        <v>9</v>
      </c>
      <c r="G8" s="269" t="s">
        <v>10</v>
      </c>
      <c r="H8" s="270" t="s">
        <v>11</v>
      </c>
      <c r="I8" s="347"/>
      <c r="J8" s="271"/>
      <c r="K8" s="271"/>
      <c r="M8" s="271" t="s">
        <v>352</v>
      </c>
      <c r="N8" s="271" t="s">
        <v>351</v>
      </c>
    </row>
    <row r="9" spans="1:14">
      <c r="A9" s="255"/>
      <c r="C9" s="260"/>
      <c r="D9" s="254"/>
      <c r="F9" s="254"/>
      <c r="G9" s="254"/>
    </row>
    <row r="10" spans="1:14" s="276" customFormat="1" ht="13.5" thickBot="1">
      <c r="A10" s="272" t="s">
        <v>245</v>
      </c>
      <c r="B10" s="273" t="s">
        <v>246</v>
      </c>
      <c r="C10" s="274"/>
      <c r="D10" s="274"/>
      <c r="E10" s="274"/>
      <c r="F10" s="274"/>
      <c r="G10" s="274"/>
      <c r="H10" s="275"/>
      <c r="I10" s="348"/>
      <c r="J10" s="277"/>
      <c r="K10" s="277"/>
    </row>
    <row r="11" spans="1:14" s="276" customFormat="1">
      <c r="A11" s="278" t="s">
        <v>13</v>
      </c>
      <c r="B11" s="279" t="s">
        <v>213</v>
      </c>
      <c r="C11" s="490">
        <f>'[57]Sch B'!E10</f>
        <v>1548838</v>
      </c>
      <c r="D11" s="490">
        <f>'[57]Sch B'!G10</f>
        <v>0</v>
      </c>
      <c r="E11" s="249">
        <f>C11+D11</f>
        <v>1548838</v>
      </c>
      <c r="F11" s="249"/>
      <c r="G11" s="249">
        <f t="shared" ref="G11:G20" si="0">E11+F11</f>
        <v>1548838</v>
      </c>
      <c r="H11" s="280">
        <f t="shared" ref="H11:H21" si="1">IF($G$21=0,0,G11/$G$21)</f>
        <v>0.43168022555630281</v>
      </c>
      <c r="I11" s="349"/>
      <c r="J11" s="368" t="s">
        <v>344</v>
      </c>
      <c r="K11" s="369">
        <f>G21</f>
        <v>3587929</v>
      </c>
      <c r="M11" s="360">
        <f>IFERROR(G11/G219,0)</f>
        <v>181.59667018407785</v>
      </c>
      <c r="N11" s="360">
        <f>SUMMARY!J14</f>
        <v>202.14403866920762</v>
      </c>
    </row>
    <row r="12" spans="1:14" s="276" customFormat="1">
      <c r="A12" s="278" t="s">
        <v>15</v>
      </c>
      <c r="B12" s="279" t="s">
        <v>212</v>
      </c>
      <c r="C12" s="490">
        <f>'[57]Sch B'!E15</f>
        <v>0</v>
      </c>
      <c r="D12" s="490">
        <f>'[57]Sch B'!G15</f>
        <v>0</v>
      </c>
      <c r="E12" s="249">
        <f t="shared" ref="E12:E20" si="2">C12+D12</f>
        <v>0</v>
      </c>
      <c r="F12" s="249"/>
      <c r="G12" s="249">
        <f>E12+F12</f>
        <v>0</v>
      </c>
      <c r="H12" s="280">
        <f t="shared" si="1"/>
        <v>0</v>
      </c>
      <c r="I12" s="349"/>
      <c r="J12" s="370" t="s">
        <v>345</v>
      </c>
      <c r="K12" s="371">
        <f>G208</f>
        <v>3265924.3610889278</v>
      </c>
      <c r="M12" s="360">
        <f t="shared" ref="M12:M19" si="3">IFERROR(G12/G220,0)</f>
        <v>0</v>
      </c>
      <c r="N12" s="360">
        <f>SUMMARY!J15</f>
        <v>201.43485675885972</v>
      </c>
    </row>
    <row r="13" spans="1:14" s="276" customFormat="1">
      <c r="A13" s="278" t="s">
        <v>16</v>
      </c>
      <c r="B13" s="279" t="s">
        <v>170</v>
      </c>
      <c r="C13" s="490">
        <f>'[57]Sch B'!E21</f>
        <v>1424963</v>
      </c>
      <c r="D13" s="490">
        <f>'[57]Sch B'!G21</f>
        <v>0</v>
      </c>
      <c r="E13" s="249">
        <f t="shared" si="2"/>
        <v>1424963</v>
      </c>
      <c r="F13" s="249"/>
      <c r="G13" s="249">
        <f t="shared" si="0"/>
        <v>1424963</v>
      </c>
      <c r="H13" s="280">
        <f t="shared" si="1"/>
        <v>0.39715473745439223</v>
      </c>
      <c r="I13" s="349"/>
      <c r="J13" s="370" t="s">
        <v>346</v>
      </c>
      <c r="K13" s="371">
        <f>G228</f>
        <v>15410</v>
      </c>
      <c r="M13" s="360">
        <f t="shared" si="3"/>
        <v>500.51387425360031</v>
      </c>
      <c r="N13" s="360">
        <f>SUMMARY!J16</f>
        <v>505.71464085235812</v>
      </c>
    </row>
    <row r="14" spans="1:14" s="276" customFormat="1">
      <c r="A14" s="281" t="s">
        <v>18</v>
      </c>
      <c r="B14" s="282" t="s">
        <v>306</v>
      </c>
      <c r="C14" s="490">
        <f>'[57]Sch B'!E27</f>
        <v>95036</v>
      </c>
      <c r="D14" s="490">
        <f>'[57]Sch B'!G27</f>
        <v>0</v>
      </c>
      <c r="E14" s="249">
        <f t="shared" si="2"/>
        <v>95036</v>
      </c>
      <c r="F14" s="283"/>
      <c r="G14" s="283">
        <f>E14+F14</f>
        <v>95036</v>
      </c>
      <c r="H14" s="284">
        <f t="shared" si="1"/>
        <v>2.6487703630701721E-2</v>
      </c>
      <c r="I14" s="350"/>
      <c r="J14" s="370" t="s">
        <v>347</v>
      </c>
      <c r="K14" s="371">
        <f>G231</f>
        <v>100</v>
      </c>
      <c r="M14" s="360">
        <f t="shared" si="3"/>
        <v>348.11721611721612</v>
      </c>
      <c r="N14" s="360">
        <f>SUMMARY!J17</f>
        <v>434.5752101579231</v>
      </c>
    </row>
    <row r="15" spans="1:14" s="276" customFormat="1">
      <c r="A15" s="278" t="s">
        <v>19</v>
      </c>
      <c r="B15" s="279" t="s">
        <v>171</v>
      </c>
      <c r="C15" s="490">
        <f>'[57]Sch B'!E32</f>
        <v>0</v>
      </c>
      <c r="D15" s="490">
        <f>'[57]Sch B'!G32</f>
        <v>0</v>
      </c>
      <c r="E15" s="249">
        <f t="shared" si="2"/>
        <v>0</v>
      </c>
      <c r="F15" s="249"/>
      <c r="G15" s="249">
        <f t="shared" si="0"/>
        <v>0</v>
      </c>
      <c r="H15" s="280">
        <f t="shared" si="1"/>
        <v>0</v>
      </c>
      <c r="I15" s="349"/>
      <c r="J15" s="370" t="s">
        <v>348</v>
      </c>
      <c r="K15" s="371">
        <f>G235</f>
        <v>36500</v>
      </c>
      <c r="M15" s="360">
        <f t="shared" si="3"/>
        <v>0</v>
      </c>
      <c r="N15" s="360">
        <f>SUMMARY!J18</f>
        <v>315.99060013046318</v>
      </c>
    </row>
    <row r="16" spans="1:14" s="276" customFormat="1">
      <c r="A16" s="278" t="s">
        <v>21</v>
      </c>
      <c r="B16" s="279" t="s">
        <v>172</v>
      </c>
      <c r="C16" s="490">
        <f>'[57]Sch B'!E37</f>
        <v>458523</v>
      </c>
      <c r="D16" s="490">
        <f>'[57]Sch B'!G37</f>
        <v>0</v>
      </c>
      <c r="E16" s="249">
        <f t="shared" si="2"/>
        <v>458523</v>
      </c>
      <c r="F16" s="249"/>
      <c r="G16" s="249">
        <f t="shared" si="0"/>
        <v>458523</v>
      </c>
      <c r="H16" s="280">
        <f t="shared" si="1"/>
        <v>0.12779600711162345</v>
      </c>
      <c r="I16" s="349"/>
      <c r="J16" s="372"/>
      <c r="K16" s="371"/>
      <c r="M16" s="360">
        <f t="shared" si="3"/>
        <v>132.17728452003459</v>
      </c>
      <c r="N16" s="360">
        <f>SUMMARY!J19</f>
        <v>199.44117347347731</v>
      </c>
    </row>
    <row r="17" spans="1:14" s="276" customFormat="1">
      <c r="A17" s="278" t="s">
        <v>215</v>
      </c>
      <c r="B17" s="279" t="s">
        <v>228</v>
      </c>
      <c r="C17" s="490">
        <f>'[57]Sch B'!E42</f>
        <v>0</v>
      </c>
      <c r="D17" s="490">
        <f>'[57]Sch B'!G42</f>
        <v>0</v>
      </c>
      <c r="E17" s="249">
        <f t="shared" si="2"/>
        <v>0</v>
      </c>
      <c r="F17" s="249"/>
      <c r="G17" s="249">
        <f>E17+F17</f>
        <v>0</v>
      </c>
      <c r="H17" s="280">
        <f t="shared" si="1"/>
        <v>0</v>
      </c>
      <c r="I17" s="349"/>
      <c r="J17" s="370" t="s">
        <v>156</v>
      </c>
      <c r="K17" s="371">
        <f>J208</f>
        <v>83706</v>
      </c>
      <c r="M17" s="360">
        <f t="shared" si="3"/>
        <v>0</v>
      </c>
      <c r="N17" s="360">
        <f>SUMMARY!J20</f>
        <v>174.81134252751988</v>
      </c>
    </row>
    <row r="18" spans="1:14" s="276" customFormat="1" ht="13.5" thickBot="1">
      <c r="A18" s="278" t="s">
        <v>216</v>
      </c>
      <c r="B18" s="279" t="s">
        <v>229</v>
      </c>
      <c r="C18" s="490">
        <f>'[57]Sch B'!E47</f>
        <v>50032</v>
      </c>
      <c r="D18" s="490">
        <f>'[57]Sch B'!G47</f>
        <v>0</v>
      </c>
      <c r="E18" s="249">
        <f t="shared" si="2"/>
        <v>50032</v>
      </c>
      <c r="F18" s="249"/>
      <c r="G18" s="249">
        <f>E18+F18</f>
        <v>50032</v>
      </c>
      <c r="H18" s="280">
        <f t="shared" si="1"/>
        <v>1.3944534576910524E-2</v>
      </c>
      <c r="I18" s="349"/>
      <c r="J18" s="373" t="s">
        <v>252</v>
      </c>
      <c r="K18" s="374">
        <f>K208</f>
        <v>88548</v>
      </c>
      <c r="M18" s="360">
        <f t="shared" si="3"/>
        <v>171.93127147766322</v>
      </c>
      <c r="N18" s="360">
        <f>SUMMARY!J21</f>
        <v>183.50924381494963</v>
      </c>
    </row>
    <row r="19" spans="1:14" s="276" customFormat="1">
      <c r="A19" s="278" t="s">
        <v>227</v>
      </c>
      <c r="B19" s="177" t="s">
        <v>173</v>
      </c>
      <c r="C19" s="490">
        <f>'[57]Sch B'!E52</f>
        <v>0</v>
      </c>
      <c r="D19" s="490">
        <f>'[57]Sch B'!G52</f>
        <v>0</v>
      </c>
      <c r="E19" s="249">
        <f t="shared" si="2"/>
        <v>0</v>
      </c>
      <c r="F19" s="249"/>
      <c r="G19" s="249">
        <f t="shared" si="0"/>
        <v>0</v>
      </c>
      <c r="H19" s="280">
        <f t="shared" si="1"/>
        <v>0</v>
      </c>
      <c r="I19" s="349"/>
      <c r="J19" s="277"/>
      <c r="K19" s="277"/>
      <c r="M19" s="360">
        <f t="shared" si="3"/>
        <v>0</v>
      </c>
      <c r="N19" s="360">
        <f>SUMMARY!J22</f>
        <v>376.584981890248</v>
      </c>
    </row>
    <row r="20" spans="1:14" s="276" customFormat="1">
      <c r="A20" s="278" t="s">
        <v>183</v>
      </c>
      <c r="B20" s="23" t="s">
        <v>180</v>
      </c>
      <c r="C20" s="490">
        <f>'[57]Sch B'!E67</f>
        <v>10537</v>
      </c>
      <c r="D20" s="490">
        <f>'[57]Sch B'!G67</f>
        <v>0</v>
      </c>
      <c r="E20" s="249">
        <f t="shared" si="2"/>
        <v>10537</v>
      </c>
      <c r="F20" s="249"/>
      <c r="G20" s="249">
        <f t="shared" si="0"/>
        <v>10537</v>
      </c>
      <c r="H20" s="280">
        <f t="shared" si="1"/>
        <v>2.9367916700692794E-3</v>
      </c>
      <c r="I20" s="349"/>
      <c r="J20" s="277"/>
      <c r="K20" s="277"/>
      <c r="M20" s="365" t="s">
        <v>200</v>
      </c>
      <c r="N20" s="365" t="s">
        <v>200</v>
      </c>
    </row>
    <row r="21" spans="1:14" s="276" customFormat="1">
      <c r="A21" s="278"/>
      <c r="B21" s="285" t="s">
        <v>77</v>
      </c>
      <c r="C21" s="490">
        <f>SUM(C11:C20)</f>
        <v>3587929</v>
      </c>
      <c r="D21" s="490">
        <f>SUM(D11:D20)</f>
        <v>0</v>
      </c>
      <c r="E21" s="249">
        <f>SUM(E11:E20)</f>
        <v>3587929</v>
      </c>
      <c r="F21" s="249">
        <f>SUM(F11:F20)</f>
        <v>0</v>
      </c>
      <c r="G21" s="249">
        <f>SUM(G11:G20)</f>
        <v>3587929</v>
      </c>
      <c r="H21" s="280">
        <f t="shared" si="1"/>
        <v>1</v>
      </c>
      <c r="I21" s="349"/>
      <c r="J21" s="277"/>
      <c r="K21" s="277"/>
      <c r="M21" s="360">
        <f>IFERROR(G21/G228,0)</f>
        <v>232.83121349772875</v>
      </c>
      <c r="N21" s="360">
        <f>SUMMARY!J24</f>
        <v>264.67475627099196</v>
      </c>
    </row>
    <row r="22" spans="1:14" ht="12" customHeight="1">
      <c r="A22" s="255"/>
      <c r="B22" s="286"/>
      <c r="C22" s="151"/>
      <c r="D22" s="144"/>
      <c r="F22" s="254"/>
      <c r="G22" s="254"/>
      <c r="M22" s="366"/>
      <c r="N22" s="366"/>
    </row>
    <row r="23" spans="1:14" ht="26">
      <c r="A23" s="287" t="s">
        <v>231</v>
      </c>
      <c r="B23" s="286" t="s">
        <v>222</v>
      </c>
      <c r="C23" s="151"/>
      <c r="D23" s="144"/>
      <c r="F23" s="254"/>
      <c r="G23" s="254"/>
      <c r="M23" s="366"/>
      <c r="N23" s="366"/>
    </row>
    <row r="24" spans="1:14">
      <c r="A24" s="288" t="s">
        <v>161</v>
      </c>
      <c r="B24" s="257" t="s">
        <v>12</v>
      </c>
      <c r="C24" s="140"/>
      <c r="D24" s="140"/>
      <c r="F24" s="402"/>
      <c r="M24" s="366"/>
      <c r="N24" s="366"/>
    </row>
    <row r="25" spans="1:14" s="276" customFormat="1">
      <c r="A25" s="278" t="s">
        <v>83</v>
      </c>
      <c r="B25" s="279" t="s">
        <v>14</v>
      </c>
      <c r="C25" s="490">
        <f>'[57]Sch C'!D10</f>
        <v>129536</v>
      </c>
      <c r="D25" s="490">
        <f>'[57]Sch C'!F10</f>
        <v>7496</v>
      </c>
      <c r="E25" s="249">
        <f t="shared" ref="E25:E60" si="4">C25+D25</f>
        <v>137032</v>
      </c>
      <c r="F25" s="249"/>
      <c r="G25" s="289">
        <f>E25+F25</f>
        <v>137032</v>
      </c>
      <c r="H25" s="280">
        <f>IF($G$208=0,0,G25/$G$208)</f>
        <v>4.1958105837549359E-2</v>
      </c>
      <c r="I25" s="349"/>
      <c r="J25" s="183">
        <v>2191</v>
      </c>
      <c r="K25" s="183">
        <v>2318</v>
      </c>
      <c r="M25" s="360">
        <f>G25/G$228</f>
        <v>8.8924075275794934</v>
      </c>
      <c r="N25" s="360">
        <f>SUMMARY!J28</f>
        <v>5.1446587373365018</v>
      </c>
    </row>
    <row r="26" spans="1:14" s="276" customFormat="1">
      <c r="A26" s="278" t="s">
        <v>84</v>
      </c>
      <c r="B26" s="279" t="s">
        <v>176</v>
      </c>
      <c r="C26" s="490">
        <f>'[57]Sch C'!D11</f>
        <v>0</v>
      </c>
      <c r="D26" s="490">
        <f>'[57]Sch C'!F11</f>
        <v>0</v>
      </c>
      <c r="E26" s="249">
        <f t="shared" si="4"/>
        <v>0</v>
      </c>
      <c r="F26" s="249"/>
      <c r="G26" s="249">
        <f t="shared" ref="G26:G60" si="5">E26+F26</f>
        <v>0</v>
      </c>
      <c r="H26" s="290">
        <f t="shared" ref="H26:H61" si="6">IF($G$208=0,0,G26/$G$208)</f>
        <v>0</v>
      </c>
      <c r="I26" s="349"/>
      <c r="J26" s="183">
        <v>0</v>
      </c>
      <c r="K26" s="183">
        <v>0</v>
      </c>
      <c r="M26" s="360">
        <f t="shared" ref="M26:M60" si="7">G26/G$228</f>
        <v>0</v>
      </c>
      <c r="N26" s="360">
        <f>SUMMARY!J29</f>
        <v>9.6977144261489304E-2</v>
      </c>
    </row>
    <row r="27" spans="1:14" s="276" customFormat="1">
      <c r="A27" s="278" t="s">
        <v>85</v>
      </c>
      <c r="B27" s="279" t="s">
        <v>17</v>
      </c>
      <c r="C27" s="490">
        <f>'[57]Sch C'!D12</f>
        <v>91329</v>
      </c>
      <c r="D27" s="490">
        <f>'[57]Sch C'!F12</f>
        <v>1860.248</v>
      </c>
      <c r="E27" s="249">
        <f t="shared" si="4"/>
        <v>93189.248000000007</v>
      </c>
      <c r="F27" s="249"/>
      <c r="G27" s="249">
        <f t="shared" si="5"/>
        <v>93189.248000000007</v>
      </c>
      <c r="H27" s="280">
        <f t="shared" si="6"/>
        <v>2.8533804735431396E-2</v>
      </c>
      <c r="I27" s="349"/>
      <c r="J27" s="185">
        <v>4105</v>
      </c>
      <c r="K27" s="185">
        <v>4342</v>
      </c>
      <c r="M27" s="360">
        <f t="shared" si="7"/>
        <v>6.0473230369889688</v>
      </c>
      <c r="N27" s="360">
        <f>SUMMARY!J30</f>
        <v>6.5653829268620019</v>
      </c>
    </row>
    <row r="28" spans="1:14" s="276" customFormat="1">
      <c r="A28" s="278" t="s">
        <v>86</v>
      </c>
      <c r="B28" s="279" t="s">
        <v>45</v>
      </c>
      <c r="C28" s="490">
        <f>'[57]Sch C'!D13</f>
        <v>324219</v>
      </c>
      <c r="D28" s="490">
        <f>'[57]Sch C'!F13</f>
        <v>-290208.22326995851</v>
      </c>
      <c r="E28" s="249">
        <f t="shared" si="4"/>
        <v>34010.776730041485</v>
      </c>
      <c r="F28" s="249"/>
      <c r="G28" s="249">
        <f t="shared" si="5"/>
        <v>34010.776730041485</v>
      </c>
      <c r="H28" s="280">
        <f t="shared" si="6"/>
        <v>1.0413828665248566E-2</v>
      </c>
      <c r="I28" s="349"/>
      <c r="J28" s="168"/>
      <c r="K28" s="168"/>
      <c r="M28" s="360">
        <f t="shared" si="7"/>
        <v>2.2070588403660927</v>
      </c>
      <c r="N28" s="360">
        <f>SUMMARY!J31</f>
        <v>2.1760486719355461</v>
      </c>
    </row>
    <row r="29" spans="1:14" s="276" customFormat="1">
      <c r="A29" s="278" t="s">
        <v>175</v>
      </c>
      <c r="B29" s="279" t="s">
        <v>20</v>
      </c>
      <c r="C29" s="490">
        <f>'[57]Sch C'!D14</f>
        <v>0</v>
      </c>
      <c r="D29" s="490">
        <f>'[57]Sch C'!F14</f>
        <v>0</v>
      </c>
      <c r="E29" s="249">
        <f t="shared" si="4"/>
        <v>0</v>
      </c>
      <c r="F29" s="249"/>
      <c r="G29" s="249">
        <f t="shared" si="5"/>
        <v>0</v>
      </c>
      <c r="H29" s="280">
        <f t="shared" si="6"/>
        <v>0</v>
      </c>
      <c r="I29" s="349"/>
      <c r="J29" s="168"/>
      <c r="K29" s="168"/>
      <c r="M29" s="360">
        <f t="shared" si="7"/>
        <v>0</v>
      </c>
      <c r="N29" s="360">
        <f>SUMMARY!J32</f>
        <v>2.4585887878539638E-2</v>
      </c>
    </row>
    <row r="30" spans="1:14" s="276" customFormat="1">
      <c r="A30" s="278" t="s">
        <v>88</v>
      </c>
      <c r="B30" s="279" t="s">
        <v>22</v>
      </c>
      <c r="C30" s="490">
        <f>'[57]Sch C'!D15</f>
        <v>0</v>
      </c>
      <c r="D30" s="490">
        <f>'[57]Sch C'!F15</f>
        <v>0</v>
      </c>
      <c r="E30" s="249">
        <f t="shared" si="4"/>
        <v>0</v>
      </c>
      <c r="F30" s="249"/>
      <c r="G30" s="249">
        <f t="shared" si="5"/>
        <v>0</v>
      </c>
      <c r="H30" s="280">
        <f t="shared" si="6"/>
        <v>0</v>
      </c>
      <c r="I30" s="349"/>
      <c r="J30" s="168"/>
      <c r="K30" s="168"/>
      <c r="M30" s="360">
        <f t="shared" si="7"/>
        <v>0</v>
      </c>
      <c r="N30" s="360">
        <f>SUMMARY!J33</f>
        <v>1.6617191665983997</v>
      </c>
    </row>
    <row r="31" spans="1:14" s="276" customFormat="1">
      <c r="A31" s="278" t="s">
        <v>89</v>
      </c>
      <c r="B31" s="279" t="s">
        <v>148</v>
      </c>
      <c r="C31" s="490">
        <f>'[57]Sch C'!D16</f>
        <v>178230</v>
      </c>
      <c r="D31" s="490">
        <f>'[57]Sch C'!F16</f>
        <v>89106.757483264548</v>
      </c>
      <c r="E31" s="249">
        <f t="shared" si="4"/>
        <v>267336.75748326455</v>
      </c>
      <c r="F31" s="249"/>
      <c r="G31" s="249">
        <f t="shared" si="5"/>
        <v>267336.75748326455</v>
      </c>
      <c r="H31" s="280">
        <f t="shared" si="6"/>
        <v>8.1856383653088907E-2</v>
      </c>
      <c r="I31" s="349"/>
      <c r="J31" s="168"/>
      <c r="K31" s="168"/>
      <c r="M31" s="360">
        <f t="shared" si="7"/>
        <v>17.348264599822489</v>
      </c>
      <c r="N31" s="360">
        <f>SUMMARY!J34</f>
        <v>11.049930353021256</v>
      </c>
    </row>
    <row r="32" spans="1:14" s="276" customFormat="1">
      <c r="A32" s="278" t="s">
        <v>90</v>
      </c>
      <c r="B32" s="279" t="s">
        <v>23</v>
      </c>
      <c r="C32" s="490">
        <f>'[57]Sch C'!D17</f>
        <v>0</v>
      </c>
      <c r="D32" s="490">
        <f>'[57]Sch C'!F17</f>
        <v>0</v>
      </c>
      <c r="E32" s="249">
        <f t="shared" si="4"/>
        <v>0</v>
      </c>
      <c r="F32" s="249"/>
      <c r="G32" s="249">
        <f t="shared" si="5"/>
        <v>0</v>
      </c>
      <c r="H32" s="280">
        <f t="shared" si="6"/>
        <v>0</v>
      </c>
      <c r="I32" s="349"/>
      <c r="J32" s="168"/>
      <c r="K32" s="168"/>
      <c r="M32" s="360">
        <f t="shared" si="7"/>
        <v>0</v>
      </c>
      <c r="N32" s="360">
        <f>SUMMARY!J35</f>
        <v>0.14536890308839193</v>
      </c>
    </row>
    <row r="33" spans="1:14" s="276" customFormat="1">
      <c r="A33" s="278" t="s">
        <v>91</v>
      </c>
      <c r="B33" s="279" t="s">
        <v>24</v>
      </c>
      <c r="C33" s="490">
        <f>'[57]Sch C'!D18</f>
        <v>8452</v>
      </c>
      <c r="D33" s="490">
        <f>'[57]Sch C'!F18</f>
        <v>0</v>
      </c>
      <c r="E33" s="249">
        <f t="shared" si="4"/>
        <v>8452</v>
      </c>
      <c r="F33" s="249"/>
      <c r="G33" s="249">
        <f t="shared" si="5"/>
        <v>8452</v>
      </c>
      <c r="H33" s="280">
        <f t="shared" si="6"/>
        <v>2.587935011814519E-3</v>
      </c>
      <c r="I33" s="349"/>
      <c r="J33" s="168"/>
      <c r="K33" s="168"/>
      <c r="M33" s="360">
        <f t="shared" si="7"/>
        <v>0.54847501622323169</v>
      </c>
      <c r="N33" s="360">
        <f>SUMMARY!J36</f>
        <v>0.8867545233609132</v>
      </c>
    </row>
    <row r="34" spans="1:14" s="276" customFormat="1">
      <c r="A34" s="278" t="s">
        <v>92</v>
      </c>
      <c r="B34" s="279" t="s">
        <v>25</v>
      </c>
      <c r="C34" s="490">
        <f>'[57]Sch C'!D19</f>
        <v>15206</v>
      </c>
      <c r="D34" s="490">
        <f>'[57]Sch C'!F19</f>
        <v>-1643.4775999999999</v>
      </c>
      <c r="E34" s="249">
        <f t="shared" si="4"/>
        <v>13562.5224</v>
      </c>
      <c r="F34" s="249"/>
      <c r="G34" s="249">
        <f t="shared" si="5"/>
        <v>13562.5224</v>
      </c>
      <c r="H34" s="280">
        <f t="shared" si="6"/>
        <v>4.1527362242639232E-3</v>
      </c>
      <c r="I34" s="349"/>
      <c r="J34" s="168"/>
      <c r="K34" s="168"/>
      <c r="M34" s="360">
        <f t="shared" si="7"/>
        <v>0.88011177157689813</v>
      </c>
      <c r="N34" s="360">
        <f>SUMMARY!J37</f>
        <v>0.90101991185385411</v>
      </c>
    </row>
    <row r="35" spans="1:14" s="276" customFormat="1">
      <c r="A35" s="278" t="s">
        <v>93</v>
      </c>
      <c r="B35" s="279" t="s">
        <v>26</v>
      </c>
      <c r="C35" s="490">
        <f>'[57]Sch C'!D20</f>
        <v>14945</v>
      </c>
      <c r="D35" s="490">
        <f>'[57]Sch C'!F20</f>
        <v>0</v>
      </c>
      <c r="E35" s="249">
        <f t="shared" si="4"/>
        <v>14945</v>
      </c>
      <c r="F35" s="249"/>
      <c r="G35" s="249">
        <f t="shared" si="5"/>
        <v>14945</v>
      </c>
      <c r="H35" s="280">
        <f t="shared" si="6"/>
        <v>4.5760398428263118E-3</v>
      </c>
      <c r="I35" s="349"/>
      <c r="J35" s="168"/>
      <c r="K35" s="168"/>
      <c r="M35" s="360">
        <f t="shared" si="7"/>
        <v>0.9698247890979883</v>
      </c>
      <c r="N35" s="360">
        <f>SUMMARY!J38</f>
        <v>0.79427546489719036</v>
      </c>
    </row>
    <row r="36" spans="1:14" s="276" customFormat="1">
      <c r="A36" s="278" t="s">
        <v>94</v>
      </c>
      <c r="B36" s="279" t="s">
        <v>27</v>
      </c>
      <c r="C36" s="490">
        <f>'[57]Sch C'!D21</f>
        <v>7754</v>
      </c>
      <c r="D36" s="490">
        <f>'[57]Sch C'!F21</f>
        <v>0</v>
      </c>
      <c r="E36" s="249">
        <f t="shared" si="4"/>
        <v>7754</v>
      </c>
      <c r="F36" s="249"/>
      <c r="G36" s="249">
        <f t="shared" si="5"/>
        <v>7754</v>
      </c>
      <c r="H36" s="280">
        <f t="shared" si="6"/>
        <v>2.374212977000684E-3</v>
      </c>
      <c r="I36" s="349"/>
      <c r="J36" s="168"/>
      <c r="K36" s="168"/>
      <c r="M36" s="360">
        <f t="shared" si="7"/>
        <v>0.5031797534068787</v>
      </c>
      <c r="N36" s="360">
        <f>SUMMARY!J39</f>
        <v>0.98747949537150814</v>
      </c>
    </row>
    <row r="37" spans="1:14" s="276" customFormat="1">
      <c r="A37" s="272">
        <v>130</v>
      </c>
      <c r="B37" s="279" t="s">
        <v>28</v>
      </c>
      <c r="C37" s="490">
        <f>'[57]Sch C'!D22</f>
        <v>0</v>
      </c>
      <c r="D37" s="490">
        <f>'[57]Sch C'!F22</f>
        <v>0</v>
      </c>
      <c r="E37" s="249">
        <f t="shared" si="4"/>
        <v>0</v>
      </c>
      <c r="F37" s="249"/>
      <c r="G37" s="249">
        <f t="shared" si="5"/>
        <v>0</v>
      </c>
      <c r="H37" s="280">
        <f t="shared" si="6"/>
        <v>0</v>
      </c>
      <c r="I37" s="349"/>
      <c r="J37" s="168"/>
      <c r="K37" s="168"/>
      <c r="M37" s="360">
        <f t="shared" si="7"/>
        <v>0</v>
      </c>
      <c r="N37" s="360">
        <f>SUMMARY!J40</f>
        <v>9.0113213729827151E-3</v>
      </c>
    </row>
    <row r="38" spans="1:14" s="276" customFormat="1">
      <c r="A38" s="272">
        <v>140</v>
      </c>
      <c r="B38" s="279" t="s">
        <v>149</v>
      </c>
      <c r="C38" s="490">
        <f>'[57]Sch C'!D23</f>
        <v>22104</v>
      </c>
      <c r="D38" s="490">
        <f>'[57]Sch C'!F23</f>
        <v>0</v>
      </c>
      <c r="E38" s="249">
        <f t="shared" si="4"/>
        <v>22104</v>
      </c>
      <c r="F38" s="249"/>
      <c r="G38" s="249">
        <f t="shared" si="5"/>
        <v>22104</v>
      </c>
      <c r="H38" s="280">
        <f t="shared" si="6"/>
        <v>6.7680685637894139E-3</v>
      </c>
      <c r="I38" s="349"/>
      <c r="J38" s="168"/>
      <c r="K38" s="168"/>
      <c r="M38" s="360">
        <f t="shared" si="7"/>
        <v>1.4343932511356263</v>
      </c>
      <c r="N38" s="360">
        <f>SUMMARY!J41</f>
        <v>0.63060479506294209</v>
      </c>
    </row>
    <row r="39" spans="1:14" s="276" customFormat="1">
      <c r="A39" s="272">
        <v>150</v>
      </c>
      <c r="B39" s="279" t="s">
        <v>29</v>
      </c>
      <c r="C39" s="490">
        <f>'[57]Sch C'!D24</f>
        <v>54512</v>
      </c>
      <c r="D39" s="490">
        <f>'[57]Sch C'!F24</f>
        <v>-9600</v>
      </c>
      <c r="E39" s="249">
        <f t="shared" si="4"/>
        <v>44912</v>
      </c>
      <c r="F39" s="249"/>
      <c r="G39" s="249">
        <f t="shared" si="5"/>
        <v>44912</v>
      </c>
      <c r="H39" s="280">
        <f t="shared" si="6"/>
        <v>1.3751696314554387E-2</v>
      </c>
      <c r="I39" s="349"/>
      <c r="J39" s="168"/>
      <c r="K39" s="168"/>
      <c r="M39" s="360">
        <f t="shared" si="7"/>
        <v>2.9144711226476314</v>
      </c>
      <c r="N39" s="360">
        <f>SUMMARY!J42</f>
        <v>0.77563123344529072</v>
      </c>
    </row>
    <row r="40" spans="1:14" s="276" customFormat="1">
      <c r="A40" s="272">
        <v>160</v>
      </c>
      <c r="B40" s="279" t="s">
        <v>30</v>
      </c>
      <c r="C40" s="490">
        <f>'[57]Sch C'!D25</f>
        <v>0</v>
      </c>
      <c r="D40" s="490">
        <f>'[57]Sch C'!F25</f>
        <v>0</v>
      </c>
      <c r="E40" s="249">
        <f t="shared" si="4"/>
        <v>0</v>
      </c>
      <c r="F40" s="249"/>
      <c r="G40" s="249">
        <f t="shared" si="5"/>
        <v>0</v>
      </c>
      <c r="H40" s="280">
        <f t="shared" si="6"/>
        <v>0</v>
      </c>
      <c r="I40" s="349"/>
      <c r="J40" s="168"/>
      <c r="K40" s="168"/>
      <c r="M40" s="360">
        <f t="shared" si="7"/>
        <v>0</v>
      </c>
      <c r="N40" s="360">
        <f>SUMMARY!J43</f>
        <v>2.6613926435651674E-2</v>
      </c>
    </row>
    <row r="41" spans="1:14" s="276" customFormat="1">
      <c r="A41" s="272">
        <v>170</v>
      </c>
      <c r="B41" s="279" t="s">
        <v>31</v>
      </c>
      <c r="C41" s="490">
        <f>'[57]Sch C'!D26</f>
        <v>188516</v>
      </c>
      <c r="D41" s="490">
        <f>'[57]Sch C'!F26</f>
        <v>0</v>
      </c>
      <c r="E41" s="249">
        <f t="shared" si="4"/>
        <v>188516</v>
      </c>
      <c r="F41" s="249"/>
      <c r="G41" s="249">
        <f t="shared" si="5"/>
        <v>188516</v>
      </c>
      <c r="H41" s="280">
        <f t="shared" si="6"/>
        <v>5.7722096153244896E-2</v>
      </c>
      <c r="I41" s="349"/>
      <c r="J41" s="168"/>
      <c r="K41" s="168"/>
      <c r="M41" s="360">
        <f t="shared" si="7"/>
        <v>12.233354964308891</v>
      </c>
      <c r="N41" s="360">
        <f>SUMMARY!J44</f>
        <v>10.987269304497419</v>
      </c>
    </row>
    <row r="42" spans="1:14" s="276" customFormat="1">
      <c r="A42" s="272">
        <v>180</v>
      </c>
      <c r="B42" s="279" t="s">
        <v>32</v>
      </c>
      <c r="C42" s="490">
        <f>'[57]Sch C'!D27</f>
        <v>0</v>
      </c>
      <c r="D42" s="490">
        <f>'[57]Sch C'!F27</f>
        <v>0</v>
      </c>
      <c r="E42" s="249">
        <f t="shared" si="4"/>
        <v>0</v>
      </c>
      <c r="F42" s="249"/>
      <c r="G42" s="249">
        <f t="shared" si="5"/>
        <v>0</v>
      </c>
      <c r="H42" s="280">
        <f t="shared" si="6"/>
        <v>0</v>
      </c>
      <c r="I42" s="349"/>
      <c r="J42" s="168"/>
      <c r="K42" s="168"/>
      <c r="M42" s="360">
        <f t="shared" si="7"/>
        <v>0</v>
      </c>
      <c r="N42" s="360">
        <f>SUMMARY!J45</f>
        <v>0.64134655143223829</v>
      </c>
    </row>
    <row r="43" spans="1:14" s="276" customFormat="1">
      <c r="A43" s="272">
        <v>190</v>
      </c>
      <c r="B43" s="279" t="s">
        <v>33</v>
      </c>
      <c r="C43" s="490">
        <f>'[57]Sch C'!D28</f>
        <v>0</v>
      </c>
      <c r="D43" s="490">
        <f>'[57]Sch C'!F28</f>
        <v>0</v>
      </c>
      <c r="E43" s="249">
        <f t="shared" si="4"/>
        <v>0</v>
      </c>
      <c r="F43" s="249"/>
      <c r="G43" s="249">
        <f t="shared" si="5"/>
        <v>0</v>
      </c>
      <c r="H43" s="280">
        <f t="shared" si="6"/>
        <v>0</v>
      </c>
      <c r="I43" s="349"/>
      <c r="J43" s="168"/>
      <c r="K43" s="168"/>
      <c r="M43" s="360">
        <f t="shared" si="7"/>
        <v>0</v>
      </c>
      <c r="N43" s="360">
        <f>SUMMARY!J46</f>
        <v>0</v>
      </c>
    </row>
    <row r="44" spans="1:14" s="276" customFormat="1">
      <c r="A44" s="272">
        <v>200</v>
      </c>
      <c r="B44" s="279" t="s">
        <v>34</v>
      </c>
      <c r="C44" s="490">
        <f>'[57]Sch C'!D29</f>
        <v>60560</v>
      </c>
      <c r="D44" s="490">
        <f>'[57]Sch C'!F29</f>
        <v>-60560</v>
      </c>
      <c r="E44" s="249">
        <f t="shared" si="4"/>
        <v>0</v>
      </c>
      <c r="F44" s="249"/>
      <c r="G44" s="249">
        <f t="shared" si="5"/>
        <v>0</v>
      </c>
      <c r="H44" s="280">
        <f t="shared" si="6"/>
        <v>0</v>
      </c>
      <c r="I44" s="349"/>
      <c r="J44" s="168"/>
      <c r="K44" s="168"/>
      <c r="M44" s="360">
        <f t="shared" si="7"/>
        <v>0</v>
      </c>
      <c r="N44" s="360">
        <f>SUMMARY!J47</f>
        <v>0</v>
      </c>
    </row>
    <row r="45" spans="1:14" s="276" customFormat="1">
      <c r="A45" s="272">
        <v>210</v>
      </c>
      <c r="B45" s="279" t="s">
        <v>35</v>
      </c>
      <c r="C45" s="490">
        <f>'[57]Sch C'!D30</f>
        <v>0</v>
      </c>
      <c r="D45" s="490">
        <f>'[57]Sch C'!F30</f>
        <v>0</v>
      </c>
      <c r="E45" s="249">
        <f t="shared" si="4"/>
        <v>0</v>
      </c>
      <c r="F45" s="249"/>
      <c r="G45" s="249">
        <f t="shared" si="5"/>
        <v>0</v>
      </c>
      <c r="H45" s="280">
        <f t="shared" si="6"/>
        <v>0</v>
      </c>
      <c r="I45" s="349"/>
      <c r="J45" s="168"/>
      <c r="K45" s="168"/>
      <c r="M45" s="360">
        <f t="shared" si="7"/>
        <v>0</v>
      </c>
      <c r="N45" s="360">
        <f>SUMMARY!J48</f>
        <v>0</v>
      </c>
    </row>
    <row r="46" spans="1:14" s="276" customFormat="1">
      <c r="A46" s="272">
        <v>220</v>
      </c>
      <c r="B46" s="279" t="s">
        <v>190</v>
      </c>
      <c r="C46" s="490">
        <f>'[57]Sch C'!D31</f>
        <v>49823</v>
      </c>
      <c r="D46" s="490">
        <f>'[57]Sch C'!F31</f>
        <v>0</v>
      </c>
      <c r="E46" s="249">
        <f t="shared" si="4"/>
        <v>49823</v>
      </c>
      <c r="F46" s="249"/>
      <c r="G46" s="249">
        <f t="shared" si="5"/>
        <v>49823</v>
      </c>
      <c r="H46" s="280">
        <f t="shared" si="6"/>
        <v>1.525540535892508E-2</v>
      </c>
      <c r="I46" s="349"/>
      <c r="J46" s="168"/>
      <c r="K46" s="168"/>
      <c r="M46" s="360">
        <f t="shared" si="7"/>
        <v>3.2331602855288772</v>
      </c>
      <c r="N46" s="360">
        <f>SUMMARY!J49</f>
        <v>1.2092098577319024</v>
      </c>
    </row>
    <row r="47" spans="1:14" s="276" customFormat="1">
      <c r="A47" s="272">
        <v>230</v>
      </c>
      <c r="B47" s="279" t="s">
        <v>191</v>
      </c>
      <c r="C47" s="490">
        <f>'[57]Sch C'!D32</f>
        <v>64000</v>
      </c>
      <c r="D47" s="490">
        <f>'[57]Sch C'!F32</f>
        <v>-19199.823524378364</v>
      </c>
      <c r="E47" s="249">
        <f t="shared" si="4"/>
        <v>44800.176475621636</v>
      </c>
      <c r="F47" s="249"/>
      <c r="G47" s="249">
        <f t="shared" si="5"/>
        <v>44800.176475621636</v>
      </c>
      <c r="H47" s="280">
        <f t="shared" si="6"/>
        <v>1.3717456842963846E-2</v>
      </c>
      <c r="I47" s="349"/>
      <c r="J47" s="168"/>
      <c r="K47" s="168"/>
      <c r="M47" s="360">
        <f t="shared" si="7"/>
        <v>2.9072145668800542</v>
      </c>
      <c r="N47" s="360">
        <f>SUMMARY!J50</f>
        <v>2.2270835363825316</v>
      </c>
    </row>
    <row r="48" spans="1:14" s="276" customFormat="1">
      <c r="A48" s="272">
        <v>240</v>
      </c>
      <c r="B48" s="279" t="s">
        <v>201</v>
      </c>
      <c r="C48" s="490">
        <f>'[57]Sch C'!D33</f>
        <v>0</v>
      </c>
      <c r="D48" s="490">
        <f>'[57]Sch C'!F33</f>
        <v>0</v>
      </c>
      <c r="E48" s="249">
        <f t="shared" si="4"/>
        <v>0</v>
      </c>
      <c r="F48" s="249"/>
      <c r="G48" s="249">
        <f t="shared" si="5"/>
        <v>0</v>
      </c>
      <c r="H48" s="280">
        <f t="shared" si="6"/>
        <v>0</v>
      </c>
      <c r="I48" s="349"/>
      <c r="J48" s="168"/>
      <c r="K48" s="168"/>
      <c r="M48" s="360">
        <f t="shared" si="7"/>
        <v>0</v>
      </c>
      <c r="N48" s="360">
        <f>SUMMARY!J51</f>
        <v>0</v>
      </c>
    </row>
    <row r="49" spans="1:14" s="276" customFormat="1">
      <c r="A49" s="272">
        <v>250</v>
      </c>
      <c r="B49" s="279" t="s">
        <v>202</v>
      </c>
      <c r="C49" s="490">
        <f>'[57]Sch C'!D34</f>
        <v>0</v>
      </c>
      <c r="D49" s="490">
        <f>'[57]Sch C'!F34</f>
        <v>0</v>
      </c>
      <c r="E49" s="249">
        <f t="shared" si="4"/>
        <v>0</v>
      </c>
      <c r="F49" s="249"/>
      <c r="G49" s="249">
        <f t="shared" si="5"/>
        <v>0</v>
      </c>
      <c r="H49" s="280">
        <f t="shared" si="6"/>
        <v>0</v>
      </c>
      <c r="I49" s="349"/>
      <c r="J49" s="168"/>
      <c r="K49" s="168"/>
      <c r="M49" s="360">
        <f t="shared" si="7"/>
        <v>0</v>
      </c>
      <c r="N49" s="360">
        <f>SUMMARY!J52</f>
        <v>1.5242074219710003E-2</v>
      </c>
    </row>
    <row r="50" spans="1:14" s="276" customFormat="1">
      <c r="A50" s="272">
        <v>270</v>
      </c>
      <c r="B50" s="279" t="s">
        <v>203</v>
      </c>
      <c r="C50" s="490">
        <f>'[57]Sch C'!D35</f>
        <v>13</v>
      </c>
      <c r="D50" s="490">
        <f>'[57]Sch C'!F35</f>
        <v>-13</v>
      </c>
      <c r="E50" s="249">
        <f t="shared" si="4"/>
        <v>0</v>
      </c>
      <c r="F50" s="249"/>
      <c r="G50" s="249">
        <f t="shared" si="5"/>
        <v>0</v>
      </c>
      <c r="H50" s="280">
        <f t="shared" si="6"/>
        <v>0</v>
      </c>
      <c r="I50" s="349"/>
      <c r="J50" s="168"/>
      <c r="K50" s="168"/>
      <c r="M50" s="360">
        <f t="shared" si="7"/>
        <v>0</v>
      </c>
      <c r="N50" s="360">
        <f>SUMMARY!J53</f>
        <v>0</v>
      </c>
    </row>
    <row r="51" spans="1:14" s="276" customFormat="1">
      <c r="A51" s="272">
        <v>280</v>
      </c>
      <c r="B51" s="279" t="s">
        <v>204</v>
      </c>
      <c r="C51" s="490">
        <f>'[57]Sch C'!D36</f>
        <v>0</v>
      </c>
      <c r="D51" s="490">
        <f>'[57]Sch C'!F36</f>
        <v>0</v>
      </c>
      <c r="E51" s="249">
        <f t="shared" si="4"/>
        <v>0</v>
      </c>
      <c r="F51" s="249"/>
      <c r="G51" s="249">
        <f t="shared" si="5"/>
        <v>0</v>
      </c>
      <c r="H51" s="280">
        <f t="shared" si="6"/>
        <v>0</v>
      </c>
      <c r="I51" s="349"/>
      <c r="J51" s="183">
        <v>0</v>
      </c>
      <c r="K51" s="183">
        <v>0</v>
      </c>
      <c r="M51" s="360">
        <f t="shared" si="7"/>
        <v>0</v>
      </c>
      <c r="N51" s="360">
        <f>SUMMARY!J54</f>
        <v>0.46828948963709344</v>
      </c>
    </row>
    <row r="52" spans="1:14" s="276" customFormat="1">
      <c r="A52" s="272">
        <v>290</v>
      </c>
      <c r="B52" s="279" t="s">
        <v>205</v>
      </c>
      <c r="C52" s="490">
        <f>'[57]Sch C'!D37</f>
        <v>0</v>
      </c>
      <c r="D52" s="490">
        <f>'[57]Sch C'!F37</f>
        <v>0</v>
      </c>
      <c r="E52" s="249">
        <f t="shared" si="4"/>
        <v>0</v>
      </c>
      <c r="F52" s="249"/>
      <c r="G52" s="249">
        <f t="shared" si="5"/>
        <v>0</v>
      </c>
      <c r="H52" s="280">
        <f t="shared" si="6"/>
        <v>0</v>
      </c>
      <c r="I52" s="349"/>
      <c r="J52" s="168"/>
      <c r="K52" s="168"/>
      <c r="M52" s="360">
        <f t="shared" si="7"/>
        <v>0</v>
      </c>
      <c r="N52" s="360">
        <f>SUMMARY!J55</f>
        <v>7.2094073659366972E-2</v>
      </c>
    </row>
    <row r="53" spans="1:14" s="276" customFormat="1">
      <c r="A53" s="272">
        <v>300</v>
      </c>
      <c r="B53" s="279" t="s">
        <v>206</v>
      </c>
      <c r="C53" s="490">
        <f>'[57]Sch C'!D38</f>
        <v>315</v>
      </c>
      <c r="D53" s="490">
        <f>'[57]Sch C'!F38</f>
        <v>-315</v>
      </c>
      <c r="E53" s="249">
        <f t="shared" si="4"/>
        <v>0</v>
      </c>
      <c r="F53" s="249"/>
      <c r="G53" s="249">
        <f t="shared" si="5"/>
        <v>0</v>
      </c>
      <c r="H53" s="280">
        <f t="shared" si="6"/>
        <v>0</v>
      </c>
      <c r="I53" s="349"/>
      <c r="J53" s="168"/>
      <c r="K53" s="168"/>
      <c r="M53" s="360">
        <f t="shared" si="7"/>
        <v>0</v>
      </c>
      <c r="N53" s="360">
        <f>SUMMARY!J56</f>
        <v>3.3816553343709896E-3</v>
      </c>
    </row>
    <row r="54" spans="1:14" s="276" customFormat="1">
      <c r="A54" s="272">
        <v>310</v>
      </c>
      <c r="B54" s="279" t="s">
        <v>207</v>
      </c>
      <c r="C54" s="490">
        <f>'[57]Sch C'!D39</f>
        <v>1678</v>
      </c>
      <c r="D54" s="490">
        <f>'[57]Sch C'!F39</f>
        <v>0</v>
      </c>
      <c r="E54" s="249">
        <f t="shared" si="4"/>
        <v>1678</v>
      </c>
      <c r="F54" s="249"/>
      <c r="G54" s="249">
        <f t="shared" si="5"/>
        <v>1678</v>
      </c>
      <c r="H54" s="280">
        <f t="shared" si="6"/>
        <v>5.1379022122867522E-4</v>
      </c>
      <c r="I54" s="349"/>
      <c r="J54" s="168"/>
      <c r="K54" s="168"/>
      <c r="M54" s="360">
        <f t="shared" si="7"/>
        <v>0.10889033095392603</v>
      </c>
      <c r="N54" s="360">
        <f>SUMMARY!J57</f>
        <v>0.29995180907129787</v>
      </c>
    </row>
    <row r="55" spans="1:14" s="276" customFormat="1">
      <c r="A55" s="272">
        <v>320</v>
      </c>
      <c r="B55" s="279" t="s">
        <v>208</v>
      </c>
      <c r="C55" s="490">
        <f>'[57]Sch C'!D40</f>
        <v>8762</v>
      </c>
      <c r="D55" s="490">
        <f>'[57]Sch C'!F40</f>
        <v>0</v>
      </c>
      <c r="E55" s="249">
        <f t="shared" si="4"/>
        <v>8762</v>
      </c>
      <c r="F55" s="249"/>
      <c r="G55" s="249">
        <f t="shared" si="5"/>
        <v>8762</v>
      </c>
      <c r="H55" s="280">
        <f t="shared" si="6"/>
        <v>2.6828545401702338E-3</v>
      </c>
      <c r="I55" s="349"/>
      <c r="J55" s="168"/>
      <c r="K55" s="168"/>
      <c r="M55" s="360">
        <f t="shared" si="7"/>
        <v>0.56859182349123949</v>
      </c>
      <c r="N55" s="360">
        <f>SUMMARY!J58</f>
        <v>0.15756469785095983</v>
      </c>
    </row>
    <row r="56" spans="1:14" s="276" customFormat="1">
      <c r="A56" s="272">
        <v>330</v>
      </c>
      <c r="B56" s="279" t="s">
        <v>48</v>
      </c>
      <c r="C56" s="490">
        <f>'[57]Sch C'!D41</f>
        <v>6311</v>
      </c>
      <c r="D56" s="490">
        <f>'[57]Sch C'!F41</f>
        <v>0</v>
      </c>
      <c r="E56" s="249">
        <f t="shared" si="4"/>
        <v>6311</v>
      </c>
      <c r="F56" s="249"/>
      <c r="G56" s="249">
        <f t="shared" si="5"/>
        <v>6311</v>
      </c>
      <c r="H56" s="280">
        <f t="shared" si="6"/>
        <v>1.9323778821061796E-3</v>
      </c>
      <c r="I56" s="349"/>
      <c r="J56" s="168"/>
      <c r="K56" s="168"/>
      <c r="M56" s="360">
        <f t="shared" si="7"/>
        <v>0.40953926022063597</v>
      </c>
      <c r="N56" s="360">
        <f>SUMMARY!J59</f>
        <v>1.9820866333524478</v>
      </c>
    </row>
    <row r="57" spans="1:14" s="276" customFormat="1">
      <c r="A57" s="272">
        <v>340</v>
      </c>
      <c r="B57" s="279" t="s">
        <v>209</v>
      </c>
      <c r="C57" s="490">
        <f>'[57]Sch C'!D42</f>
        <v>3724</v>
      </c>
      <c r="D57" s="490">
        <f>'[57]Sch C'!F42</f>
        <v>0</v>
      </c>
      <c r="E57" s="249">
        <f t="shared" si="4"/>
        <v>3724</v>
      </c>
      <c r="F57" s="249"/>
      <c r="G57" s="249">
        <f t="shared" si="5"/>
        <v>3724</v>
      </c>
      <c r="H57" s="280">
        <f t="shared" si="6"/>
        <v>1.1402591083763925E-3</v>
      </c>
      <c r="I57" s="349"/>
      <c r="J57" s="168"/>
      <c r="K57" s="168"/>
      <c r="M57" s="360">
        <f t="shared" si="7"/>
        <v>0.24166125892277743</v>
      </c>
      <c r="N57" s="360">
        <f>SUMMARY!J60</f>
        <v>0.1328047459108162</v>
      </c>
    </row>
    <row r="58" spans="1:14" s="276" customFormat="1">
      <c r="A58" s="272">
        <v>350</v>
      </c>
      <c r="B58" s="279" t="s">
        <v>210</v>
      </c>
      <c r="C58" s="490">
        <f>'[57]Sch C'!D43</f>
        <v>0</v>
      </c>
      <c r="D58" s="490">
        <f>'[57]Sch C'!F43</f>
        <v>0</v>
      </c>
      <c r="E58" s="249">
        <f t="shared" si="4"/>
        <v>0</v>
      </c>
      <c r="F58" s="249"/>
      <c r="G58" s="249">
        <f t="shared" si="5"/>
        <v>0</v>
      </c>
      <c r="H58" s="280">
        <f t="shared" si="6"/>
        <v>0</v>
      </c>
      <c r="I58" s="349"/>
      <c r="J58" s="168"/>
      <c r="K58" s="168"/>
      <c r="M58" s="360">
        <f t="shared" si="7"/>
        <v>0</v>
      </c>
      <c r="N58" s="360">
        <f>SUMMARY!J61</f>
        <v>0.16717675650583</v>
      </c>
    </row>
    <row r="59" spans="1:14" s="276" customFormat="1">
      <c r="A59" s="272">
        <v>360</v>
      </c>
      <c r="B59" s="279" t="s">
        <v>211</v>
      </c>
      <c r="C59" s="490">
        <f>'[57]Sch C'!D44</f>
        <v>0</v>
      </c>
      <c r="D59" s="490">
        <f>'[57]Sch C'!F44</f>
        <v>0</v>
      </c>
      <c r="E59" s="249">
        <f t="shared" si="4"/>
        <v>0</v>
      </c>
      <c r="F59" s="249"/>
      <c r="G59" s="249">
        <f t="shared" si="5"/>
        <v>0</v>
      </c>
      <c r="H59" s="280">
        <f t="shared" si="6"/>
        <v>0</v>
      </c>
      <c r="I59" s="349"/>
      <c r="J59" s="168"/>
      <c r="K59" s="168"/>
      <c r="M59" s="360">
        <f t="shared" si="7"/>
        <v>0</v>
      </c>
      <c r="N59" s="360">
        <f>SUMMARY!J62</f>
        <v>8.7222686436743951E-3</v>
      </c>
    </row>
    <row r="60" spans="1:14" s="276" customFormat="1">
      <c r="A60" s="272">
        <v>490</v>
      </c>
      <c r="B60" s="279" t="s">
        <v>36</v>
      </c>
      <c r="C60" s="490">
        <f>'[57]Sch C'!D45</f>
        <v>5128</v>
      </c>
      <c r="D60" s="490">
        <f>'[57]Sch C'!F45</f>
        <v>-10637</v>
      </c>
      <c r="E60" s="249">
        <f t="shared" si="4"/>
        <v>-5509</v>
      </c>
      <c r="F60" s="249"/>
      <c r="G60" s="249">
        <f t="shared" si="5"/>
        <v>-5509</v>
      </c>
      <c r="H60" s="280">
        <f t="shared" si="6"/>
        <v>-1.686811876489137E-3</v>
      </c>
      <c r="I60" s="349"/>
      <c r="J60" s="168"/>
      <c r="K60" s="168"/>
      <c r="M60" s="360">
        <f t="shared" si="7"/>
        <v>-0.35749513303049968</v>
      </c>
      <c r="N60" s="360">
        <f>SUMMARY!J63</f>
        <v>0.27778677807815194</v>
      </c>
    </row>
    <row r="61" spans="1:14" s="276" customFormat="1">
      <c r="A61" s="272"/>
      <c r="B61" s="279" t="s">
        <v>177</v>
      </c>
      <c r="C61" s="490">
        <f>SUM(C25:C60)</f>
        <v>1235117</v>
      </c>
      <c r="D61" s="490">
        <f>SUM(D25:D60)</f>
        <v>-293713.51891107229</v>
      </c>
      <c r="E61" s="249">
        <f t="shared" ref="E61:F61" si="8">SUM(E25:E60)</f>
        <v>941403.48108892771</v>
      </c>
      <c r="F61" s="249">
        <f t="shared" si="8"/>
        <v>0</v>
      </c>
      <c r="G61" s="249">
        <f>SUM(G25:G60)</f>
        <v>941403.48108892771</v>
      </c>
      <c r="H61" s="291">
        <f t="shared" si="6"/>
        <v>0.28825024005609362</v>
      </c>
      <c r="I61" s="355"/>
      <c r="J61" s="168"/>
      <c r="K61" s="168"/>
      <c r="M61" s="367">
        <f>G61/G$228</f>
        <v>61.090427066121201</v>
      </c>
      <c r="N61" s="360">
        <f>SUMMARY!J64</f>
        <v>50.526072695090264</v>
      </c>
    </row>
    <row r="62" spans="1:14" s="276" customFormat="1">
      <c r="A62" s="272"/>
      <c r="C62" s="165"/>
      <c r="D62" s="165"/>
      <c r="E62" s="274"/>
      <c r="F62" s="274"/>
      <c r="G62" s="274"/>
      <c r="H62" s="187"/>
      <c r="I62" s="340"/>
      <c r="J62" s="168"/>
      <c r="K62" s="168"/>
      <c r="M62" s="360"/>
      <c r="N62" s="360"/>
    </row>
    <row r="63" spans="1:14" s="276" customFormat="1">
      <c r="A63" s="278" t="s">
        <v>162</v>
      </c>
      <c r="B63" s="279" t="s">
        <v>178</v>
      </c>
      <c r="C63" s="165"/>
      <c r="D63" s="165"/>
      <c r="E63" s="274"/>
      <c r="F63" s="274"/>
      <c r="G63" s="274"/>
      <c r="H63" s="187"/>
      <c r="I63" s="340"/>
      <c r="J63" s="168"/>
      <c r="K63" s="168"/>
      <c r="M63" s="360"/>
      <c r="N63" s="360"/>
    </row>
    <row r="64" spans="1:14" s="276" customFormat="1">
      <c r="A64" s="292">
        <v>230</v>
      </c>
      <c r="B64" s="293" t="s">
        <v>253</v>
      </c>
      <c r="C64" s="490">
        <f>'[57]Sch C'!D57</f>
        <v>181531</v>
      </c>
      <c r="D64" s="490">
        <f>'[57]Sch C'!F57</f>
        <v>0</v>
      </c>
      <c r="E64" s="249">
        <f t="shared" ref="E64:E78" si="9">C64+D64</f>
        <v>181531</v>
      </c>
      <c r="F64" s="249"/>
      <c r="G64" s="249">
        <f t="shared" ref="G64:G78" si="10">E64+F64</f>
        <v>181531</v>
      </c>
      <c r="H64" s="280">
        <f t="shared" ref="H64:H79" si="11">IF($G$208=0,0,G64/$G$208)</f>
        <v>5.558334484497178E-2</v>
      </c>
      <c r="I64" s="349"/>
      <c r="J64" s="190"/>
      <c r="K64" s="168"/>
      <c r="M64" s="360">
        <f t="shared" ref="M64:M79" si="12">G64/G$228</f>
        <v>11.780077871512006</v>
      </c>
      <c r="N64" s="360">
        <f>SUMMARY!J67</f>
        <v>6.8038026869828787</v>
      </c>
    </row>
    <row r="65" spans="1:14" s="276" customFormat="1">
      <c r="A65" s="294">
        <v>240</v>
      </c>
      <c r="B65" s="293" t="s">
        <v>254</v>
      </c>
      <c r="C65" s="490">
        <f>'[57]Sch C'!D58</f>
        <v>908</v>
      </c>
      <c r="D65" s="490">
        <f>'[57]Sch C'!F58</f>
        <v>0</v>
      </c>
      <c r="E65" s="249">
        <f t="shared" si="9"/>
        <v>908</v>
      </c>
      <c r="F65" s="249"/>
      <c r="G65" s="249">
        <f t="shared" si="10"/>
        <v>908</v>
      </c>
      <c r="H65" s="280">
        <f t="shared" si="11"/>
        <v>2.7802236047415796E-4</v>
      </c>
      <c r="I65" s="349"/>
      <c r="J65" s="190"/>
      <c r="K65" s="168"/>
      <c r="M65" s="360">
        <f t="shared" si="12"/>
        <v>5.892277741726152E-2</v>
      </c>
      <c r="N65" s="360">
        <f>SUMMARY!J68</f>
        <v>4.9854394272867122</v>
      </c>
    </row>
    <row r="66" spans="1:14" s="276" customFormat="1">
      <c r="A66" s="295">
        <v>250</v>
      </c>
      <c r="B66" s="293" t="s">
        <v>307</v>
      </c>
      <c r="C66" s="490">
        <f>'[57]Sch C'!D59</f>
        <v>0</v>
      </c>
      <c r="D66" s="490">
        <f>'[57]Sch C'!F59</f>
        <v>0</v>
      </c>
      <c r="E66" s="249">
        <f t="shared" si="9"/>
        <v>0</v>
      </c>
      <c r="F66" s="249"/>
      <c r="G66" s="249">
        <f t="shared" si="10"/>
        <v>0</v>
      </c>
      <c r="H66" s="280">
        <f t="shared" si="11"/>
        <v>0</v>
      </c>
      <c r="I66" s="349"/>
      <c r="J66" s="190"/>
      <c r="K66" s="168"/>
      <c r="M66" s="360">
        <f t="shared" si="12"/>
        <v>0</v>
      </c>
      <c r="N66" s="360">
        <f>SUMMARY!J69</f>
        <v>3.9573657628136862</v>
      </c>
    </row>
    <row r="67" spans="1:14" s="276" customFormat="1">
      <c r="A67" s="295">
        <v>260</v>
      </c>
      <c r="B67" s="296" t="s">
        <v>308</v>
      </c>
      <c r="C67" s="490">
        <f>'[57]Sch C'!D60</f>
        <v>12199</v>
      </c>
      <c r="D67" s="490">
        <f>'[57]Sch C'!F60</f>
        <v>0</v>
      </c>
      <c r="E67" s="249">
        <f t="shared" si="9"/>
        <v>12199</v>
      </c>
      <c r="F67" s="249"/>
      <c r="G67" s="249">
        <f t="shared" si="10"/>
        <v>12199</v>
      </c>
      <c r="H67" s="280">
        <f t="shared" si="11"/>
        <v>3.7352365368108517E-3</v>
      </c>
      <c r="I67" s="349"/>
      <c r="J67" s="193"/>
      <c r="K67" s="168"/>
      <c r="M67" s="360">
        <f t="shared" si="12"/>
        <v>0.79162881245944194</v>
      </c>
      <c r="N67" s="360">
        <f>SUMMARY!J70</f>
        <v>1.1060813959203737</v>
      </c>
    </row>
    <row r="68" spans="1:14" s="276" customFormat="1">
      <c r="A68" s="295">
        <v>270</v>
      </c>
      <c r="B68" s="296" t="s">
        <v>309</v>
      </c>
      <c r="C68" s="490">
        <f>'[57]Sch C'!D61</f>
        <v>5706</v>
      </c>
      <c r="D68" s="490">
        <f>'[57]Sch C'!F61</f>
        <v>0</v>
      </c>
      <c r="E68" s="249">
        <f t="shared" si="9"/>
        <v>5706</v>
      </c>
      <c r="F68" s="249"/>
      <c r="G68" s="249">
        <f t="shared" si="10"/>
        <v>5706</v>
      </c>
      <c r="H68" s="280">
        <f t="shared" si="11"/>
        <v>1.7471317057990588E-3</v>
      </c>
      <c r="I68" s="349"/>
      <c r="J68" s="193"/>
      <c r="K68" s="168"/>
      <c r="M68" s="360">
        <f t="shared" si="12"/>
        <v>0.37027903958468528</v>
      </c>
      <c r="N68" s="360">
        <f>SUMMARY!J71</f>
        <v>0.49146009120450013</v>
      </c>
    </row>
    <row r="69" spans="1:14" s="276" customFormat="1">
      <c r="A69" s="295">
        <v>280</v>
      </c>
      <c r="B69" s="297" t="s">
        <v>258</v>
      </c>
      <c r="C69" s="490">
        <f>'[57]Sch C'!D62</f>
        <v>8018</v>
      </c>
      <c r="D69" s="490">
        <f>'[57]Sch C'!F62</f>
        <v>0</v>
      </c>
      <c r="E69" s="249">
        <f t="shared" si="9"/>
        <v>8018</v>
      </c>
      <c r="F69" s="249"/>
      <c r="G69" s="249">
        <f t="shared" si="10"/>
        <v>8018</v>
      </c>
      <c r="H69" s="280">
        <f t="shared" si="11"/>
        <v>2.4550476721165184E-3</v>
      </c>
      <c r="I69" s="349"/>
      <c r="J69" s="195"/>
      <c r="K69" s="168"/>
      <c r="M69" s="360">
        <f t="shared" si="12"/>
        <v>0.5203114860480208</v>
      </c>
      <c r="N69" s="360">
        <f>SUMMARY!J72</f>
        <v>0.1883559924633407</v>
      </c>
    </row>
    <row r="70" spans="1:14" s="276" customFormat="1">
      <c r="A70" s="295">
        <v>290</v>
      </c>
      <c r="B70" s="297" t="s">
        <v>259</v>
      </c>
      <c r="C70" s="490">
        <f>'[57]Sch C'!D63</f>
        <v>0</v>
      </c>
      <c r="D70" s="490">
        <f>'[57]Sch C'!F63</f>
        <v>0</v>
      </c>
      <c r="E70" s="249">
        <f t="shared" si="9"/>
        <v>0</v>
      </c>
      <c r="F70" s="249"/>
      <c r="G70" s="249">
        <f t="shared" si="10"/>
        <v>0</v>
      </c>
      <c r="H70" s="280">
        <f t="shared" si="11"/>
        <v>0</v>
      </c>
      <c r="I70" s="349"/>
      <c r="J70" s="195"/>
      <c r="K70" s="168"/>
      <c r="M70" s="360">
        <f t="shared" si="12"/>
        <v>0</v>
      </c>
      <c r="N70" s="360">
        <f>SUMMARY!J73</f>
        <v>5.2595996832418557E-3</v>
      </c>
    </row>
    <row r="71" spans="1:14" s="276" customFormat="1">
      <c r="A71" s="295">
        <v>300</v>
      </c>
      <c r="B71" s="297" t="s">
        <v>260</v>
      </c>
      <c r="C71" s="490">
        <f>'[57]Sch C'!D64</f>
        <v>0</v>
      </c>
      <c r="D71" s="490">
        <f>'[57]Sch C'!F64</f>
        <v>0</v>
      </c>
      <c r="E71" s="249">
        <f t="shared" si="9"/>
        <v>0</v>
      </c>
      <c r="F71" s="249"/>
      <c r="G71" s="249">
        <f t="shared" si="10"/>
        <v>0</v>
      </c>
      <c r="H71" s="280">
        <f t="shared" si="11"/>
        <v>0</v>
      </c>
      <c r="I71" s="349"/>
      <c r="J71" s="195"/>
      <c r="K71" s="168"/>
      <c r="M71" s="360">
        <f t="shared" si="12"/>
        <v>0</v>
      </c>
      <c r="N71" s="360">
        <f>SUMMARY!J74</f>
        <v>1.1578056306490812E-3</v>
      </c>
    </row>
    <row r="72" spans="1:14" s="276" customFormat="1">
      <c r="A72" s="295">
        <v>310</v>
      </c>
      <c r="B72" s="297" t="s">
        <v>310</v>
      </c>
      <c r="C72" s="490">
        <f>'[57]Sch C'!D65</f>
        <v>7895</v>
      </c>
      <c r="D72" s="490">
        <f>'[57]Sch C'!F65</f>
        <v>0</v>
      </c>
      <c r="E72" s="249">
        <f t="shared" si="9"/>
        <v>7895</v>
      </c>
      <c r="F72" s="249"/>
      <c r="G72" s="249">
        <f t="shared" si="10"/>
        <v>7895</v>
      </c>
      <c r="H72" s="280">
        <f t="shared" si="11"/>
        <v>2.4173860528011863E-3</v>
      </c>
      <c r="I72" s="349"/>
      <c r="J72" s="195"/>
      <c r="K72" s="168"/>
      <c r="M72" s="360">
        <f t="shared" si="12"/>
        <v>0.51232965606748859</v>
      </c>
      <c r="N72" s="360">
        <f>SUMMARY!J75</f>
        <v>0.1407368559023511</v>
      </c>
    </row>
    <row r="73" spans="1:14" s="276" customFormat="1">
      <c r="A73" s="295">
        <v>320</v>
      </c>
      <c r="B73" s="297" t="s">
        <v>262</v>
      </c>
      <c r="C73" s="490">
        <f>'[57]Sch C'!D66</f>
        <v>8030</v>
      </c>
      <c r="D73" s="490">
        <f>'[57]Sch C'!F66</f>
        <v>0</v>
      </c>
      <c r="E73" s="249">
        <f t="shared" si="9"/>
        <v>8030</v>
      </c>
      <c r="F73" s="249"/>
      <c r="G73" s="249">
        <f t="shared" si="10"/>
        <v>8030</v>
      </c>
      <c r="H73" s="280">
        <f t="shared" si="11"/>
        <v>2.4587219764399654E-3</v>
      </c>
      <c r="I73" s="349"/>
      <c r="J73" s="195"/>
      <c r="K73" s="168"/>
      <c r="M73" s="360">
        <f t="shared" si="12"/>
        <v>0.5210902011680727</v>
      </c>
      <c r="N73" s="360">
        <f>SUMMARY!J76</f>
        <v>1.0094065700008192</v>
      </c>
    </row>
    <row r="74" spans="1:14" s="276" customFormat="1">
      <c r="A74" s="295">
        <v>330</v>
      </c>
      <c r="B74" s="297" t="s">
        <v>263</v>
      </c>
      <c r="C74" s="490">
        <f>'[57]Sch C'!D67</f>
        <v>18917</v>
      </c>
      <c r="D74" s="490">
        <f>'[57]Sch C'!F67</f>
        <v>0</v>
      </c>
      <c r="E74" s="249">
        <f t="shared" si="9"/>
        <v>18917</v>
      </c>
      <c r="F74" s="249"/>
      <c r="G74" s="249">
        <f t="shared" si="10"/>
        <v>18917</v>
      </c>
      <c r="H74" s="280">
        <f t="shared" si="11"/>
        <v>5.7922345738872756E-3</v>
      </c>
      <c r="I74" s="349"/>
      <c r="J74" s="195"/>
      <c r="K74" s="168"/>
      <c r="M74" s="360">
        <f t="shared" si="12"/>
        <v>1.2275794938351721</v>
      </c>
      <c r="N74" s="360">
        <f>SUMMARY!J77</f>
        <v>2.7436852176043502</v>
      </c>
    </row>
    <row r="75" spans="1:14" s="276" customFormat="1">
      <c r="A75" s="295">
        <v>340</v>
      </c>
      <c r="B75" s="297" t="s">
        <v>264</v>
      </c>
      <c r="C75" s="490">
        <f>'[57]Sch C'!D68</f>
        <v>0</v>
      </c>
      <c r="D75" s="490">
        <f>'[57]Sch C'!F68</f>
        <v>0</v>
      </c>
      <c r="E75" s="249">
        <f t="shared" si="9"/>
        <v>0</v>
      </c>
      <c r="F75" s="249"/>
      <c r="G75" s="249">
        <f t="shared" si="10"/>
        <v>0</v>
      </c>
      <c r="H75" s="280">
        <f t="shared" si="11"/>
        <v>0</v>
      </c>
      <c r="I75" s="349"/>
      <c r="J75" s="195"/>
      <c r="K75" s="168"/>
      <c r="M75" s="360">
        <f t="shared" si="12"/>
        <v>0</v>
      </c>
      <c r="N75" s="360">
        <f>SUMMARY!J78</f>
        <v>3.656503099314601E-3</v>
      </c>
    </row>
    <row r="76" spans="1:14" s="276" customFormat="1">
      <c r="A76" s="276">
        <v>350</v>
      </c>
      <c r="B76" s="195" t="s">
        <v>311</v>
      </c>
      <c r="C76" s="490">
        <f>'[57]Sch C'!D69</f>
        <v>6000</v>
      </c>
      <c r="D76" s="490">
        <f>'[57]Sch C'!F69</f>
        <v>0</v>
      </c>
      <c r="E76" s="249">
        <f t="shared" si="9"/>
        <v>6000</v>
      </c>
      <c r="F76" s="249"/>
      <c r="G76" s="249">
        <f t="shared" si="10"/>
        <v>6000</v>
      </c>
      <c r="H76" s="280">
        <f t="shared" si="11"/>
        <v>1.837152161723511E-3</v>
      </c>
      <c r="I76" s="349"/>
      <c r="J76" s="195"/>
      <c r="K76" s="168"/>
      <c r="M76" s="360">
        <f t="shared" si="12"/>
        <v>0.38935756002595717</v>
      </c>
      <c r="N76" s="360">
        <f>SUMMARY!J79</f>
        <v>0.13125994920946998</v>
      </c>
    </row>
    <row r="77" spans="1:14" s="276" customFormat="1">
      <c r="A77" s="295">
        <v>360</v>
      </c>
      <c r="B77" s="297" t="s">
        <v>192</v>
      </c>
      <c r="C77" s="490">
        <f>'[57]Sch C'!D70</f>
        <v>0</v>
      </c>
      <c r="D77" s="490">
        <f>'[57]Sch C'!F70</f>
        <v>0</v>
      </c>
      <c r="E77" s="249">
        <f t="shared" si="9"/>
        <v>0</v>
      </c>
      <c r="F77" s="249"/>
      <c r="G77" s="249">
        <f t="shared" si="10"/>
        <v>0</v>
      </c>
      <c r="H77" s="280">
        <f t="shared" si="11"/>
        <v>0</v>
      </c>
      <c r="I77" s="349"/>
      <c r="J77" s="195"/>
      <c r="K77" s="168"/>
      <c r="M77" s="360">
        <f t="shared" si="12"/>
        <v>0</v>
      </c>
      <c r="N77" s="360">
        <f>SUMMARY!J80</f>
        <v>-2.2034898009338905E-2</v>
      </c>
    </row>
    <row r="78" spans="1:14" s="276" customFormat="1">
      <c r="A78" s="295">
        <v>490</v>
      </c>
      <c r="B78" s="297" t="s">
        <v>312</v>
      </c>
      <c r="C78" s="490">
        <f>'[57]Sch C'!D71</f>
        <v>0</v>
      </c>
      <c r="D78" s="490">
        <f>'[57]Sch C'!F71</f>
        <v>0</v>
      </c>
      <c r="E78" s="249">
        <f t="shared" si="9"/>
        <v>0</v>
      </c>
      <c r="F78" s="249"/>
      <c r="G78" s="249">
        <f t="shared" si="10"/>
        <v>0</v>
      </c>
      <c r="H78" s="280">
        <f t="shared" si="11"/>
        <v>0</v>
      </c>
      <c r="I78" s="349"/>
      <c r="J78" s="195"/>
      <c r="K78" s="168"/>
      <c r="M78" s="360">
        <f t="shared" si="12"/>
        <v>0</v>
      </c>
      <c r="N78" s="360">
        <f>SUMMARY!J81</f>
        <v>3.1060648261926221E-3</v>
      </c>
    </row>
    <row r="79" spans="1:14" s="276" customFormat="1">
      <c r="A79" s="272"/>
      <c r="B79" s="279" t="s">
        <v>150</v>
      </c>
      <c r="C79" s="490">
        <f>SUM(C64:C78)</f>
        <v>249204</v>
      </c>
      <c r="D79" s="490">
        <f>SUM(D64:D78)</f>
        <v>0</v>
      </c>
      <c r="E79" s="249">
        <f t="shared" ref="E79:F79" si="13">SUM(E64:E78)</f>
        <v>249204</v>
      </c>
      <c r="F79" s="249">
        <f t="shared" si="13"/>
        <v>0</v>
      </c>
      <c r="G79" s="249">
        <f>SUM(G64:G78)</f>
        <v>249204</v>
      </c>
      <c r="H79" s="280">
        <f t="shared" si="11"/>
        <v>7.6304277885024308E-2</v>
      </c>
      <c r="I79" s="349"/>
      <c r="J79" s="195"/>
      <c r="K79" s="168"/>
      <c r="M79" s="360">
        <f t="shared" si="12"/>
        <v>16.171576898118104</v>
      </c>
      <c r="N79" s="360">
        <f>SUMMARY!J82</f>
        <v>21.548739024618541</v>
      </c>
    </row>
    <row r="80" spans="1:14" s="276" customFormat="1">
      <c r="A80" s="272"/>
      <c r="B80" s="279"/>
      <c r="C80" s="196"/>
      <c r="D80" s="196"/>
      <c r="E80" s="298"/>
      <c r="F80" s="298"/>
      <c r="G80" s="298"/>
      <c r="H80" s="299"/>
      <c r="I80" s="349"/>
      <c r="J80" s="168"/>
      <c r="K80" s="168"/>
      <c r="M80" s="360"/>
      <c r="N80" s="360"/>
    </row>
    <row r="81" spans="1:14" s="276" customFormat="1">
      <c r="A81" s="278" t="s">
        <v>163</v>
      </c>
      <c r="B81" s="279" t="s">
        <v>43</v>
      </c>
      <c r="C81" s="165"/>
      <c r="D81" s="165"/>
      <c r="E81" s="274"/>
      <c r="F81" s="274"/>
      <c r="G81" s="274"/>
      <c r="H81" s="300"/>
      <c r="I81" s="351"/>
      <c r="J81" s="168"/>
      <c r="K81" s="168"/>
      <c r="M81" s="360"/>
      <c r="N81" s="360"/>
    </row>
    <row r="82" spans="1:14" s="276" customFormat="1">
      <c r="A82" s="278" t="s">
        <v>85</v>
      </c>
      <c r="B82" s="301" t="s">
        <v>44</v>
      </c>
      <c r="C82" s="490">
        <f>'[57]Sch C'!D75</f>
        <v>29332</v>
      </c>
      <c r="D82" s="490">
        <f>'[57]Sch C'!F75</f>
        <v>1697</v>
      </c>
      <c r="E82" s="249">
        <f t="shared" ref="E82:E92" si="14">C82+D82</f>
        <v>31029</v>
      </c>
      <c r="F82" s="249"/>
      <c r="G82" s="249">
        <f t="shared" ref="G82:G92" si="15">E82+F82</f>
        <v>31029</v>
      </c>
      <c r="H82" s="280">
        <f t="shared" ref="H82:H93" si="16">IF($G$208=0,0,G82/$G$208)</f>
        <v>9.5008324043531368E-3</v>
      </c>
      <c r="I82" s="349"/>
      <c r="J82" s="183">
        <v>1908</v>
      </c>
      <c r="K82" s="183">
        <v>2018</v>
      </c>
      <c r="M82" s="360">
        <f t="shared" ref="M82:M92" si="17">G82/G$228</f>
        <v>2.0135626216742377</v>
      </c>
      <c r="N82" s="360">
        <f>SUMMARY!J85</f>
        <v>2.3611771060320579</v>
      </c>
    </row>
    <row r="83" spans="1:14" s="276" customFormat="1">
      <c r="A83" s="278" t="s">
        <v>86</v>
      </c>
      <c r="B83" s="302" t="s">
        <v>45</v>
      </c>
      <c r="C83" s="490">
        <f>'[57]Sch C'!D76</f>
        <v>0</v>
      </c>
      <c r="D83" s="490">
        <f>'[57]Sch C'!F76</f>
        <v>4317</v>
      </c>
      <c r="E83" s="249">
        <f t="shared" si="14"/>
        <v>4317</v>
      </c>
      <c r="F83" s="249"/>
      <c r="G83" s="249">
        <f t="shared" si="15"/>
        <v>4317</v>
      </c>
      <c r="H83" s="280">
        <f t="shared" si="16"/>
        <v>1.3218309803600661E-3</v>
      </c>
      <c r="I83" s="349"/>
      <c r="J83" s="168"/>
      <c r="K83" s="168"/>
      <c r="M83" s="360">
        <f t="shared" si="17"/>
        <v>0.2801427644386762</v>
      </c>
      <c r="N83" s="360">
        <f>SUMMARY!J86</f>
        <v>0.43858787942165905</v>
      </c>
    </row>
    <row r="84" spans="1:14" s="276" customFormat="1">
      <c r="A84" s="278" t="s">
        <v>93</v>
      </c>
      <c r="B84" s="302" t="s">
        <v>47</v>
      </c>
      <c r="C84" s="490">
        <f>'[57]Sch C'!D77</f>
        <v>12921</v>
      </c>
      <c r="D84" s="490">
        <f>'[57]Sch C'!F77</f>
        <v>0</v>
      </c>
      <c r="E84" s="249">
        <f t="shared" si="14"/>
        <v>12921</v>
      </c>
      <c r="F84" s="249"/>
      <c r="G84" s="249">
        <f t="shared" si="15"/>
        <v>12921</v>
      </c>
      <c r="H84" s="280">
        <f t="shared" si="16"/>
        <v>3.9563071802715807E-3</v>
      </c>
      <c r="I84" s="349"/>
      <c r="J84" s="168"/>
      <c r="K84" s="168"/>
      <c r="M84" s="360">
        <f t="shared" si="17"/>
        <v>0.83848150551589873</v>
      </c>
      <c r="N84" s="360">
        <f>SUMMARY!J87</f>
        <v>0.65296275361131606</v>
      </c>
    </row>
    <row r="85" spans="1:14" s="276" customFormat="1">
      <c r="A85" s="278">
        <v>230</v>
      </c>
      <c r="B85" s="302" t="s">
        <v>46</v>
      </c>
      <c r="C85" s="490">
        <f>'[57]Sch C'!D78</f>
        <v>0</v>
      </c>
      <c r="D85" s="490">
        <f>'[57]Sch C'!F78</f>
        <v>0</v>
      </c>
      <c r="E85" s="249">
        <f t="shared" si="14"/>
        <v>0</v>
      </c>
      <c r="F85" s="249"/>
      <c r="G85" s="249">
        <f t="shared" si="15"/>
        <v>0</v>
      </c>
      <c r="H85" s="280">
        <f t="shared" si="16"/>
        <v>0</v>
      </c>
      <c r="I85" s="349"/>
      <c r="J85" s="168"/>
      <c r="K85" s="168"/>
      <c r="M85" s="360">
        <f t="shared" si="17"/>
        <v>0</v>
      </c>
      <c r="N85" s="360">
        <f>SUMMARY!J88</f>
        <v>0.36999472433849429</v>
      </c>
    </row>
    <row r="86" spans="1:14" s="276" customFormat="1">
      <c r="A86" s="278">
        <v>240</v>
      </c>
      <c r="B86" s="303" t="s">
        <v>267</v>
      </c>
      <c r="C86" s="490">
        <f>'[57]Sch C'!D79</f>
        <v>4125</v>
      </c>
      <c r="D86" s="490">
        <f>'[57]Sch C'!F79</f>
        <v>0</v>
      </c>
      <c r="E86" s="249">
        <f t="shared" si="14"/>
        <v>4125</v>
      </c>
      <c r="F86" s="249"/>
      <c r="G86" s="249">
        <f>E86+F86</f>
        <v>4125</v>
      </c>
      <c r="H86" s="280">
        <f t="shared" si="16"/>
        <v>1.2630421111849137E-3</v>
      </c>
      <c r="I86" s="349"/>
      <c r="J86" s="168"/>
      <c r="K86" s="168"/>
      <c r="M86" s="360">
        <f t="shared" si="17"/>
        <v>0.26768332251784555</v>
      </c>
      <c r="N86" s="360">
        <f>SUMMARY!J89</f>
        <v>0.47828681903825671</v>
      </c>
    </row>
    <row r="87" spans="1:14" s="276" customFormat="1">
      <c r="A87" s="278">
        <v>310</v>
      </c>
      <c r="B87" s="302" t="s">
        <v>54</v>
      </c>
      <c r="C87" s="490">
        <f>'[57]Sch C'!D80</f>
        <v>7636</v>
      </c>
      <c r="D87" s="490">
        <f>'[57]Sch C'!F80</f>
        <v>0</v>
      </c>
      <c r="E87" s="249">
        <f t="shared" si="14"/>
        <v>7636</v>
      </c>
      <c r="F87" s="249"/>
      <c r="G87" s="249">
        <f t="shared" si="15"/>
        <v>7636</v>
      </c>
      <c r="H87" s="280">
        <f t="shared" si="16"/>
        <v>2.3380823178201214E-3</v>
      </c>
      <c r="I87" s="349"/>
      <c r="J87" s="168"/>
      <c r="K87" s="168"/>
      <c r="M87" s="360">
        <f t="shared" si="17"/>
        <v>0.4955223880597015</v>
      </c>
      <c r="N87" s="360">
        <f>SUMMARY!J90</f>
        <v>0.92217461565768266</v>
      </c>
    </row>
    <row r="88" spans="1:14" s="276" customFormat="1">
      <c r="A88" s="278">
        <v>320</v>
      </c>
      <c r="B88" s="304" t="s">
        <v>313</v>
      </c>
      <c r="C88" s="490">
        <f>'[57]Sch C'!D81</f>
        <v>443</v>
      </c>
      <c r="D88" s="490">
        <f>'[57]Sch C'!F81</f>
        <v>0</v>
      </c>
      <c r="E88" s="249">
        <f t="shared" si="14"/>
        <v>443</v>
      </c>
      <c r="F88" s="249"/>
      <c r="G88" s="249">
        <f t="shared" si="15"/>
        <v>443</v>
      </c>
      <c r="H88" s="280">
        <f t="shared" si="16"/>
        <v>1.356430679405859E-4</v>
      </c>
      <c r="I88" s="349"/>
      <c r="J88" s="168"/>
      <c r="K88" s="168"/>
      <c r="M88" s="360">
        <f t="shared" si="17"/>
        <v>2.8747566515249838E-2</v>
      </c>
      <c r="N88" s="360">
        <f>SUMMARY!J91</f>
        <v>0.61441790229649651</v>
      </c>
    </row>
    <row r="89" spans="1:14" s="276" customFormat="1">
      <c r="A89" s="278">
        <v>330</v>
      </c>
      <c r="B89" s="304" t="s">
        <v>314</v>
      </c>
      <c r="C89" s="490">
        <f>'[57]Sch C'!D82</f>
        <v>0</v>
      </c>
      <c r="D89" s="490">
        <f>'[57]Sch C'!F82</f>
        <v>0</v>
      </c>
      <c r="E89" s="249">
        <f t="shared" si="14"/>
        <v>0</v>
      </c>
      <c r="F89" s="249"/>
      <c r="G89" s="249">
        <f t="shared" si="15"/>
        <v>0</v>
      </c>
      <c r="H89" s="280">
        <f t="shared" si="16"/>
        <v>0</v>
      </c>
      <c r="I89" s="349"/>
      <c r="J89" s="168"/>
      <c r="K89" s="168"/>
      <c r="M89" s="360">
        <f t="shared" si="17"/>
        <v>0</v>
      </c>
      <c r="N89" s="360">
        <f>SUMMARY!J92</f>
        <v>0.48799148575953694</v>
      </c>
    </row>
    <row r="90" spans="1:14" s="276" customFormat="1">
      <c r="A90" s="272">
        <v>340</v>
      </c>
      <c r="B90" s="304" t="s">
        <v>349</v>
      </c>
      <c r="C90" s="490">
        <f>'[57]Sch C'!D83</f>
        <v>0</v>
      </c>
      <c r="D90" s="490">
        <f>'[57]Sch C'!F83</f>
        <v>0</v>
      </c>
      <c r="E90" s="249">
        <f t="shared" si="14"/>
        <v>0</v>
      </c>
      <c r="F90" s="249"/>
      <c r="G90" s="249">
        <f t="shared" si="15"/>
        <v>0</v>
      </c>
      <c r="H90" s="280">
        <f t="shared" si="16"/>
        <v>0</v>
      </c>
      <c r="I90" s="349"/>
      <c r="J90" s="168"/>
      <c r="K90" s="168"/>
      <c r="M90" s="360">
        <f t="shared" si="17"/>
        <v>0</v>
      </c>
      <c r="N90" s="360">
        <f>SUMMARY!J93</f>
        <v>0.19293963026678682</v>
      </c>
    </row>
    <row r="91" spans="1:14" s="276" customFormat="1">
      <c r="A91" s="272">
        <v>350</v>
      </c>
      <c r="B91" s="302" t="s">
        <v>49</v>
      </c>
      <c r="C91" s="490">
        <f>'[57]Sch C'!D84</f>
        <v>75839</v>
      </c>
      <c r="D91" s="490">
        <f>'[57]Sch C'!F84</f>
        <v>0</v>
      </c>
      <c r="E91" s="249">
        <f t="shared" si="14"/>
        <v>75839</v>
      </c>
      <c r="F91" s="249"/>
      <c r="G91" s="249">
        <f t="shared" si="15"/>
        <v>75839</v>
      </c>
      <c r="H91" s="280">
        <f t="shared" si="16"/>
        <v>2.3221297132158224E-2</v>
      </c>
      <c r="I91" s="349"/>
      <c r="J91" s="168"/>
      <c r="K91" s="168"/>
      <c r="M91" s="360">
        <f t="shared" si="17"/>
        <v>4.9214146658014277</v>
      </c>
      <c r="N91" s="360">
        <f>SUMMARY!J94</f>
        <v>4.5521505201933312</v>
      </c>
    </row>
    <row r="92" spans="1:14" s="276" customFormat="1">
      <c r="A92" s="272">
        <v>490</v>
      </c>
      <c r="B92" s="301" t="s">
        <v>312</v>
      </c>
      <c r="C92" s="490">
        <f>'[57]Sch C'!D85</f>
        <v>0</v>
      </c>
      <c r="D92" s="490">
        <f>'[57]Sch C'!F85</f>
        <v>0</v>
      </c>
      <c r="E92" s="249">
        <f t="shared" si="14"/>
        <v>0</v>
      </c>
      <c r="F92" s="249"/>
      <c r="G92" s="249">
        <f t="shared" si="15"/>
        <v>0</v>
      </c>
      <c r="H92" s="280">
        <f t="shared" si="16"/>
        <v>0</v>
      </c>
      <c r="I92" s="349"/>
      <c r="J92" s="168"/>
      <c r="K92" s="168"/>
      <c r="M92" s="360">
        <f t="shared" si="17"/>
        <v>0</v>
      </c>
      <c r="N92" s="360">
        <f>SUMMARY!J95</f>
        <v>0.10456320690314301</v>
      </c>
    </row>
    <row r="93" spans="1:14" s="276" customFormat="1">
      <c r="A93" s="272"/>
      <c r="B93" s="279" t="s">
        <v>50</v>
      </c>
      <c r="C93" s="490">
        <f>SUM(C82:C92)</f>
        <v>130296</v>
      </c>
      <c r="D93" s="490">
        <f>SUM(D82:D92)</f>
        <v>6014</v>
      </c>
      <c r="E93" s="249">
        <f t="shared" ref="E93:F93" si="18">SUM(E82:E92)</f>
        <v>136310</v>
      </c>
      <c r="F93" s="249">
        <f t="shared" si="18"/>
        <v>0</v>
      </c>
      <c r="G93" s="249">
        <f>SUM(G82:G92)</f>
        <v>136310</v>
      </c>
      <c r="H93" s="280">
        <f t="shared" si="16"/>
        <v>4.1737035194088626E-2</v>
      </c>
      <c r="I93" s="349"/>
      <c r="J93" s="168"/>
      <c r="K93" s="168"/>
      <c r="M93" s="367">
        <f>G93/G$228</f>
        <v>8.8455548345230373</v>
      </c>
      <c r="N93" s="360">
        <f>SUMMARY!J96</f>
        <v>11.17524664351876</v>
      </c>
    </row>
    <row r="94" spans="1:14" s="276" customFormat="1">
      <c r="A94" s="272"/>
      <c r="C94" s="165"/>
      <c r="D94" s="165"/>
      <c r="E94" s="274"/>
      <c r="F94" s="274"/>
      <c r="G94" s="274"/>
      <c r="H94" s="300"/>
      <c r="I94" s="351"/>
      <c r="J94" s="168"/>
      <c r="K94" s="168"/>
      <c r="M94" s="360"/>
      <c r="N94" s="360"/>
    </row>
    <row r="95" spans="1:14" s="276" customFormat="1">
      <c r="A95" s="278" t="s">
        <v>164</v>
      </c>
      <c r="B95" s="279" t="s">
        <v>51</v>
      </c>
      <c r="C95" s="165"/>
      <c r="D95" s="165"/>
      <c r="E95" s="274"/>
      <c r="F95" s="274"/>
      <c r="G95" s="274"/>
      <c r="H95" s="300"/>
      <c r="I95" s="351"/>
      <c r="J95" s="168"/>
      <c r="K95" s="168"/>
      <c r="M95" s="360"/>
      <c r="N95" s="360"/>
    </row>
    <row r="96" spans="1:14" s="276" customFormat="1">
      <c r="A96" s="278" t="s">
        <v>85</v>
      </c>
      <c r="B96" s="279" t="s">
        <v>44</v>
      </c>
      <c r="C96" s="490">
        <f>'[57]Sch C'!D89</f>
        <v>105948</v>
      </c>
      <c r="D96" s="490">
        <f>'[57]Sch C'!F89</f>
        <v>6131</v>
      </c>
      <c r="E96" s="249">
        <f t="shared" ref="E96:E101" si="19">C96+D96</f>
        <v>112079</v>
      </c>
      <c r="F96" s="249"/>
      <c r="G96" s="249">
        <f t="shared" ref="G96:G101" si="20">E96+F96</f>
        <v>112079</v>
      </c>
      <c r="H96" s="280">
        <f t="shared" ref="H96:H102" si="21">IF($G$208=0,0,G96/$G$208)</f>
        <v>3.4317696188968232E-2</v>
      </c>
      <c r="I96" s="349"/>
      <c r="J96" s="183">
        <v>8989</v>
      </c>
      <c r="K96" s="183">
        <v>9509</v>
      </c>
      <c r="M96" s="367">
        <f t="shared" ref="M96:M101" si="22">G96/G$228</f>
        <v>7.2731343283582088</v>
      </c>
      <c r="N96" s="360">
        <f>SUMMARY!J99</f>
        <v>8.2060376122989549</v>
      </c>
    </row>
    <row r="97" spans="1:14" s="276" customFormat="1">
      <c r="A97" s="278" t="s">
        <v>86</v>
      </c>
      <c r="B97" s="279" t="s">
        <v>45</v>
      </c>
      <c r="C97" s="490">
        <f>'[57]Sch C'!D90</f>
        <v>0</v>
      </c>
      <c r="D97" s="490">
        <f>'[57]Sch C'!F90</f>
        <v>15594</v>
      </c>
      <c r="E97" s="249">
        <f t="shared" si="19"/>
        <v>15594</v>
      </c>
      <c r="F97" s="249"/>
      <c r="G97" s="249">
        <f t="shared" si="20"/>
        <v>15594</v>
      </c>
      <c r="H97" s="280">
        <f t="shared" si="21"/>
        <v>4.7747584683194046E-3</v>
      </c>
      <c r="I97" s="349"/>
      <c r="J97" s="168"/>
      <c r="K97" s="168"/>
      <c r="M97" s="367">
        <f t="shared" si="22"/>
        <v>1.0119402985074626</v>
      </c>
      <c r="N97" s="360">
        <f>SUMMARY!J100</f>
        <v>1.4669439852641635</v>
      </c>
    </row>
    <row r="98" spans="1:14" s="276" customFormat="1">
      <c r="A98" s="278">
        <v>310</v>
      </c>
      <c r="B98" s="279" t="s">
        <v>54</v>
      </c>
      <c r="C98" s="490">
        <f>'[57]Sch C'!D91</f>
        <v>14969</v>
      </c>
      <c r="D98" s="490">
        <f>'[57]Sch C'!F91</f>
        <v>0</v>
      </c>
      <c r="E98" s="249">
        <f t="shared" si="19"/>
        <v>14969</v>
      </c>
      <c r="F98" s="249"/>
      <c r="G98" s="249">
        <f t="shared" si="20"/>
        <v>14969</v>
      </c>
      <c r="H98" s="280">
        <f t="shared" si="21"/>
        <v>4.5833884514732059E-3</v>
      </c>
      <c r="I98" s="349"/>
      <c r="J98" s="168"/>
      <c r="K98" s="168"/>
      <c r="M98" s="367">
        <f t="shared" si="22"/>
        <v>0.9713822193380921</v>
      </c>
      <c r="N98" s="360">
        <f>SUMMARY!J101</f>
        <v>1.183530597198329</v>
      </c>
    </row>
    <row r="99" spans="1:14" s="276" customFormat="1">
      <c r="A99" s="278">
        <v>380</v>
      </c>
      <c r="B99" s="279" t="s">
        <v>52</v>
      </c>
      <c r="C99" s="490">
        <f>'[57]Sch C'!D92</f>
        <v>81440</v>
      </c>
      <c r="D99" s="490">
        <f>'[57]Sch C'!F92</f>
        <v>0</v>
      </c>
      <c r="E99" s="249">
        <f t="shared" si="19"/>
        <v>81440</v>
      </c>
      <c r="F99" s="249"/>
      <c r="G99" s="249">
        <f t="shared" si="20"/>
        <v>81440</v>
      </c>
      <c r="H99" s="280">
        <f t="shared" si="21"/>
        <v>2.493627867512712E-2</v>
      </c>
      <c r="I99" s="349"/>
      <c r="J99" s="168"/>
      <c r="K99" s="168"/>
      <c r="M99" s="367">
        <f t="shared" si="22"/>
        <v>5.284879948085659</v>
      </c>
      <c r="N99" s="360">
        <f>SUMMARY!J102</f>
        <v>7.0821094672455693</v>
      </c>
    </row>
    <row r="100" spans="1:14" s="276" customFormat="1">
      <c r="A100" s="278">
        <v>390</v>
      </c>
      <c r="B100" s="279" t="s">
        <v>53</v>
      </c>
      <c r="C100" s="490">
        <f>'[57]Sch C'!D93</f>
        <v>8493</v>
      </c>
      <c r="D100" s="490">
        <f>'[57]Sch C'!F93</f>
        <v>0</v>
      </c>
      <c r="E100" s="249">
        <f t="shared" si="19"/>
        <v>8493</v>
      </c>
      <c r="F100" s="249"/>
      <c r="G100" s="249">
        <f t="shared" si="20"/>
        <v>8493</v>
      </c>
      <c r="H100" s="280">
        <f t="shared" si="21"/>
        <v>2.6004888849196295E-3</v>
      </c>
      <c r="I100" s="349"/>
      <c r="J100" s="168"/>
      <c r="K100" s="168"/>
      <c r="M100" s="367">
        <f t="shared" si="22"/>
        <v>0.55113562621674239</v>
      </c>
      <c r="N100" s="360">
        <f>SUMMARY!J103</f>
        <v>0.68088587422517122</v>
      </c>
    </row>
    <row r="101" spans="1:14" s="276" customFormat="1">
      <c r="A101" s="278">
        <v>490</v>
      </c>
      <c r="B101" s="23" t="s">
        <v>312</v>
      </c>
      <c r="C101" s="490">
        <f>'[57]Sch C'!D94</f>
        <v>0</v>
      </c>
      <c r="D101" s="490">
        <f>'[57]Sch C'!F94</f>
        <v>0</v>
      </c>
      <c r="E101" s="249">
        <f t="shared" si="19"/>
        <v>0</v>
      </c>
      <c r="F101" s="249"/>
      <c r="G101" s="249">
        <f t="shared" si="20"/>
        <v>0</v>
      </c>
      <c r="H101" s="280">
        <f t="shared" si="21"/>
        <v>0</v>
      </c>
      <c r="I101" s="349"/>
      <c r="J101" s="168"/>
      <c r="K101" s="168"/>
      <c r="M101" s="367">
        <f t="shared" si="22"/>
        <v>0</v>
      </c>
      <c r="N101" s="360">
        <f>SUMMARY!J104</f>
        <v>6.9797777231643043E-2</v>
      </c>
    </row>
    <row r="102" spans="1:14" s="276" customFormat="1">
      <c r="A102" s="278"/>
      <c r="B102" s="279" t="s">
        <v>55</v>
      </c>
      <c r="C102" s="490">
        <f>SUM(C96:C101)</f>
        <v>210850</v>
      </c>
      <c r="D102" s="490">
        <f>SUM(D96:D101)</f>
        <v>21725</v>
      </c>
      <c r="E102" s="249">
        <f t="shared" ref="E102:F102" si="23">SUM(E96:E101)</f>
        <v>232575</v>
      </c>
      <c r="F102" s="249">
        <f t="shared" si="23"/>
        <v>0</v>
      </c>
      <c r="G102" s="249">
        <f>SUM(G96:G101)</f>
        <v>232575</v>
      </c>
      <c r="H102" s="280">
        <f t="shared" si="21"/>
        <v>7.1212610668807588E-2</v>
      </c>
      <c r="I102" s="349"/>
      <c r="J102" s="168"/>
      <c r="K102" s="168"/>
      <c r="M102" s="367">
        <f>G102/G$228</f>
        <v>15.092472420506164</v>
      </c>
      <c r="N102" s="360">
        <f>SUMMARY!J105</f>
        <v>18.68930531346383</v>
      </c>
    </row>
    <row r="103" spans="1:14" s="276" customFormat="1">
      <c r="A103" s="272"/>
      <c r="C103" s="165"/>
      <c r="D103" s="165"/>
      <c r="E103" s="274"/>
      <c r="F103" s="274"/>
      <c r="G103" s="274"/>
      <c r="H103" s="300"/>
      <c r="I103" s="351"/>
      <c r="J103" s="168"/>
      <c r="K103" s="168"/>
      <c r="M103" s="360"/>
      <c r="N103" s="360"/>
    </row>
    <row r="104" spans="1:14" s="276" customFormat="1">
      <c r="A104" s="278" t="s">
        <v>165</v>
      </c>
      <c r="B104" s="279" t="s">
        <v>56</v>
      </c>
      <c r="C104" s="165"/>
      <c r="D104" s="165"/>
      <c r="E104" s="274"/>
      <c r="F104" s="274"/>
      <c r="G104" s="274"/>
      <c r="H104" s="300"/>
      <c r="I104" s="351"/>
      <c r="J104" s="168"/>
      <c r="K104" s="168"/>
      <c r="M104" s="360"/>
      <c r="N104" s="360"/>
    </row>
    <row r="105" spans="1:14" s="276" customFormat="1">
      <c r="A105" s="278" t="s">
        <v>85</v>
      </c>
      <c r="B105" s="279" t="s">
        <v>44</v>
      </c>
      <c r="C105" s="490">
        <f>'[57]Sch C'!D98</f>
        <v>0</v>
      </c>
      <c r="D105" s="490">
        <f>'[57]Sch C'!F98</f>
        <v>0</v>
      </c>
      <c r="E105" s="249">
        <f t="shared" ref="E105:E110" si="24">C105+D105</f>
        <v>0</v>
      </c>
      <c r="F105" s="249"/>
      <c r="G105" s="249">
        <f t="shared" ref="G105:G110" si="25">E105+F105</f>
        <v>0</v>
      </c>
      <c r="H105" s="280">
        <f t="shared" ref="H105:H111" si="26">IF($G$208=0,0,G105/$G$208)</f>
        <v>0</v>
      </c>
      <c r="I105" s="349"/>
      <c r="J105" s="183">
        <v>0</v>
      </c>
      <c r="K105" s="183">
        <v>0</v>
      </c>
      <c r="M105" s="367">
        <f t="shared" ref="M105:M110" si="27">G105/G$228</f>
        <v>0</v>
      </c>
      <c r="N105" s="360">
        <f>SUMMARY!J108</f>
        <v>0.86506273995794769</v>
      </c>
    </row>
    <row r="106" spans="1:14" s="276" customFormat="1">
      <c r="A106" s="278" t="s">
        <v>86</v>
      </c>
      <c r="B106" s="279" t="s">
        <v>45</v>
      </c>
      <c r="C106" s="490">
        <f>'[57]Sch C'!D99</f>
        <v>0</v>
      </c>
      <c r="D106" s="490">
        <f>'[57]Sch C'!F99</f>
        <v>0</v>
      </c>
      <c r="E106" s="249">
        <f t="shared" si="24"/>
        <v>0</v>
      </c>
      <c r="F106" s="249"/>
      <c r="G106" s="249">
        <f t="shared" si="25"/>
        <v>0</v>
      </c>
      <c r="H106" s="280">
        <f t="shared" si="26"/>
        <v>0</v>
      </c>
      <c r="I106" s="349"/>
      <c r="J106" s="168"/>
      <c r="K106" s="168"/>
      <c r="M106" s="367">
        <f t="shared" si="27"/>
        <v>0</v>
      </c>
      <c r="N106" s="360">
        <f>SUMMARY!J109</f>
        <v>0.16496038159209525</v>
      </c>
    </row>
    <row r="107" spans="1:14" s="276" customFormat="1">
      <c r="A107" s="278">
        <v>110</v>
      </c>
      <c r="B107" s="279" t="s">
        <v>47</v>
      </c>
      <c r="C107" s="490">
        <f>'[57]Sch C'!D100</f>
        <v>106</v>
      </c>
      <c r="D107" s="490">
        <f>'[57]Sch C'!F100</f>
        <v>0</v>
      </c>
      <c r="E107" s="249">
        <f t="shared" si="24"/>
        <v>106</v>
      </c>
      <c r="F107" s="249"/>
      <c r="G107" s="249">
        <f t="shared" si="25"/>
        <v>106</v>
      </c>
      <c r="H107" s="280">
        <f t="shared" si="26"/>
        <v>3.2456354857115361E-5</v>
      </c>
      <c r="I107" s="349"/>
      <c r="J107" s="168"/>
      <c r="K107" s="168"/>
      <c r="M107" s="367">
        <f t="shared" si="27"/>
        <v>6.8786502271252431E-3</v>
      </c>
      <c r="N107" s="360">
        <f>SUMMARY!J110</f>
        <v>0.16555549548073512</v>
      </c>
    </row>
    <row r="108" spans="1:14" s="276" customFormat="1">
      <c r="A108" s="278">
        <v>310</v>
      </c>
      <c r="B108" s="279" t="s">
        <v>54</v>
      </c>
      <c r="C108" s="490">
        <f>'[57]Sch C'!D101</f>
        <v>0</v>
      </c>
      <c r="D108" s="490">
        <f>'[57]Sch C'!F101</f>
        <v>0</v>
      </c>
      <c r="E108" s="249">
        <f t="shared" si="24"/>
        <v>0</v>
      </c>
      <c r="F108" s="249"/>
      <c r="G108" s="249">
        <f t="shared" si="25"/>
        <v>0</v>
      </c>
      <c r="H108" s="280">
        <f t="shared" si="26"/>
        <v>0</v>
      </c>
      <c r="I108" s="349"/>
      <c r="J108" s="168"/>
      <c r="K108" s="168"/>
      <c r="M108" s="367">
        <f t="shared" si="27"/>
        <v>0</v>
      </c>
      <c r="N108" s="360">
        <f>SUMMARY!J111</f>
        <v>0.8274336200540674</v>
      </c>
    </row>
    <row r="109" spans="1:14" s="276" customFormat="1">
      <c r="A109" s="278">
        <v>410</v>
      </c>
      <c r="B109" s="279" t="s">
        <v>57</v>
      </c>
      <c r="C109" s="490">
        <f>'[57]Sch C'!D102</f>
        <v>0</v>
      </c>
      <c r="D109" s="490">
        <f>'[57]Sch C'!F102</f>
        <v>0</v>
      </c>
      <c r="E109" s="249">
        <f t="shared" si="24"/>
        <v>0</v>
      </c>
      <c r="F109" s="249"/>
      <c r="G109" s="249">
        <f t="shared" si="25"/>
        <v>0</v>
      </c>
      <c r="H109" s="280">
        <f t="shared" si="26"/>
        <v>0</v>
      </c>
      <c r="I109" s="349"/>
      <c r="J109" s="168"/>
      <c r="K109" s="168"/>
      <c r="M109" s="367">
        <f t="shared" si="27"/>
        <v>0</v>
      </c>
      <c r="N109" s="360">
        <f>SUMMARY!J112</f>
        <v>0.23955234428333469</v>
      </c>
    </row>
    <row r="110" spans="1:14" s="276" customFormat="1">
      <c r="A110" s="278">
        <v>490</v>
      </c>
      <c r="B110" s="23" t="s">
        <v>312</v>
      </c>
      <c r="C110" s="490">
        <f>'[57]Sch C'!D103</f>
        <v>0</v>
      </c>
      <c r="D110" s="490">
        <f>'[57]Sch C'!F103</f>
        <v>0</v>
      </c>
      <c r="E110" s="249">
        <f t="shared" si="24"/>
        <v>0</v>
      </c>
      <c r="F110" s="249"/>
      <c r="G110" s="249">
        <f t="shared" si="25"/>
        <v>0</v>
      </c>
      <c r="H110" s="280">
        <f t="shared" si="26"/>
        <v>0</v>
      </c>
      <c r="I110" s="349"/>
      <c r="J110" s="168"/>
      <c r="K110" s="168"/>
      <c r="M110" s="367">
        <f t="shared" si="27"/>
        <v>0</v>
      </c>
      <c r="N110" s="360">
        <f>SUMMARY!J113</f>
        <v>7.1067748013434922E-3</v>
      </c>
    </row>
    <row r="111" spans="1:14" s="276" customFormat="1">
      <c r="A111" s="272"/>
      <c r="B111" s="279" t="s">
        <v>58</v>
      </c>
      <c r="C111" s="490">
        <f>SUM(C105:C110)</f>
        <v>106</v>
      </c>
      <c r="D111" s="490">
        <f>SUM(D105:D110)</f>
        <v>0</v>
      </c>
      <c r="E111" s="249">
        <f t="shared" ref="E111:F111" si="28">SUM(E105:E110)</f>
        <v>106</v>
      </c>
      <c r="F111" s="249">
        <f t="shared" si="28"/>
        <v>0</v>
      </c>
      <c r="G111" s="249">
        <f>SUM(G105:G110)</f>
        <v>106</v>
      </c>
      <c r="H111" s="280">
        <f t="shared" si="26"/>
        <v>3.2456354857115361E-5</v>
      </c>
      <c r="I111" s="349"/>
      <c r="J111" s="168"/>
      <c r="K111" s="168"/>
      <c r="M111" s="367">
        <f>G111/G$228</f>
        <v>6.8786502271252431E-3</v>
      </c>
      <c r="N111" s="360">
        <f>SUMMARY!J114</f>
        <v>2.269671356169523</v>
      </c>
    </row>
    <row r="112" spans="1:14" s="276" customFormat="1">
      <c r="A112" s="272"/>
      <c r="C112" s="165"/>
      <c r="D112" s="165"/>
      <c r="E112" s="274"/>
      <c r="F112" s="274"/>
      <c r="G112" s="274"/>
      <c r="H112" s="300"/>
      <c r="I112" s="351"/>
      <c r="J112" s="168"/>
      <c r="K112" s="168"/>
      <c r="M112" s="360"/>
      <c r="N112" s="360"/>
    </row>
    <row r="113" spans="1:14" s="276" customFormat="1">
      <c r="A113" s="278" t="s">
        <v>166</v>
      </c>
      <c r="B113" s="279" t="s">
        <v>59</v>
      </c>
      <c r="C113" s="165"/>
      <c r="D113" s="165"/>
      <c r="E113" s="274"/>
      <c r="F113" s="274"/>
      <c r="G113" s="274"/>
      <c r="H113" s="300"/>
      <c r="I113" s="351"/>
      <c r="J113" s="168"/>
      <c r="K113" s="168"/>
      <c r="M113" s="360"/>
      <c r="N113" s="360"/>
    </row>
    <row r="114" spans="1:14" s="276" customFormat="1">
      <c r="A114" s="278" t="s">
        <v>85</v>
      </c>
      <c r="B114" s="279" t="s">
        <v>44</v>
      </c>
      <c r="C114" s="490">
        <f>'[57]Sch C'!D115</f>
        <v>55916</v>
      </c>
      <c r="D114" s="490">
        <f>'[57]Sch C'!F115</f>
        <v>3236</v>
      </c>
      <c r="E114" s="249">
        <f t="shared" ref="E114:E118" si="29">C114+D114</f>
        <v>59152</v>
      </c>
      <c r="F114" s="249"/>
      <c r="G114" s="249">
        <f>E114+F114</f>
        <v>59152</v>
      </c>
      <c r="H114" s="280">
        <f t="shared" ref="H114:H119" si="30">IF($G$208=0,0,G114/$G$208)</f>
        <v>1.8111870778378187E-2</v>
      </c>
      <c r="I114" s="349"/>
      <c r="J114" s="183">
        <v>5979</v>
      </c>
      <c r="K114" s="183">
        <v>6325</v>
      </c>
      <c r="M114" s="367">
        <f t="shared" ref="M114:M119" si="31">G114/G$228</f>
        <v>3.8385463984425696</v>
      </c>
      <c r="N114" s="360">
        <f>SUMMARY!J117</f>
        <v>2.9289001010349254</v>
      </c>
    </row>
    <row r="115" spans="1:14" s="276" customFormat="1">
      <c r="A115" s="278" t="s">
        <v>86</v>
      </c>
      <c r="B115" s="279" t="s">
        <v>151</v>
      </c>
      <c r="C115" s="490">
        <f>'[57]Sch C'!D116</f>
        <v>0</v>
      </c>
      <c r="D115" s="490">
        <f>'[57]Sch C'!F116</f>
        <v>8230</v>
      </c>
      <c r="E115" s="249">
        <f t="shared" si="29"/>
        <v>8230</v>
      </c>
      <c r="F115" s="249"/>
      <c r="G115" s="249">
        <f>E115+F115</f>
        <v>8230</v>
      </c>
      <c r="H115" s="280">
        <f t="shared" si="30"/>
        <v>2.5199603818307492E-3</v>
      </c>
      <c r="I115" s="349"/>
      <c r="J115" s="168"/>
      <c r="K115" s="168"/>
      <c r="M115" s="367">
        <f t="shared" si="31"/>
        <v>0.5340687865022713</v>
      </c>
      <c r="N115" s="360">
        <f>SUMMARY!J118</f>
        <v>0.58319440810868606</v>
      </c>
    </row>
    <row r="116" spans="1:14" s="276" customFormat="1">
      <c r="A116" s="278" t="s">
        <v>93</v>
      </c>
      <c r="B116" s="279" t="s">
        <v>47</v>
      </c>
      <c r="C116" s="490">
        <f>'[57]Sch C'!D117</f>
        <v>14786</v>
      </c>
      <c r="D116" s="490">
        <f>'[57]Sch C'!F117</f>
        <v>0</v>
      </c>
      <c r="E116" s="249">
        <f t="shared" si="29"/>
        <v>14786</v>
      </c>
      <c r="F116" s="249"/>
      <c r="G116" s="249">
        <f>E116+F116</f>
        <v>14786</v>
      </c>
      <c r="H116" s="280">
        <f t="shared" si="30"/>
        <v>4.5273553105406386E-3</v>
      </c>
      <c r="I116" s="349"/>
      <c r="J116" s="168"/>
      <c r="K116" s="168"/>
      <c r="M116" s="367">
        <f t="shared" si="31"/>
        <v>0.9595068137573004</v>
      </c>
      <c r="N116" s="360">
        <f>SUMMARY!J119</f>
        <v>0.8285773354086452</v>
      </c>
    </row>
    <row r="117" spans="1:14" s="276" customFormat="1">
      <c r="A117" s="278">
        <v>310</v>
      </c>
      <c r="B117" s="279" t="s">
        <v>60</v>
      </c>
      <c r="C117" s="490">
        <f>'[57]Sch C'!D118</f>
        <v>0</v>
      </c>
      <c r="D117" s="490">
        <f>'[57]Sch C'!F118</f>
        <v>0</v>
      </c>
      <c r="E117" s="249">
        <f t="shared" si="29"/>
        <v>0</v>
      </c>
      <c r="F117" s="249"/>
      <c r="G117" s="249">
        <f>E117+F117</f>
        <v>0</v>
      </c>
      <c r="H117" s="280">
        <f t="shared" si="30"/>
        <v>0</v>
      </c>
      <c r="I117" s="349"/>
      <c r="J117" s="168"/>
      <c r="K117" s="168"/>
      <c r="M117" s="367">
        <f t="shared" si="31"/>
        <v>0</v>
      </c>
      <c r="N117" s="360">
        <f>SUMMARY!J120</f>
        <v>1.394217388929849</v>
      </c>
    </row>
    <row r="118" spans="1:14" s="276" customFormat="1">
      <c r="A118" s="278">
        <v>490</v>
      </c>
      <c r="B118" s="23" t="s">
        <v>312</v>
      </c>
      <c r="C118" s="490">
        <f>'[57]Sch C'!D119</f>
        <v>0</v>
      </c>
      <c r="D118" s="490">
        <f>'[57]Sch C'!F119</f>
        <v>0</v>
      </c>
      <c r="E118" s="249">
        <f t="shared" si="29"/>
        <v>0</v>
      </c>
      <c r="F118" s="249"/>
      <c r="G118" s="249">
        <f>E118+F118</f>
        <v>0</v>
      </c>
      <c r="H118" s="280">
        <f t="shared" si="30"/>
        <v>0</v>
      </c>
      <c r="I118" s="349"/>
      <c r="J118" s="168"/>
      <c r="K118" s="168"/>
      <c r="M118" s="367">
        <f t="shared" si="31"/>
        <v>0</v>
      </c>
      <c r="N118" s="360">
        <f>SUMMARY!J121</f>
        <v>1.5050905218317359E-2</v>
      </c>
    </row>
    <row r="119" spans="1:14" s="276" customFormat="1">
      <c r="A119" s="272"/>
      <c r="B119" s="279" t="s">
        <v>61</v>
      </c>
      <c r="C119" s="490">
        <f>SUM(C114:C118)</f>
        <v>70702</v>
      </c>
      <c r="D119" s="490">
        <f>SUM(D114:D118)</f>
        <v>11466</v>
      </c>
      <c r="E119" s="249">
        <f t="shared" ref="E119:F119" si="32">SUM(E114:E118)</f>
        <v>82168</v>
      </c>
      <c r="F119" s="249">
        <f t="shared" si="32"/>
        <v>0</v>
      </c>
      <c r="G119" s="249">
        <f>SUM(G114:G118)</f>
        <v>82168</v>
      </c>
      <c r="H119" s="280">
        <f t="shared" si="30"/>
        <v>2.5159186470749575E-2</v>
      </c>
      <c r="I119" s="349"/>
      <c r="J119" s="168"/>
      <c r="K119" s="168"/>
      <c r="M119" s="367">
        <f t="shared" si="31"/>
        <v>5.3321219987021413</v>
      </c>
      <c r="N119" s="360">
        <f>SUMMARY!J122</f>
        <v>5.7499401387004214</v>
      </c>
    </row>
    <row r="120" spans="1:14" s="276" customFormat="1">
      <c r="A120" s="272"/>
      <c r="B120" s="279"/>
      <c r="C120" s="196"/>
      <c r="D120" s="196"/>
      <c r="E120" s="298"/>
      <c r="F120" s="298"/>
      <c r="G120" s="298"/>
      <c r="H120" s="299"/>
      <c r="I120" s="349"/>
      <c r="J120" s="203"/>
      <c r="K120" s="203"/>
      <c r="M120" s="360"/>
      <c r="N120" s="360"/>
    </row>
    <row r="121" spans="1:14" s="276" customFormat="1">
      <c r="A121" s="278" t="s">
        <v>167</v>
      </c>
      <c r="B121" s="279" t="s">
        <v>62</v>
      </c>
      <c r="C121" s="165"/>
      <c r="D121" s="165"/>
      <c r="E121" s="274"/>
      <c r="F121" s="274"/>
      <c r="G121" s="274"/>
      <c r="H121" s="300"/>
      <c r="I121" s="351"/>
      <c r="J121" s="204"/>
      <c r="K121" s="204"/>
      <c r="M121" s="360"/>
      <c r="N121" s="360"/>
    </row>
    <row r="122" spans="1:14" s="276" customFormat="1">
      <c r="A122" s="278" t="s">
        <v>85</v>
      </c>
      <c r="B122" s="279" t="s">
        <v>63</v>
      </c>
      <c r="C122" s="165"/>
      <c r="D122" s="165"/>
      <c r="E122" s="274"/>
      <c r="F122" s="274"/>
      <c r="G122" s="274"/>
      <c r="H122" s="300"/>
      <c r="I122" s="351"/>
      <c r="J122" s="204"/>
      <c r="K122" s="204"/>
      <c r="M122" s="360"/>
      <c r="N122" s="360"/>
    </row>
    <row r="123" spans="1:14" s="276" customFormat="1">
      <c r="B123" s="272" t="s">
        <v>232</v>
      </c>
      <c r="C123" s="490">
        <f>'[57]Sch C'!D124</f>
        <v>0</v>
      </c>
      <c r="D123" s="490">
        <f>'[57]Sch C'!F124</f>
        <v>0</v>
      </c>
      <c r="E123" s="249">
        <f t="shared" ref="E123:E127" si="33">C123+D123</f>
        <v>0</v>
      </c>
      <c r="F123" s="249"/>
      <c r="G123" s="249">
        <f>E123+F123</f>
        <v>0</v>
      </c>
      <c r="H123" s="280">
        <f>IF($G$208=0,0,G123/$G$208)</f>
        <v>0</v>
      </c>
      <c r="I123" s="349"/>
      <c r="J123" s="183">
        <v>0</v>
      </c>
      <c r="K123" s="183">
        <v>0</v>
      </c>
      <c r="M123" s="367">
        <f t="shared" ref="M123:M160" si="34">G123/G$228</f>
        <v>0</v>
      </c>
      <c r="N123" s="360">
        <f>SUMMARY!J126</f>
        <v>0.77002560279620991</v>
      </c>
    </row>
    <row r="124" spans="1:14" s="276" customFormat="1">
      <c r="B124" s="272" t="s">
        <v>194</v>
      </c>
      <c r="C124" s="490">
        <f>'[57]Sch C'!D125</f>
        <v>114437</v>
      </c>
      <c r="D124" s="490">
        <f>'[57]Sch C'!F125</f>
        <v>6623</v>
      </c>
      <c r="E124" s="249">
        <f t="shared" si="33"/>
        <v>121060</v>
      </c>
      <c r="F124" s="249"/>
      <c r="G124" s="249">
        <f>E124+F124</f>
        <v>121060</v>
      </c>
      <c r="H124" s="280">
        <f>IF($G$208=0,0,G124/$G$208)</f>
        <v>3.7067606783041371E-2</v>
      </c>
      <c r="I124" s="349"/>
      <c r="J124" s="183">
        <v>3257</v>
      </c>
      <c r="K124" s="183">
        <v>3445</v>
      </c>
      <c r="M124" s="367">
        <f t="shared" si="34"/>
        <v>7.8559377027903956</v>
      </c>
      <c r="N124" s="360">
        <f>SUMMARY!J127</f>
        <v>7.8410343245678709</v>
      </c>
    </row>
    <row r="125" spans="1:14" s="276" customFormat="1">
      <c r="A125" s="272" t="s">
        <v>198</v>
      </c>
      <c r="B125" s="272" t="s">
        <v>195</v>
      </c>
      <c r="C125" s="490">
        <f>'[57]Sch C'!D126</f>
        <v>46581</v>
      </c>
      <c r="D125" s="490">
        <f>'[57]Sch C'!F126</f>
        <v>2696</v>
      </c>
      <c r="E125" s="249">
        <f t="shared" si="33"/>
        <v>49277</v>
      </c>
      <c r="F125" s="249"/>
      <c r="G125" s="249">
        <f>E125+F125</f>
        <v>49277</v>
      </c>
      <c r="H125" s="280">
        <f>IF($G$208=0,0,G125/$G$208)</f>
        <v>1.5088224512208242E-2</v>
      </c>
      <c r="I125" s="349"/>
      <c r="J125" s="183">
        <v>1684</v>
      </c>
      <c r="K125" s="183">
        <v>1781</v>
      </c>
      <c r="M125" s="367">
        <f t="shared" si="34"/>
        <v>3.197728747566515</v>
      </c>
      <c r="N125" s="360">
        <f>SUMMARY!J128</f>
        <v>0.58591518527620767</v>
      </c>
    </row>
    <row r="126" spans="1:14" s="276" customFormat="1">
      <c r="A126" s="278"/>
      <c r="B126" s="272" t="s">
        <v>196</v>
      </c>
      <c r="C126" s="490">
        <f>'[57]Sch C'!D127</f>
        <v>0</v>
      </c>
      <c r="D126" s="490">
        <f>'[57]Sch C'!F127</f>
        <v>0</v>
      </c>
      <c r="E126" s="249">
        <f t="shared" si="33"/>
        <v>0</v>
      </c>
      <c r="F126" s="249"/>
      <c r="G126" s="249">
        <f>E126+F126</f>
        <v>0</v>
      </c>
      <c r="H126" s="280">
        <f>IF($G$208=0,0,G126/$G$208)</f>
        <v>0</v>
      </c>
      <c r="I126" s="349"/>
      <c r="J126" s="183">
        <v>0</v>
      </c>
      <c r="K126" s="183">
        <v>0</v>
      </c>
      <c r="M126" s="367">
        <f t="shared" si="34"/>
        <v>0</v>
      </c>
      <c r="N126" s="360">
        <f>SUMMARY!J129</f>
        <v>0.10632169520220637</v>
      </c>
    </row>
    <row r="127" spans="1:14" s="276" customFormat="1">
      <c r="A127" s="278"/>
      <c r="B127" s="272" t="s">
        <v>197</v>
      </c>
      <c r="C127" s="490">
        <f>'[57]Sch C'!D128</f>
        <v>28913</v>
      </c>
      <c r="D127" s="490">
        <f>'[57]Sch C'!F128</f>
        <v>1673</v>
      </c>
      <c r="E127" s="249">
        <f t="shared" si="33"/>
        <v>30586</v>
      </c>
      <c r="F127" s="249"/>
      <c r="G127" s="249">
        <f>E127+F127</f>
        <v>30586</v>
      </c>
      <c r="H127" s="280">
        <f>IF($G$208=0,0,G127/$G$208)</f>
        <v>9.3651893364125501E-3</v>
      </c>
      <c r="I127" s="349"/>
      <c r="J127" s="183">
        <v>1970</v>
      </c>
      <c r="K127" s="183">
        <v>2084</v>
      </c>
      <c r="M127" s="367">
        <f t="shared" si="34"/>
        <v>1.9848150551589876</v>
      </c>
      <c r="N127" s="360">
        <f>SUMMARY!J130</f>
        <v>2.5140796974413586</v>
      </c>
    </row>
    <row r="128" spans="1:14" s="276" customFormat="1">
      <c r="A128" s="278" t="s">
        <v>95</v>
      </c>
      <c r="B128" s="279" t="s">
        <v>152</v>
      </c>
      <c r="C128" s="580"/>
      <c r="D128" s="580"/>
      <c r="E128" s="305"/>
      <c r="F128" s="305"/>
      <c r="G128" s="305"/>
      <c r="H128" s="306"/>
      <c r="I128" s="352"/>
      <c r="J128" s="207"/>
      <c r="K128" s="207"/>
      <c r="M128" s="367"/>
      <c r="N128" s="360"/>
    </row>
    <row r="129" spans="1:14" s="276" customFormat="1">
      <c r="A129" s="278"/>
      <c r="B129" s="272" t="s">
        <v>232</v>
      </c>
      <c r="C129" s="490">
        <f>'[57]Sch C'!D130</f>
        <v>0</v>
      </c>
      <c r="D129" s="490">
        <f>'[57]Sch C'!F130</f>
        <v>0</v>
      </c>
      <c r="E129" s="249">
        <f t="shared" ref="E129:E133" si="35">C129+D129</f>
        <v>0</v>
      </c>
      <c r="F129" s="249"/>
      <c r="G129" s="249">
        <f>E129+F129</f>
        <v>0</v>
      </c>
      <c r="H129" s="280">
        <f>IF($G$208=0,0,G129/$G$208)</f>
        <v>0</v>
      </c>
      <c r="I129" s="349"/>
      <c r="J129" s="204"/>
      <c r="K129" s="204"/>
      <c r="M129" s="367">
        <f t="shared" si="34"/>
        <v>0</v>
      </c>
      <c r="N129" s="360">
        <f>SUMMARY!J132</f>
        <v>0.14225268616367659</v>
      </c>
    </row>
    <row r="130" spans="1:14" s="276" customFormat="1">
      <c r="A130" s="278"/>
      <c r="B130" s="272" t="s">
        <v>194</v>
      </c>
      <c r="C130" s="490">
        <f>'[57]Sch C'!D131</f>
        <v>0</v>
      </c>
      <c r="D130" s="490">
        <f>'[57]Sch C'!F131</f>
        <v>16843</v>
      </c>
      <c r="E130" s="249">
        <f t="shared" si="35"/>
        <v>16843</v>
      </c>
      <c r="F130" s="249"/>
      <c r="G130" s="249">
        <f>E130+F130</f>
        <v>16843</v>
      </c>
      <c r="H130" s="280">
        <f>IF($G$208=0,0,G130/$G$208)</f>
        <v>5.1571923099848491E-3</v>
      </c>
      <c r="I130" s="349"/>
      <c r="J130" s="204"/>
      <c r="K130" s="204"/>
      <c r="M130" s="367">
        <f t="shared" si="34"/>
        <v>1.0929915639195327</v>
      </c>
      <c r="N130" s="360">
        <f>SUMMARY!J133</f>
        <v>1.0792348507966931</v>
      </c>
    </row>
    <row r="131" spans="1:14" s="276" customFormat="1">
      <c r="B131" s="272" t="s">
        <v>195</v>
      </c>
      <c r="C131" s="490">
        <f>'[57]Sch C'!D132</f>
        <v>0</v>
      </c>
      <c r="D131" s="490">
        <f>'[57]Sch C'!F132</f>
        <v>6856</v>
      </c>
      <c r="E131" s="249">
        <f t="shared" si="35"/>
        <v>6856</v>
      </c>
      <c r="F131" s="249"/>
      <c r="G131" s="249">
        <f>E131+F131</f>
        <v>6856</v>
      </c>
      <c r="H131" s="280">
        <f>IF($G$208=0,0,G131/$G$208)</f>
        <v>2.0992525367960653E-3</v>
      </c>
      <c r="I131" s="349"/>
      <c r="J131" s="168"/>
      <c r="K131" s="168"/>
      <c r="M131" s="367">
        <f t="shared" si="34"/>
        <v>0.44490590525632706</v>
      </c>
      <c r="N131" s="360">
        <f>SUMMARY!J134</f>
        <v>8.2765628075518377E-2</v>
      </c>
    </row>
    <row r="132" spans="1:14" s="276" customFormat="1">
      <c r="B132" s="272" t="s">
        <v>196</v>
      </c>
      <c r="C132" s="490">
        <f>'[57]Sch C'!D133</f>
        <v>0</v>
      </c>
      <c r="D132" s="490">
        <f>'[57]Sch C'!F133</f>
        <v>0</v>
      </c>
      <c r="E132" s="249">
        <f t="shared" si="35"/>
        <v>0</v>
      </c>
      <c r="F132" s="249"/>
      <c r="G132" s="249">
        <f>E132+F132</f>
        <v>0</v>
      </c>
      <c r="H132" s="280">
        <f>IF($G$208=0,0,G132/$G$208)</f>
        <v>0</v>
      </c>
      <c r="I132" s="349"/>
      <c r="J132" s="168"/>
      <c r="K132" s="168"/>
      <c r="M132" s="367">
        <f t="shared" si="34"/>
        <v>0</v>
      </c>
      <c r="N132" s="360">
        <f>SUMMARY!J135</f>
        <v>2.4827298902786038E-2</v>
      </c>
    </row>
    <row r="133" spans="1:14" s="276" customFormat="1">
      <c r="B133" s="272" t="s">
        <v>197</v>
      </c>
      <c r="C133" s="490">
        <f>'[57]Sch C'!D134</f>
        <v>0</v>
      </c>
      <c r="D133" s="490">
        <f>'[57]Sch C'!F134</f>
        <v>4255</v>
      </c>
      <c r="E133" s="249">
        <f t="shared" si="35"/>
        <v>4255</v>
      </c>
      <c r="F133" s="249"/>
      <c r="G133" s="249">
        <f>E133+F133</f>
        <v>4255</v>
      </c>
      <c r="H133" s="280">
        <f>IF($G$208=0,0,G133/$G$208)</f>
        <v>1.3028470746889232E-3</v>
      </c>
      <c r="I133" s="349"/>
      <c r="J133" s="168"/>
      <c r="K133" s="168"/>
      <c r="M133" s="367">
        <f t="shared" si="34"/>
        <v>0.27611940298507465</v>
      </c>
      <c r="N133" s="360">
        <f>SUMMARY!J136</f>
        <v>0.48951420004915208</v>
      </c>
    </row>
    <row r="134" spans="1:14" s="276" customFormat="1">
      <c r="A134" s="278" t="s">
        <v>86</v>
      </c>
      <c r="B134" s="279" t="s">
        <v>64</v>
      </c>
      <c r="C134" s="196"/>
      <c r="D134" s="196"/>
      <c r="E134" s="298"/>
      <c r="F134" s="298"/>
      <c r="G134" s="298"/>
      <c r="H134" s="299"/>
      <c r="I134" s="349"/>
      <c r="J134" s="204"/>
      <c r="K134" s="204"/>
      <c r="M134" s="367"/>
      <c r="N134" s="360"/>
    </row>
    <row r="135" spans="1:14" s="276" customFormat="1">
      <c r="A135" s="278"/>
      <c r="B135" s="272" t="s">
        <v>194</v>
      </c>
      <c r="C135" s="490">
        <f>'[57]Sch C'!D136</f>
        <v>223879</v>
      </c>
      <c r="D135" s="490">
        <f>'[57]Sch C'!F136</f>
        <v>12956</v>
      </c>
      <c r="E135" s="249">
        <f t="shared" ref="E135:E138" si="36">C135+D135</f>
        <v>236835</v>
      </c>
      <c r="F135" s="249"/>
      <c r="G135" s="249">
        <f>E135+F135</f>
        <v>236835</v>
      </c>
      <c r="H135" s="280">
        <f>IF($G$208=0,0,G135/$G$208)</f>
        <v>7.2516988703631283E-2</v>
      </c>
      <c r="I135" s="349"/>
      <c r="J135" s="183">
        <v>8028</v>
      </c>
      <c r="K135" s="183">
        <v>8493</v>
      </c>
      <c r="M135" s="367">
        <f t="shared" si="34"/>
        <v>15.368916288124595</v>
      </c>
      <c r="N135" s="360">
        <f>SUMMARY!J138</f>
        <v>22.542001283416617</v>
      </c>
    </row>
    <row r="136" spans="1:14" s="276" customFormat="1">
      <c r="A136" s="278"/>
      <c r="B136" s="272" t="s">
        <v>195</v>
      </c>
      <c r="C136" s="490">
        <f>'[57]Sch C'!D137</f>
        <v>108380</v>
      </c>
      <c r="D136" s="490">
        <f>'[57]Sch C'!F137</f>
        <v>6272</v>
      </c>
      <c r="E136" s="249">
        <f t="shared" si="36"/>
        <v>114652</v>
      </c>
      <c r="F136" s="249"/>
      <c r="G136" s="249">
        <f>E136+F136</f>
        <v>114652</v>
      </c>
      <c r="H136" s="280">
        <f>IF($G$208=0,0,G136/$G$208)</f>
        <v>3.510552827432066E-2</v>
      </c>
      <c r="I136" s="349"/>
      <c r="J136" s="183">
        <v>5351</v>
      </c>
      <c r="K136" s="183">
        <v>5661</v>
      </c>
      <c r="M136" s="367">
        <f t="shared" si="34"/>
        <v>7.4401038286826733</v>
      </c>
      <c r="N136" s="360">
        <f>SUMMARY!J139</f>
        <v>10.249133857622674</v>
      </c>
    </row>
    <row r="137" spans="1:14" s="276" customFormat="1">
      <c r="A137" s="278"/>
      <c r="B137" s="272" t="s">
        <v>196</v>
      </c>
      <c r="C137" s="490">
        <f>'[57]Sch C'!D138</f>
        <v>281601</v>
      </c>
      <c r="D137" s="490">
        <f>'[57]Sch C'!F138</f>
        <v>16008</v>
      </c>
      <c r="E137" s="249">
        <f t="shared" si="36"/>
        <v>297609</v>
      </c>
      <c r="F137" s="249"/>
      <c r="G137" s="249">
        <f>E137+F137</f>
        <v>297609</v>
      </c>
      <c r="H137" s="280">
        <f>IF($G$208=0,0,G137/$G$208)</f>
        <v>9.1125502949728723E-2</v>
      </c>
      <c r="I137" s="349"/>
      <c r="J137" s="183">
        <v>23832</v>
      </c>
      <c r="K137" s="183">
        <v>25211</v>
      </c>
      <c r="M137" s="367">
        <f t="shared" si="34"/>
        <v>19.312719013627515</v>
      </c>
      <c r="N137" s="360">
        <f>SUMMARY!J140</f>
        <v>27.843137668277773</v>
      </c>
    </row>
    <row r="138" spans="1:14" s="276" customFormat="1">
      <c r="A138" s="278"/>
      <c r="B138" s="272" t="s">
        <v>197</v>
      </c>
      <c r="C138" s="490">
        <f>'[57]Sch C'!D139</f>
        <v>51389</v>
      </c>
      <c r="D138" s="490">
        <f>'[57]Sch C'!F139</f>
        <v>2974</v>
      </c>
      <c r="E138" s="249">
        <f t="shared" si="36"/>
        <v>54363</v>
      </c>
      <c r="F138" s="249"/>
      <c r="G138" s="249">
        <f>E138+F138</f>
        <v>54363</v>
      </c>
      <c r="H138" s="280">
        <f>IF($G$208=0,0,G138/$G$208)</f>
        <v>1.6645517161295871E-2</v>
      </c>
      <c r="I138" s="349"/>
      <c r="J138" s="183">
        <v>5587</v>
      </c>
      <c r="K138" s="183">
        <v>5910</v>
      </c>
      <c r="M138" s="367">
        <f t="shared" si="34"/>
        <v>3.5277741726151848</v>
      </c>
      <c r="N138" s="360">
        <f>SUMMARY!J141</f>
        <v>2.553029289205647</v>
      </c>
    </row>
    <row r="139" spans="1:14" s="276" customFormat="1">
      <c r="A139" s="278" t="s">
        <v>96</v>
      </c>
      <c r="B139" s="279" t="s">
        <v>153</v>
      </c>
      <c r="C139" s="196"/>
      <c r="D139" s="196"/>
      <c r="E139" s="298"/>
      <c r="F139" s="298"/>
      <c r="G139" s="298"/>
      <c r="H139" s="299"/>
      <c r="I139" s="349"/>
      <c r="J139" s="406"/>
      <c r="K139" s="406"/>
      <c r="M139" s="367"/>
      <c r="N139" s="360"/>
    </row>
    <row r="140" spans="1:14" s="276" customFormat="1">
      <c r="A140" s="278"/>
      <c r="B140" s="272" t="s">
        <v>194</v>
      </c>
      <c r="C140" s="490">
        <f>'[57]Sch C'!D141</f>
        <v>0</v>
      </c>
      <c r="D140" s="490">
        <f>'[57]Sch C'!F141</f>
        <v>32951</v>
      </c>
      <c r="E140" s="249">
        <f t="shared" ref="E140:E143" si="37">C140+D140</f>
        <v>32951</v>
      </c>
      <c r="F140" s="249"/>
      <c r="G140" s="249">
        <f>E140+F140</f>
        <v>32951</v>
      </c>
      <c r="H140" s="280">
        <f>IF($G$208=0,0,G140/$G$208)</f>
        <v>1.0089333480158568E-2</v>
      </c>
      <c r="I140" s="349"/>
      <c r="J140" s="168"/>
      <c r="K140" s="168"/>
      <c r="M140" s="367">
        <f t="shared" si="34"/>
        <v>2.1382868267358859</v>
      </c>
      <c r="N140" s="360">
        <f>SUMMARY!J143</f>
        <v>3.8870567805088321</v>
      </c>
    </row>
    <row r="141" spans="1:14" s="276" customFormat="1">
      <c r="A141" s="278"/>
      <c r="B141" s="272" t="s">
        <v>195</v>
      </c>
      <c r="C141" s="490">
        <f>'[57]Sch C'!D142</f>
        <v>0</v>
      </c>
      <c r="D141" s="490">
        <f>'[57]Sch C'!F142</f>
        <v>15952</v>
      </c>
      <c r="E141" s="249">
        <f t="shared" si="37"/>
        <v>15952</v>
      </c>
      <c r="F141" s="249"/>
      <c r="G141" s="249">
        <f>E141+F141</f>
        <v>15952</v>
      </c>
      <c r="H141" s="280">
        <f>IF($G$208=0,0,G141/$G$208)</f>
        <v>4.8843752139689075E-3</v>
      </c>
      <c r="I141" s="349"/>
      <c r="J141" s="168"/>
      <c r="K141" s="168"/>
      <c r="M141" s="367">
        <f t="shared" si="34"/>
        <v>1.0351719662556782</v>
      </c>
      <c r="N141" s="360">
        <f>SUMMARY!J144</f>
        <v>1.7548113884114069</v>
      </c>
    </row>
    <row r="142" spans="1:14" s="276" customFormat="1">
      <c r="A142" s="278"/>
      <c r="B142" s="272" t="s">
        <v>196</v>
      </c>
      <c r="C142" s="490">
        <f>'[57]Sch C'!D143</f>
        <v>0</v>
      </c>
      <c r="D142" s="490">
        <f>'[57]Sch C'!F143</f>
        <v>41408</v>
      </c>
      <c r="E142" s="249">
        <f t="shared" si="37"/>
        <v>41408</v>
      </c>
      <c r="F142" s="249"/>
      <c r="G142" s="249">
        <f>E142+F142</f>
        <v>41408</v>
      </c>
      <c r="H142" s="280">
        <f>IF($G$208=0,0,G142/$G$208)</f>
        <v>1.2678799452107857E-2</v>
      </c>
      <c r="I142" s="349"/>
      <c r="J142" s="168"/>
      <c r="K142" s="168"/>
      <c r="M142" s="367">
        <f t="shared" si="34"/>
        <v>2.6870863075924722</v>
      </c>
      <c r="N142" s="360">
        <f>SUMMARY!J145</f>
        <v>5.0558410725664986</v>
      </c>
    </row>
    <row r="143" spans="1:14" s="276" customFormat="1">
      <c r="A143" s="278"/>
      <c r="B143" s="272" t="s">
        <v>197</v>
      </c>
      <c r="C143" s="490">
        <f>'[57]Sch C'!D144</f>
        <v>0</v>
      </c>
      <c r="D143" s="490">
        <f>'[57]Sch C'!F144</f>
        <v>7564</v>
      </c>
      <c r="E143" s="249">
        <f t="shared" si="37"/>
        <v>7564</v>
      </c>
      <c r="F143" s="249"/>
      <c r="G143" s="249">
        <f>E143+F143</f>
        <v>7564</v>
      </c>
      <c r="H143" s="280">
        <f>IF($G$208=0,0,G143/$G$208)</f>
        <v>2.3160364918794396E-3</v>
      </c>
      <c r="I143" s="349"/>
      <c r="J143" s="168"/>
      <c r="K143" s="168"/>
      <c r="M143" s="367">
        <f t="shared" si="34"/>
        <v>0.49085009733939</v>
      </c>
      <c r="N143" s="360">
        <f>SUMMARY!J146</f>
        <v>0.71727598372518497</v>
      </c>
    </row>
    <row r="144" spans="1:14" s="276" customFormat="1">
      <c r="A144" s="278" t="s">
        <v>87</v>
      </c>
      <c r="B144" s="279" t="s">
        <v>98</v>
      </c>
      <c r="C144" s="196"/>
      <c r="D144" s="196"/>
      <c r="E144" s="298"/>
      <c r="F144" s="298"/>
      <c r="G144" s="298"/>
      <c r="H144" s="299"/>
      <c r="I144" s="349"/>
      <c r="J144" s="204"/>
      <c r="K144" s="204"/>
      <c r="M144" s="367"/>
      <c r="N144" s="360"/>
    </row>
    <row r="145" spans="1:14" s="276" customFormat="1">
      <c r="A145" s="278"/>
      <c r="B145" s="272" t="s">
        <v>232</v>
      </c>
      <c r="C145" s="490">
        <f>'[57]Sch C'!D146</f>
        <v>18000</v>
      </c>
      <c r="D145" s="490">
        <f>'[57]Sch C'!F146</f>
        <v>0</v>
      </c>
      <c r="E145" s="249">
        <f t="shared" ref="E145:E153" si="38">C145+D145</f>
        <v>18000</v>
      </c>
      <c r="F145" s="249"/>
      <c r="G145" s="249">
        <f t="shared" ref="G145:G153" si="39">E145+F145</f>
        <v>18000</v>
      </c>
      <c r="H145" s="280">
        <f t="shared" ref="H145:H153" si="40">IF($G$208=0,0,G145/$G$208)</f>
        <v>5.5114564851705327E-3</v>
      </c>
      <c r="I145" s="349"/>
      <c r="J145" s="183">
        <v>0</v>
      </c>
      <c r="K145" s="183">
        <v>0</v>
      </c>
      <c r="M145" s="367">
        <f t="shared" si="34"/>
        <v>1.1680726800778716</v>
      </c>
      <c r="N145" s="360">
        <f>SUMMARY!J148</f>
        <v>1.6388888069686796</v>
      </c>
    </row>
    <row r="146" spans="1:14" s="276" customFormat="1">
      <c r="A146" s="278"/>
      <c r="B146" s="272" t="s">
        <v>194</v>
      </c>
      <c r="C146" s="490">
        <f>'[57]Sch C'!D147</f>
        <v>0</v>
      </c>
      <c r="D146" s="490">
        <f>'[57]Sch C'!F147</f>
        <v>0</v>
      </c>
      <c r="E146" s="249">
        <f t="shared" si="38"/>
        <v>0</v>
      </c>
      <c r="F146" s="249"/>
      <c r="G146" s="249">
        <f t="shared" si="39"/>
        <v>0</v>
      </c>
      <c r="H146" s="280">
        <f t="shared" si="40"/>
        <v>0</v>
      </c>
      <c r="I146" s="349"/>
      <c r="J146" s="183">
        <v>0</v>
      </c>
      <c r="K146" s="183">
        <v>0</v>
      </c>
      <c r="M146" s="367">
        <f t="shared" si="34"/>
        <v>0</v>
      </c>
      <c r="N146" s="360">
        <f>SUMMARY!J149</f>
        <v>0.18124216706261434</v>
      </c>
    </row>
    <row r="147" spans="1:14" s="276" customFormat="1">
      <c r="A147" s="278"/>
      <c r="B147" s="272" t="s">
        <v>195</v>
      </c>
      <c r="C147" s="490">
        <f>'[57]Sch C'!D148</f>
        <v>0</v>
      </c>
      <c r="D147" s="490">
        <f>'[57]Sch C'!F148</f>
        <v>0</v>
      </c>
      <c r="E147" s="249">
        <f t="shared" si="38"/>
        <v>0</v>
      </c>
      <c r="F147" s="249"/>
      <c r="G147" s="249">
        <f t="shared" si="39"/>
        <v>0</v>
      </c>
      <c r="H147" s="280">
        <f t="shared" si="40"/>
        <v>0</v>
      </c>
      <c r="I147" s="349"/>
      <c r="J147" s="183">
        <v>0</v>
      </c>
      <c r="K147" s="183">
        <v>0</v>
      </c>
      <c r="M147" s="367">
        <f t="shared" si="34"/>
        <v>0</v>
      </c>
      <c r="N147" s="360">
        <f>SUMMARY!J150</f>
        <v>3.2513399415635851E-2</v>
      </c>
    </row>
    <row r="148" spans="1:14" s="276" customFormat="1">
      <c r="A148" s="278"/>
      <c r="B148" s="272" t="s">
        <v>196</v>
      </c>
      <c r="C148" s="490">
        <f>'[57]Sch C'!D149</f>
        <v>0</v>
      </c>
      <c r="D148" s="490">
        <f>'[57]Sch C'!F149</f>
        <v>0</v>
      </c>
      <c r="E148" s="249">
        <f t="shared" si="38"/>
        <v>0</v>
      </c>
      <c r="F148" s="249"/>
      <c r="G148" s="249">
        <f t="shared" si="39"/>
        <v>0</v>
      </c>
      <c r="H148" s="280">
        <f t="shared" si="40"/>
        <v>0</v>
      </c>
      <c r="I148" s="349"/>
      <c r="J148" s="183">
        <v>0</v>
      </c>
      <c r="K148" s="183">
        <v>0</v>
      </c>
      <c r="M148" s="367">
        <f t="shared" si="34"/>
        <v>0</v>
      </c>
      <c r="N148" s="360">
        <f>SUMMARY!J151</f>
        <v>9.6307730537123507E-2</v>
      </c>
    </row>
    <row r="149" spans="1:14" s="276" customFormat="1">
      <c r="A149" s="278"/>
      <c r="B149" s="272" t="s">
        <v>197</v>
      </c>
      <c r="C149" s="490">
        <f>'[57]Sch C'!D150</f>
        <v>8121</v>
      </c>
      <c r="D149" s="490">
        <f>'[57]Sch C'!F150</f>
        <v>0</v>
      </c>
      <c r="E149" s="249">
        <f t="shared" si="38"/>
        <v>8121</v>
      </c>
      <c r="F149" s="249"/>
      <c r="G149" s="249">
        <f t="shared" si="39"/>
        <v>8121</v>
      </c>
      <c r="H149" s="280">
        <f t="shared" si="40"/>
        <v>2.4865854508927718E-3</v>
      </c>
      <c r="I149" s="349"/>
      <c r="J149" s="183">
        <v>0</v>
      </c>
      <c r="K149" s="183">
        <v>0</v>
      </c>
      <c r="M149" s="367">
        <f t="shared" si="34"/>
        <v>0.52699545749513299</v>
      </c>
      <c r="N149" s="360">
        <f>SUMMARY!J152</f>
        <v>0.33970063624696212</v>
      </c>
    </row>
    <row r="150" spans="1:14" s="276" customFormat="1">
      <c r="A150" s="278">
        <v>110</v>
      </c>
      <c r="B150" s="276" t="s">
        <v>65</v>
      </c>
      <c r="C150" s="490">
        <f>'[57]Sch C'!D151</f>
        <v>52600</v>
      </c>
      <c r="D150" s="490">
        <f>'[57]Sch C'!F151</f>
        <v>0</v>
      </c>
      <c r="E150" s="249">
        <f t="shared" si="38"/>
        <v>52600</v>
      </c>
      <c r="F150" s="249"/>
      <c r="G150" s="249">
        <f t="shared" si="39"/>
        <v>52600</v>
      </c>
      <c r="H150" s="280">
        <f t="shared" si="40"/>
        <v>1.6105700617776112E-2</v>
      </c>
      <c r="I150" s="349"/>
      <c r="J150" s="168"/>
      <c r="K150" s="168"/>
      <c r="M150" s="367">
        <f t="shared" si="34"/>
        <v>3.4133679428942245</v>
      </c>
      <c r="N150" s="360">
        <f>SUMMARY!J153</f>
        <v>5.9639933098495392</v>
      </c>
    </row>
    <row r="151" spans="1:14" s="276" customFormat="1">
      <c r="A151" s="278">
        <v>111</v>
      </c>
      <c r="B151" s="279" t="s">
        <v>97</v>
      </c>
      <c r="C151" s="490">
        <f>'[57]Sch C'!D152</f>
        <v>6208</v>
      </c>
      <c r="D151" s="490">
        <f>'[57]Sch C'!F152</f>
        <v>0</v>
      </c>
      <c r="E151" s="249">
        <f t="shared" si="38"/>
        <v>6208</v>
      </c>
      <c r="F151" s="249"/>
      <c r="G151" s="249">
        <f t="shared" si="39"/>
        <v>6208</v>
      </c>
      <c r="H151" s="280">
        <f t="shared" si="40"/>
        <v>1.900840103329926E-3</v>
      </c>
      <c r="I151" s="349"/>
      <c r="J151" s="168"/>
      <c r="K151" s="168"/>
      <c r="M151" s="367">
        <f t="shared" si="34"/>
        <v>0.40285528877352367</v>
      </c>
      <c r="N151" s="360">
        <f>SUMMARY!J154</f>
        <v>0.31252846181152888</v>
      </c>
    </row>
    <row r="152" spans="1:14" s="276" customFormat="1">
      <c r="A152" s="278">
        <v>230</v>
      </c>
      <c r="B152" s="279" t="s">
        <v>66</v>
      </c>
      <c r="C152" s="490">
        <f>'[57]Sch C'!D153</f>
        <v>0</v>
      </c>
      <c r="D152" s="490">
        <f>'[57]Sch C'!F153</f>
        <v>0</v>
      </c>
      <c r="E152" s="249">
        <f t="shared" si="38"/>
        <v>0</v>
      </c>
      <c r="F152" s="249"/>
      <c r="G152" s="249">
        <f t="shared" si="39"/>
        <v>0</v>
      </c>
      <c r="H152" s="280">
        <f t="shared" si="40"/>
        <v>0</v>
      </c>
      <c r="I152" s="349"/>
      <c r="J152" s="168"/>
      <c r="K152" s="168"/>
      <c r="M152" s="367">
        <f t="shared" si="34"/>
        <v>0</v>
      </c>
      <c r="N152" s="360">
        <f>SUMMARY!J155</f>
        <v>0.16356998443516016</v>
      </c>
    </row>
    <row r="153" spans="1:14" s="276" customFormat="1">
      <c r="A153" s="278">
        <v>430</v>
      </c>
      <c r="B153" s="279" t="s">
        <v>99</v>
      </c>
      <c r="C153" s="490">
        <f>'[57]Sch C'!D154</f>
        <v>0</v>
      </c>
      <c r="D153" s="490">
        <f>'[57]Sch C'!F154</f>
        <v>0</v>
      </c>
      <c r="E153" s="249">
        <f t="shared" si="38"/>
        <v>0</v>
      </c>
      <c r="F153" s="249"/>
      <c r="G153" s="249">
        <f t="shared" si="39"/>
        <v>0</v>
      </c>
      <c r="H153" s="280">
        <f t="shared" si="40"/>
        <v>0</v>
      </c>
      <c r="I153" s="349"/>
      <c r="J153" s="168"/>
      <c r="K153" s="168"/>
      <c r="M153" s="367">
        <f t="shared" si="34"/>
        <v>0</v>
      </c>
      <c r="N153" s="360">
        <f>SUMMARY!J156</f>
        <v>0.98203545506676493</v>
      </c>
    </row>
    <row r="154" spans="1:14" s="276" customFormat="1">
      <c r="A154" s="278"/>
      <c r="B154" s="209" t="s">
        <v>302</v>
      </c>
      <c r="C154" s="572"/>
      <c r="D154" s="572"/>
      <c r="E154" s="307"/>
      <c r="F154" s="307"/>
      <c r="G154" s="307"/>
      <c r="H154" s="308"/>
      <c r="I154" s="349"/>
      <c r="J154" s="168"/>
      <c r="K154" s="168"/>
      <c r="M154" s="367"/>
      <c r="N154" s="360"/>
    </row>
    <row r="155" spans="1:14" s="276" customFormat="1">
      <c r="A155" s="278">
        <v>440.1</v>
      </c>
      <c r="B155" s="272" t="s">
        <v>223</v>
      </c>
      <c r="C155" s="490">
        <f>'[57]Sch C'!D156</f>
        <v>0</v>
      </c>
      <c r="D155" s="490">
        <f>'[57]Sch C'!F156</f>
        <v>0</v>
      </c>
      <c r="E155" s="249">
        <f t="shared" ref="E155:E160" si="41">C155+D155</f>
        <v>0</v>
      </c>
      <c r="F155" s="249"/>
      <c r="G155" s="249">
        <f t="shared" ref="G155:G160" si="42">E155+F155</f>
        <v>0</v>
      </c>
      <c r="H155" s="280">
        <f t="shared" ref="H155:H161" si="43">IF($G$208=0,0,G155/$G$208)</f>
        <v>0</v>
      </c>
      <c r="I155" s="349"/>
      <c r="J155" s="168"/>
      <c r="K155" s="168"/>
      <c r="M155" s="367">
        <f t="shared" si="34"/>
        <v>0</v>
      </c>
      <c r="N155" s="360">
        <f>SUMMARY!J158</f>
        <v>4.0927336773982138E-4</v>
      </c>
    </row>
    <row r="156" spans="1:14" s="276" customFormat="1">
      <c r="A156" s="278">
        <v>440.2</v>
      </c>
      <c r="B156" s="272" t="s">
        <v>224</v>
      </c>
      <c r="C156" s="490">
        <f>'[57]Sch C'!D157</f>
        <v>0</v>
      </c>
      <c r="D156" s="490">
        <f>'[57]Sch C'!F157</f>
        <v>0</v>
      </c>
      <c r="E156" s="249">
        <f t="shared" si="41"/>
        <v>0</v>
      </c>
      <c r="F156" s="249"/>
      <c r="G156" s="249">
        <f t="shared" si="42"/>
        <v>0</v>
      </c>
      <c r="H156" s="280">
        <f t="shared" si="43"/>
        <v>0</v>
      </c>
      <c r="I156" s="349"/>
      <c r="J156" s="168"/>
      <c r="K156" s="168"/>
      <c r="M156" s="367">
        <f t="shared" si="34"/>
        <v>0</v>
      </c>
      <c r="N156" s="360">
        <f>SUMMARY!J159</f>
        <v>2.1257535293957019E-2</v>
      </c>
    </row>
    <row r="157" spans="1:14" s="276" customFormat="1">
      <c r="A157" s="278">
        <v>440.3</v>
      </c>
      <c r="B157" s="272" t="s">
        <v>225</v>
      </c>
      <c r="C157" s="490">
        <f>'[57]Sch C'!D158</f>
        <v>0</v>
      </c>
      <c r="D157" s="490">
        <f>'[57]Sch C'!F158</f>
        <v>0</v>
      </c>
      <c r="E157" s="249">
        <f t="shared" si="41"/>
        <v>0</v>
      </c>
      <c r="F157" s="249"/>
      <c r="G157" s="249">
        <f t="shared" si="42"/>
        <v>0</v>
      </c>
      <c r="H157" s="280">
        <f t="shared" si="43"/>
        <v>0</v>
      </c>
      <c r="I157" s="349"/>
      <c r="J157" s="168"/>
      <c r="K157" s="168"/>
      <c r="M157" s="367">
        <f t="shared" si="34"/>
        <v>0</v>
      </c>
      <c r="N157" s="360">
        <f>SUMMARY!J160</f>
        <v>4.0452199557630868E-3</v>
      </c>
    </row>
    <row r="158" spans="1:14" s="276" customFormat="1">
      <c r="A158" s="278">
        <v>440.4</v>
      </c>
      <c r="B158" s="272" t="s">
        <v>226</v>
      </c>
      <c r="C158" s="490">
        <f>'[57]Sch C'!D159</f>
        <v>0</v>
      </c>
      <c r="D158" s="490">
        <f>'[57]Sch C'!F159</f>
        <v>0</v>
      </c>
      <c r="E158" s="249">
        <f t="shared" si="41"/>
        <v>0</v>
      </c>
      <c r="F158" s="249"/>
      <c r="G158" s="249">
        <f t="shared" si="42"/>
        <v>0</v>
      </c>
      <c r="H158" s="280">
        <f t="shared" si="43"/>
        <v>0</v>
      </c>
      <c r="I158" s="349"/>
      <c r="J158" s="168"/>
      <c r="K158" s="168"/>
      <c r="M158" s="367">
        <f t="shared" si="34"/>
        <v>0</v>
      </c>
      <c r="N158" s="360">
        <f>SUMMARY!J161</f>
        <v>3.2579667403948552E-4</v>
      </c>
    </row>
    <row r="159" spans="1:14" s="276" customFormat="1">
      <c r="A159" s="278">
        <v>440.5</v>
      </c>
      <c r="B159" s="272" t="s">
        <v>301</v>
      </c>
      <c r="C159" s="490">
        <f>'[57]Sch C'!D160</f>
        <v>0</v>
      </c>
      <c r="D159" s="490">
        <f>'[57]Sch C'!F160</f>
        <v>0</v>
      </c>
      <c r="E159" s="249">
        <f t="shared" si="41"/>
        <v>0</v>
      </c>
      <c r="F159" s="249"/>
      <c r="G159" s="249">
        <f t="shared" si="42"/>
        <v>0</v>
      </c>
      <c r="H159" s="280">
        <f t="shared" si="43"/>
        <v>0</v>
      </c>
      <c r="I159" s="349"/>
      <c r="J159" s="168"/>
      <c r="K159" s="168"/>
      <c r="M159" s="367">
        <f t="shared" si="34"/>
        <v>0</v>
      </c>
      <c r="N159" s="360">
        <f>SUMMARY!J162</f>
        <v>6.5155839545615896E-3</v>
      </c>
    </row>
    <row r="160" spans="1:14" s="276" customFormat="1">
      <c r="A160" s="278">
        <v>490</v>
      </c>
      <c r="B160" s="23" t="s">
        <v>315</v>
      </c>
      <c r="C160" s="490">
        <f>'[57]Sch C'!D161</f>
        <v>3626</v>
      </c>
      <c r="D160" s="490">
        <f>'[57]Sch C'!F161</f>
        <v>0</v>
      </c>
      <c r="E160" s="249">
        <f t="shared" si="41"/>
        <v>3626</v>
      </c>
      <c r="F160" s="249"/>
      <c r="G160" s="249">
        <f t="shared" si="42"/>
        <v>3626</v>
      </c>
      <c r="H160" s="280">
        <f t="shared" si="43"/>
        <v>1.1102522897349085E-3</v>
      </c>
      <c r="I160" s="349"/>
      <c r="J160" s="168"/>
      <c r="K160" s="168"/>
      <c r="M160" s="367">
        <f t="shared" si="34"/>
        <v>0.23530175210902013</v>
      </c>
      <c r="N160" s="360">
        <f>SUMMARY!J163</f>
        <v>0.61572967423063263</v>
      </c>
    </row>
    <row r="161" spans="1:14" s="276" customFormat="1">
      <c r="A161" s="278"/>
      <c r="B161" s="279" t="s">
        <v>233</v>
      </c>
      <c r="C161" s="490">
        <f>SUM(C123:C160)</f>
        <v>943735</v>
      </c>
      <c r="D161" s="490">
        <f>SUM(D123:D160)</f>
        <v>175031</v>
      </c>
      <c r="E161" s="249">
        <f t="shared" ref="E161:F161" si="44">SUM(E123:E160)</f>
        <v>1118766</v>
      </c>
      <c r="F161" s="249">
        <f t="shared" si="44"/>
        <v>0</v>
      </c>
      <c r="G161" s="249">
        <f>SUM(G123:G160)</f>
        <v>1118766</v>
      </c>
      <c r="H161" s="280">
        <f t="shared" si="43"/>
        <v>0.34255722922712756</v>
      </c>
      <c r="I161" s="349"/>
      <c r="J161" s="168"/>
      <c r="K161" s="168"/>
      <c r="M161" s="367">
        <f>G161/G$228</f>
        <v>72.599999999999994</v>
      </c>
      <c r="N161" s="360">
        <f>SUMMARY!J164</f>
        <v>98.597321527877028</v>
      </c>
    </row>
    <row r="162" spans="1:14" s="276" customFormat="1">
      <c r="A162" s="278"/>
      <c r="B162" s="170"/>
      <c r="C162" s="196"/>
      <c r="D162" s="196"/>
      <c r="E162" s="298"/>
      <c r="F162" s="298"/>
      <c r="G162" s="298"/>
      <c r="H162" s="299"/>
      <c r="I162" s="349"/>
      <c r="J162" s="168"/>
      <c r="K162" s="168"/>
      <c r="M162" s="360"/>
      <c r="N162" s="360"/>
    </row>
    <row r="163" spans="1:14" s="276" customFormat="1" ht="26">
      <c r="A163" s="278" t="s">
        <v>168</v>
      </c>
      <c r="B163" s="212" t="s">
        <v>100</v>
      </c>
      <c r="C163" s="213"/>
      <c r="D163" s="213"/>
      <c r="E163" s="309"/>
      <c r="F163" s="309"/>
      <c r="G163" s="309"/>
      <c r="H163" s="310"/>
      <c r="I163" s="349"/>
      <c r="J163" s="168"/>
      <c r="K163" s="168"/>
      <c r="M163" s="360"/>
      <c r="N163" s="360"/>
    </row>
    <row r="164" spans="1:14" s="312" customFormat="1">
      <c r="A164" s="311" t="s">
        <v>95</v>
      </c>
      <c r="B164" s="301" t="s">
        <v>102</v>
      </c>
      <c r="C164" s="490">
        <f>'[57]Sch C'!D175</f>
        <v>0</v>
      </c>
      <c r="D164" s="490">
        <f>'[57]Sch C'!F175</f>
        <v>0</v>
      </c>
      <c r="E164" s="249">
        <f t="shared" ref="E164:E196" si="45">C164+D164</f>
        <v>0</v>
      </c>
      <c r="F164" s="216"/>
      <c r="G164" s="249">
        <f t="shared" ref="G164:G196" si="46">E164+F164</f>
        <v>0</v>
      </c>
      <c r="H164" s="280">
        <f t="shared" ref="H164:H196" si="47">IF($G$208=0,0,G164/$G$208)</f>
        <v>0</v>
      </c>
      <c r="I164" s="353"/>
      <c r="J164" s="217">
        <v>0</v>
      </c>
      <c r="K164" s="217">
        <v>0</v>
      </c>
      <c r="L164" s="220"/>
      <c r="M164" s="367">
        <f>G164/G$228</f>
        <v>0</v>
      </c>
      <c r="N164" s="360">
        <f>SUMMARY!J167</f>
        <v>0</v>
      </c>
    </row>
    <row r="165" spans="1:14" s="312" customFormat="1">
      <c r="A165" s="311" t="s">
        <v>123</v>
      </c>
      <c r="B165" s="301" t="s">
        <v>103</v>
      </c>
      <c r="C165" s="490">
        <f>'[57]Sch C'!D176</f>
        <v>0</v>
      </c>
      <c r="D165" s="490">
        <f>'[57]Sch C'!F176</f>
        <v>0</v>
      </c>
      <c r="E165" s="249">
        <f t="shared" si="45"/>
        <v>0</v>
      </c>
      <c r="F165" s="216"/>
      <c r="G165" s="249">
        <f t="shared" si="46"/>
        <v>0</v>
      </c>
      <c r="H165" s="280">
        <f t="shared" si="47"/>
        <v>0</v>
      </c>
      <c r="I165" s="354"/>
      <c r="J165" s="222"/>
      <c r="K165" s="222"/>
      <c r="L165" s="220"/>
      <c r="M165" s="367">
        <f t="shared" ref="M165:M196" si="48">G165/G$228</f>
        <v>0</v>
      </c>
      <c r="N165" s="360">
        <f>SUMMARY!J168</f>
        <v>0</v>
      </c>
    </row>
    <row r="166" spans="1:14" s="312" customFormat="1">
      <c r="A166" s="311" t="s">
        <v>124</v>
      </c>
      <c r="B166" s="301" t="s">
        <v>104</v>
      </c>
      <c r="C166" s="490">
        <f>'[57]Sch C'!D177</f>
        <v>174001</v>
      </c>
      <c r="D166" s="490">
        <f>'[57]Sch C'!F177</f>
        <v>10070</v>
      </c>
      <c r="E166" s="249">
        <f t="shared" si="45"/>
        <v>184071</v>
      </c>
      <c r="F166" s="216"/>
      <c r="G166" s="249">
        <f t="shared" si="46"/>
        <v>184071</v>
      </c>
      <c r="H166" s="280">
        <f t="shared" si="47"/>
        <v>5.636107259343473E-2</v>
      </c>
      <c r="I166" s="353"/>
      <c r="J166" s="217">
        <v>4411</v>
      </c>
      <c r="K166" s="217">
        <v>4666</v>
      </c>
      <c r="L166" s="220"/>
      <c r="M166" s="367">
        <f t="shared" si="48"/>
        <v>11.944905905256327</v>
      </c>
      <c r="N166" s="360">
        <f>SUMMARY!J169</f>
        <v>4.5899160973212085</v>
      </c>
    </row>
    <row r="167" spans="1:14" s="312" customFormat="1">
      <c r="A167" s="311" t="s">
        <v>157</v>
      </c>
      <c r="B167" s="301" t="s">
        <v>105</v>
      </c>
      <c r="C167" s="490">
        <f>'[57]Sch C'!D178</f>
        <v>0</v>
      </c>
      <c r="D167" s="490">
        <f>'[57]Sch C'!F178</f>
        <v>25611</v>
      </c>
      <c r="E167" s="249">
        <f t="shared" si="45"/>
        <v>25611</v>
      </c>
      <c r="F167" s="216"/>
      <c r="G167" s="249">
        <f t="shared" si="46"/>
        <v>25611</v>
      </c>
      <c r="H167" s="280">
        <f t="shared" si="47"/>
        <v>7.8418840023168068E-3</v>
      </c>
      <c r="I167" s="354"/>
      <c r="J167" s="222"/>
      <c r="K167" s="222"/>
      <c r="L167" s="220"/>
      <c r="M167" s="367">
        <f t="shared" si="48"/>
        <v>1.6619727449707982</v>
      </c>
      <c r="N167" s="360">
        <f>SUMMARY!J170</f>
        <v>0.83466769369350857</v>
      </c>
    </row>
    <row r="168" spans="1:14" s="312" customFormat="1">
      <c r="A168" s="311" t="s">
        <v>158</v>
      </c>
      <c r="B168" s="301" t="s">
        <v>316</v>
      </c>
      <c r="C168" s="490">
        <f>'[57]Sch C'!D179</f>
        <v>219</v>
      </c>
      <c r="D168" s="490">
        <f>'[57]Sch C'!F179</f>
        <v>13</v>
      </c>
      <c r="E168" s="249">
        <f t="shared" si="45"/>
        <v>232</v>
      </c>
      <c r="F168" s="216"/>
      <c r="G168" s="249">
        <f t="shared" si="46"/>
        <v>232</v>
      </c>
      <c r="H168" s="280">
        <f t="shared" si="47"/>
        <v>7.1036550253309093E-5</v>
      </c>
      <c r="I168" s="353"/>
      <c r="J168" s="217">
        <v>7</v>
      </c>
      <c r="K168" s="217">
        <v>7</v>
      </c>
      <c r="L168" s="220"/>
      <c r="M168" s="367">
        <f t="shared" si="48"/>
        <v>1.5055158987670344E-2</v>
      </c>
      <c r="N168" s="360">
        <f>SUMMARY!J171</f>
        <v>0.77161464733349716</v>
      </c>
    </row>
    <row r="169" spans="1:14" s="312" customFormat="1">
      <c r="A169" s="311" t="s">
        <v>86</v>
      </c>
      <c r="B169" s="301" t="s">
        <v>317</v>
      </c>
      <c r="C169" s="490">
        <f>'[57]Sch C'!D180</f>
        <v>0</v>
      </c>
      <c r="D169" s="490">
        <f>'[57]Sch C'!F180</f>
        <v>33</v>
      </c>
      <c r="E169" s="249">
        <f t="shared" si="45"/>
        <v>33</v>
      </c>
      <c r="F169" s="216"/>
      <c r="G169" s="249">
        <f t="shared" si="46"/>
        <v>33</v>
      </c>
      <c r="H169" s="280">
        <f t="shared" si="47"/>
        <v>1.0104336889479311E-5</v>
      </c>
      <c r="I169" s="354"/>
      <c r="J169" s="222"/>
      <c r="K169" s="222"/>
      <c r="L169" s="220"/>
      <c r="M169" s="367">
        <f t="shared" si="48"/>
        <v>2.1414665801427644E-3</v>
      </c>
      <c r="N169" s="360">
        <f>SUMMARY!J172</f>
        <v>0.13394964091641409</v>
      </c>
    </row>
    <row r="170" spans="1:14" s="312" customFormat="1">
      <c r="A170" s="311" t="s">
        <v>96</v>
      </c>
      <c r="B170" s="301" t="s">
        <v>318</v>
      </c>
      <c r="C170" s="490">
        <f>'[57]Sch C'!D181</f>
        <v>0</v>
      </c>
      <c r="D170" s="490">
        <f>'[57]Sch C'!F181</f>
        <v>0</v>
      </c>
      <c r="E170" s="249">
        <f t="shared" si="45"/>
        <v>0</v>
      </c>
      <c r="F170" s="216"/>
      <c r="G170" s="249">
        <f t="shared" si="46"/>
        <v>0</v>
      </c>
      <c r="H170" s="280">
        <f t="shared" si="47"/>
        <v>0</v>
      </c>
      <c r="I170" s="353"/>
      <c r="J170" s="217">
        <v>0</v>
      </c>
      <c r="K170" s="217">
        <v>0</v>
      </c>
      <c r="L170" s="220"/>
      <c r="M170" s="367">
        <f t="shared" si="48"/>
        <v>0</v>
      </c>
      <c r="N170" s="360">
        <f>SUMMARY!J173</f>
        <v>0</v>
      </c>
    </row>
    <row r="171" spans="1:14" s="312" customFormat="1">
      <c r="A171" s="311" t="s">
        <v>125</v>
      </c>
      <c r="B171" s="301" t="s">
        <v>109</v>
      </c>
      <c r="C171" s="490">
        <f>'[57]Sch C'!D182</f>
        <v>0</v>
      </c>
      <c r="D171" s="490">
        <f>'[57]Sch C'!F182</f>
        <v>0</v>
      </c>
      <c r="E171" s="249">
        <f t="shared" si="45"/>
        <v>0</v>
      </c>
      <c r="F171" s="216"/>
      <c r="G171" s="249">
        <f t="shared" si="46"/>
        <v>0</v>
      </c>
      <c r="H171" s="280">
        <f t="shared" si="47"/>
        <v>0</v>
      </c>
      <c r="I171" s="354"/>
      <c r="J171" s="222"/>
      <c r="K171" s="222"/>
      <c r="L171" s="220"/>
      <c r="M171" s="367">
        <f t="shared" si="48"/>
        <v>0</v>
      </c>
      <c r="N171" s="360">
        <f>SUMMARY!J174</f>
        <v>0</v>
      </c>
    </row>
    <row r="172" spans="1:14" s="312" customFormat="1">
      <c r="A172" s="311" t="s">
        <v>126</v>
      </c>
      <c r="B172" s="301" t="s">
        <v>319</v>
      </c>
      <c r="C172" s="490">
        <f>'[57]Sch C'!D183</f>
        <v>94105</v>
      </c>
      <c r="D172" s="490">
        <f>'[57]Sch C'!F183</f>
        <v>5446</v>
      </c>
      <c r="E172" s="249">
        <f t="shared" si="45"/>
        <v>99551</v>
      </c>
      <c r="F172" s="216"/>
      <c r="G172" s="249">
        <f t="shared" si="46"/>
        <v>99551</v>
      </c>
      <c r="H172" s="280">
        <f t="shared" si="47"/>
        <v>3.048172247528954E-2</v>
      </c>
      <c r="I172" s="353"/>
      <c r="J172" s="217">
        <v>2769</v>
      </c>
      <c r="K172" s="217">
        <v>2929</v>
      </c>
      <c r="L172" s="220"/>
      <c r="M172" s="367">
        <f t="shared" si="48"/>
        <v>6.4601557430240106</v>
      </c>
      <c r="N172" s="360">
        <f>SUMMARY!J175</f>
        <v>2.5941162939297122</v>
      </c>
    </row>
    <row r="173" spans="1:14" s="312" customFormat="1" ht="13.5">
      <c r="A173" s="311" t="s">
        <v>127</v>
      </c>
      <c r="B173" s="313" t="s">
        <v>111</v>
      </c>
      <c r="C173" s="490">
        <f>'[57]Sch C'!D184</f>
        <v>0</v>
      </c>
      <c r="D173" s="490">
        <f>'[57]Sch C'!F184</f>
        <v>13851</v>
      </c>
      <c r="E173" s="249">
        <f t="shared" si="45"/>
        <v>13851</v>
      </c>
      <c r="F173" s="216"/>
      <c r="G173" s="249">
        <f t="shared" si="46"/>
        <v>13851</v>
      </c>
      <c r="H173" s="280">
        <f t="shared" si="47"/>
        <v>4.2410657653387251E-3</v>
      </c>
      <c r="I173" s="354"/>
      <c r="J173" s="222"/>
      <c r="K173" s="222"/>
      <c r="L173" s="220"/>
      <c r="M173" s="367">
        <f t="shared" si="48"/>
        <v>0.89883192731992212</v>
      </c>
      <c r="N173" s="360">
        <f>SUMMARY!J176</f>
        <v>0.43431776693811036</v>
      </c>
    </row>
    <row r="174" spans="1:14" s="312" customFormat="1">
      <c r="A174" s="311" t="s">
        <v>128</v>
      </c>
      <c r="B174" s="301" t="s">
        <v>320</v>
      </c>
      <c r="C174" s="490">
        <f>'[57]Sch C'!D185</f>
        <v>0</v>
      </c>
      <c r="D174" s="490">
        <f>'[57]Sch C'!F185</f>
        <v>0</v>
      </c>
      <c r="E174" s="249">
        <f t="shared" si="45"/>
        <v>0</v>
      </c>
      <c r="F174" s="216"/>
      <c r="G174" s="249">
        <f t="shared" si="46"/>
        <v>0</v>
      </c>
      <c r="H174" s="280">
        <f t="shared" si="47"/>
        <v>0</v>
      </c>
      <c r="I174" s="353"/>
      <c r="J174" s="217">
        <v>0</v>
      </c>
      <c r="K174" s="217">
        <v>0</v>
      </c>
      <c r="L174" s="220"/>
      <c r="M174" s="367">
        <f t="shared" si="48"/>
        <v>0</v>
      </c>
      <c r="N174" s="360">
        <f>SUMMARY!J177</f>
        <v>2.3603943092760983E-3</v>
      </c>
    </row>
    <row r="175" spans="1:14" s="312" customFormat="1" ht="13.5">
      <c r="A175" s="311" t="s">
        <v>129</v>
      </c>
      <c r="B175" s="313" t="s">
        <v>321</v>
      </c>
      <c r="C175" s="490">
        <f>'[57]Sch C'!D186</f>
        <v>0</v>
      </c>
      <c r="D175" s="490">
        <f>'[57]Sch C'!F186</f>
        <v>0</v>
      </c>
      <c r="E175" s="249">
        <f t="shared" si="45"/>
        <v>0</v>
      </c>
      <c r="F175" s="216"/>
      <c r="G175" s="249">
        <f t="shared" si="46"/>
        <v>0</v>
      </c>
      <c r="H175" s="280">
        <f t="shared" si="47"/>
        <v>0</v>
      </c>
      <c r="I175" s="349"/>
      <c r="J175" s="223"/>
      <c r="K175" s="218"/>
      <c r="L175" s="220"/>
      <c r="M175" s="367">
        <f t="shared" si="48"/>
        <v>0</v>
      </c>
      <c r="N175" s="360">
        <f>SUMMARY!J178</f>
        <v>0</v>
      </c>
    </row>
    <row r="176" spans="1:14" s="312" customFormat="1">
      <c r="A176" s="314" t="s">
        <v>293</v>
      </c>
      <c r="B176" s="301" t="s">
        <v>154</v>
      </c>
      <c r="C176" s="490">
        <f>'[57]Sch C'!D187</f>
        <v>0</v>
      </c>
      <c r="D176" s="490">
        <f>'[57]Sch C'!F187</f>
        <v>0</v>
      </c>
      <c r="E176" s="249">
        <f t="shared" si="45"/>
        <v>0</v>
      </c>
      <c r="F176" s="216"/>
      <c r="G176" s="249">
        <f t="shared" si="46"/>
        <v>0</v>
      </c>
      <c r="H176" s="280">
        <f t="shared" si="47"/>
        <v>0</v>
      </c>
      <c r="I176" s="349"/>
      <c r="J176" s="223"/>
      <c r="K176" s="218"/>
      <c r="L176" s="220"/>
      <c r="M176" s="367">
        <f t="shared" si="48"/>
        <v>0</v>
      </c>
      <c r="N176" s="360">
        <f>SUMMARY!J179</f>
        <v>0</v>
      </c>
    </row>
    <row r="177" spans="1:14" s="312" customFormat="1">
      <c r="A177" s="314" t="s">
        <v>294</v>
      </c>
      <c r="B177" s="301" t="s">
        <v>322</v>
      </c>
      <c r="C177" s="490">
        <f>'[57]Sch C'!D188</f>
        <v>1787</v>
      </c>
      <c r="D177" s="490">
        <f>'[57]Sch C'!F188</f>
        <v>0</v>
      </c>
      <c r="E177" s="249">
        <f t="shared" si="45"/>
        <v>1787</v>
      </c>
      <c r="F177" s="216"/>
      <c r="G177" s="249">
        <f t="shared" si="46"/>
        <v>1787</v>
      </c>
      <c r="H177" s="280">
        <f t="shared" si="47"/>
        <v>5.4716515216665228E-4</v>
      </c>
      <c r="I177" s="349"/>
      <c r="J177" s="223"/>
      <c r="K177" s="218"/>
      <c r="L177" s="220"/>
      <c r="M177" s="367">
        <f t="shared" si="48"/>
        <v>0.11596365996106424</v>
      </c>
      <c r="N177" s="360">
        <f>SUMMARY!J180</f>
        <v>9.0641762922913108E-2</v>
      </c>
    </row>
    <row r="178" spans="1:14" s="312" customFormat="1">
      <c r="A178" s="314" t="s">
        <v>295</v>
      </c>
      <c r="B178" s="301" t="s">
        <v>323</v>
      </c>
      <c r="C178" s="490">
        <f>'[57]Sch C'!D189</f>
        <v>0</v>
      </c>
      <c r="D178" s="490">
        <f>'[57]Sch C'!F189</f>
        <v>0</v>
      </c>
      <c r="E178" s="249">
        <f t="shared" si="45"/>
        <v>0</v>
      </c>
      <c r="F178" s="216"/>
      <c r="G178" s="249">
        <f t="shared" si="46"/>
        <v>0</v>
      </c>
      <c r="H178" s="280">
        <f t="shared" si="47"/>
        <v>0</v>
      </c>
      <c r="I178" s="349"/>
      <c r="J178" s="223"/>
      <c r="K178" s="218"/>
      <c r="L178" s="220"/>
      <c r="M178" s="367">
        <f t="shared" si="48"/>
        <v>0</v>
      </c>
      <c r="N178" s="360">
        <f>SUMMARY!J181</f>
        <v>1.778645585866033E-2</v>
      </c>
    </row>
    <row r="179" spans="1:14" s="312" customFormat="1">
      <c r="A179" s="314" t="s">
        <v>296</v>
      </c>
      <c r="B179" s="301" t="s">
        <v>324</v>
      </c>
      <c r="C179" s="490">
        <f>'[57]Sch C'!D190</f>
        <v>0</v>
      </c>
      <c r="D179" s="490">
        <f>'[57]Sch C'!F190</f>
        <v>0</v>
      </c>
      <c r="E179" s="249">
        <f t="shared" si="45"/>
        <v>0</v>
      </c>
      <c r="F179" s="216"/>
      <c r="G179" s="249">
        <f t="shared" si="46"/>
        <v>0</v>
      </c>
      <c r="H179" s="280">
        <f t="shared" si="47"/>
        <v>0</v>
      </c>
      <c r="I179" s="349"/>
      <c r="J179" s="223"/>
      <c r="K179" s="218"/>
      <c r="L179" s="220"/>
      <c r="M179" s="367">
        <f t="shared" si="48"/>
        <v>0</v>
      </c>
      <c r="N179" s="360">
        <f>SUMMARY!J182</f>
        <v>1.1468829360203163E-4</v>
      </c>
    </row>
    <row r="180" spans="1:14" s="312" customFormat="1">
      <c r="A180" s="314" t="s">
        <v>297</v>
      </c>
      <c r="B180" s="301" t="s">
        <v>325</v>
      </c>
      <c r="C180" s="490">
        <f>'[57]Sch C'!D191</f>
        <v>0</v>
      </c>
      <c r="D180" s="490">
        <f>'[57]Sch C'!F191</f>
        <v>0</v>
      </c>
      <c r="E180" s="249">
        <f t="shared" si="45"/>
        <v>0</v>
      </c>
      <c r="F180" s="216"/>
      <c r="G180" s="249">
        <f t="shared" si="46"/>
        <v>0</v>
      </c>
      <c r="H180" s="280">
        <f t="shared" si="47"/>
        <v>0</v>
      </c>
      <c r="I180" s="349"/>
      <c r="J180" s="223"/>
      <c r="K180" s="218"/>
      <c r="L180" s="220"/>
      <c r="M180" s="367">
        <f t="shared" si="48"/>
        <v>0</v>
      </c>
      <c r="N180" s="360">
        <f>SUMMARY!J183</f>
        <v>1.8462734496600307E-2</v>
      </c>
    </row>
    <row r="181" spans="1:14" s="312" customFormat="1">
      <c r="A181" s="314" t="s">
        <v>298</v>
      </c>
      <c r="B181" s="301" t="s">
        <v>117</v>
      </c>
      <c r="C181" s="490">
        <f>'[57]Sch C'!D192</f>
        <v>0</v>
      </c>
      <c r="D181" s="490">
        <f>'[57]Sch C'!F192</f>
        <v>0</v>
      </c>
      <c r="E181" s="249">
        <f t="shared" si="45"/>
        <v>0</v>
      </c>
      <c r="F181" s="216"/>
      <c r="G181" s="249">
        <f t="shared" si="46"/>
        <v>0</v>
      </c>
      <c r="H181" s="280">
        <f t="shared" si="47"/>
        <v>0</v>
      </c>
      <c r="I181" s="349"/>
      <c r="J181" s="223"/>
      <c r="K181" s="218"/>
      <c r="L181" s="220"/>
      <c r="M181" s="367">
        <f t="shared" si="48"/>
        <v>0</v>
      </c>
      <c r="N181" s="360">
        <f>SUMMARY!J184</f>
        <v>0.21032919363206901</v>
      </c>
    </row>
    <row r="182" spans="1:14" s="312" customFormat="1">
      <c r="A182" s="314" t="s">
        <v>132</v>
      </c>
      <c r="B182" s="301" t="s">
        <v>118</v>
      </c>
      <c r="C182" s="490">
        <f>'[57]Sch C'!D193</f>
        <v>0</v>
      </c>
      <c r="D182" s="490">
        <f>'[57]Sch C'!F193</f>
        <v>0</v>
      </c>
      <c r="E182" s="249">
        <f t="shared" si="45"/>
        <v>0</v>
      </c>
      <c r="F182" s="216"/>
      <c r="G182" s="249">
        <f t="shared" si="46"/>
        <v>0</v>
      </c>
      <c r="H182" s="280">
        <f t="shared" si="47"/>
        <v>0</v>
      </c>
      <c r="I182" s="349"/>
      <c r="J182" s="223"/>
      <c r="K182" s="218"/>
      <c r="L182" s="220"/>
      <c r="M182" s="367">
        <f t="shared" si="48"/>
        <v>0</v>
      </c>
      <c r="N182" s="360">
        <f>SUMMARY!J185</f>
        <v>4.5937156276453409E-2</v>
      </c>
    </row>
    <row r="183" spans="1:14" s="312" customFormat="1">
      <c r="A183" s="314" t="s">
        <v>133</v>
      </c>
      <c r="B183" s="301" t="s">
        <v>119</v>
      </c>
      <c r="C183" s="490">
        <f>'[57]Sch C'!D194</f>
        <v>3566</v>
      </c>
      <c r="D183" s="490">
        <f>'[57]Sch C'!F194</f>
        <v>0</v>
      </c>
      <c r="E183" s="249">
        <f t="shared" si="45"/>
        <v>3566</v>
      </c>
      <c r="F183" s="216"/>
      <c r="G183" s="249">
        <f t="shared" si="46"/>
        <v>3566</v>
      </c>
      <c r="H183" s="280">
        <f t="shared" si="47"/>
        <v>1.0918807681176734E-3</v>
      </c>
      <c r="I183" s="349"/>
      <c r="J183" s="223"/>
      <c r="K183" s="218"/>
      <c r="L183" s="220"/>
      <c r="M183" s="367">
        <f t="shared" si="48"/>
        <v>0.23140817650876055</v>
      </c>
      <c r="N183" s="360">
        <f>SUMMARY!J186</f>
        <v>7.3129851396739571</v>
      </c>
    </row>
    <row r="184" spans="1:14" s="312" customFormat="1">
      <c r="A184" s="314" t="s">
        <v>134</v>
      </c>
      <c r="B184" s="301" t="s">
        <v>326</v>
      </c>
      <c r="C184" s="490">
        <f>'[57]Sch C'!D195</f>
        <v>331</v>
      </c>
      <c r="D184" s="490">
        <f>'[57]Sch C'!F195</f>
        <v>0</v>
      </c>
      <c r="E184" s="249">
        <f t="shared" si="45"/>
        <v>331</v>
      </c>
      <c r="F184" s="216"/>
      <c r="G184" s="249">
        <f t="shared" si="46"/>
        <v>331</v>
      </c>
      <c r="H184" s="280">
        <f t="shared" si="47"/>
        <v>1.0134956092174702E-4</v>
      </c>
      <c r="I184" s="349"/>
      <c r="J184" s="223"/>
      <c r="K184" s="218"/>
      <c r="L184" s="220"/>
      <c r="M184" s="367">
        <f t="shared" si="48"/>
        <v>2.1479558728098636E-2</v>
      </c>
      <c r="N184" s="360">
        <f>SUMMARY!J187</f>
        <v>1.617871871330657</v>
      </c>
    </row>
    <row r="185" spans="1:14" s="312" customFormat="1">
      <c r="A185" s="314" t="s">
        <v>135</v>
      </c>
      <c r="B185" s="301" t="s">
        <v>327</v>
      </c>
      <c r="C185" s="490">
        <f>'[57]Sch C'!D196</f>
        <v>0</v>
      </c>
      <c r="D185" s="490">
        <f>'[57]Sch C'!F196</f>
        <v>0</v>
      </c>
      <c r="E185" s="249">
        <f t="shared" si="45"/>
        <v>0</v>
      </c>
      <c r="F185" s="216"/>
      <c r="G185" s="249">
        <f t="shared" si="46"/>
        <v>0</v>
      </c>
      <c r="H185" s="280">
        <f t="shared" si="47"/>
        <v>0</v>
      </c>
      <c r="I185" s="349"/>
      <c r="J185" s="223"/>
      <c r="K185" s="218"/>
      <c r="L185" s="220"/>
      <c r="M185" s="367">
        <f t="shared" si="48"/>
        <v>0</v>
      </c>
      <c r="N185" s="360">
        <f>SUMMARY!J188</f>
        <v>0</v>
      </c>
    </row>
    <row r="186" spans="1:14" s="312" customFormat="1">
      <c r="A186" s="314" t="s">
        <v>136</v>
      </c>
      <c r="B186" s="301" t="s">
        <v>328</v>
      </c>
      <c r="C186" s="490">
        <f>'[57]Sch C'!D197</f>
        <v>3762</v>
      </c>
      <c r="D186" s="490">
        <f>'[57]Sch C'!F197</f>
        <v>0</v>
      </c>
      <c r="E186" s="249">
        <f t="shared" si="45"/>
        <v>3762</v>
      </c>
      <c r="F186" s="216"/>
      <c r="G186" s="249">
        <f t="shared" si="46"/>
        <v>3762</v>
      </c>
      <c r="H186" s="280">
        <f t="shared" si="47"/>
        <v>1.1518944054006413E-3</v>
      </c>
      <c r="I186" s="349"/>
      <c r="J186" s="223"/>
      <c r="K186" s="218"/>
      <c r="L186" s="220"/>
      <c r="M186" s="367">
        <f t="shared" si="48"/>
        <v>0.24412719013627515</v>
      </c>
      <c r="N186" s="360">
        <f>SUMMARY!J189</f>
        <v>5.0698778515059661</v>
      </c>
    </row>
    <row r="187" spans="1:14" s="312" customFormat="1">
      <c r="A187" s="314" t="s">
        <v>137</v>
      </c>
      <c r="B187" s="301" t="s">
        <v>122</v>
      </c>
      <c r="C187" s="490">
        <f>'[57]Sch C'!D198</f>
        <v>19736</v>
      </c>
      <c r="D187" s="490">
        <f>'[57]Sch C'!F198</f>
        <v>0</v>
      </c>
      <c r="E187" s="249">
        <f t="shared" si="45"/>
        <v>19736</v>
      </c>
      <c r="F187" s="216"/>
      <c r="G187" s="249">
        <f t="shared" si="46"/>
        <v>19736</v>
      </c>
      <c r="H187" s="280">
        <f t="shared" si="47"/>
        <v>6.043005843962535E-3</v>
      </c>
      <c r="I187" s="349"/>
      <c r="J187" s="223"/>
      <c r="K187" s="218"/>
      <c r="L187" s="220"/>
      <c r="M187" s="367">
        <f t="shared" si="48"/>
        <v>1.2807268007787151</v>
      </c>
      <c r="N187" s="360">
        <f>SUMMARY!J190</f>
        <v>1.3048000054613476</v>
      </c>
    </row>
    <row r="188" spans="1:14" s="312" customFormat="1">
      <c r="A188" s="314" t="s">
        <v>275</v>
      </c>
      <c r="B188" s="301" t="s">
        <v>329</v>
      </c>
      <c r="C188" s="490">
        <f>'[57]Sch C'!D199</f>
        <v>327</v>
      </c>
      <c r="D188" s="490">
        <f>'[57]Sch C'!F199</f>
        <v>0</v>
      </c>
      <c r="E188" s="249">
        <f t="shared" si="45"/>
        <v>327</v>
      </c>
      <c r="F188" s="216"/>
      <c r="G188" s="249">
        <f t="shared" si="46"/>
        <v>327</v>
      </c>
      <c r="H188" s="280">
        <f t="shared" si="47"/>
        <v>1.0012479281393135E-4</v>
      </c>
      <c r="I188" s="349"/>
      <c r="J188" s="223"/>
      <c r="K188" s="218"/>
      <c r="L188" s="220"/>
      <c r="M188" s="367">
        <f t="shared" si="48"/>
        <v>2.1219987021414664E-2</v>
      </c>
      <c r="N188" s="360">
        <f>SUMMARY!J191</f>
        <v>0.39995945495753804</v>
      </c>
    </row>
    <row r="189" spans="1:14" s="312" customFormat="1">
      <c r="A189" s="314" t="s">
        <v>277</v>
      </c>
      <c r="B189" s="301" t="s">
        <v>278</v>
      </c>
      <c r="C189" s="490">
        <f>'[57]Sch C'!D200</f>
        <v>0</v>
      </c>
      <c r="D189" s="490">
        <f>'[57]Sch C'!F200</f>
        <v>0</v>
      </c>
      <c r="E189" s="249">
        <f t="shared" si="45"/>
        <v>0</v>
      </c>
      <c r="F189" s="216"/>
      <c r="G189" s="249">
        <f t="shared" si="46"/>
        <v>0</v>
      </c>
      <c r="H189" s="280">
        <f t="shared" si="47"/>
        <v>0</v>
      </c>
      <c r="I189" s="349"/>
      <c r="J189" s="223"/>
      <c r="K189" s="218"/>
      <c r="L189" s="220"/>
      <c r="M189" s="367">
        <f t="shared" si="48"/>
        <v>0</v>
      </c>
      <c r="N189" s="360">
        <f>SUMMARY!J192</f>
        <v>5.0800032768083883E-3</v>
      </c>
    </row>
    <row r="190" spans="1:14" s="312" customFormat="1">
      <c r="A190" s="315" t="s">
        <v>279</v>
      </c>
      <c r="B190" s="316" t="s">
        <v>280</v>
      </c>
      <c r="C190" s="490">
        <f>'[57]Sch C'!D201</f>
        <v>0</v>
      </c>
      <c r="D190" s="490">
        <f>'[57]Sch C'!F201</f>
        <v>0</v>
      </c>
      <c r="E190" s="249">
        <f t="shared" si="45"/>
        <v>0</v>
      </c>
      <c r="F190" s="216"/>
      <c r="G190" s="249">
        <f t="shared" si="46"/>
        <v>0</v>
      </c>
      <c r="H190" s="280">
        <f t="shared" si="47"/>
        <v>0</v>
      </c>
      <c r="I190" s="349"/>
      <c r="J190" s="223"/>
      <c r="K190" s="218"/>
      <c r="L190" s="220"/>
      <c r="M190" s="367">
        <f t="shared" si="48"/>
        <v>0</v>
      </c>
      <c r="N190" s="360">
        <f>SUMMARY!J193</f>
        <v>-2.2159984708227519E-2</v>
      </c>
    </row>
    <row r="191" spans="1:14" s="312" customFormat="1">
      <c r="A191" s="315" t="s">
        <v>281</v>
      </c>
      <c r="B191" s="316" t="s">
        <v>282</v>
      </c>
      <c r="C191" s="490">
        <f>'[57]Sch C'!D202</f>
        <v>0</v>
      </c>
      <c r="D191" s="490">
        <f>'[57]Sch C'!F202</f>
        <v>0</v>
      </c>
      <c r="E191" s="249">
        <f t="shared" si="45"/>
        <v>0</v>
      </c>
      <c r="F191" s="216"/>
      <c r="G191" s="249">
        <f t="shared" si="46"/>
        <v>0</v>
      </c>
      <c r="H191" s="280">
        <f t="shared" si="47"/>
        <v>0</v>
      </c>
      <c r="I191" s="349"/>
      <c r="J191" s="223"/>
      <c r="K191" s="218"/>
      <c r="L191" s="220"/>
      <c r="M191" s="367">
        <f t="shared" si="48"/>
        <v>0</v>
      </c>
      <c r="N191" s="360">
        <f>SUMMARY!J194</f>
        <v>4.7598918653231749E-4</v>
      </c>
    </row>
    <row r="192" spans="1:14" s="312" customFormat="1">
      <c r="A192" s="315" t="s">
        <v>283</v>
      </c>
      <c r="B192" s="316" t="s">
        <v>330</v>
      </c>
      <c r="C192" s="490">
        <f>'[57]Sch C'!D203</f>
        <v>0</v>
      </c>
      <c r="D192" s="490">
        <f>'[57]Sch C'!F203</f>
        <v>0</v>
      </c>
      <c r="E192" s="249">
        <f t="shared" si="45"/>
        <v>0</v>
      </c>
      <c r="F192" s="216"/>
      <c r="G192" s="249">
        <f t="shared" si="46"/>
        <v>0</v>
      </c>
      <c r="H192" s="280">
        <f t="shared" si="47"/>
        <v>0</v>
      </c>
      <c r="I192" s="349"/>
      <c r="J192" s="223"/>
      <c r="K192" s="218"/>
      <c r="L192" s="220"/>
      <c r="M192" s="367">
        <f t="shared" si="48"/>
        <v>0</v>
      </c>
      <c r="N192" s="360">
        <f>SUMMARY!J195</f>
        <v>9.9736102236421709E-2</v>
      </c>
    </row>
    <row r="193" spans="1:14" s="312" customFormat="1">
      <c r="A193" s="315" t="s">
        <v>285</v>
      </c>
      <c r="B193" s="316" t="s">
        <v>331</v>
      </c>
      <c r="C193" s="490">
        <f>'[57]Sch C'!D204</f>
        <v>0</v>
      </c>
      <c r="D193" s="490">
        <f>'[57]Sch C'!F204</f>
        <v>0</v>
      </c>
      <c r="E193" s="249">
        <f t="shared" si="45"/>
        <v>0</v>
      </c>
      <c r="F193" s="216"/>
      <c r="G193" s="249">
        <f t="shared" si="46"/>
        <v>0</v>
      </c>
      <c r="H193" s="280">
        <f t="shared" si="47"/>
        <v>0</v>
      </c>
      <c r="I193" s="349"/>
      <c r="J193" s="223"/>
      <c r="K193" s="218"/>
      <c r="L193" s="220"/>
      <c r="M193" s="367">
        <f t="shared" si="48"/>
        <v>0</v>
      </c>
      <c r="N193" s="360">
        <f>SUMMARY!J196</f>
        <v>1.4186941918571311E-2</v>
      </c>
    </row>
    <row r="194" spans="1:14" s="312" customFormat="1">
      <c r="A194" s="314" t="s">
        <v>138</v>
      </c>
      <c r="B194" s="301" t="s">
        <v>332</v>
      </c>
      <c r="C194" s="490">
        <f>'[57]Sch C'!D205</f>
        <v>66581</v>
      </c>
      <c r="D194" s="490">
        <f>'[57]Sch C'!F205</f>
        <v>0</v>
      </c>
      <c r="E194" s="249">
        <f t="shared" si="45"/>
        <v>66581</v>
      </c>
      <c r="F194" s="216"/>
      <c r="G194" s="249">
        <f t="shared" si="46"/>
        <v>66581</v>
      </c>
      <c r="H194" s="280">
        <f t="shared" si="47"/>
        <v>2.0386571346618847E-2</v>
      </c>
      <c r="I194" s="349"/>
      <c r="J194" s="223"/>
      <c r="K194" s="218"/>
      <c r="L194" s="220"/>
      <c r="M194" s="367">
        <f t="shared" si="48"/>
        <v>4.3206359506813756</v>
      </c>
      <c r="N194" s="360">
        <f>SUMMARY!J197</f>
        <v>9.4205484776494348</v>
      </c>
    </row>
    <row r="195" spans="1:14" s="312" customFormat="1">
      <c r="A195" s="314" t="s">
        <v>139</v>
      </c>
      <c r="B195" s="301" t="s">
        <v>67</v>
      </c>
      <c r="C195" s="490">
        <f>'[57]Sch C'!D206</f>
        <v>4079</v>
      </c>
      <c r="D195" s="490">
        <f>'[57]Sch C'!F206</f>
        <v>0</v>
      </c>
      <c r="E195" s="249">
        <f t="shared" si="45"/>
        <v>4079</v>
      </c>
      <c r="F195" s="216"/>
      <c r="G195" s="249">
        <f t="shared" si="46"/>
        <v>4079</v>
      </c>
      <c r="H195" s="280">
        <f t="shared" si="47"/>
        <v>1.2489572779450335E-3</v>
      </c>
      <c r="I195" s="349"/>
      <c r="J195" s="223"/>
      <c r="K195" s="218"/>
      <c r="L195" s="220"/>
      <c r="M195" s="367">
        <f t="shared" si="48"/>
        <v>0.2646982478909799</v>
      </c>
      <c r="N195" s="360">
        <f>SUMMARY!J198</f>
        <v>0.51514733622784747</v>
      </c>
    </row>
    <row r="196" spans="1:14" s="312" customFormat="1">
      <c r="A196" s="315" t="s">
        <v>143</v>
      </c>
      <c r="B196" s="297" t="s">
        <v>333</v>
      </c>
      <c r="C196" s="490">
        <f>'[57]Sch C'!D207</f>
        <v>8097</v>
      </c>
      <c r="D196" s="490">
        <f>'[57]Sch C'!F207</f>
        <v>-30.120000000000005</v>
      </c>
      <c r="E196" s="249">
        <f t="shared" si="45"/>
        <v>8066.88</v>
      </c>
      <c r="F196" s="216"/>
      <c r="G196" s="249">
        <f t="shared" si="46"/>
        <v>8066.88</v>
      </c>
      <c r="H196" s="280">
        <f t="shared" si="47"/>
        <v>2.4700143383940259E-3</v>
      </c>
      <c r="I196" s="349"/>
      <c r="J196" s="223"/>
      <c r="K196" s="218"/>
      <c r="L196" s="220"/>
      <c r="M196" s="367">
        <f t="shared" si="48"/>
        <v>0.52348345230369886</v>
      </c>
      <c r="N196" s="360">
        <f>SUMMARY!J199</f>
        <v>0.43468466925335936</v>
      </c>
    </row>
    <row r="197" spans="1:14" s="276" customFormat="1" ht="26">
      <c r="A197" s="272"/>
      <c r="B197" s="317" t="s">
        <v>130</v>
      </c>
      <c r="C197" s="490">
        <f>SUM(C164:C196)</f>
        <v>376591</v>
      </c>
      <c r="D197" s="490">
        <f>SUM(D164:D196)</f>
        <v>54993.88</v>
      </c>
      <c r="E197" s="249">
        <f t="shared" ref="E197:F197" si="49">SUM(E164:E196)</f>
        <v>431584.88</v>
      </c>
      <c r="F197" s="249">
        <f t="shared" si="49"/>
        <v>0</v>
      </c>
      <c r="G197" s="249">
        <f>SUM(G164:G196)</f>
        <v>431584.88</v>
      </c>
      <c r="H197" s="280">
        <f>IF($G$208=0,0,G197/$G$208)</f>
        <v>0.13214784920986367</v>
      </c>
      <c r="I197" s="349"/>
      <c r="J197" s="168"/>
      <c r="K197" s="168"/>
      <c r="M197" s="367">
        <f>G197/G$228</f>
        <v>28.006805970149255</v>
      </c>
      <c r="N197" s="360">
        <f>SUMMARY!J200</f>
        <v>35.91740838389223</v>
      </c>
    </row>
    <row r="198" spans="1:14" s="276" customFormat="1">
      <c r="A198" s="272"/>
      <c r="C198" s="165"/>
      <c r="D198" s="165"/>
      <c r="E198" s="274"/>
      <c r="F198" s="274"/>
      <c r="G198" s="274"/>
      <c r="H198" s="300"/>
      <c r="I198" s="351"/>
      <c r="J198" s="168"/>
      <c r="K198" s="168"/>
      <c r="M198" s="360"/>
      <c r="N198" s="360"/>
    </row>
    <row r="199" spans="1:14" s="276" customFormat="1">
      <c r="A199" s="278" t="s">
        <v>169</v>
      </c>
      <c r="B199" s="279" t="s">
        <v>68</v>
      </c>
      <c r="C199" s="165"/>
      <c r="D199" s="165"/>
      <c r="E199" s="274"/>
      <c r="F199" s="274"/>
      <c r="G199" s="274"/>
      <c r="H199" s="300"/>
      <c r="I199" s="351"/>
      <c r="J199" s="168"/>
      <c r="K199" s="168"/>
      <c r="M199" s="360"/>
      <c r="N199" s="360"/>
    </row>
    <row r="200" spans="1:14" s="276" customFormat="1">
      <c r="A200" s="278" t="s">
        <v>85</v>
      </c>
      <c r="B200" s="279" t="s">
        <v>69</v>
      </c>
      <c r="C200" s="490">
        <f>'[57]Sch C'!D211</f>
        <v>54305</v>
      </c>
      <c r="D200" s="490">
        <f>'[57]Sch C'!F211</f>
        <v>3143</v>
      </c>
      <c r="E200" s="249">
        <f t="shared" ref="E200:E205" si="50">C200+D200</f>
        <v>57448</v>
      </c>
      <c r="F200" s="249"/>
      <c r="G200" s="249">
        <f t="shared" ref="G200:G205" si="51">E200+F200</f>
        <v>57448</v>
      </c>
      <c r="H200" s="280">
        <f t="shared" ref="H200:H206" si="52">IF($G$208=0,0,G200/$G$208)</f>
        <v>1.7590119564448708E-2</v>
      </c>
      <c r="I200" s="349"/>
      <c r="J200" s="183">
        <v>3638</v>
      </c>
      <c r="K200" s="183">
        <v>3849</v>
      </c>
      <c r="M200" s="367">
        <f t="shared" ref="M200:M205" si="53">G200/G$228</f>
        <v>3.7279688513951981</v>
      </c>
      <c r="N200" s="360">
        <f>SUMMARY!J203</f>
        <v>4.8433639387236838</v>
      </c>
    </row>
    <row r="201" spans="1:14" s="276" customFormat="1">
      <c r="A201" s="278" t="s">
        <v>86</v>
      </c>
      <c r="B201" s="279" t="s">
        <v>45</v>
      </c>
      <c r="C201" s="490">
        <f>'[57]Sch C'!D212</f>
        <v>0</v>
      </c>
      <c r="D201" s="490">
        <f>'[57]Sch C'!F212</f>
        <v>7993</v>
      </c>
      <c r="E201" s="249">
        <f t="shared" si="50"/>
        <v>7993</v>
      </c>
      <c r="F201" s="249"/>
      <c r="G201" s="249">
        <f t="shared" si="51"/>
        <v>7993</v>
      </c>
      <c r="H201" s="280">
        <f t="shared" si="52"/>
        <v>2.4473928714426703E-3</v>
      </c>
      <c r="I201" s="349"/>
      <c r="J201" s="168"/>
      <c r="K201" s="168"/>
      <c r="M201" s="367">
        <f t="shared" si="53"/>
        <v>0.51868916288124589</v>
      </c>
      <c r="N201" s="360">
        <f>SUMMARY!J204</f>
        <v>0.96144674193499036</v>
      </c>
    </row>
    <row r="202" spans="1:14" s="276" customFormat="1">
      <c r="A202" s="278" t="s">
        <v>140</v>
      </c>
      <c r="B202" s="279" t="s">
        <v>54</v>
      </c>
      <c r="C202" s="490">
        <f>'[57]Sch C'!D213</f>
        <v>5599</v>
      </c>
      <c r="D202" s="490">
        <f>'[57]Sch C'!F213</f>
        <v>0</v>
      </c>
      <c r="E202" s="249">
        <f t="shared" si="50"/>
        <v>5599</v>
      </c>
      <c r="F202" s="249"/>
      <c r="G202" s="249">
        <f t="shared" si="51"/>
        <v>5599</v>
      </c>
      <c r="H202" s="280">
        <f t="shared" si="52"/>
        <v>1.7143691589149896E-3</v>
      </c>
      <c r="I202" s="349"/>
      <c r="J202" s="168"/>
      <c r="K202" s="168"/>
      <c r="M202" s="367">
        <f t="shared" si="53"/>
        <v>0.36333549643088903</v>
      </c>
      <c r="N202" s="360">
        <f>SUMMARY!J205</f>
        <v>0.5247184566232489</v>
      </c>
    </row>
    <row r="203" spans="1:14" s="276" customFormat="1">
      <c r="A203" s="278" t="s">
        <v>141</v>
      </c>
      <c r="B203" s="279" t="s">
        <v>70</v>
      </c>
      <c r="C203" s="490">
        <f>'[57]Sch C'!D214</f>
        <v>0</v>
      </c>
      <c r="D203" s="490">
        <f>'[57]Sch C'!F214</f>
        <v>0</v>
      </c>
      <c r="E203" s="249">
        <f t="shared" si="50"/>
        <v>0</v>
      </c>
      <c r="F203" s="249"/>
      <c r="G203" s="249">
        <f t="shared" si="51"/>
        <v>0</v>
      </c>
      <c r="H203" s="280">
        <f t="shared" si="52"/>
        <v>0</v>
      </c>
      <c r="I203" s="349"/>
      <c r="J203" s="168"/>
      <c r="K203" s="168"/>
      <c r="M203" s="367">
        <f t="shared" si="53"/>
        <v>0</v>
      </c>
      <c r="N203" s="360">
        <f>SUMMARY!J206</f>
        <v>1.4027039130553507E-2</v>
      </c>
    </row>
    <row r="204" spans="1:14" s="276" customFormat="1">
      <c r="A204" s="278" t="s">
        <v>142</v>
      </c>
      <c r="B204" s="23" t="s">
        <v>71</v>
      </c>
      <c r="C204" s="490">
        <f>'[57]Sch C'!D215</f>
        <v>0</v>
      </c>
      <c r="D204" s="490">
        <f>'[57]Sch C'!F215</f>
        <v>0</v>
      </c>
      <c r="E204" s="249">
        <f t="shared" si="50"/>
        <v>0</v>
      </c>
      <c r="F204" s="249"/>
      <c r="G204" s="249">
        <f t="shared" si="51"/>
        <v>0</v>
      </c>
      <c r="H204" s="280">
        <f t="shared" si="52"/>
        <v>0</v>
      </c>
      <c r="I204" s="349"/>
      <c r="J204" s="168"/>
      <c r="K204" s="168"/>
      <c r="M204" s="367">
        <f t="shared" si="53"/>
        <v>0</v>
      </c>
      <c r="N204" s="360">
        <f>SUMMARY!J207</f>
        <v>0</v>
      </c>
    </row>
    <row r="205" spans="1:14" s="276" customFormat="1">
      <c r="A205" s="278" t="s">
        <v>143</v>
      </c>
      <c r="B205" s="279" t="s">
        <v>312</v>
      </c>
      <c r="C205" s="490">
        <f>'[57]Sch C'!D216</f>
        <v>2767</v>
      </c>
      <c r="D205" s="490">
        <f>'[57]Sch C'!F216</f>
        <v>0</v>
      </c>
      <c r="E205" s="249">
        <f t="shared" si="50"/>
        <v>2767</v>
      </c>
      <c r="F205" s="249"/>
      <c r="G205" s="249">
        <f t="shared" si="51"/>
        <v>2767</v>
      </c>
      <c r="H205" s="280">
        <f t="shared" si="52"/>
        <v>8.4723333858149246E-4</v>
      </c>
      <c r="I205" s="349"/>
      <c r="J205" s="168"/>
      <c r="K205" s="168"/>
      <c r="M205" s="367">
        <f t="shared" si="53"/>
        <v>0.17955872809863724</v>
      </c>
      <c r="N205" s="360">
        <f>SUMMARY!J208</f>
        <v>0.36483307391933595</v>
      </c>
    </row>
    <row r="206" spans="1:14" s="276" customFormat="1">
      <c r="A206" s="272"/>
      <c r="B206" s="279" t="s">
        <v>144</v>
      </c>
      <c r="C206" s="490">
        <f>SUM(C200:C205)</f>
        <v>62671</v>
      </c>
      <c r="D206" s="490">
        <f>SUM(D200:D205)</f>
        <v>11136</v>
      </c>
      <c r="E206" s="249">
        <f t="shared" ref="E206:F206" si="54">SUM(E200:E205)</f>
        <v>73807</v>
      </c>
      <c r="F206" s="249">
        <f t="shared" si="54"/>
        <v>0</v>
      </c>
      <c r="G206" s="249">
        <f>SUM(G200:G205)</f>
        <v>73807</v>
      </c>
      <c r="H206" s="280">
        <f t="shared" si="52"/>
        <v>2.259911493338786E-2</v>
      </c>
      <c r="I206" s="349"/>
      <c r="J206" s="168"/>
      <c r="K206" s="168"/>
      <c r="M206" s="367">
        <f>G206/G$228</f>
        <v>4.7895522388059701</v>
      </c>
      <c r="N206" s="360">
        <f>SUMMARY!J209</f>
        <v>6.7083892503318125</v>
      </c>
    </row>
    <row r="207" spans="1:14" s="276" customFormat="1">
      <c r="A207" s="272"/>
      <c r="C207" s="165"/>
      <c r="D207" s="165"/>
      <c r="E207" s="274"/>
      <c r="F207" s="274"/>
      <c r="G207" s="274"/>
      <c r="H207" s="300"/>
      <c r="I207" s="351"/>
      <c r="J207" s="168"/>
      <c r="K207" s="168"/>
      <c r="M207" s="360"/>
      <c r="N207" s="360"/>
    </row>
    <row r="208" spans="1:14" s="276" customFormat="1">
      <c r="A208" s="227"/>
      <c r="B208" s="285" t="s">
        <v>145</v>
      </c>
      <c r="C208" s="490">
        <f>SUM(C25:C206)/2</f>
        <v>3279272</v>
      </c>
      <c r="D208" s="490">
        <f>SUM(D25:D206)/2</f>
        <v>-13347.638911072285</v>
      </c>
      <c r="E208" s="249">
        <f t="shared" ref="E208:F208" si="55">SUM(E25:E206)/2</f>
        <v>3265924.3610889278</v>
      </c>
      <c r="F208" s="249">
        <f t="shared" si="55"/>
        <v>0</v>
      </c>
      <c r="G208" s="249">
        <f>SUM(G25:G206)/2</f>
        <v>3265924.3610889278</v>
      </c>
      <c r="H208" s="280">
        <f>IF($G$208=0,0,G208/$G$208)</f>
        <v>1</v>
      </c>
      <c r="I208" s="349"/>
      <c r="J208" s="183">
        <f>SUM(J25:J200)</f>
        <v>83706</v>
      </c>
      <c r="K208" s="183">
        <f>SUM(K25:K200)</f>
        <v>88548</v>
      </c>
      <c r="M208" s="367">
        <f>G208/G$228</f>
        <v>211.93539007715302</v>
      </c>
      <c r="N208" s="360">
        <f>SUMMARY!J211</f>
        <v>251.18209433366243</v>
      </c>
    </row>
    <row r="209" spans="1:14" s="276" customFormat="1" ht="15.5">
      <c r="A209" s="272"/>
      <c r="B209" s="279"/>
      <c r="C209" s="165"/>
      <c r="D209" s="165"/>
      <c r="E209" s="274"/>
      <c r="F209"/>
      <c r="G209"/>
      <c r="I209" s="345"/>
      <c r="J209" s="168"/>
      <c r="K209" s="168"/>
    </row>
    <row r="210" spans="1:14" s="276" customFormat="1" ht="15.5">
      <c r="A210" s="272"/>
      <c r="B210" s="279"/>
      <c r="C210" s="165"/>
      <c r="D210" s="165"/>
      <c r="E210" s="274"/>
      <c r="F210"/>
      <c r="G210"/>
      <c r="I210" s="345"/>
      <c r="J210" s="168"/>
      <c r="K210" s="168"/>
    </row>
    <row r="211" spans="1:14" s="276" customFormat="1" ht="15.5">
      <c r="A211" s="272"/>
      <c r="B211" s="228" t="s">
        <v>181</v>
      </c>
      <c r="C211" s="490">
        <f>'[57]Sch C'!D221</f>
        <v>3279272</v>
      </c>
      <c r="D211" s="196"/>
      <c r="E211" s="274"/>
      <c r="F211"/>
      <c r="G211"/>
      <c r="I211" s="345"/>
      <c r="J211" s="168"/>
      <c r="K211" s="168"/>
    </row>
    <row r="212" spans="1:14" s="276" customFormat="1" ht="15.5">
      <c r="A212" s="272"/>
      <c r="B212" s="279" t="s">
        <v>147</v>
      </c>
      <c r="C212" s="490">
        <f>C208-C211</f>
        <v>0</v>
      </c>
      <c r="D212" s="229"/>
      <c r="E212" s="274"/>
      <c r="F212"/>
      <c r="G212"/>
      <c r="I212" s="345"/>
      <c r="J212" s="168"/>
      <c r="K212" s="168"/>
    </row>
    <row r="213" spans="1:14" s="276" customFormat="1">
      <c r="A213" s="272"/>
      <c r="B213" s="318"/>
      <c r="C213" s="619"/>
      <c r="D213" s="232"/>
      <c r="E213" s="319"/>
      <c r="F213" s="319"/>
      <c r="G213" s="319"/>
      <c r="H213" s="275"/>
      <c r="I213" s="348"/>
      <c r="J213" s="168"/>
      <c r="K213" s="168"/>
    </row>
    <row r="214" spans="1:14" s="276" customFormat="1">
      <c r="A214" s="278"/>
      <c r="B214" s="285"/>
      <c r="C214" s="165"/>
      <c r="D214" s="165"/>
      <c r="E214" s="274"/>
      <c r="F214" s="274"/>
      <c r="G214" s="274"/>
      <c r="I214" s="345"/>
      <c r="J214" s="168"/>
      <c r="K214" s="168"/>
    </row>
    <row r="215" spans="1:14" s="276" customFormat="1">
      <c r="A215" s="272"/>
      <c r="B215" s="285" t="s">
        <v>78</v>
      </c>
      <c r="C215" s="490">
        <f>C21-C208</f>
        <v>308657</v>
      </c>
      <c r="D215" s="490">
        <f>D21-D208</f>
        <v>13347.638911072285</v>
      </c>
      <c r="E215" s="249">
        <f t="shared" ref="E215:F215" si="56">E21-E208</f>
        <v>322004.63891107216</v>
      </c>
      <c r="F215" s="249">
        <f t="shared" si="56"/>
        <v>0</v>
      </c>
      <c r="G215" s="249">
        <f>G21-G208</f>
        <v>322004.63891107216</v>
      </c>
      <c r="I215" s="345"/>
      <c r="J215" s="168"/>
      <c r="K215" s="168"/>
      <c r="M215" s="357"/>
      <c r="N215" s="360"/>
    </row>
    <row r="216" spans="1:14" s="276" customFormat="1">
      <c r="A216" s="272"/>
      <c r="B216" s="285"/>
      <c r="C216" s="196"/>
      <c r="D216" s="196"/>
      <c r="E216" s="298"/>
      <c r="F216" s="298"/>
      <c r="G216" s="298"/>
      <c r="I216" s="345"/>
      <c r="J216" s="168"/>
      <c r="K216" s="168"/>
    </row>
    <row r="217" spans="1:14" s="276" customFormat="1">
      <c r="A217" s="272"/>
      <c r="B217" s="285"/>
      <c r="C217" s="196"/>
      <c r="D217" s="196"/>
      <c r="E217" s="298"/>
      <c r="F217" s="298"/>
      <c r="G217" s="298"/>
      <c r="I217" s="345"/>
      <c r="J217" s="168"/>
      <c r="K217" s="168"/>
    </row>
    <row r="218" spans="1:14">
      <c r="A218" s="272"/>
      <c r="B218" s="273" t="s">
        <v>159</v>
      </c>
      <c r="C218" s="165"/>
      <c r="D218" s="165"/>
      <c r="E218" s="274"/>
      <c r="F218" s="274"/>
      <c r="G218" s="274"/>
      <c r="H218" s="275"/>
      <c r="I218" s="348"/>
      <c r="J218" s="168"/>
      <c r="K218" s="168"/>
    </row>
    <row r="219" spans="1:14">
      <c r="A219" s="272"/>
      <c r="B219" s="279" t="s">
        <v>218</v>
      </c>
      <c r="C219" s="491">
        <f>'[57]Sch D'!C9</f>
        <v>8529</v>
      </c>
      <c r="D219" s="491"/>
      <c r="E219" s="321">
        <f t="shared" ref="E219:G227" si="57">C219+D219</f>
        <v>8529</v>
      </c>
      <c r="F219" s="320"/>
      <c r="G219" s="321">
        <f t="shared" si="57"/>
        <v>8529</v>
      </c>
      <c r="H219" s="280">
        <f t="shared" ref="H219:H228" si="58">IF($G$228=0,0,G219/$G$228)</f>
        <v>0.55347177157689809</v>
      </c>
      <c r="I219" s="349"/>
      <c r="J219" s="168"/>
      <c r="K219" s="168"/>
    </row>
    <row r="220" spans="1:14">
      <c r="A220" s="272"/>
      <c r="B220" s="279" t="s">
        <v>217</v>
      </c>
      <c r="C220" s="491">
        <f>'[57]Sch D'!D9</f>
        <v>0</v>
      </c>
      <c r="D220" s="491"/>
      <c r="E220" s="321">
        <f t="shared" ref="E220:E227" si="59">C220+D220</f>
        <v>0</v>
      </c>
      <c r="F220" s="320"/>
      <c r="G220" s="321">
        <f t="shared" si="57"/>
        <v>0</v>
      </c>
      <c r="H220" s="280">
        <f t="shared" si="58"/>
        <v>0</v>
      </c>
      <c r="I220" s="349"/>
      <c r="J220" s="168"/>
      <c r="K220" s="168"/>
    </row>
    <row r="221" spans="1:14">
      <c r="A221" s="272"/>
      <c r="B221" s="279" t="s">
        <v>72</v>
      </c>
      <c r="C221" s="491">
        <f>'[57]Sch D'!E9</f>
        <v>2847</v>
      </c>
      <c r="D221" s="491"/>
      <c r="E221" s="321">
        <f t="shared" si="59"/>
        <v>2847</v>
      </c>
      <c r="F221" s="320"/>
      <c r="G221" s="321">
        <f t="shared" si="57"/>
        <v>2847</v>
      </c>
      <c r="H221" s="280">
        <f t="shared" si="58"/>
        <v>0.18475016223231669</v>
      </c>
      <c r="I221" s="349"/>
      <c r="J221" s="168"/>
      <c r="K221" s="168"/>
    </row>
    <row r="222" spans="1:14">
      <c r="A222" s="272"/>
      <c r="B222" s="322" t="s">
        <v>334</v>
      </c>
      <c r="C222" s="491">
        <f>'[57]Sch D'!F9</f>
        <v>273</v>
      </c>
      <c r="D222" s="491"/>
      <c r="E222" s="321">
        <f>C222+D222</f>
        <v>273</v>
      </c>
      <c r="F222" s="320"/>
      <c r="G222" s="321">
        <f>E222+F222</f>
        <v>273</v>
      </c>
      <c r="H222" s="280">
        <f t="shared" si="58"/>
        <v>1.7715768981181053E-2</v>
      </c>
      <c r="I222" s="349"/>
      <c r="J222" s="168"/>
      <c r="K222" s="168"/>
    </row>
    <row r="223" spans="1:14">
      <c r="A223" s="272"/>
      <c r="B223" s="279" t="s">
        <v>73</v>
      </c>
      <c r="C223" s="491">
        <f>'[57]Sch D'!G9</f>
        <v>0</v>
      </c>
      <c r="D223" s="491"/>
      <c r="E223" s="321">
        <f t="shared" si="59"/>
        <v>0</v>
      </c>
      <c r="F223" s="320"/>
      <c r="G223" s="321">
        <f t="shared" si="57"/>
        <v>0</v>
      </c>
      <c r="H223" s="280">
        <f t="shared" si="58"/>
        <v>0</v>
      </c>
      <c r="I223" s="349"/>
      <c r="J223" s="168"/>
      <c r="K223" s="168"/>
    </row>
    <row r="224" spans="1:14">
      <c r="A224" s="272"/>
      <c r="B224" s="279" t="s">
        <v>74</v>
      </c>
      <c r="C224" s="491">
        <f>'[57]Sch D'!H9</f>
        <v>3469</v>
      </c>
      <c r="D224" s="491"/>
      <c r="E224" s="321">
        <f t="shared" si="59"/>
        <v>3469</v>
      </c>
      <c r="F224" s="320"/>
      <c r="G224" s="321">
        <f t="shared" si="57"/>
        <v>3469</v>
      </c>
      <c r="H224" s="280">
        <f t="shared" si="58"/>
        <v>0.22511356262167423</v>
      </c>
      <c r="I224" s="349"/>
      <c r="J224" s="168"/>
      <c r="K224" s="168"/>
    </row>
    <row r="225" spans="1:11">
      <c r="A225" s="272"/>
      <c r="B225" s="279" t="s">
        <v>236</v>
      </c>
      <c r="C225" s="491">
        <f>'[57]Sch D'!I9</f>
        <v>0</v>
      </c>
      <c r="D225" s="491"/>
      <c r="E225" s="321">
        <f t="shared" si="59"/>
        <v>0</v>
      </c>
      <c r="F225" s="320"/>
      <c r="G225" s="321">
        <f t="shared" si="57"/>
        <v>0</v>
      </c>
      <c r="H225" s="280">
        <f t="shared" si="58"/>
        <v>0</v>
      </c>
      <c r="I225" s="349"/>
      <c r="J225" s="168"/>
      <c r="K225" s="168"/>
    </row>
    <row r="226" spans="1:11">
      <c r="A226" s="272"/>
      <c r="B226" s="279" t="s">
        <v>235</v>
      </c>
      <c r="C226" s="491">
        <f>'[57]Sch D'!J9</f>
        <v>291</v>
      </c>
      <c r="D226" s="491"/>
      <c r="E226" s="321">
        <f>C226+D226</f>
        <v>291</v>
      </c>
      <c r="F226" s="320"/>
      <c r="G226" s="321">
        <f>E226+F226</f>
        <v>291</v>
      </c>
      <c r="H226" s="280">
        <f t="shared" si="58"/>
        <v>1.8883841661258921E-2</v>
      </c>
      <c r="I226" s="349"/>
      <c r="J226" s="168"/>
      <c r="K226" s="168"/>
    </row>
    <row r="227" spans="1:11">
      <c r="A227" s="272"/>
      <c r="B227" s="279" t="s">
        <v>179</v>
      </c>
      <c r="C227" s="491">
        <f>'[57]Sch D'!K9</f>
        <v>1</v>
      </c>
      <c r="D227" s="491"/>
      <c r="E227" s="321">
        <f t="shared" si="59"/>
        <v>1</v>
      </c>
      <c r="F227" s="320"/>
      <c r="G227" s="321">
        <f t="shared" si="57"/>
        <v>1</v>
      </c>
      <c r="H227" s="280">
        <f t="shared" si="58"/>
        <v>6.4892926670992858E-5</v>
      </c>
      <c r="I227" s="349"/>
      <c r="J227" s="168"/>
      <c r="K227" s="168"/>
    </row>
    <row r="228" spans="1:11" ht="13.5" thickBot="1">
      <c r="A228" s="272"/>
      <c r="B228" s="323" t="s">
        <v>75</v>
      </c>
      <c r="C228" s="491">
        <f>SUM(C219:C227)</f>
        <v>15410</v>
      </c>
      <c r="D228" s="491">
        <f>SUM(D219:D227)</f>
        <v>0</v>
      </c>
      <c r="E228" s="324">
        <f>SUM(E219:E227)</f>
        <v>15410</v>
      </c>
      <c r="F228" s="324">
        <f>SUM(F219:F227)</f>
        <v>0</v>
      </c>
      <c r="G228" s="324">
        <f>SUM(G219:G227)</f>
        <v>15410</v>
      </c>
      <c r="H228" s="280">
        <f t="shared" si="58"/>
        <v>1</v>
      </c>
      <c r="I228" s="349"/>
      <c r="J228" s="168"/>
      <c r="K228" s="168"/>
    </row>
    <row r="229" spans="1:11" ht="13.5" thickTop="1">
      <c r="A229" s="272"/>
      <c r="B229" s="276"/>
      <c r="C229" s="620"/>
      <c r="D229" s="239"/>
      <c r="E229" s="319"/>
      <c r="F229" s="325"/>
      <c r="G229" s="319"/>
      <c r="H229" s="276"/>
      <c r="J229" s="168"/>
      <c r="K229" s="168"/>
    </row>
    <row r="230" spans="1:11">
      <c r="A230" s="272"/>
      <c r="B230" s="273" t="s">
        <v>160</v>
      </c>
      <c r="C230" s="619"/>
      <c r="D230" s="232"/>
      <c r="E230" s="319"/>
      <c r="F230" s="319"/>
      <c r="G230" s="319"/>
      <c r="H230" s="276"/>
      <c r="J230" s="168"/>
      <c r="K230" s="168"/>
    </row>
    <row r="231" spans="1:11">
      <c r="A231" s="272"/>
      <c r="B231" s="23" t="s">
        <v>219</v>
      </c>
      <c r="C231" s="492">
        <f>'[57]Sch D'!N22</f>
        <v>100</v>
      </c>
      <c r="D231" s="526"/>
      <c r="E231" s="321">
        <f>C231+D231</f>
        <v>100</v>
      </c>
      <c r="F231" s="321"/>
      <c r="G231" s="321">
        <f>E231+F231</f>
        <v>100</v>
      </c>
      <c r="H231" s="276"/>
      <c r="J231" s="168"/>
      <c r="K231" s="168"/>
    </row>
    <row r="232" spans="1:11">
      <c r="A232" s="272"/>
      <c r="B232" s="23" t="s">
        <v>290</v>
      </c>
      <c r="C232" s="492">
        <f>'[57]Sch D'!N24</f>
        <v>100</v>
      </c>
      <c r="D232" s="526"/>
      <c r="E232" s="321">
        <f>C232+D232</f>
        <v>100</v>
      </c>
      <c r="F232" s="321"/>
      <c r="G232" s="321">
        <f>E232+F232</f>
        <v>100</v>
      </c>
      <c r="H232" s="276"/>
      <c r="J232" s="168"/>
      <c r="K232" s="168"/>
    </row>
    <row r="233" spans="1:11">
      <c r="A233" s="272"/>
      <c r="B233" s="23" t="s">
        <v>76</v>
      </c>
      <c r="C233" s="492">
        <f>$C$4-$C$3+1</f>
        <v>365</v>
      </c>
      <c r="D233" s="489"/>
      <c r="E233" s="321">
        <f>C233+D233</f>
        <v>365</v>
      </c>
      <c r="F233" s="326"/>
      <c r="G233" s="321">
        <f>E233+F233</f>
        <v>365</v>
      </c>
      <c r="H233" s="276"/>
      <c r="J233" s="168"/>
      <c r="K233" s="168"/>
    </row>
    <row r="234" spans="1:11">
      <c r="A234" s="272"/>
      <c r="B234" s="327"/>
      <c r="C234" s="621"/>
      <c r="D234" s="240"/>
      <c r="E234" s="328"/>
      <c r="F234" s="326"/>
      <c r="G234" s="328"/>
      <c r="H234" s="276"/>
      <c r="J234" s="168"/>
      <c r="K234" s="168"/>
    </row>
    <row r="235" spans="1:11" ht="26">
      <c r="A235" s="272"/>
      <c r="B235" s="329" t="s">
        <v>237</v>
      </c>
      <c r="C235" s="492">
        <f>'[57]Sch D'!N28</f>
        <v>36500</v>
      </c>
      <c r="D235" s="489"/>
      <c r="E235" s="320">
        <f>E231*E233</f>
        <v>36500</v>
      </c>
      <c r="F235" s="326"/>
      <c r="G235" s="320">
        <f>G231*G233</f>
        <v>36500</v>
      </c>
      <c r="H235" s="276"/>
      <c r="J235" s="168"/>
      <c r="K235" s="168"/>
    </row>
    <row r="236" spans="1:11" ht="26">
      <c r="A236" s="272"/>
      <c r="B236" s="329" t="s">
        <v>238</v>
      </c>
      <c r="C236" s="493">
        <f>'[57]Sch D'!N30</f>
        <v>0.42219178082191783</v>
      </c>
      <c r="D236" s="240"/>
      <c r="E236" s="330">
        <f>E228/E235</f>
        <v>0.42219178082191783</v>
      </c>
      <c r="F236" s="331"/>
      <c r="G236" s="330">
        <f>G228/G235</f>
        <v>0.42219178082191783</v>
      </c>
      <c r="H236" s="276"/>
      <c r="J236" s="168"/>
      <c r="K236" s="168"/>
    </row>
    <row r="237" spans="1:11" ht="26">
      <c r="A237" s="272"/>
      <c r="B237" s="329" t="s">
        <v>239</v>
      </c>
      <c r="C237" s="493">
        <f>'[57]Sch D'!N32</f>
        <v>0.23367123287671232</v>
      </c>
      <c r="D237" s="240"/>
      <c r="E237" s="330">
        <f>(E219+E220)/E235</f>
        <v>0.23367123287671232</v>
      </c>
      <c r="F237" s="331"/>
      <c r="G237" s="330">
        <f>(G219+G220)/G235</f>
        <v>0.23367123287671232</v>
      </c>
      <c r="H237" s="276"/>
      <c r="J237" s="168"/>
      <c r="K237" s="168"/>
    </row>
    <row r="238" spans="1:11" ht="39">
      <c r="A238" s="272"/>
      <c r="B238" s="329" t="s">
        <v>240</v>
      </c>
      <c r="C238" s="493">
        <f>'[57]Sch D'!N34</f>
        <v>0.55347177157689809</v>
      </c>
      <c r="D238" s="240"/>
      <c r="E238" s="330">
        <f>(E237/E236)</f>
        <v>0.55347177157689809</v>
      </c>
      <c r="F238" s="331"/>
      <c r="G238" s="330">
        <f>(G237/G236)</f>
        <v>0.55347177157689809</v>
      </c>
      <c r="H238" s="276"/>
      <c r="J238" s="168"/>
      <c r="K238" s="168"/>
    </row>
    <row r="239" spans="1:11">
      <c r="C239" s="140"/>
      <c r="D239" s="140"/>
      <c r="J239" s="141"/>
      <c r="K239" s="141"/>
    </row>
    <row r="240" spans="1:11">
      <c r="C240" s="140"/>
      <c r="D240" s="140"/>
      <c r="J240" s="141"/>
      <c r="K240" s="141"/>
    </row>
    <row r="241" spans="2:11">
      <c r="B241" s="257" t="s">
        <v>339</v>
      </c>
      <c r="C241" s="140"/>
      <c r="D241" s="140"/>
      <c r="F241" s="252" t="s">
        <v>340</v>
      </c>
      <c r="G241" s="490">
        <f>'[57]Sch B'!C85</f>
        <v>132.46558197747183</v>
      </c>
      <c r="J241" s="141"/>
      <c r="K241" s="141"/>
    </row>
    <row r="242" spans="2:11">
      <c r="C242" s="140"/>
      <c r="D242" s="140"/>
      <c r="F242" s="252" t="s">
        <v>341</v>
      </c>
      <c r="G242" s="490">
        <f>'[57]Sch B'!E85</f>
        <v>132.23771428571428</v>
      </c>
      <c r="J242" s="141"/>
      <c r="K242" s="141"/>
    </row>
    <row r="243" spans="2:11">
      <c r="C243" s="140"/>
      <c r="D243" s="140"/>
      <c r="F243" s="252" t="s">
        <v>342</v>
      </c>
      <c r="G243" s="490">
        <f>'[57]Sch B'!G85</f>
        <v>132.21468926553672</v>
      </c>
      <c r="J243" s="141"/>
      <c r="K243" s="141"/>
    </row>
    <row r="244" spans="2:11">
      <c r="C244" s="140"/>
      <c r="D244" s="140"/>
      <c r="F244" s="252" t="s">
        <v>343</v>
      </c>
      <c r="G244" s="490">
        <f>'[57]Sch B'!I85</f>
        <v>131.89236430542778</v>
      </c>
      <c r="J244" s="141"/>
      <c r="K244" s="141"/>
    </row>
    <row r="245" spans="2:11">
      <c r="C245" s="140"/>
      <c r="D245" s="140"/>
      <c r="F245" s="252"/>
      <c r="J245" s="141"/>
      <c r="K245" s="141"/>
    </row>
    <row r="246" spans="2:11">
      <c r="C246" s="140"/>
      <c r="D246" s="140"/>
      <c r="J246" s="141"/>
      <c r="K246" s="141"/>
    </row>
    <row r="247" spans="2:11">
      <c r="C247" s="140"/>
      <c r="D247" s="140"/>
      <c r="J247" s="141"/>
      <c r="K247" s="141"/>
    </row>
    <row r="248" spans="2:11">
      <c r="J248" s="141"/>
      <c r="K248" s="141"/>
    </row>
    <row r="249" spans="2:11">
      <c r="J249" s="141"/>
      <c r="K249" s="141"/>
    </row>
    <row r="250" spans="2:11">
      <c r="J250" s="141"/>
      <c r="K250" s="141"/>
    </row>
    <row r="251" spans="2:11">
      <c r="J251" s="141"/>
      <c r="K251" s="141"/>
    </row>
    <row r="252" spans="2:11">
      <c r="J252" s="141"/>
      <c r="K252" s="141"/>
    </row>
    <row r="253" spans="2:11">
      <c r="J253" s="141"/>
      <c r="K253" s="141"/>
    </row>
    <row r="254" spans="2:11">
      <c r="J254" s="141"/>
      <c r="K254" s="141"/>
    </row>
  </sheetData>
  <customSheetViews>
    <customSheetView guid="{8B6AA640-12E9-11D5-ABB1-E7A21A3D4A14}" showGridLines="0" showRuler="0">
      <pageMargins left="0" right="0" top="0" bottom="1" header="0.5" footer="0.5"/>
      <printOptions horizontalCentered="1"/>
      <pageSetup scale="75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F20" sqref="F20"/>
      <pageMargins left="0" right="0" top="0" bottom="1" header="0.5" footer="0.5"/>
      <printOptions horizontalCentered="1"/>
      <pageSetup scale="75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5">
    <tabColor rgb="FFE28CAB"/>
  </sheetPr>
  <dimension ref="A1:Q245"/>
  <sheetViews>
    <sheetView showGridLines="0" zoomScale="90" zoomScaleNormal="90" workbookViewId="0">
      <pane xSplit="2" topLeftCell="C1" activePane="topRight" state="frozen"/>
      <selection activeCell="N1" sqref="N1"/>
      <selection pane="topRight"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478"/>
      <c r="E1" s="478"/>
      <c r="F1" s="478"/>
      <c r="G1" s="478"/>
      <c r="H1" s="478"/>
      <c r="I1" s="479"/>
    </row>
    <row r="2" spans="1:14" ht="23">
      <c r="B2" s="143" t="s">
        <v>189</v>
      </c>
      <c r="C2" s="247" t="s">
        <v>359</v>
      </c>
      <c r="D2" s="247"/>
      <c r="E2" s="144"/>
    </row>
    <row r="3" spans="1:14">
      <c r="A3" s="145"/>
      <c r="B3" s="140" t="s">
        <v>79</v>
      </c>
      <c r="C3" s="495">
        <v>41821</v>
      </c>
      <c r="D3" s="144"/>
      <c r="E3" s="147"/>
    </row>
    <row r="4" spans="1:14">
      <c r="A4" s="145"/>
      <c r="B4" s="148" t="s">
        <v>80</v>
      </c>
      <c r="C4" s="495">
        <v>42185</v>
      </c>
      <c r="D4" s="144"/>
      <c r="E4" s="149"/>
      <c r="G4" s="150"/>
    </row>
    <row r="5" spans="1:14">
      <c r="A5" s="145"/>
      <c r="B5" s="148"/>
      <c r="C5" s="151"/>
      <c r="D5" s="144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144"/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490">
        <f>'[58]Sch B'!E10</f>
        <v>1254649</v>
      </c>
      <c r="D11" s="490">
        <f>'[58]Sch B'!G10</f>
        <v>0</v>
      </c>
      <c r="E11" s="171">
        <f>C11+D11</f>
        <v>1254649</v>
      </c>
      <c r="F11" s="171"/>
      <c r="G11" s="171">
        <f t="shared" ref="G11:G20" si="0">E11+F11</f>
        <v>1254649</v>
      </c>
      <c r="H11" s="172">
        <f t="shared" ref="H11:H21" si="1">IF($G$21=0,0,G11/$G$21)</f>
        <v>0.41811793624567017</v>
      </c>
      <c r="I11" s="337"/>
      <c r="J11" s="368" t="s">
        <v>344</v>
      </c>
      <c r="K11" s="369">
        <f>G21</f>
        <v>3000706</v>
      </c>
      <c r="M11" s="359">
        <f>IFERROR(G11/G219,0)</f>
        <v>181.8331884057971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490">
        <f>'[58]Sch B'!E15</f>
        <v>0</v>
      </c>
      <c r="D12" s="490">
        <f>'[58]Sch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7"/>
      <c r="J12" s="370" t="s">
        <v>345</v>
      </c>
      <c r="K12" s="371">
        <f>G208</f>
        <v>3020636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490">
        <f>'[58]Sch B'!E21</f>
        <v>738662</v>
      </c>
      <c r="D13" s="490">
        <f>'[58]Sch B'!G21</f>
        <v>0</v>
      </c>
      <c r="E13" s="171">
        <f t="shared" si="2"/>
        <v>738662</v>
      </c>
      <c r="F13" s="171"/>
      <c r="G13" s="171">
        <f t="shared" si="0"/>
        <v>738662</v>
      </c>
      <c r="H13" s="172">
        <f t="shared" si="1"/>
        <v>0.24616273636937441</v>
      </c>
      <c r="I13" s="337"/>
      <c r="J13" s="370" t="s">
        <v>346</v>
      </c>
      <c r="K13" s="371">
        <f>G228</f>
        <v>13224</v>
      </c>
      <c r="M13" s="359">
        <f t="shared" si="3"/>
        <v>575.28193146417448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490">
        <f>'[58]Sch B'!E27</f>
        <v>248597</v>
      </c>
      <c r="D14" s="490">
        <f>'[58]Sch B'!G27</f>
        <v>0</v>
      </c>
      <c r="E14" s="171">
        <f t="shared" si="2"/>
        <v>248597</v>
      </c>
      <c r="F14" s="175"/>
      <c r="G14" s="175">
        <f>E14+F14</f>
        <v>248597</v>
      </c>
      <c r="H14" s="176">
        <f t="shared" si="1"/>
        <v>8.2846170201279296E-2</v>
      </c>
      <c r="I14" s="338"/>
      <c r="J14" s="370" t="s">
        <v>347</v>
      </c>
      <c r="K14" s="371">
        <f>G231</f>
        <v>72</v>
      </c>
      <c r="M14" s="359">
        <f t="shared" si="3"/>
        <v>401.61066235864297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490">
        <f>'[58]Sch B'!E32</f>
        <v>188184</v>
      </c>
      <c r="D15" s="490">
        <f>'[58]Sch B'!G32</f>
        <v>0</v>
      </c>
      <c r="E15" s="171">
        <f t="shared" si="2"/>
        <v>188184</v>
      </c>
      <c r="F15" s="171"/>
      <c r="G15" s="171">
        <f t="shared" si="0"/>
        <v>188184</v>
      </c>
      <c r="H15" s="172">
        <f t="shared" si="1"/>
        <v>6.2713241483837473E-2</v>
      </c>
      <c r="I15" s="337"/>
      <c r="J15" s="370" t="s">
        <v>348</v>
      </c>
      <c r="K15" s="371">
        <f>G235</f>
        <v>26280</v>
      </c>
      <c r="M15" s="359">
        <f t="shared" si="3"/>
        <v>207.02310231023102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490">
        <f>'[58]Sch B'!E37</f>
        <v>449529</v>
      </c>
      <c r="D16" s="490">
        <f>'[58]Sch B'!G37</f>
        <v>0</v>
      </c>
      <c r="E16" s="171">
        <f t="shared" si="2"/>
        <v>449529</v>
      </c>
      <c r="F16" s="171"/>
      <c r="G16" s="171">
        <f t="shared" si="0"/>
        <v>449529</v>
      </c>
      <c r="H16" s="172">
        <f t="shared" si="1"/>
        <v>0.1498077452439526</v>
      </c>
      <c r="I16" s="337"/>
      <c r="J16" s="372"/>
      <c r="K16" s="371"/>
      <c r="M16" s="359">
        <f t="shared" si="3"/>
        <v>142.70761904761906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490">
        <f>'[58]Sch B'!E42</f>
        <v>72374</v>
      </c>
      <c r="D17" s="490">
        <f>'[58]Sch B'!G42</f>
        <v>0</v>
      </c>
      <c r="E17" s="171">
        <f t="shared" si="2"/>
        <v>72374</v>
      </c>
      <c r="F17" s="171"/>
      <c r="G17" s="171">
        <f>E17+F17</f>
        <v>72374</v>
      </c>
      <c r="H17" s="172">
        <f t="shared" si="1"/>
        <v>2.4118990664197027E-2</v>
      </c>
      <c r="I17" s="337"/>
      <c r="J17" s="370" t="s">
        <v>156</v>
      </c>
      <c r="K17" s="371">
        <f>J208</f>
        <v>71933</v>
      </c>
      <c r="M17" s="359">
        <f t="shared" si="3"/>
        <v>217.99397590361446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490">
        <f>'[58]Sch B'!E47</f>
        <v>0</v>
      </c>
      <c r="D18" s="490">
        <f>'[58]Sch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337"/>
      <c r="J18" s="373" t="s">
        <v>252</v>
      </c>
      <c r="K18" s="374">
        <f>K208</f>
        <v>79210</v>
      </c>
      <c r="M18" s="359">
        <f t="shared" si="3"/>
        <v>0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490">
        <f>'[58]Sch B'!E52</f>
        <v>12441</v>
      </c>
      <c r="D19" s="490">
        <f>'[58]Sch B'!G52</f>
        <v>0</v>
      </c>
      <c r="E19" s="171">
        <f t="shared" si="2"/>
        <v>12441</v>
      </c>
      <c r="F19" s="171"/>
      <c r="G19" s="171">
        <f t="shared" si="0"/>
        <v>12441</v>
      </c>
      <c r="H19" s="172">
        <f t="shared" si="1"/>
        <v>4.1460243022808634E-3</v>
      </c>
      <c r="I19" s="337"/>
      <c r="J19" s="168"/>
      <c r="K19" s="168"/>
      <c r="M19" s="359">
        <f t="shared" si="3"/>
        <v>414.7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490">
        <f>'[58]Sch B'!E67</f>
        <v>38964</v>
      </c>
      <c r="D20" s="490">
        <f>'[58]Sch B'!G67</f>
        <v>-2694</v>
      </c>
      <c r="E20" s="171">
        <f t="shared" si="2"/>
        <v>36270</v>
      </c>
      <c r="F20" s="171"/>
      <c r="G20" s="171">
        <f t="shared" si="0"/>
        <v>36270</v>
      </c>
      <c r="H20" s="172">
        <f t="shared" si="1"/>
        <v>1.2087155489408159E-2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490">
        <f>SUM(C11:C20)</f>
        <v>3003400</v>
      </c>
      <c r="D21" s="490">
        <f>SUM(D11:D20)</f>
        <v>-2694</v>
      </c>
      <c r="E21" s="171">
        <f>SUM(E11:E20)</f>
        <v>3000706</v>
      </c>
      <c r="F21" s="171">
        <f>SUM(F11:F20)</f>
        <v>0</v>
      </c>
      <c r="G21" s="171">
        <f>SUM(G11:G20)</f>
        <v>3000706</v>
      </c>
      <c r="H21" s="172">
        <f t="shared" si="1"/>
        <v>1</v>
      </c>
      <c r="I21" s="337"/>
      <c r="J21" s="168"/>
      <c r="K21" s="168"/>
      <c r="M21" s="359">
        <f>IFERROR(G21/G228,0)</f>
        <v>226.91364186327888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4">
      <c r="A24" s="181" t="s">
        <v>161</v>
      </c>
      <c r="B24" s="148" t="s">
        <v>12</v>
      </c>
      <c r="M24" s="363"/>
      <c r="N24" s="363"/>
    </row>
    <row r="25" spans="1:14" s="167" customFormat="1">
      <c r="A25" s="169" t="s">
        <v>83</v>
      </c>
      <c r="B25" s="170" t="s">
        <v>14</v>
      </c>
      <c r="C25" s="490">
        <f>'[58]Sch C'!D10</f>
        <v>0</v>
      </c>
      <c r="D25" s="490">
        <f>'[58]Sch C'!F10</f>
        <v>92631</v>
      </c>
      <c r="E25" s="171">
        <f t="shared" ref="E25:E60" si="4">C25+D25</f>
        <v>92631</v>
      </c>
      <c r="F25" s="171"/>
      <c r="G25" s="182">
        <f>E25+F25</f>
        <v>92631</v>
      </c>
      <c r="H25" s="172">
        <f>IF($G$208=0,0,G25/$G$208)</f>
        <v>3.0666058406242924E-2</v>
      </c>
      <c r="I25" s="337"/>
      <c r="J25" s="183">
        <v>2042</v>
      </c>
      <c r="K25" s="183">
        <v>2136</v>
      </c>
      <c r="M25" s="359">
        <f>G25/G$228</f>
        <v>7.0047640653357535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490">
        <f>'[58]Sch C'!D11</f>
        <v>0</v>
      </c>
      <c r="D26" s="490">
        <f>'[58]Sch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490">
        <f>'[58]Sch C'!D12</f>
        <v>171984</v>
      </c>
      <c r="D27" s="490">
        <f>'[58]Sch C'!F12</f>
        <v>-92631</v>
      </c>
      <c r="E27" s="171">
        <f t="shared" si="4"/>
        <v>79353</v>
      </c>
      <c r="F27" s="171"/>
      <c r="G27" s="171">
        <f t="shared" si="5"/>
        <v>79353</v>
      </c>
      <c r="H27" s="172">
        <f t="shared" si="6"/>
        <v>2.6270295394744684E-2</v>
      </c>
      <c r="I27" s="337"/>
      <c r="J27" s="185">
        <v>3928</v>
      </c>
      <c r="K27" s="185">
        <v>4432</v>
      </c>
      <c r="M27" s="359">
        <f t="shared" si="7"/>
        <v>6.0006805807622507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490">
        <f>'[58]Sch C'!D13</f>
        <v>28183</v>
      </c>
      <c r="D28" s="490">
        <f>'[58]Sch C'!F13</f>
        <v>0</v>
      </c>
      <c r="E28" s="171">
        <f t="shared" si="4"/>
        <v>28183</v>
      </c>
      <c r="F28" s="171"/>
      <c r="G28" s="171">
        <f t="shared" si="5"/>
        <v>28183</v>
      </c>
      <c r="H28" s="172">
        <f t="shared" si="6"/>
        <v>9.3301543118733937E-3</v>
      </c>
      <c r="I28" s="337"/>
      <c r="J28" s="168"/>
      <c r="K28" s="168"/>
      <c r="M28" s="359">
        <f t="shared" si="7"/>
        <v>2.1312008469449486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490">
        <f>'[58]Sch C'!D14</f>
        <v>0</v>
      </c>
      <c r="D29" s="490">
        <f>'[58]Sch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490">
        <f>'[58]Sch C'!D15</f>
        <v>0</v>
      </c>
      <c r="D30" s="490">
        <f>'[58]Sch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7"/>
      <c r="J30" s="168"/>
      <c r="K30" s="168"/>
      <c r="M30" s="359">
        <f t="shared" si="7"/>
        <v>0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490">
        <f>'[58]Sch C'!D16</f>
        <v>150093</v>
      </c>
      <c r="D31" s="490">
        <f>'[58]Sch C'!F16</f>
        <v>31544</v>
      </c>
      <c r="E31" s="171">
        <f t="shared" si="4"/>
        <v>181637</v>
      </c>
      <c r="F31" s="171"/>
      <c r="G31" s="171">
        <f t="shared" si="5"/>
        <v>181637</v>
      </c>
      <c r="H31" s="172">
        <f t="shared" si="6"/>
        <v>6.0132038418399307E-2</v>
      </c>
      <c r="I31" s="337"/>
      <c r="J31" s="168"/>
      <c r="K31" s="168"/>
      <c r="M31" s="359">
        <f t="shared" si="7"/>
        <v>13.735405323653962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490">
        <f>'[58]Sch C'!D17</f>
        <v>1000</v>
      </c>
      <c r="D32" s="490">
        <f>'[58]Sch C'!F17</f>
        <v>-1000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7"/>
      <c r="J32" s="168"/>
      <c r="K32" s="168"/>
      <c r="M32" s="359">
        <f t="shared" si="7"/>
        <v>0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490">
        <f>'[58]Sch C'!D18</f>
        <v>13116</v>
      </c>
      <c r="D33" s="490">
        <f>'[58]Sch C'!F18</f>
        <v>0</v>
      </c>
      <c r="E33" s="171">
        <f t="shared" si="4"/>
        <v>13116</v>
      </c>
      <c r="F33" s="171"/>
      <c r="G33" s="171">
        <f t="shared" si="5"/>
        <v>13116</v>
      </c>
      <c r="H33" s="172">
        <f t="shared" si="6"/>
        <v>4.3421319218866494E-3</v>
      </c>
      <c r="I33" s="337"/>
      <c r="J33" s="168"/>
      <c r="K33" s="168"/>
      <c r="M33" s="359">
        <f t="shared" si="7"/>
        <v>0.99183303085299457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490">
        <f>'[58]Sch C'!D19</f>
        <v>8968</v>
      </c>
      <c r="D34" s="490">
        <f>'[58]Sch C'!F19</f>
        <v>0</v>
      </c>
      <c r="E34" s="171">
        <f t="shared" si="4"/>
        <v>8968</v>
      </c>
      <c r="F34" s="171"/>
      <c r="G34" s="171">
        <f t="shared" si="5"/>
        <v>8968</v>
      </c>
      <c r="H34" s="172">
        <f t="shared" si="6"/>
        <v>2.9689111829429298E-3</v>
      </c>
      <c r="I34" s="337"/>
      <c r="J34" s="168"/>
      <c r="K34" s="168"/>
      <c r="M34" s="359">
        <f t="shared" si="7"/>
        <v>0.67816091954022983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490">
        <f>'[58]Sch C'!D20</f>
        <v>5739</v>
      </c>
      <c r="D35" s="490">
        <f>'[58]Sch C'!F20</f>
        <v>0</v>
      </c>
      <c r="E35" s="171">
        <f t="shared" si="4"/>
        <v>5739</v>
      </c>
      <c r="F35" s="171"/>
      <c r="G35" s="171">
        <f t="shared" si="5"/>
        <v>5739</v>
      </c>
      <c r="H35" s="172">
        <f t="shared" si="6"/>
        <v>1.8999310079069441E-3</v>
      </c>
      <c r="I35" s="337"/>
      <c r="J35" s="168"/>
      <c r="K35" s="168"/>
      <c r="M35" s="359">
        <f t="shared" si="7"/>
        <v>0.43398366606170596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490">
        <f>'[58]Sch C'!D21</f>
        <v>13137</v>
      </c>
      <c r="D36" s="490">
        <f>'[58]Sch C'!F21</f>
        <v>0</v>
      </c>
      <c r="E36" s="171">
        <f t="shared" si="4"/>
        <v>13137</v>
      </c>
      <c r="F36" s="171"/>
      <c r="G36" s="171">
        <f t="shared" si="5"/>
        <v>13137</v>
      </c>
      <c r="H36" s="172">
        <f t="shared" si="6"/>
        <v>4.3490841001696335E-3</v>
      </c>
      <c r="I36" s="337"/>
      <c r="J36" s="168"/>
      <c r="K36" s="168"/>
      <c r="M36" s="359">
        <f t="shared" si="7"/>
        <v>0.99342105263157898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490">
        <f>'[58]Sch C'!D22</f>
        <v>0</v>
      </c>
      <c r="D37" s="490">
        <f>'[58]Sch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490">
        <f>'[58]Sch C'!D23</f>
        <v>3149</v>
      </c>
      <c r="D38" s="490">
        <f>'[58]Sch C'!F23</f>
        <v>0</v>
      </c>
      <c r="E38" s="171">
        <f t="shared" si="4"/>
        <v>3149</v>
      </c>
      <c r="F38" s="171"/>
      <c r="G38" s="171">
        <f t="shared" si="5"/>
        <v>3149</v>
      </c>
      <c r="H38" s="172">
        <f t="shared" si="6"/>
        <v>1.0424956863389035E-3</v>
      </c>
      <c r="I38" s="337"/>
      <c r="J38" s="168"/>
      <c r="K38" s="168"/>
      <c r="M38" s="359">
        <f t="shared" si="7"/>
        <v>0.2381276467029643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490">
        <f>'[58]Sch C'!D24</f>
        <v>10195</v>
      </c>
      <c r="D39" s="490">
        <f>'[58]Sch C'!F24</f>
        <v>0</v>
      </c>
      <c r="E39" s="171">
        <f t="shared" si="4"/>
        <v>10195</v>
      </c>
      <c r="F39" s="171"/>
      <c r="G39" s="171">
        <f t="shared" si="5"/>
        <v>10195</v>
      </c>
      <c r="H39" s="172">
        <f t="shared" si="6"/>
        <v>3.3751170283344302E-3</v>
      </c>
      <c r="I39" s="337"/>
      <c r="J39" s="168"/>
      <c r="K39" s="168"/>
      <c r="M39" s="359">
        <f t="shared" si="7"/>
        <v>0.77094676346037505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490">
        <f>'[58]Sch C'!D25</f>
        <v>2282</v>
      </c>
      <c r="D40" s="490">
        <f>'[58]Sch C'!F25</f>
        <v>0</v>
      </c>
      <c r="E40" s="171">
        <f t="shared" si="4"/>
        <v>2282</v>
      </c>
      <c r="F40" s="171"/>
      <c r="G40" s="171">
        <f t="shared" si="5"/>
        <v>2282</v>
      </c>
      <c r="H40" s="172">
        <f t="shared" si="6"/>
        <v>7.5547004008427363E-4</v>
      </c>
      <c r="I40" s="337"/>
      <c r="J40" s="168"/>
      <c r="K40" s="168"/>
      <c r="M40" s="359">
        <f t="shared" si="7"/>
        <v>0.17256503327283726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490">
        <f>'[58]Sch C'!D26</f>
        <v>174374</v>
      </c>
      <c r="D41" s="490">
        <f>'[58]Sch C'!F26</f>
        <v>0</v>
      </c>
      <c r="E41" s="171">
        <f t="shared" si="4"/>
        <v>174374</v>
      </c>
      <c r="F41" s="171"/>
      <c r="G41" s="171">
        <f t="shared" si="5"/>
        <v>174374</v>
      </c>
      <c r="H41" s="172">
        <f t="shared" si="6"/>
        <v>5.772757790081294E-2</v>
      </c>
      <c r="I41" s="337"/>
      <c r="J41" s="168"/>
      <c r="K41" s="168"/>
      <c r="M41" s="359">
        <f t="shared" si="7"/>
        <v>13.186176648517847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490">
        <f>'[58]Sch C'!D27</f>
        <v>5566</v>
      </c>
      <c r="D42" s="490">
        <f>'[58]Sch C'!F27</f>
        <v>-40</v>
      </c>
      <c r="E42" s="171">
        <f t="shared" si="4"/>
        <v>5526</v>
      </c>
      <c r="F42" s="171"/>
      <c r="G42" s="171">
        <f t="shared" si="5"/>
        <v>5526</v>
      </c>
      <c r="H42" s="172">
        <f t="shared" si="6"/>
        <v>1.8294160567509624E-3</v>
      </c>
      <c r="I42" s="337"/>
      <c r="J42" s="168"/>
      <c r="K42" s="168"/>
      <c r="M42" s="359">
        <f t="shared" si="7"/>
        <v>0.41787658802177857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490">
        <f>'[58]Sch C'!D28</f>
        <v>0</v>
      </c>
      <c r="D43" s="490">
        <f>'[58]Sch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490">
        <f>'[58]Sch C'!D29</f>
        <v>-3489</v>
      </c>
      <c r="D44" s="490">
        <f>'[58]Sch C'!F29</f>
        <v>3489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490">
        <f>'[58]Sch C'!D30</f>
        <v>0</v>
      </c>
      <c r="D45" s="490">
        <f>'[58]Sch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490">
        <f>'[58]Sch C'!D31</f>
        <v>0</v>
      </c>
      <c r="D46" s="490">
        <f>'[58]Sch C'!F31</f>
        <v>0</v>
      </c>
      <c r="E46" s="171">
        <f t="shared" si="4"/>
        <v>0</v>
      </c>
      <c r="F46" s="171"/>
      <c r="G46" s="171">
        <f t="shared" si="5"/>
        <v>0</v>
      </c>
      <c r="H46" s="172">
        <f t="shared" si="6"/>
        <v>0</v>
      </c>
      <c r="I46" s="337"/>
      <c r="J46" s="168"/>
      <c r="K46" s="168"/>
      <c r="M46" s="359">
        <f t="shared" si="7"/>
        <v>0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490">
        <f>'[58]Sch C'!D32</f>
        <v>54983</v>
      </c>
      <c r="D47" s="490">
        <f>'[58]Sch C'!F32</f>
        <v>0</v>
      </c>
      <c r="E47" s="171">
        <f t="shared" si="4"/>
        <v>54983</v>
      </c>
      <c r="F47" s="171"/>
      <c r="G47" s="171">
        <f t="shared" si="5"/>
        <v>54983</v>
      </c>
      <c r="H47" s="172">
        <f t="shared" si="6"/>
        <v>1.8202458025395975E-2</v>
      </c>
      <c r="I47" s="337"/>
      <c r="J47" s="168"/>
      <c r="K47" s="168"/>
      <c r="M47" s="359">
        <f t="shared" si="7"/>
        <v>4.1578191167574108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490">
        <f>'[58]Sch C'!D33</f>
        <v>0</v>
      </c>
      <c r="D48" s="490">
        <f>'[58]Sch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490">
        <f>'[58]Sch C'!D34</f>
        <v>189</v>
      </c>
      <c r="D49" s="490">
        <f>'[58]Sch C'!F34</f>
        <v>0</v>
      </c>
      <c r="E49" s="171">
        <f t="shared" si="4"/>
        <v>189</v>
      </c>
      <c r="F49" s="171"/>
      <c r="G49" s="171">
        <f t="shared" si="5"/>
        <v>189</v>
      </c>
      <c r="H49" s="172">
        <f t="shared" si="6"/>
        <v>6.2569604546857023E-5</v>
      </c>
      <c r="I49" s="337"/>
      <c r="J49" s="168"/>
      <c r="K49" s="168"/>
      <c r="M49" s="359">
        <f t="shared" si="7"/>
        <v>1.4292196007259528E-2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490">
        <f>'[58]Sch C'!D35</f>
        <v>205</v>
      </c>
      <c r="D50" s="490">
        <f>'[58]Sch C'!F35</f>
        <v>-205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490">
        <f>'[58]Sch C'!D36</f>
        <v>17184</v>
      </c>
      <c r="D51" s="490">
        <f>'[58]Sch C'!F36</f>
        <v>0</v>
      </c>
      <c r="E51" s="171">
        <f t="shared" si="4"/>
        <v>17184</v>
      </c>
      <c r="F51" s="171"/>
      <c r="G51" s="171">
        <f t="shared" si="5"/>
        <v>17184</v>
      </c>
      <c r="H51" s="172">
        <f t="shared" si="6"/>
        <v>5.6888681721332856E-3</v>
      </c>
      <c r="I51" s="337"/>
      <c r="J51" s="183">
        <v>1641</v>
      </c>
      <c r="K51" s="183">
        <v>1759</v>
      </c>
      <c r="M51" s="359">
        <f t="shared" si="7"/>
        <v>1.2994555353901995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490">
        <f>'[58]Sch C'!D37</f>
        <v>1982</v>
      </c>
      <c r="D52" s="490">
        <f>'[58]Sch C'!F37</f>
        <v>0</v>
      </c>
      <c r="E52" s="171">
        <f t="shared" si="4"/>
        <v>1982</v>
      </c>
      <c r="F52" s="171"/>
      <c r="G52" s="171">
        <f t="shared" si="5"/>
        <v>1982</v>
      </c>
      <c r="H52" s="172">
        <f t="shared" si="6"/>
        <v>6.5615320747021487E-4</v>
      </c>
      <c r="I52" s="337"/>
      <c r="J52" s="168"/>
      <c r="K52" s="168"/>
      <c r="M52" s="359">
        <f t="shared" si="7"/>
        <v>0.14987900786448879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490">
        <f>'[58]Sch C'!D38</f>
        <v>498</v>
      </c>
      <c r="D53" s="490">
        <f>'[58]Sch C'!F38</f>
        <v>-498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7"/>
      <c r="J53" s="168"/>
      <c r="K53" s="168"/>
      <c r="M53" s="359">
        <f t="shared" si="7"/>
        <v>0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490">
        <f>'[58]Sch C'!D39</f>
        <v>3599</v>
      </c>
      <c r="D54" s="490">
        <f>'[58]Sch C'!F39</f>
        <v>0</v>
      </c>
      <c r="E54" s="171">
        <f t="shared" si="4"/>
        <v>3599</v>
      </c>
      <c r="F54" s="171"/>
      <c r="G54" s="171">
        <f t="shared" si="5"/>
        <v>3599</v>
      </c>
      <c r="H54" s="172">
        <f t="shared" si="6"/>
        <v>1.1914709352599917E-3</v>
      </c>
      <c r="I54" s="337"/>
      <c r="J54" s="168"/>
      <c r="K54" s="168"/>
      <c r="M54" s="359">
        <f t="shared" si="7"/>
        <v>0.27215668481548699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490">
        <f>'[58]Sch C'!D40</f>
        <v>1328</v>
      </c>
      <c r="D55" s="490">
        <f>'[58]Sch C'!F40</f>
        <v>-1328</v>
      </c>
      <c r="E55" s="171">
        <f t="shared" si="4"/>
        <v>0</v>
      </c>
      <c r="F55" s="171"/>
      <c r="G55" s="171">
        <f t="shared" si="5"/>
        <v>0</v>
      </c>
      <c r="H55" s="172">
        <f t="shared" si="6"/>
        <v>0</v>
      </c>
      <c r="I55" s="337"/>
      <c r="J55" s="168"/>
      <c r="K55" s="168"/>
      <c r="M55" s="359">
        <f t="shared" si="7"/>
        <v>0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490">
        <f>'[58]Sch C'!D41</f>
        <v>38838</v>
      </c>
      <c r="D56" s="490">
        <f>'[58]Sch C'!F41</f>
        <v>0</v>
      </c>
      <c r="E56" s="171">
        <f t="shared" si="4"/>
        <v>38838</v>
      </c>
      <c r="F56" s="171"/>
      <c r="G56" s="171">
        <f t="shared" si="5"/>
        <v>38838</v>
      </c>
      <c r="H56" s="172">
        <f t="shared" si="6"/>
        <v>1.2857557150216047E-2</v>
      </c>
      <c r="I56" s="337"/>
      <c r="J56" s="168"/>
      <c r="K56" s="168"/>
      <c r="M56" s="359">
        <f t="shared" si="7"/>
        <v>2.9369328493647915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490">
        <f>'[58]Sch C'!D42</f>
        <v>650</v>
      </c>
      <c r="D57" s="490">
        <f>'[58]Sch C'!F42</f>
        <v>0</v>
      </c>
      <c r="E57" s="171">
        <f t="shared" si="4"/>
        <v>650</v>
      </c>
      <c r="F57" s="171"/>
      <c r="G57" s="171">
        <f t="shared" si="5"/>
        <v>650</v>
      </c>
      <c r="H57" s="172">
        <f t="shared" si="6"/>
        <v>2.1518647066379399E-4</v>
      </c>
      <c r="I57" s="337"/>
      <c r="J57" s="168"/>
      <c r="K57" s="168"/>
      <c r="M57" s="359">
        <f t="shared" si="7"/>
        <v>4.915305505142166E-2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490">
        <f>'[58]Sch C'!D43</f>
        <v>8106</v>
      </c>
      <c r="D58" s="490">
        <f>'[58]Sch C'!F43</f>
        <v>-8106</v>
      </c>
      <c r="E58" s="171">
        <f t="shared" si="4"/>
        <v>0</v>
      </c>
      <c r="F58" s="171"/>
      <c r="G58" s="171">
        <f t="shared" si="5"/>
        <v>0</v>
      </c>
      <c r="H58" s="172">
        <f t="shared" si="6"/>
        <v>0</v>
      </c>
      <c r="I58" s="337"/>
      <c r="J58" s="168"/>
      <c r="K58" s="168"/>
      <c r="M58" s="359">
        <f t="shared" si="7"/>
        <v>0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490">
        <f>'[58]Sch C'!D44</f>
        <v>0</v>
      </c>
      <c r="D59" s="490">
        <f>'[58]Sch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7"/>
      <c r="J59" s="168"/>
      <c r="K59" s="168"/>
      <c r="M59" s="359">
        <f t="shared" si="7"/>
        <v>0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490">
        <f>'[58]Sch C'!D45</f>
        <v>6017</v>
      </c>
      <c r="D60" s="490">
        <f>'[58]Sch C'!F45</f>
        <v>-425</v>
      </c>
      <c r="E60" s="171">
        <f t="shared" si="4"/>
        <v>5592</v>
      </c>
      <c r="F60" s="171"/>
      <c r="G60" s="171">
        <f t="shared" si="5"/>
        <v>5592</v>
      </c>
      <c r="H60" s="172">
        <f t="shared" si="6"/>
        <v>1.8512657599260554E-3</v>
      </c>
      <c r="I60" s="337"/>
      <c r="J60" s="168"/>
      <c r="K60" s="168"/>
      <c r="M60" s="359">
        <f t="shared" si="7"/>
        <v>0.42286751361161523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490">
        <f>SUM(C25:C60)</f>
        <v>717876</v>
      </c>
      <c r="D61" s="490">
        <f>SUM(D25:D60)</f>
        <v>23431</v>
      </c>
      <c r="E61" s="171">
        <f t="shared" ref="E61:F61" si="8">SUM(E25:E60)</f>
        <v>741307</v>
      </c>
      <c r="F61" s="171">
        <f t="shared" si="8"/>
        <v>0</v>
      </c>
      <c r="G61" s="171">
        <f>SUM(G25:G60)</f>
        <v>741307</v>
      </c>
      <c r="H61" s="186">
        <f t="shared" si="6"/>
        <v>0.24541421078210018</v>
      </c>
      <c r="I61" s="339"/>
      <c r="J61" s="168"/>
      <c r="K61" s="168"/>
      <c r="M61" s="364">
        <f>G61/G$228</f>
        <v>56.057698124621901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I62" s="340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490">
        <f>'[58]Sch C'!D57</f>
        <v>0</v>
      </c>
      <c r="D64" s="490">
        <f>'[58]Sch C'!F57</f>
        <v>0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I64" s="337"/>
      <c r="J64" s="190"/>
      <c r="K64" s="168"/>
      <c r="M64" s="359">
        <f t="shared" ref="M64:M79" si="12">G64/G$228</f>
        <v>0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490">
        <f>'[58]Sch C'!D58</f>
        <v>104497</v>
      </c>
      <c r="D65" s="490">
        <f>'[58]Sch C'!F58</f>
        <v>0</v>
      </c>
      <c r="E65" s="171">
        <f t="shared" si="9"/>
        <v>104497</v>
      </c>
      <c r="F65" s="171"/>
      <c r="G65" s="171">
        <f t="shared" si="10"/>
        <v>104497</v>
      </c>
      <c r="H65" s="172">
        <f t="shared" si="11"/>
        <v>3.4594370192237663E-2</v>
      </c>
      <c r="I65" s="337"/>
      <c r="J65" s="190"/>
      <c r="K65" s="168"/>
      <c r="M65" s="359">
        <f t="shared" si="12"/>
        <v>7.9020719903206293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490">
        <f>'[58]Sch C'!D59</f>
        <v>54901</v>
      </c>
      <c r="D66" s="490">
        <f>'[58]Sch C'!F59</f>
        <v>0</v>
      </c>
      <c r="E66" s="171">
        <f t="shared" si="9"/>
        <v>54901</v>
      </c>
      <c r="F66" s="171"/>
      <c r="G66" s="171">
        <f t="shared" si="10"/>
        <v>54901</v>
      </c>
      <c r="H66" s="172">
        <f t="shared" si="11"/>
        <v>1.8175311424481467E-2</v>
      </c>
      <c r="I66" s="337"/>
      <c r="J66" s="190"/>
      <c r="K66" s="168"/>
      <c r="M66" s="359">
        <f t="shared" si="12"/>
        <v>4.1516182698124622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490">
        <f>'[58]Sch C'!D60</f>
        <v>16682</v>
      </c>
      <c r="D67" s="490">
        <f>'[58]Sch C'!F60</f>
        <v>0</v>
      </c>
      <c r="E67" s="171">
        <f t="shared" si="9"/>
        <v>16682</v>
      </c>
      <c r="F67" s="171"/>
      <c r="G67" s="171">
        <f t="shared" si="10"/>
        <v>16682</v>
      </c>
      <c r="H67" s="172">
        <f t="shared" si="11"/>
        <v>5.5226780055590945E-3</v>
      </c>
      <c r="I67" s="337"/>
      <c r="J67" s="193"/>
      <c r="K67" s="168"/>
      <c r="M67" s="359">
        <f t="shared" si="12"/>
        <v>1.2614942528735633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490">
        <f>'[58]Sch C'!D61</f>
        <v>4937</v>
      </c>
      <c r="D68" s="490">
        <f>'[58]Sch C'!F61</f>
        <v>0</v>
      </c>
      <c r="E68" s="171">
        <f t="shared" si="9"/>
        <v>4937</v>
      </c>
      <c r="F68" s="171"/>
      <c r="G68" s="171">
        <f t="shared" si="10"/>
        <v>4937</v>
      </c>
      <c r="H68" s="172">
        <f t="shared" si="11"/>
        <v>1.6344240087186937E-3</v>
      </c>
      <c r="I68" s="337"/>
      <c r="J68" s="193"/>
      <c r="K68" s="168"/>
      <c r="M68" s="359">
        <f t="shared" si="12"/>
        <v>0.37333635813672111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490">
        <f>'[58]Sch C'!D62</f>
        <v>1084</v>
      </c>
      <c r="D69" s="490">
        <f>'[58]Sch C'!F62</f>
        <v>0</v>
      </c>
      <c r="E69" s="171">
        <f t="shared" si="9"/>
        <v>1084</v>
      </c>
      <c r="F69" s="171"/>
      <c r="G69" s="171">
        <f t="shared" si="10"/>
        <v>1084</v>
      </c>
      <c r="H69" s="172">
        <f t="shared" si="11"/>
        <v>3.5886482184546568E-4</v>
      </c>
      <c r="I69" s="337"/>
      <c r="J69" s="195"/>
      <c r="K69" s="168"/>
      <c r="M69" s="359">
        <f t="shared" si="12"/>
        <v>8.1972171808832428E-2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490">
        <f>'[58]Sch C'!D63</f>
        <v>0</v>
      </c>
      <c r="D70" s="490">
        <f>'[58]Sch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7"/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490">
        <f>'[58]Sch C'!D64</f>
        <v>0</v>
      </c>
      <c r="D71" s="490">
        <f>'[58]Sch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490">
        <f>'[58]Sch C'!D65</f>
        <v>3897</v>
      </c>
      <c r="D72" s="490">
        <f>'[58]Sch C'!F65</f>
        <v>0</v>
      </c>
      <c r="E72" s="171">
        <f t="shared" si="9"/>
        <v>3897</v>
      </c>
      <c r="F72" s="171"/>
      <c r="G72" s="171">
        <f t="shared" si="10"/>
        <v>3897</v>
      </c>
      <c r="H72" s="172">
        <f t="shared" si="11"/>
        <v>1.2901256556566232E-3</v>
      </c>
      <c r="I72" s="337"/>
      <c r="J72" s="195"/>
      <c r="K72" s="168"/>
      <c r="M72" s="359">
        <f t="shared" si="12"/>
        <v>0.29469147005444646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490">
        <f>'[58]Sch C'!D66</f>
        <v>32275</v>
      </c>
      <c r="D73" s="490">
        <f>'[58]Sch C'!F66</f>
        <v>-1152</v>
      </c>
      <c r="E73" s="171">
        <f t="shared" si="9"/>
        <v>31123</v>
      </c>
      <c r="F73" s="171"/>
      <c r="G73" s="171">
        <f t="shared" si="10"/>
        <v>31123</v>
      </c>
      <c r="H73" s="172">
        <f t="shared" si="11"/>
        <v>1.0303459271491169E-2</v>
      </c>
      <c r="I73" s="337"/>
      <c r="J73" s="195"/>
      <c r="K73" s="168"/>
      <c r="M73" s="359">
        <f t="shared" si="12"/>
        <v>2.3535238959467635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490">
        <f>'[58]Sch C'!D67</f>
        <v>20790</v>
      </c>
      <c r="D74" s="490">
        <f>'[58]Sch C'!F67</f>
        <v>0</v>
      </c>
      <c r="E74" s="171">
        <f t="shared" si="9"/>
        <v>20790</v>
      </c>
      <c r="F74" s="171"/>
      <c r="G74" s="171">
        <f t="shared" si="10"/>
        <v>20790</v>
      </c>
      <c r="H74" s="172">
        <f t="shared" si="11"/>
        <v>6.8826565001542722E-3</v>
      </c>
      <c r="I74" s="337"/>
      <c r="J74" s="195"/>
      <c r="K74" s="168"/>
      <c r="M74" s="359">
        <f t="shared" si="12"/>
        <v>1.5721415607985481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490">
        <f>'[58]Sch C'!D68</f>
        <v>0</v>
      </c>
      <c r="D75" s="490">
        <f>'[58]Sch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490">
        <f>'[58]Sch C'!D69</f>
        <v>2032</v>
      </c>
      <c r="D76" s="490">
        <f>'[58]Sch C'!F69</f>
        <v>0</v>
      </c>
      <c r="E76" s="171">
        <f t="shared" si="9"/>
        <v>2032</v>
      </c>
      <c r="F76" s="171"/>
      <c r="G76" s="171">
        <f t="shared" si="10"/>
        <v>2032</v>
      </c>
      <c r="H76" s="172">
        <f t="shared" si="11"/>
        <v>6.7270601290589133E-4</v>
      </c>
      <c r="I76" s="337"/>
      <c r="J76" s="195"/>
      <c r="K76" s="168"/>
      <c r="M76" s="359">
        <f t="shared" si="12"/>
        <v>0.15366001209921354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490">
        <f>'[58]Sch C'!D70</f>
        <v>0</v>
      </c>
      <c r="D77" s="490">
        <f>'[58]Sch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7"/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490">
        <f>'[58]Sch C'!D71</f>
        <v>0</v>
      </c>
      <c r="D78" s="490">
        <f>'[58]Sch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7"/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490">
        <f>SUM(C64:C78)</f>
        <v>241095</v>
      </c>
      <c r="D79" s="490">
        <f>SUM(D64:D78)</f>
        <v>-1152</v>
      </c>
      <c r="E79" s="171">
        <f t="shared" ref="E79:F79" si="13">SUM(E64:E78)</f>
        <v>239943</v>
      </c>
      <c r="F79" s="171">
        <f t="shared" si="13"/>
        <v>0</v>
      </c>
      <c r="G79" s="171">
        <f>SUM(G64:G78)</f>
        <v>239943</v>
      </c>
      <c r="H79" s="172">
        <f t="shared" si="11"/>
        <v>7.9434595893050339E-2</v>
      </c>
      <c r="I79" s="337"/>
      <c r="J79" s="195"/>
      <c r="K79" s="168"/>
      <c r="M79" s="359">
        <f t="shared" si="12"/>
        <v>18.144509981851179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490">
        <f>'[58]Sch C'!D75</f>
        <v>32590</v>
      </c>
      <c r="D82" s="490">
        <f>'[58]Sch C'!F75</f>
        <v>0</v>
      </c>
      <c r="E82" s="171">
        <f t="shared" ref="E82:E92" si="14">C82+D82</f>
        <v>32590</v>
      </c>
      <c r="F82" s="171"/>
      <c r="G82" s="171">
        <f t="shared" ref="G82:G92" si="15">E82+F82</f>
        <v>32590</v>
      </c>
      <c r="H82" s="172">
        <f t="shared" ref="H82:H93" si="16">IF($G$208=0,0,G82/$G$208)</f>
        <v>1.0789118582973916E-2</v>
      </c>
      <c r="I82" s="337"/>
      <c r="J82" s="183">
        <v>1981</v>
      </c>
      <c r="K82" s="183">
        <v>2187</v>
      </c>
      <c r="M82" s="359">
        <f t="shared" ref="M82:M92" si="17">G82/G$228</f>
        <v>2.4644585601935876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490">
        <f>'[58]Sch C'!D76</f>
        <v>3754</v>
      </c>
      <c r="D83" s="490">
        <f>'[58]Sch C'!F76</f>
        <v>0</v>
      </c>
      <c r="E83" s="171">
        <f t="shared" si="14"/>
        <v>3754</v>
      </c>
      <c r="F83" s="171"/>
      <c r="G83" s="171">
        <f t="shared" si="15"/>
        <v>3754</v>
      </c>
      <c r="H83" s="172">
        <f t="shared" si="16"/>
        <v>1.2427846321105887E-3</v>
      </c>
      <c r="I83" s="337"/>
      <c r="J83" s="168"/>
      <c r="K83" s="168"/>
      <c r="M83" s="359">
        <f t="shared" si="17"/>
        <v>0.28387779794313367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490">
        <f>'[58]Sch C'!D77</f>
        <v>5375</v>
      </c>
      <c r="D84" s="490">
        <f>'[58]Sch C'!F77</f>
        <v>0</v>
      </c>
      <c r="E84" s="171">
        <f t="shared" si="14"/>
        <v>5375</v>
      </c>
      <c r="F84" s="171"/>
      <c r="G84" s="171">
        <f t="shared" si="15"/>
        <v>5375</v>
      </c>
      <c r="H84" s="172">
        <f t="shared" si="16"/>
        <v>1.7794265843352195E-3</v>
      </c>
      <c r="I84" s="337"/>
      <c r="J84" s="168"/>
      <c r="K84" s="168"/>
      <c r="M84" s="359">
        <f t="shared" si="17"/>
        <v>0.40645795523290984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490">
        <f>'[58]Sch C'!D78</f>
        <v>0</v>
      </c>
      <c r="D85" s="490">
        <f>'[58]Sch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I85" s="337"/>
      <c r="J85" s="168"/>
      <c r="K85" s="168"/>
      <c r="M85" s="359">
        <f t="shared" si="17"/>
        <v>0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490">
        <f>'[58]Sch C'!D79</f>
        <v>3189</v>
      </c>
      <c r="D86" s="490">
        <f>'[58]Sch C'!F79</f>
        <v>0</v>
      </c>
      <c r="E86" s="171">
        <f t="shared" si="14"/>
        <v>3189</v>
      </c>
      <c r="F86" s="171"/>
      <c r="G86" s="171">
        <f>E86+F86</f>
        <v>3189</v>
      </c>
      <c r="H86" s="172">
        <f t="shared" si="16"/>
        <v>1.0557379306874446E-3</v>
      </c>
      <c r="I86" s="337"/>
      <c r="J86" s="168"/>
      <c r="K86" s="168"/>
      <c r="M86" s="359">
        <f t="shared" si="17"/>
        <v>0.2411524500907441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490">
        <f>'[58]Sch C'!D80</f>
        <v>7198</v>
      </c>
      <c r="D87" s="490">
        <f>'[58]Sch C'!F80</f>
        <v>0</v>
      </c>
      <c r="E87" s="171">
        <f t="shared" si="14"/>
        <v>7198</v>
      </c>
      <c r="F87" s="171"/>
      <c r="G87" s="171">
        <f t="shared" si="15"/>
        <v>7198</v>
      </c>
      <c r="H87" s="172">
        <f t="shared" si="16"/>
        <v>2.3829418705199833E-3</v>
      </c>
      <c r="I87" s="337"/>
      <c r="J87" s="168"/>
      <c r="K87" s="168"/>
      <c r="M87" s="359">
        <f t="shared" si="17"/>
        <v>0.54431336963097399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490">
        <f>'[58]Sch C'!D81</f>
        <v>14876</v>
      </c>
      <c r="D88" s="490">
        <f>'[58]Sch C'!F81</f>
        <v>0</v>
      </c>
      <c r="E88" s="171">
        <f t="shared" si="14"/>
        <v>14876</v>
      </c>
      <c r="F88" s="171"/>
      <c r="G88" s="171">
        <f t="shared" si="15"/>
        <v>14876</v>
      </c>
      <c r="H88" s="172">
        <f t="shared" si="16"/>
        <v>4.9247906732224605E-3</v>
      </c>
      <c r="I88" s="337"/>
      <c r="J88" s="168"/>
      <c r="K88" s="168"/>
      <c r="M88" s="359">
        <f t="shared" si="17"/>
        <v>1.1249243799153055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490">
        <f>'[58]Sch C'!D82</f>
        <v>11538</v>
      </c>
      <c r="D89" s="490">
        <f>'[58]Sch C'!F82</f>
        <v>0</v>
      </c>
      <c r="E89" s="171">
        <f t="shared" si="14"/>
        <v>11538</v>
      </c>
      <c r="F89" s="171"/>
      <c r="G89" s="171">
        <f t="shared" si="15"/>
        <v>11538</v>
      </c>
      <c r="H89" s="172">
        <f t="shared" si="16"/>
        <v>3.8197253823367E-3</v>
      </c>
      <c r="I89" s="337"/>
      <c r="J89" s="168"/>
      <c r="K89" s="168"/>
      <c r="M89" s="359">
        <f t="shared" si="17"/>
        <v>0.8725045372050817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490">
        <f>'[58]Sch C'!D83</f>
        <v>8020</v>
      </c>
      <c r="D90" s="490">
        <f>'[58]Sch C'!F83</f>
        <v>0</v>
      </c>
      <c r="E90" s="171">
        <f t="shared" si="14"/>
        <v>8020</v>
      </c>
      <c r="F90" s="171"/>
      <c r="G90" s="171">
        <f t="shared" si="15"/>
        <v>8020</v>
      </c>
      <c r="H90" s="172">
        <f t="shared" si="16"/>
        <v>2.655069991882504E-3</v>
      </c>
      <c r="I90" s="337"/>
      <c r="J90" s="168"/>
      <c r="K90" s="168"/>
      <c r="M90" s="359">
        <f t="shared" si="17"/>
        <v>0.60647307924984872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490">
        <f>'[58]Sch C'!D84</f>
        <v>63166</v>
      </c>
      <c r="D91" s="490">
        <f>'[58]Sch C'!F84</f>
        <v>0</v>
      </c>
      <c r="E91" s="171">
        <f t="shared" si="14"/>
        <v>63166</v>
      </c>
      <c r="F91" s="171"/>
      <c r="G91" s="171">
        <f t="shared" si="15"/>
        <v>63166</v>
      </c>
      <c r="H91" s="172">
        <f t="shared" si="16"/>
        <v>2.0911490162998786E-2</v>
      </c>
      <c r="I91" s="337"/>
      <c r="J91" s="168"/>
      <c r="K91" s="168"/>
      <c r="M91" s="359">
        <f t="shared" si="17"/>
        <v>4.7766182698124622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490">
        <f>'[58]Sch C'!D85</f>
        <v>0</v>
      </c>
      <c r="D92" s="490">
        <f>'[58]Sch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7"/>
      <c r="J92" s="168"/>
      <c r="K92" s="168"/>
      <c r="M92" s="359">
        <f t="shared" si="17"/>
        <v>0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490">
        <f>SUM(C82:C92)</f>
        <v>149706</v>
      </c>
      <c r="D93" s="490">
        <f>SUM(D82:D92)</f>
        <v>0</v>
      </c>
      <c r="E93" s="171">
        <f t="shared" ref="E93:F93" si="18">SUM(E82:E92)</f>
        <v>149706</v>
      </c>
      <c r="F93" s="171">
        <f t="shared" si="18"/>
        <v>0</v>
      </c>
      <c r="G93" s="171">
        <f>SUM(G82:G92)</f>
        <v>149706</v>
      </c>
      <c r="H93" s="172">
        <f t="shared" si="16"/>
        <v>4.95610858110676E-2</v>
      </c>
      <c r="I93" s="337"/>
      <c r="J93" s="168"/>
      <c r="K93" s="168"/>
      <c r="M93" s="364">
        <f>G93/G$228</f>
        <v>11.320780399274048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490">
        <f>'[58]Sch C'!D89</f>
        <v>125560</v>
      </c>
      <c r="D96" s="490">
        <f>'[58]Sch C'!F89</f>
        <v>0</v>
      </c>
      <c r="E96" s="171">
        <f t="shared" ref="E96:E101" si="19">C96+D96</f>
        <v>125560</v>
      </c>
      <c r="F96" s="171"/>
      <c r="G96" s="171">
        <f t="shared" ref="G96:G101" si="20">E96+F96</f>
        <v>125560</v>
      </c>
      <c r="H96" s="172">
        <f t="shared" ref="H96:H102" si="21">IF($G$208=0,0,G96/$G$208)</f>
        <v>4.1567405010070724E-2</v>
      </c>
      <c r="I96" s="337"/>
      <c r="J96" s="183">
        <v>9808</v>
      </c>
      <c r="K96" s="183">
        <v>10860</v>
      </c>
      <c r="M96" s="364">
        <f t="shared" ref="M96:M101" si="22">G96/G$228</f>
        <v>9.4948578342407739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490">
        <f>'[58]Sch C'!D90</f>
        <v>26445</v>
      </c>
      <c r="D97" s="490">
        <f>'[58]Sch C'!F90</f>
        <v>0</v>
      </c>
      <c r="E97" s="171">
        <f t="shared" si="19"/>
        <v>26445</v>
      </c>
      <c r="F97" s="171"/>
      <c r="G97" s="171">
        <f t="shared" si="20"/>
        <v>26445</v>
      </c>
      <c r="H97" s="172">
        <f t="shared" si="21"/>
        <v>8.7547787949292799E-3</v>
      </c>
      <c r="I97" s="337"/>
      <c r="J97" s="168"/>
      <c r="K97" s="168"/>
      <c r="M97" s="364">
        <f t="shared" si="22"/>
        <v>1.9997731397459164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490">
        <f>'[58]Sch C'!D91</f>
        <v>6294</v>
      </c>
      <c r="D98" s="490">
        <f>'[58]Sch C'!F91</f>
        <v>0</v>
      </c>
      <c r="E98" s="171">
        <f t="shared" si="19"/>
        <v>6294</v>
      </c>
      <c r="F98" s="171"/>
      <c r="G98" s="171">
        <f t="shared" si="20"/>
        <v>6294</v>
      </c>
      <c r="H98" s="172">
        <f t="shared" si="21"/>
        <v>2.0836671482429526E-3</v>
      </c>
      <c r="I98" s="337"/>
      <c r="J98" s="168"/>
      <c r="K98" s="168"/>
      <c r="M98" s="364">
        <f t="shared" si="22"/>
        <v>0.47595281306715065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490">
        <f>'[58]Sch C'!D92</f>
        <v>80297</v>
      </c>
      <c r="D99" s="490">
        <f>'[58]Sch C'!F92</f>
        <v>-2229</v>
      </c>
      <c r="E99" s="171">
        <f t="shared" si="19"/>
        <v>78068</v>
      </c>
      <c r="F99" s="171"/>
      <c r="G99" s="171">
        <f t="shared" si="20"/>
        <v>78068</v>
      </c>
      <c r="H99" s="172">
        <f t="shared" si="21"/>
        <v>2.5844888295047799E-2</v>
      </c>
      <c r="I99" s="337"/>
      <c r="J99" s="168"/>
      <c r="K99" s="168"/>
      <c r="M99" s="364">
        <f t="shared" si="22"/>
        <v>5.9035087719298245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490">
        <f>'[58]Sch C'!D93</f>
        <v>8519</v>
      </c>
      <c r="D100" s="490">
        <f>'[58]Sch C'!F93</f>
        <v>0</v>
      </c>
      <c r="E100" s="171">
        <f t="shared" si="19"/>
        <v>8519</v>
      </c>
      <c r="F100" s="171"/>
      <c r="G100" s="171">
        <f t="shared" si="20"/>
        <v>8519</v>
      </c>
      <c r="H100" s="172">
        <f t="shared" si="21"/>
        <v>2.8202669901305553E-3</v>
      </c>
      <c r="I100" s="337"/>
      <c r="J100" s="168"/>
      <c r="K100" s="168"/>
      <c r="M100" s="364">
        <f t="shared" si="22"/>
        <v>0.64420750151240169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490">
        <f>'[58]Sch C'!D94</f>
        <v>0</v>
      </c>
      <c r="D101" s="490">
        <f>'[58]Sch C'!F94</f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I101" s="337"/>
      <c r="J101" s="168"/>
      <c r="K101" s="168"/>
      <c r="M101" s="364">
        <f t="shared" si="22"/>
        <v>0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490">
        <f>SUM(C96:C101)</f>
        <v>247115</v>
      </c>
      <c r="D102" s="490">
        <f>SUM(D96:D101)</f>
        <v>-2229</v>
      </c>
      <c r="E102" s="171">
        <f t="shared" ref="E102:F102" si="23">SUM(E96:E101)</f>
        <v>244886</v>
      </c>
      <c r="F102" s="171">
        <f t="shared" si="23"/>
        <v>0</v>
      </c>
      <c r="G102" s="171">
        <f>SUM(G96:G101)</f>
        <v>244886</v>
      </c>
      <c r="H102" s="172">
        <f t="shared" si="21"/>
        <v>8.1071006238421311E-2</v>
      </c>
      <c r="I102" s="337"/>
      <c r="J102" s="168"/>
      <c r="K102" s="168"/>
      <c r="M102" s="364">
        <f>G102/G$228</f>
        <v>18.518300060496067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490">
        <f>'[58]Sch C'!D98</f>
        <v>0</v>
      </c>
      <c r="D105" s="490">
        <f>'[58]Sch C'!F98</f>
        <v>0</v>
      </c>
      <c r="E105" s="171">
        <f t="shared" ref="E105:E110" si="24">C105+D105</f>
        <v>0</v>
      </c>
      <c r="F105" s="171"/>
      <c r="G105" s="171">
        <f t="shared" ref="G105:G110" si="25">E105+F105</f>
        <v>0</v>
      </c>
      <c r="H105" s="172">
        <f t="shared" ref="H105:H111" si="26">IF($G$208=0,0,G105/$G$208)</f>
        <v>0</v>
      </c>
      <c r="I105" s="337"/>
      <c r="J105" s="183">
        <v>0</v>
      </c>
      <c r="K105" s="183">
        <v>0</v>
      </c>
      <c r="M105" s="364">
        <f t="shared" ref="M105:M110" si="27">G105/G$228</f>
        <v>0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490">
        <f>'[58]Sch C'!D99</f>
        <v>0</v>
      </c>
      <c r="D106" s="490">
        <f>'[58]Sch C'!F99</f>
        <v>0</v>
      </c>
      <c r="E106" s="171">
        <f t="shared" si="24"/>
        <v>0</v>
      </c>
      <c r="F106" s="171"/>
      <c r="G106" s="171">
        <f t="shared" si="25"/>
        <v>0</v>
      </c>
      <c r="H106" s="172">
        <f t="shared" si="26"/>
        <v>0</v>
      </c>
      <c r="I106" s="337"/>
      <c r="J106" s="168"/>
      <c r="K106" s="168"/>
      <c r="M106" s="364">
        <f t="shared" si="27"/>
        <v>0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490">
        <f>'[58]Sch C'!D100</f>
        <v>428</v>
      </c>
      <c r="D107" s="490">
        <f>'[58]Sch C'!F100</f>
        <v>0</v>
      </c>
      <c r="E107" s="171">
        <f t="shared" si="24"/>
        <v>428</v>
      </c>
      <c r="F107" s="171"/>
      <c r="G107" s="171">
        <f t="shared" si="25"/>
        <v>428</v>
      </c>
      <c r="H107" s="172">
        <f t="shared" si="26"/>
        <v>1.4169201452939051E-4</v>
      </c>
      <c r="I107" s="337"/>
      <c r="J107" s="168"/>
      <c r="K107" s="168"/>
      <c r="M107" s="364">
        <f t="shared" si="27"/>
        <v>3.2365396249243797E-2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490">
        <f>'[58]Sch C'!D101</f>
        <v>41903</v>
      </c>
      <c r="D108" s="490">
        <f>'[58]Sch C'!F101</f>
        <v>0</v>
      </c>
      <c r="E108" s="171">
        <f t="shared" si="24"/>
        <v>41903</v>
      </c>
      <c r="F108" s="171"/>
      <c r="G108" s="171">
        <f t="shared" si="25"/>
        <v>41903</v>
      </c>
      <c r="H108" s="172">
        <f t="shared" si="26"/>
        <v>1.3872244123423014E-2</v>
      </c>
      <c r="I108" s="337"/>
      <c r="J108" s="168"/>
      <c r="K108" s="168"/>
      <c r="M108" s="364">
        <f t="shared" si="27"/>
        <v>3.1687084089534179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490">
        <f>'[58]Sch C'!D102</f>
        <v>3362</v>
      </c>
      <c r="D109" s="490">
        <f>'[58]Sch C'!F102</f>
        <v>0</v>
      </c>
      <c r="E109" s="171">
        <f t="shared" si="24"/>
        <v>3362</v>
      </c>
      <c r="F109" s="171"/>
      <c r="G109" s="171">
        <f t="shared" si="25"/>
        <v>3362</v>
      </c>
      <c r="H109" s="172">
        <f t="shared" si="26"/>
        <v>1.1130106374948852E-3</v>
      </c>
      <c r="I109" s="337"/>
      <c r="J109" s="168"/>
      <c r="K109" s="168"/>
      <c r="M109" s="364">
        <f t="shared" si="27"/>
        <v>0.25423472474289172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490">
        <f>'[58]Sch C'!D103</f>
        <v>0</v>
      </c>
      <c r="D110" s="490">
        <f>'[58]Sch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7"/>
      <c r="J110" s="168"/>
      <c r="K110" s="168"/>
      <c r="M110" s="364">
        <f t="shared" si="27"/>
        <v>0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490">
        <f>SUM(C105:C110)</f>
        <v>45693</v>
      </c>
      <c r="D111" s="490">
        <f>SUM(D105:D110)</f>
        <v>0</v>
      </c>
      <c r="E111" s="171">
        <f t="shared" ref="E111:F111" si="28">SUM(E105:E110)</f>
        <v>45693</v>
      </c>
      <c r="F111" s="171">
        <f t="shared" si="28"/>
        <v>0</v>
      </c>
      <c r="G111" s="171">
        <f>SUM(G105:G110)</f>
        <v>45693</v>
      </c>
      <c r="H111" s="172">
        <f t="shared" si="26"/>
        <v>1.512694677544729E-2</v>
      </c>
      <c r="I111" s="337"/>
      <c r="J111" s="168"/>
      <c r="K111" s="168"/>
      <c r="M111" s="364">
        <f>G111/G$228</f>
        <v>3.4553085299455537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490">
        <f>'[58]Sch C'!D115</f>
        <v>0</v>
      </c>
      <c r="D114" s="490">
        <f>'[58]Sch C'!F115</f>
        <v>0</v>
      </c>
      <c r="E114" s="171">
        <f t="shared" ref="E114:E118" si="29">C114+D114</f>
        <v>0</v>
      </c>
      <c r="F114" s="171"/>
      <c r="G114" s="171">
        <f>E114+F114</f>
        <v>0</v>
      </c>
      <c r="H114" s="172">
        <f t="shared" ref="H114:H119" si="30">IF($G$208=0,0,G114/$G$208)</f>
        <v>0</v>
      </c>
      <c r="I114" s="337"/>
      <c r="J114" s="183">
        <v>0</v>
      </c>
      <c r="K114" s="183">
        <v>0</v>
      </c>
      <c r="M114" s="364">
        <f t="shared" ref="M114:M119" si="31">G114/G$228</f>
        <v>0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490">
        <f>'[58]Sch C'!D116</f>
        <v>0</v>
      </c>
      <c r="D115" s="490">
        <f>'[58]Sch C'!F116</f>
        <v>0</v>
      </c>
      <c r="E115" s="171">
        <f t="shared" si="29"/>
        <v>0</v>
      </c>
      <c r="F115" s="171"/>
      <c r="G115" s="171">
        <f>E115+F115</f>
        <v>0</v>
      </c>
      <c r="H115" s="172">
        <f t="shared" si="30"/>
        <v>0</v>
      </c>
      <c r="I115" s="337"/>
      <c r="J115" s="168"/>
      <c r="K115" s="168"/>
      <c r="M115" s="364">
        <f t="shared" si="31"/>
        <v>0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490">
        <f>'[58]Sch C'!D117</f>
        <v>5958</v>
      </c>
      <c r="D116" s="490">
        <f>'[58]Sch C'!F117</f>
        <v>0</v>
      </c>
      <c r="E116" s="171">
        <f t="shared" si="29"/>
        <v>5958</v>
      </c>
      <c r="F116" s="171"/>
      <c r="G116" s="171">
        <f>E116+F116</f>
        <v>5958</v>
      </c>
      <c r="H116" s="172">
        <f t="shared" si="30"/>
        <v>1.9724322957152072E-3</v>
      </c>
      <c r="I116" s="337"/>
      <c r="J116" s="168"/>
      <c r="K116" s="168"/>
      <c r="M116" s="364">
        <f t="shared" si="31"/>
        <v>0.45054446460980035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490">
        <f>'[58]Sch C'!D118</f>
        <v>64266</v>
      </c>
      <c r="D117" s="490">
        <f>'[58]Sch C'!F118</f>
        <v>0</v>
      </c>
      <c r="E117" s="171">
        <f t="shared" si="29"/>
        <v>64266</v>
      </c>
      <c r="F117" s="171"/>
      <c r="G117" s="171">
        <f>E117+F117</f>
        <v>64266</v>
      </c>
      <c r="H117" s="172">
        <f t="shared" si="30"/>
        <v>2.1275651882583669E-2</v>
      </c>
      <c r="I117" s="337"/>
      <c r="J117" s="168"/>
      <c r="K117" s="168"/>
      <c r="M117" s="364">
        <f t="shared" si="31"/>
        <v>4.8598003629764062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490">
        <f>'[58]Sch C'!D119</f>
        <v>59</v>
      </c>
      <c r="D118" s="490">
        <f>'[58]Sch C'!F119</f>
        <v>0</v>
      </c>
      <c r="E118" s="171">
        <f t="shared" si="29"/>
        <v>59</v>
      </c>
      <c r="F118" s="171"/>
      <c r="G118" s="171">
        <f>E118+F118</f>
        <v>59</v>
      </c>
      <c r="H118" s="172">
        <f t="shared" si="30"/>
        <v>1.9532310414098223E-5</v>
      </c>
      <c r="I118" s="337"/>
      <c r="J118" s="168"/>
      <c r="K118" s="168"/>
      <c r="M118" s="364">
        <f t="shared" si="31"/>
        <v>4.4615849969751962E-3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490">
        <f>SUM(C114:C118)</f>
        <v>70283</v>
      </c>
      <c r="D119" s="490">
        <f>SUM(D114:D118)</f>
        <v>0</v>
      </c>
      <c r="E119" s="171">
        <f t="shared" ref="E119:F119" si="32">SUM(E114:E118)</f>
        <v>70283</v>
      </c>
      <c r="F119" s="171">
        <f t="shared" si="32"/>
        <v>0</v>
      </c>
      <c r="G119" s="171">
        <f>SUM(G114:G118)</f>
        <v>70283</v>
      </c>
      <c r="H119" s="172">
        <f t="shared" si="30"/>
        <v>2.3267616488712974E-2</v>
      </c>
      <c r="I119" s="337"/>
      <c r="J119" s="168"/>
      <c r="K119" s="168"/>
      <c r="M119" s="364">
        <f t="shared" si="31"/>
        <v>5.3148064125831818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1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490">
        <f>'[58]Sch C'!D124</f>
        <v>0</v>
      </c>
      <c r="D123" s="490">
        <f>'[58]Sch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7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0.77002560279620991</v>
      </c>
    </row>
    <row r="124" spans="1:14" s="167" customFormat="1">
      <c r="B124" s="163" t="s">
        <v>194</v>
      </c>
      <c r="C124" s="490">
        <f>'[58]Sch C'!D125</f>
        <v>141821</v>
      </c>
      <c r="D124" s="490">
        <f>'[58]Sch C'!F125</f>
        <v>0</v>
      </c>
      <c r="E124" s="171">
        <f t="shared" si="33"/>
        <v>141821</v>
      </c>
      <c r="F124" s="171"/>
      <c r="G124" s="171">
        <f>E124+F124</f>
        <v>141821</v>
      </c>
      <c r="H124" s="172">
        <f>IF($G$208=0,0,G124/$G$208)</f>
        <v>4.6950708393861423E-2</v>
      </c>
      <c r="I124" s="337"/>
      <c r="J124" s="183">
        <v>3838</v>
      </c>
      <c r="K124" s="183">
        <v>4291</v>
      </c>
      <c r="M124" s="364">
        <f t="shared" si="34"/>
        <v>10.724516031457956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490">
        <f>'[58]Sch C'!D126</f>
        <v>0</v>
      </c>
      <c r="D125" s="490">
        <f>'[58]Sch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7"/>
      <c r="J125" s="183">
        <v>0</v>
      </c>
      <c r="K125" s="183">
        <v>0</v>
      </c>
      <c r="M125" s="364">
        <f t="shared" si="34"/>
        <v>0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490">
        <f>'[58]Sch C'!D127</f>
        <v>0</v>
      </c>
      <c r="D126" s="490">
        <f>'[58]Sch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7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490">
        <f>'[58]Sch C'!D128</f>
        <v>28587</v>
      </c>
      <c r="D127" s="490">
        <f>'[58]Sch C'!F128</f>
        <v>0</v>
      </c>
      <c r="E127" s="171">
        <f t="shared" si="33"/>
        <v>28587</v>
      </c>
      <c r="F127" s="171"/>
      <c r="G127" s="171">
        <f>E127+F127</f>
        <v>28587</v>
      </c>
      <c r="H127" s="172">
        <f>IF($G$208=0,0,G127/$G$208)</f>
        <v>9.4639009797936602E-3</v>
      </c>
      <c r="I127" s="337"/>
      <c r="J127" s="183">
        <v>2275</v>
      </c>
      <c r="K127" s="183">
        <v>2465</v>
      </c>
      <c r="M127" s="364">
        <f t="shared" si="34"/>
        <v>2.1617513611615244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205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490">
        <f>'[58]Sch C'!D130</f>
        <v>0</v>
      </c>
      <c r="D129" s="490">
        <f>'[58]Sch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7"/>
      <c r="J129" s="204"/>
      <c r="K129" s="204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490">
        <f>'[58]Sch C'!D131</f>
        <v>23410</v>
      </c>
      <c r="D130" s="490">
        <f>'[58]Sch C'!F131</f>
        <v>0</v>
      </c>
      <c r="E130" s="171">
        <f t="shared" si="35"/>
        <v>23410</v>
      </c>
      <c r="F130" s="171"/>
      <c r="G130" s="171">
        <f>E130+F130</f>
        <v>23410</v>
      </c>
      <c r="H130" s="172">
        <f>IF($G$208=0,0,G130/$G$208)</f>
        <v>7.7500235049837189E-3</v>
      </c>
      <c r="I130" s="337"/>
      <c r="J130" s="204"/>
      <c r="K130" s="204"/>
      <c r="M130" s="364">
        <f t="shared" si="34"/>
        <v>1.7702661826981245</v>
      </c>
      <c r="N130" s="359">
        <f>SUMMARY!J133</f>
        <v>1.0792348507966931</v>
      </c>
    </row>
    <row r="131" spans="1:14" s="167" customFormat="1">
      <c r="B131" s="163" t="s">
        <v>195</v>
      </c>
      <c r="C131" s="490">
        <f>'[58]Sch C'!D132</f>
        <v>0</v>
      </c>
      <c r="D131" s="490">
        <f>'[58]Sch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7"/>
      <c r="J131" s="168"/>
      <c r="K131" s="168"/>
      <c r="M131" s="364">
        <f t="shared" si="34"/>
        <v>0</v>
      </c>
      <c r="N131" s="359">
        <f>SUMMARY!J134</f>
        <v>8.2765628075518377E-2</v>
      </c>
    </row>
    <row r="132" spans="1:14" s="167" customFormat="1">
      <c r="B132" s="163" t="s">
        <v>196</v>
      </c>
      <c r="C132" s="490">
        <f>'[58]Sch C'!D133</f>
        <v>0</v>
      </c>
      <c r="D132" s="490">
        <f>'[58]Sch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490">
        <f>'[58]Sch C'!D134</f>
        <v>3495</v>
      </c>
      <c r="D133" s="490">
        <f>'[58]Sch C'!F134</f>
        <v>0</v>
      </c>
      <c r="E133" s="171">
        <f t="shared" si="35"/>
        <v>3495</v>
      </c>
      <c r="F133" s="171"/>
      <c r="G133" s="171">
        <f>E133+F133</f>
        <v>3495</v>
      </c>
      <c r="H133" s="172">
        <f>IF($G$208=0,0,G133/$G$208)</f>
        <v>1.1570410999537845E-3</v>
      </c>
      <c r="I133" s="337"/>
      <c r="J133" s="168"/>
      <c r="K133" s="168"/>
      <c r="M133" s="364">
        <f t="shared" si="34"/>
        <v>0.26429219600725951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490">
        <f>'[58]Sch C'!D136</f>
        <v>150517</v>
      </c>
      <c r="D135" s="490">
        <f>'[58]Sch C'!F136</f>
        <v>0</v>
      </c>
      <c r="E135" s="171">
        <f t="shared" ref="E135:E138" si="36">C135+D135</f>
        <v>150517</v>
      </c>
      <c r="F135" s="171"/>
      <c r="G135" s="171">
        <f>E135+F135</f>
        <v>150517</v>
      </c>
      <c r="H135" s="172">
        <f>IF($G$208=0,0,G135/$G$208)</f>
        <v>4.9829572315234272E-2</v>
      </c>
      <c r="I135" s="337"/>
      <c r="J135" s="183">
        <v>6384</v>
      </c>
      <c r="K135" s="183">
        <v>6770</v>
      </c>
      <c r="M135" s="364">
        <f t="shared" si="34"/>
        <v>11.382108287961282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490">
        <f>'[58]Sch C'!D137</f>
        <v>209284</v>
      </c>
      <c r="D136" s="490">
        <f>'[58]Sch C'!F137</f>
        <v>0</v>
      </c>
      <c r="E136" s="171">
        <f t="shared" si="36"/>
        <v>209284</v>
      </c>
      <c r="F136" s="171"/>
      <c r="G136" s="171">
        <f>E136+F136</f>
        <v>209284</v>
      </c>
      <c r="H136" s="172">
        <f>IF($G$208=0,0,G136/$G$208)</f>
        <v>6.9284746656002247E-2</v>
      </c>
      <c r="I136" s="337"/>
      <c r="J136" s="183">
        <v>9164</v>
      </c>
      <c r="K136" s="183">
        <v>10654</v>
      </c>
      <c r="M136" s="364">
        <f t="shared" si="34"/>
        <v>15.826073805202661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490">
        <f>'[58]Sch C'!D138</f>
        <v>265434</v>
      </c>
      <c r="D137" s="490">
        <f>'[58]Sch C'!F138</f>
        <v>6529</v>
      </c>
      <c r="E137" s="171">
        <f t="shared" si="36"/>
        <v>271963</v>
      </c>
      <c r="F137" s="171"/>
      <c r="G137" s="171">
        <f>E137+F137</f>
        <v>271963</v>
      </c>
      <c r="H137" s="172">
        <f>IF($G$208=0,0,G137/$G$208)</f>
        <v>9.0035012494057542E-2</v>
      </c>
      <c r="I137" s="337"/>
      <c r="J137" s="183">
        <v>26302</v>
      </c>
      <c r="K137" s="183">
        <v>28602</v>
      </c>
      <c r="M137" s="364">
        <f t="shared" si="34"/>
        <v>20.565865093768906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490">
        <f>'[58]Sch C'!D139</f>
        <v>6529</v>
      </c>
      <c r="D138" s="490">
        <f>'[58]Sch C'!F139</f>
        <v>-6529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7"/>
      <c r="J138" s="183">
        <v>0</v>
      </c>
      <c r="K138" s="183">
        <v>0</v>
      </c>
      <c r="M138" s="364">
        <f t="shared" si="34"/>
        <v>0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7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490">
        <f>'[58]Sch C'!D141</f>
        <v>133473</v>
      </c>
      <c r="D140" s="490">
        <f>'[58]Sch C'!F141</f>
        <v>-101673</v>
      </c>
      <c r="E140" s="171">
        <f t="shared" ref="E140:E143" si="37">C140+D140</f>
        <v>31800</v>
      </c>
      <c r="F140" s="171"/>
      <c r="G140" s="171">
        <f>E140+F140</f>
        <v>31800</v>
      </c>
      <c r="H140" s="172">
        <f>IF($G$208=0,0,G140/$G$208)</f>
        <v>1.0527584257090229E-2</v>
      </c>
      <c r="I140" s="337"/>
      <c r="J140" s="168"/>
      <c r="K140" s="168"/>
      <c r="M140" s="364">
        <f t="shared" si="34"/>
        <v>2.4047186932849365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490">
        <f>'[58]Sch C'!D142</f>
        <v>0</v>
      </c>
      <c r="D141" s="490">
        <f>'[58]Sch C'!F142</f>
        <v>44216</v>
      </c>
      <c r="E141" s="171">
        <f t="shared" si="37"/>
        <v>44216</v>
      </c>
      <c r="F141" s="171"/>
      <c r="G141" s="171">
        <f>E141+F141</f>
        <v>44216</v>
      </c>
      <c r="H141" s="172">
        <f>IF($G$208=0,0,G141/$G$208)</f>
        <v>1.4637976902877407E-2</v>
      </c>
      <c r="I141" s="337"/>
      <c r="J141" s="168"/>
      <c r="K141" s="168"/>
      <c r="M141" s="364">
        <f t="shared" si="34"/>
        <v>3.3436176648517848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490">
        <f>'[58]Sch C'!D143</f>
        <v>0</v>
      </c>
      <c r="D142" s="490">
        <f>'[58]Sch C'!F143</f>
        <v>57457</v>
      </c>
      <c r="E142" s="171">
        <f t="shared" si="37"/>
        <v>57457</v>
      </c>
      <c r="F142" s="171"/>
      <c r="G142" s="171">
        <f>E142+F142</f>
        <v>57457</v>
      </c>
      <c r="H142" s="172">
        <f>IF($G$208=0,0,G142/$G$208)</f>
        <v>1.9021490838353246E-2</v>
      </c>
      <c r="I142" s="337"/>
      <c r="J142" s="168"/>
      <c r="K142" s="168"/>
      <c r="M142" s="364">
        <f t="shared" si="34"/>
        <v>4.3449032062915913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490">
        <f>'[58]Sch C'!D144</f>
        <v>0</v>
      </c>
      <c r="D143" s="490">
        <f>'[58]Sch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7"/>
      <c r="J143" s="168"/>
      <c r="K143" s="168"/>
      <c r="M143" s="364">
        <f t="shared" si="34"/>
        <v>0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7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490">
        <f>'[58]Sch C'!D146</f>
        <v>12825</v>
      </c>
      <c r="D145" s="490">
        <f>'[58]Sch C'!F146</f>
        <v>0</v>
      </c>
      <c r="E145" s="171">
        <f t="shared" ref="E145:E153" si="38">C145+D145</f>
        <v>12825</v>
      </c>
      <c r="F145" s="171"/>
      <c r="G145" s="171">
        <f t="shared" ref="G145:G153" si="39">E145+F145</f>
        <v>12825</v>
      </c>
      <c r="H145" s="172">
        <f t="shared" ref="H145:H153" si="40">IF($G$208=0,0,G145/$G$208)</f>
        <v>4.2457945942510119E-3</v>
      </c>
      <c r="I145" s="337"/>
      <c r="J145" s="183">
        <v>104</v>
      </c>
      <c r="K145" s="183">
        <v>104</v>
      </c>
      <c r="M145" s="364">
        <f t="shared" si="34"/>
        <v>0.96982758620689657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490">
        <f>'[58]Sch C'!D147</f>
        <v>0</v>
      </c>
      <c r="D146" s="490">
        <f>'[58]Sch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337"/>
      <c r="J146" s="183">
        <v>0</v>
      </c>
      <c r="K146" s="183">
        <v>0</v>
      </c>
      <c r="M146" s="364">
        <f t="shared" si="34"/>
        <v>0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490">
        <f>'[58]Sch C'!D148</f>
        <v>0</v>
      </c>
      <c r="D147" s="490">
        <f>'[58]Sch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7"/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490">
        <f>'[58]Sch C'!D149</f>
        <v>0</v>
      </c>
      <c r="D148" s="490">
        <f>'[58]Sch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7"/>
      <c r="J148" s="183">
        <v>0</v>
      </c>
      <c r="K148" s="183">
        <v>0</v>
      </c>
      <c r="M148" s="364">
        <f t="shared" si="34"/>
        <v>0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490">
        <f>'[58]Sch C'!D150</f>
        <v>685</v>
      </c>
      <c r="D149" s="490">
        <f>'[58]Sch C'!F150</f>
        <v>0</v>
      </c>
      <c r="E149" s="171">
        <f t="shared" si="38"/>
        <v>685</v>
      </c>
      <c r="F149" s="171"/>
      <c r="G149" s="171">
        <f t="shared" si="39"/>
        <v>685</v>
      </c>
      <c r="H149" s="172">
        <f t="shared" si="40"/>
        <v>2.2677343446876751E-4</v>
      </c>
      <c r="I149" s="337"/>
      <c r="J149" s="183">
        <v>0</v>
      </c>
      <c r="K149" s="183">
        <v>0</v>
      </c>
      <c r="M149" s="364">
        <f t="shared" si="34"/>
        <v>5.1799758015728975E-2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490">
        <f>'[58]Sch C'!D151</f>
        <v>68531</v>
      </c>
      <c r="D150" s="490">
        <f>'[58]Sch C'!F151</f>
        <v>-1494</v>
      </c>
      <c r="E150" s="171">
        <f t="shared" si="38"/>
        <v>67037</v>
      </c>
      <c r="F150" s="171"/>
      <c r="G150" s="171">
        <f t="shared" si="39"/>
        <v>67037</v>
      </c>
      <c r="H150" s="172">
        <f t="shared" si="40"/>
        <v>2.2193008359828858E-2</v>
      </c>
      <c r="I150" s="337"/>
      <c r="J150" s="168"/>
      <c r="K150" s="168"/>
      <c r="M150" s="364">
        <f t="shared" si="34"/>
        <v>5.0693436176648516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490">
        <f>'[58]Sch C'!D152</f>
        <v>3636</v>
      </c>
      <c r="D151" s="490">
        <f>'[58]Sch C'!F152</f>
        <v>0</v>
      </c>
      <c r="E151" s="171">
        <f t="shared" si="38"/>
        <v>3636</v>
      </c>
      <c r="F151" s="171"/>
      <c r="G151" s="171">
        <f t="shared" si="39"/>
        <v>3636</v>
      </c>
      <c r="H151" s="172">
        <f t="shared" si="40"/>
        <v>1.2037200112823923E-3</v>
      </c>
      <c r="I151" s="337"/>
      <c r="J151" s="168"/>
      <c r="K151" s="168"/>
      <c r="M151" s="364">
        <f t="shared" si="34"/>
        <v>0.27495462794918329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490">
        <f>'[58]Sch C'!D153</f>
        <v>0</v>
      </c>
      <c r="D152" s="490">
        <f>'[58]Sch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7"/>
      <c r="J152" s="168"/>
      <c r="K152" s="168"/>
      <c r="M152" s="364">
        <f t="shared" si="34"/>
        <v>0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490">
        <f>'[58]Sch C'!D154</f>
        <v>0</v>
      </c>
      <c r="D153" s="490">
        <f>'[58]Sch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210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490">
        <f>'[58]Sch C'!D156</f>
        <v>0</v>
      </c>
      <c r="D155" s="490">
        <f>'[58]Sch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490">
        <f>'[58]Sch C'!D157</f>
        <v>0</v>
      </c>
      <c r="D156" s="490">
        <f>'[58]Sch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490">
        <f>'[58]Sch C'!D158</f>
        <v>14</v>
      </c>
      <c r="D157" s="490">
        <f>'[58]Sch C'!F158</f>
        <v>0</v>
      </c>
      <c r="E157" s="171">
        <f t="shared" si="41"/>
        <v>14</v>
      </c>
      <c r="F157" s="171"/>
      <c r="G157" s="171">
        <f t="shared" si="42"/>
        <v>14</v>
      </c>
      <c r="H157" s="172">
        <f t="shared" si="43"/>
        <v>4.6347855219894086E-6</v>
      </c>
      <c r="I157" s="337"/>
      <c r="J157" s="168"/>
      <c r="K157" s="168"/>
      <c r="M157" s="364">
        <f t="shared" si="34"/>
        <v>1.058681185722928E-3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490">
        <f>'[58]Sch C'!D159</f>
        <v>0</v>
      </c>
      <c r="D158" s="490">
        <f>'[58]Sch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490">
        <f>'[58]Sch C'!D160</f>
        <v>0</v>
      </c>
      <c r="D159" s="490">
        <f>'[58]Sch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7"/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490">
        <f>'[58]Sch C'!D161</f>
        <v>6532</v>
      </c>
      <c r="D160" s="490">
        <f>'[58]Sch C'!F161</f>
        <v>-302</v>
      </c>
      <c r="E160" s="171">
        <f t="shared" si="41"/>
        <v>6230</v>
      </c>
      <c r="F160" s="171"/>
      <c r="G160" s="171">
        <f t="shared" si="42"/>
        <v>6230</v>
      </c>
      <c r="H160" s="172">
        <f t="shared" si="43"/>
        <v>2.0624795572852868E-3</v>
      </c>
      <c r="I160" s="337"/>
      <c r="J160" s="168"/>
      <c r="K160" s="168"/>
      <c r="M160" s="364">
        <f t="shared" si="34"/>
        <v>0.47111312764670299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490">
        <f>SUM(C123:C160)</f>
        <v>1054773</v>
      </c>
      <c r="D161" s="490">
        <f>SUM(D123:D160)</f>
        <v>-1796</v>
      </c>
      <c r="E161" s="171">
        <f t="shared" ref="E161:F161" si="44">SUM(E123:E160)</f>
        <v>1052977</v>
      </c>
      <c r="F161" s="171">
        <f t="shared" si="44"/>
        <v>0</v>
      </c>
      <c r="G161" s="171">
        <f>SUM(G123:G160)</f>
        <v>1052977</v>
      </c>
      <c r="H161" s="172">
        <f t="shared" si="43"/>
        <v>0.34859446818484585</v>
      </c>
      <c r="I161" s="337"/>
      <c r="J161" s="168"/>
      <c r="K161" s="168"/>
      <c r="M161" s="364">
        <f>G161/G$228</f>
        <v>79.626209921355112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337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7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490">
        <f>'[58]Sch C'!D175</f>
        <v>0</v>
      </c>
      <c r="D164" s="490">
        <f>'[58]Sch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490">
        <f>'[58]Sch C'!D176</f>
        <v>0</v>
      </c>
      <c r="D165" s="490">
        <f>'[58]Sch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490">
        <f>'[58]Sch C'!D177</f>
        <v>0</v>
      </c>
      <c r="D166" s="490">
        <f>'[58]Sch C'!F177</f>
        <v>0</v>
      </c>
      <c r="E166" s="171">
        <f t="shared" si="45"/>
        <v>0</v>
      </c>
      <c r="F166" s="216"/>
      <c r="G166" s="171">
        <f t="shared" si="46"/>
        <v>0</v>
      </c>
      <c r="H166" s="172">
        <f t="shared" si="47"/>
        <v>0</v>
      </c>
      <c r="I166" s="343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490">
        <f>'[58]Sch C'!D178</f>
        <v>0</v>
      </c>
      <c r="D167" s="490">
        <f>'[58]Sch C'!F178</f>
        <v>0</v>
      </c>
      <c r="E167" s="171">
        <f t="shared" si="45"/>
        <v>0</v>
      </c>
      <c r="F167" s="216"/>
      <c r="G167" s="171">
        <f t="shared" si="46"/>
        <v>0</v>
      </c>
      <c r="H167" s="172">
        <f t="shared" si="47"/>
        <v>0</v>
      </c>
      <c r="I167" s="344"/>
      <c r="J167" s="222"/>
      <c r="K167" s="222"/>
      <c r="L167" s="218"/>
      <c r="M167" s="364">
        <f t="shared" si="48"/>
        <v>0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490">
        <f>'[58]Sch C'!D179</f>
        <v>0</v>
      </c>
      <c r="D168" s="490">
        <f>'[58]Sch C'!F179</f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343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490">
        <f>'[58]Sch C'!D180</f>
        <v>0</v>
      </c>
      <c r="D169" s="490">
        <f>'[58]Sch C'!F180</f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344"/>
      <c r="J169" s="222"/>
      <c r="K169" s="222"/>
      <c r="L169" s="218"/>
      <c r="M169" s="364">
        <f t="shared" si="48"/>
        <v>0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490">
        <f>'[58]Sch C'!D181</f>
        <v>0</v>
      </c>
      <c r="D170" s="490">
        <f>'[58]Sch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3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490">
        <f>'[58]Sch C'!D182</f>
        <v>0</v>
      </c>
      <c r="D171" s="490">
        <f>'[58]Sch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490">
        <f>'[58]Sch C'!D183</f>
        <v>0</v>
      </c>
      <c r="D172" s="490">
        <f>'[58]Sch C'!F183</f>
        <v>0</v>
      </c>
      <c r="E172" s="171">
        <f t="shared" si="45"/>
        <v>0</v>
      </c>
      <c r="F172" s="216"/>
      <c r="G172" s="171">
        <f t="shared" si="46"/>
        <v>0</v>
      </c>
      <c r="H172" s="172">
        <f t="shared" si="47"/>
        <v>0</v>
      </c>
      <c r="I172" s="343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490">
        <f>'[58]Sch C'!D184</f>
        <v>0</v>
      </c>
      <c r="D173" s="490">
        <f>'[58]Sch C'!F184</f>
        <v>0</v>
      </c>
      <c r="E173" s="171">
        <f t="shared" si="45"/>
        <v>0</v>
      </c>
      <c r="F173" s="216"/>
      <c r="G173" s="171">
        <f t="shared" si="46"/>
        <v>0</v>
      </c>
      <c r="H173" s="172">
        <f t="shared" si="47"/>
        <v>0</v>
      </c>
      <c r="I173" s="344"/>
      <c r="J173" s="222"/>
      <c r="K173" s="222"/>
      <c r="L173" s="218"/>
      <c r="M173" s="364">
        <f t="shared" si="48"/>
        <v>0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490">
        <f>'[58]Sch C'!D185</f>
        <v>0</v>
      </c>
      <c r="D174" s="490">
        <f>'[58]Sch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3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490">
        <f>'[58]Sch C'!D186</f>
        <v>0</v>
      </c>
      <c r="D175" s="490">
        <f>'[58]Sch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490">
        <f>'[58]Sch C'!D187</f>
        <v>0</v>
      </c>
      <c r="D176" s="490">
        <f>'[58]Sch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490">
        <f>'[58]Sch C'!D188</f>
        <v>136</v>
      </c>
      <c r="D177" s="490">
        <f>'[58]Sch C'!F188</f>
        <v>0</v>
      </c>
      <c r="E177" s="171">
        <f t="shared" si="45"/>
        <v>136</v>
      </c>
      <c r="F177" s="216"/>
      <c r="G177" s="171">
        <f t="shared" si="46"/>
        <v>136</v>
      </c>
      <c r="H177" s="172">
        <f t="shared" si="47"/>
        <v>4.502363078503997E-5</v>
      </c>
      <c r="I177" s="337"/>
      <c r="J177" s="223"/>
      <c r="K177" s="218"/>
      <c r="L177" s="220"/>
      <c r="M177" s="364">
        <f t="shared" si="48"/>
        <v>1.02843315184513E-2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490">
        <f>'[58]Sch C'!D189</f>
        <v>0</v>
      </c>
      <c r="D178" s="490">
        <f>'[58]Sch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337"/>
      <c r="J178" s="223"/>
      <c r="K178" s="218"/>
      <c r="L178" s="220"/>
      <c r="M178" s="364">
        <f t="shared" si="48"/>
        <v>0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490">
        <f>'[58]Sch C'!D190</f>
        <v>0</v>
      </c>
      <c r="D179" s="490">
        <f>'[58]Sch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490">
        <f>'[58]Sch C'!D191</f>
        <v>298</v>
      </c>
      <c r="D180" s="490">
        <f>'[58]Sch C'!F191</f>
        <v>0</v>
      </c>
      <c r="E180" s="171">
        <f t="shared" si="45"/>
        <v>298</v>
      </c>
      <c r="F180" s="216"/>
      <c r="G180" s="171">
        <f t="shared" si="46"/>
        <v>298</v>
      </c>
      <c r="H180" s="172">
        <f t="shared" si="47"/>
        <v>9.8654720396631706E-5</v>
      </c>
      <c r="I180" s="337"/>
      <c r="J180" s="223"/>
      <c r="K180" s="218"/>
      <c r="L180" s="220"/>
      <c r="M180" s="364">
        <f t="shared" si="48"/>
        <v>2.2534785238959468E-2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490">
        <f>'[58]Sch C'!D192</f>
        <v>279</v>
      </c>
      <c r="D181" s="490">
        <f>'[58]Sch C'!F192</f>
        <v>0</v>
      </c>
      <c r="E181" s="171">
        <f t="shared" si="45"/>
        <v>279</v>
      </c>
      <c r="F181" s="216"/>
      <c r="G181" s="171">
        <f t="shared" si="46"/>
        <v>279</v>
      </c>
      <c r="H181" s="172">
        <f t="shared" si="47"/>
        <v>9.2364654331074646E-5</v>
      </c>
      <c r="I181" s="337"/>
      <c r="J181" s="223"/>
      <c r="K181" s="218"/>
      <c r="L181" s="220"/>
      <c r="M181" s="364">
        <f t="shared" si="48"/>
        <v>2.1098003629764064E-2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490">
        <f>'[58]Sch C'!D193</f>
        <v>1467</v>
      </c>
      <c r="D182" s="490">
        <f>'[58]Sch C'!F193</f>
        <v>0</v>
      </c>
      <c r="E182" s="171">
        <f t="shared" si="45"/>
        <v>1467</v>
      </c>
      <c r="F182" s="216"/>
      <c r="G182" s="171">
        <f t="shared" si="46"/>
        <v>1467</v>
      </c>
      <c r="H182" s="172">
        <f t="shared" si="47"/>
        <v>4.8565931148274736E-4</v>
      </c>
      <c r="I182" s="337"/>
      <c r="J182" s="223"/>
      <c r="K182" s="218"/>
      <c r="L182" s="220"/>
      <c r="M182" s="364">
        <f t="shared" si="48"/>
        <v>0.11093466424682395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490">
        <f>'[58]Sch C'!D194</f>
        <v>133900</v>
      </c>
      <c r="D183" s="490">
        <f>'[58]Sch C'!F194</f>
        <v>4941</v>
      </c>
      <c r="E183" s="171">
        <f t="shared" si="45"/>
        <v>138841</v>
      </c>
      <c r="F183" s="216"/>
      <c r="G183" s="171">
        <f t="shared" si="46"/>
        <v>138841</v>
      </c>
      <c r="H183" s="172">
        <f t="shared" si="47"/>
        <v>4.596416118989511E-2</v>
      </c>
      <c r="I183" s="337"/>
      <c r="J183" s="223"/>
      <c r="K183" s="218"/>
      <c r="M183" s="364">
        <f t="shared" si="48"/>
        <v>10.499168179068361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490">
        <f>'[58]Sch C'!D195</f>
        <v>23104</v>
      </c>
      <c r="D184" s="490">
        <f>'[58]Sch C'!F195</f>
        <v>853</v>
      </c>
      <c r="E184" s="171">
        <f t="shared" si="45"/>
        <v>23957</v>
      </c>
      <c r="F184" s="216"/>
      <c r="G184" s="171">
        <f t="shared" si="46"/>
        <v>23957</v>
      </c>
      <c r="H184" s="172">
        <f t="shared" si="47"/>
        <v>7.9311111964500188E-3</v>
      </c>
      <c r="I184" s="337"/>
      <c r="J184" s="223"/>
      <c r="K184" s="218"/>
      <c r="M184" s="364">
        <f t="shared" si="48"/>
        <v>1.8116303690260134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490">
        <f>'[58]Sch C'!D196</f>
        <v>0</v>
      </c>
      <c r="D185" s="490">
        <f>'[58]Sch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490">
        <f>'[58]Sch C'!D197</f>
        <v>126056</v>
      </c>
      <c r="D186" s="490">
        <f>'[58]Sch C'!F197</f>
        <v>4651</v>
      </c>
      <c r="E186" s="171">
        <f t="shared" si="45"/>
        <v>130707</v>
      </c>
      <c r="F186" s="216"/>
      <c r="G186" s="171">
        <f t="shared" si="46"/>
        <v>130707</v>
      </c>
      <c r="H186" s="172">
        <f t="shared" si="47"/>
        <v>4.3271350801619264E-2</v>
      </c>
      <c r="I186" s="337"/>
      <c r="J186" s="223"/>
      <c r="K186" s="218"/>
      <c r="M186" s="364">
        <f t="shared" si="48"/>
        <v>9.8840744101633398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490">
        <f>'[58]Sch C'!D198</f>
        <v>9082</v>
      </c>
      <c r="D187" s="490">
        <f>'[58]Sch C'!F198</f>
        <v>-166</v>
      </c>
      <c r="E187" s="171">
        <f t="shared" si="45"/>
        <v>8916</v>
      </c>
      <c r="F187" s="216"/>
      <c r="G187" s="171">
        <f t="shared" si="46"/>
        <v>8916</v>
      </c>
      <c r="H187" s="172">
        <f t="shared" si="47"/>
        <v>2.9516962652898263E-3</v>
      </c>
      <c r="I187" s="337"/>
      <c r="J187" s="223"/>
      <c r="K187" s="218"/>
      <c r="M187" s="364">
        <f t="shared" si="48"/>
        <v>0.67422867513611617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490">
        <f>'[58]Sch C'!D199</f>
        <v>0</v>
      </c>
      <c r="D188" s="490">
        <f>'[58]Sch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7"/>
      <c r="J188" s="223"/>
      <c r="K188" s="218"/>
      <c r="M188" s="364">
        <f t="shared" si="48"/>
        <v>0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490">
        <f>'[58]Sch C'!D200</f>
        <v>0</v>
      </c>
      <c r="D189" s="490">
        <f>'[58]Sch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7"/>
      <c r="J189" s="223"/>
      <c r="K189" s="218"/>
      <c r="M189" s="364">
        <f t="shared" si="48"/>
        <v>0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490">
        <f>'[58]Sch C'!D201</f>
        <v>0</v>
      </c>
      <c r="D190" s="490">
        <f>'[58]Sch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7"/>
      <c r="J190" s="223"/>
      <c r="K190" s="218"/>
      <c r="M190" s="364">
        <f t="shared" si="48"/>
        <v>0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490">
        <f>'[58]Sch C'!D202</f>
        <v>0</v>
      </c>
      <c r="D191" s="490">
        <f>'[58]Sch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490">
        <f>'[58]Sch C'!D203</f>
        <v>0</v>
      </c>
      <c r="D192" s="490">
        <f>'[58]Sch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7"/>
      <c r="J192" s="223"/>
      <c r="K192" s="218"/>
      <c r="M192" s="364">
        <f t="shared" si="48"/>
        <v>0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490">
        <f>'[58]Sch C'!D204</f>
        <v>0</v>
      </c>
      <c r="D193" s="490">
        <f>'[58]Sch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490">
        <f>'[58]Sch C'!D205</f>
        <v>91864</v>
      </c>
      <c r="D194" s="490">
        <f>'[58]Sch C'!F205</f>
        <v>-5553</v>
      </c>
      <c r="E194" s="171">
        <f t="shared" si="45"/>
        <v>86311</v>
      </c>
      <c r="F194" s="216"/>
      <c r="G194" s="171">
        <f t="shared" si="46"/>
        <v>86311</v>
      </c>
      <c r="H194" s="172">
        <f t="shared" si="47"/>
        <v>2.857378379917342E-2</v>
      </c>
      <c r="I194" s="337"/>
      <c r="J194" s="223"/>
      <c r="K194" s="218"/>
      <c r="M194" s="364">
        <f t="shared" si="48"/>
        <v>6.5268451300665458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490">
        <f>'[58]Sch C'!D206</f>
        <v>595</v>
      </c>
      <c r="D195" s="490">
        <f>'[58]Sch C'!F206</f>
        <v>0</v>
      </c>
      <c r="E195" s="171">
        <f t="shared" si="45"/>
        <v>595</v>
      </c>
      <c r="F195" s="216"/>
      <c r="G195" s="171">
        <f t="shared" si="46"/>
        <v>595</v>
      </c>
      <c r="H195" s="172">
        <f t="shared" si="47"/>
        <v>1.9697838468454986E-4</v>
      </c>
      <c r="I195" s="337"/>
      <c r="J195" s="223"/>
      <c r="K195" s="218"/>
      <c r="M195" s="364">
        <f t="shared" si="48"/>
        <v>4.4993950393224437E-2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490">
        <f>'[58]Sch C'!D207</f>
        <v>690</v>
      </c>
      <c r="D196" s="490">
        <f>'[58]Sch C'!F207</f>
        <v>-43</v>
      </c>
      <c r="E196" s="171">
        <f t="shared" si="45"/>
        <v>647</v>
      </c>
      <c r="F196" s="216"/>
      <c r="G196" s="171">
        <f t="shared" si="46"/>
        <v>647</v>
      </c>
      <c r="H196" s="172">
        <f t="shared" si="47"/>
        <v>2.1419330233765339E-4</v>
      </c>
      <c r="I196" s="337"/>
      <c r="J196" s="223"/>
      <c r="K196" s="218"/>
      <c r="M196" s="364">
        <f t="shared" si="48"/>
        <v>4.8926194797338174E-2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490">
        <f>SUM(C164:C196)</f>
        <v>387471</v>
      </c>
      <c r="D197" s="490">
        <f>SUM(D164:D196)</f>
        <v>4683</v>
      </c>
      <c r="E197" s="171">
        <f t="shared" ref="E197:F197" si="49">SUM(E164:E196)</f>
        <v>392154</v>
      </c>
      <c r="F197" s="171">
        <f t="shared" si="49"/>
        <v>0</v>
      </c>
      <c r="G197" s="171">
        <f>SUM(G164:G196)</f>
        <v>392154</v>
      </c>
      <c r="H197" s="172">
        <f>IF($G$208=0,0,G197/$G$208)</f>
        <v>0.12982497725644535</v>
      </c>
      <c r="I197" s="337"/>
      <c r="J197" s="168"/>
      <c r="K197" s="168"/>
      <c r="M197" s="364">
        <f>G197/G$228</f>
        <v>29.654718693284938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165"/>
      <c r="G198" s="165"/>
      <c r="H198" s="198"/>
      <c r="I198" s="341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1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490">
        <f>'[58]Sch C'!D211</f>
        <v>64793</v>
      </c>
      <c r="D200" s="490">
        <f>'[58]Sch C'!F211</f>
        <v>0</v>
      </c>
      <c r="E200" s="171">
        <f t="shared" ref="E200:E205" si="50">C200+D200</f>
        <v>64793</v>
      </c>
      <c r="F200" s="171"/>
      <c r="G200" s="171">
        <f t="shared" ref="G200:G205" si="51">E200+F200</f>
        <v>64793</v>
      </c>
      <c r="H200" s="172">
        <f t="shared" ref="H200:H206" si="52">IF($G$208=0,0,G200/$G$208)</f>
        <v>2.1450118451875697E-2</v>
      </c>
      <c r="I200" s="337"/>
      <c r="J200" s="183">
        <v>4466</v>
      </c>
      <c r="K200" s="183">
        <v>4950</v>
      </c>
      <c r="M200" s="364">
        <f t="shared" ref="M200:M205" si="53">G200/G$228</f>
        <v>4.8996521476104054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490">
        <f>'[58]Sch C'!D212</f>
        <v>15150</v>
      </c>
      <c r="D201" s="490">
        <f>'[58]Sch C'!F212</f>
        <v>0</v>
      </c>
      <c r="E201" s="171">
        <f t="shared" si="50"/>
        <v>15150</v>
      </c>
      <c r="F201" s="171"/>
      <c r="G201" s="171">
        <f t="shared" si="51"/>
        <v>15150</v>
      </c>
      <c r="H201" s="172">
        <f t="shared" si="52"/>
        <v>5.0155000470099671E-3</v>
      </c>
      <c r="I201" s="337"/>
      <c r="J201" s="168"/>
      <c r="K201" s="168"/>
      <c r="M201" s="364">
        <f t="shared" si="53"/>
        <v>1.1456442831215972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490">
        <f>'[58]Sch C'!D213</f>
        <v>2387</v>
      </c>
      <c r="D202" s="490">
        <f>'[58]Sch C'!F213</f>
        <v>0</v>
      </c>
      <c r="E202" s="171">
        <f t="shared" si="50"/>
        <v>2387</v>
      </c>
      <c r="F202" s="171"/>
      <c r="G202" s="171">
        <f t="shared" si="51"/>
        <v>2387</v>
      </c>
      <c r="H202" s="172">
        <f t="shared" si="52"/>
        <v>7.9023093149919424E-4</v>
      </c>
      <c r="I202" s="337"/>
      <c r="J202" s="168"/>
      <c r="K202" s="168"/>
      <c r="M202" s="364">
        <f t="shared" si="53"/>
        <v>0.18050514216575922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490">
        <f>'[58]Sch C'!D214</f>
        <v>0</v>
      </c>
      <c r="D203" s="490">
        <f>'[58]Sch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>
        <f t="shared" si="53"/>
        <v>0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490">
        <f>'[58]Sch C'!D215</f>
        <v>0</v>
      </c>
      <c r="D204" s="490">
        <f>'[58]Sch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490">
        <f>'[58]Sch C'!D216</f>
        <v>1357</v>
      </c>
      <c r="D205" s="490">
        <f>'[58]Sch C'!F216</f>
        <v>0</v>
      </c>
      <c r="E205" s="171">
        <f t="shared" si="50"/>
        <v>1357</v>
      </c>
      <c r="F205" s="171"/>
      <c r="G205" s="171">
        <f t="shared" si="51"/>
        <v>1357</v>
      </c>
      <c r="H205" s="172">
        <f t="shared" si="52"/>
        <v>4.4924313952425911E-4</v>
      </c>
      <c r="I205" s="337"/>
      <c r="J205" s="168"/>
      <c r="K205" s="168"/>
      <c r="M205" s="364">
        <f t="shared" si="53"/>
        <v>0.10261645493042952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490">
        <f>SUM(C200:C205)</f>
        <v>83687</v>
      </c>
      <c r="D206" s="490">
        <f>SUM(D200:D205)</f>
        <v>0</v>
      </c>
      <c r="E206" s="171">
        <f t="shared" ref="E206:F206" si="54">SUM(E200:E205)</f>
        <v>83687</v>
      </c>
      <c r="F206" s="171">
        <f t="shared" si="54"/>
        <v>0</v>
      </c>
      <c r="G206" s="171">
        <f>SUM(G200:G205)</f>
        <v>83687</v>
      </c>
      <c r="H206" s="172">
        <f t="shared" si="52"/>
        <v>2.7705092569909117E-2</v>
      </c>
      <c r="I206" s="337"/>
      <c r="J206" s="168"/>
      <c r="K206" s="168"/>
      <c r="M206" s="364">
        <f>G206/G$228</f>
        <v>6.3284180278281914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490">
        <f>SUM(C25:C206)/2</f>
        <v>2997699</v>
      </c>
      <c r="D208" s="490">
        <f>SUM(D25:D206)/2</f>
        <v>22937</v>
      </c>
      <c r="E208" s="171">
        <f t="shared" ref="E208:F208" si="55">SUM(E25:E206)/2</f>
        <v>3020636</v>
      </c>
      <c r="F208" s="171">
        <f t="shared" si="55"/>
        <v>0</v>
      </c>
      <c r="G208" s="171">
        <f>SUM(G25:G206)/2</f>
        <v>3020636</v>
      </c>
      <c r="H208" s="172">
        <f>IF($G$208=0,0,G208/$G$208)</f>
        <v>1</v>
      </c>
      <c r="I208" s="337"/>
      <c r="J208" s="183">
        <f>SUM(J25:J200)</f>
        <v>71933</v>
      </c>
      <c r="K208" s="183">
        <f>SUM(K25:K200)</f>
        <v>79210</v>
      </c>
      <c r="M208" s="364">
        <f>G208/G$228</f>
        <v>228.42075015124016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490">
        <f>'[58]Sch C'!D221</f>
        <v>2997699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490">
        <f>C208-C211</f>
        <v>0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619"/>
      <c r="D213" s="232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490">
        <f>C21-C208</f>
        <v>5701</v>
      </c>
      <c r="D215" s="490">
        <f>D21-D208</f>
        <v>-25631</v>
      </c>
      <c r="E215" s="171">
        <f t="shared" ref="E215:F215" si="56">E21-E208</f>
        <v>-19930</v>
      </c>
      <c r="F215" s="171">
        <f t="shared" si="56"/>
        <v>0</v>
      </c>
      <c r="G215" s="171">
        <f>G21-G208</f>
        <v>-19930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491">
        <f>'[58]Sch D'!C9</f>
        <v>6900</v>
      </c>
      <c r="D219" s="491"/>
      <c r="E219" s="235">
        <f t="shared" ref="E219:G227" si="57">C219+D219</f>
        <v>6900</v>
      </c>
      <c r="F219" s="234"/>
      <c r="G219" s="235">
        <f t="shared" si="57"/>
        <v>6900</v>
      </c>
      <c r="H219" s="172">
        <f t="shared" ref="H219:H228" si="58">IF($G$228=0,0,G219/$G$228)</f>
        <v>0.52177858439201452</v>
      </c>
      <c r="I219" s="337"/>
      <c r="J219" s="168"/>
      <c r="K219" s="168"/>
    </row>
    <row r="220" spans="1:14">
      <c r="A220" s="163"/>
      <c r="B220" s="170" t="s">
        <v>217</v>
      </c>
      <c r="C220" s="491">
        <f>'[58]Sch D'!D9</f>
        <v>0</v>
      </c>
      <c r="D220" s="491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7"/>
      <c r="J220" s="168"/>
      <c r="K220" s="168"/>
    </row>
    <row r="221" spans="1:14">
      <c r="A221" s="163"/>
      <c r="B221" s="170" t="s">
        <v>72</v>
      </c>
      <c r="C221" s="491">
        <f>'[58]Sch D'!E9</f>
        <v>1284</v>
      </c>
      <c r="D221" s="491"/>
      <c r="E221" s="235">
        <f t="shared" si="59"/>
        <v>1284</v>
      </c>
      <c r="F221" s="234"/>
      <c r="G221" s="235">
        <f t="shared" si="57"/>
        <v>1284</v>
      </c>
      <c r="H221" s="172">
        <f t="shared" si="58"/>
        <v>9.7096188747731391E-2</v>
      </c>
      <c r="I221" s="337"/>
      <c r="J221" s="168"/>
      <c r="K221" s="168"/>
    </row>
    <row r="222" spans="1:14">
      <c r="A222" s="163"/>
      <c r="B222" s="202" t="s">
        <v>334</v>
      </c>
      <c r="C222" s="491">
        <f>'[58]Sch D'!F9</f>
        <v>619</v>
      </c>
      <c r="D222" s="491"/>
      <c r="E222" s="235">
        <f>C222+D222</f>
        <v>619</v>
      </c>
      <c r="F222" s="234"/>
      <c r="G222" s="235">
        <f>E222+F222</f>
        <v>619</v>
      </c>
      <c r="H222" s="172">
        <f t="shared" si="58"/>
        <v>4.6808832425892316E-2</v>
      </c>
      <c r="I222" s="337"/>
      <c r="J222" s="168"/>
      <c r="K222" s="168"/>
    </row>
    <row r="223" spans="1:14">
      <c r="A223" s="163"/>
      <c r="B223" s="170" t="s">
        <v>73</v>
      </c>
      <c r="C223" s="491">
        <f>'[58]Sch D'!G9</f>
        <v>909</v>
      </c>
      <c r="D223" s="491"/>
      <c r="E223" s="235">
        <f t="shared" si="59"/>
        <v>909</v>
      </c>
      <c r="F223" s="234"/>
      <c r="G223" s="235">
        <f t="shared" si="57"/>
        <v>909</v>
      </c>
      <c r="H223" s="172">
        <f t="shared" si="58"/>
        <v>6.8738656987295824E-2</v>
      </c>
      <c r="I223" s="337"/>
      <c r="J223" s="168"/>
      <c r="K223" s="168"/>
    </row>
    <row r="224" spans="1:14">
      <c r="A224" s="163"/>
      <c r="B224" s="170" t="s">
        <v>74</v>
      </c>
      <c r="C224" s="491">
        <f>'[58]Sch D'!H9</f>
        <v>3150</v>
      </c>
      <c r="D224" s="491"/>
      <c r="E224" s="235">
        <f t="shared" si="59"/>
        <v>3150</v>
      </c>
      <c r="F224" s="234"/>
      <c r="G224" s="235">
        <f t="shared" si="57"/>
        <v>3150</v>
      </c>
      <c r="H224" s="172">
        <f t="shared" si="58"/>
        <v>0.2382032667876588</v>
      </c>
      <c r="I224" s="337"/>
      <c r="J224" s="168"/>
      <c r="K224" s="168"/>
    </row>
    <row r="225" spans="1:11">
      <c r="A225" s="163"/>
      <c r="B225" s="170" t="s">
        <v>236</v>
      </c>
      <c r="C225" s="491">
        <f>'[58]Sch D'!I9</f>
        <v>332</v>
      </c>
      <c r="D225" s="491"/>
      <c r="E225" s="235">
        <f t="shared" si="59"/>
        <v>332</v>
      </c>
      <c r="F225" s="234"/>
      <c r="G225" s="235">
        <f t="shared" si="57"/>
        <v>332</v>
      </c>
      <c r="H225" s="172">
        <f t="shared" si="58"/>
        <v>2.5105868118572294E-2</v>
      </c>
      <c r="I225" s="337"/>
      <c r="J225" s="168"/>
      <c r="K225" s="168"/>
    </row>
    <row r="226" spans="1:11">
      <c r="A226" s="163"/>
      <c r="B226" s="170" t="s">
        <v>235</v>
      </c>
      <c r="C226" s="491">
        <f>'[58]Sch D'!J9</f>
        <v>0</v>
      </c>
      <c r="D226" s="491"/>
      <c r="E226" s="235">
        <f>C226+D226</f>
        <v>0</v>
      </c>
      <c r="F226" s="234"/>
      <c r="G226" s="235">
        <f>E226+F226</f>
        <v>0</v>
      </c>
      <c r="H226" s="172">
        <f t="shared" si="58"/>
        <v>0</v>
      </c>
      <c r="I226" s="337"/>
      <c r="J226" s="168"/>
      <c r="K226" s="168"/>
    </row>
    <row r="227" spans="1:11">
      <c r="A227" s="163"/>
      <c r="B227" s="170" t="s">
        <v>179</v>
      </c>
      <c r="C227" s="491">
        <f>'[58]Sch D'!K9</f>
        <v>30</v>
      </c>
      <c r="D227" s="491"/>
      <c r="E227" s="235">
        <f t="shared" si="59"/>
        <v>30</v>
      </c>
      <c r="F227" s="234"/>
      <c r="G227" s="235">
        <f t="shared" si="57"/>
        <v>30</v>
      </c>
      <c r="H227" s="172">
        <f t="shared" si="58"/>
        <v>2.2686025408348459E-3</v>
      </c>
      <c r="I227" s="337"/>
      <c r="J227" s="168"/>
      <c r="K227" s="168"/>
    </row>
    <row r="228" spans="1:11" ht="13.5" thickBot="1">
      <c r="A228" s="163"/>
      <c r="B228" s="236" t="s">
        <v>75</v>
      </c>
      <c r="C228" s="491">
        <f>SUM(C219:C227)</f>
        <v>13224</v>
      </c>
      <c r="D228" s="491">
        <f>SUM(D219:D227)</f>
        <v>0</v>
      </c>
      <c r="E228" s="237">
        <f>SUM(E219:E227)</f>
        <v>13224</v>
      </c>
      <c r="F228" s="237">
        <f>SUM(F219:F227)</f>
        <v>0</v>
      </c>
      <c r="G228" s="237">
        <f>SUM(G219:G227)</f>
        <v>13224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620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619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492">
        <f>'[58]Sch D'!N22</f>
        <v>72</v>
      </c>
      <c r="D231" s="526"/>
      <c r="E231" s="235">
        <f>C231+D231</f>
        <v>72</v>
      </c>
      <c r="F231" s="235"/>
      <c r="G231" s="235">
        <f>E231+F231</f>
        <v>72</v>
      </c>
      <c r="H231" s="167"/>
      <c r="J231" s="168"/>
      <c r="K231" s="168"/>
    </row>
    <row r="232" spans="1:11">
      <c r="A232" s="163"/>
      <c r="B232" s="202" t="s">
        <v>290</v>
      </c>
      <c r="C232" s="492">
        <f>'[58]Sch D'!N24</f>
        <v>72</v>
      </c>
      <c r="D232" s="526"/>
      <c r="E232" s="235">
        <f>C232+D232</f>
        <v>72</v>
      </c>
      <c r="F232" s="235"/>
      <c r="G232" s="235">
        <f>E232+F232</f>
        <v>72</v>
      </c>
      <c r="H232" s="167"/>
      <c r="J232" s="168"/>
      <c r="K232" s="168"/>
    </row>
    <row r="233" spans="1:11">
      <c r="A233" s="163"/>
      <c r="B233" s="202" t="s">
        <v>76</v>
      </c>
      <c r="C233" s="492">
        <f>$C$4-$C$3+1</f>
        <v>365</v>
      </c>
      <c r="D233" s="489"/>
      <c r="E233" s="235">
        <f>C233+D233</f>
        <v>365</v>
      </c>
      <c r="F233" s="240"/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621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492">
        <f>'[58]Sch D'!N28</f>
        <v>26280</v>
      </c>
      <c r="D235" s="489"/>
      <c r="E235" s="234">
        <f>E231*E233</f>
        <v>26280</v>
      </c>
      <c r="F235" s="240"/>
      <c r="G235" s="234">
        <f>G231*G233</f>
        <v>26280</v>
      </c>
      <c r="H235" s="167"/>
      <c r="J235" s="168"/>
      <c r="K235" s="168"/>
    </row>
    <row r="236" spans="1:11" ht="26">
      <c r="A236" s="163"/>
      <c r="B236" s="244" t="s">
        <v>336</v>
      </c>
      <c r="C236" s="493">
        <f>'[58]Sch D'!N30</f>
        <v>0.50319634703196348</v>
      </c>
      <c r="D236" s="240"/>
      <c r="E236" s="245">
        <f>E228/E235</f>
        <v>0.50319634703196348</v>
      </c>
      <c r="F236" s="246"/>
      <c r="G236" s="245">
        <f>G228/G235</f>
        <v>0.50319634703196348</v>
      </c>
      <c r="H236" s="167"/>
      <c r="J236" s="168"/>
      <c r="K236" s="168"/>
    </row>
    <row r="237" spans="1:11" ht="26">
      <c r="A237" s="163"/>
      <c r="B237" s="244" t="s">
        <v>337</v>
      </c>
      <c r="C237" s="493">
        <f>'[58]Sch D'!N32</f>
        <v>0.26255707762557079</v>
      </c>
      <c r="D237" s="240"/>
      <c r="E237" s="245">
        <f>(E219+E220)/E235</f>
        <v>0.26255707762557079</v>
      </c>
      <c r="F237" s="246"/>
      <c r="G237" s="245">
        <f>(G219+G220)/G235</f>
        <v>0.26255707762557079</v>
      </c>
      <c r="H237" s="167"/>
      <c r="J237" s="168"/>
      <c r="K237" s="168"/>
    </row>
    <row r="238" spans="1:11" ht="26">
      <c r="A238" s="163"/>
      <c r="B238" s="244" t="s">
        <v>338</v>
      </c>
      <c r="C238" s="493">
        <f>'[58]Sch D'!N34</f>
        <v>0.52177858439201452</v>
      </c>
      <c r="D238" s="240"/>
      <c r="E238" s="245">
        <f>(E237/E236)</f>
        <v>0.52177858439201452</v>
      </c>
      <c r="F238" s="246"/>
      <c r="G238" s="245">
        <f>(G237/G236)</f>
        <v>0.52177858439201452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490">
        <f>'[58]Sch B'!C85</f>
        <v>142.70710059171597</v>
      </c>
    </row>
    <row r="242" spans="2:7">
      <c r="F242" s="142" t="s">
        <v>341</v>
      </c>
      <c r="G242" s="490">
        <f>'[58]Sch B'!E85</f>
        <v>142.70778443113772</v>
      </c>
    </row>
    <row r="243" spans="2:7">
      <c r="F243" s="142" t="s">
        <v>342</v>
      </c>
      <c r="G243" s="490">
        <f>'[58]Sch B'!G85</f>
        <v>142.70903522205208</v>
      </c>
    </row>
    <row r="244" spans="2:7">
      <c r="F244" s="142" t="s">
        <v>343</v>
      </c>
      <c r="G244" s="490">
        <f>'[58]Sch B'!I85</f>
        <v>142.70679012345678</v>
      </c>
    </row>
    <row r="245" spans="2:7">
      <c r="F245" s="142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19">
    <tabColor rgb="FFE28CAB"/>
  </sheetPr>
  <dimension ref="A1:N245"/>
  <sheetViews>
    <sheetView showGridLines="0" zoomScale="90" zoomScaleNormal="90" workbookViewId="0">
      <pane xSplit="2" topLeftCell="C1" activePane="topRight" state="frozen"/>
      <selection activeCell="N1" sqref="N1"/>
      <selection pane="topRight" activeCell="N1" sqref="N1"/>
    </sheetView>
  </sheetViews>
  <sheetFormatPr defaultColWidth="8.6640625" defaultRowHeight="13"/>
  <cols>
    <col min="1" max="1" width="8.58203125" style="142" customWidth="1"/>
    <col min="2" max="2" width="41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478"/>
      <c r="E1" s="478"/>
      <c r="F1" s="478"/>
      <c r="G1" s="478"/>
      <c r="H1" s="478"/>
      <c r="I1" s="479"/>
    </row>
    <row r="2" spans="1:14" ht="23">
      <c r="B2" s="143" t="s">
        <v>189</v>
      </c>
      <c r="C2" s="247" t="s">
        <v>391</v>
      </c>
      <c r="D2" s="247"/>
      <c r="E2" s="144"/>
    </row>
    <row r="3" spans="1:14">
      <c r="A3" s="145"/>
      <c r="B3" s="140" t="s">
        <v>79</v>
      </c>
      <c r="C3" s="495">
        <v>41821</v>
      </c>
      <c r="D3" s="144"/>
      <c r="E3" s="681"/>
      <c r="F3" s="681"/>
    </row>
    <row r="4" spans="1:14">
      <c r="A4" s="145"/>
      <c r="B4" s="148" t="s">
        <v>80</v>
      </c>
      <c r="C4" s="495">
        <v>42185</v>
      </c>
      <c r="D4" s="144"/>
      <c r="E4" s="681"/>
      <c r="F4" s="681"/>
      <c r="G4" s="150"/>
    </row>
    <row r="5" spans="1:14">
      <c r="A5" s="145"/>
      <c r="B5" s="148"/>
      <c r="C5" s="151"/>
      <c r="D5" s="144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144"/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490">
        <f>'[59]Sch B'!E10</f>
        <v>5147563</v>
      </c>
      <c r="D11" s="490">
        <f>'[59]Sch B'!G10</f>
        <v>0</v>
      </c>
      <c r="E11" s="171">
        <f>C11+D11</f>
        <v>5147563</v>
      </c>
      <c r="F11" s="171"/>
      <c r="G11" s="171">
        <f t="shared" ref="G11:G20" si="0">E11+F11</f>
        <v>5147563</v>
      </c>
      <c r="H11" s="172">
        <f t="shared" ref="H11:H21" si="1">IF($G$21=0,0,G11/$G$21)</f>
        <v>0.48643434147565789</v>
      </c>
      <c r="I11" s="337"/>
      <c r="J11" s="368" t="s">
        <v>344</v>
      </c>
      <c r="K11" s="369">
        <f>G21</f>
        <v>10582236</v>
      </c>
      <c r="M11" s="359">
        <f>IFERROR(G11/G219,0)</f>
        <v>233.75700467735342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490">
        <f>'[59]Sch B'!E15</f>
        <v>0</v>
      </c>
      <c r="D12" s="490">
        <f>'[59]Sch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7"/>
      <c r="J12" s="370" t="s">
        <v>345</v>
      </c>
      <c r="K12" s="371">
        <f>G208</f>
        <v>9948771.3825881071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490">
        <f>'[59]Sch B'!E21</f>
        <v>2650969</v>
      </c>
      <c r="D13" s="490">
        <f>'[59]Sch B'!G21</f>
        <v>0</v>
      </c>
      <c r="E13" s="171">
        <f t="shared" si="2"/>
        <v>2650969</v>
      </c>
      <c r="F13" s="171"/>
      <c r="G13" s="171">
        <f t="shared" si="0"/>
        <v>2650969</v>
      </c>
      <c r="H13" s="172">
        <f t="shared" si="1"/>
        <v>0.25051123410969101</v>
      </c>
      <c r="I13" s="337"/>
      <c r="J13" s="370" t="s">
        <v>346</v>
      </c>
      <c r="K13" s="371">
        <f>G228</f>
        <v>36462</v>
      </c>
      <c r="M13" s="359">
        <f t="shared" si="3"/>
        <v>499.99415314975482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490">
        <f>'[59]Sch B'!E27</f>
        <v>1874848</v>
      </c>
      <c r="D14" s="490">
        <f>'[59]Sch B'!G27</f>
        <v>0</v>
      </c>
      <c r="E14" s="171">
        <f t="shared" si="2"/>
        <v>1874848</v>
      </c>
      <c r="F14" s="175"/>
      <c r="G14" s="175">
        <f>E14+F14</f>
        <v>1874848</v>
      </c>
      <c r="H14" s="176">
        <f t="shared" si="1"/>
        <v>0.177169361938252</v>
      </c>
      <c r="I14" s="338"/>
      <c r="J14" s="370" t="s">
        <v>347</v>
      </c>
      <c r="K14" s="371">
        <f>G231</f>
        <v>220</v>
      </c>
      <c r="M14" s="359">
        <f t="shared" si="3"/>
        <v>388.97261410788383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490">
        <f>'[59]Sch B'!E32</f>
        <v>0</v>
      </c>
      <c r="D15" s="490">
        <f>'[59]Sch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7"/>
      <c r="J15" s="370" t="s">
        <v>348</v>
      </c>
      <c r="K15" s="371">
        <f>G235</f>
        <v>80300</v>
      </c>
      <c r="M15" s="359">
        <f t="shared" si="3"/>
        <v>0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490">
        <f>'[59]Sch B'!E37</f>
        <v>562460</v>
      </c>
      <c r="D16" s="490">
        <f>'[59]Sch B'!G37</f>
        <v>0</v>
      </c>
      <c r="E16" s="171">
        <f t="shared" si="2"/>
        <v>562460</v>
      </c>
      <c r="F16" s="171"/>
      <c r="G16" s="171">
        <f t="shared" si="0"/>
        <v>562460</v>
      </c>
      <c r="H16" s="172">
        <f t="shared" si="1"/>
        <v>5.3151337770202818E-2</v>
      </c>
      <c r="I16" s="337"/>
      <c r="J16" s="372"/>
      <c r="K16" s="371"/>
      <c r="M16" s="359">
        <f t="shared" si="3"/>
        <v>226.1600321672698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490">
        <f>'[59]Sch B'!E42</f>
        <v>0</v>
      </c>
      <c r="D17" s="490">
        <f>'[59]Sch B'!G42</f>
        <v>0</v>
      </c>
      <c r="E17" s="171">
        <f t="shared" si="2"/>
        <v>0</v>
      </c>
      <c r="F17" s="171"/>
      <c r="G17" s="171">
        <f>E17+F17</f>
        <v>0</v>
      </c>
      <c r="H17" s="172">
        <f t="shared" si="1"/>
        <v>0</v>
      </c>
      <c r="I17" s="337"/>
      <c r="J17" s="370" t="s">
        <v>156</v>
      </c>
      <c r="K17" s="371">
        <f>J208</f>
        <v>219468</v>
      </c>
      <c r="M17" s="359">
        <f t="shared" si="3"/>
        <v>0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490">
        <f>'[59]Sch B'!E47</f>
        <v>334186</v>
      </c>
      <c r="D18" s="490">
        <f>'[59]Sch B'!G47</f>
        <v>0</v>
      </c>
      <c r="E18" s="171">
        <f t="shared" si="2"/>
        <v>334186</v>
      </c>
      <c r="F18" s="171"/>
      <c r="G18" s="171">
        <f>E18+F18</f>
        <v>334186</v>
      </c>
      <c r="H18" s="172">
        <f t="shared" si="1"/>
        <v>3.1579904284878925E-2</v>
      </c>
      <c r="I18" s="337"/>
      <c r="J18" s="373" t="s">
        <v>252</v>
      </c>
      <c r="K18" s="374">
        <f>K208</f>
        <v>231418</v>
      </c>
      <c r="M18" s="359">
        <f t="shared" si="3"/>
        <v>184.02312775330395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490">
        <f>'[59]Sch B'!E52</f>
        <v>0</v>
      </c>
      <c r="D19" s="490">
        <f>'[59]Sch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337"/>
      <c r="J19" s="168"/>
      <c r="K19" s="168"/>
      <c r="M19" s="359">
        <f t="shared" si="3"/>
        <v>0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490">
        <f>'[59]Sch B'!E67</f>
        <v>12210</v>
      </c>
      <c r="D20" s="490">
        <f>'[59]Sch B'!G67</f>
        <v>0</v>
      </c>
      <c r="E20" s="171">
        <f t="shared" si="2"/>
        <v>12210</v>
      </c>
      <c r="F20" s="171"/>
      <c r="G20" s="171">
        <f t="shared" si="0"/>
        <v>12210</v>
      </c>
      <c r="H20" s="172">
        <f t="shared" si="1"/>
        <v>1.1538204213173851E-3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490">
        <f>SUM(C11:C20)</f>
        <v>10582236</v>
      </c>
      <c r="D21" s="490">
        <f>SUM(D11:D20)</f>
        <v>0</v>
      </c>
      <c r="E21" s="171">
        <f>SUM(E11:E20)</f>
        <v>10582236</v>
      </c>
      <c r="F21" s="171">
        <f>SUM(F11:F20)</f>
        <v>0</v>
      </c>
      <c r="G21" s="171">
        <f>SUM(G11:G20)</f>
        <v>10582236</v>
      </c>
      <c r="H21" s="172">
        <f t="shared" si="1"/>
        <v>1</v>
      </c>
      <c r="I21" s="337"/>
      <c r="J21" s="168"/>
      <c r="K21" s="168"/>
      <c r="M21" s="359">
        <f>IFERROR(G21/G228,0)</f>
        <v>290.2264275135758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4">
      <c r="A24" s="181" t="s">
        <v>161</v>
      </c>
      <c r="B24" s="148" t="s">
        <v>12</v>
      </c>
      <c r="F24" s="402"/>
      <c r="M24" s="363"/>
      <c r="N24" s="363"/>
    </row>
    <row r="25" spans="1:14" s="167" customFormat="1">
      <c r="A25" s="169" t="s">
        <v>83</v>
      </c>
      <c r="B25" s="170" t="s">
        <v>14</v>
      </c>
      <c r="C25" s="490">
        <f>'[59]Sch C'!D10</f>
        <v>167258</v>
      </c>
      <c r="D25" s="490">
        <f>'[59]Sch C'!F10</f>
        <v>9105</v>
      </c>
      <c r="E25" s="171">
        <f t="shared" ref="E25:E60" si="4">C25+D25</f>
        <v>176363</v>
      </c>
      <c r="F25" s="171"/>
      <c r="G25" s="182">
        <f>E25+F25</f>
        <v>176363</v>
      </c>
      <c r="H25" s="172">
        <f>IF($G$208=0,0,G25/$G$208)</f>
        <v>1.7727113551796216E-2</v>
      </c>
      <c r="I25" s="337"/>
      <c r="J25" s="183">
        <v>1957</v>
      </c>
      <c r="K25" s="183">
        <v>2064</v>
      </c>
      <c r="M25" s="359">
        <f>G25/G$228</f>
        <v>4.8368986890461301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490">
        <f>'[59]Sch C'!D11</f>
        <v>0</v>
      </c>
      <c r="D26" s="490">
        <f>'[59]Sch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490">
        <f>'[59]Sch C'!D12</f>
        <v>323365</v>
      </c>
      <c r="D27" s="490">
        <f>'[59]Sch C'!F12</f>
        <v>-43219.335669569104</v>
      </c>
      <c r="E27" s="171">
        <f t="shared" si="4"/>
        <v>280145.66433043091</v>
      </c>
      <c r="F27" s="171"/>
      <c r="G27" s="171">
        <f t="shared" si="5"/>
        <v>280145.66433043091</v>
      </c>
      <c r="H27" s="172">
        <f t="shared" si="6"/>
        <v>2.815882017559769E-2</v>
      </c>
      <c r="I27" s="337"/>
      <c r="J27" s="185">
        <v>17453</v>
      </c>
      <c r="K27" s="185">
        <v>18403</v>
      </c>
      <c r="M27" s="359">
        <f t="shared" si="7"/>
        <v>7.6832226518136943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490">
        <f>'[59]Sch C'!D13</f>
        <v>885601</v>
      </c>
      <c r="D28" s="490">
        <f>'[59]Sch C'!F13</f>
        <v>-763112.73585605482</v>
      </c>
      <c r="E28" s="171">
        <f t="shared" si="4"/>
        <v>122488.26414394518</v>
      </c>
      <c r="F28" s="171"/>
      <c r="G28" s="171">
        <f t="shared" si="5"/>
        <v>122488.26414394518</v>
      </c>
      <c r="H28" s="172">
        <f t="shared" si="6"/>
        <v>1.2311898568532657E-2</v>
      </c>
      <c r="I28" s="337"/>
      <c r="J28" s="168"/>
      <c r="K28" s="168"/>
      <c r="M28" s="359">
        <f t="shared" si="7"/>
        <v>3.3593402485860673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490">
        <f>'[59]Sch C'!D14</f>
        <v>0</v>
      </c>
      <c r="D29" s="490">
        <f>'[59]Sch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490">
        <f>'[59]Sch C'!D15</f>
        <v>0</v>
      </c>
      <c r="D30" s="490">
        <f>'[59]Sch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7"/>
      <c r="J30" s="168"/>
      <c r="K30" s="168"/>
      <c r="M30" s="359">
        <f t="shared" si="7"/>
        <v>0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490">
        <f>'[59]Sch C'!D16</f>
        <v>527849</v>
      </c>
      <c r="D31" s="490">
        <f>'[59]Sch C'!F16</f>
        <v>266208.39409009216</v>
      </c>
      <c r="E31" s="171">
        <f t="shared" si="4"/>
        <v>794057.39409009216</v>
      </c>
      <c r="F31" s="171"/>
      <c r="G31" s="171">
        <f t="shared" si="5"/>
        <v>794057.39409009216</v>
      </c>
      <c r="H31" s="172">
        <f t="shared" si="6"/>
        <v>7.9814618665357592E-2</v>
      </c>
      <c r="I31" s="337"/>
      <c r="J31" s="168"/>
      <c r="K31" s="168"/>
      <c r="M31" s="359">
        <f t="shared" si="7"/>
        <v>21.777669740828593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490">
        <f>'[59]Sch C'!D17</f>
        <v>0</v>
      </c>
      <c r="D32" s="490">
        <f>'[59]Sch C'!F17</f>
        <v>0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7"/>
      <c r="J32" s="168"/>
      <c r="K32" s="168"/>
      <c r="M32" s="359">
        <f t="shared" si="7"/>
        <v>0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490">
        <f>'[59]Sch C'!D18</f>
        <v>14518</v>
      </c>
      <c r="D33" s="490">
        <f>'[59]Sch C'!F18</f>
        <v>0</v>
      </c>
      <c r="E33" s="171">
        <f t="shared" si="4"/>
        <v>14518</v>
      </c>
      <c r="F33" s="171"/>
      <c r="G33" s="171">
        <f t="shared" si="5"/>
        <v>14518</v>
      </c>
      <c r="H33" s="172">
        <f t="shared" si="6"/>
        <v>1.4592756674868166E-3</v>
      </c>
      <c r="I33" s="337"/>
      <c r="J33" s="168"/>
      <c r="K33" s="168"/>
      <c r="M33" s="359">
        <f t="shared" si="7"/>
        <v>0.39816795567988589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490">
        <f>'[59]Sch C'!D19</f>
        <v>28119</v>
      </c>
      <c r="D34" s="490">
        <f>'[59]Sch C'!F19</f>
        <v>-3271.0803999999998</v>
      </c>
      <c r="E34" s="171">
        <f t="shared" si="4"/>
        <v>24847.919600000001</v>
      </c>
      <c r="F34" s="171"/>
      <c r="G34" s="171">
        <f t="shared" si="5"/>
        <v>24847.919600000001</v>
      </c>
      <c r="H34" s="172">
        <f t="shared" si="6"/>
        <v>2.4975867516151508E-3</v>
      </c>
      <c r="I34" s="337"/>
      <c r="J34" s="168"/>
      <c r="K34" s="168"/>
      <c r="M34" s="359">
        <f t="shared" si="7"/>
        <v>0.6814744007459822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490">
        <f>'[59]Sch C'!D20</f>
        <v>38188</v>
      </c>
      <c r="D35" s="490">
        <f>'[59]Sch C'!F20</f>
        <v>0</v>
      </c>
      <c r="E35" s="171">
        <f t="shared" si="4"/>
        <v>38188</v>
      </c>
      <c r="F35" s="171"/>
      <c r="G35" s="171">
        <f t="shared" si="5"/>
        <v>38188</v>
      </c>
      <c r="H35" s="172">
        <f t="shared" si="6"/>
        <v>3.8384639199605013E-3</v>
      </c>
      <c r="I35" s="337"/>
      <c r="J35" s="168"/>
      <c r="K35" s="168"/>
      <c r="M35" s="359">
        <f t="shared" si="7"/>
        <v>1.0473369535406725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490">
        <f>'[59]Sch C'!D21</f>
        <v>11807</v>
      </c>
      <c r="D36" s="490">
        <f>'[59]Sch C'!F21</f>
        <v>0</v>
      </c>
      <c r="E36" s="171">
        <f t="shared" si="4"/>
        <v>11807</v>
      </c>
      <c r="F36" s="171"/>
      <c r="G36" s="171">
        <f t="shared" si="5"/>
        <v>11807</v>
      </c>
      <c r="H36" s="172">
        <f t="shared" si="6"/>
        <v>1.1867797083631936E-3</v>
      </c>
      <c r="I36" s="337"/>
      <c r="J36" s="168"/>
      <c r="K36" s="168"/>
      <c r="M36" s="359">
        <f t="shared" si="7"/>
        <v>0.32381657616148318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490">
        <f>'[59]Sch C'!D22</f>
        <v>0</v>
      </c>
      <c r="D37" s="490">
        <f>'[59]Sch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490">
        <f>'[59]Sch C'!D23</f>
        <v>18589</v>
      </c>
      <c r="D38" s="490">
        <f>'[59]Sch C'!F23</f>
        <v>0</v>
      </c>
      <c r="E38" s="171">
        <f t="shared" si="4"/>
        <v>18589</v>
      </c>
      <c r="F38" s="171"/>
      <c r="G38" s="171">
        <f t="shared" si="5"/>
        <v>18589</v>
      </c>
      <c r="H38" s="172">
        <f t="shared" si="6"/>
        <v>1.8684719233305162E-3</v>
      </c>
      <c r="I38" s="337"/>
      <c r="J38" s="168"/>
      <c r="K38" s="168"/>
      <c r="M38" s="359">
        <f t="shared" si="7"/>
        <v>0.5098184411167791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490">
        <f>'[59]Sch C'!D24</f>
        <v>87238</v>
      </c>
      <c r="D39" s="490">
        <f>'[59]Sch C'!F24</f>
        <v>-24000</v>
      </c>
      <c r="E39" s="171">
        <f t="shared" si="4"/>
        <v>63238</v>
      </c>
      <c r="F39" s="171"/>
      <c r="G39" s="171">
        <f t="shared" si="5"/>
        <v>63238</v>
      </c>
      <c r="H39" s="172">
        <f t="shared" si="6"/>
        <v>6.3563627676354395E-3</v>
      </c>
      <c r="I39" s="337"/>
      <c r="J39" s="168"/>
      <c r="K39" s="168"/>
      <c r="M39" s="359">
        <f t="shared" si="7"/>
        <v>1.7343535735834568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490">
        <f>'[59]Sch C'!D25</f>
        <v>0</v>
      </c>
      <c r="D40" s="490">
        <f>'[59]Sch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337"/>
      <c r="J40" s="168"/>
      <c r="K40" s="168"/>
      <c r="M40" s="359">
        <f t="shared" si="7"/>
        <v>0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490">
        <f>'[59]Sch C'!D26</f>
        <v>404764</v>
      </c>
      <c r="D41" s="490">
        <f>'[59]Sch C'!F26</f>
        <v>0</v>
      </c>
      <c r="E41" s="171">
        <f t="shared" si="4"/>
        <v>404764</v>
      </c>
      <c r="F41" s="171"/>
      <c r="G41" s="171">
        <f t="shared" si="5"/>
        <v>404764</v>
      </c>
      <c r="H41" s="172">
        <f t="shared" si="6"/>
        <v>4.0684822721768418E-2</v>
      </c>
      <c r="I41" s="337"/>
      <c r="J41" s="168"/>
      <c r="K41" s="168"/>
      <c r="M41" s="359">
        <f t="shared" si="7"/>
        <v>11.100981844111677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490">
        <f>'[59]Sch C'!D27</f>
        <v>0</v>
      </c>
      <c r="D42" s="490">
        <f>'[59]Sch C'!F27</f>
        <v>0</v>
      </c>
      <c r="E42" s="171">
        <f t="shared" si="4"/>
        <v>0</v>
      </c>
      <c r="F42" s="171"/>
      <c r="G42" s="171">
        <f t="shared" si="5"/>
        <v>0</v>
      </c>
      <c r="H42" s="172">
        <f t="shared" si="6"/>
        <v>0</v>
      </c>
      <c r="I42" s="337"/>
      <c r="J42" s="168"/>
      <c r="K42" s="168"/>
      <c r="M42" s="359">
        <f t="shared" si="7"/>
        <v>0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490">
        <f>'[59]Sch C'!D28</f>
        <v>0</v>
      </c>
      <c r="D43" s="490">
        <f>'[59]Sch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490">
        <f>'[59]Sch C'!D29</f>
        <v>32878</v>
      </c>
      <c r="D44" s="490">
        <f>'[59]Sch C'!F29</f>
        <v>-32878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490">
        <f>'[59]Sch C'!D30</f>
        <v>0</v>
      </c>
      <c r="D45" s="490">
        <f>'[59]Sch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490">
        <f>'[59]Sch C'!D31</f>
        <v>106918</v>
      </c>
      <c r="D46" s="490">
        <f>'[59]Sch C'!F31</f>
        <v>0</v>
      </c>
      <c r="E46" s="171">
        <f t="shared" si="4"/>
        <v>106918</v>
      </c>
      <c r="F46" s="171"/>
      <c r="G46" s="171">
        <f t="shared" si="5"/>
        <v>106918</v>
      </c>
      <c r="H46" s="172">
        <f t="shared" si="6"/>
        <v>1.0746854650527309E-2</v>
      </c>
      <c r="I46" s="337"/>
      <c r="J46" s="168"/>
      <c r="K46" s="168"/>
      <c r="M46" s="359">
        <f t="shared" si="7"/>
        <v>2.9323130930832098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490">
        <f>'[59]Sch C'!D32</f>
        <v>213400</v>
      </c>
      <c r="D47" s="490">
        <f>'[59]Sch C'!F32</f>
        <v>-64019.439576359146</v>
      </c>
      <c r="E47" s="171">
        <f t="shared" si="4"/>
        <v>149380.56042364085</v>
      </c>
      <c r="F47" s="171"/>
      <c r="G47" s="171">
        <f t="shared" si="5"/>
        <v>149380.56042364085</v>
      </c>
      <c r="H47" s="172">
        <f t="shared" si="6"/>
        <v>1.5014975686855163E-2</v>
      </c>
      <c r="I47" s="337"/>
      <c r="J47" s="168"/>
      <c r="K47" s="168"/>
      <c r="M47" s="359">
        <f t="shared" si="7"/>
        <v>4.0968833422094466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490">
        <f>'[59]Sch C'!D33</f>
        <v>0</v>
      </c>
      <c r="D48" s="490">
        <f>'[59]Sch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490">
        <f>'[59]Sch C'!D34</f>
        <v>0</v>
      </c>
      <c r="D49" s="490">
        <f>'[59]Sch C'!F34</f>
        <v>0</v>
      </c>
      <c r="E49" s="171">
        <f t="shared" si="4"/>
        <v>0</v>
      </c>
      <c r="F49" s="171"/>
      <c r="G49" s="171">
        <f t="shared" si="5"/>
        <v>0</v>
      </c>
      <c r="H49" s="172">
        <f t="shared" si="6"/>
        <v>0</v>
      </c>
      <c r="I49" s="337"/>
      <c r="J49" s="168"/>
      <c r="K49" s="168"/>
      <c r="M49" s="359">
        <f t="shared" si="7"/>
        <v>0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490">
        <f>'[59]Sch C'!D35</f>
        <v>530</v>
      </c>
      <c r="D50" s="490">
        <f>'[59]Sch C'!F35</f>
        <v>-530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490">
        <f>'[59]Sch C'!D36</f>
        <v>0</v>
      </c>
      <c r="D51" s="490">
        <f>'[59]Sch C'!F36</f>
        <v>0</v>
      </c>
      <c r="E51" s="171">
        <f t="shared" si="4"/>
        <v>0</v>
      </c>
      <c r="F51" s="171"/>
      <c r="G51" s="171">
        <f t="shared" si="5"/>
        <v>0</v>
      </c>
      <c r="H51" s="172">
        <f t="shared" si="6"/>
        <v>0</v>
      </c>
      <c r="I51" s="337"/>
      <c r="J51" s="183">
        <v>0</v>
      </c>
      <c r="K51" s="183">
        <v>0</v>
      </c>
      <c r="M51" s="359">
        <f t="shared" si="7"/>
        <v>0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490">
        <f>'[59]Sch C'!D37</f>
        <v>0</v>
      </c>
      <c r="D52" s="490">
        <f>'[59]Sch C'!F37</f>
        <v>0</v>
      </c>
      <c r="E52" s="171">
        <f t="shared" si="4"/>
        <v>0</v>
      </c>
      <c r="F52" s="171"/>
      <c r="G52" s="171">
        <f t="shared" si="5"/>
        <v>0</v>
      </c>
      <c r="H52" s="172">
        <f t="shared" si="6"/>
        <v>0</v>
      </c>
      <c r="I52" s="337"/>
      <c r="J52" s="168"/>
      <c r="K52" s="168"/>
      <c r="M52" s="359">
        <f t="shared" si="7"/>
        <v>0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490">
        <f>'[59]Sch C'!D38</f>
        <v>0</v>
      </c>
      <c r="D53" s="490">
        <f>'[59]Sch C'!F38</f>
        <v>0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7"/>
      <c r="J53" s="168"/>
      <c r="K53" s="168"/>
      <c r="M53" s="359">
        <f t="shared" si="7"/>
        <v>0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490">
        <f>'[59]Sch C'!D39</f>
        <v>8995</v>
      </c>
      <c r="D54" s="490">
        <f>'[59]Sch C'!F39</f>
        <v>0</v>
      </c>
      <c r="E54" s="171">
        <f t="shared" si="4"/>
        <v>8995</v>
      </c>
      <c r="F54" s="171"/>
      <c r="G54" s="171">
        <f t="shared" si="5"/>
        <v>8995</v>
      </c>
      <c r="H54" s="172">
        <f t="shared" si="6"/>
        <v>9.0413174190962366E-4</v>
      </c>
      <c r="I54" s="337"/>
      <c r="J54" s="168"/>
      <c r="K54" s="168"/>
      <c r="M54" s="359">
        <f t="shared" si="7"/>
        <v>0.24669518951236905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490">
        <f>'[59]Sch C'!D40</f>
        <v>13452</v>
      </c>
      <c r="D55" s="490">
        <f>'[59]Sch C'!F40</f>
        <v>0</v>
      </c>
      <c r="E55" s="171">
        <f t="shared" si="4"/>
        <v>13452</v>
      </c>
      <c r="F55" s="171"/>
      <c r="G55" s="171">
        <f t="shared" si="5"/>
        <v>13452</v>
      </c>
      <c r="H55" s="172">
        <f t="shared" si="6"/>
        <v>1.3521267584400507E-3</v>
      </c>
      <c r="I55" s="337"/>
      <c r="J55" s="168"/>
      <c r="K55" s="168"/>
      <c r="M55" s="359">
        <f t="shared" si="7"/>
        <v>0.36893203883495146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490">
        <f>'[59]Sch C'!D41</f>
        <v>32151</v>
      </c>
      <c r="D56" s="490">
        <f>'[59]Sch C'!F41</f>
        <v>0</v>
      </c>
      <c r="E56" s="171">
        <f t="shared" si="4"/>
        <v>32151</v>
      </c>
      <c r="F56" s="171"/>
      <c r="G56" s="171">
        <f t="shared" si="5"/>
        <v>32151</v>
      </c>
      <c r="H56" s="172">
        <f t="shared" si="6"/>
        <v>3.231655323417044E-3</v>
      </c>
      <c r="I56" s="337"/>
      <c r="J56" s="168"/>
      <c r="K56" s="168"/>
      <c r="M56" s="359">
        <f t="shared" si="7"/>
        <v>0.88176731940102027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490">
        <f>'[59]Sch C'!D42</f>
        <v>8974</v>
      </c>
      <c r="D57" s="490">
        <f>'[59]Sch C'!F42</f>
        <v>0</v>
      </c>
      <c r="E57" s="171">
        <f t="shared" si="4"/>
        <v>8974</v>
      </c>
      <c r="F57" s="171"/>
      <c r="G57" s="171">
        <f t="shared" si="5"/>
        <v>8974</v>
      </c>
      <c r="H57" s="172">
        <f t="shared" si="6"/>
        <v>9.0202092850438721E-4</v>
      </c>
      <c r="I57" s="337"/>
      <c r="J57" s="168"/>
      <c r="K57" s="168"/>
      <c r="M57" s="359">
        <f t="shared" si="7"/>
        <v>0.24611924743568647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490">
        <f>'[59]Sch C'!D43</f>
        <v>8189</v>
      </c>
      <c r="D58" s="490">
        <f>'[59]Sch C'!F43</f>
        <v>0</v>
      </c>
      <c r="E58" s="171">
        <f t="shared" si="4"/>
        <v>8189</v>
      </c>
      <c r="F58" s="171"/>
      <c r="G58" s="171">
        <f t="shared" si="5"/>
        <v>8189</v>
      </c>
      <c r="H58" s="172">
        <f t="shared" si="6"/>
        <v>8.2311671311816655E-4</v>
      </c>
      <c r="I58" s="337"/>
      <c r="J58" s="168"/>
      <c r="K58" s="168"/>
      <c r="M58" s="359">
        <f t="shared" si="7"/>
        <v>0.22458998409302836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490">
        <f>'[59]Sch C'!D44</f>
        <v>0</v>
      </c>
      <c r="D59" s="490">
        <f>'[59]Sch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7"/>
      <c r="J59" s="168"/>
      <c r="K59" s="168"/>
      <c r="M59" s="359">
        <f t="shared" si="7"/>
        <v>0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490">
        <f>'[59]Sch C'!D45</f>
        <v>29605</v>
      </c>
      <c r="D60" s="490">
        <f>'[59]Sch C'!F45</f>
        <v>-11927</v>
      </c>
      <c r="E60" s="171">
        <f t="shared" si="4"/>
        <v>17678</v>
      </c>
      <c r="F60" s="171"/>
      <c r="G60" s="171">
        <f t="shared" si="5"/>
        <v>17678</v>
      </c>
      <c r="H60" s="172">
        <f t="shared" si="6"/>
        <v>1.7769028275128767E-3</v>
      </c>
      <c r="I60" s="337"/>
      <c r="J60" s="168"/>
      <c r="K60" s="168"/>
      <c r="M60" s="359">
        <f t="shared" si="7"/>
        <v>0.48483352531402557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490">
        <f>SUM(C25:C60)</f>
        <v>2962388</v>
      </c>
      <c r="D61" s="490">
        <f>SUM(D25:D60)</f>
        <v>-667644.19741189084</v>
      </c>
      <c r="E61" s="171">
        <f t="shared" ref="E61:F61" si="8">SUM(E25:E60)</f>
        <v>2294743.8025881089</v>
      </c>
      <c r="F61" s="171">
        <f t="shared" si="8"/>
        <v>0</v>
      </c>
      <c r="G61" s="171">
        <f>SUM(G25:G60)</f>
        <v>2294743.8025881089</v>
      </c>
      <c r="H61" s="186">
        <f t="shared" si="6"/>
        <v>0.23065599905172879</v>
      </c>
      <c r="I61" s="339"/>
      <c r="J61" s="168"/>
      <c r="K61" s="168"/>
      <c r="M61" s="364">
        <f>G61/G$228</f>
        <v>62.935214815098156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I62" s="340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490">
        <f>'[59]Sch C'!D57</f>
        <v>875000</v>
      </c>
      <c r="D64" s="490">
        <f>'[59]Sch C'!F57</f>
        <v>0</v>
      </c>
      <c r="E64" s="171">
        <f t="shared" ref="E64:E78" si="9">C64+D64</f>
        <v>875000</v>
      </c>
      <c r="F64" s="171"/>
      <c r="G64" s="171">
        <f t="shared" ref="G64:G78" si="10">E64+F64</f>
        <v>875000</v>
      </c>
      <c r="H64" s="172">
        <f t="shared" ref="H64:H79" si="11">IF($G$208=0,0,G64/$G$208)</f>
        <v>8.7950558551519814E-2</v>
      </c>
      <c r="I64" s="337"/>
      <c r="J64" s="190"/>
      <c r="K64" s="168"/>
      <c r="M64" s="359">
        <f t="shared" ref="M64:M79" si="12">G64/G$228</f>
        <v>23.997586528440568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490">
        <f>'[59]Sch C'!D58</f>
        <v>11612</v>
      </c>
      <c r="D65" s="490">
        <f>'[59]Sch C'!F58</f>
        <v>0</v>
      </c>
      <c r="E65" s="171">
        <f t="shared" si="9"/>
        <v>11612</v>
      </c>
      <c r="F65" s="171"/>
      <c r="G65" s="171">
        <f t="shared" si="10"/>
        <v>11612</v>
      </c>
      <c r="H65" s="172">
        <f t="shared" si="11"/>
        <v>1.1671792981717121E-3</v>
      </c>
      <c r="I65" s="337"/>
      <c r="J65" s="190"/>
      <c r="K65" s="168"/>
      <c r="M65" s="359">
        <f t="shared" si="12"/>
        <v>0.31846854259228785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490">
        <f>'[59]Sch C'!D59</f>
        <v>0</v>
      </c>
      <c r="D66" s="490">
        <f>'[59]Sch C'!F59</f>
        <v>0</v>
      </c>
      <c r="E66" s="171">
        <f t="shared" si="9"/>
        <v>0</v>
      </c>
      <c r="F66" s="171"/>
      <c r="G66" s="171">
        <f t="shared" si="10"/>
        <v>0</v>
      </c>
      <c r="H66" s="172">
        <f t="shared" si="11"/>
        <v>0</v>
      </c>
      <c r="I66" s="337"/>
      <c r="J66" s="190"/>
      <c r="K66" s="168"/>
      <c r="M66" s="359">
        <f t="shared" si="12"/>
        <v>0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490">
        <f>'[59]Sch C'!D60</f>
        <v>71874</v>
      </c>
      <c r="D67" s="490">
        <f>'[59]Sch C'!F60</f>
        <v>0</v>
      </c>
      <c r="E67" s="171">
        <f t="shared" si="9"/>
        <v>71874</v>
      </c>
      <c r="F67" s="171"/>
      <c r="G67" s="171">
        <f t="shared" si="10"/>
        <v>71874</v>
      </c>
      <c r="H67" s="172">
        <f t="shared" si="11"/>
        <v>7.2244096518079256E-3</v>
      </c>
      <c r="I67" s="337"/>
      <c r="J67" s="193"/>
      <c r="K67" s="168"/>
      <c r="M67" s="359">
        <f t="shared" si="12"/>
        <v>1.9712028961658714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490">
        <f>'[59]Sch C'!D61</f>
        <v>11480</v>
      </c>
      <c r="D68" s="490">
        <f>'[59]Sch C'!F61</f>
        <v>0</v>
      </c>
      <c r="E68" s="171">
        <f t="shared" si="9"/>
        <v>11480</v>
      </c>
      <c r="F68" s="171"/>
      <c r="G68" s="171">
        <f t="shared" si="10"/>
        <v>11480</v>
      </c>
      <c r="H68" s="172">
        <f t="shared" si="11"/>
        <v>1.1539113281959399E-3</v>
      </c>
      <c r="I68" s="337"/>
      <c r="J68" s="193"/>
      <c r="K68" s="168"/>
      <c r="M68" s="359">
        <f t="shared" si="12"/>
        <v>0.31484833525314027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490">
        <f>'[59]Sch C'!D62</f>
        <v>5602</v>
      </c>
      <c r="D69" s="490">
        <f>'[59]Sch C'!F62</f>
        <v>0</v>
      </c>
      <c r="E69" s="171">
        <f t="shared" si="9"/>
        <v>5602</v>
      </c>
      <c r="F69" s="171"/>
      <c r="G69" s="171">
        <f t="shared" si="10"/>
        <v>5602</v>
      </c>
      <c r="H69" s="172">
        <f t="shared" si="11"/>
        <v>5.6308460457784454E-4</v>
      </c>
      <c r="I69" s="337"/>
      <c r="J69" s="195"/>
      <c r="K69" s="168"/>
      <c r="M69" s="359">
        <f t="shared" si="12"/>
        <v>0.15363940540837037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490">
        <f>'[59]Sch C'!D63</f>
        <v>0</v>
      </c>
      <c r="D70" s="490">
        <f>'[59]Sch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7"/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490">
        <f>'[59]Sch C'!D64</f>
        <v>0</v>
      </c>
      <c r="D71" s="490">
        <f>'[59]Sch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490">
        <f>'[59]Sch C'!D65</f>
        <v>6315</v>
      </c>
      <c r="D72" s="490">
        <f>'[59]Sch C'!F65</f>
        <v>0</v>
      </c>
      <c r="E72" s="171">
        <f t="shared" si="9"/>
        <v>6315</v>
      </c>
      <c r="F72" s="171"/>
      <c r="G72" s="171">
        <f t="shared" si="10"/>
        <v>6315</v>
      </c>
      <c r="H72" s="172">
        <f t="shared" si="11"/>
        <v>6.3475174543182577E-4</v>
      </c>
      <c r="I72" s="337"/>
      <c r="J72" s="195"/>
      <c r="K72" s="168"/>
      <c r="M72" s="359">
        <f t="shared" si="12"/>
        <v>0.17319401020240249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490">
        <f>'[59]Sch C'!D66</f>
        <v>7024</v>
      </c>
      <c r="D73" s="490">
        <f>'[59]Sch C'!F66</f>
        <v>0</v>
      </c>
      <c r="E73" s="171">
        <f t="shared" si="9"/>
        <v>7024</v>
      </c>
      <c r="F73" s="171"/>
      <c r="G73" s="171">
        <f t="shared" si="10"/>
        <v>7024</v>
      </c>
      <c r="H73" s="172">
        <f t="shared" si="11"/>
        <v>7.0601682658957159E-4</v>
      </c>
      <c r="I73" s="337"/>
      <c r="J73" s="195"/>
      <c r="K73" s="168"/>
      <c r="M73" s="359">
        <f t="shared" si="12"/>
        <v>0.19263891174373321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490">
        <f>'[59]Sch C'!D67</f>
        <v>136721</v>
      </c>
      <c r="D74" s="490">
        <f>'[59]Sch C'!F67</f>
        <v>0</v>
      </c>
      <c r="E74" s="171">
        <f t="shared" si="9"/>
        <v>136721</v>
      </c>
      <c r="F74" s="171"/>
      <c r="G74" s="171">
        <f t="shared" si="10"/>
        <v>136721</v>
      </c>
      <c r="H74" s="172">
        <f t="shared" si="11"/>
        <v>1.3742500932254103E-2</v>
      </c>
      <c r="I74" s="337"/>
      <c r="J74" s="195"/>
      <c r="K74" s="168"/>
      <c r="M74" s="359">
        <f t="shared" si="12"/>
        <v>3.7496846031484834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490">
        <f>'[59]Sch C'!D68</f>
        <v>0</v>
      </c>
      <c r="D75" s="490">
        <f>'[59]Sch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490">
        <f>'[59]Sch C'!D69</f>
        <v>10750</v>
      </c>
      <c r="D76" s="490">
        <f>'[59]Sch C'!F69</f>
        <v>0</v>
      </c>
      <c r="E76" s="171">
        <f t="shared" si="9"/>
        <v>10750</v>
      </c>
      <c r="F76" s="171"/>
      <c r="G76" s="171">
        <f t="shared" si="10"/>
        <v>10750</v>
      </c>
      <c r="H76" s="172">
        <f t="shared" si="11"/>
        <v>1.0805354336329578E-3</v>
      </c>
      <c r="I76" s="337"/>
      <c r="J76" s="195"/>
      <c r="K76" s="168"/>
      <c r="M76" s="359">
        <f t="shared" si="12"/>
        <v>0.294827491635127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490">
        <f>'[59]Sch C'!D70</f>
        <v>0</v>
      </c>
      <c r="D77" s="490">
        <f>'[59]Sch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7"/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490">
        <f>'[59]Sch C'!D71</f>
        <v>0</v>
      </c>
      <c r="D78" s="490">
        <f>'[59]Sch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7"/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490">
        <f>SUM(C64:C78)</f>
        <v>1136378</v>
      </c>
      <c r="D79" s="490">
        <f>SUM(D64:D78)</f>
        <v>0</v>
      </c>
      <c r="E79" s="171">
        <f t="shared" ref="E79:F79" si="13">SUM(E64:E78)</f>
        <v>1136378</v>
      </c>
      <c r="F79" s="171">
        <f t="shared" si="13"/>
        <v>0</v>
      </c>
      <c r="G79" s="171">
        <f>SUM(G64:G78)</f>
        <v>1136378</v>
      </c>
      <c r="H79" s="172">
        <f t="shared" si="11"/>
        <v>0.11422294837218169</v>
      </c>
      <c r="I79" s="337"/>
      <c r="J79" s="195"/>
      <c r="K79" s="168"/>
      <c r="M79" s="359">
        <f t="shared" si="12"/>
        <v>31.166090724589985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490">
        <f>'[59]Sch C'!D75</f>
        <v>69187</v>
      </c>
      <c r="D82" s="490">
        <f>'[59]Sch C'!F75</f>
        <v>3767</v>
      </c>
      <c r="E82" s="171">
        <f t="shared" ref="E82:E92" si="14">C82+D82</f>
        <v>72954</v>
      </c>
      <c r="F82" s="171"/>
      <c r="G82" s="171">
        <f t="shared" ref="G82:G92" si="15">E82+F82</f>
        <v>72954</v>
      </c>
      <c r="H82" s="172">
        <f t="shared" ref="H82:H93" si="16">IF($G$208=0,0,G82/$G$208)</f>
        <v>7.3329657697915156E-3</v>
      </c>
      <c r="I82" s="337"/>
      <c r="J82" s="183">
        <v>3556</v>
      </c>
      <c r="K82" s="183">
        <v>3750</v>
      </c>
      <c r="M82" s="359">
        <f t="shared" ref="M82:M92" si="17">G82/G$228</f>
        <v>2.0008227743952607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490">
        <f>'[59]Sch C'!D76</f>
        <v>0</v>
      </c>
      <c r="D83" s="490">
        <f>'[59]Sch C'!F76</f>
        <v>9497</v>
      </c>
      <c r="E83" s="171">
        <f t="shared" si="14"/>
        <v>9497</v>
      </c>
      <c r="F83" s="171"/>
      <c r="G83" s="171">
        <f t="shared" si="15"/>
        <v>9497</v>
      </c>
      <c r="H83" s="172">
        <f t="shared" si="16"/>
        <v>9.545902337871813E-4</v>
      </c>
      <c r="I83" s="337"/>
      <c r="J83" s="168"/>
      <c r="K83" s="168"/>
      <c r="M83" s="359">
        <f t="shared" si="17"/>
        <v>0.26046294772640011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490">
        <f>'[59]Sch C'!D77</f>
        <v>9948</v>
      </c>
      <c r="D84" s="490">
        <f>'[59]Sch C'!F77</f>
        <v>0</v>
      </c>
      <c r="E84" s="171">
        <f t="shared" si="14"/>
        <v>9948</v>
      </c>
      <c r="F84" s="171"/>
      <c r="G84" s="171">
        <f t="shared" si="15"/>
        <v>9948</v>
      </c>
      <c r="H84" s="172">
        <f t="shared" si="16"/>
        <v>9.9992246453773606E-4</v>
      </c>
      <c r="I84" s="337"/>
      <c r="J84" s="168"/>
      <c r="K84" s="168"/>
      <c r="M84" s="359">
        <f t="shared" si="17"/>
        <v>0.27283198946848775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490">
        <f>'[59]Sch C'!D78</f>
        <v>0</v>
      </c>
      <c r="D85" s="490">
        <f>'[59]Sch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I85" s="337"/>
      <c r="J85" s="168"/>
      <c r="K85" s="168"/>
      <c r="M85" s="359">
        <f t="shared" si="17"/>
        <v>0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490">
        <f>'[59]Sch C'!D79</f>
        <v>14427</v>
      </c>
      <c r="D86" s="490">
        <f>'[59]Sch C'!F79</f>
        <v>0</v>
      </c>
      <c r="E86" s="171">
        <f t="shared" si="14"/>
        <v>14427</v>
      </c>
      <c r="F86" s="171"/>
      <c r="G86" s="171">
        <f>E86+F86</f>
        <v>14427</v>
      </c>
      <c r="H86" s="172">
        <f t="shared" si="16"/>
        <v>1.4501288093974585E-3</v>
      </c>
      <c r="I86" s="337"/>
      <c r="J86" s="168"/>
      <c r="K86" s="168"/>
      <c r="M86" s="359">
        <f t="shared" si="17"/>
        <v>0.39567220668092806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490">
        <f>'[59]Sch C'!D80</f>
        <v>38982</v>
      </c>
      <c r="D87" s="490">
        <f>'[59]Sch C'!F80</f>
        <v>0</v>
      </c>
      <c r="E87" s="171">
        <f t="shared" si="14"/>
        <v>38982</v>
      </c>
      <c r="F87" s="171"/>
      <c r="G87" s="171">
        <f t="shared" si="15"/>
        <v>38982</v>
      </c>
      <c r="H87" s="172">
        <f t="shared" si="16"/>
        <v>3.918272769663252E-3</v>
      </c>
      <c r="I87" s="337"/>
      <c r="J87" s="168"/>
      <c r="K87" s="168"/>
      <c r="M87" s="359">
        <f t="shared" si="17"/>
        <v>1.0691130492019087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490">
        <f>'[59]Sch C'!D81</f>
        <v>15382</v>
      </c>
      <c r="D88" s="490">
        <f>'[59]Sch C'!F81</f>
        <v>0</v>
      </c>
      <c r="E88" s="171">
        <f t="shared" si="14"/>
        <v>15382</v>
      </c>
      <c r="F88" s="171"/>
      <c r="G88" s="171">
        <f t="shared" si="15"/>
        <v>15382</v>
      </c>
      <c r="H88" s="172">
        <f t="shared" si="16"/>
        <v>1.5461205618736889E-3</v>
      </c>
      <c r="I88" s="337"/>
      <c r="J88" s="168"/>
      <c r="K88" s="168"/>
      <c r="M88" s="359">
        <f t="shared" si="17"/>
        <v>0.42186385826339751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490">
        <f>'[59]Sch C'!D82</f>
        <v>13111</v>
      </c>
      <c r="D89" s="490">
        <f>'[59]Sch C'!F82</f>
        <v>0</v>
      </c>
      <c r="E89" s="171">
        <f t="shared" si="14"/>
        <v>13111</v>
      </c>
      <c r="F89" s="171"/>
      <c r="G89" s="171">
        <f t="shared" si="15"/>
        <v>13111</v>
      </c>
      <c r="H89" s="172">
        <f t="shared" si="16"/>
        <v>1.3178511693359729E-3</v>
      </c>
      <c r="I89" s="337"/>
      <c r="J89" s="168"/>
      <c r="K89" s="168"/>
      <c r="M89" s="359">
        <f t="shared" si="17"/>
        <v>0.35957983654215347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490">
        <f>'[59]Sch C'!D83</f>
        <v>0</v>
      </c>
      <c r="D90" s="490">
        <f>'[59]Sch C'!F83</f>
        <v>0</v>
      </c>
      <c r="E90" s="171">
        <f t="shared" si="14"/>
        <v>0</v>
      </c>
      <c r="F90" s="171"/>
      <c r="G90" s="171">
        <f t="shared" si="15"/>
        <v>0</v>
      </c>
      <c r="H90" s="172">
        <f t="shared" si="16"/>
        <v>0</v>
      </c>
      <c r="I90" s="337"/>
      <c r="J90" s="168"/>
      <c r="K90" s="168"/>
      <c r="M90" s="359">
        <f t="shared" si="17"/>
        <v>0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490">
        <f>'[59]Sch C'!D84</f>
        <v>149488</v>
      </c>
      <c r="D91" s="490">
        <f>'[59]Sch C'!F84</f>
        <v>0</v>
      </c>
      <c r="E91" s="171">
        <f t="shared" si="14"/>
        <v>149488</v>
      </c>
      <c r="F91" s="171"/>
      <c r="G91" s="171">
        <f t="shared" si="15"/>
        <v>149488</v>
      </c>
      <c r="H91" s="172">
        <f t="shared" si="16"/>
        <v>1.5025774967713821E-2</v>
      </c>
      <c r="I91" s="337"/>
      <c r="J91" s="168"/>
      <c r="K91" s="168"/>
      <c r="M91" s="359">
        <f t="shared" si="17"/>
        <v>4.0998299599583126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490">
        <f>'[59]Sch C'!D85</f>
        <v>0</v>
      </c>
      <c r="D92" s="490">
        <f>'[59]Sch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7"/>
      <c r="J92" s="168"/>
      <c r="K92" s="168"/>
      <c r="M92" s="359">
        <f t="shared" si="17"/>
        <v>0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490">
        <f>SUM(C82:C92)</f>
        <v>310525</v>
      </c>
      <c r="D93" s="490">
        <f>SUM(D82:D92)</f>
        <v>13264</v>
      </c>
      <c r="E93" s="171">
        <f t="shared" ref="E93:F93" si="18">SUM(E82:E92)</f>
        <v>323789</v>
      </c>
      <c r="F93" s="171">
        <f t="shared" si="18"/>
        <v>0</v>
      </c>
      <c r="G93" s="171">
        <f>SUM(G82:G92)</f>
        <v>323789</v>
      </c>
      <c r="H93" s="172">
        <f t="shared" si="16"/>
        <v>3.2545626746100627E-2</v>
      </c>
      <c r="I93" s="337"/>
      <c r="J93" s="168"/>
      <c r="K93" s="168"/>
      <c r="M93" s="364">
        <f>G93/G$228</f>
        <v>8.8801766222368492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490">
        <f>'[59]Sch C'!D89</f>
        <v>278737</v>
      </c>
      <c r="D96" s="490">
        <f>'[59]Sch C'!F89</f>
        <v>15174</v>
      </c>
      <c r="E96" s="171">
        <f t="shared" ref="E96:E101" si="19">C96+D96</f>
        <v>293911</v>
      </c>
      <c r="F96" s="171"/>
      <c r="G96" s="171">
        <f t="shared" ref="G96:G101" si="20">E96+F96</f>
        <v>293911</v>
      </c>
      <c r="H96" s="172">
        <f t="shared" ref="H96:H102" si="21">IF($G$208=0,0,G96/$G$208)</f>
        <v>2.9542441845069416E-2</v>
      </c>
      <c r="I96" s="337"/>
      <c r="J96" s="183">
        <v>20686</v>
      </c>
      <c r="K96" s="183">
        <v>21812</v>
      </c>
      <c r="M96" s="364">
        <f t="shared" ref="M96:M101" si="22">G96/G$228</f>
        <v>8.0607481761834237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490">
        <f>'[59]Sch C'!D90</f>
        <v>0</v>
      </c>
      <c r="D97" s="490">
        <f>'[59]Sch C'!F90</f>
        <v>38258</v>
      </c>
      <c r="E97" s="171">
        <f t="shared" si="19"/>
        <v>38258</v>
      </c>
      <c r="F97" s="171"/>
      <c r="G97" s="171">
        <f t="shared" si="20"/>
        <v>38258</v>
      </c>
      <c r="H97" s="172">
        <f t="shared" si="21"/>
        <v>3.8454999646446225E-3</v>
      </c>
      <c r="I97" s="337"/>
      <c r="J97" s="168"/>
      <c r="K97" s="168"/>
      <c r="M97" s="364">
        <f t="shared" si="22"/>
        <v>1.0492567604629477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490">
        <f>'[59]Sch C'!D91</f>
        <v>19142</v>
      </c>
      <c r="D98" s="490">
        <f>'[59]Sch C'!F91</f>
        <v>0</v>
      </c>
      <c r="E98" s="171">
        <f t="shared" si="19"/>
        <v>19142</v>
      </c>
      <c r="F98" s="171"/>
      <c r="G98" s="171">
        <f t="shared" si="20"/>
        <v>19142</v>
      </c>
      <c r="H98" s="172">
        <f t="shared" si="21"/>
        <v>1.9240566763350769E-3</v>
      </c>
      <c r="I98" s="337"/>
      <c r="J98" s="168"/>
      <c r="K98" s="168"/>
      <c r="M98" s="364">
        <f t="shared" si="22"/>
        <v>0.52498491580275353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490">
        <f>'[59]Sch C'!D92</f>
        <v>197607</v>
      </c>
      <c r="D99" s="490">
        <f>'[59]Sch C'!F92</f>
        <v>0</v>
      </c>
      <c r="E99" s="171">
        <f t="shared" si="19"/>
        <v>197607</v>
      </c>
      <c r="F99" s="171"/>
      <c r="G99" s="171">
        <f t="shared" si="20"/>
        <v>197607</v>
      </c>
      <c r="H99" s="172">
        <f t="shared" si="21"/>
        <v>1.9862452598503055E-2</v>
      </c>
      <c r="I99" s="337"/>
      <c r="J99" s="168"/>
      <c r="K99" s="168"/>
      <c r="M99" s="364">
        <f t="shared" si="22"/>
        <v>5.4195326641434916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490">
        <f>'[59]Sch C'!D93</f>
        <v>25815</v>
      </c>
      <c r="D100" s="490">
        <f>'[59]Sch C'!F93</f>
        <v>0</v>
      </c>
      <c r="E100" s="171">
        <f t="shared" si="19"/>
        <v>25815</v>
      </c>
      <c r="F100" s="171"/>
      <c r="G100" s="171">
        <f t="shared" si="20"/>
        <v>25815</v>
      </c>
      <c r="H100" s="172">
        <f t="shared" si="21"/>
        <v>2.5947927645799816E-3</v>
      </c>
      <c r="I100" s="337"/>
      <c r="J100" s="168"/>
      <c r="K100" s="168"/>
      <c r="M100" s="364">
        <f t="shared" si="22"/>
        <v>0.70799736712193517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490">
        <f>'[59]Sch C'!D94</f>
        <v>0</v>
      </c>
      <c r="D101" s="490">
        <f>'[59]Sch C'!F94</f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I101" s="337"/>
      <c r="J101" s="168"/>
      <c r="K101" s="168"/>
      <c r="M101" s="364">
        <f t="shared" si="22"/>
        <v>0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490">
        <f>SUM(C96:C101)</f>
        <v>521301</v>
      </c>
      <c r="D102" s="490">
        <f>SUM(D96:D101)</f>
        <v>53432</v>
      </c>
      <c r="E102" s="171">
        <f t="shared" ref="E102:F102" si="23">SUM(E96:E101)</f>
        <v>574733</v>
      </c>
      <c r="F102" s="171">
        <f t="shared" si="23"/>
        <v>0</v>
      </c>
      <c r="G102" s="171">
        <f>SUM(G96:G101)</f>
        <v>574733</v>
      </c>
      <c r="H102" s="172">
        <f t="shared" si="21"/>
        <v>5.7769243849132151E-2</v>
      </c>
      <c r="I102" s="337"/>
      <c r="J102" s="168"/>
      <c r="K102" s="168"/>
      <c r="M102" s="364">
        <f>G102/G$228</f>
        <v>15.762519883714551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490">
        <f>'[59]Sch C'!D98</f>
        <v>3343</v>
      </c>
      <c r="D105" s="490">
        <f>'[59]Sch C'!F98</f>
        <v>182</v>
      </c>
      <c r="E105" s="171">
        <f t="shared" ref="E105:E110" si="24">C105+D105</f>
        <v>3525</v>
      </c>
      <c r="F105" s="171"/>
      <c r="G105" s="171">
        <f t="shared" ref="G105:G110" si="25">E105+F105</f>
        <v>3525</v>
      </c>
      <c r="H105" s="172">
        <f t="shared" ref="H105:H111" si="26">IF($G$208=0,0,G105/$G$208)</f>
        <v>3.5431510730755126E-4</v>
      </c>
      <c r="I105" s="337"/>
      <c r="J105" s="183">
        <v>253</v>
      </c>
      <c r="K105" s="183">
        <v>267</v>
      </c>
      <c r="M105" s="364">
        <f t="shared" ref="M105:M110" si="27">G105/G$228</f>
        <v>9.6675991443146286E-2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490">
        <f>'[59]Sch C'!D99</f>
        <v>0</v>
      </c>
      <c r="D106" s="490">
        <f>'[59]Sch C'!F99</f>
        <v>459</v>
      </c>
      <c r="E106" s="171">
        <f t="shared" si="24"/>
        <v>459</v>
      </c>
      <c r="F106" s="171"/>
      <c r="G106" s="171">
        <f t="shared" si="25"/>
        <v>459</v>
      </c>
      <c r="H106" s="172">
        <f t="shared" si="26"/>
        <v>4.613635014302582E-5</v>
      </c>
      <c r="I106" s="337"/>
      <c r="J106" s="168"/>
      <c r="K106" s="168"/>
      <c r="M106" s="364">
        <f t="shared" si="27"/>
        <v>1.2588448247490539E-2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490">
        <f>'[59]Sch C'!D100</f>
        <v>4980</v>
      </c>
      <c r="D107" s="490">
        <f>'[59]Sch C'!F100</f>
        <v>0</v>
      </c>
      <c r="E107" s="171">
        <f t="shared" si="24"/>
        <v>4980</v>
      </c>
      <c r="F107" s="171"/>
      <c r="G107" s="171">
        <f t="shared" si="25"/>
        <v>4980</v>
      </c>
      <c r="H107" s="172">
        <f t="shared" si="26"/>
        <v>5.0056432181322136E-4</v>
      </c>
      <c r="I107" s="337"/>
      <c r="J107" s="168"/>
      <c r="K107" s="168"/>
      <c r="M107" s="364">
        <f t="shared" si="27"/>
        <v>0.13658054961329602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490">
        <f>'[59]Sch C'!D101</f>
        <v>0</v>
      </c>
      <c r="D108" s="490">
        <f>'[59]Sch C'!F101</f>
        <v>0</v>
      </c>
      <c r="E108" s="171">
        <f t="shared" si="24"/>
        <v>0</v>
      </c>
      <c r="F108" s="171"/>
      <c r="G108" s="171">
        <f t="shared" si="25"/>
        <v>0</v>
      </c>
      <c r="H108" s="172">
        <f t="shared" si="26"/>
        <v>0</v>
      </c>
      <c r="I108" s="337"/>
      <c r="J108" s="168"/>
      <c r="K108" s="168"/>
      <c r="M108" s="364">
        <f t="shared" si="27"/>
        <v>0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490">
        <f>'[59]Sch C'!D102</f>
        <v>8001</v>
      </c>
      <c r="D109" s="490">
        <f>'[59]Sch C'!F102</f>
        <v>0</v>
      </c>
      <c r="E109" s="171">
        <f t="shared" si="24"/>
        <v>8001</v>
      </c>
      <c r="F109" s="171"/>
      <c r="G109" s="171">
        <f t="shared" si="25"/>
        <v>8001</v>
      </c>
      <c r="H109" s="172">
        <f t="shared" si="26"/>
        <v>8.0421990739509711E-4</v>
      </c>
      <c r="I109" s="337"/>
      <c r="J109" s="168"/>
      <c r="K109" s="168"/>
      <c r="M109" s="364">
        <f t="shared" si="27"/>
        <v>0.21943393121606056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490">
        <f>'[59]Sch C'!D103</f>
        <v>0</v>
      </c>
      <c r="D110" s="490">
        <f>'[59]Sch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7"/>
      <c r="J110" s="168"/>
      <c r="K110" s="168"/>
      <c r="M110" s="364">
        <f t="shared" si="27"/>
        <v>0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490">
        <f>SUM(C105:C110)</f>
        <v>16324</v>
      </c>
      <c r="D111" s="490">
        <f>SUM(D105:D110)</f>
        <v>641</v>
      </c>
      <c r="E111" s="171">
        <f t="shared" ref="E111:F111" si="28">SUM(E105:E110)</f>
        <v>16965</v>
      </c>
      <c r="F111" s="171">
        <f t="shared" si="28"/>
        <v>0</v>
      </c>
      <c r="G111" s="171">
        <f>SUM(G105:G110)</f>
        <v>16965</v>
      </c>
      <c r="H111" s="172">
        <f t="shared" si="26"/>
        <v>1.7052356866588956E-3</v>
      </c>
      <c r="I111" s="337"/>
      <c r="J111" s="168"/>
      <c r="K111" s="168"/>
      <c r="M111" s="364">
        <f>G111/G$228</f>
        <v>0.46527892051999342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490">
        <f>'[59]Sch C'!D115</f>
        <v>132022</v>
      </c>
      <c r="D114" s="490">
        <f>'[59]Sch C'!F115</f>
        <v>7187</v>
      </c>
      <c r="E114" s="171">
        <f t="shared" ref="E114:E118" si="29">C114+D114</f>
        <v>139209</v>
      </c>
      <c r="F114" s="171"/>
      <c r="G114" s="171">
        <f>E114+F114</f>
        <v>139209</v>
      </c>
      <c r="H114" s="172">
        <f t="shared" ref="H114:H119" si="30">IF($G$208=0,0,G114/$G$208)</f>
        <v>1.3992582063312595E-2</v>
      </c>
      <c r="I114" s="337"/>
      <c r="J114" s="183">
        <v>12209</v>
      </c>
      <c r="K114" s="183">
        <v>12874</v>
      </c>
      <c r="M114" s="364">
        <f t="shared" ref="M114:M119" si="31">G114/G$228</f>
        <v>3.8179200263287805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490">
        <f>'[59]Sch C'!D116</f>
        <v>0</v>
      </c>
      <c r="D115" s="490">
        <f>'[59]Sch C'!F116</f>
        <v>18121</v>
      </c>
      <c r="E115" s="171">
        <f t="shared" si="29"/>
        <v>18121</v>
      </c>
      <c r="F115" s="171"/>
      <c r="G115" s="171">
        <f>E115+F115</f>
        <v>18121</v>
      </c>
      <c r="H115" s="172">
        <f t="shared" si="30"/>
        <v>1.8214309388709605E-3</v>
      </c>
      <c r="I115" s="337"/>
      <c r="J115" s="168"/>
      <c r="K115" s="168"/>
      <c r="M115" s="364">
        <f t="shared" si="31"/>
        <v>0.49698316055071035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490">
        <f>'[59]Sch C'!D117</f>
        <v>26704</v>
      </c>
      <c r="D116" s="490">
        <f>'[59]Sch C'!F117</f>
        <v>0</v>
      </c>
      <c r="E116" s="171">
        <f t="shared" si="29"/>
        <v>26704</v>
      </c>
      <c r="F116" s="171"/>
      <c r="G116" s="171">
        <f>E116+F116</f>
        <v>26704</v>
      </c>
      <c r="H116" s="172">
        <f t="shared" si="30"/>
        <v>2.6841505320683258E-3</v>
      </c>
      <c r="I116" s="337"/>
      <c r="J116" s="168"/>
      <c r="K116" s="168"/>
      <c r="M116" s="364">
        <f t="shared" si="31"/>
        <v>0.73237891503483077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490">
        <f>'[59]Sch C'!D118</f>
        <v>7718</v>
      </c>
      <c r="D117" s="490">
        <f>'[59]Sch C'!F118</f>
        <v>0</v>
      </c>
      <c r="E117" s="171">
        <f t="shared" si="29"/>
        <v>7718</v>
      </c>
      <c r="F117" s="171"/>
      <c r="G117" s="171">
        <f>E117+F117</f>
        <v>7718</v>
      </c>
      <c r="H117" s="172">
        <f t="shared" si="30"/>
        <v>7.757741838864342E-4</v>
      </c>
      <c r="I117" s="337"/>
      <c r="J117" s="168"/>
      <c r="K117" s="168"/>
      <c r="M117" s="364">
        <f t="shared" si="31"/>
        <v>0.2116724260874335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490">
        <f>'[59]Sch C'!D119</f>
        <v>0</v>
      </c>
      <c r="D118" s="490">
        <f>'[59]Sch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337"/>
      <c r="J118" s="168"/>
      <c r="K118" s="168"/>
      <c r="M118" s="364">
        <f t="shared" si="31"/>
        <v>0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490">
        <f>SUM(C114:C118)</f>
        <v>166444</v>
      </c>
      <c r="D119" s="490">
        <f>SUM(D114:D118)</f>
        <v>25308</v>
      </c>
      <c r="E119" s="171">
        <f t="shared" ref="E119:F119" si="32">SUM(E114:E118)</f>
        <v>191752</v>
      </c>
      <c r="F119" s="171">
        <f t="shared" si="32"/>
        <v>0</v>
      </c>
      <c r="G119" s="171">
        <f>SUM(G114:G118)</f>
        <v>191752</v>
      </c>
      <c r="H119" s="172">
        <f t="shared" si="30"/>
        <v>1.9273937718138318E-2</v>
      </c>
      <c r="I119" s="337"/>
      <c r="J119" s="168"/>
      <c r="K119" s="168"/>
      <c r="M119" s="364">
        <f t="shared" si="31"/>
        <v>5.2589545280017553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1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490">
        <f>'[59]Sch C'!D124</f>
        <v>0</v>
      </c>
      <c r="D123" s="490">
        <f>'[59]Sch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7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0.77002560279620991</v>
      </c>
    </row>
    <row r="124" spans="1:14" s="167" customFormat="1">
      <c r="B124" s="163" t="s">
        <v>194</v>
      </c>
      <c r="C124" s="490">
        <f>'[59]Sch C'!D125</f>
        <v>194934</v>
      </c>
      <c r="D124" s="490">
        <f>'[59]Sch C'!F125</f>
        <v>10612</v>
      </c>
      <c r="E124" s="171">
        <f t="shared" si="33"/>
        <v>205546</v>
      </c>
      <c r="F124" s="171"/>
      <c r="G124" s="171">
        <f>E124+F124</f>
        <v>205546</v>
      </c>
      <c r="H124" s="172">
        <f>IF($G$208=0,0,G124/$G$208)</f>
        <v>2.0660440580606503E-2</v>
      </c>
      <c r="I124" s="337"/>
      <c r="J124" s="183">
        <v>4056</v>
      </c>
      <c r="K124" s="183">
        <v>4277</v>
      </c>
      <c r="M124" s="364">
        <f t="shared" si="34"/>
        <v>5.6372661949426801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490">
        <f>'[59]Sch C'!D126</f>
        <v>125021</v>
      </c>
      <c r="D125" s="490">
        <f>'[59]Sch C'!F126</f>
        <v>6806</v>
      </c>
      <c r="E125" s="171">
        <f t="shared" si="33"/>
        <v>131827</v>
      </c>
      <c r="F125" s="171"/>
      <c r="G125" s="171">
        <f>E125+F125</f>
        <v>131827</v>
      </c>
      <c r="H125" s="172">
        <f>IF($G$208=0,0,G125/$G$208)</f>
        <v>1.3250580893909946E-2</v>
      </c>
      <c r="I125" s="337"/>
      <c r="J125" s="183">
        <v>3537</v>
      </c>
      <c r="K125" s="183">
        <v>3730</v>
      </c>
      <c r="M125" s="364">
        <f t="shared" si="34"/>
        <v>3.6154626734682682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490">
        <f>'[59]Sch C'!D127</f>
        <v>0</v>
      </c>
      <c r="D126" s="490">
        <f>'[59]Sch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7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490">
        <f>'[59]Sch C'!D128</f>
        <v>39235</v>
      </c>
      <c r="D127" s="490">
        <f>'[59]Sch C'!F128</f>
        <v>2136</v>
      </c>
      <c r="E127" s="171">
        <f t="shared" si="33"/>
        <v>41371</v>
      </c>
      <c r="F127" s="171"/>
      <c r="G127" s="171">
        <f>E127+F127</f>
        <v>41371</v>
      </c>
      <c r="H127" s="172">
        <f>IF($G$208=0,0,G127/$G$208)</f>
        <v>4.1584029232399154E-3</v>
      </c>
      <c r="I127" s="337"/>
      <c r="J127" s="183">
        <v>2636</v>
      </c>
      <c r="K127" s="183">
        <v>2780</v>
      </c>
      <c r="M127" s="364">
        <f t="shared" si="34"/>
        <v>1.1346333168778455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205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490">
        <f>'[59]Sch C'!D130</f>
        <v>0</v>
      </c>
      <c r="D129" s="490">
        <f>'[59]Sch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7"/>
      <c r="J129" s="204"/>
      <c r="K129" s="204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490">
        <f>'[59]Sch C'!D131</f>
        <v>0</v>
      </c>
      <c r="D130" s="490">
        <f>'[59]Sch C'!F131</f>
        <v>26756</v>
      </c>
      <c r="E130" s="171">
        <f t="shared" si="35"/>
        <v>26756</v>
      </c>
      <c r="F130" s="171"/>
      <c r="G130" s="171">
        <f>E130+F130</f>
        <v>26756</v>
      </c>
      <c r="H130" s="172">
        <f>IF($G$208=0,0,G130/$G$208)</f>
        <v>2.6893773081193874E-3</v>
      </c>
      <c r="I130" s="337"/>
      <c r="J130" s="204"/>
      <c r="K130" s="204"/>
      <c r="M130" s="364">
        <f t="shared" si="34"/>
        <v>0.73380505731994949</v>
      </c>
      <c r="N130" s="359">
        <f>SUMMARY!J133</f>
        <v>1.0792348507966931</v>
      </c>
    </row>
    <row r="131" spans="1:14" s="167" customFormat="1">
      <c r="B131" s="163" t="s">
        <v>195</v>
      </c>
      <c r="C131" s="490">
        <f>'[59]Sch C'!D132</f>
        <v>0</v>
      </c>
      <c r="D131" s="490">
        <f>'[59]Sch C'!F132</f>
        <v>17160</v>
      </c>
      <c r="E131" s="171">
        <f t="shared" si="35"/>
        <v>17160</v>
      </c>
      <c r="F131" s="171"/>
      <c r="G131" s="171">
        <f>E131+F131</f>
        <v>17160</v>
      </c>
      <c r="H131" s="172">
        <f>IF($G$208=0,0,G131/$G$208)</f>
        <v>1.7248360968503771E-3</v>
      </c>
      <c r="I131" s="337"/>
      <c r="J131" s="168"/>
      <c r="K131" s="168"/>
      <c r="M131" s="364">
        <f t="shared" si="34"/>
        <v>0.47062695408918875</v>
      </c>
      <c r="N131" s="359">
        <f>SUMMARY!J134</f>
        <v>8.2765628075518377E-2</v>
      </c>
    </row>
    <row r="132" spans="1:14" s="167" customFormat="1">
      <c r="B132" s="163" t="s">
        <v>196</v>
      </c>
      <c r="C132" s="490">
        <f>'[59]Sch C'!D133</f>
        <v>0</v>
      </c>
      <c r="D132" s="490">
        <f>'[59]Sch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490">
        <f>'[59]Sch C'!D134</f>
        <v>0</v>
      </c>
      <c r="D133" s="490">
        <f>'[59]Sch C'!F134</f>
        <v>5385</v>
      </c>
      <c r="E133" s="171">
        <f t="shared" si="35"/>
        <v>5385</v>
      </c>
      <c r="F133" s="171"/>
      <c r="G133" s="171">
        <f>E133+F133</f>
        <v>5385</v>
      </c>
      <c r="H133" s="172">
        <f>IF($G$208=0,0,G133/$G$208)</f>
        <v>5.4127286605706762E-4</v>
      </c>
      <c r="I133" s="337"/>
      <c r="J133" s="168"/>
      <c r="K133" s="168"/>
      <c r="M133" s="364">
        <f t="shared" si="34"/>
        <v>0.14768800394931711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490">
        <f>'[59]Sch C'!D136</f>
        <v>774776</v>
      </c>
      <c r="D135" s="490">
        <f>'[59]Sch C'!F136</f>
        <v>42178</v>
      </c>
      <c r="E135" s="171">
        <f t="shared" ref="E135:E138" si="36">C135+D135</f>
        <v>816954</v>
      </c>
      <c r="F135" s="171"/>
      <c r="G135" s="171">
        <f>E135+F135</f>
        <v>816954</v>
      </c>
      <c r="H135" s="172">
        <f>IF($G$208=0,0,G135/$G$208)</f>
        <v>8.211606926959808E-2</v>
      </c>
      <c r="I135" s="337"/>
      <c r="J135" s="183">
        <v>27457</v>
      </c>
      <c r="K135" s="183">
        <v>28952</v>
      </c>
      <c r="M135" s="364">
        <f t="shared" si="34"/>
        <v>22.405627776863582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490">
        <f>'[59]Sch C'!D137</f>
        <v>360542</v>
      </c>
      <c r="D136" s="490">
        <f>'[59]Sch C'!F137</f>
        <v>19628</v>
      </c>
      <c r="E136" s="171">
        <f t="shared" si="36"/>
        <v>380170</v>
      </c>
      <c r="F136" s="171"/>
      <c r="G136" s="171">
        <f>E136+F136</f>
        <v>380170</v>
      </c>
      <c r="H136" s="172">
        <f>IF($G$208=0,0,G136/$G$208)</f>
        <v>3.8212758679464325E-2</v>
      </c>
      <c r="I136" s="337"/>
      <c r="J136" s="183">
        <v>13632</v>
      </c>
      <c r="K136" s="183">
        <v>14374</v>
      </c>
      <c r="M136" s="364">
        <f t="shared" si="34"/>
        <v>10.426471394876858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490">
        <f>'[59]Sch C'!D138</f>
        <v>825029</v>
      </c>
      <c r="D137" s="490">
        <f>'[59]Sch C'!F138</f>
        <v>35146</v>
      </c>
      <c r="E137" s="171">
        <f t="shared" si="36"/>
        <v>860175</v>
      </c>
      <c r="F137" s="171"/>
      <c r="G137" s="171">
        <f>E137+F137</f>
        <v>860175</v>
      </c>
      <c r="H137" s="172">
        <f>IF($G$208=0,0,G137/$G$208)</f>
        <v>8.6460424802346919E-2</v>
      </c>
      <c r="I137" s="337"/>
      <c r="J137" s="183">
        <v>67363</v>
      </c>
      <c r="K137" s="183">
        <v>71030</v>
      </c>
      <c r="M137" s="364">
        <f t="shared" si="34"/>
        <v>23.590998848115845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490">
        <f>'[59]Sch C'!D139</f>
        <v>154855</v>
      </c>
      <c r="D138" s="490">
        <f>'[59]Sch C'!F139</f>
        <v>8430</v>
      </c>
      <c r="E138" s="171">
        <f t="shared" si="36"/>
        <v>163285</v>
      </c>
      <c r="F138" s="171"/>
      <c r="G138" s="171">
        <f>E138+F138</f>
        <v>163285</v>
      </c>
      <c r="H138" s="172">
        <f>IF($G$208=0,0,G138/$G$208)</f>
        <v>1.6412579374954186E-2</v>
      </c>
      <c r="I138" s="337"/>
      <c r="J138" s="183">
        <v>12778</v>
      </c>
      <c r="K138" s="183">
        <v>13474</v>
      </c>
      <c r="M138" s="364">
        <f t="shared" si="34"/>
        <v>4.4782239043387637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7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490">
        <f>'[59]Sch C'!D141</f>
        <v>0</v>
      </c>
      <c r="D140" s="490">
        <f>'[59]Sch C'!F141</f>
        <v>106342</v>
      </c>
      <c r="E140" s="171">
        <f t="shared" ref="E140:E143" si="37">C140+D140</f>
        <v>106342</v>
      </c>
      <c r="F140" s="171"/>
      <c r="G140" s="171">
        <f>E140+F140</f>
        <v>106342</v>
      </c>
      <c r="H140" s="172">
        <f>IF($G$208=0,0,G140/$G$208)</f>
        <v>1.0688958054269393E-2</v>
      </c>
      <c r="I140" s="337"/>
      <c r="J140" s="168"/>
      <c r="K140" s="168"/>
      <c r="M140" s="364">
        <f t="shared" si="34"/>
        <v>2.9165158246942022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490">
        <f>'[59]Sch C'!D142</f>
        <v>0</v>
      </c>
      <c r="D141" s="490">
        <f>'[59]Sch C'!F142</f>
        <v>49486</v>
      </c>
      <c r="E141" s="171">
        <f t="shared" si="37"/>
        <v>49486</v>
      </c>
      <c r="F141" s="171"/>
      <c r="G141" s="171">
        <f>E141+F141</f>
        <v>49486</v>
      </c>
      <c r="H141" s="172">
        <f>IF($G$208=0,0,G141/$G$208)</f>
        <v>4.9740815319777249E-3</v>
      </c>
      <c r="I141" s="337"/>
      <c r="J141" s="168"/>
      <c r="K141" s="168"/>
      <c r="M141" s="364">
        <f t="shared" si="34"/>
        <v>1.3571937907958971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490">
        <f>'[59]Sch C'!D143</f>
        <v>0</v>
      </c>
      <c r="D142" s="490">
        <f>'[59]Sch C'!F143</f>
        <v>113143</v>
      </c>
      <c r="E142" s="171">
        <f t="shared" si="37"/>
        <v>113143</v>
      </c>
      <c r="F142" s="171"/>
      <c r="G142" s="171">
        <f>E142+F142</f>
        <v>113143</v>
      </c>
      <c r="H142" s="172">
        <f>IF($G$208=0,0,G142/$G$208)</f>
        <v>1.1372560052793836E-2</v>
      </c>
      <c r="I142" s="337"/>
      <c r="J142" s="168"/>
      <c r="K142" s="168"/>
      <c r="M142" s="364">
        <f t="shared" si="34"/>
        <v>3.1030387800998298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490">
        <f>'[59]Sch C'!D144</f>
        <v>0</v>
      </c>
      <c r="D143" s="490">
        <f>'[59]Sch C'!F144</f>
        <v>21254</v>
      </c>
      <c r="E143" s="171">
        <f t="shared" si="37"/>
        <v>21254</v>
      </c>
      <c r="F143" s="171"/>
      <c r="G143" s="171">
        <f>E143+F143</f>
        <v>21254</v>
      </c>
      <c r="H143" s="172">
        <f>IF($G$208=0,0,G143/$G$208)</f>
        <v>2.1363441959474307E-3</v>
      </c>
      <c r="I143" s="337"/>
      <c r="J143" s="168"/>
      <c r="K143" s="168"/>
      <c r="M143" s="364">
        <f t="shared" si="34"/>
        <v>0.58290823322911522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7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490">
        <f>'[59]Sch C'!D146</f>
        <v>122145</v>
      </c>
      <c r="D145" s="490">
        <f>'[59]Sch C'!F146</f>
        <v>0</v>
      </c>
      <c r="E145" s="171">
        <f t="shared" ref="E145:E153" si="38">C145+D145</f>
        <v>122145</v>
      </c>
      <c r="F145" s="171"/>
      <c r="G145" s="171">
        <f t="shared" ref="G145:G153" si="39">E145+F145</f>
        <v>122145</v>
      </c>
      <c r="H145" s="172">
        <f t="shared" ref="H145:H153" si="40">IF($G$208=0,0,G145/$G$208)</f>
        <v>1.2277395399171871E-2</v>
      </c>
      <c r="I145" s="337"/>
      <c r="J145" s="183">
        <v>0</v>
      </c>
      <c r="K145" s="183">
        <v>0</v>
      </c>
      <c r="M145" s="364">
        <f t="shared" si="34"/>
        <v>3.3499259503044265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490">
        <f>'[59]Sch C'!D147</f>
        <v>0</v>
      </c>
      <c r="D146" s="490">
        <f>'[59]Sch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337"/>
      <c r="J146" s="183">
        <v>0</v>
      </c>
      <c r="K146" s="183">
        <v>0</v>
      </c>
      <c r="M146" s="364">
        <f t="shared" si="34"/>
        <v>0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490">
        <f>'[59]Sch C'!D148</f>
        <v>0</v>
      </c>
      <c r="D147" s="490">
        <f>'[59]Sch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7"/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490">
        <f>'[59]Sch C'!D149</f>
        <v>0</v>
      </c>
      <c r="D148" s="490">
        <f>'[59]Sch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7"/>
      <c r="J148" s="183">
        <v>0</v>
      </c>
      <c r="K148" s="183">
        <v>0</v>
      </c>
      <c r="M148" s="364">
        <f t="shared" si="34"/>
        <v>0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490">
        <f>'[59]Sch C'!D150</f>
        <v>18527</v>
      </c>
      <c r="D149" s="490">
        <f>'[59]Sch C'!F150</f>
        <v>0</v>
      </c>
      <c r="E149" s="171">
        <f t="shared" si="38"/>
        <v>18527</v>
      </c>
      <c r="F149" s="171"/>
      <c r="G149" s="171">
        <f t="shared" si="39"/>
        <v>18527</v>
      </c>
      <c r="H149" s="172">
        <f t="shared" si="40"/>
        <v>1.8622399980388657E-3</v>
      </c>
      <c r="I149" s="337"/>
      <c r="J149" s="183">
        <v>0</v>
      </c>
      <c r="K149" s="183">
        <v>0</v>
      </c>
      <c r="M149" s="364">
        <f t="shared" si="34"/>
        <v>0.50811804069990674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490">
        <f>'[59]Sch C'!D151</f>
        <v>259128</v>
      </c>
      <c r="D150" s="490">
        <f>'[59]Sch C'!F151</f>
        <v>0</v>
      </c>
      <c r="E150" s="171">
        <f t="shared" si="38"/>
        <v>259128</v>
      </c>
      <c r="F150" s="171"/>
      <c r="G150" s="171">
        <f t="shared" si="39"/>
        <v>259128</v>
      </c>
      <c r="H150" s="172">
        <f t="shared" si="40"/>
        <v>2.60462312415294E-2</v>
      </c>
      <c r="I150" s="337"/>
      <c r="J150" s="168"/>
      <c r="K150" s="168"/>
      <c r="M150" s="364">
        <f t="shared" si="34"/>
        <v>7.1067961165048548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490">
        <f>'[59]Sch C'!D152</f>
        <v>456</v>
      </c>
      <c r="D151" s="490">
        <f>'[59]Sch C'!F152</f>
        <v>0</v>
      </c>
      <c r="E151" s="171">
        <f t="shared" si="38"/>
        <v>456</v>
      </c>
      <c r="F151" s="171"/>
      <c r="G151" s="171">
        <f t="shared" si="39"/>
        <v>456</v>
      </c>
      <c r="H151" s="172">
        <f t="shared" si="40"/>
        <v>4.5834805370849182E-5</v>
      </c>
      <c r="I151" s="337"/>
      <c r="J151" s="168"/>
      <c r="K151" s="168"/>
      <c r="M151" s="364">
        <f t="shared" si="34"/>
        <v>1.2506170807964456E-2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490">
        <f>'[59]Sch C'!D153</f>
        <v>-3601</v>
      </c>
      <c r="D152" s="490">
        <f>'[59]Sch C'!F153</f>
        <v>0</v>
      </c>
      <c r="E152" s="171">
        <f t="shared" si="38"/>
        <v>-3601</v>
      </c>
      <c r="F152" s="171"/>
      <c r="G152" s="171">
        <f t="shared" si="39"/>
        <v>-3601</v>
      </c>
      <c r="H152" s="172">
        <f t="shared" si="40"/>
        <v>-3.6195424153602609E-4</v>
      </c>
      <c r="I152" s="337"/>
      <c r="J152" s="168"/>
      <c r="K152" s="168"/>
      <c r="M152" s="364">
        <f t="shared" si="34"/>
        <v>-9.87603532444737E-2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490">
        <f>'[59]Sch C'!D154</f>
        <v>0</v>
      </c>
      <c r="D153" s="490">
        <f>'[59]Sch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210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490">
        <f>'[59]Sch C'!D156</f>
        <v>0</v>
      </c>
      <c r="D155" s="490">
        <f>'[59]Sch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490">
        <f>'[59]Sch C'!D157</f>
        <v>0</v>
      </c>
      <c r="D156" s="490">
        <f>'[59]Sch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490">
        <f>'[59]Sch C'!D158</f>
        <v>0</v>
      </c>
      <c r="D157" s="490">
        <f>'[59]Sch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7"/>
      <c r="J157" s="168"/>
      <c r="K157" s="168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490">
        <f>'[59]Sch C'!D159</f>
        <v>0</v>
      </c>
      <c r="D158" s="490">
        <f>'[59]Sch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490">
        <f>'[59]Sch C'!D160</f>
        <v>0</v>
      </c>
      <c r="D159" s="490">
        <f>'[59]Sch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7"/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490">
        <f>'[59]Sch C'!D161</f>
        <v>4760</v>
      </c>
      <c r="D160" s="490">
        <f>'[59]Sch C'!F161</f>
        <v>0</v>
      </c>
      <c r="E160" s="171">
        <f t="shared" si="41"/>
        <v>4760</v>
      </c>
      <c r="F160" s="171"/>
      <c r="G160" s="171">
        <f t="shared" si="42"/>
        <v>4760</v>
      </c>
      <c r="H160" s="172">
        <f t="shared" si="43"/>
        <v>4.7845103852026778E-4</v>
      </c>
      <c r="I160" s="337"/>
      <c r="J160" s="168"/>
      <c r="K160" s="168"/>
      <c r="M160" s="364">
        <f t="shared" si="34"/>
        <v>0.13054687071471668</v>
      </c>
      <c r="N160" s="359">
        <f>SUMMARY!J163</f>
        <v>0.61572967423063263</v>
      </c>
    </row>
    <row r="161" spans="1:14" s="167" customFormat="1">
      <c r="A161" s="169"/>
      <c r="B161" s="170" t="s">
        <v>233</v>
      </c>
      <c r="C161" s="490">
        <f>SUM(C123:C160)</f>
        <v>2875807</v>
      </c>
      <c r="D161" s="490">
        <f>SUM(D123:D160)</f>
        <v>464462</v>
      </c>
      <c r="E161" s="171">
        <f t="shared" ref="E161:F161" si="44">SUM(E123:E160)</f>
        <v>3340269</v>
      </c>
      <c r="F161" s="171">
        <f t="shared" si="44"/>
        <v>0</v>
      </c>
      <c r="G161" s="171">
        <f>SUM(G123:G160)</f>
        <v>3340269</v>
      </c>
      <c r="H161" s="172">
        <f t="shared" si="43"/>
        <v>0.33574688487123033</v>
      </c>
      <c r="I161" s="337"/>
      <c r="J161" s="168"/>
      <c r="K161" s="168"/>
      <c r="M161" s="364">
        <f>G161/G$228</f>
        <v>91.609593549448746</v>
      </c>
      <c r="N161" s="359">
        <f>SUMMARY!J164</f>
        <v>98.597321527877028</v>
      </c>
    </row>
    <row r="162" spans="1:14" s="167" customFormat="1">
      <c r="A162" s="169"/>
      <c r="B162" s="170"/>
      <c r="C162" s="196"/>
      <c r="D162" s="196"/>
      <c r="E162" s="196"/>
      <c r="F162" s="196"/>
      <c r="G162" s="196"/>
      <c r="H162" s="197"/>
      <c r="I162" s="337"/>
      <c r="J162" s="168"/>
      <c r="K162" s="168"/>
      <c r="M162" s="359"/>
      <c r="N162" s="359"/>
    </row>
    <row r="163" spans="1:14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7"/>
      <c r="J163" s="168"/>
      <c r="K163" s="168"/>
      <c r="M163" s="359"/>
      <c r="N163" s="359"/>
    </row>
    <row r="164" spans="1:14" s="221" customFormat="1">
      <c r="A164" s="215" t="s">
        <v>95</v>
      </c>
      <c r="B164" s="148" t="s">
        <v>102</v>
      </c>
      <c r="C164" s="490">
        <f>'[59]Sch C'!D175</f>
        <v>0</v>
      </c>
      <c r="D164" s="490">
        <f>'[59]Sch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>
        <v>0</v>
      </c>
      <c r="K164" s="217">
        <v>0</v>
      </c>
      <c r="M164" s="364">
        <f>G164/G$228</f>
        <v>0</v>
      </c>
      <c r="N164" s="359">
        <f>SUMMARY!J167</f>
        <v>0</v>
      </c>
    </row>
    <row r="165" spans="1:14" s="221" customFormat="1">
      <c r="A165" s="215" t="s">
        <v>123</v>
      </c>
      <c r="B165" s="148" t="s">
        <v>103</v>
      </c>
      <c r="C165" s="490">
        <f>'[59]Sch C'!D176</f>
        <v>0</v>
      </c>
      <c r="D165" s="490">
        <f>'[59]Sch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4"/>
      <c r="J165" s="222"/>
      <c r="K165" s="222"/>
      <c r="M165" s="364">
        <f t="shared" ref="M165:M196" si="48">G165/G$228</f>
        <v>0</v>
      </c>
      <c r="N165" s="359">
        <f>SUMMARY!J168</f>
        <v>0</v>
      </c>
    </row>
    <row r="166" spans="1:14" s="221" customFormat="1">
      <c r="A166" s="215" t="s">
        <v>124</v>
      </c>
      <c r="B166" s="148" t="s">
        <v>104</v>
      </c>
      <c r="C166" s="490">
        <f>'[59]Sch C'!D177</f>
        <v>438588</v>
      </c>
      <c r="D166" s="490">
        <f>'[59]Sch C'!F177</f>
        <v>23876</v>
      </c>
      <c r="E166" s="171">
        <f t="shared" si="45"/>
        <v>462464</v>
      </c>
      <c r="F166" s="216"/>
      <c r="G166" s="171">
        <f t="shared" si="46"/>
        <v>462464</v>
      </c>
      <c r="H166" s="172">
        <f t="shared" si="47"/>
        <v>4.6484533839965779E-2</v>
      </c>
      <c r="I166" s="343"/>
      <c r="J166" s="217">
        <v>11779</v>
      </c>
      <c r="K166" s="217">
        <v>12420</v>
      </c>
      <c r="M166" s="364">
        <f t="shared" si="48"/>
        <v>12.683451264329987</v>
      </c>
      <c r="N166" s="359">
        <f>SUMMARY!J169</f>
        <v>4.5899160973212085</v>
      </c>
    </row>
    <row r="167" spans="1:14" s="221" customFormat="1">
      <c r="A167" s="215" t="s">
        <v>157</v>
      </c>
      <c r="B167" s="148" t="s">
        <v>105</v>
      </c>
      <c r="C167" s="490">
        <f>'[59]Sch C'!D178</f>
        <v>0</v>
      </c>
      <c r="D167" s="490">
        <f>'[59]Sch C'!F178</f>
        <v>60198</v>
      </c>
      <c r="E167" s="171">
        <f t="shared" si="45"/>
        <v>60198</v>
      </c>
      <c r="F167" s="216"/>
      <c r="G167" s="171">
        <f t="shared" si="46"/>
        <v>60198</v>
      </c>
      <c r="H167" s="172">
        <f t="shared" si="47"/>
        <v>6.0507973984964452E-3</v>
      </c>
      <c r="I167" s="344"/>
      <c r="J167" s="222"/>
      <c r="K167" s="222"/>
      <c r="M167" s="364">
        <f t="shared" si="48"/>
        <v>1.6509791015303603</v>
      </c>
      <c r="N167" s="359">
        <f>SUMMARY!J170</f>
        <v>0.83466769369350857</v>
      </c>
    </row>
    <row r="168" spans="1:14" s="221" customFormat="1">
      <c r="A168" s="215" t="s">
        <v>158</v>
      </c>
      <c r="B168" s="148" t="s">
        <v>316</v>
      </c>
      <c r="C168" s="490">
        <f>'[59]Sch C'!D179</f>
        <v>35874</v>
      </c>
      <c r="D168" s="490">
        <f>'[59]Sch C'!F179</f>
        <v>1953</v>
      </c>
      <c r="E168" s="171">
        <f t="shared" si="45"/>
        <v>37827</v>
      </c>
      <c r="F168" s="216"/>
      <c r="G168" s="171">
        <f t="shared" si="46"/>
        <v>37827</v>
      </c>
      <c r="H168" s="172">
        <f t="shared" si="47"/>
        <v>3.8021780323752455E-3</v>
      </c>
      <c r="I168" s="343"/>
      <c r="J168" s="217">
        <v>871</v>
      </c>
      <c r="K168" s="217">
        <v>918</v>
      </c>
      <c r="M168" s="364">
        <f t="shared" si="48"/>
        <v>1.0374362349843673</v>
      </c>
      <c r="N168" s="359">
        <f>SUMMARY!J171</f>
        <v>0.77161464733349716</v>
      </c>
    </row>
    <row r="169" spans="1:14" s="221" customFormat="1">
      <c r="A169" s="215" t="s">
        <v>86</v>
      </c>
      <c r="B169" s="148" t="s">
        <v>317</v>
      </c>
      <c r="C169" s="490">
        <f>'[59]Sch C'!D180</f>
        <v>0</v>
      </c>
      <c r="D169" s="490">
        <f>'[59]Sch C'!F180</f>
        <v>4924</v>
      </c>
      <c r="E169" s="171">
        <f t="shared" si="45"/>
        <v>4924</v>
      </c>
      <c r="F169" s="216"/>
      <c r="G169" s="171">
        <f t="shared" si="46"/>
        <v>4924</v>
      </c>
      <c r="H169" s="172">
        <f t="shared" si="47"/>
        <v>4.94935486065924E-4</v>
      </c>
      <c r="I169" s="344"/>
      <c r="J169" s="222"/>
      <c r="K169" s="222"/>
      <c r="M169" s="364">
        <f t="shared" si="48"/>
        <v>0.13504470407547584</v>
      </c>
      <c r="N169" s="359">
        <f>SUMMARY!J172</f>
        <v>0.13394964091641409</v>
      </c>
    </row>
    <row r="170" spans="1:14" s="221" customFormat="1">
      <c r="A170" s="215" t="s">
        <v>96</v>
      </c>
      <c r="B170" s="148" t="s">
        <v>318</v>
      </c>
      <c r="C170" s="490">
        <f>'[59]Sch C'!D181</f>
        <v>0</v>
      </c>
      <c r="D170" s="490">
        <f>'[59]Sch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3"/>
      <c r="J170" s="217">
        <v>0</v>
      </c>
      <c r="K170" s="217">
        <v>0</v>
      </c>
      <c r="M170" s="364">
        <f t="shared" si="48"/>
        <v>0</v>
      </c>
      <c r="N170" s="359">
        <f>SUMMARY!J173</f>
        <v>0</v>
      </c>
    </row>
    <row r="171" spans="1:14" s="221" customFormat="1">
      <c r="A171" s="215" t="s">
        <v>125</v>
      </c>
      <c r="B171" s="148" t="s">
        <v>109</v>
      </c>
      <c r="C171" s="490">
        <f>'[59]Sch C'!D182</f>
        <v>0</v>
      </c>
      <c r="D171" s="490">
        <f>'[59]Sch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4"/>
      <c r="J171" s="222"/>
      <c r="K171" s="222"/>
      <c r="M171" s="364">
        <f t="shared" si="48"/>
        <v>0</v>
      </c>
      <c r="N171" s="359">
        <f>SUMMARY!J174</f>
        <v>0</v>
      </c>
    </row>
    <row r="172" spans="1:14" s="221" customFormat="1">
      <c r="A172" s="215" t="s">
        <v>126</v>
      </c>
      <c r="B172" s="148" t="s">
        <v>319</v>
      </c>
      <c r="C172" s="490">
        <f>'[59]Sch C'!D183</f>
        <v>229424</v>
      </c>
      <c r="D172" s="490">
        <f>'[59]Sch C'!F183</f>
        <v>12490</v>
      </c>
      <c r="E172" s="171">
        <f t="shared" si="45"/>
        <v>241914</v>
      </c>
      <c r="F172" s="216"/>
      <c r="G172" s="171">
        <f t="shared" si="46"/>
        <v>241914</v>
      </c>
      <c r="H172" s="172">
        <f t="shared" si="47"/>
        <v>2.4315967338779842E-2</v>
      </c>
      <c r="I172" s="343"/>
      <c r="J172" s="217">
        <v>7359</v>
      </c>
      <c r="K172" s="217">
        <v>7760</v>
      </c>
      <c r="M172" s="364">
        <f t="shared" si="48"/>
        <v>6.6346881685041961</v>
      </c>
      <c r="N172" s="359">
        <f>SUMMARY!J175</f>
        <v>2.5941162939297122</v>
      </c>
    </row>
    <row r="173" spans="1:14" s="221" customFormat="1">
      <c r="A173" s="215" t="s">
        <v>127</v>
      </c>
      <c r="B173" s="148" t="s">
        <v>111</v>
      </c>
      <c r="C173" s="490">
        <f>'[59]Sch C'!D184</f>
        <v>0</v>
      </c>
      <c r="D173" s="490">
        <f>'[59]Sch C'!F184</f>
        <v>31489</v>
      </c>
      <c r="E173" s="171">
        <f t="shared" si="45"/>
        <v>31489</v>
      </c>
      <c r="F173" s="216"/>
      <c r="G173" s="171">
        <f t="shared" si="46"/>
        <v>31489</v>
      </c>
      <c r="H173" s="172">
        <f t="shared" si="47"/>
        <v>3.1651144436900653E-3</v>
      </c>
      <c r="I173" s="344"/>
      <c r="J173" s="222"/>
      <c r="K173" s="222"/>
      <c r="M173" s="364">
        <f t="shared" si="48"/>
        <v>0.86361143107893146</v>
      </c>
      <c r="N173" s="359">
        <f>SUMMARY!J176</f>
        <v>0.43431776693811036</v>
      </c>
    </row>
    <row r="174" spans="1:14" s="221" customFormat="1">
      <c r="A174" s="215" t="s">
        <v>128</v>
      </c>
      <c r="B174" s="148" t="s">
        <v>320</v>
      </c>
      <c r="C174" s="490">
        <f>'[59]Sch C'!D185</f>
        <v>0</v>
      </c>
      <c r="D174" s="490">
        <f>'[59]Sch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3"/>
      <c r="J174" s="217">
        <v>0</v>
      </c>
      <c r="K174" s="217">
        <v>0</v>
      </c>
      <c r="M174" s="364">
        <f t="shared" si="48"/>
        <v>0</v>
      </c>
      <c r="N174" s="359">
        <f>SUMMARY!J177</f>
        <v>2.3603943092760983E-3</v>
      </c>
    </row>
    <row r="175" spans="1:14" s="221" customFormat="1">
      <c r="A175" s="215" t="s">
        <v>129</v>
      </c>
      <c r="B175" s="148" t="s">
        <v>321</v>
      </c>
      <c r="C175" s="490">
        <f>'[59]Sch C'!D186</f>
        <v>0</v>
      </c>
      <c r="D175" s="490">
        <f>'[59]Sch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7"/>
      <c r="J175" s="223"/>
      <c r="K175" s="218"/>
      <c r="M175" s="364">
        <f t="shared" si="48"/>
        <v>0</v>
      </c>
      <c r="N175" s="359">
        <f>SUMMARY!J178</f>
        <v>0</v>
      </c>
    </row>
    <row r="176" spans="1:14" s="221" customFormat="1">
      <c r="A176" s="224" t="s">
        <v>293</v>
      </c>
      <c r="B176" s="148" t="s">
        <v>154</v>
      </c>
      <c r="C176" s="490">
        <f>'[59]Sch C'!D187</f>
        <v>0</v>
      </c>
      <c r="D176" s="490">
        <f>'[59]Sch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7"/>
      <c r="J176" s="223"/>
      <c r="K176" s="218"/>
      <c r="M176" s="364">
        <f t="shared" si="48"/>
        <v>0</v>
      </c>
      <c r="N176" s="359">
        <f>SUMMARY!J179</f>
        <v>0</v>
      </c>
    </row>
    <row r="177" spans="1:14" s="221" customFormat="1">
      <c r="A177" s="224" t="s">
        <v>294</v>
      </c>
      <c r="B177" s="148" t="s">
        <v>322</v>
      </c>
      <c r="C177" s="490">
        <f>'[59]Sch C'!D188</f>
        <v>10450</v>
      </c>
      <c r="D177" s="490">
        <f>'[59]Sch C'!F188</f>
        <v>0</v>
      </c>
      <c r="E177" s="171">
        <f t="shared" si="45"/>
        <v>10450</v>
      </c>
      <c r="F177" s="216"/>
      <c r="G177" s="171">
        <f t="shared" si="46"/>
        <v>10450</v>
      </c>
      <c r="H177" s="172">
        <f t="shared" si="47"/>
        <v>1.0503809564152938E-3</v>
      </c>
      <c r="I177" s="337"/>
      <c r="J177" s="223"/>
      <c r="K177" s="218"/>
      <c r="M177" s="364">
        <f t="shared" si="48"/>
        <v>0.28659974768251878</v>
      </c>
      <c r="N177" s="359">
        <f>SUMMARY!J180</f>
        <v>9.0641762922913108E-2</v>
      </c>
    </row>
    <row r="178" spans="1:14" s="221" customFormat="1">
      <c r="A178" s="224" t="s">
        <v>295</v>
      </c>
      <c r="B178" s="148" t="s">
        <v>323</v>
      </c>
      <c r="C178" s="490">
        <f>'[59]Sch C'!D189</f>
        <v>0</v>
      </c>
      <c r="D178" s="490">
        <f>'[59]Sch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337"/>
      <c r="J178" s="223"/>
      <c r="K178" s="218"/>
      <c r="M178" s="364">
        <f t="shared" si="48"/>
        <v>0</v>
      </c>
      <c r="N178" s="359">
        <f>SUMMARY!J181</f>
        <v>1.778645585866033E-2</v>
      </c>
    </row>
    <row r="179" spans="1:14" s="221" customFormat="1">
      <c r="A179" s="224" t="s">
        <v>296</v>
      </c>
      <c r="B179" s="148" t="s">
        <v>324</v>
      </c>
      <c r="C179" s="490">
        <f>'[59]Sch C'!D190</f>
        <v>0</v>
      </c>
      <c r="D179" s="490">
        <f>'[59]Sch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7"/>
      <c r="J179" s="223"/>
      <c r="K179" s="218"/>
      <c r="M179" s="364">
        <f t="shared" si="48"/>
        <v>0</v>
      </c>
      <c r="N179" s="359">
        <f>SUMMARY!J182</f>
        <v>1.1468829360203163E-4</v>
      </c>
    </row>
    <row r="180" spans="1:14" s="221" customFormat="1">
      <c r="A180" s="224" t="s">
        <v>297</v>
      </c>
      <c r="B180" s="148" t="s">
        <v>325</v>
      </c>
      <c r="C180" s="490">
        <f>'[59]Sch C'!D191</f>
        <v>0</v>
      </c>
      <c r="D180" s="490">
        <f>'[59]Sch C'!F191</f>
        <v>0</v>
      </c>
      <c r="E180" s="171">
        <f t="shared" si="45"/>
        <v>0</v>
      </c>
      <c r="F180" s="216"/>
      <c r="G180" s="171">
        <f t="shared" si="46"/>
        <v>0</v>
      </c>
      <c r="H180" s="172">
        <f t="shared" si="47"/>
        <v>0</v>
      </c>
      <c r="I180" s="337"/>
      <c r="J180" s="223"/>
      <c r="K180" s="218"/>
      <c r="M180" s="364">
        <f t="shared" si="48"/>
        <v>0</v>
      </c>
      <c r="N180" s="359">
        <f>SUMMARY!J183</f>
        <v>1.8462734496600307E-2</v>
      </c>
    </row>
    <row r="181" spans="1:14" s="221" customFormat="1">
      <c r="A181" s="224" t="s">
        <v>298</v>
      </c>
      <c r="B181" s="148" t="s">
        <v>117</v>
      </c>
      <c r="C181" s="490">
        <f>'[59]Sch C'!D192</f>
        <v>0</v>
      </c>
      <c r="D181" s="490">
        <f>'[59]Sch C'!F192</f>
        <v>0</v>
      </c>
      <c r="E181" s="171">
        <f t="shared" si="45"/>
        <v>0</v>
      </c>
      <c r="F181" s="216"/>
      <c r="G181" s="171">
        <f t="shared" si="46"/>
        <v>0</v>
      </c>
      <c r="H181" s="172">
        <f t="shared" si="47"/>
        <v>0</v>
      </c>
      <c r="I181" s="337"/>
      <c r="J181" s="223"/>
      <c r="K181" s="218"/>
      <c r="M181" s="364">
        <f t="shared" si="48"/>
        <v>0</v>
      </c>
      <c r="N181" s="359">
        <f>SUMMARY!J184</f>
        <v>0.21032919363206901</v>
      </c>
    </row>
    <row r="182" spans="1:14" s="221" customFormat="1">
      <c r="A182" s="224" t="s">
        <v>132</v>
      </c>
      <c r="B182" s="148" t="s">
        <v>118</v>
      </c>
      <c r="C182" s="490">
        <f>'[59]Sch C'!D193</f>
        <v>0</v>
      </c>
      <c r="D182" s="490">
        <f>'[59]Sch C'!F193</f>
        <v>0</v>
      </c>
      <c r="E182" s="171">
        <f t="shared" si="45"/>
        <v>0</v>
      </c>
      <c r="F182" s="216"/>
      <c r="G182" s="171">
        <f t="shared" si="46"/>
        <v>0</v>
      </c>
      <c r="H182" s="172">
        <f t="shared" si="47"/>
        <v>0</v>
      </c>
      <c r="I182" s="337"/>
      <c r="J182" s="223"/>
      <c r="K182" s="218"/>
      <c r="M182" s="364">
        <f t="shared" si="48"/>
        <v>0</v>
      </c>
      <c r="N182" s="359">
        <f>SUMMARY!J185</f>
        <v>4.5937156276453409E-2</v>
      </c>
    </row>
    <row r="183" spans="1:14" s="221" customFormat="1">
      <c r="A183" s="224" t="s">
        <v>133</v>
      </c>
      <c r="B183" s="148" t="s">
        <v>119</v>
      </c>
      <c r="C183" s="490">
        <f>'[59]Sch C'!D194</f>
        <v>105</v>
      </c>
      <c r="D183" s="490">
        <f>'[59]Sch C'!F194</f>
        <v>0</v>
      </c>
      <c r="E183" s="171">
        <f t="shared" si="45"/>
        <v>105</v>
      </c>
      <c r="F183" s="216"/>
      <c r="G183" s="171">
        <f t="shared" si="46"/>
        <v>105</v>
      </c>
      <c r="H183" s="172">
        <f t="shared" si="47"/>
        <v>1.0554067026182377E-5</v>
      </c>
      <c r="I183" s="337"/>
      <c r="J183" s="223"/>
      <c r="K183" s="218"/>
      <c r="M183" s="364">
        <f t="shared" si="48"/>
        <v>2.879710383412868E-3</v>
      </c>
      <c r="N183" s="359">
        <f>SUMMARY!J186</f>
        <v>7.3129851396739571</v>
      </c>
    </row>
    <row r="184" spans="1:14" s="221" customFormat="1">
      <c r="A184" s="224" t="s">
        <v>134</v>
      </c>
      <c r="B184" s="148" t="s">
        <v>326</v>
      </c>
      <c r="C184" s="490">
        <f>'[59]Sch C'!D195</f>
        <v>0</v>
      </c>
      <c r="D184" s="490">
        <f>'[59]Sch C'!F195</f>
        <v>0</v>
      </c>
      <c r="E184" s="171">
        <f t="shared" si="45"/>
        <v>0</v>
      </c>
      <c r="F184" s="216"/>
      <c r="G184" s="171">
        <f t="shared" si="46"/>
        <v>0</v>
      </c>
      <c r="H184" s="172">
        <f t="shared" si="47"/>
        <v>0</v>
      </c>
      <c r="I184" s="337"/>
      <c r="J184" s="223"/>
      <c r="K184" s="218"/>
      <c r="M184" s="364">
        <f t="shared" si="48"/>
        <v>0</v>
      </c>
      <c r="N184" s="359">
        <f>SUMMARY!J187</f>
        <v>1.617871871330657</v>
      </c>
    </row>
    <row r="185" spans="1:14" s="221" customFormat="1">
      <c r="A185" s="224" t="s">
        <v>135</v>
      </c>
      <c r="B185" s="148" t="s">
        <v>327</v>
      </c>
      <c r="C185" s="490">
        <f>'[59]Sch C'!D196</f>
        <v>0</v>
      </c>
      <c r="D185" s="490">
        <f>'[59]Sch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</row>
    <row r="186" spans="1:14" s="221" customFormat="1">
      <c r="A186" s="224" t="s">
        <v>136</v>
      </c>
      <c r="B186" s="148" t="s">
        <v>328</v>
      </c>
      <c r="C186" s="490">
        <f>'[59]Sch C'!D197</f>
        <v>0</v>
      </c>
      <c r="D186" s="490">
        <f>'[59]Sch C'!F197</f>
        <v>0</v>
      </c>
      <c r="E186" s="171">
        <f t="shared" si="45"/>
        <v>0</v>
      </c>
      <c r="F186" s="216"/>
      <c r="G186" s="171">
        <f t="shared" si="46"/>
        <v>0</v>
      </c>
      <c r="H186" s="172">
        <f t="shared" si="47"/>
        <v>0</v>
      </c>
      <c r="I186" s="337"/>
      <c r="J186" s="223"/>
      <c r="K186" s="218"/>
      <c r="M186" s="364">
        <f t="shared" si="48"/>
        <v>0</v>
      </c>
      <c r="N186" s="359">
        <f>SUMMARY!J189</f>
        <v>5.0698778515059661</v>
      </c>
    </row>
    <row r="187" spans="1:14" s="221" customFormat="1">
      <c r="A187" s="224" t="s">
        <v>137</v>
      </c>
      <c r="B187" s="148" t="s">
        <v>122</v>
      </c>
      <c r="C187" s="490">
        <f>'[59]Sch C'!D198</f>
        <v>100059</v>
      </c>
      <c r="D187" s="490">
        <f>'[59]Sch C'!F198</f>
        <v>0</v>
      </c>
      <c r="E187" s="171">
        <f t="shared" si="45"/>
        <v>100059</v>
      </c>
      <c r="F187" s="216"/>
      <c r="G187" s="171">
        <f t="shared" si="46"/>
        <v>100059</v>
      </c>
      <c r="H187" s="172">
        <f t="shared" si="47"/>
        <v>1.0057422786407453E-2</v>
      </c>
      <c r="I187" s="337"/>
      <c r="J187" s="223"/>
      <c r="K187" s="218"/>
      <c r="M187" s="364">
        <f t="shared" si="48"/>
        <v>2.7441994405134111</v>
      </c>
      <c r="N187" s="359">
        <f>SUMMARY!J190</f>
        <v>1.3048000054613476</v>
      </c>
    </row>
    <row r="188" spans="1:14" s="221" customFormat="1">
      <c r="A188" s="224" t="s">
        <v>275</v>
      </c>
      <c r="B188" s="148" t="s">
        <v>329</v>
      </c>
      <c r="C188" s="490">
        <f>'[59]Sch C'!D199</f>
        <v>397303</v>
      </c>
      <c r="D188" s="490">
        <f>'[59]Sch C'!F199</f>
        <v>0</v>
      </c>
      <c r="E188" s="171">
        <f t="shared" si="45"/>
        <v>397303</v>
      </c>
      <c r="F188" s="216"/>
      <c r="G188" s="171">
        <f t="shared" si="46"/>
        <v>397303</v>
      </c>
      <c r="H188" s="172">
        <f t="shared" si="47"/>
        <v>3.9934880873365115E-2</v>
      </c>
      <c r="I188" s="337"/>
      <c r="J188" s="223"/>
      <c r="K188" s="218"/>
      <c r="M188" s="364">
        <f t="shared" si="48"/>
        <v>10.896357852010311</v>
      </c>
      <c r="N188" s="359">
        <f>SUMMARY!J191</f>
        <v>0.39995945495753804</v>
      </c>
    </row>
    <row r="189" spans="1:14" s="221" customFormat="1">
      <c r="A189" s="224" t="s">
        <v>277</v>
      </c>
      <c r="B189" s="148" t="s">
        <v>278</v>
      </c>
      <c r="C189" s="490">
        <f>'[59]Sch C'!D200</f>
        <v>0</v>
      </c>
      <c r="D189" s="490">
        <f>'[59]Sch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7"/>
      <c r="J189" s="223"/>
      <c r="K189" s="218"/>
      <c r="M189" s="364">
        <f t="shared" si="48"/>
        <v>0</v>
      </c>
      <c r="N189" s="359">
        <f>SUMMARY!J192</f>
        <v>5.0800032768083883E-3</v>
      </c>
    </row>
    <row r="190" spans="1:14" s="221" customFormat="1">
      <c r="A190" s="225" t="s">
        <v>279</v>
      </c>
      <c r="B190" s="226" t="s">
        <v>280</v>
      </c>
      <c r="C190" s="490">
        <f>'[59]Sch C'!D201</f>
        <v>0</v>
      </c>
      <c r="D190" s="490">
        <f>'[59]Sch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7"/>
      <c r="J190" s="223"/>
      <c r="K190" s="218"/>
      <c r="M190" s="364">
        <f t="shared" si="48"/>
        <v>0</v>
      </c>
      <c r="N190" s="359">
        <f>SUMMARY!J193</f>
        <v>-2.2159984708227519E-2</v>
      </c>
    </row>
    <row r="191" spans="1:14" s="221" customFormat="1">
      <c r="A191" s="225" t="s">
        <v>281</v>
      </c>
      <c r="B191" s="226" t="s">
        <v>282</v>
      </c>
      <c r="C191" s="490">
        <f>'[59]Sch C'!D202</f>
        <v>0</v>
      </c>
      <c r="D191" s="490">
        <f>'[59]Sch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>
        <f t="shared" si="48"/>
        <v>0</v>
      </c>
      <c r="N191" s="359">
        <f>SUMMARY!J194</f>
        <v>4.7598918653231749E-4</v>
      </c>
    </row>
    <row r="192" spans="1:14" s="221" customFormat="1">
      <c r="A192" s="225" t="s">
        <v>283</v>
      </c>
      <c r="B192" s="226" t="s">
        <v>330</v>
      </c>
      <c r="C192" s="490">
        <f>'[59]Sch C'!D203</f>
        <v>0</v>
      </c>
      <c r="D192" s="490">
        <f>'[59]Sch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7"/>
      <c r="J192" s="223"/>
      <c r="K192" s="218"/>
      <c r="M192" s="364">
        <f t="shared" si="48"/>
        <v>0</v>
      </c>
      <c r="N192" s="359">
        <f>SUMMARY!J195</f>
        <v>9.9736102236421709E-2</v>
      </c>
    </row>
    <row r="193" spans="1:14" s="221" customFormat="1">
      <c r="A193" s="225" t="s">
        <v>285</v>
      </c>
      <c r="B193" s="226" t="s">
        <v>331</v>
      </c>
      <c r="C193" s="490">
        <f>'[59]Sch C'!D204</f>
        <v>0</v>
      </c>
      <c r="D193" s="490">
        <f>'[59]Sch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>
        <f t="shared" si="48"/>
        <v>0</v>
      </c>
      <c r="N193" s="359">
        <f>SUMMARY!J196</f>
        <v>1.4186941918571311E-2</v>
      </c>
    </row>
    <row r="194" spans="1:14" s="221" customFormat="1">
      <c r="A194" s="224" t="s">
        <v>138</v>
      </c>
      <c r="B194" s="148" t="s">
        <v>332</v>
      </c>
      <c r="C194" s="490">
        <f>'[59]Sch C'!D205</f>
        <v>355916</v>
      </c>
      <c r="D194" s="490">
        <f>'[59]Sch C'!F205</f>
        <v>0</v>
      </c>
      <c r="E194" s="171">
        <f t="shared" si="45"/>
        <v>355916</v>
      </c>
      <c r="F194" s="216"/>
      <c r="G194" s="171">
        <f t="shared" si="46"/>
        <v>355916</v>
      </c>
      <c r="H194" s="172">
        <f t="shared" si="47"/>
        <v>3.5774869711340258E-2</v>
      </c>
      <c r="I194" s="337"/>
      <c r="J194" s="223"/>
      <c r="K194" s="218"/>
      <c r="M194" s="364">
        <f t="shared" si="48"/>
        <v>9.7612857221216611</v>
      </c>
      <c r="N194" s="359">
        <f>SUMMARY!J197</f>
        <v>9.4205484776494348</v>
      </c>
    </row>
    <row r="195" spans="1:14" s="221" customFormat="1">
      <c r="A195" s="224" t="s">
        <v>139</v>
      </c>
      <c r="B195" s="148" t="s">
        <v>67</v>
      </c>
      <c r="C195" s="490">
        <f>'[59]Sch C'!D206</f>
        <v>39148</v>
      </c>
      <c r="D195" s="490">
        <f>'[59]Sch C'!F206</f>
        <v>0</v>
      </c>
      <c r="E195" s="171">
        <f t="shared" si="45"/>
        <v>39148</v>
      </c>
      <c r="F195" s="216"/>
      <c r="G195" s="171">
        <f t="shared" si="46"/>
        <v>39148</v>
      </c>
      <c r="H195" s="172">
        <f t="shared" si="47"/>
        <v>3.9349582470570256E-3</v>
      </c>
      <c r="I195" s="337"/>
      <c r="J195" s="223"/>
      <c r="K195" s="218"/>
      <c r="M195" s="364">
        <f t="shared" si="48"/>
        <v>1.0736657341890188</v>
      </c>
      <c r="N195" s="359">
        <f>SUMMARY!J198</f>
        <v>0.51514733622784747</v>
      </c>
    </row>
    <row r="196" spans="1:14" s="221" customFormat="1">
      <c r="A196" s="225" t="s">
        <v>143</v>
      </c>
      <c r="B196" s="194" t="s">
        <v>333</v>
      </c>
      <c r="C196" s="490">
        <f>'[59]Sch C'!D207</f>
        <v>91827</v>
      </c>
      <c r="D196" s="490">
        <f>'[59]Sch C'!F207</f>
        <v>-1369.42</v>
      </c>
      <c r="E196" s="171">
        <f t="shared" si="45"/>
        <v>90457.58</v>
      </c>
      <c r="F196" s="216"/>
      <c r="G196" s="171">
        <f t="shared" si="46"/>
        <v>90457.58</v>
      </c>
      <c r="H196" s="172">
        <f t="shared" si="47"/>
        <v>9.0923367842500429E-3</v>
      </c>
      <c r="I196" s="337"/>
      <c r="J196" s="223"/>
      <c r="K196" s="218"/>
      <c r="M196" s="364">
        <f t="shared" si="48"/>
        <v>2.4808726893752402</v>
      </c>
      <c r="N196" s="359">
        <f>SUMMARY!J199</f>
        <v>0.43468466925335936</v>
      </c>
    </row>
    <row r="197" spans="1:14" s="167" customFormat="1">
      <c r="A197" s="163"/>
      <c r="B197" s="212" t="s">
        <v>130</v>
      </c>
      <c r="C197" s="490">
        <f>SUM(C164:C196)</f>
        <v>1698694</v>
      </c>
      <c r="D197" s="490">
        <f>SUM(D164:D196)</f>
        <v>133560.57999999999</v>
      </c>
      <c r="E197" s="171">
        <f t="shared" ref="E197:F197" si="49">SUM(E164:E196)</f>
        <v>1832254.58</v>
      </c>
      <c r="F197" s="171">
        <f t="shared" si="49"/>
        <v>0</v>
      </c>
      <c r="G197" s="171">
        <f>SUM(G164:G196)</f>
        <v>1832254.58</v>
      </c>
      <c r="H197" s="172">
        <f>IF($G$208=0,0,G197/$G$208)</f>
        <v>0.18416892996523468</v>
      </c>
      <c r="I197" s="337"/>
      <c r="J197" s="168"/>
      <c r="K197" s="168"/>
      <c r="M197" s="364">
        <f>G197/G$228</f>
        <v>50.251071800778895</v>
      </c>
      <c r="N197" s="359">
        <f>SUMMARY!J200</f>
        <v>35.91740838389223</v>
      </c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341"/>
      <c r="J198" s="168"/>
      <c r="K198" s="168"/>
      <c r="M198" s="359"/>
      <c r="N198" s="359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1"/>
      <c r="J199" s="168"/>
      <c r="K199" s="168"/>
      <c r="M199" s="359"/>
      <c r="N199" s="359"/>
    </row>
    <row r="200" spans="1:14" s="167" customFormat="1">
      <c r="A200" s="169" t="s">
        <v>85</v>
      </c>
      <c r="B200" s="170" t="s">
        <v>69</v>
      </c>
      <c r="C200" s="490">
        <f>'[59]Sch C'!D211</f>
        <v>187215</v>
      </c>
      <c r="D200" s="490">
        <f>'[59]Sch C'!F211</f>
        <v>10192</v>
      </c>
      <c r="E200" s="171">
        <f t="shared" ref="E200:E205" si="50">C200+D200</f>
        <v>197407</v>
      </c>
      <c r="F200" s="171"/>
      <c r="G200" s="171">
        <f t="shared" ref="G200:G205" si="51">E200+F200</f>
        <v>197407</v>
      </c>
      <c r="H200" s="172">
        <f t="shared" ref="H200:H206" si="52">IF($G$208=0,0,G200/$G$208)</f>
        <v>1.9842349613691281E-2</v>
      </c>
      <c r="I200" s="337"/>
      <c r="J200" s="183">
        <v>11886</v>
      </c>
      <c r="K200" s="183">
        <v>12533</v>
      </c>
      <c r="M200" s="364">
        <f t="shared" ref="M200:M205" si="53">G200/G$228</f>
        <v>5.4140475015084197</v>
      </c>
      <c r="N200" s="359">
        <f>SUMMARY!J203</f>
        <v>4.8433639387236838</v>
      </c>
    </row>
    <row r="201" spans="1:14" s="167" customFormat="1">
      <c r="A201" s="169" t="s">
        <v>86</v>
      </c>
      <c r="B201" s="170" t="s">
        <v>45</v>
      </c>
      <c r="C201" s="490">
        <f>'[59]Sch C'!D212</f>
        <v>0</v>
      </c>
      <c r="D201" s="490">
        <f>'[59]Sch C'!F212</f>
        <v>25696</v>
      </c>
      <c r="E201" s="171">
        <f t="shared" si="50"/>
        <v>25696</v>
      </c>
      <c r="F201" s="171"/>
      <c r="G201" s="171">
        <f t="shared" si="51"/>
        <v>25696</v>
      </c>
      <c r="H201" s="172">
        <f t="shared" si="52"/>
        <v>2.5828314886169748E-3</v>
      </c>
      <c r="I201" s="337"/>
      <c r="J201" s="168"/>
      <c r="K201" s="168"/>
      <c r="M201" s="364">
        <f t="shared" si="53"/>
        <v>0.70473369535406727</v>
      </c>
      <c r="N201" s="359">
        <f>SUMMARY!J204</f>
        <v>0.96144674193499036</v>
      </c>
    </row>
    <row r="202" spans="1:14" s="167" customFormat="1">
      <c r="A202" s="169" t="s">
        <v>140</v>
      </c>
      <c r="B202" s="170" t="s">
        <v>54</v>
      </c>
      <c r="C202" s="490">
        <f>'[59]Sch C'!D213</f>
        <v>5568</v>
      </c>
      <c r="D202" s="490">
        <f>'[59]Sch C'!F213</f>
        <v>0</v>
      </c>
      <c r="E202" s="171">
        <f t="shared" si="50"/>
        <v>5568</v>
      </c>
      <c r="F202" s="171"/>
      <c r="G202" s="171">
        <f t="shared" si="51"/>
        <v>5568</v>
      </c>
      <c r="H202" s="172">
        <f t="shared" si="52"/>
        <v>5.5966709715984258E-4</v>
      </c>
      <c r="I202" s="337"/>
      <c r="J202" s="168"/>
      <c r="K202" s="168"/>
      <c r="M202" s="364">
        <f t="shared" si="53"/>
        <v>0.15270692776040809</v>
      </c>
      <c r="N202" s="359">
        <f>SUMMARY!J205</f>
        <v>0.5247184566232489</v>
      </c>
    </row>
    <row r="203" spans="1:14" s="167" customFormat="1">
      <c r="A203" s="169" t="s">
        <v>141</v>
      </c>
      <c r="B203" s="170" t="s">
        <v>70</v>
      </c>
      <c r="C203" s="490">
        <f>'[59]Sch C'!D214</f>
        <v>0</v>
      </c>
      <c r="D203" s="490">
        <f>'[59]Sch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>
        <f t="shared" si="53"/>
        <v>0</v>
      </c>
      <c r="N203" s="359">
        <f>SUMMARY!J206</f>
        <v>1.4027039130553507E-2</v>
      </c>
    </row>
    <row r="204" spans="1:14" s="167" customFormat="1">
      <c r="A204" s="169" t="s">
        <v>142</v>
      </c>
      <c r="B204" s="202" t="s">
        <v>71</v>
      </c>
      <c r="C204" s="490">
        <f>'[59]Sch C'!D215</f>
        <v>0</v>
      </c>
      <c r="D204" s="490">
        <f>'[59]Sch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</row>
    <row r="205" spans="1:14" s="167" customFormat="1">
      <c r="A205" s="169" t="s">
        <v>143</v>
      </c>
      <c r="B205" s="170" t="s">
        <v>312</v>
      </c>
      <c r="C205" s="490">
        <f>'[59]Sch C'!D216</f>
        <v>9216</v>
      </c>
      <c r="D205" s="490">
        <f>'[59]Sch C'!F216</f>
        <v>0</v>
      </c>
      <c r="E205" s="171">
        <f t="shared" si="50"/>
        <v>9216</v>
      </c>
      <c r="F205" s="171"/>
      <c r="G205" s="171">
        <f t="shared" si="51"/>
        <v>9216</v>
      </c>
      <c r="H205" s="172">
        <f t="shared" si="52"/>
        <v>9.2634554012663609E-4</v>
      </c>
      <c r="I205" s="337"/>
      <c r="J205" s="168"/>
      <c r="K205" s="168"/>
      <c r="M205" s="364">
        <f t="shared" si="53"/>
        <v>0.25275629422412377</v>
      </c>
      <c r="N205" s="359">
        <f>SUMMARY!J208</f>
        <v>0.36483307391933595</v>
      </c>
    </row>
    <row r="206" spans="1:14" s="167" customFormat="1">
      <c r="A206" s="163"/>
      <c r="B206" s="170" t="s">
        <v>144</v>
      </c>
      <c r="C206" s="490">
        <f>SUM(C200:C205)</f>
        <v>201999</v>
      </c>
      <c r="D206" s="490">
        <f>SUM(D200:D205)</f>
        <v>35888</v>
      </c>
      <c r="E206" s="171">
        <f t="shared" ref="E206:F206" si="54">SUM(E200:E205)</f>
        <v>237887</v>
      </c>
      <c r="F206" s="171">
        <f t="shared" si="54"/>
        <v>0</v>
      </c>
      <c r="G206" s="171">
        <f>SUM(G200:G205)</f>
        <v>237887</v>
      </c>
      <c r="H206" s="172">
        <f t="shared" si="52"/>
        <v>2.3911193739594733E-2</v>
      </c>
      <c r="I206" s="337"/>
      <c r="J206" s="168"/>
      <c r="K206" s="168"/>
      <c r="M206" s="364">
        <f>G206/G$228</f>
        <v>6.5242444188470188</v>
      </c>
      <c r="N206" s="359">
        <f>SUMMARY!J209</f>
        <v>6.7083892503318125</v>
      </c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14" s="167" customFormat="1">
      <c r="A208" s="227"/>
      <c r="B208" s="228" t="s">
        <v>145</v>
      </c>
      <c r="C208" s="490">
        <f>SUM(C25:C206)/2</f>
        <v>9889860</v>
      </c>
      <c r="D208" s="490">
        <f>SUM(D25:D206)/2</f>
        <v>58911.382588109154</v>
      </c>
      <c r="E208" s="171">
        <f t="shared" ref="E208:F208" si="55">SUM(E25:E206)/2</f>
        <v>9948771.3825881071</v>
      </c>
      <c r="F208" s="171">
        <f t="shared" si="55"/>
        <v>0</v>
      </c>
      <c r="G208" s="171">
        <f>SUM(G25:G206)/2</f>
        <v>9948771.3825881071</v>
      </c>
      <c r="H208" s="172">
        <f>IF($G$208=0,0,G208/$G$208)</f>
        <v>1</v>
      </c>
      <c r="I208" s="337"/>
      <c r="J208" s="183">
        <f>SUM(J25:J200)</f>
        <v>219468</v>
      </c>
      <c r="K208" s="183">
        <f>SUM(K25:K200)</f>
        <v>231418</v>
      </c>
      <c r="M208" s="364">
        <f>G208/G$228</f>
        <v>272.85314526323589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490">
        <f>'[59]Sch C'!D221</f>
        <v>9889860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490">
        <f>C208-C211</f>
        <v>0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619"/>
      <c r="D213" s="232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490">
        <f>C21-C208</f>
        <v>692376</v>
      </c>
      <c r="D215" s="490">
        <f>D21-D208</f>
        <v>-58911.382588109154</v>
      </c>
      <c r="E215" s="171">
        <f t="shared" ref="E215:F215" si="56">E21-E208</f>
        <v>633464.61741189286</v>
      </c>
      <c r="F215" s="171">
        <f t="shared" si="56"/>
        <v>0</v>
      </c>
      <c r="G215" s="171">
        <f>G21-G208</f>
        <v>633464.61741189286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491">
        <f>'[59]Sch D'!C9</f>
        <v>22021</v>
      </c>
      <c r="D219" s="491"/>
      <c r="E219" s="235">
        <f t="shared" ref="E219:G227" si="57">C219+D219</f>
        <v>22021</v>
      </c>
      <c r="F219" s="234"/>
      <c r="G219" s="235">
        <f t="shared" si="57"/>
        <v>22021</v>
      </c>
      <c r="H219" s="172">
        <f t="shared" ref="H219:H228" si="58">IF($G$228=0,0,G219/$G$228)</f>
        <v>0.60394383193461687</v>
      </c>
      <c r="I219" s="337"/>
      <c r="J219" s="168"/>
      <c r="K219" s="168"/>
    </row>
    <row r="220" spans="1:14">
      <c r="A220" s="163"/>
      <c r="B220" s="170" t="s">
        <v>217</v>
      </c>
      <c r="C220" s="491">
        <f>'[59]Sch D'!D9</f>
        <v>0</v>
      </c>
      <c r="D220" s="491"/>
      <c r="E220" s="171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7"/>
      <c r="J220" s="168"/>
      <c r="K220" s="168"/>
    </row>
    <row r="221" spans="1:14">
      <c r="A221" s="163"/>
      <c r="B221" s="170" t="s">
        <v>72</v>
      </c>
      <c r="C221" s="491">
        <f>'[59]Sch D'!E9</f>
        <v>5302</v>
      </c>
      <c r="D221" s="491"/>
      <c r="E221" s="171">
        <f t="shared" si="59"/>
        <v>5302</v>
      </c>
      <c r="F221" s="234"/>
      <c r="G221" s="235">
        <f t="shared" si="57"/>
        <v>5302</v>
      </c>
      <c r="H221" s="172">
        <f t="shared" si="58"/>
        <v>0.14541166145576218</v>
      </c>
      <c r="I221" s="337"/>
      <c r="J221" s="168"/>
      <c r="K221" s="168"/>
    </row>
    <row r="222" spans="1:14">
      <c r="A222" s="163"/>
      <c r="B222" s="202" t="s">
        <v>334</v>
      </c>
      <c r="C222" s="491">
        <f>'[59]Sch D'!F9</f>
        <v>4820</v>
      </c>
      <c r="D222" s="491"/>
      <c r="E222" s="171">
        <f t="shared" si="59"/>
        <v>4820</v>
      </c>
      <c r="F222" s="234"/>
      <c r="G222" s="235">
        <f>E222+F222</f>
        <v>4820</v>
      </c>
      <c r="H222" s="172">
        <f t="shared" si="58"/>
        <v>0.13219241950523833</v>
      </c>
      <c r="I222" s="337"/>
      <c r="J222" s="168"/>
      <c r="K222" s="168"/>
    </row>
    <row r="223" spans="1:14">
      <c r="A223" s="163"/>
      <c r="B223" s="170" t="s">
        <v>73</v>
      </c>
      <c r="C223" s="491">
        <f>'[59]Sch D'!G9</f>
        <v>0</v>
      </c>
      <c r="D223" s="491"/>
      <c r="E223" s="171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7"/>
      <c r="J223" s="168"/>
      <c r="K223" s="168"/>
    </row>
    <row r="224" spans="1:14">
      <c r="A224" s="163"/>
      <c r="B224" s="170" t="s">
        <v>74</v>
      </c>
      <c r="C224" s="491">
        <f>'[59]Sch D'!H9</f>
        <v>2487</v>
      </c>
      <c r="D224" s="491"/>
      <c r="E224" s="171">
        <f t="shared" si="59"/>
        <v>2487</v>
      </c>
      <c r="F224" s="234"/>
      <c r="G224" s="235">
        <f t="shared" si="57"/>
        <v>2487</v>
      </c>
      <c r="H224" s="172">
        <f t="shared" si="58"/>
        <v>6.8207997367121936E-2</v>
      </c>
      <c r="I224" s="337"/>
      <c r="J224" s="168"/>
      <c r="K224" s="168"/>
    </row>
    <row r="225" spans="1:11">
      <c r="A225" s="163"/>
      <c r="B225" s="170" t="s">
        <v>236</v>
      </c>
      <c r="C225" s="491">
        <f>'[59]Sch D'!I9</f>
        <v>0</v>
      </c>
      <c r="D225" s="491"/>
      <c r="E225" s="171">
        <f t="shared" si="59"/>
        <v>0</v>
      </c>
      <c r="F225" s="234"/>
      <c r="G225" s="235">
        <f t="shared" si="57"/>
        <v>0</v>
      </c>
      <c r="H225" s="172">
        <f t="shared" si="58"/>
        <v>0</v>
      </c>
      <c r="I225" s="337"/>
      <c r="J225" s="168"/>
      <c r="K225" s="168"/>
    </row>
    <row r="226" spans="1:11">
      <c r="A226" s="163"/>
      <c r="B226" s="170" t="s">
        <v>235</v>
      </c>
      <c r="C226" s="491">
        <f>'[59]Sch D'!J9</f>
        <v>1816</v>
      </c>
      <c r="D226" s="491"/>
      <c r="E226" s="171">
        <f t="shared" si="59"/>
        <v>1816</v>
      </c>
      <c r="F226" s="234"/>
      <c r="G226" s="235">
        <f>E226+F226</f>
        <v>1816</v>
      </c>
      <c r="H226" s="172">
        <f t="shared" si="58"/>
        <v>4.980527672645494E-2</v>
      </c>
      <c r="I226" s="337"/>
      <c r="J226" s="168"/>
      <c r="K226" s="168"/>
    </row>
    <row r="227" spans="1:11">
      <c r="A227" s="163"/>
      <c r="B227" s="170" t="s">
        <v>179</v>
      </c>
      <c r="C227" s="491">
        <f>'[59]Sch D'!K9</f>
        <v>16</v>
      </c>
      <c r="D227" s="491"/>
      <c r="E227" s="171">
        <f t="shared" si="59"/>
        <v>16</v>
      </c>
      <c r="F227" s="234"/>
      <c r="G227" s="235">
        <f t="shared" si="57"/>
        <v>16</v>
      </c>
      <c r="H227" s="172">
        <f t="shared" si="58"/>
        <v>4.3881301080577037E-4</v>
      </c>
      <c r="I227" s="337"/>
      <c r="J227" s="168"/>
      <c r="K227" s="168"/>
    </row>
    <row r="228" spans="1:11" ht="13.5" thickBot="1">
      <c r="A228" s="163"/>
      <c r="B228" s="236" t="s">
        <v>75</v>
      </c>
      <c r="C228" s="491">
        <f>SUM(C219:C227)</f>
        <v>36462</v>
      </c>
      <c r="D228" s="491">
        <f>SUM(D219:D227)</f>
        <v>0</v>
      </c>
      <c r="E228" s="237">
        <f>SUM(E219:E227)</f>
        <v>36462</v>
      </c>
      <c r="F228" s="237">
        <f>SUM(F219:F227)</f>
        <v>0</v>
      </c>
      <c r="G228" s="237">
        <f>SUM(G219:G227)</f>
        <v>36462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620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619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492">
        <f>'[59]Sch D'!N22</f>
        <v>220</v>
      </c>
      <c r="D231" s="526"/>
      <c r="E231" s="235">
        <f>C231+D231</f>
        <v>220</v>
      </c>
      <c r="F231" s="235"/>
      <c r="G231" s="235">
        <f>E231+F231</f>
        <v>220</v>
      </c>
      <c r="H231" s="167"/>
      <c r="J231" s="168"/>
      <c r="K231" s="168"/>
    </row>
    <row r="232" spans="1:11">
      <c r="A232" s="163"/>
      <c r="B232" s="202" t="s">
        <v>290</v>
      </c>
      <c r="C232" s="492">
        <f>'[59]Sch D'!N24</f>
        <v>220</v>
      </c>
      <c r="D232" s="526"/>
      <c r="E232" s="235">
        <f>C232+D232</f>
        <v>220</v>
      </c>
      <c r="F232" s="235"/>
      <c r="G232" s="235">
        <f>E232+F232</f>
        <v>220</v>
      </c>
      <c r="H232" s="167"/>
      <c r="J232" s="168"/>
      <c r="K232" s="168"/>
    </row>
    <row r="233" spans="1:11">
      <c r="A233" s="163"/>
      <c r="B233" s="202" t="s">
        <v>76</v>
      </c>
      <c r="C233" s="492">
        <f>$C$4-$C$3+1</f>
        <v>365</v>
      </c>
      <c r="D233" s="489"/>
      <c r="E233" s="235">
        <f>C233+D233</f>
        <v>365</v>
      </c>
      <c r="F233" s="240"/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621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492">
        <f>'[59]Sch D'!N28</f>
        <v>80300</v>
      </c>
      <c r="D235" s="489"/>
      <c r="E235" s="234">
        <f>E231*E233</f>
        <v>80300</v>
      </c>
      <c r="F235" s="240"/>
      <c r="G235" s="234">
        <f>G231*G233</f>
        <v>80300</v>
      </c>
      <c r="H235" s="167"/>
      <c r="J235" s="168"/>
      <c r="K235" s="168"/>
    </row>
    <row r="236" spans="1:11" ht="26">
      <c r="A236" s="163"/>
      <c r="B236" s="244" t="s">
        <v>336</v>
      </c>
      <c r="C236" s="493">
        <f>'[59]Sch D'!N30</f>
        <v>0.45407222914072232</v>
      </c>
      <c r="D236" s="240"/>
      <c r="E236" s="245">
        <f>E228/E235</f>
        <v>0.45407222914072232</v>
      </c>
      <c r="F236" s="246"/>
      <c r="G236" s="245">
        <f>G228/G235</f>
        <v>0.45407222914072232</v>
      </c>
      <c r="H236" s="167"/>
      <c r="J236" s="168"/>
      <c r="K236" s="168"/>
    </row>
    <row r="237" spans="1:11" ht="26">
      <c r="A237" s="163"/>
      <c r="B237" s="244" t="s">
        <v>337</v>
      </c>
      <c r="C237" s="493">
        <f>'[59]Sch D'!N32</f>
        <v>0.27423412204234121</v>
      </c>
      <c r="D237" s="240"/>
      <c r="E237" s="245">
        <f>(E219+E220)/E235</f>
        <v>0.27423412204234121</v>
      </c>
      <c r="F237" s="246"/>
      <c r="G237" s="245">
        <f>(G219+G220)/G235</f>
        <v>0.27423412204234121</v>
      </c>
      <c r="H237" s="167"/>
      <c r="J237" s="168"/>
      <c r="K237" s="168"/>
    </row>
    <row r="238" spans="1:11" ht="26">
      <c r="A238" s="163"/>
      <c r="B238" s="244" t="s">
        <v>338</v>
      </c>
      <c r="C238" s="493">
        <f>'[59]Sch D'!N34</f>
        <v>0.60394383193461676</v>
      </c>
      <c r="D238" s="240"/>
      <c r="E238" s="245">
        <f>(E237/E236)</f>
        <v>0.60394383193461676</v>
      </c>
      <c r="F238" s="246"/>
      <c r="G238" s="245">
        <f>(G237/G236)</f>
        <v>0.60394383193461676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490">
        <f>'[59]Sch B'!C85</f>
        <v>235.85836909871244</v>
      </c>
    </row>
    <row r="242" spans="2:7">
      <c r="F242" s="142" t="s">
        <v>341</v>
      </c>
      <c r="G242" s="490">
        <f>'[59]Sch B'!E85</f>
        <v>223.74852652259332</v>
      </c>
    </row>
    <row r="243" spans="2:7">
      <c r="F243" s="142" t="s">
        <v>342</v>
      </c>
      <c r="G243" s="490">
        <f>'[59]Sch B'!G85</f>
        <v>211.28336079077431</v>
      </c>
    </row>
    <row r="244" spans="2:7">
      <c r="F244" s="142" t="s">
        <v>343</v>
      </c>
      <c r="G244" s="490">
        <f>'[59]Sch B'!I85</f>
        <v>231.33630952380952</v>
      </c>
    </row>
    <row r="245" spans="2:7">
      <c r="F245" s="142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F5" sqref="F5"/>
      <pageMargins left="0" right="0" top="0.75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mergeCells count="1">
    <mergeCell ref="E3:F4"/>
  </mergeCell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E28CAB"/>
  </sheetPr>
  <dimension ref="A1:Z245"/>
  <sheetViews>
    <sheetView showGridLines="0" zoomScale="90" zoomScaleNormal="90" workbookViewId="0">
      <pane xSplit="2" topLeftCell="C1" activePane="topRight" state="frozen"/>
      <selection activeCell="N1" sqref="N1"/>
      <selection pane="topRight"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478"/>
      <c r="E1" s="478"/>
      <c r="F1" s="478"/>
      <c r="G1" s="478"/>
      <c r="H1" s="478"/>
      <c r="I1" s="479"/>
    </row>
    <row r="2" spans="1:14" ht="23">
      <c r="B2" s="143" t="s">
        <v>189</v>
      </c>
      <c r="C2" s="247" t="s">
        <v>455</v>
      </c>
      <c r="D2" s="247"/>
      <c r="E2" s="144"/>
      <c r="F2" s="465"/>
    </row>
    <row r="3" spans="1:14">
      <c r="A3" s="145"/>
      <c r="B3" s="140" t="s">
        <v>79</v>
      </c>
      <c r="C3" s="495">
        <v>41821</v>
      </c>
      <c r="D3" s="144"/>
      <c r="E3" s="147"/>
      <c r="F3" s="524"/>
    </row>
    <row r="4" spans="1:14">
      <c r="A4" s="145"/>
      <c r="B4" s="148" t="s">
        <v>80</v>
      </c>
      <c r="C4" s="495">
        <v>42185</v>
      </c>
      <c r="D4" s="144"/>
      <c r="E4" s="149"/>
      <c r="F4" s="524"/>
      <c r="G4" s="150"/>
    </row>
    <row r="5" spans="1:14">
      <c r="A5" s="145"/>
      <c r="B5" s="148"/>
      <c r="C5" s="151"/>
      <c r="D5" s="144"/>
      <c r="F5" s="524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 ht="15.5">
      <c r="A9" s="145"/>
      <c r="C9" s="151"/>
      <c r="D9" s="144"/>
      <c r="F9"/>
      <c r="G9" s="144"/>
    </row>
    <row r="10" spans="1:14" s="167" customFormat="1" ht="16" thickBot="1">
      <c r="A10" s="163" t="s">
        <v>245</v>
      </c>
      <c r="B10" s="164" t="s">
        <v>246</v>
      </c>
      <c r="C10" s="165"/>
      <c r="D10" s="165"/>
      <c r="E10" s="165"/>
      <c r="F10"/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490">
        <f>'[6]Sch B'!E10</f>
        <v>6818805.7000000002</v>
      </c>
      <c r="D11" s="490">
        <f>'[6]Sch B'!G10</f>
        <v>0</v>
      </c>
      <c r="E11" s="171">
        <f>C11+D11</f>
        <v>6818805.7000000002</v>
      </c>
      <c r="F11" s="490"/>
      <c r="G11" s="171">
        <f t="shared" ref="G11:G20" si="0">E11+F11</f>
        <v>6818805.7000000002</v>
      </c>
      <c r="H11" s="172">
        <f t="shared" ref="H11:H21" si="1">IF($G$21=0,0,G11/$G$21)</f>
        <v>0.47623141392315327</v>
      </c>
      <c r="I11" s="337"/>
      <c r="J11" s="368" t="s">
        <v>344</v>
      </c>
      <c r="K11" s="369">
        <f>G21</f>
        <v>14318261.040000003</v>
      </c>
      <c r="M11" s="359">
        <f>IFERROR(G11/G219,0)</f>
        <v>243.25945203524671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490">
        <f>'[6]Sch B'!E15</f>
        <v>0</v>
      </c>
      <c r="D12" s="490">
        <f>'[6]Sch B'!G15</f>
        <v>0</v>
      </c>
      <c r="E12" s="171">
        <f t="shared" ref="E12:E20" si="2">C12+D12</f>
        <v>0</v>
      </c>
      <c r="F12" s="490"/>
      <c r="G12" s="171">
        <f>E12+F12</f>
        <v>0</v>
      </c>
      <c r="H12" s="172">
        <f t="shared" si="1"/>
        <v>0</v>
      </c>
      <c r="I12" s="337"/>
      <c r="J12" s="370" t="s">
        <v>345</v>
      </c>
      <c r="K12" s="371">
        <f>G208</f>
        <v>13526716.369999999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490">
        <f>'[6]Sch B'!E21</f>
        <v>3830389.4300000006</v>
      </c>
      <c r="D13" s="490">
        <f>'[6]Sch B'!G21</f>
        <v>0</v>
      </c>
      <c r="E13" s="171">
        <f t="shared" si="2"/>
        <v>3830389.4300000006</v>
      </c>
      <c r="F13" s="490"/>
      <c r="G13" s="171">
        <f t="shared" si="0"/>
        <v>3830389.4300000006</v>
      </c>
      <c r="H13" s="172">
        <f t="shared" si="1"/>
        <v>0.26751778161463102</v>
      </c>
      <c r="I13" s="337"/>
      <c r="J13" s="370" t="s">
        <v>346</v>
      </c>
      <c r="K13" s="371">
        <f>G228</f>
        <v>47439</v>
      </c>
      <c r="M13" s="359">
        <f t="shared" si="3"/>
        <v>547.98132045779698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490">
        <f>'[6]Sch B'!E27</f>
        <v>1565130.83</v>
      </c>
      <c r="D14" s="490">
        <f>'[6]Sch B'!G27</f>
        <v>0</v>
      </c>
      <c r="E14" s="171">
        <f t="shared" si="2"/>
        <v>1565130.83</v>
      </c>
      <c r="F14" s="490"/>
      <c r="G14" s="175">
        <f>E14+F14</f>
        <v>1565130.83</v>
      </c>
      <c r="H14" s="176">
        <f t="shared" si="1"/>
        <v>0.10931011982723286</v>
      </c>
      <c r="I14" s="338"/>
      <c r="J14" s="370" t="s">
        <v>347</v>
      </c>
      <c r="K14" s="371">
        <f>G231</f>
        <v>168</v>
      </c>
      <c r="M14" s="359">
        <f t="shared" si="3"/>
        <v>465.95142304257223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490">
        <f>'[6]Sch B'!E32</f>
        <v>0</v>
      </c>
      <c r="D15" s="490">
        <f>'[6]Sch B'!G32</f>
        <v>0</v>
      </c>
      <c r="E15" s="171">
        <f t="shared" si="2"/>
        <v>0</v>
      </c>
      <c r="F15" s="490"/>
      <c r="G15" s="171">
        <f t="shared" si="0"/>
        <v>0</v>
      </c>
      <c r="H15" s="172">
        <f t="shared" si="1"/>
        <v>0</v>
      </c>
      <c r="I15" s="337"/>
      <c r="J15" s="370" t="s">
        <v>348</v>
      </c>
      <c r="K15" s="371">
        <f>G235</f>
        <v>107352</v>
      </c>
      <c r="M15" s="359">
        <f t="shared" si="3"/>
        <v>0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490">
        <f>'[6]Sch B'!E37</f>
        <v>1424759.9600000002</v>
      </c>
      <c r="D16" s="490">
        <f>'[6]Sch B'!G37</f>
        <v>0</v>
      </c>
      <c r="E16" s="171">
        <f t="shared" si="2"/>
        <v>1424759.9600000002</v>
      </c>
      <c r="F16" s="490"/>
      <c r="G16" s="171">
        <f t="shared" si="0"/>
        <v>1424759.9600000002</v>
      </c>
      <c r="H16" s="172">
        <f t="shared" si="1"/>
        <v>9.9506494260702474E-2</v>
      </c>
      <c r="I16" s="337"/>
      <c r="J16" s="372"/>
      <c r="K16" s="371"/>
      <c r="M16" s="359">
        <f t="shared" si="3"/>
        <v>259.1414987268098</v>
      </c>
      <c r="N16" s="359">
        <f>SUMMARY!J19</f>
        <v>199.44117347347731</v>
      </c>
    </row>
    <row r="17" spans="1:26" s="167" customFormat="1">
      <c r="A17" s="169" t="s">
        <v>215</v>
      </c>
      <c r="B17" s="170" t="s">
        <v>228</v>
      </c>
      <c r="C17" s="490">
        <f>'[6]Sch B'!E42</f>
        <v>0</v>
      </c>
      <c r="D17" s="490">
        <f>'[6]Sch B'!G42</f>
        <v>341309.24</v>
      </c>
      <c r="E17" s="171">
        <f t="shared" si="2"/>
        <v>341309.24</v>
      </c>
      <c r="F17" s="490"/>
      <c r="G17" s="171">
        <f>E17+F17</f>
        <v>341309.24</v>
      </c>
      <c r="H17" s="172">
        <f t="shared" si="1"/>
        <v>2.3837338839298037E-2</v>
      </c>
      <c r="I17" s="337"/>
      <c r="J17" s="370" t="s">
        <v>156</v>
      </c>
      <c r="K17" s="371">
        <f>J208</f>
        <v>312793.59999999998</v>
      </c>
      <c r="M17" s="359">
        <f t="shared" si="3"/>
        <v>160.31434476279944</v>
      </c>
      <c r="N17" s="359">
        <f>SUMMARY!J20</f>
        <v>174.81134252751988</v>
      </c>
    </row>
    <row r="18" spans="1:26" s="167" customFormat="1" ht="13.5" thickBot="1">
      <c r="A18" s="169" t="s">
        <v>216</v>
      </c>
      <c r="B18" s="170" t="s">
        <v>229</v>
      </c>
      <c r="C18" s="490">
        <f>'[6]Sch B'!E47</f>
        <v>628524.29999999993</v>
      </c>
      <c r="D18" s="490">
        <f>'[6]Sch B'!G47</f>
        <v>-341310</v>
      </c>
      <c r="E18" s="171">
        <f t="shared" si="2"/>
        <v>287214.29999999993</v>
      </c>
      <c r="F18" s="490"/>
      <c r="G18" s="171">
        <f>E18+F18</f>
        <v>287214.29999999993</v>
      </c>
      <c r="H18" s="172">
        <f t="shared" si="1"/>
        <v>2.0059300441417283E-2</v>
      </c>
      <c r="I18" s="337"/>
      <c r="J18" s="373" t="s">
        <v>252</v>
      </c>
      <c r="K18" s="374">
        <f>K208</f>
        <v>326545.64999999997</v>
      </c>
      <c r="M18" s="359">
        <f t="shared" si="3"/>
        <v>206.33211206896547</v>
      </c>
      <c r="N18" s="359">
        <f>SUMMARY!J21</f>
        <v>183.50924381494963</v>
      </c>
    </row>
    <row r="19" spans="1:26" s="167" customFormat="1">
      <c r="A19" s="169" t="s">
        <v>227</v>
      </c>
      <c r="B19" s="177" t="s">
        <v>173</v>
      </c>
      <c r="C19" s="490">
        <f>'[6]Sch B'!E52</f>
        <v>8891.11</v>
      </c>
      <c r="D19" s="490">
        <f>'[6]Sch B'!G52</f>
        <v>0</v>
      </c>
      <c r="E19" s="171">
        <f t="shared" si="2"/>
        <v>8891.11</v>
      </c>
      <c r="F19" s="490"/>
      <c r="G19" s="171">
        <f t="shared" si="0"/>
        <v>8891.11</v>
      </c>
      <c r="H19" s="172">
        <f t="shared" si="1"/>
        <v>6.2096297693983087E-4</v>
      </c>
      <c r="I19" s="337"/>
      <c r="J19" s="168"/>
      <c r="K19" s="168"/>
      <c r="M19" s="359">
        <f t="shared" si="3"/>
        <v>222.27775000000003</v>
      </c>
      <c r="N19" s="359">
        <f>SUMMARY!J22</f>
        <v>376.584981890248</v>
      </c>
    </row>
    <row r="20" spans="1:26" s="167" customFormat="1">
      <c r="A20" s="169" t="s">
        <v>183</v>
      </c>
      <c r="B20" s="23" t="s">
        <v>180</v>
      </c>
      <c r="C20" s="490">
        <f>'[6]Sch B'!E67</f>
        <v>41760.47</v>
      </c>
      <c r="D20" s="490">
        <f>'[6]Sch B'!G67</f>
        <v>0</v>
      </c>
      <c r="E20" s="171">
        <f t="shared" si="2"/>
        <v>41760.47</v>
      </c>
      <c r="F20" s="490"/>
      <c r="G20" s="171">
        <f t="shared" si="0"/>
        <v>41760.47</v>
      </c>
      <c r="H20" s="172">
        <f t="shared" si="1"/>
        <v>2.9165881166250893E-3</v>
      </c>
      <c r="I20" s="337"/>
      <c r="J20" s="168"/>
      <c r="K20" s="168"/>
      <c r="M20" s="362" t="s">
        <v>200</v>
      </c>
      <c r="N20" s="362" t="s">
        <v>200</v>
      </c>
    </row>
    <row r="21" spans="1:26" s="167" customFormat="1">
      <c r="A21" s="169"/>
      <c r="B21" s="178" t="s">
        <v>77</v>
      </c>
      <c r="C21" s="490">
        <f>SUM(C11:C20)</f>
        <v>14318261.800000003</v>
      </c>
      <c r="D21" s="490">
        <f>SUM(D11:D20)</f>
        <v>-0.76000000000931323</v>
      </c>
      <c r="E21" s="171">
        <f>SUM(E11:E20)</f>
        <v>14318261.040000003</v>
      </c>
      <c r="F21" s="171">
        <f>SUM(F11:F20)</f>
        <v>0</v>
      </c>
      <c r="G21" s="171">
        <f>SUM(G11:G20)</f>
        <v>14318261.040000003</v>
      </c>
      <c r="H21" s="172">
        <f t="shared" si="1"/>
        <v>1</v>
      </c>
      <c r="I21" s="337"/>
      <c r="J21" s="168"/>
      <c r="K21" s="168"/>
      <c r="M21" s="359">
        <f>IFERROR(G21/G228,0)</f>
        <v>301.8246809587049</v>
      </c>
      <c r="N21" s="359">
        <f>SUMMARY!J24</f>
        <v>264.67475627099196</v>
      </c>
    </row>
    <row r="22" spans="1:26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26" ht="26.5">
      <c r="A23" s="180" t="s">
        <v>231</v>
      </c>
      <c r="B23" s="179" t="s">
        <v>222</v>
      </c>
      <c r="C23" s="151"/>
      <c r="D23" s="144"/>
      <c r="F23"/>
      <c r="G23" s="144"/>
      <c r="M23" s="363"/>
      <c r="N23" s="363"/>
      <c r="W23" s="140" t="s">
        <v>502</v>
      </c>
      <c r="Y23" s="140" t="s">
        <v>503</v>
      </c>
    </row>
    <row r="24" spans="1:26" ht="15.5">
      <c r="A24" s="181" t="s">
        <v>161</v>
      </c>
      <c r="B24" s="148" t="s">
        <v>12</v>
      </c>
      <c r="F24"/>
      <c r="M24" s="363"/>
      <c r="N24" s="363"/>
      <c r="W24" s="140" t="s">
        <v>498</v>
      </c>
      <c r="X24" s="140" t="s">
        <v>499</v>
      </c>
      <c r="Y24" s="140" t="s">
        <v>498</v>
      </c>
      <c r="Z24" s="140" t="s">
        <v>499</v>
      </c>
    </row>
    <row r="25" spans="1:26" s="167" customFormat="1">
      <c r="A25" s="169" t="s">
        <v>83</v>
      </c>
      <c r="B25" s="170" t="s">
        <v>14</v>
      </c>
      <c r="C25" s="490">
        <f>'[6]Sch C'!D10</f>
        <v>0</v>
      </c>
      <c r="D25" s="490">
        <f>'[6]Sch C'!F10</f>
        <v>103735</v>
      </c>
      <c r="E25" s="171">
        <f t="shared" ref="E25:E60" si="4">C25+D25</f>
        <v>103735</v>
      </c>
      <c r="F25" s="490"/>
      <c r="G25" s="182">
        <f>E25+F25</f>
        <v>103735</v>
      </c>
      <c r="H25" s="172">
        <f>IF($G$208=0,0,G25/$G$208)</f>
        <v>7.6688973999681793E-3</v>
      </c>
      <c r="I25" s="337"/>
      <c r="J25" s="183">
        <v>1920</v>
      </c>
      <c r="K25" s="183">
        <v>2080</v>
      </c>
      <c r="M25" s="359">
        <f>G25/G$228</f>
        <v>2.1867029237547166</v>
      </c>
      <c r="N25" s="359">
        <f>SUMMARY!J28</f>
        <v>5.1446587373365018</v>
      </c>
      <c r="W25" s="183">
        <v>0</v>
      </c>
      <c r="X25" s="183">
        <v>0</v>
      </c>
      <c r="Y25" s="492">
        <v>0</v>
      </c>
      <c r="Z25" s="492">
        <v>0</v>
      </c>
    </row>
    <row r="26" spans="1:26" s="167" customFormat="1">
      <c r="A26" s="169" t="s">
        <v>84</v>
      </c>
      <c r="B26" s="170" t="s">
        <v>176</v>
      </c>
      <c r="C26" s="490">
        <f>'[6]Sch C'!D11</f>
        <v>0</v>
      </c>
      <c r="D26" s="490">
        <f>'[6]Sch C'!F11</f>
        <v>0</v>
      </c>
      <c r="E26" s="171">
        <f t="shared" si="4"/>
        <v>0</v>
      </c>
      <c r="F26" s="490"/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  <c r="W26" s="183">
        <v>0</v>
      </c>
      <c r="X26" s="183">
        <v>0</v>
      </c>
      <c r="Y26" s="492">
        <v>0</v>
      </c>
      <c r="Z26" s="492">
        <v>0</v>
      </c>
    </row>
    <row r="27" spans="1:26" s="167" customFormat="1">
      <c r="A27" s="169" t="s">
        <v>85</v>
      </c>
      <c r="B27" s="170" t="s">
        <v>17</v>
      </c>
      <c r="C27" s="490">
        <f>'[6]Sch C'!D12</f>
        <v>218482.27</v>
      </c>
      <c r="D27" s="490">
        <f>'[6]Sch C'!F12</f>
        <v>0</v>
      </c>
      <c r="E27" s="171">
        <f t="shared" si="4"/>
        <v>218482.27</v>
      </c>
      <c r="F27" s="490"/>
      <c r="G27" s="171">
        <f t="shared" si="5"/>
        <v>218482.27</v>
      </c>
      <c r="H27" s="172">
        <f t="shared" si="6"/>
        <v>1.6151907382678417E-2</v>
      </c>
      <c r="I27" s="337"/>
      <c r="J27" s="183">
        <v>0</v>
      </c>
      <c r="K27" s="183">
        <v>0</v>
      </c>
      <c r="M27" s="359">
        <f t="shared" si="7"/>
        <v>4.6055412213579539</v>
      </c>
      <c r="N27" s="359">
        <f>SUMMARY!J30</f>
        <v>6.5653829268620019</v>
      </c>
      <c r="W27" s="185">
        <v>2752</v>
      </c>
      <c r="X27" s="185">
        <v>2947</v>
      </c>
      <c r="Y27" s="492">
        <v>8423</v>
      </c>
      <c r="Z27" s="492">
        <v>8877</v>
      </c>
    </row>
    <row r="28" spans="1:26" s="167" customFormat="1">
      <c r="A28" s="169" t="s">
        <v>86</v>
      </c>
      <c r="B28" s="170" t="s">
        <v>45</v>
      </c>
      <c r="C28" s="490">
        <f>'[6]Sch C'!D13</f>
        <v>62759.17</v>
      </c>
      <c r="D28" s="490">
        <f>'[6]Sch C'!F13</f>
        <v>10373.5</v>
      </c>
      <c r="E28" s="171">
        <f t="shared" si="4"/>
        <v>73132.67</v>
      </c>
      <c r="F28" s="490"/>
      <c r="G28" s="171">
        <f t="shared" si="5"/>
        <v>73132.67</v>
      </c>
      <c r="H28" s="172">
        <f t="shared" si="6"/>
        <v>5.4065353334528448E-3</v>
      </c>
      <c r="I28" s="337"/>
      <c r="J28" s="168"/>
      <c r="K28" s="168"/>
      <c r="M28" s="359">
        <f t="shared" si="7"/>
        <v>1.541614915997386</v>
      </c>
      <c r="N28" s="359">
        <f>SUMMARY!J31</f>
        <v>2.1760486719355461</v>
      </c>
      <c r="W28" s="168"/>
      <c r="X28" s="168"/>
      <c r="Y28" s="527"/>
      <c r="Z28" s="527"/>
    </row>
    <row r="29" spans="1:26" s="167" customFormat="1">
      <c r="A29" s="169" t="s">
        <v>175</v>
      </c>
      <c r="B29" s="170" t="s">
        <v>20</v>
      </c>
      <c r="C29" s="490">
        <f>'[6]Sch C'!D14</f>
        <v>0</v>
      </c>
      <c r="D29" s="490">
        <f>'[6]Sch C'!F14</f>
        <v>0</v>
      </c>
      <c r="E29" s="171">
        <f t="shared" si="4"/>
        <v>0</v>
      </c>
      <c r="F29" s="490"/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  <c r="W29" s="168"/>
      <c r="X29" s="168"/>
      <c r="Y29" s="527"/>
      <c r="Z29" s="527"/>
    </row>
    <row r="30" spans="1:26" s="167" customFormat="1">
      <c r="A30" s="169" t="s">
        <v>88</v>
      </c>
      <c r="B30" s="170" t="s">
        <v>22</v>
      </c>
      <c r="C30" s="490">
        <f>'[6]Sch C'!D15</f>
        <v>0</v>
      </c>
      <c r="D30" s="490">
        <f>'[6]Sch C'!F15</f>
        <v>0</v>
      </c>
      <c r="E30" s="171">
        <f t="shared" si="4"/>
        <v>0</v>
      </c>
      <c r="F30" s="490"/>
      <c r="G30" s="171">
        <f t="shared" si="5"/>
        <v>0</v>
      </c>
      <c r="H30" s="172">
        <f t="shared" si="6"/>
        <v>0</v>
      </c>
      <c r="I30" s="337"/>
      <c r="J30" s="168"/>
      <c r="K30" s="168"/>
      <c r="M30" s="359">
        <f t="shared" si="7"/>
        <v>0</v>
      </c>
      <c r="N30" s="359">
        <f>SUMMARY!J33</f>
        <v>1.6617191665983997</v>
      </c>
      <c r="W30" s="168"/>
      <c r="X30" s="168"/>
      <c r="Y30" s="527"/>
      <c r="Z30" s="527"/>
    </row>
    <row r="31" spans="1:26" s="167" customFormat="1">
      <c r="A31" s="169" t="s">
        <v>89</v>
      </c>
      <c r="B31" s="170" t="s">
        <v>148</v>
      </c>
      <c r="C31" s="490">
        <f>'[6]Sch C'!D16</f>
        <v>769626.52</v>
      </c>
      <c r="D31" s="490">
        <f>'[6]Sch C'!F16</f>
        <v>-6108</v>
      </c>
      <c r="E31" s="171">
        <f t="shared" si="4"/>
        <v>763518.52</v>
      </c>
      <c r="F31" s="581"/>
      <c r="G31" s="171">
        <f t="shared" si="5"/>
        <v>763518.52</v>
      </c>
      <c r="H31" s="172">
        <f t="shared" si="6"/>
        <v>5.6445222854924107E-2</v>
      </c>
      <c r="I31" s="337"/>
      <c r="J31" s="168"/>
      <c r="K31" s="168"/>
      <c r="M31" s="359">
        <f t="shared" si="7"/>
        <v>16.094743143826811</v>
      </c>
      <c r="N31" s="359">
        <f>SUMMARY!J34</f>
        <v>11.049930353021256</v>
      </c>
      <c r="W31" s="168"/>
      <c r="X31" s="168"/>
      <c r="Y31" s="527"/>
      <c r="Z31" s="527"/>
    </row>
    <row r="32" spans="1:26" s="167" customFormat="1">
      <c r="A32" s="169" t="s">
        <v>90</v>
      </c>
      <c r="B32" s="170" t="s">
        <v>23</v>
      </c>
      <c r="C32" s="490">
        <f>'[6]Sch C'!D17</f>
        <v>36804.22</v>
      </c>
      <c r="D32" s="490">
        <f>'[6]Sch C'!F17</f>
        <v>0</v>
      </c>
      <c r="E32" s="171">
        <f t="shared" si="4"/>
        <v>36804.22</v>
      </c>
      <c r="F32" s="490"/>
      <c r="G32" s="171">
        <f t="shared" si="5"/>
        <v>36804.22</v>
      </c>
      <c r="H32" s="172">
        <f t="shared" si="6"/>
        <v>2.7208539747033966E-3</v>
      </c>
      <c r="I32" s="337"/>
      <c r="J32" s="168"/>
      <c r="K32" s="168"/>
      <c r="M32" s="359">
        <f t="shared" si="7"/>
        <v>0.77582200299331772</v>
      </c>
      <c r="N32" s="359">
        <f>SUMMARY!J35</f>
        <v>0.14536890308839193</v>
      </c>
      <c r="W32" s="168"/>
      <c r="X32" s="168"/>
      <c r="Y32" s="527"/>
      <c r="Z32" s="527"/>
    </row>
    <row r="33" spans="1:26" s="167" customFormat="1">
      <c r="A33" s="169" t="s">
        <v>91</v>
      </c>
      <c r="B33" s="170" t="s">
        <v>24</v>
      </c>
      <c r="C33" s="490">
        <f>'[6]Sch C'!D18</f>
        <v>33409.78</v>
      </c>
      <c r="D33" s="490">
        <f>'[6]Sch C'!F18</f>
        <v>0</v>
      </c>
      <c r="E33" s="171">
        <f t="shared" si="4"/>
        <v>33409.78</v>
      </c>
      <c r="F33" s="490"/>
      <c r="G33" s="171">
        <f t="shared" si="5"/>
        <v>33409.78</v>
      </c>
      <c r="H33" s="172">
        <f t="shared" si="6"/>
        <v>2.4699105892467235E-3</v>
      </c>
      <c r="I33" s="337"/>
      <c r="J33" s="168"/>
      <c r="K33" s="168"/>
      <c r="M33" s="359">
        <f t="shared" si="7"/>
        <v>0.70426821813275997</v>
      </c>
      <c r="N33" s="359">
        <f>SUMMARY!J36</f>
        <v>0.8867545233609132</v>
      </c>
      <c r="W33" s="168"/>
      <c r="X33" s="168"/>
      <c r="Y33" s="527"/>
      <c r="Z33" s="527"/>
    </row>
    <row r="34" spans="1:26" s="167" customFormat="1">
      <c r="A34" s="169" t="s">
        <v>92</v>
      </c>
      <c r="B34" s="170" t="s">
        <v>25</v>
      </c>
      <c r="C34" s="490">
        <f>'[6]Sch C'!D19</f>
        <v>45213.64</v>
      </c>
      <c r="D34" s="490">
        <f>'[6]Sch C'!F19</f>
        <v>0</v>
      </c>
      <c r="E34" s="171">
        <f t="shared" si="4"/>
        <v>45213.64</v>
      </c>
      <c r="F34" s="490"/>
      <c r="G34" s="171">
        <f t="shared" si="5"/>
        <v>45213.64</v>
      </c>
      <c r="H34" s="172">
        <f t="shared" si="6"/>
        <v>3.3425436568091508E-3</v>
      </c>
      <c r="I34" s="337"/>
      <c r="J34" s="168"/>
      <c r="K34" s="168"/>
      <c r="M34" s="359">
        <f t="shared" si="7"/>
        <v>0.95309007356816122</v>
      </c>
      <c r="N34" s="359">
        <f>SUMMARY!J37</f>
        <v>0.90101991185385411</v>
      </c>
      <c r="W34" s="168"/>
      <c r="X34" s="168"/>
      <c r="Y34" s="527"/>
      <c r="Z34" s="527"/>
    </row>
    <row r="35" spans="1:26" s="167" customFormat="1">
      <c r="A35" s="169" t="s">
        <v>93</v>
      </c>
      <c r="B35" s="170" t="s">
        <v>26</v>
      </c>
      <c r="C35" s="490">
        <f>'[6]Sch C'!D20</f>
        <v>36610.199999999997</v>
      </c>
      <c r="D35" s="490">
        <f>'[6]Sch C'!F20</f>
        <v>0</v>
      </c>
      <c r="E35" s="171">
        <f t="shared" si="4"/>
        <v>36610.199999999997</v>
      </c>
      <c r="F35" s="490"/>
      <c r="G35" s="171">
        <f t="shared" si="5"/>
        <v>36610.199999999997</v>
      </c>
      <c r="H35" s="172">
        <f t="shared" si="6"/>
        <v>2.7065105084331711E-3</v>
      </c>
      <c r="I35" s="337"/>
      <c r="J35" s="168"/>
      <c r="K35" s="168"/>
      <c r="M35" s="359">
        <f t="shared" si="7"/>
        <v>0.77173211914247763</v>
      </c>
      <c r="N35" s="359">
        <f>SUMMARY!J38</f>
        <v>0.79427546489719036</v>
      </c>
      <c r="W35" s="168"/>
      <c r="X35" s="168"/>
      <c r="Y35" s="527"/>
      <c r="Z35" s="527"/>
    </row>
    <row r="36" spans="1:26" s="167" customFormat="1">
      <c r="A36" s="169" t="s">
        <v>94</v>
      </c>
      <c r="B36" s="170" t="s">
        <v>27</v>
      </c>
      <c r="C36" s="490">
        <f>'[6]Sch C'!D21</f>
        <v>28197.49</v>
      </c>
      <c r="D36" s="490">
        <f>'[6]Sch C'!F21</f>
        <v>-25270</v>
      </c>
      <c r="E36" s="171">
        <f t="shared" si="4"/>
        <v>2927.4900000000016</v>
      </c>
      <c r="F36" s="490"/>
      <c r="G36" s="171">
        <f t="shared" si="5"/>
        <v>2927.4900000000016</v>
      </c>
      <c r="H36" s="172">
        <f t="shared" si="6"/>
        <v>2.1642281244934551E-4</v>
      </c>
      <c r="I36" s="337"/>
      <c r="J36" s="168"/>
      <c r="K36" s="168"/>
      <c r="M36" s="359">
        <f t="shared" si="7"/>
        <v>6.1710617846076045E-2</v>
      </c>
      <c r="N36" s="359">
        <f>SUMMARY!J39</f>
        <v>0.98747949537150814</v>
      </c>
      <c r="W36" s="168"/>
      <c r="X36" s="168"/>
      <c r="Y36" s="527"/>
      <c r="Z36" s="527"/>
    </row>
    <row r="37" spans="1:26" s="167" customFormat="1">
      <c r="A37" s="163">
        <v>130</v>
      </c>
      <c r="B37" s="170" t="s">
        <v>28</v>
      </c>
      <c r="C37" s="490">
        <f>'[6]Sch C'!D22</f>
        <v>0</v>
      </c>
      <c r="D37" s="490">
        <f>'[6]Sch C'!F22</f>
        <v>0</v>
      </c>
      <c r="E37" s="171">
        <f t="shared" si="4"/>
        <v>0</v>
      </c>
      <c r="F37" s="490"/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  <c r="W37" s="168"/>
      <c r="X37" s="168"/>
      <c r="Y37" s="527"/>
      <c r="Z37" s="527"/>
    </row>
    <row r="38" spans="1:26" s="167" customFormat="1">
      <c r="A38" s="163">
        <v>140</v>
      </c>
      <c r="B38" s="170" t="s">
        <v>149</v>
      </c>
      <c r="C38" s="490">
        <f>'[6]Sch C'!D23</f>
        <v>34512.300000000003</v>
      </c>
      <c r="D38" s="490">
        <f>'[6]Sch C'!F23</f>
        <v>0</v>
      </c>
      <c r="E38" s="171">
        <f t="shared" si="4"/>
        <v>34512.300000000003</v>
      </c>
      <c r="F38" s="490"/>
      <c r="G38" s="171">
        <f t="shared" si="5"/>
        <v>34512.300000000003</v>
      </c>
      <c r="H38" s="172">
        <f t="shared" si="6"/>
        <v>2.551417436129771E-3</v>
      </c>
      <c r="I38" s="337"/>
      <c r="J38" s="168"/>
      <c r="K38" s="168"/>
      <c r="M38" s="359">
        <f t="shared" si="7"/>
        <v>0.7275090115727566</v>
      </c>
      <c r="N38" s="359">
        <f>SUMMARY!J41</f>
        <v>0.63060479506294209</v>
      </c>
      <c r="W38" s="168"/>
      <c r="X38" s="168"/>
      <c r="Y38" s="527"/>
      <c r="Z38" s="527"/>
    </row>
    <row r="39" spans="1:26" s="167" customFormat="1">
      <c r="A39" s="163">
        <v>150</v>
      </c>
      <c r="B39" s="170" t="s">
        <v>29</v>
      </c>
      <c r="C39" s="490">
        <f>'[6]Sch C'!D24</f>
        <v>114.17</v>
      </c>
      <c r="D39" s="490">
        <f>'[6]Sch C'!F24</f>
        <v>0</v>
      </c>
      <c r="E39" s="171">
        <f t="shared" si="4"/>
        <v>114.17</v>
      </c>
      <c r="F39" s="490"/>
      <c r="G39" s="171">
        <f t="shared" si="5"/>
        <v>114.17</v>
      </c>
      <c r="H39" s="172">
        <f t="shared" si="6"/>
        <v>8.4403336979261289E-6</v>
      </c>
      <c r="I39" s="337"/>
      <c r="J39" s="168"/>
      <c r="K39" s="168"/>
      <c r="M39" s="359">
        <f t="shared" si="7"/>
        <v>2.4066696178249962E-3</v>
      </c>
      <c r="N39" s="359">
        <f>SUMMARY!J42</f>
        <v>0.77563123344529072</v>
      </c>
      <c r="W39" s="168"/>
      <c r="X39" s="168"/>
      <c r="Y39" s="527"/>
      <c r="Z39" s="527"/>
    </row>
    <row r="40" spans="1:26" s="167" customFormat="1">
      <c r="A40" s="163">
        <v>160</v>
      </c>
      <c r="B40" s="170" t="s">
        <v>30</v>
      </c>
      <c r="C40" s="490">
        <f>'[6]Sch C'!D25</f>
        <v>0</v>
      </c>
      <c r="D40" s="490">
        <f>'[6]Sch C'!F25</f>
        <v>0</v>
      </c>
      <c r="E40" s="171">
        <f t="shared" si="4"/>
        <v>0</v>
      </c>
      <c r="F40" s="490"/>
      <c r="G40" s="171">
        <f t="shared" si="5"/>
        <v>0</v>
      </c>
      <c r="H40" s="172">
        <f t="shared" si="6"/>
        <v>0</v>
      </c>
      <c r="I40" s="337"/>
      <c r="J40" s="168"/>
      <c r="K40" s="168"/>
      <c r="M40" s="359">
        <f t="shared" si="7"/>
        <v>0</v>
      </c>
      <c r="N40" s="359">
        <f>SUMMARY!J43</f>
        <v>2.6613926435651674E-2</v>
      </c>
      <c r="W40" s="168"/>
      <c r="X40" s="168"/>
      <c r="Y40" s="527"/>
      <c r="Z40" s="527"/>
    </row>
    <row r="41" spans="1:26" s="167" customFormat="1">
      <c r="A41" s="163">
        <v>170</v>
      </c>
      <c r="B41" s="170" t="s">
        <v>31</v>
      </c>
      <c r="C41" s="490">
        <f>'[6]Sch C'!D26</f>
        <v>570312.6</v>
      </c>
      <c r="D41" s="490">
        <f>'[6]Sch C'!F26</f>
        <v>0</v>
      </c>
      <c r="E41" s="171">
        <f t="shared" si="4"/>
        <v>570312.6</v>
      </c>
      <c r="F41" s="490"/>
      <c r="G41" s="171">
        <f t="shared" si="5"/>
        <v>570312.6</v>
      </c>
      <c r="H41" s="172">
        <f t="shared" si="6"/>
        <v>4.2161939705105241E-2</v>
      </c>
      <c r="I41" s="337"/>
      <c r="J41" s="168"/>
      <c r="K41" s="168"/>
      <c r="M41" s="359">
        <f t="shared" si="7"/>
        <v>12.022019857079618</v>
      </c>
      <c r="N41" s="359">
        <f>SUMMARY!J44</f>
        <v>10.987269304497419</v>
      </c>
      <c r="W41" s="168"/>
      <c r="X41" s="168"/>
      <c r="Y41" s="527"/>
      <c r="Z41" s="527"/>
    </row>
    <row r="42" spans="1:26" s="167" customFormat="1">
      <c r="A42" s="163">
        <v>180</v>
      </c>
      <c r="B42" s="170" t="s">
        <v>32</v>
      </c>
      <c r="C42" s="490">
        <f>'[6]Sch C'!D27</f>
        <v>15034.82</v>
      </c>
      <c r="D42" s="490">
        <f>'[6]Sch C'!F27</f>
        <v>0</v>
      </c>
      <c r="E42" s="171">
        <f t="shared" si="4"/>
        <v>15034.82</v>
      </c>
      <c r="F42" s="490"/>
      <c r="G42" s="171">
        <f t="shared" si="5"/>
        <v>15034.82</v>
      </c>
      <c r="H42" s="172">
        <f t="shared" si="6"/>
        <v>1.1114907408973787E-3</v>
      </c>
      <c r="I42" s="337"/>
      <c r="J42" s="168"/>
      <c r="K42" s="168"/>
      <c r="M42" s="359">
        <f t="shared" si="7"/>
        <v>0.31692953055502854</v>
      </c>
      <c r="N42" s="359">
        <f>SUMMARY!J45</f>
        <v>0.64134655143223829</v>
      </c>
      <c r="W42" s="168"/>
      <c r="X42" s="168"/>
      <c r="Y42" s="527"/>
      <c r="Z42" s="527"/>
    </row>
    <row r="43" spans="1:26" s="167" customFormat="1">
      <c r="A43" s="163">
        <v>190</v>
      </c>
      <c r="B43" s="170" t="s">
        <v>33</v>
      </c>
      <c r="C43" s="490">
        <f>'[6]Sch C'!D28</f>
        <v>0</v>
      </c>
      <c r="D43" s="490">
        <f>'[6]Sch C'!F28</f>
        <v>0</v>
      </c>
      <c r="E43" s="171">
        <f t="shared" si="4"/>
        <v>0</v>
      </c>
      <c r="F43" s="490"/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  <c r="W43" s="168"/>
      <c r="X43" s="168"/>
      <c r="Y43" s="527"/>
      <c r="Z43" s="527"/>
    </row>
    <row r="44" spans="1:26" s="167" customFormat="1">
      <c r="A44" s="163">
        <v>200</v>
      </c>
      <c r="B44" s="170" t="s">
        <v>34</v>
      </c>
      <c r="C44" s="490">
        <f>'[6]Sch C'!D29</f>
        <v>310410.94</v>
      </c>
      <c r="D44" s="490">
        <f>'[6]Sch C'!F29</f>
        <v>-310410.94</v>
      </c>
      <c r="E44" s="171">
        <f t="shared" si="4"/>
        <v>0</v>
      </c>
      <c r="F44" s="490"/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  <c r="W44" s="168"/>
      <c r="X44" s="168"/>
      <c r="Y44" s="527"/>
      <c r="Z44" s="527"/>
    </row>
    <row r="45" spans="1:26" s="167" customFormat="1">
      <c r="A45" s="163">
        <v>210</v>
      </c>
      <c r="B45" s="170" t="s">
        <v>35</v>
      </c>
      <c r="C45" s="490">
        <f>'[6]Sch C'!D30</f>
        <v>400</v>
      </c>
      <c r="D45" s="490">
        <f>'[6]Sch C'!F30</f>
        <v>-400</v>
      </c>
      <c r="E45" s="171">
        <f t="shared" si="4"/>
        <v>0</v>
      </c>
      <c r="F45" s="490"/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  <c r="W45" s="168"/>
      <c r="X45" s="168"/>
      <c r="Y45" s="527"/>
      <c r="Z45" s="527"/>
    </row>
    <row r="46" spans="1:26" s="167" customFormat="1">
      <c r="A46" s="163">
        <v>220</v>
      </c>
      <c r="B46" s="170" t="s">
        <v>190</v>
      </c>
      <c r="C46" s="490">
        <f>'[6]Sch C'!D31</f>
        <v>1638.55</v>
      </c>
      <c r="D46" s="490">
        <f>'[6]Sch C'!F31</f>
        <v>0</v>
      </c>
      <c r="E46" s="171">
        <f t="shared" si="4"/>
        <v>1638.55</v>
      </c>
      <c r="F46" s="490"/>
      <c r="G46" s="171">
        <f t="shared" si="5"/>
        <v>1638.55</v>
      </c>
      <c r="H46" s="172">
        <f t="shared" si="6"/>
        <v>1.2113435036118822E-4</v>
      </c>
      <c r="I46" s="337"/>
      <c r="J46" s="168"/>
      <c r="K46" s="168"/>
      <c r="M46" s="359">
        <f t="shared" si="7"/>
        <v>3.4540146293134337E-2</v>
      </c>
      <c r="N46" s="359">
        <f>SUMMARY!J49</f>
        <v>1.2092098577319024</v>
      </c>
      <c r="W46" s="168"/>
      <c r="X46" s="168"/>
      <c r="Y46" s="527"/>
      <c r="Z46" s="527"/>
    </row>
    <row r="47" spans="1:26" s="167" customFormat="1">
      <c r="A47" s="163">
        <v>230</v>
      </c>
      <c r="B47" s="170" t="s">
        <v>191</v>
      </c>
      <c r="C47" s="490">
        <f>'[6]Sch C'!D32</f>
        <v>1150.8699999999999</v>
      </c>
      <c r="D47" s="490">
        <f>'[6]Sch C'!F32</f>
        <v>23029</v>
      </c>
      <c r="E47" s="171">
        <f t="shared" si="4"/>
        <v>24179.87</v>
      </c>
      <c r="F47" s="490"/>
      <c r="G47" s="171">
        <f t="shared" si="5"/>
        <v>24179.87</v>
      </c>
      <c r="H47" s="172">
        <f t="shared" si="6"/>
        <v>1.7875639097177285E-3</v>
      </c>
      <c r="I47" s="337"/>
      <c r="J47" s="168"/>
      <c r="K47" s="168"/>
      <c r="M47" s="359">
        <f t="shared" si="7"/>
        <v>0.5097044625729884</v>
      </c>
      <c r="N47" s="359">
        <f>SUMMARY!J50</f>
        <v>2.2270835363825316</v>
      </c>
      <c r="W47" s="168"/>
      <c r="X47" s="168"/>
      <c r="Y47" s="527"/>
      <c r="Z47" s="527"/>
    </row>
    <row r="48" spans="1:26" s="167" customFormat="1">
      <c r="A48" s="163">
        <v>240</v>
      </c>
      <c r="B48" s="170" t="s">
        <v>201</v>
      </c>
      <c r="C48" s="490">
        <f>'[6]Sch C'!D33</f>
        <v>-0.81</v>
      </c>
      <c r="D48" s="490">
        <f>'[6]Sch C'!F33</f>
        <v>0.81</v>
      </c>
      <c r="E48" s="171">
        <f t="shared" si="4"/>
        <v>0</v>
      </c>
      <c r="F48" s="490"/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  <c r="W48" s="168"/>
      <c r="X48" s="168"/>
      <c r="Y48" s="527"/>
      <c r="Z48" s="527"/>
    </row>
    <row r="49" spans="1:26" s="167" customFormat="1">
      <c r="A49" s="163">
        <v>250</v>
      </c>
      <c r="B49" s="170" t="s">
        <v>202</v>
      </c>
      <c r="C49" s="490">
        <f>'[6]Sch C'!D34</f>
        <v>0</v>
      </c>
      <c r="D49" s="490">
        <f>'[6]Sch C'!F34</f>
        <v>0</v>
      </c>
      <c r="E49" s="171">
        <f t="shared" si="4"/>
        <v>0</v>
      </c>
      <c r="F49" s="490"/>
      <c r="G49" s="171">
        <f t="shared" si="5"/>
        <v>0</v>
      </c>
      <c r="H49" s="172">
        <f t="shared" si="6"/>
        <v>0</v>
      </c>
      <c r="I49" s="337"/>
      <c r="J49" s="168"/>
      <c r="K49" s="168"/>
      <c r="M49" s="359">
        <f t="shared" si="7"/>
        <v>0</v>
      </c>
      <c r="N49" s="359">
        <f>SUMMARY!J52</f>
        <v>1.5242074219710003E-2</v>
      </c>
      <c r="W49" s="168"/>
      <c r="X49" s="168"/>
      <c r="Y49" s="527"/>
      <c r="Z49" s="527"/>
    </row>
    <row r="50" spans="1:26" s="167" customFormat="1">
      <c r="A50" s="163">
        <v>270</v>
      </c>
      <c r="B50" s="170" t="s">
        <v>203</v>
      </c>
      <c r="C50" s="490">
        <f>'[6]Sch C'!D35</f>
        <v>13348.52</v>
      </c>
      <c r="D50" s="490">
        <f>'[6]Sch C'!F35</f>
        <v>-13348.52</v>
      </c>
      <c r="E50" s="171">
        <f t="shared" si="4"/>
        <v>0</v>
      </c>
      <c r="F50" s="490"/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  <c r="W50" s="168"/>
      <c r="X50" s="168"/>
      <c r="Y50" s="527"/>
      <c r="Z50" s="527"/>
    </row>
    <row r="51" spans="1:26" s="167" customFormat="1">
      <c r="A51" s="163">
        <v>280</v>
      </c>
      <c r="B51" s="170" t="s">
        <v>204</v>
      </c>
      <c r="C51" s="490">
        <f>'[6]Sch C'!D36</f>
        <v>0</v>
      </c>
      <c r="D51" s="490">
        <f>'[6]Sch C'!F36</f>
        <v>0</v>
      </c>
      <c r="E51" s="171">
        <f t="shared" si="4"/>
        <v>0</v>
      </c>
      <c r="F51" s="490"/>
      <c r="G51" s="171">
        <f t="shared" si="5"/>
        <v>0</v>
      </c>
      <c r="H51" s="172">
        <f t="shared" si="6"/>
        <v>0</v>
      </c>
      <c r="I51" s="337"/>
      <c r="J51" s="183">
        <v>0</v>
      </c>
      <c r="K51" s="183">
        <v>0</v>
      </c>
      <c r="M51" s="359">
        <f t="shared" si="7"/>
        <v>0</v>
      </c>
      <c r="N51" s="359">
        <f>SUMMARY!J54</f>
        <v>0.46828948963709344</v>
      </c>
      <c r="W51" s="183">
        <v>0</v>
      </c>
      <c r="X51" s="183">
        <v>0</v>
      </c>
      <c r="Y51" s="492">
        <v>0</v>
      </c>
      <c r="Z51" s="492">
        <v>0</v>
      </c>
    </row>
    <row r="52" spans="1:26" s="167" customFormat="1">
      <c r="A52" s="163">
        <v>290</v>
      </c>
      <c r="B52" s="170" t="s">
        <v>205</v>
      </c>
      <c r="C52" s="490">
        <f>'[6]Sch C'!D37</f>
        <v>0</v>
      </c>
      <c r="D52" s="490">
        <f>'[6]Sch C'!F37</f>
        <v>0</v>
      </c>
      <c r="E52" s="171">
        <f t="shared" si="4"/>
        <v>0</v>
      </c>
      <c r="F52" s="490"/>
      <c r="G52" s="171">
        <f t="shared" si="5"/>
        <v>0</v>
      </c>
      <c r="H52" s="172">
        <f t="shared" si="6"/>
        <v>0</v>
      </c>
      <c r="I52" s="337"/>
      <c r="J52" s="168"/>
      <c r="K52" s="168"/>
      <c r="M52" s="359">
        <f t="shared" si="7"/>
        <v>0</v>
      </c>
      <c r="N52" s="359">
        <f>SUMMARY!J55</f>
        <v>7.2094073659366972E-2</v>
      </c>
      <c r="W52" s="168"/>
      <c r="X52" s="168"/>
      <c r="Y52" s="527"/>
      <c r="Z52" s="527"/>
    </row>
    <row r="53" spans="1:26" s="167" customFormat="1">
      <c r="A53" s="163">
        <v>300</v>
      </c>
      <c r="B53" s="170" t="s">
        <v>206</v>
      </c>
      <c r="C53" s="490">
        <f>'[6]Sch C'!D38</f>
        <v>1831.93</v>
      </c>
      <c r="D53" s="490">
        <f>'[6]Sch C'!F38</f>
        <v>0</v>
      </c>
      <c r="E53" s="171">
        <f t="shared" si="4"/>
        <v>1831.93</v>
      </c>
      <c r="F53" s="490"/>
      <c r="G53" s="171">
        <f t="shared" si="5"/>
        <v>1831.93</v>
      </c>
      <c r="H53" s="172">
        <f t="shared" si="6"/>
        <v>1.354305028575091E-4</v>
      </c>
      <c r="I53" s="337"/>
      <c r="J53" s="168"/>
      <c r="K53" s="168"/>
      <c r="M53" s="359">
        <f t="shared" si="7"/>
        <v>3.8616539134467422E-2</v>
      </c>
      <c r="N53" s="359">
        <f>SUMMARY!J56</f>
        <v>3.3816553343709896E-3</v>
      </c>
      <c r="W53" s="168"/>
      <c r="X53" s="168"/>
      <c r="Y53" s="527"/>
      <c r="Z53" s="527"/>
    </row>
    <row r="54" spans="1:26" s="167" customFormat="1">
      <c r="A54" s="163">
        <v>310</v>
      </c>
      <c r="B54" s="170" t="s">
        <v>207</v>
      </c>
      <c r="C54" s="490">
        <f>'[6]Sch C'!D39</f>
        <v>3510.89</v>
      </c>
      <c r="D54" s="490">
        <f>'[6]Sch C'!F39</f>
        <v>0</v>
      </c>
      <c r="E54" s="171">
        <f t="shared" si="4"/>
        <v>3510.89</v>
      </c>
      <c r="F54" s="490"/>
      <c r="G54" s="171">
        <f t="shared" si="5"/>
        <v>3510.89</v>
      </c>
      <c r="H54" s="172">
        <f t="shared" si="6"/>
        <v>2.5955227447413388E-4</v>
      </c>
      <c r="I54" s="337"/>
      <c r="J54" s="168"/>
      <c r="K54" s="168"/>
      <c r="M54" s="359">
        <f t="shared" si="7"/>
        <v>7.4008516199751254E-2</v>
      </c>
      <c r="N54" s="359">
        <f>SUMMARY!J57</f>
        <v>0.29995180907129787</v>
      </c>
      <c r="W54" s="168"/>
      <c r="X54" s="168"/>
      <c r="Y54" s="527"/>
      <c r="Z54" s="527"/>
    </row>
    <row r="55" spans="1:26" s="167" customFormat="1">
      <c r="A55" s="163">
        <v>320</v>
      </c>
      <c r="B55" s="170" t="s">
        <v>208</v>
      </c>
      <c r="C55" s="490">
        <f>'[6]Sch C'!D40</f>
        <v>41173.22</v>
      </c>
      <c r="D55" s="490">
        <f>'[6]Sch C'!F40</f>
        <v>0</v>
      </c>
      <c r="E55" s="171">
        <f t="shared" si="4"/>
        <v>41173.22</v>
      </c>
      <c r="F55" s="490"/>
      <c r="G55" s="171">
        <f t="shared" si="5"/>
        <v>41173.22</v>
      </c>
      <c r="H55" s="172">
        <f t="shared" si="6"/>
        <v>3.0438444093730936E-3</v>
      </c>
      <c r="I55" s="337"/>
      <c r="J55" s="168"/>
      <c r="K55" s="168"/>
      <c r="M55" s="359">
        <f t="shared" si="7"/>
        <v>0.86791922258057719</v>
      </c>
      <c r="N55" s="359">
        <f>SUMMARY!J58</f>
        <v>0.15756469785095983</v>
      </c>
      <c r="W55" s="168"/>
      <c r="X55" s="168"/>
      <c r="Y55" s="527"/>
      <c r="Z55" s="527"/>
    </row>
    <row r="56" spans="1:26" s="167" customFormat="1">
      <c r="A56" s="163">
        <v>330</v>
      </c>
      <c r="B56" s="170" t="s">
        <v>48</v>
      </c>
      <c r="C56" s="490">
        <f>'[6]Sch C'!D41</f>
        <v>158646.82999999999</v>
      </c>
      <c r="D56" s="490">
        <f>'[6]Sch C'!F41</f>
        <v>0</v>
      </c>
      <c r="E56" s="171">
        <f t="shared" si="4"/>
        <v>158646.82999999999</v>
      </c>
      <c r="F56" s="581"/>
      <c r="G56" s="171">
        <f t="shared" si="5"/>
        <v>158646.82999999999</v>
      </c>
      <c r="H56" s="172">
        <f t="shared" si="6"/>
        <v>1.1728406633250046E-2</v>
      </c>
      <c r="I56" s="337"/>
      <c r="J56" s="168"/>
      <c r="K56" s="168"/>
      <c r="M56" s="359">
        <f t="shared" si="7"/>
        <v>3.3442279559012622</v>
      </c>
      <c r="N56" s="359">
        <f>SUMMARY!J59</f>
        <v>1.9820866333524478</v>
      </c>
      <c r="W56" s="168"/>
      <c r="X56" s="168"/>
      <c r="Y56" s="527"/>
      <c r="Z56" s="527"/>
    </row>
    <row r="57" spans="1:26" s="167" customFormat="1">
      <c r="A57" s="163">
        <v>340</v>
      </c>
      <c r="B57" s="170" t="s">
        <v>209</v>
      </c>
      <c r="C57" s="490">
        <f>'[6]Sch C'!D42</f>
        <v>715.5</v>
      </c>
      <c r="D57" s="490">
        <f>'[6]Sch C'!F42</f>
        <v>0</v>
      </c>
      <c r="E57" s="171">
        <f t="shared" si="4"/>
        <v>715.5</v>
      </c>
      <c r="F57" s="581"/>
      <c r="G57" s="171">
        <f t="shared" si="5"/>
        <v>715.5</v>
      </c>
      <c r="H57" s="172">
        <f t="shared" si="6"/>
        <v>5.2895320669756903E-5</v>
      </c>
      <c r="I57" s="337"/>
      <c r="J57" s="168"/>
      <c r="K57" s="168"/>
      <c r="M57" s="359">
        <f t="shared" si="7"/>
        <v>1.508252703471827E-2</v>
      </c>
      <c r="N57" s="359">
        <f>SUMMARY!J60</f>
        <v>0.1328047459108162</v>
      </c>
      <c r="W57" s="168"/>
      <c r="X57" s="168"/>
      <c r="Y57" s="527"/>
      <c r="Z57" s="527"/>
    </row>
    <row r="58" spans="1:26" s="167" customFormat="1">
      <c r="A58" s="163">
        <v>350</v>
      </c>
      <c r="B58" s="170" t="s">
        <v>210</v>
      </c>
      <c r="C58" s="490">
        <f>'[6]Sch C'!D43</f>
        <v>0</v>
      </c>
      <c r="D58" s="490">
        <f>'[6]Sch C'!F43</f>
        <v>0</v>
      </c>
      <c r="E58" s="171">
        <f t="shared" si="4"/>
        <v>0</v>
      </c>
      <c r="F58" s="490"/>
      <c r="G58" s="171">
        <f t="shared" si="5"/>
        <v>0</v>
      </c>
      <c r="H58" s="172">
        <f t="shared" si="6"/>
        <v>0</v>
      </c>
      <c r="I58" s="337"/>
      <c r="J58" s="168"/>
      <c r="K58" s="168"/>
      <c r="M58" s="359">
        <f t="shared" si="7"/>
        <v>0</v>
      </c>
      <c r="N58" s="359">
        <f>SUMMARY!J61</f>
        <v>0.16717675650583</v>
      </c>
      <c r="W58" s="168"/>
      <c r="X58" s="168"/>
      <c r="Y58" s="527"/>
      <c r="Z58" s="527"/>
    </row>
    <row r="59" spans="1:26" s="167" customFormat="1">
      <c r="A59" s="163">
        <v>360</v>
      </c>
      <c r="B59" s="170" t="s">
        <v>211</v>
      </c>
      <c r="C59" s="490">
        <f>'[6]Sch C'!D44</f>
        <v>0</v>
      </c>
      <c r="D59" s="490">
        <f>'[6]Sch C'!F44</f>
        <v>0</v>
      </c>
      <c r="E59" s="171">
        <f t="shared" si="4"/>
        <v>0</v>
      </c>
      <c r="F59" s="490"/>
      <c r="G59" s="171">
        <f t="shared" si="5"/>
        <v>0</v>
      </c>
      <c r="H59" s="172">
        <f t="shared" si="6"/>
        <v>0</v>
      </c>
      <c r="I59" s="337"/>
      <c r="J59" s="168"/>
      <c r="K59" s="168"/>
      <c r="M59" s="359">
        <f t="shared" si="7"/>
        <v>0</v>
      </c>
      <c r="N59" s="359">
        <f>SUMMARY!J62</f>
        <v>8.7222686436743951E-3</v>
      </c>
      <c r="W59" s="168"/>
      <c r="X59" s="168"/>
      <c r="Y59" s="527"/>
      <c r="Z59" s="527"/>
    </row>
    <row r="60" spans="1:26" s="167" customFormat="1">
      <c r="A60" s="163">
        <v>490</v>
      </c>
      <c r="B60" s="170" t="s">
        <v>36</v>
      </c>
      <c r="C60" s="490">
        <f>'[6]Sch C'!D45</f>
        <v>145902.26999999999</v>
      </c>
      <c r="D60" s="490">
        <f>'[6]Sch C'!F45</f>
        <v>-114109</v>
      </c>
      <c r="E60" s="171">
        <f t="shared" si="4"/>
        <v>31793.26999999999</v>
      </c>
      <c r="F60" s="581"/>
      <c r="G60" s="171">
        <f t="shared" si="5"/>
        <v>31793.26999999999</v>
      </c>
      <c r="H60" s="172">
        <f t="shared" si="6"/>
        <v>2.3504056069743695E-3</v>
      </c>
      <c r="I60" s="337"/>
      <c r="J60" s="168"/>
      <c r="K60" s="168"/>
      <c r="M60" s="359">
        <f t="shared" si="7"/>
        <v>0.67019266847952086</v>
      </c>
      <c r="N60" s="359">
        <f>SUMMARY!J63</f>
        <v>0.27778677807815194</v>
      </c>
      <c r="W60" s="168"/>
      <c r="X60" s="168"/>
      <c r="Y60" s="527"/>
      <c r="Z60" s="527"/>
    </row>
    <row r="61" spans="1:26" s="167" customFormat="1">
      <c r="A61" s="163"/>
      <c r="B61" s="170" t="s">
        <v>177</v>
      </c>
      <c r="C61" s="490">
        <f>SUM(C25:C60)</f>
        <v>2529805.8900000006</v>
      </c>
      <c r="D61" s="490">
        <f>SUM(D25:D60)</f>
        <v>-332508.15000000002</v>
      </c>
      <c r="E61" s="171">
        <f t="shared" ref="E61:F61" si="8">SUM(E25:E60)</f>
        <v>2197297.7399999998</v>
      </c>
      <c r="F61" s="171">
        <f t="shared" si="8"/>
        <v>0</v>
      </c>
      <c r="G61" s="171">
        <f>SUM(G25:G60)</f>
        <v>2197297.7399999998</v>
      </c>
      <c r="H61" s="186">
        <f t="shared" si="6"/>
        <v>0.16244132573617345</v>
      </c>
      <c r="I61" s="339"/>
      <c r="J61" s="168"/>
      <c r="K61" s="168"/>
      <c r="M61" s="364">
        <f>G61/G$228</f>
        <v>46.318382343641304</v>
      </c>
      <c r="N61" s="359">
        <f>SUMMARY!J64</f>
        <v>50.526072695090264</v>
      </c>
      <c r="W61" s="168"/>
      <c r="X61" s="168"/>
      <c r="Y61" s="527"/>
      <c r="Z61" s="527"/>
    </row>
    <row r="62" spans="1:26" s="167" customFormat="1">
      <c r="A62" s="163"/>
      <c r="C62" s="165"/>
      <c r="D62" s="165"/>
      <c r="E62" s="165"/>
      <c r="F62" s="165"/>
      <c r="G62" s="165"/>
      <c r="H62" s="187"/>
      <c r="I62" s="340"/>
      <c r="J62" s="168"/>
      <c r="K62" s="168"/>
      <c r="M62" s="359"/>
      <c r="N62" s="359"/>
      <c r="W62" s="168"/>
      <c r="X62" s="168"/>
      <c r="Y62" s="527"/>
      <c r="Z62" s="527"/>
    </row>
    <row r="63" spans="1:26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40"/>
      <c r="J63" s="168"/>
      <c r="K63" s="168"/>
      <c r="M63" s="359"/>
      <c r="N63" s="359"/>
      <c r="W63" s="168"/>
      <c r="X63" s="168"/>
      <c r="Y63" s="527"/>
      <c r="Z63" s="527"/>
    </row>
    <row r="64" spans="1:26" s="167" customFormat="1">
      <c r="A64" s="188">
        <v>230</v>
      </c>
      <c r="B64" s="189" t="s">
        <v>253</v>
      </c>
      <c r="C64" s="490">
        <f>'[6]Sch C'!D57</f>
        <v>944047.21</v>
      </c>
      <c r="D64" s="490">
        <f>'[6]Sch C'!F57</f>
        <v>0</v>
      </c>
      <c r="E64" s="171">
        <f t="shared" ref="E64:E78" si="9">C64+D64</f>
        <v>944047.21</v>
      </c>
      <c r="F64" s="581"/>
      <c r="G64" s="171">
        <f t="shared" ref="G64:G78" si="10">E64+F64</f>
        <v>944047.21</v>
      </c>
      <c r="H64" s="172">
        <f t="shared" ref="H64:H79" si="11">IF($G$208=0,0,G64/$G$208)</f>
        <v>6.979130663918845E-2</v>
      </c>
      <c r="I64" s="337"/>
      <c r="J64" s="190"/>
      <c r="K64" s="168"/>
      <c r="M64" s="359">
        <f t="shared" ref="M64:M79" si="12">G64/G$228</f>
        <v>19.900234195493159</v>
      </c>
      <c r="N64" s="359">
        <f>SUMMARY!J67</f>
        <v>6.8038026869828787</v>
      </c>
      <c r="W64" s="190"/>
      <c r="X64" s="168"/>
      <c r="Y64" s="528"/>
      <c r="Z64" s="527"/>
    </row>
    <row r="65" spans="1:26" s="167" customFormat="1">
      <c r="A65" s="191">
        <v>240</v>
      </c>
      <c r="B65" s="189" t="s">
        <v>254</v>
      </c>
      <c r="C65" s="490">
        <f>'[6]Sch C'!D58</f>
        <v>62847.89</v>
      </c>
      <c r="D65" s="490">
        <f>'[6]Sch C'!F58</f>
        <v>0</v>
      </c>
      <c r="E65" s="171">
        <f t="shared" si="9"/>
        <v>62847.89</v>
      </c>
      <c r="F65" s="581"/>
      <c r="G65" s="171">
        <f t="shared" si="10"/>
        <v>62847.89</v>
      </c>
      <c r="H65" s="172">
        <f t="shared" si="11"/>
        <v>4.6462044653635334E-3</v>
      </c>
      <c r="I65" s="337"/>
      <c r="J65" s="190"/>
      <c r="K65" s="168"/>
      <c r="M65" s="359">
        <f t="shared" si="12"/>
        <v>1.3248148148148149</v>
      </c>
      <c r="N65" s="359">
        <f>SUMMARY!J68</f>
        <v>4.9854394272867122</v>
      </c>
      <c r="W65" s="190"/>
      <c r="X65" s="168"/>
      <c r="Y65" s="528"/>
      <c r="Z65" s="527"/>
    </row>
    <row r="66" spans="1:26" s="167" customFormat="1">
      <c r="A66" s="142">
        <v>250</v>
      </c>
      <c r="B66" s="189" t="s">
        <v>307</v>
      </c>
      <c r="C66" s="490">
        <f>'[6]Sch C'!D59</f>
        <v>0</v>
      </c>
      <c r="D66" s="490">
        <f>'[6]Sch C'!F59</f>
        <v>0</v>
      </c>
      <c r="E66" s="171">
        <f t="shared" si="9"/>
        <v>0</v>
      </c>
      <c r="F66" s="490"/>
      <c r="G66" s="171">
        <f t="shared" si="10"/>
        <v>0</v>
      </c>
      <c r="H66" s="172">
        <f t="shared" si="11"/>
        <v>0</v>
      </c>
      <c r="I66" s="337"/>
      <c r="J66" s="190"/>
      <c r="K66" s="168"/>
      <c r="M66" s="359">
        <f t="shared" si="12"/>
        <v>0</v>
      </c>
      <c r="N66" s="359">
        <f>SUMMARY!J69</f>
        <v>3.9573657628136862</v>
      </c>
      <c r="W66" s="190"/>
      <c r="X66" s="168"/>
      <c r="Y66" s="528"/>
      <c r="Z66" s="527"/>
    </row>
    <row r="67" spans="1:26" s="167" customFormat="1">
      <c r="A67" s="142">
        <v>260</v>
      </c>
      <c r="B67" s="192" t="s">
        <v>308</v>
      </c>
      <c r="C67" s="490">
        <f>'[6]Sch C'!D60</f>
        <v>99900.02</v>
      </c>
      <c r="D67" s="490">
        <f>'[6]Sch C'!F60</f>
        <v>0</v>
      </c>
      <c r="E67" s="171">
        <f t="shared" si="9"/>
        <v>99900.02</v>
      </c>
      <c r="F67" s="490"/>
      <c r="G67" s="171">
        <f t="shared" si="10"/>
        <v>99900.02</v>
      </c>
      <c r="H67" s="172">
        <f t="shared" si="11"/>
        <v>7.3853858739554553E-3</v>
      </c>
      <c r="I67" s="337"/>
      <c r="J67" s="193"/>
      <c r="K67" s="168"/>
      <c r="M67" s="359">
        <f t="shared" si="12"/>
        <v>2.1058626868188624</v>
      </c>
      <c r="N67" s="359">
        <f>SUMMARY!J70</f>
        <v>1.1060813959203737</v>
      </c>
      <c r="W67" s="193"/>
      <c r="X67" s="168"/>
      <c r="Y67" s="529"/>
      <c r="Z67" s="527"/>
    </row>
    <row r="68" spans="1:26" s="167" customFormat="1">
      <c r="A68" s="142">
        <v>270</v>
      </c>
      <c r="B68" s="192" t="s">
        <v>309</v>
      </c>
      <c r="C68" s="490">
        <f>'[6]Sch C'!D61</f>
        <v>30187.33</v>
      </c>
      <c r="D68" s="490">
        <f>'[6]Sch C'!F61</f>
        <v>-23029</v>
      </c>
      <c r="E68" s="171">
        <f t="shared" si="9"/>
        <v>7158.3300000000017</v>
      </c>
      <c r="F68" s="490"/>
      <c r="G68" s="171">
        <f t="shared" si="10"/>
        <v>7158.3300000000017</v>
      </c>
      <c r="H68" s="172">
        <f t="shared" si="11"/>
        <v>5.2919938617741584E-4</v>
      </c>
      <c r="I68" s="337"/>
      <c r="J68" s="193"/>
      <c r="K68" s="168"/>
      <c r="M68" s="359">
        <f t="shared" si="12"/>
        <v>0.15089546575602356</v>
      </c>
      <c r="N68" s="359">
        <f>SUMMARY!J71</f>
        <v>0.49146009120450013</v>
      </c>
      <c r="W68" s="193"/>
      <c r="X68" s="168"/>
      <c r="Y68" s="529"/>
      <c r="Z68" s="527"/>
    </row>
    <row r="69" spans="1:26" s="167" customFormat="1">
      <c r="A69" s="142">
        <v>280</v>
      </c>
      <c r="B69" s="194" t="s">
        <v>258</v>
      </c>
      <c r="C69" s="490">
        <f>'[6]Sch C'!D62</f>
        <v>13188.68</v>
      </c>
      <c r="D69" s="490">
        <f>'[6]Sch C'!F62</f>
        <v>0</v>
      </c>
      <c r="E69" s="171">
        <f t="shared" si="9"/>
        <v>13188.68</v>
      </c>
      <c r="F69" s="581"/>
      <c r="G69" s="171">
        <f t="shared" si="10"/>
        <v>13188.68</v>
      </c>
      <c r="H69" s="172">
        <f t="shared" si="11"/>
        <v>9.7500972440364708E-4</v>
      </c>
      <c r="I69" s="337"/>
      <c r="J69" s="195"/>
      <c r="K69" s="168"/>
      <c r="M69" s="359">
        <f t="shared" si="12"/>
        <v>0.27801344885010226</v>
      </c>
      <c r="N69" s="359">
        <f>SUMMARY!J72</f>
        <v>0.1883559924633407</v>
      </c>
      <c r="W69" s="195"/>
      <c r="X69" s="168"/>
      <c r="Y69" s="530"/>
      <c r="Z69" s="527"/>
    </row>
    <row r="70" spans="1:26" s="167" customFormat="1">
      <c r="A70" s="142">
        <v>290</v>
      </c>
      <c r="B70" s="194" t="s">
        <v>259</v>
      </c>
      <c r="C70" s="490">
        <f>'[6]Sch C'!D63</f>
        <v>0</v>
      </c>
      <c r="D70" s="490">
        <f>'[6]Sch C'!F63</f>
        <v>0</v>
      </c>
      <c r="E70" s="171">
        <f t="shared" si="9"/>
        <v>0</v>
      </c>
      <c r="F70" s="490"/>
      <c r="G70" s="171">
        <f t="shared" si="10"/>
        <v>0</v>
      </c>
      <c r="H70" s="172">
        <f t="shared" si="11"/>
        <v>0</v>
      </c>
      <c r="I70" s="337"/>
      <c r="J70" s="195"/>
      <c r="K70" s="168"/>
      <c r="M70" s="359">
        <f t="shared" si="12"/>
        <v>0</v>
      </c>
      <c r="N70" s="359">
        <f>SUMMARY!J73</f>
        <v>5.2595996832418557E-3</v>
      </c>
      <c r="W70" s="195"/>
      <c r="X70" s="168"/>
      <c r="Y70" s="530"/>
      <c r="Z70" s="527"/>
    </row>
    <row r="71" spans="1:26" s="167" customFormat="1">
      <c r="A71" s="142">
        <v>300</v>
      </c>
      <c r="B71" s="194" t="s">
        <v>260</v>
      </c>
      <c r="C71" s="490">
        <f>'[6]Sch C'!D64</f>
        <v>0</v>
      </c>
      <c r="D71" s="490">
        <f>'[6]Sch C'!F64</f>
        <v>0</v>
      </c>
      <c r="E71" s="171">
        <f t="shared" si="9"/>
        <v>0</v>
      </c>
      <c r="F71" s="490"/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  <c r="W71" s="195"/>
      <c r="X71" s="168"/>
      <c r="Y71" s="530"/>
      <c r="Z71" s="527"/>
    </row>
    <row r="72" spans="1:26" s="167" customFormat="1">
      <c r="A72" s="142">
        <v>310</v>
      </c>
      <c r="B72" s="194" t="s">
        <v>310</v>
      </c>
      <c r="C72" s="490">
        <f>'[6]Sch C'!D65</f>
        <v>0</v>
      </c>
      <c r="D72" s="490">
        <f>'[6]Sch C'!F65</f>
        <v>0</v>
      </c>
      <c r="E72" s="171">
        <f t="shared" si="9"/>
        <v>0</v>
      </c>
      <c r="F72" s="490"/>
      <c r="G72" s="171">
        <f t="shared" si="10"/>
        <v>0</v>
      </c>
      <c r="H72" s="172">
        <f t="shared" si="11"/>
        <v>0</v>
      </c>
      <c r="I72" s="337"/>
      <c r="J72" s="195"/>
      <c r="K72" s="168"/>
      <c r="M72" s="359">
        <f t="shared" si="12"/>
        <v>0</v>
      </c>
      <c r="N72" s="359">
        <f>SUMMARY!J75</f>
        <v>0.1407368559023511</v>
      </c>
      <c r="W72" s="195"/>
      <c r="X72" s="168"/>
      <c r="Y72" s="530"/>
      <c r="Z72" s="527"/>
    </row>
    <row r="73" spans="1:26" s="167" customFormat="1">
      <c r="A73" s="142">
        <v>320</v>
      </c>
      <c r="B73" s="194" t="s">
        <v>262</v>
      </c>
      <c r="C73" s="490">
        <f>'[6]Sch C'!D66</f>
        <v>78841.820000000007</v>
      </c>
      <c r="D73" s="490">
        <f>'[6]Sch C'!F66</f>
        <v>-16422</v>
      </c>
      <c r="E73" s="171">
        <f t="shared" si="9"/>
        <v>62419.820000000007</v>
      </c>
      <c r="F73" s="490"/>
      <c r="G73" s="171">
        <f t="shared" si="10"/>
        <v>62419.820000000007</v>
      </c>
      <c r="H73" s="172">
        <f t="shared" si="11"/>
        <v>4.614558204120902E-3</v>
      </c>
      <c r="I73" s="337"/>
      <c r="J73" s="195"/>
      <c r="K73" s="168"/>
      <c r="M73" s="359">
        <f t="shared" si="12"/>
        <v>1.3157912266278802</v>
      </c>
      <c r="N73" s="359">
        <f>SUMMARY!J76</f>
        <v>1.0094065700008192</v>
      </c>
      <c r="W73" s="195"/>
      <c r="X73" s="168"/>
      <c r="Y73" s="530"/>
      <c r="Z73" s="527"/>
    </row>
    <row r="74" spans="1:26" s="167" customFormat="1">
      <c r="A74" s="142">
        <v>330</v>
      </c>
      <c r="B74" s="194" t="s">
        <v>263</v>
      </c>
      <c r="C74" s="490">
        <f>'[6]Sch C'!D67</f>
        <v>197862.62</v>
      </c>
      <c r="D74" s="490">
        <f>'[6]Sch C'!F67</f>
        <v>0</v>
      </c>
      <c r="E74" s="171">
        <f t="shared" si="9"/>
        <v>197862.62</v>
      </c>
      <c r="F74" s="581"/>
      <c r="G74" s="171">
        <f t="shared" si="10"/>
        <v>197862.62</v>
      </c>
      <c r="H74" s="172">
        <f t="shared" si="11"/>
        <v>1.4627542604414054E-2</v>
      </c>
      <c r="I74" s="337"/>
      <c r="J74" s="195"/>
      <c r="K74" s="168"/>
      <c r="M74" s="359">
        <f t="shared" si="12"/>
        <v>4.1708851367018696</v>
      </c>
      <c r="N74" s="359">
        <f>SUMMARY!J77</f>
        <v>2.7436852176043502</v>
      </c>
      <c r="W74" s="195"/>
      <c r="X74" s="168"/>
      <c r="Y74" s="530"/>
      <c r="Z74" s="527"/>
    </row>
    <row r="75" spans="1:26" s="167" customFormat="1">
      <c r="A75" s="142">
        <v>340</v>
      </c>
      <c r="B75" s="194" t="s">
        <v>264</v>
      </c>
      <c r="C75" s="490">
        <f>'[6]Sch C'!D68</f>
        <v>0</v>
      </c>
      <c r="D75" s="490">
        <f>'[6]Sch C'!F68</f>
        <v>0</v>
      </c>
      <c r="E75" s="171">
        <f t="shared" si="9"/>
        <v>0</v>
      </c>
      <c r="F75" s="490"/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  <c r="W75" s="195"/>
      <c r="X75" s="168"/>
      <c r="Y75" s="530"/>
      <c r="Z75" s="527"/>
    </row>
    <row r="76" spans="1:26" s="167" customFormat="1">
      <c r="A76" s="167">
        <v>350</v>
      </c>
      <c r="B76" s="194" t="s">
        <v>311</v>
      </c>
      <c r="C76" s="490">
        <f>'[6]Sch C'!D69</f>
        <v>6222.75</v>
      </c>
      <c r="D76" s="490">
        <f>'[6]Sch C'!F69</f>
        <v>0</v>
      </c>
      <c r="E76" s="171">
        <f t="shared" si="9"/>
        <v>6222.75</v>
      </c>
      <c r="F76" s="490"/>
      <c r="G76" s="171">
        <f t="shared" si="10"/>
        <v>6222.75</v>
      </c>
      <c r="H76" s="172">
        <f t="shared" si="11"/>
        <v>4.60034041506261E-4</v>
      </c>
      <c r="I76" s="337"/>
      <c r="J76" s="195"/>
      <c r="K76" s="168"/>
      <c r="M76" s="359">
        <f t="shared" si="12"/>
        <v>0.13117371782710427</v>
      </c>
      <c r="N76" s="359">
        <f>SUMMARY!J79</f>
        <v>0.13125994920946998</v>
      </c>
      <c r="W76" s="195"/>
      <c r="X76" s="168"/>
      <c r="Y76" s="530"/>
      <c r="Z76" s="527"/>
    </row>
    <row r="77" spans="1:26" s="167" customFormat="1">
      <c r="A77" s="142">
        <v>360</v>
      </c>
      <c r="B77" s="194" t="s">
        <v>192</v>
      </c>
      <c r="C77" s="490">
        <f>'[6]Sch C'!D70</f>
        <v>0</v>
      </c>
      <c r="D77" s="490">
        <f>'[6]Sch C'!F70</f>
        <v>0</v>
      </c>
      <c r="E77" s="171">
        <f t="shared" si="9"/>
        <v>0</v>
      </c>
      <c r="F77" s="490"/>
      <c r="G77" s="171">
        <f t="shared" si="10"/>
        <v>0</v>
      </c>
      <c r="H77" s="172">
        <f t="shared" si="11"/>
        <v>0</v>
      </c>
      <c r="I77" s="337"/>
      <c r="J77" s="195"/>
      <c r="K77" s="168"/>
      <c r="M77" s="359">
        <f t="shared" si="12"/>
        <v>0</v>
      </c>
      <c r="N77" s="359">
        <f>SUMMARY!J80</f>
        <v>-2.2034898009338905E-2</v>
      </c>
      <c r="W77" s="195"/>
      <c r="X77" s="168"/>
      <c r="Y77" s="530"/>
      <c r="Z77" s="527"/>
    </row>
    <row r="78" spans="1:26" s="167" customFormat="1">
      <c r="A78" s="142">
        <v>490</v>
      </c>
      <c r="B78" s="194" t="s">
        <v>312</v>
      </c>
      <c r="C78" s="490">
        <f>'[6]Sch C'!D71</f>
        <v>0</v>
      </c>
      <c r="D78" s="490">
        <f>'[6]Sch C'!F71</f>
        <v>0</v>
      </c>
      <c r="E78" s="171">
        <f t="shared" si="9"/>
        <v>0</v>
      </c>
      <c r="F78" s="490"/>
      <c r="G78" s="171">
        <f t="shared" si="10"/>
        <v>0</v>
      </c>
      <c r="H78" s="172">
        <f t="shared" si="11"/>
        <v>0</v>
      </c>
      <c r="I78" s="337"/>
      <c r="J78" s="195"/>
      <c r="K78" s="168"/>
      <c r="M78" s="359">
        <f t="shared" si="12"/>
        <v>0</v>
      </c>
      <c r="N78" s="359">
        <f>SUMMARY!J81</f>
        <v>3.1060648261926221E-3</v>
      </c>
      <c r="W78" s="195"/>
      <c r="X78" s="168"/>
      <c r="Y78" s="530"/>
      <c r="Z78" s="527"/>
    </row>
    <row r="79" spans="1:26" s="167" customFormat="1">
      <c r="A79" s="163"/>
      <c r="B79" s="170" t="s">
        <v>150</v>
      </c>
      <c r="C79" s="490">
        <f>SUM(C64:C78)</f>
        <v>1433098.3199999998</v>
      </c>
      <c r="D79" s="490">
        <f>SUM(D64:D78)</f>
        <v>-39451</v>
      </c>
      <c r="E79" s="171">
        <f t="shared" ref="E79:F79" si="13">SUM(E64:E78)</f>
        <v>1393647.3199999998</v>
      </c>
      <c r="F79" s="171">
        <f t="shared" si="13"/>
        <v>0</v>
      </c>
      <c r="G79" s="171">
        <f>SUM(G64:G78)</f>
        <v>1393647.3199999998</v>
      </c>
      <c r="H79" s="172">
        <f t="shared" si="11"/>
        <v>0.1030292409391297</v>
      </c>
      <c r="I79" s="337"/>
      <c r="J79" s="195"/>
      <c r="K79" s="168"/>
      <c r="M79" s="359">
        <f t="shared" si="12"/>
        <v>29.377670692889811</v>
      </c>
      <c r="N79" s="359">
        <f>SUMMARY!J82</f>
        <v>21.548739024618541</v>
      </c>
      <c r="W79" s="195"/>
      <c r="X79" s="168"/>
      <c r="Y79" s="530"/>
      <c r="Z79" s="527"/>
    </row>
    <row r="80" spans="1:26" s="167" customFormat="1">
      <c r="A80" s="163"/>
      <c r="B80" s="170"/>
      <c r="C80" s="196"/>
      <c r="D80" s="196"/>
      <c r="E80" s="196"/>
      <c r="F80" s="196"/>
      <c r="G80" s="196"/>
      <c r="H80" s="197"/>
      <c r="I80" s="337"/>
      <c r="J80" s="168"/>
      <c r="K80" s="168"/>
      <c r="M80" s="359"/>
      <c r="N80" s="359"/>
      <c r="W80" s="168"/>
      <c r="X80" s="168"/>
      <c r="Y80" s="527"/>
      <c r="Z80" s="527"/>
    </row>
    <row r="81" spans="1:26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1"/>
      <c r="J81" s="168"/>
      <c r="K81" s="168"/>
      <c r="M81" s="359"/>
      <c r="N81" s="359"/>
      <c r="W81" s="168"/>
      <c r="X81" s="168"/>
      <c r="Y81" s="527"/>
      <c r="Z81" s="527"/>
    </row>
    <row r="82" spans="1:26" s="167" customFormat="1">
      <c r="A82" s="169" t="s">
        <v>85</v>
      </c>
      <c r="B82" s="148" t="s">
        <v>44</v>
      </c>
      <c r="C82" s="490">
        <f>'[6]Sch C'!D75</f>
        <v>78820.679999999993</v>
      </c>
      <c r="D82" s="490">
        <f>'[6]Sch C'!F75</f>
        <v>0</v>
      </c>
      <c r="E82" s="171">
        <f t="shared" ref="E82:E92" si="14">C82+D82</f>
        <v>78820.679999999993</v>
      </c>
      <c r="F82" s="490"/>
      <c r="G82" s="171">
        <f t="shared" ref="G82:G92" si="15">E82+F82</f>
        <v>78820.679999999993</v>
      </c>
      <c r="H82" s="172">
        <f t="shared" ref="H82:H93" si="16">IF($G$208=0,0,G82/$G$208)</f>
        <v>5.827037238306491E-3</v>
      </c>
      <c r="I82" s="337"/>
      <c r="J82" s="183">
        <v>4962.5</v>
      </c>
      <c r="K82" s="183">
        <v>5443</v>
      </c>
      <c r="M82" s="359">
        <f t="shared" ref="M82:M92" si="17">G82/G$228</f>
        <v>1.66151647378739</v>
      </c>
      <c r="N82" s="359">
        <f>SUMMARY!J85</f>
        <v>2.3611771060320579</v>
      </c>
      <c r="W82" s="183">
        <v>1132</v>
      </c>
      <c r="X82" s="183">
        <v>1252</v>
      </c>
      <c r="Y82" s="492">
        <v>2896</v>
      </c>
      <c r="Z82" s="492">
        <v>3233</v>
      </c>
    </row>
    <row r="83" spans="1:26" s="167" customFormat="1">
      <c r="A83" s="169" t="s">
        <v>86</v>
      </c>
      <c r="B83" s="199" t="s">
        <v>45</v>
      </c>
      <c r="C83" s="490">
        <f>'[6]Sch C'!D76</f>
        <v>8400.3700000000008</v>
      </c>
      <c r="D83" s="490">
        <f>'[6]Sch C'!F76</f>
        <v>0</v>
      </c>
      <c r="E83" s="171">
        <f t="shared" si="14"/>
        <v>8400.3700000000008</v>
      </c>
      <c r="F83" s="490"/>
      <c r="G83" s="171">
        <f t="shared" si="15"/>
        <v>8400.3700000000008</v>
      </c>
      <c r="H83" s="172">
        <f t="shared" si="16"/>
        <v>6.2102063577163641E-4</v>
      </c>
      <c r="I83" s="337"/>
      <c r="J83" s="168"/>
      <c r="K83" s="168"/>
      <c r="M83" s="359">
        <f t="shared" si="17"/>
        <v>0.17707729926853435</v>
      </c>
      <c r="N83" s="359">
        <f>SUMMARY!J86</f>
        <v>0.43858787942165905</v>
      </c>
      <c r="W83" s="168"/>
      <c r="X83" s="168"/>
      <c r="Y83" s="527"/>
      <c r="Z83" s="527"/>
    </row>
    <row r="84" spans="1:26" s="167" customFormat="1">
      <c r="A84" s="169" t="s">
        <v>93</v>
      </c>
      <c r="B84" s="199" t="s">
        <v>47</v>
      </c>
      <c r="C84" s="490">
        <f>'[6]Sch C'!D77</f>
        <v>34186.120000000003</v>
      </c>
      <c r="D84" s="490">
        <f>'[6]Sch C'!F77</f>
        <v>0</v>
      </c>
      <c r="E84" s="171">
        <f t="shared" si="14"/>
        <v>34186.120000000003</v>
      </c>
      <c r="F84" s="490"/>
      <c r="G84" s="171">
        <f t="shared" si="15"/>
        <v>34186.120000000003</v>
      </c>
      <c r="H84" s="172">
        <f t="shared" si="16"/>
        <v>2.5273036755482738E-3</v>
      </c>
      <c r="I84" s="337"/>
      <c r="J84" s="168"/>
      <c r="K84" s="168"/>
      <c r="M84" s="359">
        <f t="shared" si="17"/>
        <v>0.72063323425873227</v>
      </c>
      <c r="N84" s="359">
        <f>SUMMARY!J87</f>
        <v>0.65296275361131606</v>
      </c>
      <c r="W84" s="168"/>
      <c r="X84" s="168"/>
      <c r="Y84" s="527"/>
      <c r="Z84" s="527"/>
    </row>
    <row r="85" spans="1:26" s="167" customFormat="1">
      <c r="A85" s="169">
        <v>230</v>
      </c>
      <c r="B85" s="199" t="s">
        <v>46</v>
      </c>
      <c r="C85" s="490">
        <f>'[6]Sch C'!D78</f>
        <v>0</v>
      </c>
      <c r="D85" s="490">
        <f>'[6]Sch C'!F78</f>
        <v>0</v>
      </c>
      <c r="E85" s="171">
        <f t="shared" si="14"/>
        <v>0</v>
      </c>
      <c r="F85" s="490"/>
      <c r="G85" s="171">
        <f t="shared" si="15"/>
        <v>0</v>
      </c>
      <c r="H85" s="172">
        <f t="shared" si="16"/>
        <v>0</v>
      </c>
      <c r="I85" s="337"/>
      <c r="J85" s="168"/>
      <c r="K85" s="168"/>
      <c r="M85" s="359">
        <f t="shared" si="17"/>
        <v>0</v>
      </c>
      <c r="N85" s="359">
        <f>SUMMARY!J88</f>
        <v>0.36999472433849429</v>
      </c>
      <c r="W85" s="168"/>
      <c r="X85" s="168"/>
      <c r="Y85" s="527"/>
      <c r="Z85" s="527"/>
    </row>
    <row r="86" spans="1:26" s="167" customFormat="1">
      <c r="A86" s="169">
        <v>240</v>
      </c>
      <c r="B86" s="200" t="s">
        <v>267</v>
      </c>
      <c r="C86" s="490">
        <f>'[6]Sch C'!D79</f>
        <v>16177.9</v>
      </c>
      <c r="D86" s="490">
        <f>'[6]Sch C'!F79</f>
        <v>0</v>
      </c>
      <c r="E86" s="171">
        <f t="shared" si="14"/>
        <v>16177.9</v>
      </c>
      <c r="F86" s="490"/>
      <c r="G86" s="171">
        <f>E86+F86</f>
        <v>16177.9</v>
      </c>
      <c r="H86" s="172">
        <f t="shared" si="16"/>
        <v>1.1959960982016215E-3</v>
      </c>
      <c r="I86" s="337"/>
      <c r="J86" s="168"/>
      <c r="K86" s="168"/>
      <c r="M86" s="359">
        <f t="shared" si="17"/>
        <v>0.34102531672252789</v>
      </c>
      <c r="N86" s="359">
        <f>SUMMARY!J89</f>
        <v>0.47828681903825671</v>
      </c>
      <c r="W86" s="168"/>
      <c r="X86" s="168"/>
      <c r="Y86" s="527"/>
      <c r="Z86" s="527"/>
    </row>
    <row r="87" spans="1:26" s="167" customFormat="1">
      <c r="A87" s="169">
        <v>310</v>
      </c>
      <c r="B87" s="199" t="s">
        <v>54</v>
      </c>
      <c r="C87" s="490">
        <f>'[6]Sch C'!D80</f>
        <v>8116.27</v>
      </c>
      <c r="D87" s="490">
        <f>'[6]Sch C'!F80</f>
        <v>0</v>
      </c>
      <c r="E87" s="171">
        <f t="shared" si="14"/>
        <v>8116.27</v>
      </c>
      <c r="F87" s="490"/>
      <c r="G87" s="171">
        <f t="shared" si="15"/>
        <v>8116.27</v>
      </c>
      <c r="H87" s="172">
        <f t="shared" si="16"/>
        <v>6.0001775582435763E-4</v>
      </c>
      <c r="I87" s="337"/>
      <c r="J87" s="168"/>
      <c r="K87" s="168"/>
      <c r="M87" s="359">
        <f t="shared" si="17"/>
        <v>0.1710885558295917</v>
      </c>
      <c r="N87" s="359">
        <f>SUMMARY!J90</f>
        <v>0.92217461565768266</v>
      </c>
      <c r="W87" s="168"/>
      <c r="X87" s="168"/>
      <c r="Y87" s="527"/>
      <c r="Z87" s="527"/>
    </row>
    <row r="88" spans="1:26" s="167" customFormat="1">
      <c r="A88" s="169">
        <v>320</v>
      </c>
      <c r="B88" s="201" t="s">
        <v>313</v>
      </c>
      <c r="C88" s="490">
        <f>'[6]Sch C'!D81</f>
        <v>5154</v>
      </c>
      <c r="D88" s="490">
        <f>'[6]Sch C'!F81</f>
        <v>0</v>
      </c>
      <c r="E88" s="171">
        <f t="shared" si="14"/>
        <v>5154</v>
      </c>
      <c r="F88" s="490"/>
      <c r="G88" s="171">
        <f t="shared" si="15"/>
        <v>5154</v>
      </c>
      <c r="H88" s="172">
        <f t="shared" si="16"/>
        <v>3.8102373547439143E-4</v>
      </c>
      <c r="I88" s="337"/>
      <c r="J88" s="168"/>
      <c r="K88" s="168"/>
      <c r="M88" s="359">
        <f t="shared" si="17"/>
        <v>0.10864478593562259</v>
      </c>
      <c r="N88" s="359">
        <f>SUMMARY!J91</f>
        <v>0.61441790229649651</v>
      </c>
      <c r="W88" s="168"/>
      <c r="X88" s="168"/>
      <c r="Y88" s="527"/>
      <c r="Z88" s="527"/>
    </row>
    <row r="89" spans="1:26" s="167" customFormat="1">
      <c r="A89" s="169">
        <v>330</v>
      </c>
      <c r="B89" s="201" t="s">
        <v>314</v>
      </c>
      <c r="C89" s="490">
        <f>'[6]Sch C'!D82</f>
        <v>27746.39</v>
      </c>
      <c r="D89" s="490">
        <f>'[6]Sch C'!F82</f>
        <v>0</v>
      </c>
      <c r="E89" s="171">
        <f t="shared" si="14"/>
        <v>27746.39</v>
      </c>
      <c r="F89" s="490"/>
      <c r="G89" s="171">
        <f t="shared" si="15"/>
        <v>27746.39</v>
      </c>
      <c r="H89" s="172">
        <f t="shared" si="16"/>
        <v>2.0512287861329647E-3</v>
      </c>
      <c r="I89" s="337"/>
      <c r="J89" s="168"/>
      <c r="K89" s="168"/>
      <c r="M89" s="359">
        <f t="shared" si="17"/>
        <v>0.58488564261472631</v>
      </c>
      <c r="N89" s="359">
        <f>SUMMARY!J92</f>
        <v>0.48799148575953694</v>
      </c>
      <c r="W89" s="168"/>
      <c r="X89" s="168"/>
      <c r="Y89" s="527"/>
      <c r="Z89" s="527"/>
    </row>
    <row r="90" spans="1:26" s="167" customFormat="1">
      <c r="A90" s="163">
        <v>340</v>
      </c>
      <c r="B90" s="201" t="s">
        <v>300</v>
      </c>
      <c r="C90" s="490">
        <f>'[6]Sch C'!D83</f>
        <v>0</v>
      </c>
      <c r="D90" s="490">
        <f>'[6]Sch C'!F83</f>
        <v>0</v>
      </c>
      <c r="E90" s="171">
        <f t="shared" si="14"/>
        <v>0</v>
      </c>
      <c r="F90" s="490"/>
      <c r="G90" s="171">
        <f t="shared" si="15"/>
        <v>0</v>
      </c>
      <c r="H90" s="172">
        <f t="shared" si="16"/>
        <v>0</v>
      </c>
      <c r="I90" s="337"/>
      <c r="J90" s="168"/>
      <c r="K90" s="168"/>
      <c r="M90" s="359">
        <f t="shared" si="17"/>
        <v>0</v>
      </c>
      <c r="N90" s="359">
        <f>SUMMARY!J93</f>
        <v>0.19293963026678682</v>
      </c>
      <c r="W90" s="168"/>
      <c r="X90" s="168"/>
      <c r="Y90" s="527"/>
      <c r="Z90" s="527"/>
    </row>
    <row r="91" spans="1:26" s="167" customFormat="1">
      <c r="A91" s="163">
        <v>350</v>
      </c>
      <c r="B91" s="199" t="s">
        <v>49</v>
      </c>
      <c r="C91" s="490">
        <f>'[6]Sch C'!D84</f>
        <v>210027.51</v>
      </c>
      <c r="D91" s="490">
        <f>'[6]Sch C'!F84</f>
        <v>0</v>
      </c>
      <c r="E91" s="171">
        <f t="shared" si="14"/>
        <v>210027.51</v>
      </c>
      <c r="F91" s="490"/>
      <c r="G91" s="171">
        <f t="shared" si="15"/>
        <v>210027.51</v>
      </c>
      <c r="H91" s="172">
        <f t="shared" si="16"/>
        <v>1.5526865815402619E-2</v>
      </c>
      <c r="I91" s="337"/>
      <c r="J91" s="168"/>
      <c r="K91" s="168"/>
      <c r="M91" s="359">
        <f t="shared" si="17"/>
        <v>4.4273173970783537</v>
      </c>
      <c r="N91" s="359">
        <f>SUMMARY!J94</f>
        <v>4.5521505201933312</v>
      </c>
      <c r="W91" s="168"/>
      <c r="X91" s="168"/>
      <c r="Y91" s="527"/>
      <c r="Z91" s="527"/>
    </row>
    <row r="92" spans="1:26" s="167" customFormat="1">
      <c r="A92" s="163">
        <v>490</v>
      </c>
      <c r="B92" s="148" t="s">
        <v>312</v>
      </c>
      <c r="C92" s="490">
        <f>'[6]Sch C'!D85</f>
        <v>56.5</v>
      </c>
      <c r="D92" s="490">
        <f>'[6]Sch C'!F85</f>
        <v>0</v>
      </c>
      <c r="E92" s="171">
        <f t="shared" si="14"/>
        <v>56.5</v>
      </c>
      <c r="F92" s="490"/>
      <c r="G92" s="171">
        <f t="shared" si="15"/>
        <v>56.5</v>
      </c>
      <c r="H92" s="172">
        <f t="shared" si="16"/>
        <v>4.1769191025035152E-6</v>
      </c>
      <c r="I92" s="337"/>
      <c r="J92" s="168"/>
      <c r="K92" s="168"/>
      <c r="M92" s="359">
        <f t="shared" si="17"/>
        <v>1.1910031830350556E-3</v>
      </c>
      <c r="N92" s="359">
        <f>SUMMARY!J95</f>
        <v>0.10456320690314301</v>
      </c>
      <c r="W92" s="168"/>
      <c r="X92" s="168"/>
      <c r="Y92" s="527"/>
      <c r="Z92" s="527"/>
    </row>
    <row r="93" spans="1:26" s="167" customFormat="1">
      <c r="A93" s="163"/>
      <c r="B93" s="170" t="s">
        <v>50</v>
      </c>
      <c r="C93" s="490">
        <f>SUM(C82:C92)</f>
        <v>388685.74</v>
      </c>
      <c r="D93" s="490">
        <f>SUM(D82:D92)</f>
        <v>0</v>
      </c>
      <c r="E93" s="171">
        <f t="shared" ref="E93:F93" si="18">SUM(E82:E92)</f>
        <v>388685.74</v>
      </c>
      <c r="F93" s="171">
        <f t="shared" si="18"/>
        <v>0</v>
      </c>
      <c r="G93" s="171">
        <f>SUM(G82:G92)</f>
        <v>388685.74</v>
      </c>
      <c r="H93" s="172">
        <f t="shared" si="16"/>
        <v>2.8734670659764858E-2</v>
      </c>
      <c r="I93" s="337"/>
      <c r="J93" s="168"/>
      <c r="K93" s="168"/>
      <c r="M93" s="364">
        <f>G93/G$228</f>
        <v>8.1933797086785134</v>
      </c>
      <c r="N93" s="359">
        <f>SUMMARY!J96</f>
        <v>11.17524664351876</v>
      </c>
      <c r="W93" s="168"/>
      <c r="X93" s="168"/>
      <c r="Y93" s="527"/>
      <c r="Z93" s="527"/>
    </row>
    <row r="94" spans="1:26" s="167" customFormat="1">
      <c r="A94" s="163"/>
      <c r="C94" s="165"/>
      <c r="D94" s="165"/>
      <c r="E94" s="165"/>
      <c r="F94" s="165"/>
      <c r="G94" s="165"/>
      <c r="H94" s="198"/>
      <c r="I94" s="341"/>
      <c r="J94" s="168"/>
      <c r="K94" s="168"/>
      <c r="M94" s="359"/>
      <c r="N94" s="359"/>
      <c r="W94" s="168"/>
      <c r="X94" s="168"/>
      <c r="Y94" s="527"/>
      <c r="Z94" s="527"/>
    </row>
    <row r="95" spans="1:26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1"/>
      <c r="J95" s="168"/>
      <c r="K95" s="168"/>
      <c r="M95" s="359"/>
      <c r="N95" s="359"/>
      <c r="W95" s="168"/>
      <c r="X95" s="168"/>
      <c r="Y95" s="527"/>
      <c r="Z95" s="527"/>
    </row>
    <row r="96" spans="1:26" s="167" customFormat="1">
      <c r="A96" s="169" t="s">
        <v>85</v>
      </c>
      <c r="B96" s="170" t="s">
        <v>44</v>
      </c>
      <c r="C96" s="490">
        <f>'[6]Sch C'!D89</f>
        <v>385584.95</v>
      </c>
      <c r="D96" s="490">
        <f>'[6]Sch C'!F89</f>
        <v>0</v>
      </c>
      <c r="E96" s="171">
        <f t="shared" ref="E96:E101" si="19">C96+D96</f>
        <v>385584.95</v>
      </c>
      <c r="F96" s="490"/>
      <c r="G96" s="171">
        <f t="shared" ref="G96:G101" si="20">E96+F96</f>
        <v>385584.95</v>
      </c>
      <c r="H96" s="172">
        <f t="shared" ref="H96:H102" si="21">IF($G$208=0,0,G96/$G$208)</f>
        <v>2.8505436164475446E-2</v>
      </c>
      <c r="I96" s="337"/>
      <c r="J96" s="183">
        <v>31179.089999999997</v>
      </c>
      <c r="K96" s="183">
        <v>33198.089999999997</v>
      </c>
      <c r="M96" s="364">
        <f t="shared" ref="M96:M101" si="22">G96/G$228</f>
        <v>8.1280159784143855</v>
      </c>
      <c r="N96" s="359">
        <f>SUMMARY!J99</f>
        <v>8.2060376122989549</v>
      </c>
      <c r="W96" s="183">
        <v>7695</v>
      </c>
      <c r="X96" s="183">
        <v>7974</v>
      </c>
      <c r="Y96" s="492">
        <v>22963</v>
      </c>
      <c r="Z96" s="492">
        <v>24522</v>
      </c>
    </row>
    <row r="97" spans="1:26" s="167" customFormat="1">
      <c r="A97" s="169" t="s">
        <v>86</v>
      </c>
      <c r="B97" s="170" t="s">
        <v>45</v>
      </c>
      <c r="C97" s="490">
        <f>'[6]Sch C'!D90</f>
        <v>56912.54</v>
      </c>
      <c r="D97" s="490">
        <f>'[6]Sch C'!F90</f>
        <v>0</v>
      </c>
      <c r="E97" s="171">
        <f t="shared" si="19"/>
        <v>56912.54</v>
      </c>
      <c r="F97" s="490"/>
      <c r="G97" s="171">
        <f t="shared" si="20"/>
        <v>56912.54</v>
      </c>
      <c r="H97" s="172">
        <f t="shared" si="21"/>
        <v>4.2074172654512458E-3</v>
      </c>
      <c r="I97" s="337"/>
      <c r="J97" s="168"/>
      <c r="K97" s="168"/>
      <c r="M97" s="364">
        <f t="shared" si="22"/>
        <v>1.1996994034444233</v>
      </c>
      <c r="N97" s="359">
        <f>SUMMARY!J100</f>
        <v>1.4669439852641635</v>
      </c>
      <c r="W97" s="168"/>
      <c r="X97" s="168"/>
      <c r="Y97" s="527"/>
      <c r="Z97" s="527"/>
    </row>
    <row r="98" spans="1:26" s="167" customFormat="1">
      <c r="A98" s="169">
        <v>310</v>
      </c>
      <c r="B98" s="170" t="s">
        <v>54</v>
      </c>
      <c r="C98" s="490">
        <f>'[6]Sch C'!D91</f>
        <v>35909.699999999997</v>
      </c>
      <c r="D98" s="490">
        <f>'[6]Sch C'!F91</f>
        <v>0</v>
      </c>
      <c r="E98" s="171">
        <f t="shared" si="19"/>
        <v>35909.699999999997</v>
      </c>
      <c r="F98" s="490"/>
      <c r="G98" s="171">
        <f t="shared" si="20"/>
        <v>35909.699999999997</v>
      </c>
      <c r="H98" s="172">
        <f t="shared" si="21"/>
        <v>2.6547241043393E-3</v>
      </c>
      <c r="I98" s="337"/>
      <c r="J98" s="168"/>
      <c r="K98" s="168"/>
      <c r="M98" s="364">
        <f t="shared" si="22"/>
        <v>0.75696578764307842</v>
      </c>
      <c r="N98" s="359">
        <f>SUMMARY!J101</f>
        <v>1.183530597198329</v>
      </c>
      <c r="W98" s="168"/>
      <c r="X98" s="168"/>
      <c r="Y98" s="527"/>
      <c r="Z98" s="527"/>
    </row>
    <row r="99" spans="1:26" s="167" customFormat="1">
      <c r="A99" s="169">
        <v>380</v>
      </c>
      <c r="B99" s="170" t="s">
        <v>52</v>
      </c>
      <c r="C99" s="490">
        <f>'[6]Sch C'!D92</f>
        <v>345911.63</v>
      </c>
      <c r="D99" s="490">
        <f>'[6]Sch C'!F92</f>
        <v>0</v>
      </c>
      <c r="E99" s="171">
        <f t="shared" si="19"/>
        <v>345911.63</v>
      </c>
      <c r="F99" s="490"/>
      <c r="G99" s="171">
        <f t="shared" si="20"/>
        <v>345911.63</v>
      </c>
      <c r="H99" s="172">
        <f t="shared" si="21"/>
        <v>2.5572476019913769E-2</v>
      </c>
      <c r="I99" s="337"/>
      <c r="J99" s="168"/>
      <c r="K99" s="168"/>
      <c r="M99" s="364">
        <f t="shared" si="22"/>
        <v>7.2917142013954761</v>
      </c>
      <c r="N99" s="359">
        <f>SUMMARY!J102</f>
        <v>7.0821094672455693</v>
      </c>
      <c r="W99" s="168"/>
      <c r="X99" s="168"/>
      <c r="Y99" s="527"/>
      <c r="Z99" s="527"/>
    </row>
    <row r="100" spans="1:26" s="167" customFormat="1">
      <c r="A100" s="169">
        <v>390</v>
      </c>
      <c r="B100" s="170" t="s">
        <v>53</v>
      </c>
      <c r="C100" s="490">
        <f>'[6]Sch C'!D93</f>
        <v>30735.77</v>
      </c>
      <c r="D100" s="490">
        <f>'[6]Sch C'!F93</f>
        <v>0</v>
      </c>
      <c r="E100" s="171">
        <f t="shared" si="19"/>
        <v>30735.77</v>
      </c>
      <c r="F100" s="490"/>
      <c r="G100" s="171">
        <f t="shared" si="20"/>
        <v>30735.77</v>
      </c>
      <c r="H100" s="172">
        <f t="shared" si="21"/>
        <v>2.2722269883744153E-3</v>
      </c>
      <c r="I100" s="337"/>
      <c r="J100" s="168"/>
      <c r="K100" s="168"/>
      <c r="M100" s="364">
        <f t="shared" si="22"/>
        <v>0.64790088323952866</v>
      </c>
      <c r="N100" s="359">
        <f>SUMMARY!J103</f>
        <v>0.68088587422517122</v>
      </c>
      <c r="W100" s="168"/>
      <c r="X100" s="168"/>
      <c r="Y100" s="527"/>
      <c r="Z100" s="527"/>
    </row>
    <row r="101" spans="1:26" s="167" customFormat="1">
      <c r="A101" s="169">
        <v>490</v>
      </c>
      <c r="B101" s="202" t="s">
        <v>312</v>
      </c>
      <c r="C101" s="490">
        <f>'[6]Sch C'!D94</f>
        <v>2443.42</v>
      </c>
      <c r="D101" s="490">
        <f>'[6]Sch C'!F94</f>
        <v>0</v>
      </c>
      <c r="E101" s="171">
        <f t="shared" si="19"/>
        <v>2443.42</v>
      </c>
      <c r="F101" s="490"/>
      <c r="G101" s="171">
        <f t="shared" si="20"/>
        <v>2443.42</v>
      </c>
      <c r="H101" s="172">
        <f t="shared" si="21"/>
        <v>1.8063659599007326E-4</v>
      </c>
      <c r="I101" s="337"/>
      <c r="J101" s="168"/>
      <c r="K101" s="168"/>
      <c r="M101" s="364">
        <f t="shared" si="22"/>
        <v>5.1506566327283461E-2</v>
      </c>
      <c r="N101" s="359">
        <f>SUMMARY!J104</f>
        <v>6.9797777231643043E-2</v>
      </c>
      <c r="W101" s="168"/>
      <c r="X101" s="168"/>
      <c r="Y101" s="527"/>
      <c r="Z101" s="527"/>
    </row>
    <row r="102" spans="1:26" s="167" customFormat="1">
      <c r="A102" s="169"/>
      <c r="B102" s="170" t="s">
        <v>55</v>
      </c>
      <c r="C102" s="490">
        <f>SUM(C96:C101)</f>
        <v>857498.01000000013</v>
      </c>
      <c r="D102" s="490">
        <f>SUM(D96:D101)</f>
        <v>0</v>
      </c>
      <c r="E102" s="171">
        <f t="shared" ref="E102:F102" si="23">SUM(E96:E101)</f>
        <v>857498.01000000013</v>
      </c>
      <c r="F102" s="171">
        <f t="shared" si="23"/>
        <v>0</v>
      </c>
      <c r="G102" s="171">
        <f>SUM(G96:G101)</f>
        <v>857498.01000000013</v>
      </c>
      <c r="H102" s="172">
        <f t="shared" si="21"/>
        <v>6.3392917138544252E-2</v>
      </c>
      <c r="I102" s="337"/>
      <c r="J102" s="168"/>
      <c r="K102" s="168"/>
      <c r="M102" s="364">
        <f>G102/G$228</f>
        <v>18.075802820464176</v>
      </c>
      <c r="N102" s="359">
        <f>SUMMARY!J105</f>
        <v>18.68930531346383</v>
      </c>
      <c r="W102" s="168"/>
      <c r="X102" s="168"/>
      <c r="Y102" s="527"/>
      <c r="Z102" s="527"/>
    </row>
    <row r="103" spans="1:26" s="167" customFormat="1">
      <c r="A103" s="163"/>
      <c r="C103" s="165"/>
      <c r="D103" s="165"/>
      <c r="E103" s="165"/>
      <c r="F103" s="165"/>
      <c r="G103" s="165"/>
      <c r="H103" s="198"/>
      <c r="I103" s="341"/>
      <c r="J103" s="168"/>
      <c r="K103" s="168"/>
      <c r="M103" s="359"/>
      <c r="N103" s="359"/>
      <c r="W103" s="168"/>
      <c r="X103" s="168"/>
      <c r="Y103" s="527"/>
      <c r="Z103" s="527"/>
    </row>
    <row r="104" spans="1:26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1"/>
      <c r="J104" s="168"/>
      <c r="K104" s="168"/>
      <c r="M104" s="359"/>
      <c r="N104" s="359"/>
      <c r="W104" s="168"/>
      <c r="X104" s="168"/>
      <c r="Y104" s="527"/>
      <c r="Z104" s="527"/>
    </row>
    <row r="105" spans="1:26" s="167" customFormat="1">
      <c r="A105" s="169" t="s">
        <v>85</v>
      </c>
      <c r="B105" s="170" t="s">
        <v>44</v>
      </c>
      <c r="C105" s="490">
        <f>'[6]Sch C'!D98</f>
        <v>42184.05</v>
      </c>
      <c r="D105" s="490">
        <f>'[6]Sch C'!F98</f>
        <v>0</v>
      </c>
      <c r="E105" s="171">
        <f t="shared" ref="E105:E110" si="24">C105+D105</f>
        <v>42184.05</v>
      </c>
      <c r="F105" s="490"/>
      <c r="G105" s="171">
        <f t="shared" ref="G105:G110" si="25">E105+F105</f>
        <v>42184.05</v>
      </c>
      <c r="H105" s="172">
        <f t="shared" ref="H105:H111" si="26">IF($G$208=0,0,G105/$G$208)</f>
        <v>3.1185728188666091E-3</v>
      </c>
      <c r="I105" s="337"/>
      <c r="J105" s="183">
        <v>3790</v>
      </c>
      <c r="K105" s="183">
        <v>4230</v>
      </c>
      <c r="M105" s="364">
        <f t="shared" ref="M105:M110" si="27">G105/G$228</f>
        <v>0.88922721811168037</v>
      </c>
      <c r="N105" s="359">
        <f>SUMMARY!J108</f>
        <v>0.86506273995794769</v>
      </c>
      <c r="W105" s="183">
        <v>963</v>
      </c>
      <c r="X105" s="183">
        <v>1063</v>
      </c>
      <c r="Y105" s="492">
        <v>2791</v>
      </c>
      <c r="Z105" s="492">
        <v>3141</v>
      </c>
    </row>
    <row r="106" spans="1:26" s="167" customFormat="1">
      <c r="A106" s="169" t="s">
        <v>86</v>
      </c>
      <c r="B106" s="170" t="s">
        <v>45</v>
      </c>
      <c r="C106" s="490">
        <f>'[6]Sch C'!D99</f>
        <v>9682.2000000000007</v>
      </c>
      <c r="D106" s="490">
        <f>'[6]Sch C'!F99</f>
        <v>0</v>
      </c>
      <c r="E106" s="171">
        <f t="shared" si="24"/>
        <v>9682.2000000000007</v>
      </c>
      <c r="F106" s="490"/>
      <c r="G106" s="171">
        <f t="shared" si="25"/>
        <v>9682.2000000000007</v>
      </c>
      <c r="H106" s="172">
        <f t="shared" si="26"/>
        <v>7.1578347140282368E-4</v>
      </c>
      <c r="I106" s="337"/>
      <c r="J106" s="168"/>
      <c r="K106" s="168"/>
      <c r="M106" s="364">
        <f t="shared" si="27"/>
        <v>0.2040978941377348</v>
      </c>
      <c r="N106" s="359">
        <f>SUMMARY!J109</f>
        <v>0.16496038159209525</v>
      </c>
      <c r="W106" s="168"/>
      <c r="X106" s="168"/>
      <c r="Y106" s="527"/>
      <c r="Z106" s="527"/>
    </row>
    <row r="107" spans="1:26" s="167" customFormat="1">
      <c r="A107" s="169">
        <v>110</v>
      </c>
      <c r="B107" s="170" t="s">
        <v>47</v>
      </c>
      <c r="C107" s="490">
        <f>'[6]Sch C'!D100</f>
        <v>7174.39</v>
      </c>
      <c r="D107" s="490">
        <f>'[6]Sch C'!F100</f>
        <v>0</v>
      </c>
      <c r="E107" s="171">
        <f t="shared" si="24"/>
        <v>7174.39</v>
      </c>
      <c r="F107" s="490"/>
      <c r="G107" s="171">
        <f t="shared" si="25"/>
        <v>7174.39</v>
      </c>
      <c r="H107" s="172">
        <f t="shared" si="26"/>
        <v>5.3038666619133082E-4</v>
      </c>
      <c r="I107" s="337"/>
      <c r="J107" s="168"/>
      <c r="K107" s="168"/>
      <c r="M107" s="364">
        <f t="shared" si="27"/>
        <v>0.15123400577583845</v>
      </c>
      <c r="N107" s="359">
        <f>SUMMARY!J110</f>
        <v>0.16555549548073512</v>
      </c>
      <c r="W107" s="168"/>
      <c r="X107" s="168"/>
      <c r="Y107" s="527"/>
      <c r="Z107" s="527"/>
    </row>
    <row r="108" spans="1:26" s="167" customFormat="1">
      <c r="A108" s="169">
        <v>310</v>
      </c>
      <c r="B108" s="170" t="s">
        <v>54</v>
      </c>
      <c r="C108" s="490">
        <f>'[6]Sch C'!D101</f>
        <v>0</v>
      </c>
      <c r="D108" s="490">
        <f>'[6]Sch C'!F101</f>
        <v>0</v>
      </c>
      <c r="E108" s="171">
        <f t="shared" si="24"/>
        <v>0</v>
      </c>
      <c r="F108" s="490"/>
      <c r="G108" s="171">
        <f t="shared" si="25"/>
        <v>0</v>
      </c>
      <c r="H108" s="172">
        <f t="shared" si="26"/>
        <v>0</v>
      </c>
      <c r="I108" s="337"/>
      <c r="J108" s="168"/>
      <c r="K108" s="168"/>
      <c r="M108" s="364">
        <f t="shared" si="27"/>
        <v>0</v>
      </c>
      <c r="N108" s="359">
        <f>SUMMARY!J111</f>
        <v>0.8274336200540674</v>
      </c>
      <c r="W108" s="168"/>
      <c r="X108" s="168"/>
      <c r="Y108" s="527"/>
      <c r="Z108" s="527"/>
    </row>
    <row r="109" spans="1:26" s="167" customFormat="1">
      <c r="A109" s="169">
        <v>410</v>
      </c>
      <c r="B109" s="170" t="s">
        <v>57</v>
      </c>
      <c r="C109" s="490">
        <f>'[6]Sch C'!D102</f>
        <v>9104.32</v>
      </c>
      <c r="D109" s="490">
        <f>'[6]Sch C'!F102</f>
        <v>0</v>
      </c>
      <c r="E109" s="171">
        <f t="shared" si="24"/>
        <v>9104.32</v>
      </c>
      <c r="F109" s="490"/>
      <c r="G109" s="171">
        <f t="shared" si="25"/>
        <v>9104.32</v>
      </c>
      <c r="H109" s="172">
        <f t="shared" si="26"/>
        <v>6.7306209067796111E-4</v>
      </c>
      <c r="I109" s="337"/>
      <c r="J109" s="168"/>
      <c r="K109" s="168"/>
      <c r="M109" s="364">
        <f t="shared" si="27"/>
        <v>0.19191635574105692</v>
      </c>
      <c r="N109" s="359">
        <f>SUMMARY!J112</f>
        <v>0.23955234428333469</v>
      </c>
      <c r="W109" s="168"/>
      <c r="X109" s="168"/>
      <c r="Y109" s="527"/>
      <c r="Z109" s="527"/>
    </row>
    <row r="110" spans="1:26" s="167" customFormat="1">
      <c r="A110" s="169">
        <v>490</v>
      </c>
      <c r="B110" s="202" t="s">
        <v>312</v>
      </c>
      <c r="C110" s="490">
        <f>'[6]Sch C'!D103</f>
        <v>3290.36</v>
      </c>
      <c r="D110" s="490">
        <f>'[6]Sch C'!F103</f>
        <v>0</v>
      </c>
      <c r="E110" s="171">
        <f t="shared" si="24"/>
        <v>3290.36</v>
      </c>
      <c r="F110" s="490"/>
      <c r="G110" s="171">
        <f t="shared" si="25"/>
        <v>3290.36</v>
      </c>
      <c r="H110" s="172">
        <f t="shared" si="26"/>
        <v>2.4324898297545957E-4</v>
      </c>
      <c r="I110" s="337"/>
      <c r="J110" s="168"/>
      <c r="K110" s="168"/>
      <c r="M110" s="364">
        <f t="shared" si="27"/>
        <v>6.9359809439490716E-2</v>
      </c>
      <c r="N110" s="359">
        <f>SUMMARY!J113</f>
        <v>7.1067748013434922E-3</v>
      </c>
      <c r="W110" s="168"/>
      <c r="X110" s="168"/>
      <c r="Y110" s="527"/>
      <c r="Z110" s="527"/>
    </row>
    <row r="111" spans="1:26" s="167" customFormat="1">
      <c r="A111" s="163"/>
      <c r="B111" s="170" t="s">
        <v>58</v>
      </c>
      <c r="C111" s="490">
        <f>SUM(C105:C110)</f>
        <v>71435.319999999992</v>
      </c>
      <c r="D111" s="490">
        <f>SUM(D105:D110)</f>
        <v>0</v>
      </c>
      <c r="E111" s="171">
        <f t="shared" ref="E111:F111" si="28">SUM(E105:E110)</f>
        <v>71435.319999999992</v>
      </c>
      <c r="F111" s="171">
        <f t="shared" si="28"/>
        <v>0</v>
      </c>
      <c r="G111" s="171">
        <f>SUM(G105:G110)</f>
        <v>71435.319999999992</v>
      </c>
      <c r="H111" s="172">
        <f t="shared" si="26"/>
        <v>5.2810540301141832E-3</v>
      </c>
      <c r="I111" s="337"/>
      <c r="J111" s="168"/>
      <c r="K111" s="168"/>
      <c r="M111" s="364">
        <f>G111/G$228</f>
        <v>1.5058352832058011</v>
      </c>
      <c r="N111" s="359">
        <f>SUMMARY!J114</f>
        <v>2.269671356169523</v>
      </c>
      <c r="W111" s="168"/>
      <c r="X111" s="168"/>
      <c r="Y111" s="527"/>
      <c r="Z111" s="527"/>
    </row>
    <row r="112" spans="1:26" s="167" customFormat="1">
      <c r="A112" s="163"/>
      <c r="C112" s="165"/>
      <c r="D112" s="165"/>
      <c r="E112" s="165"/>
      <c r="F112" s="165"/>
      <c r="G112" s="165"/>
      <c r="H112" s="198"/>
      <c r="I112" s="341"/>
      <c r="J112" s="168"/>
      <c r="K112" s="168"/>
      <c r="M112" s="359"/>
      <c r="N112" s="359"/>
      <c r="W112" s="168"/>
      <c r="X112" s="168"/>
      <c r="Y112" s="527"/>
      <c r="Z112" s="527"/>
    </row>
    <row r="113" spans="1:26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1"/>
      <c r="J113" s="168"/>
      <c r="K113" s="168"/>
      <c r="M113" s="359"/>
      <c r="N113" s="359"/>
      <c r="W113" s="168"/>
      <c r="X113" s="168"/>
      <c r="Y113" s="527"/>
      <c r="Z113" s="527"/>
    </row>
    <row r="114" spans="1:26" s="167" customFormat="1">
      <c r="A114" s="169" t="s">
        <v>85</v>
      </c>
      <c r="B114" s="170" t="s">
        <v>44</v>
      </c>
      <c r="C114" s="490">
        <f>'[6]Sch C'!D115</f>
        <v>180101.93</v>
      </c>
      <c r="D114" s="490">
        <f>'[6]Sch C'!F115</f>
        <v>0</v>
      </c>
      <c r="E114" s="171">
        <f t="shared" ref="E114:E118" si="29">C114+D114</f>
        <v>180101.93</v>
      </c>
      <c r="F114" s="490"/>
      <c r="G114" s="171">
        <f>E114+F114</f>
        <v>180101.93</v>
      </c>
      <c r="H114" s="172">
        <f t="shared" ref="H114:H119" si="30">IF($G$208=0,0,G114/$G$208)</f>
        <v>1.3314534368402671E-2</v>
      </c>
      <c r="I114" s="337"/>
      <c r="J114" s="183">
        <v>17205.41</v>
      </c>
      <c r="K114" s="183">
        <v>18773</v>
      </c>
      <c r="M114" s="364">
        <f t="shared" ref="M114:M119" si="31">G114/G$228</f>
        <v>3.7964950778894999</v>
      </c>
      <c r="N114" s="359">
        <f>SUMMARY!J117</f>
        <v>2.9289001010349254</v>
      </c>
      <c r="W114" s="183">
        <v>4252</v>
      </c>
      <c r="X114" s="183">
        <v>4630</v>
      </c>
      <c r="Y114" s="492">
        <v>12507</v>
      </c>
      <c r="Z114" s="492">
        <v>13770</v>
      </c>
    </row>
    <row r="115" spans="1:26" s="167" customFormat="1">
      <c r="A115" s="169" t="s">
        <v>86</v>
      </c>
      <c r="B115" s="170" t="s">
        <v>151</v>
      </c>
      <c r="C115" s="490">
        <f>'[6]Sch C'!D116</f>
        <v>40465.39</v>
      </c>
      <c r="D115" s="490">
        <f>'[6]Sch C'!F116</f>
        <v>0</v>
      </c>
      <c r="E115" s="171">
        <f t="shared" si="29"/>
        <v>40465.39</v>
      </c>
      <c r="F115" s="490"/>
      <c r="G115" s="171">
        <f>E115+F115</f>
        <v>40465.39</v>
      </c>
      <c r="H115" s="172">
        <f t="shared" si="30"/>
        <v>2.9915161147124726E-3</v>
      </c>
      <c r="I115" s="337"/>
      <c r="J115" s="168"/>
      <c r="K115" s="168"/>
      <c r="M115" s="364">
        <f t="shared" si="31"/>
        <v>0.85299837686291868</v>
      </c>
      <c r="N115" s="359">
        <f>SUMMARY!J118</f>
        <v>0.58319440810868606</v>
      </c>
      <c r="W115" s="168"/>
      <c r="X115" s="168"/>
      <c r="Y115" s="527"/>
      <c r="Z115" s="527"/>
    </row>
    <row r="116" spans="1:26" s="167" customFormat="1">
      <c r="A116" s="169" t="s">
        <v>93</v>
      </c>
      <c r="B116" s="170" t="s">
        <v>47</v>
      </c>
      <c r="C116" s="490">
        <f>'[6]Sch C'!D117</f>
        <v>26925.02</v>
      </c>
      <c r="D116" s="490">
        <f>'[6]Sch C'!F117</f>
        <v>0</v>
      </c>
      <c r="E116" s="171">
        <f t="shared" si="29"/>
        <v>26925.02</v>
      </c>
      <c r="F116" s="490"/>
      <c r="G116" s="171">
        <f>E116+F116</f>
        <v>26925.02</v>
      </c>
      <c r="H116" s="172">
        <f t="shared" si="30"/>
        <v>1.9905067322706052E-3</v>
      </c>
      <c r="I116" s="337"/>
      <c r="J116" s="168"/>
      <c r="K116" s="168"/>
      <c r="M116" s="364">
        <f t="shared" si="31"/>
        <v>0.56757140749172619</v>
      </c>
      <c r="N116" s="359">
        <f>SUMMARY!J119</f>
        <v>0.8285773354086452</v>
      </c>
      <c r="W116" s="168"/>
      <c r="X116" s="168"/>
      <c r="Y116" s="527"/>
      <c r="Z116" s="527"/>
    </row>
    <row r="117" spans="1:26" s="167" customFormat="1">
      <c r="A117" s="169">
        <v>310</v>
      </c>
      <c r="B117" s="170" t="s">
        <v>60</v>
      </c>
      <c r="C117" s="490">
        <f>'[6]Sch C'!D118</f>
        <v>471</v>
      </c>
      <c r="D117" s="490">
        <f>'[6]Sch C'!F118</f>
        <v>0</v>
      </c>
      <c r="E117" s="171">
        <f t="shared" si="29"/>
        <v>471</v>
      </c>
      <c r="F117" s="490"/>
      <c r="G117" s="171">
        <f>E117+F117</f>
        <v>471</v>
      </c>
      <c r="H117" s="172">
        <f t="shared" si="30"/>
        <v>3.4819980482816912E-5</v>
      </c>
      <c r="I117" s="337"/>
      <c r="J117" s="168"/>
      <c r="K117" s="168"/>
      <c r="M117" s="364">
        <f t="shared" si="31"/>
        <v>9.9285398090178962E-3</v>
      </c>
      <c r="N117" s="359">
        <f>SUMMARY!J120</f>
        <v>1.394217388929849</v>
      </c>
      <c r="W117" s="168"/>
      <c r="X117" s="168"/>
      <c r="Y117" s="527"/>
      <c r="Z117" s="527"/>
    </row>
    <row r="118" spans="1:26" s="167" customFormat="1">
      <c r="A118" s="169">
        <v>490</v>
      </c>
      <c r="B118" s="202" t="s">
        <v>312</v>
      </c>
      <c r="C118" s="490">
        <f>'[6]Sch C'!D119</f>
        <v>2267.84</v>
      </c>
      <c r="D118" s="490">
        <f>'[6]Sch C'!F119</f>
        <v>0</v>
      </c>
      <c r="E118" s="171">
        <f t="shared" si="29"/>
        <v>2267.84</v>
      </c>
      <c r="F118" s="490"/>
      <c r="G118" s="171">
        <f>E118+F118</f>
        <v>2267.84</v>
      </c>
      <c r="H118" s="172">
        <f t="shared" si="30"/>
        <v>1.676563578304703E-4</v>
      </c>
      <c r="I118" s="337"/>
      <c r="J118" s="168"/>
      <c r="K118" s="168"/>
      <c r="M118" s="364">
        <f t="shared" si="31"/>
        <v>4.7805392187862311E-2</v>
      </c>
      <c r="N118" s="359">
        <f>SUMMARY!J121</f>
        <v>1.5050905218317359E-2</v>
      </c>
      <c r="W118" s="168"/>
      <c r="X118" s="168"/>
      <c r="Y118" s="527"/>
      <c r="Z118" s="527"/>
    </row>
    <row r="119" spans="1:26" s="167" customFormat="1">
      <c r="A119" s="163"/>
      <c r="B119" s="170" t="s">
        <v>61</v>
      </c>
      <c r="C119" s="490">
        <f>SUM(C114:C118)</f>
        <v>250231.18</v>
      </c>
      <c r="D119" s="490">
        <f>SUM(D114:D118)</f>
        <v>0</v>
      </c>
      <c r="E119" s="171">
        <f t="shared" ref="E119:F119" si="32">SUM(E114:E118)</f>
        <v>250231.18</v>
      </c>
      <c r="F119" s="171">
        <f t="shared" si="32"/>
        <v>0</v>
      </c>
      <c r="G119" s="171">
        <f>SUM(G114:G118)</f>
        <v>250231.18</v>
      </c>
      <c r="H119" s="172">
        <f t="shared" si="30"/>
        <v>1.8499033553699036E-2</v>
      </c>
      <c r="I119" s="337"/>
      <c r="J119" s="168"/>
      <c r="K119" s="168"/>
      <c r="M119" s="364">
        <f t="shared" si="31"/>
        <v>5.2747987942410255</v>
      </c>
      <c r="N119" s="359">
        <f>SUMMARY!J122</f>
        <v>5.7499401387004214</v>
      </c>
      <c r="W119" s="168"/>
      <c r="X119" s="168"/>
      <c r="Y119" s="527"/>
      <c r="Z119" s="527"/>
    </row>
    <row r="120" spans="1:26" s="167" customFormat="1">
      <c r="A120" s="163"/>
      <c r="B120" s="170"/>
      <c r="C120" s="196"/>
      <c r="D120" s="196"/>
      <c r="E120" s="196"/>
      <c r="F120" s="196"/>
      <c r="G120" s="196"/>
      <c r="H120" s="197"/>
      <c r="I120" s="337"/>
      <c r="J120" s="203"/>
      <c r="K120" s="203"/>
      <c r="M120" s="359"/>
      <c r="N120" s="359"/>
      <c r="W120" s="203"/>
      <c r="X120" s="203"/>
      <c r="Y120" s="203"/>
      <c r="Z120" s="203"/>
    </row>
    <row r="121" spans="1:26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1"/>
      <c r="J121" s="204"/>
      <c r="K121" s="204"/>
      <c r="M121" s="359"/>
      <c r="N121" s="359"/>
      <c r="W121" s="204"/>
      <c r="X121" s="204"/>
      <c r="Y121" s="489"/>
      <c r="Z121" s="489"/>
    </row>
    <row r="122" spans="1:26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1"/>
      <c r="J122" s="204"/>
      <c r="K122" s="204"/>
      <c r="M122" s="359"/>
      <c r="N122" s="359"/>
      <c r="W122" s="204"/>
      <c r="X122" s="204"/>
      <c r="Y122" s="489"/>
      <c r="Z122" s="489"/>
    </row>
    <row r="123" spans="1:26" s="167" customFormat="1">
      <c r="B123" s="163" t="s">
        <v>232</v>
      </c>
      <c r="C123" s="490">
        <f>'[6]Sch C'!D124</f>
        <v>0</v>
      </c>
      <c r="D123" s="490">
        <f>'[6]Sch C'!F124</f>
        <v>0</v>
      </c>
      <c r="E123" s="171">
        <f t="shared" ref="E123:E127" si="33">C123+D123</f>
        <v>0</v>
      </c>
      <c r="F123" s="490"/>
      <c r="G123" s="171">
        <f>E123+F123</f>
        <v>0</v>
      </c>
      <c r="H123" s="172">
        <f>IF($G$208=0,0,G123/$G$208)</f>
        <v>0</v>
      </c>
      <c r="I123" s="337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0.77002560279620991</v>
      </c>
      <c r="W123" s="183">
        <v>0</v>
      </c>
      <c r="X123" s="183">
        <v>0</v>
      </c>
      <c r="Y123" s="492">
        <v>0</v>
      </c>
      <c r="Z123" s="492">
        <v>0</v>
      </c>
    </row>
    <row r="124" spans="1:26" s="167" customFormat="1">
      <c r="B124" s="163" t="s">
        <v>194</v>
      </c>
      <c r="C124" s="490">
        <f>'[6]Sch C'!D125</f>
        <v>705411.65</v>
      </c>
      <c r="D124" s="490">
        <f>'[6]Sch C'!F125</f>
        <v>0</v>
      </c>
      <c r="E124" s="171">
        <f t="shared" si="33"/>
        <v>705411.65</v>
      </c>
      <c r="F124" s="490"/>
      <c r="G124" s="171">
        <f>E124+F124</f>
        <v>705411.65</v>
      </c>
      <c r="H124" s="172">
        <f>IF($G$208=0,0,G124/$G$208)</f>
        <v>5.2149511433867674E-2</v>
      </c>
      <c r="I124" s="337"/>
      <c r="J124" s="183">
        <v>19242.060000000001</v>
      </c>
      <c r="K124" s="183">
        <v>20389.990000000002</v>
      </c>
      <c r="M124" s="364">
        <f t="shared" si="34"/>
        <v>14.869867619469213</v>
      </c>
      <c r="N124" s="359">
        <f>SUMMARY!J127</f>
        <v>7.8410343245678709</v>
      </c>
      <c r="W124" s="183">
        <v>7324</v>
      </c>
      <c r="X124" s="183">
        <v>7799</v>
      </c>
      <c r="Y124" s="492">
        <v>20604</v>
      </c>
      <c r="Z124" s="492">
        <v>22375</v>
      </c>
    </row>
    <row r="125" spans="1:26" s="167" customFormat="1">
      <c r="A125" s="163" t="s">
        <v>198</v>
      </c>
      <c r="B125" s="163" t="s">
        <v>195</v>
      </c>
      <c r="C125" s="490">
        <f>'[6]Sch C'!D126</f>
        <v>0</v>
      </c>
      <c r="D125" s="490">
        <f>'[6]Sch C'!F126</f>
        <v>0</v>
      </c>
      <c r="E125" s="171">
        <f t="shared" si="33"/>
        <v>0</v>
      </c>
      <c r="F125" s="490"/>
      <c r="G125" s="171">
        <f>E125+F125</f>
        <v>0</v>
      </c>
      <c r="H125" s="172">
        <f>IF($G$208=0,0,G125/$G$208)</f>
        <v>0</v>
      </c>
      <c r="I125" s="337"/>
      <c r="J125" s="183">
        <v>0</v>
      </c>
      <c r="K125" s="183">
        <v>0</v>
      </c>
      <c r="M125" s="364">
        <f t="shared" si="34"/>
        <v>0</v>
      </c>
      <c r="N125" s="359">
        <f>SUMMARY!J128</f>
        <v>0.58591518527620767</v>
      </c>
      <c r="W125" s="183">
        <v>0</v>
      </c>
      <c r="X125" s="183">
        <v>0</v>
      </c>
      <c r="Y125" s="492">
        <v>0</v>
      </c>
      <c r="Z125" s="492">
        <v>0</v>
      </c>
    </row>
    <row r="126" spans="1:26" s="167" customFormat="1">
      <c r="A126" s="169"/>
      <c r="B126" s="163" t="s">
        <v>196</v>
      </c>
      <c r="C126" s="490">
        <f>'[6]Sch C'!D127</f>
        <v>0</v>
      </c>
      <c r="D126" s="490">
        <f>'[6]Sch C'!F127</f>
        <v>0</v>
      </c>
      <c r="E126" s="171">
        <f t="shared" si="33"/>
        <v>0</v>
      </c>
      <c r="F126" s="490"/>
      <c r="G126" s="171">
        <f>E126+F126</f>
        <v>0</v>
      </c>
      <c r="H126" s="172">
        <f>IF($G$208=0,0,G126/$G$208)</f>
        <v>0</v>
      </c>
      <c r="I126" s="337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  <c r="W126" s="183">
        <v>0</v>
      </c>
      <c r="X126" s="183">
        <v>0</v>
      </c>
      <c r="Y126" s="492">
        <v>0</v>
      </c>
      <c r="Z126" s="492">
        <v>0</v>
      </c>
    </row>
    <row r="127" spans="1:26" s="167" customFormat="1">
      <c r="A127" s="169"/>
      <c r="B127" s="163" t="s">
        <v>197</v>
      </c>
      <c r="C127" s="490">
        <f>'[6]Sch C'!D128</f>
        <v>103643.49</v>
      </c>
      <c r="D127" s="490">
        <f>'[6]Sch C'!F128</f>
        <v>0</v>
      </c>
      <c r="E127" s="171">
        <f t="shared" si="33"/>
        <v>103643.49</v>
      </c>
      <c r="F127" s="490"/>
      <c r="G127" s="171">
        <f>E127+F127</f>
        <v>103643.49</v>
      </c>
      <c r="H127" s="172">
        <f>IF($G$208=0,0,G127/$G$208)</f>
        <v>7.6621322695775585E-3</v>
      </c>
      <c r="I127" s="337"/>
      <c r="J127" s="183">
        <v>12435.65</v>
      </c>
      <c r="K127" s="183">
        <v>13205.89</v>
      </c>
      <c r="M127" s="364">
        <f t="shared" si="34"/>
        <v>2.1847739201922471</v>
      </c>
      <c r="N127" s="359">
        <f>SUMMARY!J130</f>
        <v>2.5140796974413586</v>
      </c>
      <c r="W127" s="183">
        <v>0</v>
      </c>
      <c r="X127" s="183">
        <v>0</v>
      </c>
      <c r="Y127" s="492">
        <v>0</v>
      </c>
      <c r="Z127" s="492">
        <v>0</v>
      </c>
    </row>
    <row r="128" spans="1:26" s="167" customFormat="1">
      <c r="A128" s="169" t="s">
        <v>95</v>
      </c>
      <c r="B128" s="170" t="s">
        <v>152</v>
      </c>
      <c r="C128" s="580"/>
      <c r="D128" s="580"/>
      <c r="E128" s="205"/>
      <c r="F128" s="205"/>
      <c r="G128" s="205"/>
      <c r="H128" s="206"/>
      <c r="I128" s="342"/>
      <c r="J128" s="207"/>
      <c r="K128" s="207"/>
      <c r="M128" s="364"/>
      <c r="N128" s="359"/>
      <c r="W128" s="207"/>
      <c r="X128" s="207"/>
      <c r="Y128" s="531"/>
      <c r="Z128" s="531"/>
    </row>
    <row r="129" spans="1:26" s="167" customFormat="1">
      <c r="A129" s="169"/>
      <c r="B129" s="163" t="s">
        <v>232</v>
      </c>
      <c r="C129" s="490">
        <f>'[6]Sch C'!D130</f>
        <v>0</v>
      </c>
      <c r="D129" s="490">
        <f>'[6]Sch C'!F130</f>
        <v>0</v>
      </c>
      <c r="E129" s="171">
        <f t="shared" ref="E129:E133" si="35">C129+D129</f>
        <v>0</v>
      </c>
      <c r="F129" s="490"/>
      <c r="G129" s="171">
        <f>E129+F129</f>
        <v>0</v>
      </c>
      <c r="H129" s="172">
        <f>IF($G$208=0,0,G129/$G$208)</f>
        <v>0</v>
      </c>
      <c r="I129" s="337"/>
      <c r="J129" s="204"/>
      <c r="K129" s="204"/>
      <c r="M129" s="364">
        <f t="shared" si="34"/>
        <v>0</v>
      </c>
      <c r="N129" s="359">
        <f>SUMMARY!J132</f>
        <v>0.14225268616367659</v>
      </c>
      <c r="W129" s="204"/>
      <c r="X129" s="204"/>
      <c r="Y129" s="489"/>
      <c r="Z129" s="489"/>
    </row>
    <row r="130" spans="1:26" s="167" customFormat="1">
      <c r="A130" s="169"/>
      <c r="B130" s="163" t="s">
        <v>194</v>
      </c>
      <c r="C130" s="490">
        <f>'[6]Sch C'!D131</f>
        <v>80143.22</v>
      </c>
      <c r="D130" s="490">
        <f>'[6]Sch C'!F131</f>
        <v>0</v>
      </c>
      <c r="E130" s="171">
        <f t="shared" si="35"/>
        <v>80143.22</v>
      </c>
      <c r="F130" s="490"/>
      <c r="G130" s="171">
        <f>E130+F130</f>
        <v>80143.22</v>
      </c>
      <c r="H130" s="172">
        <f>IF($G$208=0,0,G130/$G$208)</f>
        <v>5.9248096735246324E-3</v>
      </c>
      <c r="I130" s="337"/>
      <c r="J130" s="204"/>
      <c r="K130" s="204"/>
      <c r="M130" s="364">
        <f t="shared" si="34"/>
        <v>1.6893952233394465</v>
      </c>
      <c r="N130" s="359">
        <f>SUMMARY!J133</f>
        <v>1.0792348507966931</v>
      </c>
      <c r="W130" s="204"/>
      <c r="X130" s="204"/>
      <c r="Y130" s="489"/>
      <c r="Z130" s="489"/>
    </row>
    <row r="131" spans="1:26" s="167" customFormat="1">
      <c r="B131" s="163" t="s">
        <v>195</v>
      </c>
      <c r="C131" s="490">
        <f>'[6]Sch C'!D132</f>
        <v>0</v>
      </c>
      <c r="D131" s="490">
        <f>'[6]Sch C'!F132</f>
        <v>0</v>
      </c>
      <c r="E131" s="171">
        <f t="shared" si="35"/>
        <v>0</v>
      </c>
      <c r="F131" s="490"/>
      <c r="G131" s="171">
        <f>E131+F131</f>
        <v>0</v>
      </c>
      <c r="H131" s="172">
        <f>IF($G$208=0,0,G131/$G$208)</f>
        <v>0</v>
      </c>
      <c r="I131" s="337"/>
      <c r="J131" s="168"/>
      <c r="K131" s="168"/>
      <c r="M131" s="364">
        <f t="shared" si="34"/>
        <v>0</v>
      </c>
      <c r="N131" s="359">
        <f>SUMMARY!J134</f>
        <v>8.2765628075518377E-2</v>
      </c>
      <c r="W131" s="168"/>
      <c r="X131" s="168"/>
      <c r="Y131" s="527"/>
      <c r="Z131" s="527"/>
    </row>
    <row r="132" spans="1:26" s="167" customFormat="1">
      <c r="B132" s="163" t="s">
        <v>196</v>
      </c>
      <c r="C132" s="490">
        <f>'[6]Sch C'!D133</f>
        <v>0</v>
      </c>
      <c r="D132" s="490">
        <f>'[6]Sch C'!F133</f>
        <v>0</v>
      </c>
      <c r="E132" s="171">
        <f t="shared" si="35"/>
        <v>0</v>
      </c>
      <c r="F132" s="490"/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  <c r="W132" s="168"/>
      <c r="X132" s="168"/>
      <c r="Y132" s="527"/>
      <c r="Z132" s="527"/>
    </row>
    <row r="133" spans="1:26" s="167" customFormat="1">
      <c r="B133" s="163" t="s">
        <v>197</v>
      </c>
      <c r="C133" s="490">
        <f>'[6]Sch C'!D134</f>
        <v>28323.270000000004</v>
      </c>
      <c r="D133" s="490">
        <f>'[6]Sch C'!F134</f>
        <v>0</v>
      </c>
      <c r="E133" s="171">
        <f t="shared" si="35"/>
        <v>28323.270000000004</v>
      </c>
      <c r="F133" s="490"/>
      <c r="G133" s="171">
        <f>E133+F133</f>
        <v>28323.270000000004</v>
      </c>
      <c r="H133" s="172">
        <f>IF($G$208=0,0,G133/$G$208)</f>
        <v>2.0938762390861018E-3</v>
      </c>
      <c r="I133" s="337"/>
      <c r="J133" s="168"/>
      <c r="K133" s="168"/>
      <c r="M133" s="364">
        <f t="shared" si="34"/>
        <v>0.59704610130904956</v>
      </c>
      <c r="N133" s="359">
        <f>SUMMARY!J136</f>
        <v>0.48951420004915208</v>
      </c>
      <c r="W133" s="168"/>
      <c r="X133" s="168"/>
      <c r="Y133" s="527"/>
      <c r="Z133" s="527"/>
    </row>
    <row r="134" spans="1:26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7"/>
      <c r="J134" s="204"/>
      <c r="K134" s="204"/>
      <c r="M134" s="364"/>
      <c r="N134" s="359"/>
      <c r="W134" s="204"/>
      <c r="X134" s="204"/>
      <c r="Y134" s="489"/>
      <c r="Z134" s="489"/>
    </row>
    <row r="135" spans="1:26" s="167" customFormat="1">
      <c r="A135" s="169"/>
      <c r="B135" s="163" t="s">
        <v>194</v>
      </c>
      <c r="C135" s="490">
        <f>'[6]Sch C'!D136</f>
        <v>1182141.18</v>
      </c>
      <c r="D135" s="490">
        <f>'[6]Sch C'!F136</f>
        <v>0</v>
      </c>
      <c r="E135" s="171">
        <f t="shared" ref="E135:E138" si="36">C135+D135</f>
        <v>1182141.18</v>
      </c>
      <c r="F135" s="490"/>
      <c r="G135" s="171">
        <f>E135+F135</f>
        <v>1182141.18</v>
      </c>
      <c r="H135" s="172">
        <f>IF($G$208=0,0,G135/$G$208)</f>
        <v>8.7393063302620283E-2</v>
      </c>
      <c r="I135" s="337"/>
      <c r="J135" s="183">
        <v>39526.850000000006</v>
      </c>
      <c r="K135" s="183">
        <v>40705.620000000003</v>
      </c>
      <c r="M135" s="364">
        <f t="shared" si="34"/>
        <v>24.919184215518875</v>
      </c>
      <c r="N135" s="359">
        <f>SUMMARY!J138</f>
        <v>22.542001283416617</v>
      </c>
      <c r="W135" s="183">
        <v>9954</v>
      </c>
      <c r="X135" s="183">
        <v>10678</v>
      </c>
      <c r="Y135" s="492">
        <v>28226.21</v>
      </c>
      <c r="Z135" s="492">
        <v>29083</v>
      </c>
    </row>
    <row r="136" spans="1:26" s="167" customFormat="1">
      <c r="A136" s="169"/>
      <c r="B136" s="163" t="s">
        <v>195</v>
      </c>
      <c r="C136" s="490">
        <f>'[6]Sch C'!D137</f>
        <v>398165.15</v>
      </c>
      <c r="D136" s="490">
        <f>'[6]Sch C'!F137</f>
        <v>0</v>
      </c>
      <c r="E136" s="171">
        <f t="shared" si="36"/>
        <v>398165.15</v>
      </c>
      <c r="F136" s="490"/>
      <c r="G136" s="171">
        <f>E136+F136</f>
        <v>398165.15</v>
      </c>
      <c r="H136" s="172">
        <f>IF($G$208=0,0,G136/$G$208)</f>
        <v>2.9435462318339423E-2</v>
      </c>
      <c r="I136" s="337"/>
      <c r="J136" s="183">
        <v>19895.96</v>
      </c>
      <c r="K136" s="183">
        <v>20340.96</v>
      </c>
      <c r="M136" s="364">
        <f t="shared" si="34"/>
        <v>8.3932028499757596</v>
      </c>
      <c r="N136" s="359">
        <f>SUMMARY!J139</f>
        <v>10.249133857622674</v>
      </c>
      <c r="W136" s="183">
        <v>3718</v>
      </c>
      <c r="X136" s="183">
        <v>3754</v>
      </c>
      <c r="Y136" s="492">
        <v>10703</v>
      </c>
      <c r="Z136" s="492">
        <v>10902</v>
      </c>
    </row>
    <row r="137" spans="1:26" s="167" customFormat="1">
      <c r="A137" s="169"/>
      <c r="B137" s="163" t="s">
        <v>196</v>
      </c>
      <c r="C137" s="490">
        <f>'[6]Sch C'!D138</f>
        <v>1396472.01</v>
      </c>
      <c r="D137" s="490">
        <f>'[6]Sch C'!F138</f>
        <v>0</v>
      </c>
      <c r="E137" s="171">
        <f t="shared" si="36"/>
        <v>1396472.01</v>
      </c>
      <c r="F137" s="490"/>
      <c r="G137" s="171">
        <f>E137+F137</f>
        <v>1396472.01</v>
      </c>
      <c r="H137" s="172">
        <f>IF($G$208=0,0,G137/$G$208)</f>
        <v>0.10323806397664566</v>
      </c>
      <c r="I137" s="337"/>
      <c r="J137" s="183">
        <v>121809.70999999999</v>
      </c>
      <c r="K137" s="183">
        <v>125432</v>
      </c>
      <c r="M137" s="364">
        <f t="shared" si="34"/>
        <v>29.43721431733384</v>
      </c>
      <c r="N137" s="359">
        <f>SUMMARY!J140</f>
        <v>27.843137668277773</v>
      </c>
      <c r="W137" s="183">
        <v>27478</v>
      </c>
      <c r="X137" s="183">
        <v>28370</v>
      </c>
      <c r="Y137" s="492">
        <v>72439.23</v>
      </c>
      <c r="Z137" s="492">
        <v>74134</v>
      </c>
    </row>
    <row r="138" spans="1:26" s="167" customFormat="1">
      <c r="A138" s="169"/>
      <c r="B138" s="163" t="s">
        <v>197</v>
      </c>
      <c r="C138" s="490">
        <f>'[6]Sch C'!D139</f>
        <v>694663.34000000008</v>
      </c>
      <c r="D138" s="490">
        <f>'[6]Sch C'!F139</f>
        <v>0</v>
      </c>
      <c r="E138" s="171">
        <f t="shared" si="36"/>
        <v>694663.34000000008</v>
      </c>
      <c r="F138" s="490"/>
      <c r="G138" s="171">
        <f>E138+F138</f>
        <v>694663.34000000008</v>
      </c>
      <c r="H138" s="172">
        <f>IF($G$208=0,0,G138/$G$208)</f>
        <v>5.1354912825750346E-2</v>
      </c>
      <c r="I138" s="337"/>
      <c r="J138" s="183">
        <v>28250.45</v>
      </c>
      <c r="K138" s="183">
        <v>28902.16</v>
      </c>
      <c r="M138" s="364">
        <f t="shared" si="34"/>
        <v>14.643296443854215</v>
      </c>
      <c r="N138" s="359">
        <f>SUMMARY!J141</f>
        <v>2.553029289205647</v>
      </c>
      <c r="W138" s="183">
        <v>10372</v>
      </c>
      <c r="X138" s="183">
        <v>10574</v>
      </c>
      <c r="Y138" s="492">
        <v>29461</v>
      </c>
      <c r="Z138" s="492">
        <v>30441</v>
      </c>
    </row>
    <row r="139" spans="1:26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7"/>
      <c r="J139" s="406"/>
      <c r="K139" s="406"/>
      <c r="M139" s="364"/>
      <c r="N139" s="359"/>
      <c r="W139" s="406"/>
      <c r="X139" s="406"/>
      <c r="Y139" s="532"/>
      <c r="Z139" s="532"/>
    </row>
    <row r="140" spans="1:26" s="167" customFormat="1">
      <c r="A140" s="169"/>
      <c r="B140" s="163" t="s">
        <v>194</v>
      </c>
      <c r="C140" s="490">
        <f>'[6]Sch C'!D141</f>
        <v>165314.95000000001</v>
      </c>
      <c r="D140" s="490">
        <f>'[6]Sch C'!F141</f>
        <v>0</v>
      </c>
      <c r="E140" s="171">
        <f t="shared" ref="E140:E143" si="37">C140+D140</f>
        <v>165314.95000000001</v>
      </c>
      <c r="F140" s="490"/>
      <c r="G140" s="171">
        <f>E140+F140</f>
        <v>165314.95000000001</v>
      </c>
      <c r="H140" s="172">
        <f>IF($G$208=0,0,G140/$G$208)</f>
        <v>1.2221365886449797E-2</v>
      </c>
      <c r="I140" s="337"/>
      <c r="J140" s="168"/>
      <c r="K140" s="168"/>
      <c r="M140" s="364">
        <f t="shared" si="34"/>
        <v>3.4847899407660368</v>
      </c>
      <c r="N140" s="359">
        <f>SUMMARY!J143</f>
        <v>3.8870567805088321</v>
      </c>
      <c r="W140" s="168"/>
      <c r="X140" s="168"/>
      <c r="Y140" s="527"/>
      <c r="Z140" s="527"/>
    </row>
    <row r="141" spans="1:26" s="167" customFormat="1">
      <c r="A141" s="169"/>
      <c r="B141" s="163" t="s">
        <v>195</v>
      </c>
      <c r="C141" s="490">
        <f>'[6]Sch C'!D142</f>
        <v>55680.87</v>
      </c>
      <c r="D141" s="490">
        <f>'[6]Sch C'!F142</f>
        <v>0</v>
      </c>
      <c r="E141" s="171">
        <f t="shared" si="37"/>
        <v>55680.87</v>
      </c>
      <c r="F141" s="490"/>
      <c r="G141" s="171">
        <f>E141+F141</f>
        <v>55680.87</v>
      </c>
      <c r="H141" s="172">
        <f>IF($G$208=0,0,G141/$G$208)</f>
        <v>4.1163626468498212E-3</v>
      </c>
      <c r="I141" s="337"/>
      <c r="J141" s="168"/>
      <c r="K141" s="168"/>
      <c r="M141" s="364">
        <f t="shared" si="34"/>
        <v>1.1737361664453299</v>
      </c>
      <c r="N141" s="359">
        <f>SUMMARY!J144</f>
        <v>1.7548113884114069</v>
      </c>
      <c r="W141" s="168"/>
      <c r="X141" s="168"/>
      <c r="Y141" s="527"/>
      <c r="Z141" s="527"/>
    </row>
    <row r="142" spans="1:26" s="167" customFormat="1">
      <c r="A142" s="169"/>
      <c r="B142" s="163" t="s">
        <v>196</v>
      </c>
      <c r="C142" s="490">
        <f>'[6]Sch C'!D143</f>
        <v>195287.76</v>
      </c>
      <c r="D142" s="490">
        <f>'[6]Sch C'!F143</f>
        <v>0</v>
      </c>
      <c r="E142" s="171">
        <f t="shared" si="37"/>
        <v>195287.76</v>
      </c>
      <c r="F142" s="490"/>
      <c r="G142" s="171">
        <f>E142+F142</f>
        <v>195287.76</v>
      </c>
      <c r="H142" s="172">
        <f>IF($G$208=0,0,G142/$G$208)</f>
        <v>1.4437188942108352E-2</v>
      </c>
      <c r="I142" s="337"/>
      <c r="J142" s="168"/>
      <c r="K142" s="168"/>
      <c r="M142" s="364">
        <f t="shared" si="34"/>
        <v>4.1166078542970972</v>
      </c>
      <c r="N142" s="359">
        <f>SUMMARY!J145</f>
        <v>5.0558410725664986</v>
      </c>
      <c r="W142" s="168"/>
      <c r="X142" s="168"/>
      <c r="Y142" s="527"/>
      <c r="Z142" s="527"/>
    </row>
    <row r="143" spans="1:26" s="167" customFormat="1">
      <c r="A143" s="169"/>
      <c r="B143" s="163" t="s">
        <v>197</v>
      </c>
      <c r="C143" s="490">
        <f>'[6]Sch C'!D144</f>
        <v>97175.27</v>
      </c>
      <c r="D143" s="490">
        <f>'[6]Sch C'!F144</f>
        <v>0</v>
      </c>
      <c r="E143" s="171">
        <f t="shared" si="37"/>
        <v>97175.27</v>
      </c>
      <c r="F143" s="490"/>
      <c r="G143" s="171">
        <f>E143+F143</f>
        <v>97175.27</v>
      </c>
      <c r="H143" s="172">
        <f>IF($G$208=0,0,G143/$G$208)</f>
        <v>7.1839511779457832E-3</v>
      </c>
      <c r="I143" s="337"/>
      <c r="J143" s="168"/>
      <c r="K143" s="168"/>
      <c r="M143" s="364">
        <f t="shared" si="34"/>
        <v>2.0484257678281583</v>
      </c>
      <c r="N143" s="359">
        <f>SUMMARY!J146</f>
        <v>0.71727598372518497</v>
      </c>
      <c r="W143" s="168"/>
      <c r="X143" s="168"/>
      <c r="Y143" s="527"/>
      <c r="Z143" s="527"/>
    </row>
    <row r="144" spans="1:26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7"/>
      <c r="J144" s="204"/>
      <c r="K144" s="204"/>
      <c r="M144" s="364"/>
      <c r="N144" s="359"/>
      <c r="W144" s="204"/>
      <c r="X144" s="204"/>
      <c r="Y144" s="489"/>
      <c r="Z144" s="489"/>
    </row>
    <row r="145" spans="1:26" s="167" customFormat="1">
      <c r="A145" s="169"/>
      <c r="B145" s="163" t="s">
        <v>232</v>
      </c>
      <c r="C145" s="490">
        <f>'[6]Sch C'!D146</f>
        <v>211783.3</v>
      </c>
      <c r="D145" s="490">
        <f>'[6]Sch C'!F146</f>
        <v>0</v>
      </c>
      <c r="E145" s="171">
        <f t="shared" ref="E145:E153" si="38">C145+D145</f>
        <v>211783.3</v>
      </c>
      <c r="F145" s="490"/>
      <c r="G145" s="171">
        <f t="shared" ref="G145:G153" si="39">E145+F145</f>
        <v>211783.3</v>
      </c>
      <c r="H145" s="172">
        <f t="shared" ref="H145:H153" si="40">IF($G$208=0,0,G145/$G$208)</f>
        <v>1.565666745772093E-2</v>
      </c>
      <c r="I145" s="337"/>
      <c r="J145" s="183">
        <v>0</v>
      </c>
      <c r="K145" s="183">
        <v>0</v>
      </c>
      <c r="M145" s="364">
        <f t="shared" si="34"/>
        <v>4.4643289276755409</v>
      </c>
      <c r="N145" s="359">
        <f>SUMMARY!J148</f>
        <v>1.6388888069686796</v>
      </c>
      <c r="W145" s="183">
        <v>0</v>
      </c>
      <c r="X145" s="183">
        <v>0</v>
      </c>
      <c r="Y145" s="492">
        <v>0</v>
      </c>
      <c r="Z145" s="492">
        <v>0</v>
      </c>
    </row>
    <row r="146" spans="1:26" s="167" customFormat="1">
      <c r="A146" s="169"/>
      <c r="B146" s="163" t="s">
        <v>194</v>
      </c>
      <c r="C146" s="490">
        <f>'[6]Sch C'!D147</f>
        <v>24794</v>
      </c>
      <c r="D146" s="490">
        <f>'[6]Sch C'!F147</f>
        <v>0</v>
      </c>
      <c r="E146" s="171">
        <f t="shared" si="38"/>
        <v>24794</v>
      </c>
      <c r="F146" s="490"/>
      <c r="G146" s="171">
        <f t="shared" si="39"/>
        <v>24794</v>
      </c>
      <c r="H146" s="172">
        <f t="shared" si="40"/>
        <v>1.8329651721676486E-3</v>
      </c>
      <c r="I146" s="337"/>
      <c r="J146" s="183">
        <v>0</v>
      </c>
      <c r="K146" s="183">
        <v>0</v>
      </c>
      <c r="M146" s="364">
        <f t="shared" si="34"/>
        <v>0.52265014018002065</v>
      </c>
      <c r="N146" s="359">
        <f>SUMMARY!J149</f>
        <v>0.18124216706261434</v>
      </c>
      <c r="W146" s="183">
        <v>0</v>
      </c>
      <c r="X146" s="183">
        <v>0</v>
      </c>
      <c r="Y146" s="492">
        <v>0</v>
      </c>
      <c r="Z146" s="492">
        <v>0</v>
      </c>
    </row>
    <row r="147" spans="1:26" s="167" customFormat="1">
      <c r="A147" s="169"/>
      <c r="B147" s="163" t="s">
        <v>195</v>
      </c>
      <c r="C147" s="490">
        <f>'[6]Sch C'!D148</f>
        <v>6892.83</v>
      </c>
      <c r="D147" s="490">
        <f>'[6]Sch C'!F148</f>
        <v>0</v>
      </c>
      <c r="E147" s="171">
        <f t="shared" si="38"/>
        <v>6892.83</v>
      </c>
      <c r="F147" s="490"/>
      <c r="G147" s="171">
        <f t="shared" si="39"/>
        <v>6892.83</v>
      </c>
      <c r="H147" s="172">
        <f t="shared" si="40"/>
        <v>5.0957156278423545E-4</v>
      </c>
      <c r="I147" s="337"/>
      <c r="J147" s="183">
        <v>0</v>
      </c>
      <c r="K147" s="183">
        <v>0</v>
      </c>
      <c r="M147" s="364">
        <f t="shared" si="34"/>
        <v>0.14529880478087651</v>
      </c>
      <c r="N147" s="359">
        <f>SUMMARY!J150</f>
        <v>3.2513399415635851E-2</v>
      </c>
      <c r="W147" s="183">
        <v>0</v>
      </c>
      <c r="X147" s="183">
        <v>0</v>
      </c>
      <c r="Y147" s="492">
        <v>0</v>
      </c>
      <c r="Z147" s="492">
        <v>0</v>
      </c>
    </row>
    <row r="148" spans="1:26" s="167" customFormat="1">
      <c r="A148" s="169"/>
      <c r="B148" s="163" t="s">
        <v>196</v>
      </c>
      <c r="C148" s="490">
        <f>'[6]Sch C'!D149</f>
        <v>6752.21</v>
      </c>
      <c r="D148" s="490">
        <f>'[6]Sch C'!F149</f>
        <v>0</v>
      </c>
      <c r="E148" s="171">
        <f t="shared" si="38"/>
        <v>6752.21</v>
      </c>
      <c r="F148" s="490"/>
      <c r="G148" s="171">
        <f t="shared" si="39"/>
        <v>6752.21</v>
      </c>
      <c r="H148" s="172">
        <f t="shared" si="40"/>
        <v>4.9917583952416387E-4</v>
      </c>
      <c r="I148" s="337"/>
      <c r="J148" s="183">
        <v>0</v>
      </c>
      <c r="K148" s="183">
        <v>0</v>
      </c>
      <c r="M148" s="364">
        <f t="shared" si="34"/>
        <v>0.14233457703577226</v>
      </c>
      <c r="N148" s="359">
        <f>SUMMARY!J151</f>
        <v>9.6307730537123507E-2</v>
      </c>
      <c r="W148" s="183">
        <v>0</v>
      </c>
      <c r="X148" s="183">
        <v>0</v>
      </c>
      <c r="Y148" s="492">
        <v>0</v>
      </c>
      <c r="Z148" s="492">
        <v>0</v>
      </c>
    </row>
    <row r="149" spans="1:26" s="167" customFormat="1">
      <c r="A149" s="169"/>
      <c r="B149" s="163" t="s">
        <v>197</v>
      </c>
      <c r="C149" s="490">
        <f>'[6]Sch C'!D150</f>
        <v>11650</v>
      </c>
      <c r="D149" s="490">
        <f>'[6]Sch C'!F150</f>
        <v>0</v>
      </c>
      <c r="E149" s="171">
        <f t="shared" si="38"/>
        <v>11650</v>
      </c>
      <c r="F149" s="490"/>
      <c r="G149" s="171">
        <f t="shared" si="39"/>
        <v>11650</v>
      </c>
      <c r="H149" s="172">
        <f t="shared" si="40"/>
        <v>8.612585406047071E-4</v>
      </c>
      <c r="I149" s="337"/>
      <c r="J149" s="183">
        <v>0</v>
      </c>
      <c r="K149" s="183">
        <v>0</v>
      </c>
      <c r="M149" s="364">
        <f t="shared" si="34"/>
        <v>0.24557853243112207</v>
      </c>
      <c r="N149" s="359">
        <f>SUMMARY!J152</f>
        <v>0.33970063624696212</v>
      </c>
      <c r="W149" s="183">
        <v>0</v>
      </c>
      <c r="X149" s="183">
        <v>0</v>
      </c>
      <c r="Y149" s="492">
        <v>0</v>
      </c>
      <c r="Z149" s="492">
        <v>0</v>
      </c>
    </row>
    <row r="150" spans="1:26" s="167" customFormat="1">
      <c r="A150" s="169">
        <v>110</v>
      </c>
      <c r="B150" s="167" t="s">
        <v>65</v>
      </c>
      <c r="C150" s="490">
        <f>'[6]Sch C'!D151</f>
        <v>455847.18</v>
      </c>
      <c r="D150" s="490">
        <f>'[6]Sch C'!F151</f>
        <v>0</v>
      </c>
      <c r="E150" s="171">
        <f t="shared" si="38"/>
        <v>455847.18</v>
      </c>
      <c r="F150" s="490"/>
      <c r="G150" s="171">
        <f t="shared" si="39"/>
        <v>455847.18</v>
      </c>
      <c r="H150" s="172">
        <f t="shared" si="40"/>
        <v>3.36997662648559E-2</v>
      </c>
      <c r="I150" s="337"/>
      <c r="J150" s="168"/>
      <c r="K150" s="168"/>
      <c r="M150" s="364">
        <f t="shared" si="34"/>
        <v>9.609122873585024</v>
      </c>
      <c r="N150" s="359">
        <f>SUMMARY!J153</f>
        <v>5.9639933098495392</v>
      </c>
      <c r="W150" s="168"/>
      <c r="X150" s="168"/>
      <c r="Y150" s="527"/>
      <c r="Z150" s="527"/>
    </row>
    <row r="151" spans="1:26" s="167" customFormat="1">
      <c r="A151" s="169">
        <v>111</v>
      </c>
      <c r="B151" s="170" t="s">
        <v>97</v>
      </c>
      <c r="C151" s="490">
        <f>'[6]Sch C'!D152</f>
        <v>10645.05</v>
      </c>
      <c r="D151" s="490">
        <f>'[6]Sch C'!F152</f>
        <v>0</v>
      </c>
      <c r="E151" s="171">
        <f t="shared" si="38"/>
        <v>10645.05</v>
      </c>
      <c r="F151" s="490"/>
      <c r="G151" s="171">
        <f t="shared" si="39"/>
        <v>10645.05</v>
      </c>
      <c r="H151" s="172">
        <f t="shared" si="40"/>
        <v>7.869648264089387E-4</v>
      </c>
      <c r="I151" s="337"/>
      <c r="J151" s="168"/>
      <c r="K151" s="168"/>
      <c r="M151" s="364">
        <f t="shared" si="34"/>
        <v>0.22439448554986402</v>
      </c>
      <c r="N151" s="359">
        <f>SUMMARY!J154</f>
        <v>0.31252846181152888</v>
      </c>
      <c r="W151" s="168"/>
      <c r="X151" s="168"/>
      <c r="Y151" s="527"/>
      <c r="Z151" s="527"/>
    </row>
    <row r="152" spans="1:26" s="167" customFormat="1">
      <c r="A152" s="169">
        <v>230</v>
      </c>
      <c r="B152" s="170" t="s">
        <v>66</v>
      </c>
      <c r="C152" s="490">
        <f>'[6]Sch C'!D153</f>
        <v>0</v>
      </c>
      <c r="D152" s="490">
        <f>'[6]Sch C'!F153</f>
        <v>0</v>
      </c>
      <c r="E152" s="171">
        <f t="shared" si="38"/>
        <v>0</v>
      </c>
      <c r="F152" s="490"/>
      <c r="G152" s="171">
        <f t="shared" si="39"/>
        <v>0</v>
      </c>
      <c r="H152" s="172">
        <f t="shared" si="40"/>
        <v>0</v>
      </c>
      <c r="I152" s="337"/>
      <c r="J152" s="168"/>
      <c r="K152" s="168"/>
      <c r="M152" s="364">
        <f t="shared" si="34"/>
        <v>0</v>
      </c>
      <c r="N152" s="359">
        <f>SUMMARY!J155</f>
        <v>0.16356998443516016</v>
      </c>
      <c r="W152" s="168"/>
      <c r="X152" s="168"/>
      <c r="Y152" s="527"/>
      <c r="Z152" s="527"/>
    </row>
    <row r="153" spans="1:26" s="167" customFormat="1">
      <c r="A153" s="169">
        <v>430</v>
      </c>
      <c r="B153" s="170" t="s">
        <v>99</v>
      </c>
      <c r="C153" s="490">
        <f>'[6]Sch C'!D154</f>
        <v>533.02</v>
      </c>
      <c r="D153" s="490">
        <f>'[6]Sch C'!F154</f>
        <v>0</v>
      </c>
      <c r="E153" s="171">
        <f t="shared" si="38"/>
        <v>533.02</v>
      </c>
      <c r="F153" s="490"/>
      <c r="G153" s="171">
        <f t="shared" si="39"/>
        <v>533.02</v>
      </c>
      <c r="H153" s="172">
        <f t="shared" si="40"/>
        <v>3.940498088524643E-5</v>
      </c>
      <c r="I153" s="337"/>
      <c r="J153" s="168"/>
      <c r="K153" s="168"/>
      <c r="M153" s="364">
        <f t="shared" si="34"/>
        <v>1.123590294905036E-2</v>
      </c>
      <c r="N153" s="359">
        <f>SUMMARY!J156</f>
        <v>0.98203545506676493</v>
      </c>
      <c r="W153" s="168"/>
      <c r="X153" s="168"/>
      <c r="Y153" s="527"/>
      <c r="Z153" s="527"/>
    </row>
    <row r="154" spans="1:26" s="167" customFormat="1">
      <c r="A154" s="169"/>
      <c r="B154" s="209" t="s">
        <v>101</v>
      </c>
      <c r="C154" s="572"/>
      <c r="D154" s="572"/>
      <c r="E154" s="210"/>
      <c r="F154" s="210"/>
      <c r="G154" s="210"/>
      <c r="H154" s="211"/>
      <c r="I154" s="337"/>
      <c r="J154" s="168"/>
      <c r="K154" s="168"/>
      <c r="M154" s="364"/>
      <c r="N154" s="359"/>
      <c r="W154" s="168"/>
      <c r="X154" s="168"/>
      <c r="Y154" s="527"/>
      <c r="Z154" s="527"/>
    </row>
    <row r="155" spans="1:26" s="167" customFormat="1">
      <c r="A155" s="169">
        <v>440.1</v>
      </c>
      <c r="B155" s="163" t="s">
        <v>223</v>
      </c>
      <c r="C155" s="490">
        <f>'[6]Sch C'!D156</f>
        <v>0</v>
      </c>
      <c r="D155" s="490">
        <f>'[6]Sch C'!F156</f>
        <v>0</v>
      </c>
      <c r="E155" s="171">
        <f t="shared" ref="E155:E160" si="41">C155+D155</f>
        <v>0</v>
      </c>
      <c r="F155" s="490"/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  <c r="W155" s="168"/>
      <c r="X155" s="168"/>
      <c r="Y155" s="527"/>
      <c r="Z155" s="527"/>
    </row>
    <row r="156" spans="1:26" s="167" customFormat="1">
      <c r="A156" s="169">
        <v>440.2</v>
      </c>
      <c r="B156" s="163" t="s">
        <v>224</v>
      </c>
      <c r="C156" s="490">
        <f>'[6]Sch C'!D157</f>
        <v>0</v>
      </c>
      <c r="D156" s="490">
        <f>'[6]Sch C'!F157</f>
        <v>0</v>
      </c>
      <c r="E156" s="171">
        <f t="shared" si="41"/>
        <v>0</v>
      </c>
      <c r="F156" s="490"/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>
        <f t="shared" si="34"/>
        <v>0</v>
      </c>
      <c r="N156" s="359">
        <f>SUMMARY!J159</f>
        <v>2.1257535293957019E-2</v>
      </c>
      <c r="W156" s="168"/>
      <c r="X156" s="168"/>
      <c r="Y156" s="527"/>
      <c r="Z156" s="527"/>
    </row>
    <row r="157" spans="1:26" s="167" customFormat="1">
      <c r="A157" s="169">
        <v>440.3</v>
      </c>
      <c r="B157" s="163" t="s">
        <v>225</v>
      </c>
      <c r="C157" s="490">
        <f>'[6]Sch C'!D158</f>
        <v>0</v>
      </c>
      <c r="D157" s="490">
        <f>'[6]Sch C'!F158</f>
        <v>0</v>
      </c>
      <c r="E157" s="171">
        <f t="shared" si="41"/>
        <v>0</v>
      </c>
      <c r="F157" s="490"/>
      <c r="G157" s="171">
        <f t="shared" si="42"/>
        <v>0</v>
      </c>
      <c r="H157" s="172">
        <f t="shared" si="43"/>
        <v>0</v>
      </c>
      <c r="I157" s="337"/>
      <c r="J157" s="168"/>
      <c r="K157" s="168"/>
      <c r="M157" s="364">
        <f t="shared" si="34"/>
        <v>0</v>
      </c>
      <c r="N157" s="359">
        <f>SUMMARY!J160</f>
        <v>4.0452199557630868E-3</v>
      </c>
      <c r="W157" s="168"/>
      <c r="X157" s="168"/>
      <c r="Y157" s="527"/>
      <c r="Z157" s="527"/>
    </row>
    <row r="158" spans="1:26" s="167" customFormat="1">
      <c r="A158" s="169">
        <v>440.4</v>
      </c>
      <c r="B158" s="163" t="s">
        <v>226</v>
      </c>
      <c r="C158" s="490">
        <f>'[6]Sch C'!D159</f>
        <v>0</v>
      </c>
      <c r="D158" s="490">
        <f>'[6]Sch C'!F159</f>
        <v>0</v>
      </c>
      <c r="E158" s="171">
        <f t="shared" si="41"/>
        <v>0</v>
      </c>
      <c r="F158" s="490"/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  <c r="W158" s="168"/>
      <c r="X158" s="168"/>
      <c r="Y158" s="527"/>
      <c r="Z158" s="527"/>
    </row>
    <row r="159" spans="1:26" s="167" customFormat="1">
      <c r="A159" s="169">
        <v>440.5</v>
      </c>
      <c r="B159" s="163" t="s">
        <v>301</v>
      </c>
      <c r="C159" s="490">
        <f>'[6]Sch C'!D160</f>
        <v>1695.96</v>
      </c>
      <c r="D159" s="490">
        <f>'[6]Sch C'!F160</f>
        <v>0</v>
      </c>
      <c r="E159" s="171">
        <f t="shared" si="41"/>
        <v>1695.96</v>
      </c>
      <c r="F159" s="490"/>
      <c r="G159" s="171">
        <f t="shared" si="42"/>
        <v>1695.96</v>
      </c>
      <c r="H159" s="172">
        <f>IF($G$208=0,0,G159/$G$208)</f>
        <v>1.2537854373596214E-4</v>
      </c>
      <c r="I159" s="337"/>
      <c r="J159" s="168"/>
      <c r="K159" s="168"/>
      <c r="M159" s="364">
        <f t="shared" si="34"/>
        <v>3.5750332005312087E-2</v>
      </c>
      <c r="N159" s="359">
        <f>SUMMARY!J162</f>
        <v>6.5155839545615896E-3</v>
      </c>
      <c r="W159" s="168"/>
      <c r="X159" s="168"/>
      <c r="Y159" s="527"/>
      <c r="Z159" s="527"/>
    </row>
    <row r="160" spans="1:26" s="167" customFormat="1">
      <c r="A160" s="169">
        <v>490</v>
      </c>
      <c r="B160" s="202" t="s">
        <v>315</v>
      </c>
      <c r="C160" s="490">
        <f>'[6]Sch C'!D161</f>
        <v>79853.64</v>
      </c>
      <c r="D160" s="490">
        <f>'[6]Sch C'!F161</f>
        <v>0</v>
      </c>
      <c r="E160" s="171">
        <f t="shared" si="41"/>
        <v>79853.64</v>
      </c>
      <c r="F160" s="581"/>
      <c r="G160" s="171">
        <f t="shared" si="42"/>
        <v>79853.64</v>
      </c>
      <c r="H160" s="172">
        <f t="shared" si="43"/>
        <v>5.9034016693882974E-3</v>
      </c>
      <c r="I160" s="337"/>
      <c r="J160" s="168"/>
      <c r="K160" s="168"/>
      <c r="M160" s="364">
        <f t="shared" si="34"/>
        <v>1.6832909631316006</v>
      </c>
      <c r="N160" s="359">
        <f>SUMMARY!J163</f>
        <v>0.61572967423063263</v>
      </c>
      <c r="W160" s="168"/>
      <c r="X160" s="168"/>
      <c r="Y160" s="527"/>
      <c r="Z160" s="527"/>
    </row>
    <row r="161" spans="1:26" s="167" customFormat="1">
      <c r="A161" s="169"/>
      <c r="B161" s="170" t="s">
        <v>233</v>
      </c>
      <c r="C161" s="490">
        <f>SUM(C123:C160)</f>
        <v>5912869.3499999978</v>
      </c>
      <c r="D161" s="490">
        <f>SUM(D123:D160)</f>
        <v>0</v>
      </c>
      <c r="E161" s="171">
        <f t="shared" ref="E161:F161" si="44">SUM(E123:E160)</f>
        <v>5912869.3499999978</v>
      </c>
      <c r="F161" s="171">
        <f t="shared" si="44"/>
        <v>0</v>
      </c>
      <c r="G161" s="171">
        <f>SUM(G123:G160)</f>
        <v>5912869.3499999978</v>
      </c>
      <c r="H161" s="172">
        <f t="shared" si="43"/>
        <v>0.43712525555084131</v>
      </c>
      <c r="I161" s="337"/>
      <c r="J161" s="168"/>
      <c r="K161" s="168"/>
      <c r="M161" s="364">
        <f>G161/G$228</f>
        <v>124.64152595965341</v>
      </c>
      <c r="N161" s="359">
        <f>SUMMARY!J164</f>
        <v>98.597321527877028</v>
      </c>
      <c r="W161" s="168"/>
      <c r="X161" s="168"/>
      <c r="Y161" s="527"/>
      <c r="Z161" s="527"/>
    </row>
    <row r="162" spans="1:26" s="167" customFormat="1">
      <c r="A162" s="169"/>
      <c r="B162" s="170"/>
      <c r="C162" s="196"/>
      <c r="D162" s="196"/>
      <c r="E162" s="196"/>
      <c r="F162" s="196"/>
      <c r="G162" s="196"/>
      <c r="H162" s="197"/>
      <c r="I162" s="337"/>
      <c r="J162" s="168"/>
      <c r="K162" s="168"/>
      <c r="M162" s="359"/>
      <c r="N162" s="359"/>
      <c r="W162" s="168"/>
      <c r="X162" s="168"/>
      <c r="Y162" s="527"/>
      <c r="Z162" s="527"/>
    </row>
    <row r="163" spans="1:26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7"/>
      <c r="J163" s="168"/>
      <c r="K163" s="168"/>
      <c r="M163" s="359"/>
      <c r="N163" s="359"/>
      <c r="W163" s="168"/>
      <c r="X163" s="168"/>
      <c r="Y163" s="527"/>
      <c r="Z163" s="527"/>
    </row>
    <row r="164" spans="1:26" s="221" customFormat="1">
      <c r="A164" s="215" t="s">
        <v>95</v>
      </c>
      <c r="B164" s="148" t="s">
        <v>102</v>
      </c>
      <c r="C164" s="490">
        <f>'[6]Sch C'!D175</f>
        <v>0</v>
      </c>
      <c r="D164" s="490">
        <f>'[6]Sch C'!F175</f>
        <v>0</v>
      </c>
      <c r="E164" s="171">
        <f t="shared" ref="E164:E196" si="45">C164+D164</f>
        <v>0</v>
      </c>
      <c r="F164" s="490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183">
        <v>0</v>
      </c>
      <c r="K164" s="183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  <c r="W164" s="217">
        <v>0</v>
      </c>
      <c r="X164" s="217">
        <v>0</v>
      </c>
      <c r="Y164" s="492">
        <v>0</v>
      </c>
      <c r="Z164" s="492">
        <v>0</v>
      </c>
    </row>
    <row r="165" spans="1:26" s="221" customFormat="1">
      <c r="A165" s="215" t="s">
        <v>123</v>
      </c>
      <c r="B165" s="148" t="s">
        <v>103</v>
      </c>
      <c r="C165" s="490">
        <f>'[6]Sch C'!D176</f>
        <v>0</v>
      </c>
      <c r="D165" s="490">
        <f>'[6]Sch C'!F176</f>
        <v>0</v>
      </c>
      <c r="E165" s="171">
        <f t="shared" si="45"/>
        <v>0</v>
      </c>
      <c r="F165" s="490"/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  <c r="W165" s="222"/>
      <c r="X165" s="222"/>
      <c r="Y165" s="533"/>
      <c r="Z165" s="533"/>
    </row>
    <row r="166" spans="1:26" s="221" customFormat="1">
      <c r="A166" s="215" t="s">
        <v>124</v>
      </c>
      <c r="B166" s="148" t="s">
        <v>104</v>
      </c>
      <c r="C166" s="490">
        <f>'[6]Sch C'!D177</f>
        <v>0</v>
      </c>
      <c r="D166" s="490">
        <f>'[6]Sch C'!F177</f>
        <v>0</v>
      </c>
      <c r="E166" s="171">
        <f t="shared" si="45"/>
        <v>0</v>
      </c>
      <c r="F166" s="490"/>
      <c r="G166" s="171">
        <f t="shared" si="46"/>
        <v>0</v>
      </c>
      <c r="H166" s="172">
        <f t="shared" si="47"/>
        <v>0</v>
      </c>
      <c r="I166" s="343"/>
      <c r="J166" s="183">
        <v>0</v>
      </c>
      <c r="K166" s="183">
        <v>0</v>
      </c>
      <c r="L166" s="218"/>
      <c r="M166" s="364">
        <f t="shared" si="48"/>
        <v>0</v>
      </c>
      <c r="N166" s="359">
        <f>SUMMARY!J169</f>
        <v>4.5899160973212085</v>
      </c>
      <c r="O166" s="220"/>
      <c r="P166" s="220"/>
      <c r="Q166" s="220"/>
      <c r="W166" s="217">
        <v>0</v>
      </c>
      <c r="X166" s="217">
        <v>0</v>
      </c>
      <c r="Y166" s="492">
        <v>0</v>
      </c>
      <c r="Z166" s="492">
        <v>0</v>
      </c>
    </row>
    <row r="167" spans="1:26" s="221" customFormat="1">
      <c r="A167" s="215" t="s">
        <v>157</v>
      </c>
      <c r="B167" s="148" t="s">
        <v>105</v>
      </c>
      <c r="C167" s="490">
        <f>'[6]Sch C'!D178</f>
        <v>0</v>
      </c>
      <c r="D167" s="490">
        <f>'[6]Sch C'!F178</f>
        <v>0</v>
      </c>
      <c r="E167" s="171">
        <f t="shared" si="45"/>
        <v>0</v>
      </c>
      <c r="F167" s="490"/>
      <c r="G167" s="171">
        <f t="shared" si="46"/>
        <v>0</v>
      </c>
      <c r="H167" s="172">
        <f t="shared" si="47"/>
        <v>0</v>
      </c>
      <c r="I167" s="344"/>
      <c r="J167" s="222"/>
      <c r="K167" s="222"/>
      <c r="L167" s="218"/>
      <c r="M167" s="364">
        <f t="shared" si="48"/>
        <v>0</v>
      </c>
      <c r="N167" s="359">
        <f>SUMMARY!J170</f>
        <v>0.83466769369350857</v>
      </c>
      <c r="O167" s="220"/>
      <c r="P167" s="220"/>
      <c r="Q167" s="220"/>
      <c r="W167" s="222"/>
      <c r="X167" s="222"/>
      <c r="Y167" s="533"/>
      <c r="Z167" s="533"/>
    </row>
    <row r="168" spans="1:26" s="221" customFormat="1">
      <c r="A168" s="215" t="s">
        <v>158</v>
      </c>
      <c r="B168" s="148" t="s">
        <v>316</v>
      </c>
      <c r="C168" s="490">
        <f>'[6]Sch C'!D179</f>
        <v>0</v>
      </c>
      <c r="D168" s="490">
        <f>'[6]Sch C'!F179</f>
        <v>0</v>
      </c>
      <c r="E168" s="171">
        <f t="shared" si="45"/>
        <v>0</v>
      </c>
      <c r="F168" s="490"/>
      <c r="G168" s="171">
        <f t="shared" si="46"/>
        <v>0</v>
      </c>
      <c r="H168" s="172">
        <f t="shared" si="47"/>
        <v>0</v>
      </c>
      <c r="I168" s="343"/>
      <c r="J168" s="183">
        <v>0</v>
      </c>
      <c r="K168" s="183">
        <v>0</v>
      </c>
      <c r="L168" s="218"/>
      <c r="M168" s="364">
        <f t="shared" si="48"/>
        <v>0</v>
      </c>
      <c r="N168" s="359">
        <f>SUMMARY!J171</f>
        <v>0.77161464733349716</v>
      </c>
      <c r="O168" s="220"/>
      <c r="P168" s="220"/>
      <c r="Q168" s="220"/>
      <c r="W168" s="217">
        <v>0</v>
      </c>
      <c r="X168" s="217">
        <v>0</v>
      </c>
      <c r="Y168" s="492">
        <v>0</v>
      </c>
      <c r="Z168" s="492">
        <v>0</v>
      </c>
    </row>
    <row r="169" spans="1:26" s="221" customFormat="1">
      <c r="A169" s="215" t="s">
        <v>86</v>
      </c>
      <c r="B169" s="148" t="s">
        <v>317</v>
      </c>
      <c r="C169" s="490">
        <f>'[6]Sch C'!D180</f>
        <v>0</v>
      </c>
      <c r="D169" s="490">
        <f>'[6]Sch C'!F180</f>
        <v>0</v>
      </c>
      <c r="E169" s="171">
        <f t="shared" si="45"/>
        <v>0</v>
      </c>
      <c r="F169" s="490"/>
      <c r="G169" s="171">
        <f t="shared" si="46"/>
        <v>0</v>
      </c>
      <c r="H169" s="172">
        <f t="shared" si="47"/>
        <v>0</v>
      </c>
      <c r="I169" s="344"/>
      <c r="J169" s="222"/>
      <c r="K169" s="222"/>
      <c r="L169" s="218"/>
      <c r="M169" s="364">
        <f t="shared" si="48"/>
        <v>0</v>
      </c>
      <c r="N169" s="359">
        <f>SUMMARY!J172</f>
        <v>0.13394964091641409</v>
      </c>
      <c r="O169" s="220"/>
      <c r="P169" s="220"/>
      <c r="Q169" s="220"/>
      <c r="W169" s="222"/>
      <c r="X169" s="222"/>
      <c r="Y169" s="533"/>
      <c r="Z169" s="533"/>
    </row>
    <row r="170" spans="1:26" s="221" customFormat="1">
      <c r="A170" s="215" t="s">
        <v>96</v>
      </c>
      <c r="B170" s="148" t="s">
        <v>318</v>
      </c>
      <c r="C170" s="490">
        <f>'[6]Sch C'!D181</f>
        <v>0</v>
      </c>
      <c r="D170" s="490">
        <f>'[6]Sch C'!F181</f>
        <v>0</v>
      </c>
      <c r="E170" s="171">
        <f t="shared" si="45"/>
        <v>0</v>
      </c>
      <c r="F170" s="490"/>
      <c r="G170" s="171">
        <f t="shared" si="46"/>
        <v>0</v>
      </c>
      <c r="H170" s="172">
        <f t="shared" si="47"/>
        <v>0</v>
      </c>
      <c r="I170" s="343"/>
      <c r="J170" s="183">
        <v>0</v>
      </c>
      <c r="K170" s="183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  <c r="W170" s="217">
        <v>0</v>
      </c>
      <c r="X170" s="217">
        <v>0</v>
      </c>
      <c r="Y170" s="492">
        <v>0</v>
      </c>
      <c r="Z170" s="492">
        <v>0</v>
      </c>
    </row>
    <row r="171" spans="1:26" s="221" customFormat="1">
      <c r="A171" s="215" t="s">
        <v>125</v>
      </c>
      <c r="B171" s="148" t="s">
        <v>109</v>
      </c>
      <c r="C171" s="490">
        <f>'[6]Sch C'!D182</f>
        <v>0</v>
      </c>
      <c r="D171" s="490">
        <f>'[6]Sch C'!F182</f>
        <v>0</v>
      </c>
      <c r="E171" s="171">
        <f t="shared" si="45"/>
        <v>0</v>
      </c>
      <c r="F171" s="490"/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  <c r="W171" s="222"/>
      <c r="X171" s="222"/>
      <c r="Y171" s="533"/>
      <c r="Z171" s="533"/>
    </row>
    <row r="172" spans="1:26" s="221" customFormat="1">
      <c r="A172" s="215" t="s">
        <v>126</v>
      </c>
      <c r="B172" s="148" t="s">
        <v>319</v>
      </c>
      <c r="C172" s="490">
        <f>'[6]Sch C'!D183</f>
        <v>0</v>
      </c>
      <c r="D172" s="490">
        <f>'[6]Sch C'!F183</f>
        <v>0</v>
      </c>
      <c r="E172" s="171">
        <f t="shared" si="45"/>
        <v>0</v>
      </c>
      <c r="F172" s="490"/>
      <c r="G172" s="171">
        <f t="shared" si="46"/>
        <v>0</v>
      </c>
      <c r="H172" s="172">
        <f t="shared" si="47"/>
        <v>0</v>
      </c>
      <c r="I172" s="343"/>
      <c r="J172" s="183">
        <v>0</v>
      </c>
      <c r="K172" s="183">
        <v>0</v>
      </c>
      <c r="L172" s="218"/>
      <c r="M172" s="364">
        <f t="shared" si="48"/>
        <v>0</v>
      </c>
      <c r="N172" s="359">
        <f>SUMMARY!J175</f>
        <v>2.5941162939297122</v>
      </c>
      <c r="O172" s="220"/>
      <c r="P172" s="220"/>
      <c r="Q172" s="220"/>
      <c r="W172" s="217">
        <v>0</v>
      </c>
      <c r="X172" s="217">
        <v>0</v>
      </c>
      <c r="Y172" s="492">
        <v>0</v>
      </c>
      <c r="Z172" s="492">
        <v>0</v>
      </c>
    </row>
    <row r="173" spans="1:26" s="221" customFormat="1">
      <c r="A173" s="215" t="s">
        <v>127</v>
      </c>
      <c r="B173" s="148" t="s">
        <v>111</v>
      </c>
      <c r="C173" s="490">
        <f>'[6]Sch C'!D184</f>
        <v>0</v>
      </c>
      <c r="D173" s="490">
        <f>'[6]Sch C'!F184</f>
        <v>0</v>
      </c>
      <c r="E173" s="171">
        <f t="shared" si="45"/>
        <v>0</v>
      </c>
      <c r="F173" s="490"/>
      <c r="G173" s="171">
        <f t="shared" si="46"/>
        <v>0</v>
      </c>
      <c r="H173" s="172">
        <f t="shared" si="47"/>
        <v>0</v>
      </c>
      <c r="I173" s="344"/>
      <c r="J173" s="222"/>
      <c r="K173" s="222"/>
      <c r="L173" s="218"/>
      <c r="M173" s="364">
        <f t="shared" si="48"/>
        <v>0</v>
      </c>
      <c r="N173" s="359">
        <f>SUMMARY!J176</f>
        <v>0.43431776693811036</v>
      </c>
      <c r="O173" s="220"/>
      <c r="P173" s="220"/>
      <c r="Q173" s="220"/>
      <c r="W173" s="222"/>
      <c r="X173" s="222"/>
      <c r="Y173" s="533"/>
      <c r="Z173" s="533"/>
    </row>
    <row r="174" spans="1:26" s="221" customFormat="1">
      <c r="A174" s="215" t="s">
        <v>128</v>
      </c>
      <c r="B174" s="148" t="s">
        <v>320</v>
      </c>
      <c r="C174" s="490">
        <f>'[6]Sch C'!D185</f>
        <v>0</v>
      </c>
      <c r="D174" s="490">
        <f>'[6]Sch C'!F185</f>
        <v>0</v>
      </c>
      <c r="E174" s="171">
        <f t="shared" si="45"/>
        <v>0</v>
      </c>
      <c r="F174" s="490"/>
      <c r="G174" s="171">
        <f t="shared" si="46"/>
        <v>0</v>
      </c>
      <c r="H174" s="172">
        <f t="shared" si="47"/>
        <v>0</v>
      </c>
      <c r="I174" s="343"/>
      <c r="J174" s="183">
        <v>0</v>
      </c>
      <c r="K174" s="183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  <c r="W174" s="217">
        <v>0</v>
      </c>
      <c r="X174" s="217">
        <v>0</v>
      </c>
      <c r="Y174" s="492">
        <v>0</v>
      </c>
      <c r="Z174" s="492">
        <v>0</v>
      </c>
    </row>
    <row r="175" spans="1:26" s="221" customFormat="1">
      <c r="A175" s="215" t="s">
        <v>129</v>
      </c>
      <c r="B175" s="148" t="s">
        <v>321</v>
      </c>
      <c r="C175" s="490">
        <f>'[6]Sch C'!D186</f>
        <v>0</v>
      </c>
      <c r="D175" s="490">
        <f>'[6]Sch C'!F186</f>
        <v>0</v>
      </c>
      <c r="E175" s="171">
        <f t="shared" si="45"/>
        <v>0</v>
      </c>
      <c r="F175" s="490"/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  <c r="W175" s="223"/>
      <c r="X175" s="218"/>
      <c r="Y175" s="534"/>
      <c r="Z175" s="535"/>
    </row>
    <row r="176" spans="1:26" s="221" customFormat="1">
      <c r="A176" s="224" t="s">
        <v>293</v>
      </c>
      <c r="B176" s="148" t="s">
        <v>154</v>
      </c>
      <c r="C176" s="490">
        <f>'[6]Sch C'!D187</f>
        <v>0</v>
      </c>
      <c r="D176" s="490">
        <f>'[6]Sch C'!F187</f>
        <v>0</v>
      </c>
      <c r="E176" s="171">
        <f t="shared" si="45"/>
        <v>0</v>
      </c>
      <c r="F176" s="490"/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  <c r="W176" s="223"/>
      <c r="X176" s="218"/>
      <c r="Y176" s="534"/>
      <c r="Z176" s="535"/>
    </row>
    <row r="177" spans="1:26" s="221" customFormat="1">
      <c r="A177" s="224" t="s">
        <v>294</v>
      </c>
      <c r="B177" s="148" t="s">
        <v>322</v>
      </c>
      <c r="C177" s="490">
        <f>'[6]Sch C'!D188</f>
        <v>0</v>
      </c>
      <c r="D177" s="490">
        <f>'[6]Sch C'!F188</f>
        <v>0</v>
      </c>
      <c r="E177" s="171">
        <f t="shared" si="45"/>
        <v>0</v>
      </c>
      <c r="F177" s="490"/>
      <c r="G177" s="171">
        <f t="shared" si="46"/>
        <v>0</v>
      </c>
      <c r="H177" s="172">
        <f t="shared" si="47"/>
        <v>0</v>
      </c>
      <c r="I177" s="337"/>
      <c r="J177" s="223"/>
      <c r="K177" s="218"/>
      <c r="L177" s="220"/>
      <c r="M177" s="364">
        <f t="shared" si="48"/>
        <v>0</v>
      </c>
      <c r="N177" s="359">
        <f>SUMMARY!J180</f>
        <v>9.0641762922913108E-2</v>
      </c>
      <c r="O177" s="220"/>
      <c r="P177" s="220"/>
      <c r="W177" s="223"/>
      <c r="X177" s="218"/>
      <c r="Y177" s="534"/>
      <c r="Z177" s="535"/>
    </row>
    <row r="178" spans="1:26" s="221" customFormat="1">
      <c r="A178" s="224" t="s">
        <v>295</v>
      </c>
      <c r="B178" s="148" t="s">
        <v>323</v>
      </c>
      <c r="C178" s="490">
        <f>'[6]Sch C'!D189</f>
        <v>0</v>
      </c>
      <c r="D178" s="490">
        <f>'[6]Sch C'!F189</f>
        <v>0</v>
      </c>
      <c r="E178" s="171">
        <f t="shared" si="45"/>
        <v>0</v>
      </c>
      <c r="F178" s="490"/>
      <c r="G178" s="171">
        <f t="shared" si="46"/>
        <v>0</v>
      </c>
      <c r="H178" s="172">
        <f t="shared" si="47"/>
        <v>0</v>
      </c>
      <c r="I178" s="337"/>
      <c r="J178" s="223"/>
      <c r="K178" s="218"/>
      <c r="L178" s="220"/>
      <c r="M178" s="364">
        <f t="shared" si="48"/>
        <v>0</v>
      </c>
      <c r="N178" s="359">
        <f>SUMMARY!J181</f>
        <v>1.778645585866033E-2</v>
      </c>
      <c r="O178" s="220"/>
      <c r="P178" s="220"/>
      <c r="W178" s="223"/>
      <c r="X178" s="218"/>
      <c r="Y178" s="534"/>
      <c r="Z178" s="535"/>
    </row>
    <row r="179" spans="1:26" s="221" customFormat="1">
      <c r="A179" s="224" t="s">
        <v>296</v>
      </c>
      <c r="B179" s="148" t="s">
        <v>324</v>
      </c>
      <c r="C179" s="490">
        <f>'[6]Sch C'!D190</f>
        <v>0</v>
      </c>
      <c r="D179" s="490">
        <f>'[6]Sch C'!F190</f>
        <v>0</v>
      </c>
      <c r="E179" s="171">
        <f t="shared" si="45"/>
        <v>0</v>
      </c>
      <c r="F179" s="490"/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  <c r="W179" s="223"/>
      <c r="X179" s="218"/>
      <c r="Y179" s="534"/>
      <c r="Z179" s="535"/>
    </row>
    <row r="180" spans="1:26" s="221" customFormat="1">
      <c r="A180" s="224" t="s">
        <v>297</v>
      </c>
      <c r="B180" s="148" t="s">
        <v>325</v>
      </c>
      <c r="C180" s="490">
        <f>'[6]Sch C'!D191</f>
        <v>0</v>
      </c>
      <c r="D180" s="490">
        <f>'[6]Sch C'!F191</f>
        <v>0</v>
      </c>
      <c r="E180" s="171">
        <f t="shared" si="45"/>
        <v>0</v>
      </c>
      <c r="F180" s="490"/>
      <c r="G180" s="171">
        <f t="shared" si="46"/>
        <v>0</v>
      </c>
      <c r="H180" s="172">
        <f t="shared" si="47"/>
        <v>0</v>
      </c>
      <c r="I180" s="337"/>
      <c r="J180" s="223"/>
      <c r="K180" s="218"/>
      <c r="L180" s="220"/>
      <c r="M180" s="364">
        <f t="shared" si="48"/>
        <v>0</v>
      </c>
      <c r="N180" s="359">
        <f>SUMMARY!J183</f>
        <v>1.8462734496600307E-2</v>
      </c>
      <c r="O180" s="220"/>
      <c r="P180" s="220"/>
      <c r="W180" s="223"/>
      <c r="X180" s="218"/>
      <c r="Y180" s="534"/>
      <c r="Z180" s="535"/>
    </row>
    <row r="181" spans="1:26" s="221" customFormat="1">
      <c r="A181" s="224" t="s">
        <v>298</v>
      </c>
      <c r="B181" s="148" t="s">
        <v>117</v>
      </c>
      <c r="C181" s="490">
        <f>'[6]Sch C'!D192</f>
        <v>0</v>
      </c>
      <c r="D181" s="490">
        <f>'[6]Sch C'!F192</f>
        <v>0</v>
      </c>
      <c r="E181" s="171">
        <f t="shared" si="45"/>
        <v>0</v>
      </c>
      <c r="F181" s="490"/>
      <c r="G181" s="171">
        <f t="shared" si="46"/>
        <v>0</v>
      </c>
      <c r="H181" s="172">
        <f t="shared" si="47"/>
        <v>0</v>
      </c>
      <c r="I181" s="337"/>
      <c r="J181" s="223"/>
      <c r="K181" s="218"/>
      <c r="L181" s="220"/>
      <c r="M181" s="364">
        <f t="shared" si="48"/>
        <v>0</v>
      </c>
      <c r="N181" s="359">
        <f>SUMMARY!J184</f>
        <v>0.21032919363206901</v>
      </c>
      <c r="O181" s="220"/>
      <c r="P181" s="220"/>
      <c r="W181" s="223"/>
      <c r="X181" s="218"/>
      <c r="Y181" s="534"/>
      <c r="Z181" s="535"/>
    </row>
    <row r="182" spans="1:26" s="221" customFormat="1">
      <c r="A182" s="224" t="s">
        <v>132</v>
      </c>
      <c r="B182" s="148" t="s">
        <v>118</v>
      </c>
      <c r="C182" s="490">
        <f>'[6]Sch C'!D193</f>
        <v>0</v>
      </c>
      <c r="D182" s="490">
        <f>'[6]Sch C'!F193</f>
        <v>0</v>
      </c>
      <c r="E182" s="171">
        <f t="shared" si="45"/>
        <v>0</v>
      </c>
      <c r="F182" s="490"/>
      <c r="G182" s="171">
        <f t="shared" si="46"/>
        <v>0</v>
      </c>
      <c r="H182" s="172">
        <f t="shared" si="47"/>
        <v>0</v>
      </c>
      <c r="I182" s="337"/>
      <c r="J182" s="223"/>
      <c r="K182" s="218"/>
      <c r="L182" s="220"/>
      <c r="M182" s="364">
        <f t="shared" si="48"/>
        <v>0</v>
      </c>
      <c r="N182" s="359">
        <f>SUMMARY!J185</f>
        <v>4.5937156276453409E-2</v>
      </c>
      <c r="O182" s="220"/>
      <c r="P182" s="220"/>
      <c r="W182" s="223"/>
      <c r="X182" s="218"/>
      <c r="Y182" s="534"/>
      <c r="Z182" s="535"/>
    </row>
    <row r="183" spans="1:26" s="221" customFormat="1">
      <c r="A183" s="224" t="s">
        <v>133</v>
      </c>
      <c r="B183" s="148" t="s">
        <v>119</v>
      </c>
      <c r="C183" s="490">
        <f>'[6]Sch C'!D194</f>
        <v>697556.84</v>
      </c>
      <c r="D183" s="490">
        <f>'[6]Sch C'!F194</f>
        <v>-101243</v>
      </c>
      <c r="E183" s="171">
        <f t="shared" si="45"/>
        <v>596313.84</v>
      </c>
      <c r="F183" s="490"/>
      <c r="G183" s="171">
        <f t="shared" si="46"/>
        <v>596313.84</v>
      </c>
      <c r="H183" s="172">
        <f t="shared" si="47"/>
        <v>4.4084153440411056E-2</v>
      </c>
      <c r="I183" s="337"/>
      <c r="J183" s="223"/>
      <c r="K183" s="218"/>
      <c r="M183" s="364">
        <f t="shared" si="48"/>
        <v>12.570118257130209</v>
      </c>
      <c r="N183" s="359">
        <f>SUMMARY!J186</f>
        <v>7.3129851396739571</v>
      </c>
      <c r="O183" s="220"/>
      <c r="P183" s="220"/>
      <c r="W183" s="223"/>
      <c r="X183" s="218"/>
      <c r="Y183" s="534"/>
      <c r="Z183" s="535"/>
    </row>
    <row r="184" spans="1:26" s="221" customFormat="1">
      <c r="A184" s="224" t="s">
        <v>134</v>
      </c>
      <c r="B184" s="148" t="s">
        <v>326</v>
      </c>
      <c r="C184" s="490">
        <f>'[6]Sch C'!D195</f>
        <v>121571.14</v>
      </c>
      <c r="D184" s="490">
        <f>'[6]Sch C'!F195</f>
        <v>-17645</v>
      </c>
      <c r="E184" s="171">
        <f t="shared" si="45"/>
        <v>103926.14</v>
      </c>
      <c r="F184" s="490"/>
      <c r="G184" s="171">
        <f t="shared" si="46"/>
        <v>103926.14</v>
      </c>
      <c r="H184" s="172">
        <f t="shared" si="47"/>
        <v>7.6830279542558343E-3</v>
      </c>
      <c r="I184" s="337"/>
      <c r="J184" s="223"/>
      <c r="K184" s="218"/>
      <c r="M184" s="364">
        <f t="shared" si="48"/>
        <v>2.1907320980627754</v>
      </c>
      <c r="N184" s="359">
        <f>SUMMARY!J187</f>
        <v>1.617871871330657</v>
      </c>
      <c r="O184" s="220"/>
      <c r="P184" s="220"/>
      <c r="W184" s="223"/>
      <c r="X184" s="218"/>
      <c r="Y184" s="534"/>
      <c r="Z184" s="535"/>
    </row>
    <row r="185" spans="1:26" s="221" customFormat="1">
      <c r="A185" s="224" t="s">
        <v>135</v>
      </c>
      <c r="B185" s="148" t="s">
        <v>327</v>
      </c>
      <c r="C185" s="490">
        <f>'[6]Sch C'!D196</f>
        <v>0</v>
      </c>
      <c r="D185" s="490">
        <f>'[6]Sch C'!F196</f>
        <v>0</v>
      </c>
      <c r="E185" s="171">
        <f t="shared" si="45"/>
        <v>0</v>
      </c>
      <c r="F185" s="490"/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  <c r="W185" s="223"/>
      <c r="X185" s="218"/>
      <c r="Y185" s="534"/>
      <c r="Z185" s="535"/>
    </row>
    <row r="186" spans="1:26" s="221" customFormat="1">
      <c r="A186" s="224" t="s">
        <v>136</v>
      </c>
      <c r="B186" s="148" t="s">
        <v>328</v>
      </c>
      <c r="C186" s="490">
        <f>'[6]Sch C'!D197</f>
        <v>635655</v>
      </c>
      <c r="D186" s="490">
        <f>'[6]Sch C'!F197</f>
        <v>-92258</v>
      </c>
      <c r="E186" s="171">
        <f t="shared" si="45"/>
        <v>543397</v>
      </c>
      <c r="F186" s="490"/>
      <c r="G186" s="171">
        <f t="shared" si="46"/>
        <v>543397</v>
      </c>
      <c r="H186" s="172">
        <f t="shared" si="47"/>
        <v>4.0172129372444292E-2</v>
      </c>
      <c r="I186" s="337"/>
      <c r="J186" s="223"/>
      <c r="K186" s="218"/>
      <c r="M186" s="364">
        <f t="shared" si="48"/>
        <v>11.454647020384073</v>
      </c>
      <c r="N186" s="359">
        <f>SUMMARY!J189</f>
        <v>5.0698778515059661</v>
      </c>
      <c r="O186" s="220"/>
      <c r="P186" s="220"/>
      <c r="W186" s="223"/>
      <c r="X186" s="218"/>
      <c r="Y186" s="534"/>
      <c r="Z186" s="535"/>
    </row>
    <row r="187" spans="1:26" s="221" customFormat="1">
      <c r="A187" s="224" t="s">
        <v>137</v>
      </c>
      <c r="B187" s="148" t="s">
        <v>122</v>
      </c>
      <c r="C187" s="490">
        <f>'[6]Sch C'!D198</f>
        <v>49332.84</v>
      </c>
      <c r="D187" s="490">
        <f>'[6]Sch C'!F198</f>
        <v>0</v>
      </c>
      <c r="E187" s="171">
        <f t="shared" si="45"/>
        <v>49332.84</v>
      </c>
      <c r="F187" s="490"/>
      <c r="G187" s="171">
        <f t="shared" si="46"/>
        <v>49332.84</v>
      </c>
      <c r="H187" s="172">
        <f t="shared" si="47"/>
        <v>3.6470669341017608E-3</v>
      </c>
      <c r="I187" s="337"/>
      <c r="J187" s="223"/>
      <c r="K187" s="218"/>
      <c r="M187" s="364">
        <f t="shared" si="48"/>
        <v>1.0399215835072408</v>
      </c>
      <c r="N187" s="359">
        <f>SUMMARY!J190</f>
        <v>1.3048000054613476</v>
      </c>
      <c r="O187" s="220"/>
      <c r="P187" s="220"/>
      <c r="W187" s="223"/>
      <c r="X187" s="218"/>
      <c r="Y187" s="534"/>
      <c r="Z187" s="535"/>
    </row>
    <row r="188" spans="1:26" s="221" customFormat="1">
      <c r="A188" s="224" t="s">
        <v>275</v>
      </c>
      <c r="B188" s="148" t="s">
        <v>329</v>
      </c>
      <c r="C188" s="490">
        <f>'[6]Sch C'!D199</f>
        <v>0</v>
      </c>
      <c r="D188" s="490">
        <f>'[6]Sch C'!F199</f>
        <v>0</v>
      </c>
      <c r="E188" s="171">
        <f t="shared" si="45"/>
        <v>0</v>
      </c>
      <c r="F188" s="490"/>
      <c r="G188" s="171">
        <f t="shared" si="46"/>
        <v>0</v>
      </c>
      <c r="H188" s="172">
        <f t="shared" si="47"/>
        <v>0</v>
      </c>
      <c r="I188" s="337"/>
      <c r="J188" s="223"/>
      <c r="K188" s="218"/>
      <c r="M188" s="364">
        <f t="shared" si="48"/>
        <v>0</v>
      </c>
      <c r="N188" s="359">
        <f>SUMMARY!J191</f>
        <v>0.39995945495753804</v>
      </c>
      <c r="O188" s="220"/>
      <c r="P188" s="220"/>
      <c r="W188" s="223"/>
      <c r="X188" s="218"/>
      <c r="Y188" s="534"/>
      <c r="Z188" s="535"/>
    </row>
    <row r="189" spans="1:26" s="221" customFormat="1">
      <c r="A189" s="224" t="s">
        <v>277</v>
      </c>
      <c r="B189" s="148" t="s">
        <v>278</v>
      </c>
      <c r="C189" s="490">
        <f>'[6]Sch C'!D200</f>
        <v>0</v>
      </c>
      <c r="D189" s="490">
        <f>'[6]Sch C'!F200</f>
        <v>0</v>
      </c>
      <c r="E189" s="171">
        <f t="shared" si="45"/>
        <v>0</v>
      </c>
      <c r="F189" s="490"/>
      <c r="G189" s="171">
        <f t="shared" si="46"/>
        <v>0</v>
      </c>
      <c r="H189" s="172">
        <f t="shared" si="47"/>
        <v>0</v>
      </c>
      <c r="I189" s="337"/>
      <c r="J189" s="223"/>
      <c r="K189" s="218"/>
      <c r="M189" s="364">
        <f t="shared" si="48"/>
        <v>0</v>
      </c>
      <c r="N189" s="359">
        <f>SUMMARY!J192</f>
        <v>5.0800032768083883E-3</v>
      </c>
      <c r="O189" s="220"/>
      <c r="P189" s="220"/>
      <c r="W189" s="223"/>
      <c r="X189" s="218"/>
      <c r="Y189" s="534"/>
      <c r="Z189" s="535"/>
    </row>
    <row r="190" spans="1:26" s="221" customFormat="1">
      <c r="A190" s="225" t="s">
        <v>279</v>
      </c>
      <c r="B190" s="226" t="s">
        <v>280</v>
      </c>
      <c r="C190" s="490">
        <f>'[6]Sch C'!D201</f>
        <v>0</v>
      </c>
      <c r="D190" s="490">
        <f>'[6]Sch C'!F201</f>
        <v>0</v>
      </c>
      <c r="E190" s="171">
        <f t="shared" si="45"/>
        <v>0</v>
      </c>
      <c r="F190" s="490"/>
      <c r="G190" s="171">
        <f t="shared" si="46"/>
        <v>0</v>
      </c>
      <c r="H190" s="172">
        <f t="shared" si="47"/>
        <v>0</v>
      </c>
      <c r="I190" s="337"/>
      <c r="J190" s="223"/>
      <c r="K190" s="218"/>
      <c r="M190" s="364">
        <f t="shared" si="48"/>
        <v>0</v>
      </c>
      <c r="N190" s="359">
        <f>SUMMARY!J193</f>
        <v>-2.2159984708227519E-2</v>
      </c>
      <c r="O190" s="220"/>
      <c r="P190" s="220"/>
      <c r="W190" s="223"/>
      <c r="X190" s="218"/>
      <c r="Y190" s="534"/>
      <c r="Z190" s="535"/>
    </row>
    <row r="191" spans="1:26" s="221" customFormat="1">
      <c r="A191" s="225" t="s">
        <v>281</v>
      </c>
      <c r="B191" s="226" t="s">
        <v>282</v>
      </c>
      <c r="C191" s="490">
        <f>'[6]Sch C'!D202</f>
        <v>0</v>
      </c>
      <c r="D191" s="490">
        <f>'[6]Sch C'!F202</f>
        <v>0</v>
      </c>
      <c r="E191" s="171">
        <f t="shared" si="45"/>
        <v>0</v>
      </c>
      <c r="F191" s="490"/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  <c r="W191" s="223"/>
      <c r="X191" s="218"/>
      <c r="Y191" s="534"/>
      <c r="Z191" s="535"/>
    </row>
    <row r="192" spans="1:26" s="221" customFormat="1">
      <c r="A192" s="225" t="s">
        <v>283</v>
      </c>
      <c r="B192" s="226" t="s">
        <v>330</v>
      </c>
      <c r="C192" s="490">
        <f>'[6]Sch C'!D203</f>
        <v>0</v>
      </c>
      <c r="D192" s="490">
        <f>'[6]Sch C'!F203</f>
        <v>0</v>
      </c>
      <c r="E192" s="171">
        <f t="shared" si="45"/>
        <v>0</v>
      </c>
      <c r="F192" s="490"/>
      <c r="G192" s="171">
        <f t="shared" si="46"/>
        <v>0</v>
      </c>
      <c r="H192" s="172">
        <f t="shared" si="47"/>
        <v>0</v>
      </c>
      <c r="I192" s="337"/>
      <c r="J192" s="223"/>
      <c r="K192" s="218"/>
      <c r="M192" s="364">
        <f t="shared" si="48"/>
        <v>0</v>
      </c>
      <c r="N192" s="359">
        <f>SUMMARY!J195</f>
        <v>9.9736102236421709E-2</v>
      </c>
      <c r="O192" s="220"/>
      <c r="P192" s="220"/>
      <c r="W192" s="223"/>
      <c r="X192" s="218"/>
      <c r="Y192" s="534"/>
      <c r="Z192" s="535"/>
    </row>
    <row r="193" spans="1:26" s="221" customFormat="1">
      <c r="A193" s="225" t="s">
        <v>285</v>
      </c>
      <c r="B193" s="226" t="s">
        <v>331</v>
      </c>
      <c r="C193" s="490">
        <f>'[6]Sch C'!D204</f>
        <v>0</v>
      </c>
      <c r="D193" s="490">
        <f>'[6]Sch C'!F204</f>
        <v>0</v>
      </c>
      <c r="E193" s="171">
        <f t="shared" si="45"/>
        <v>0</v>
      </c>
      <c r="F193" s="490"/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  <c r="W193" s="223"/>
      <c r="X193" s="218"/>
      <c r="Y193" s="534"/>
      <c r="Z193" s="535"/>
    </row>
    <row r="194" spans="1:26" s="221" customFormat="1">
      <c r="A194" s="224" t="s">
        <v>138</v>
      </c>
      <c r="B194" s="148" t="s">
        <v>332</v>
      </c>
      <c r="C194" s="490">
        <f>'[6]Sch C'!D205</f>
        <v>1005190.46</v>
      </c>
      <c r="D194" s="490">
        <f>'[6]Sch C'!F205</f>
        <v>-294076</v>
      </c>
      <c r="E194" s="171">
        <f t="shared" si="45"/>
        <v>711114.46</v>
      </c>
      <c r="F194" s="490"/>
      <c r="G194" s="171">
        <f t="shared" si="46"/>
        <v>711114.46</v>
      </c>
      <c r="H194" s="172">
        <f t="shared" si="47"/>
        <v>5.2571107469742862E-2</v>
      </c>
      <c r="I194" s="337"/>
      <c r="J194" s="223"/>
      <c r="K194" s="218"/>
      <c r="M194" s="364">
        <f t="shared" si="48"/>
        <v>14.990081156854064</v>
      </c>
      <c r="N194" s="359">
        <f>SUMMARY!J197</f>
        <v>9.4205484776494348</v>
      </c>
      <c r="O194" s="220"/>
      <c r="P194" s="220"/>
      <c r="W194" s="223"/>
      <c r="X194" s="218"/>
      <c r="Y194" s="534"/>
      <c r="Z194" s="535"/>
    </row>
    <row r="195" spans="1:26" s="221" customFormat="1">
      <c r="A195" s="224" t="s">
        <v>139</v>
      </c>
      <c r="B195" s="148" t="s">
        <v>67</v>
      </c>
      <c r="C195" s="490">
        <f>'[6]Sch C'!D206</f>
        <v>49968.72</v>
      </c>
      <c r="D195" s="490">
        <f>'[6]Sch C'!F206</f>
        <v>0</v>
      </c>
      <c r="E195" s="171">
        <f t="shared" si="45"/>
        <v>49968.72</v>
      </c>
      <c r="F195" s="490"/>
      <c r="G195" s="171">
        <f t="shared" si="46"/>
        <v>49968.72</v>
      </c>
      <c r="H195" s="172">
        <f t="shared" si="47"/>
        <v>3.6940761255867156E-3</v>
      </c>
      <c r="I195" s="337"/>
      <c r="J195" s="223"/>
      <c r="K195" s="218"/>
      <c r="M195" s="364">
        <f t="shared" si="48"/>
        <v>1.0533257446404858</v>
      </c>
      <c r="N195" s="359">
        <f>SUMMARY!J198</f>
        <v>0.51514733622784747</v>
      </c>
      <c r="O195" s="220"/>
      <c r="P195" s="220"/>
      <c r="W195" s="223"/>
      <c r="X195" s="218"/>
      <c r="Y195" s="534"/>
      <c r="Z195" s="535"/>
    </row>
    <row r="196" spans="1:26" s="221" customFormat="1">
      <c r="A196" s="225" t="s">
        <v>143</v>
      </c>
      <c r="B196" s="194" t="s">
        <v>333</v>
      </c>
      <c r="C196" s="490">
        <f>'[6]Sch C'!D207</f>
        <v>102237.11</v>
      </c>
      <c r="D196" s="490">
        <f>'[6]Sch C'!F207</f>
        <v>0</v>
      </c>
      <c r="E196" s="171">
        <f t="shared" si="45"/>
        <v>102237.11</v>
      </c>
      <c r="F196" s="490"/>
      <c r="G196" s="171">
        <f t="shared" si="46"/>
        <v>102237.11</v>
      </c>
      <c r="H196" s="172">
        <f t="shared" si="47"/>
        <v>7.5581617299779313E-3</v>
      </c>
      <c r="I196" s="337"/>
      <c r="J196" s="223"/>
      <c r="K196" s="218"/>
      <c r="M196" s="364">
        <f t="shared" si="48"/>
        <v>2.1551278483947809</v>
      </c>
      <c r="N196" s="359">
        <f>SUMMARY!J199</f>
        <v>0.43468466925335936</v>
      </c>
      <c r="O196" s="220"/>
      <c r="P196" s="220"/>
      <c r="W196" s="223"/>
      <c r="X196" s="218"/>
      <c r="Y196" s="534"/>
      <c r="Z196" s="535"/>
    </row>
    <row r="197" spans="1:26" s="167" customFormat="1">
      <c r="A197" s="163"/>
      <c r="B197" s="212" t="s">
        <v>130</v>
      </c>
      <c r="C197" s="490">
        <f>SUM(C164:C196)</f>
        <v>2661512.1100000003</v>
      </c>
      <c r="D197" s="490">
        <f>SUM(D164:D196)</f>
        <v>-505222</v>
      </c>
      <c r="E197" s="171">
        <f t="shared" ref="E197:F197" si="49">SUM(E164:E196)</f>
        <v>2156290.11</v>
      </c>
      <c r="F197" s="171">
        <f t="shared" si="49"/>
        <v>0</v>
      </c>
      <c r="G197" s="171">
        <f>SUM(G164:G196)</f>
        <v>2156290.11</v>
      </c>
      <c r="H197" s="172">
        <f>IF($G$208=0,0,G197/$G$208)</f>
        <v>0.15940972302652043</v>
      </c>
      <c r="I197" s="337"/>
      <c r="J197" s="168"/>
      <c r="K197" s="168"/>
      <c r="M197" s="364">
        <f>G197/G$228</f>
        <v>45.453953708973629</v>
      </c>
      <c r="N197" s="359">
        <f>SUMMARY!J200</f>
        <v>35.91740838389223</v>
      </c>
      <c r="W197" s="168"/>
      <c r="X197" s="168"/>
      <c r="Y197" s="527"/>
      <c r="Z197" s="527"/>
    </row>
    <row r="198" spans="1:26" s="167" customFormat="1">
      <c r="A198" s="163"/>
      <c r="C198" s="165"/>
      <c r="D198" s="165"/>
      <c r="E198" s="165"/>
      <c r="F198" s="165"/>
      <c r="G198" s="165"/>
      <c r="H198" s="198"/>
      <c r="I198" s="341"/>
      <c r="J198" s="168"/>
      <c r="K198" s="168"/>
      <c r="M198" s="359"/>
      <c r="N198" s="359"/>
      <c r="W198" s="168"/>
      <c r="X198" s="168"/>
      <c r="Y198" s="527"/>
      <c r="Z198" s="527"/>
    </row>
    <row r="199" spans="1:26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1"/>
      <c r="J199" s="168"/>
      <c r="K199" s="168"/>
      <c r="M199" s="359"/>
      <c r="N199" s="359"/>
      <c r="W199" s="168"/>
      <c r="X199" s="168"/>
      <c r="Y199" s="527"/>
      <c r="Z199" s="527"/>
    </row>
    <row r="200" spans="1:26" s="167" customFormat="1">
      <c r="A200" s="169" t="s">
        <v>85</v>
      </c>
      <c r="B200" s="170" t="s">
        <v>69</v>
      </c>
      <c r="C200" s="490">
        <f>'[6]Sch C'!D211</f>
        <v>231771.92</v>
      </c>
      <c r="D200" s="490">
        <f>'[6]Sch C'!F211</f>
        <v>0</v>
      </c>
      <c r="E200" s="171">
        <f t="shared" ref="E200:E205" si="50">C200+D200</f>
        <v>231771.92</v>
      </c>
      <c r="F200" s="490"/>
      <c r="G200" s="171">
        <f t="shared" ref="G200:G205" si="51">E200+F200</f>
        <v>231771.92</v>
      </c>
      <c r="H200" s="172">
        <f t="shared" ref="H200:H206" si="52">IF($G$208=0,0,G200/$G$208)</f>
        <v>1.7134381594193213E-2</v>
      </c>
      <c r="I200" s="337"/>
      <c r="J200" s="183">
        <v>12575.92</v>
      </c>
      <c r="K200" s="183">
        <v>13844.94</v>
      </c>
      <c r="M200" s="364">
        <f t="shared" ref="M200:M205" si="53">G200/G$228</f>
        <v>4.885683087754801</v>
      </c>
      <c r="N200" s="359">
        <f>SUMMARY!J203</f>
        <v>4.8433639387236838</v>
      </c>
      <c r="W200" s="183">
        <v>3262</v>
      </c>
      <c r="X200" s="183">
        <v>3585</v>
      </c>
      <c r="Y200" s="492">
        <v>9321</v>
      </c>
      <c r="Z200" s="492">
        <v>10191</v>
      </c>
    </row>
    <row r="201" spans="1:26" s="167" customFormat="1">
      <c r="A201" s="169" t="s">
        <v>86</v>
      </c>
      <c r="B201" s="170" t="s">
        <v>45</v>
      </c>
      <c r="C201" s="490">
        <f>'[6]Sch C'!D212</f>
        <v>37385.769999999997</v>
      </c>
      <c r="D201" s="490">
        <f>'[6]Sch C'!F212</f>
        <v>0</v>
      </c>
      <c r="E201" s="171">
        <f t="shared" si="50"/>
        <v>37385.769999999997</v>
      </c>
      <c r="F201" s="490"/>
      <c r="G201" s="171">
        <f t="shared" si="51"/>
        <v>37385.769999999997</v>
      </c>
      <c r="H201" s="172">
        <f t="shared" si="52"/>
        <v>2.7638466703504925E-3</v>
      </c>
      <c r="I201" s="337"/>
      <c r="J201" s="168"/>
      <c r="K201" s="168"/>
      <c r="M201" s="364">
        <f t="shared" si="53"/>
        <v>0.78808090389763685</v>
      </c>
      <c r="N201" s="359">
        <f>SUMMARY!J204</f>
        <v>0.96144674193499036</v>
      </c>
      <c r="W201" s="168"/>
      <c r="X201" s="168"/>
      <c r="Y201" s="527"/>
      <c r="Z201" s="527"/>
    </row>
    <row r="202" spans="1:26" s="167" customFormat="1">
      <c r="A202" s="169" t="s">
        <v>140</v>
      </c>
      <c r="B202" s="170" t="s">
        <v>54</v>
      </c>
      <c r="C202" s="490">
        <f>'[6]Sch C'!D213</f>
        <v>19601.939999999999</v>
      </c>
      <c r="D202" s="490">
        <f>'[6]Sch C'!F213</f>
        <v>0</v>
      </c>
      <c r="E202" s="171">
        <f t="shared" si="50"/>
        <v>19601.939999999999</v>
      </c>
      <c r="F202" s="490"/>
      <c r="G202" s="171">
        <f t="shared" si="51"/>
        <v>19601.939999999999</v>
      </c>
      <c r="H202" s="172">
        <f t="shared" si="52"/>
        <v>1.449127745701376E-3</v>
      </c>
      <c r="I202" s="337"/>
      <c r="J202" s="168"/>
      <c r="K202" s="168"/>
      <c r="M202" s="364">
        <f t="shared" si="53"/>
        <v>0.41320306077278185</v>
      </c>
      <c r="N202" s="359">
        <f>SUMMARY!J205</f>
        <v>0.5247184566232489</v>
      </c>
      <c r="W202" s="168"/>
      <c r="X202" s="168"/>
      <c r="Y202" s="527"/>
      <c r="Z202" s="527"/>
    </row>
    <row r="203" spans="1:26" s="167" customFormat="1">
      <c r="A203" s="169" t="s">
        <v>141</v>
      </c>
      <c r="B203" s="170" t="s">
        <v>70</v>
      </c>
      <c r="C203" s="490">
        <f>'[6]Sch C'!D214</f>
        <v>0</v>
      </c>
      <c r="D203" s="490">
        <f>'[6]Sch C'!F214</f>
        <v>0</v>
      </c>
      <c r="E203" s="171">
        <f t="shared" si="50"/>
        <v>0</v>
      </c>
      <c r="F203" s="490"/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>
        <f t="shared" si="53"/>
        <v>0</v>
      </c>
      <c r="N203" s="359">
        <f>SUMMARY!J206</f>
        <v>1.4027039130553507E-2</v>
      </c>
      <c r="W203" s="168"/>
      <c r="X203" s="168"/>
      <c r="Y203" s="527"/>
      <c r="Z203" s="527"/>
    </row>
    <row r="204" spans="1:26" s="167" customFormat="1">
      <c r="A204" s="169" t="s">
        <v>142</v>
      </c>
      <c r="B204" s="202" t="s">
        <v>71</v>
      </c>
      <c r="C204" s="490">
        <f>'[6]Sch C'!D215</f>
        <v>0</v>
      </c>
      <c r="D204" s="490">
        <f>'[6]Sch C'!F215</f>
        <v>0</v>
      </c>
      <c r="E204" s="171">
        <f t="shared" si="50"/>
        <v>0</v>
      </c>
      <c r="F204" s="490"/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  <c r="W204" s="168"/>
      <c r="X204" s="168"/>
      <c r="Y204" s="527"/>
      <c r="Z204" s="527"/>
    </row>
    <row r="205" spans="1:26" s="167" customFormat="1">
      <c r="A205" s="169" t="s">
        <v>143</v>
      </c>
      <c r="B205" s="170" t="s">
        <v>312</v>
      </c>
      <c r="C205" s="490">
        <f>'[6]Sch C'!D216</f>
        <v>10001.969999999999</v>
      </c>
      <c r="D205" s="490">
        <f>'[6]Sch C'!F216</f>
        <v>0</v>
      </c>
      <c r="E205" s="171">
        <f t="shared" si="50"/>
        <v>10001.969999999999</v>
      </c>
      <c r="F205" s="490"/>
      <c r="G205" s="171">
        <f t="shared" si="51"/>
        <v>10001.969999999999</v>
      </c>
      <c r="H205" s="172">
        <f t="shared" si="52"/>
        <v>7.3942335496755894E-4</v>
      </c>
      <c r="I205" s="337"/>
      <c r="J205" s="168"/>
      <c r="K205" s="168"/>
      <c r="M205" s="364">
        <f t="shared" si="53"/>
        <v>0.21083855055966608</v>
      </c>
      <c r="N205" s="359">
        <f>SUMMARY!J208</f>
        <v>0.36483307391933595</v>
      </c>
      <c r="W205" s="168"/>
      <c r="X205" s="168"/>
      <c r="Y205" s="527"/>
      <c r="Z205" s="527"/>
    </row>
    <row r="206" spans="1:26" s="167" customFormat="1">
      <c r="A206" s="163"/>
      <c r="B206" s="170" t="s">
        <v>144</v>
      </c>
      <c r="C206" s="490">
        <f>SUM(C200:C205)</f>
        <v>298761.59999999998</v>
      </c>
      <c r="D206" s="490">
        <f>SUM(D200:D205)</f>
        <v>0</v>
      </c>
      <c r="E206" s="171">
        <f t="shared" ref="E206:F206" si="54">SUM(E200:E205)</f>
        <v>298761.59999999998</v>
      </c>
      <c r="F206" s="171">
        <f t="shared" si="54"/>
        <v>0</v>
      </c>
      <c r="G206" s="171">
        <f>SUM(G200:G205)</f>
        <v>298761.59999999998</v>
      </c>
      <c r="H206" s="172">
        <f t="shared" si="52"/>
        <v>2.2086779365212639E-2</v>
      </c>
      <c r="I206" s="337"/>
      <c r="J206" s="168"/>
      <c r="K206" s="168"/>
      <c r="M206" s="364">
        <f>G206/G$228</f>
        <v>6.2978056029848855</v>
      </c>
      <c r="N206" s="359">
        <f>SUMMARY!J209</f>
        <v>6.7083892503318125</v>
      </c>
    </row>
    <row r="207" spans="1:26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26" s="167" customFormat="1">
      <c r="A208" s="227"/>
      <c r="B208" s="228" t="s">
        <v>145</v>
      </c>
      <c r="C208" s="490">
        <f>SUM(C25:C206)/2</f>
        <v>14403897.52</v>
      </c>
      <c r="D208" s="490">
        <f>SUM(D25:D206)/2</f>
        <v>-877181.15</v>
      </c>
      <c r="E208" s="171">
        <f t="shared" ref="E208:F208" si="55">SUM(E25:E206)/2</f>
        <v>13526716.369999999</v>
      </c>
      <c r="F208" s="171">
        <f t="shared" si="55"/>
        <v>0</v>
      </c>
      <c r="G208" s="171">
        <f>SUM(G25:G206)/2</f>
        <v>13526716.369999999</v>
      </c>
      <c r="H208" s="172">
        <f>IF($G$208=0,0,G208/$G$208)</f>
        <v>1</v>
      </c>
      <c r="I208" s="337"/>
      <c r="J208" s="183">
        <f>SUM(J25:J200)</f>
        <v>312793.59999999998</v>
      </c>
      <c r="K208" s="183">
        <f>SUM(K25:K200)</f>
        <v>326545.64999999997</v>
      </c>
      <c r="M208" s="364">
        <f>G208/G$228</f>
        <v>285.13915491473261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490">
        <f>'[6]Sch C'!D221</f>
        <v>14403898.539999999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490">
        <f>C208-C211</f>
        <v>-1.0199999995529652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585"/>
      <c r="D213" s="232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490">
        <f>C21-C208</f>
        <v>-85635.719999996945</v>
      </c>
      <c r="D215" s="490">
        <f>D21-D208</f>
        <v>877180.39</v>
      </c>
      <c r="E215" s="171">
        <f t="shared" ref="E215:F215" si="56">E21-E208</f>
        <v>791544.67000000365</v>
      </c>
      <c r="F215" s="171">
        <f t="shared" si="56"/>
        <v>0</v>
      </c>
      <c r="G215" s="171">
        <f>G21-G208</f>
        <v>791544.67000000365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491">
        <f>'[6]Sch D'!C9</f>
        <v>28031</v>
      </c>
      <c r="D219" s="491"/>
      <c r="E219" s="235">
        <f t="shared" ref="E219:G227" si="57">C219+D219</f>
        <v>28031</v>
      </c>
      <c r="F219" s="491"/>
      <c r="G219" s="235">
        <f t="shared" si="57"/>
        <v>28031</v>
      </c>
      <c r="H219" s="172">
        <f t="shared" ref="H219:H228" si="58">IF($G$228=0,0,G219/$G$228)</f>
        <v>0.59088513670186982</v>
      </c>
      <c r="I219" s="337"/>
      <c r="J219" s="168"/>
      <c r="K219" s="168"/>
    </row>
    <row r="220" spans="1:14">
      <c r="A220" s="163"/>
      <c r="B220" s="170" t="s">
        <v>217</v>
      </c>
      <c r="C220" s="491">
        <f>'[6]Sch D'!D9</f>
        <v>0</v>
      </c>
      <c r="D220" s="491"/>
      <c r="E220" s="235">
        <f t="shared" ref="E220:E227" si="59">C220+D220</f>
        <v>0</v>
      </c>
      <c r="F220" s="491"/>
      <c r="G220" s="235">
        <f t="shared" si="57"/>
        <v>0</v>
      </c>
      <c r="H220" s="172">
        <f t="shared" si="58"/>
        <v>0</v>
      </c>
      <c r="I220" s="337"/>
      <c r="J220" s="168"/>
      <c r="K220" s="168"/>
    </row>
    <row r="221" spans="1:14">
      <c r="A221" s="163"/>
      <c r="B221" s="170" t="s">
        <v>72</v>
      </c>
      <c r="C221" s="491">
        <f>'[6]Sch D'!E9</f>
        <v>6990</v>
      </c>
      <c r="D221" s="491"/>
      <c r="E221" s="235">
        <f t="shared" si="59"/>
        <v>6990</v>
      </c>
      <c r="F221" s="491"/>
      <c r="G221" s="235">
        <f t="shared" si="57"/>
        <v>6990</v>
      </c>
      <c r="H221" s="172">
        <f t="shared" si="58"/>
        <v>0.14734711945867324</v>
      </c>
      <c r="I221" s="337"/>
      <c r="J221" s="168"/>
      <c r="K221" s="168"/>
    </row>
    <row r="222" spans="1:14">
      <c r="A222" s="163"/>
      <c r="B222" s="202" t="s">
        <v>334</v>
      </c>
      <c r="C222" s="491">
        <f>'[6]Sch D'!F9</f>
        <v>3359</v>
      </c>
      <c r="D222" s="491"/>
      <c r="E222" s="235">
        <f>C222+D222</f>
        <v>3359</v>
      </c>
      <c r="F222" s="491"/>
      <c r="G222" s="235">
        <f>E222+F222</f>
        <v>3359</v>
      </c>
      <c r="H222" s="172">
        <f t="shared" si="58"/>
        <v>7.0806720209110649E-2</v>
      </c>
      <c r="I222" s="337"/>
      <c r="J222" s="168"/>
      <c r="K222" s="168"/>
    </row>
    <row r="223" spans="1:14">
      <c r="A223" s="163"/>
      <c r="B223" s="170" t="s">
        <v>73</v>
      </c>
      <c r="C223" s="491">
        <f>'[6]Sch D'!G9</f>
        <v>0</v>
      </c>
      <c r="D223" s="491"/>
      <c r="E223" s="235">
        <f t="shared" si="59"/>
        <v>0</v>
      </c>
      <c r="F223" s="491"/>
      <c r="G223" s="235">
        <f t="shared" si="57"/>
        <v>0</v>
      </c>
      <c r="H223" s="172">
        <f t="shared" si="58"/>
        <v>0</v>
      </c>
      <c r="I223" s="337"/>
      <c r="J223" s="168"/>
      <c r="K223" s="168"/>
    </row>
    <row r="224" spans="1:14">
      <c r="A224" s="163"/>
      <c r="B224" s="170" t="s">
        <v>74</v>
      </c>
      <c r="C224" s="491">
        <f>'[6]Sch D'!H9</f>
        <v>5498</v>
      </c>
      <c r="D224" s="491"/>
      <c r="E224" s="235">
        <f t="shared" si="59"/>
        <v>5498</v>
      </c>
      <c r="F224" s="491"/>
      <c r="G224" s="235">
        <f t="shared" si="57"/>
        <v>5498</v>
      </c>
      <c r="H224" s="172">
        <f t="shared" si="58"/>
        <v>0.11589620354560594</v>
      </c>
      <c r="I224" s="337"/>
      <c r="J224" s="168"/>
      <c r="K224" s="168"/>
    </row>
    <row r="225" spans="1:11">
      <c r="A225" s="163"/>
      <c r="B225" s="170" t="s">
        <v>236</v>
      </c>
      <c r="C225" s="491">
        <f>'[6]Sch D'!I9</f>
        <v>2129</v>
      </c>
      <c r="D225" s="491"/>
      <c r="E225" s="235">
        <f t="shared" si="59"/>
        <v>2129</v>
      </c>
      <c r="F225" s="491"/>
      <c r="G225" s="235">
        <f t="shared" si="57"/>
        <v>2129</v>
      </c>
      <c r="H225" s="172">
        <f t="shared" si="58"/>
        <v>4.4878686312949258E-2</v>
      </c>
      <c r="I225" s="337"/>
      <c r="J225" s="168"/>
      <c r="K225" s="168"/>
    </row>
    <row r="226" spans="1:11">
      <c r="A226" s="163"/>
      <c r="B226" s="170" t="s">
        <v>235</v>
      </c>
      <c r="C226" s="491">
        <f>'[6]Sch D'!J9</f>
        <v>1392</v>
      </c>
      <c r="D226" s="491"/>
      <c r="E226" s="235">
        <f>C226+D226</f>
        <v>1392</v>
      </c>
      <c r="F226" s="491"/>
      <c r="G226" s="235">
        <f>E226+F226</f>
        <v>1392</v>
      </c>
      <c r="H226" s="172">
        <f t="shared" si="58"/>
        <v>2.9342945677607032E-2</v>
      </c>
      <c r="I226" s="337"/>
      <c r="J226" s="168"/>
      <c r="K226" s="168"/>
    </row>
    <row r="227" spans="1:11">
      <c r="A227" s="163"/>
      <c r="B227" s="170" t="s">
        <v>179</v>
      </c>
      <c r="C227" s="491">
        <f>'[6]Sch D'!K9</f>
        <v>40</v>
      </c>
      <c r="D227" s="491"/>
      <c r="E227" s="235">
        <f t="shared" si="59"/>
        <v>40</v>
      </c>
      <c r="F227" s="491"/>
      <c r="G227" s="235">
        <f t="shared" si="57"/>
        <v>40</v>
      </c>
      <c r="H227" s="172">
        <f t="shared" si="58"/>
        <v>8.4318809418411009E-4</v>
      </c>
      <c r="I227" s="337"/>
      <c r="J227" s="168"/>
      <c r="K227" s="168"/>
    </row>
    <row r="228" spans="1:11" ht="13.5" thickBot="1">
      <c r="A228" s="163"/>
      <c r="B228" s="236" t="s">
        <v>75</v>
      </c>
      <c r="C228" s="491">
        <f>SUM(C219:C227)</f>
        <v>47439</v>
      </c>
      <c r="D228" s="491">
        <f>SUM(D219:D227)</f>
        <v>0</v>
      </c>
      <c r="E228" s="237">
        <f>SUM(E219:E227)</f>
        <v>47439</v>
      </c>
      <c r="F228" s="237">
        <f>SUM(F219:F227)</f>
        <v>0</v>
      </c>
      <c r="G228" s="237">
        <f>SUM(G219:G227)</f>
        <v>47439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586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585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492">
        <f>'[6]Sch D'!N22</f>
        <v>168</v>
      </c>
      <c r="D231" s="526"/>
      <c r="E231" s="235">
        <f>C231+D231</f>
        <v>168</v>
      </c>
      <c r="F231" s="235"/>
      <c r="G231" s="235">
        <f>E231+F231</f>
        <v>168</v>
      </c>
      <c r="H231" s="167"/>
      <c r="J231" s="168"/>
      <c r="K231" s="168"/>
    </row>
    <row r="232" spans="1:11">
      <c r="A232" s="163"/>
      <c r="B232" s="202" t="s">
        <v>290</v>
      </c>
      <c r="C232" s="492">
        <f>'[6]Sch D'!N24</f>
        <v>168</v>
      </c>
      <c r="D232" s="526"/>
      <c r="E232" s="235">
        <f>C232+D232</f>
        <v>168</v>
      </c>
      <c r="F232" s="235"/>
      <c r="G232" s="235">
        <f>E232+F232</f>
        <v>168</v>
      </c>
      <c r="H232" s="167"/>
      <c r="J232" s="168"/>
      <c r="K232" s="168"/>
    </row>
    <row r="233" spans="1:11">
      <c r="A233" s="163"/>
      <c r="B233" s="202" t="s">
        <v>76</v>
      </c>
      <c r="C233" s="492">
        <f>$C$4-$C$3+1</f>
        <v>365</v>
      </c>
      <c r="D233" s="489"/>
      <c r="E233" s="235">
        <f>C233+D233</f>
        <v>365</v>
      </c>
      <c r="F233" s="240">
        <v>274</v>
      </c>
      <c r="G233" s="235">
        <f>E233+F233</f>
        <v>639</v>
      </c>
      <c r="H233" s="167"/>
      <c r="J233" s="168"/>
      <c r="K233" s="168"/>
    </row>
    <row r="234" spans="1:11">
      <c r="A234" s="163"/>
      <c r="B234" s="241"/>
      <c r="C234" s="587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492">
        <f>'[6]Sch D'!N28</f>
        <v>61320</v>
      </c>
      <c r="D235" s="489"/>
      <c r="E235" s="234">
        <f>E231*E233</f>
        <v>61320</v>
      </c>
      <c r="F235" s="240">
        <f>F233*E231</f>
        <v>46032</v>
      </c>
      <c r="G235" s="234">
        <f>G231*G233</f>
        <v>107352</v>
      </c>
      <c r="H235" s="167"/>
      <c r="J235" s="168"/>
      <c r="K235" s="168"/>
    </row>
    <row r="236" spans="1:11" ht="26">
      <c r="A236" s="163"/>
      <c r="B236" s="244" t="s">
        <v>336</v>
      </c>
      <c r="C236" s="493">
        <f>'[6]Sch D'!N30</f>
        <v>0.77363013698630134</v>
      </c>
      <c r="D236" s="240"/>
      <c r="E236" s="245">
        <f>E228/E235</f>
        <v>0.77363013698630134</v>
      </c>
      <c r="F236" s="246">
        <f>F228/F235</f>
        <v>0</v>
      </c>
      <c r="G236" s="245">
        <f>G228/G235</f>
        <v>0.44190140845070425</v>
      </c>
      <c r="H236" s="167"/>
      <c r="J236" s="168"/>
      <c r="K236" s="168"/>
    </row>
    <row r="237" spans="1:11" ht="26">
      <c r="A237" s="163"/>
      <c r="B237" s="244" t="s">
        <v>337</v>
      </c>
      <c r="C237" s="493">
        <f>'[6]Sch D'!N32</f>
        <v>0.45712654924983692</v>
      </c>
      <c r="D237" s="240"/>
      <c r="E237" s="245">
        <f>(E219+E220)/E235</f>
        <v>0.45712654924983692</v>
      </c>
      <c r="F237" s="246">
        <f>(F219+F220)/F235</f>
        <v>0</v>
      </c>
      <c r="G237" s="245">
        <f>(G219+G220)/G235</f>
        <v>0.26111297414114315</v>
      </c>
      <c r="H237" s="167"/>
      <c r="J237" s="168"/>
      <c r="K237" s="168"/>
    </row>
    <row r="238" spans="1:11" ht="26">
      <c r="A238" s="163"/>
      <c r="B238" s="244" t="s">
        <v>338</v>
      </c>
      <c r="C238" s="493">
        <f>'[6]Sch D'!N34</f>
        <v>0.59088513670186982</v>
      </c>
      <c r="D238" s="240"/>
      <c r="E238" s="245">
        <f>(E237/E236)</f>
        <v>0.59088513670186982</v>
      </c>
      <c r="F238" s="246" t="e">
        <f>(F237/F236)</f>
        <v>#DIV/0!</v>
      </c>
      <c r="G238" s="245">
        <f>(G237/G236)</f>
        <v>0.59088513670186971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490">
        <f>'[6]Sch B'!C85</f>
        <v>258.10798270893378</v>
      </c>
    </row>
    <row r="242" spans="2:7">
      <c r="F242" s="142" t="s">
        <v>341</v>
      </c>
      <c r="G242" s="490">
        <f>'[6]Sch B'!E85</f>
        <v>248.06918882072256</v>
      </c>
    </row>
    <row r="243" spans="2:7">
      <c r="F243" s="142" t="s">
        <v>342</v>
      </c>
      <c r="G243" s="490">
        <f>'[6]Sch B'!G85</f>
        <v>241.65402651201325</v>
      </c>
    </row>
    <row r="244" spans="2:7">
      <c r="F244" s="142" t="s">
        <v>343</v>
      </c>
      <c r="G244" s="490">
        <f>'[6]Sch B'!I85</f>
        <v>286.15050139275763</v>
      </c>
    </row>
    <row r="245" spans="2:7">
      <c r="F245" s="142"/>
    </row>
  </sheetData>
  <printOptions horizontalCentered="1"/>
  <pageMargins left="0" right="0" top="0.75" bottom="1" header="0.5" footer="0.5"/>
  <pageSetup scale="70" orientation="portrait" horizontalDpi="300" verticalDpi="300" r:id="rId1"/>
  <headerFooter alignWithMargins="0">
    <oddFooter>&amp;R&amp;D
&amp;T
&amp;F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7">
    <tabColor rgb="FFE28CAB"/>
  </sheetPr>
  <dimension ref="A1:Q245"/>
  <sheetViews>
    <sheetView showGridLines="0" zoomScale="90" zoomScaleNormal="90" workbookViewId="0">
      <selection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43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478"/>
      <c r="E1" s="478"/>
      <c r="F1" s="482"/>
      <c r="H1" s="478"/>
      <c r="I1" s="479"/>
    </row>
    <row r="2" spans="1:14" ht="20.5">
      <c r="B2" s="143" t="s">
        <v>189</v>
      </c>
      <c r="C2" s="411" t="s">
        <v>610</v>
      </c>
      <c r="D2" s="411"/>
      <c r="E2" s="144"/>
      <c r="F2"/>
      <c r="G2"/>
      <c r="H2"/>
    </row>
    <row r="3" spans="1:14" ht="16.25" customHeight="1">
      <c r="A3" s="145"/>
      <c r="B3" s="140" t="s">
        <v>79</v>
      </c>
      <c r="C3" s="495">
        <v>41821</v>
      </c>
      <c r="D3" s="144"/>
      <c r="E3" s="147"/>
      <c r="F3"/>
      <c r="G3" s="640"/>
      <c r="H3"/>
    </row>
    <row r="4" spans="1:14" ht="15" customHeight="1">
      <c r="A4" s="145"/>
      <c r="B4" s="148" t="s">
        <v>80</v>
      </c>
      <c r="C4" s="495">
        <v>42185</v>
      </c>
      <c r="D4" s="144"/>
      <c r="E4" s="149"/>
      <c r="F4" s="641" t="s">
        <v>615</v>
      </c>
      <c r="H4"/>
    </row>
    <row r="5" spans="1:14" ht="15" customHeight="1">
      <c r="A5" s="145"/>
      <c r="B5" s="148"/>
      <c r="C5" s="151"/>
      <c r="D5" s="144"/>
      <c r="F5" s="641" t="s">
        <v>612</v>
      </c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419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420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 ht="13.25" customHeight="1">
      <c r="B8" s="148"/>
      <c r="C8" s="160"/>
      <c r="D8" s="160"/>
      <c r="E8" s="160" t="s">
        <v>8</v>
      </c>
      <c r="F8" s="421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 ht="17" customHeight="1">
      <c r="A9" s="145"/>
      <c r="C9" s="151"/>
      <c r="D9" s="144"/>
      <c r="F9" s="589" t="s">
        <v>613</v>
      </c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589" t="s">
        <v>614</v>
      </c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490">
        <f>'[60]Sch B'!E10</f>
        <v>1272004.2999999998</v>
      </c>
      <c r="D11" s="490">
        <f>'[60]Sch B'!G10</f>
        <v>0</v>
      </c>
      <c r="E11" s="171">
        <f>C11+D11</f>
        <v>1272004.2999999998</v>
      </c>
      <c r="F11" s="496">
        <f>817566.06+456102</f>
        <v>1273668.06</v>
      </c>
      <c r="G11" s="171">
        <f t="shared" ref="G11:G20" si="0">E11+F11</f>
        <v>2545672.36</v>
      </c>
      <c r="H11" s="172">
        <f t="shared" ref="H11:H21" si="1">IF($G$21=0,0,G11/$G$21)</f>
        <v>0.30977848434264255</v>
      </c>
      <c r="I11" s="337"/>
      <c r="J11" s="368" t="s">
        <v>344</v>
      </c>
      <c r="K11" s="369">
        <f>G21</f>
        <v>8217718.4299999997</v>
      </c>
      <c r="M11" s="359">
        <f>IFERROR(G11/G219,0)</f>
        <v>225.28073982300884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490">
        <f>'[60]Sch B'!E15</f>
        <v>0</v>
      </c>
      <c r="D12" s="490">
        <f>'[60]Sch B'!G15</f>
        <v>0</v>
      </c>
      <c r="E12" s="171">
        <f t="shared" ref="E12:E20" si="2">C12+D12</f>
        <v>0</v>
      </c>
      <c r="F12" s="171">
        <v>0</v>
      </c>
      <c r="G12" s="171">
        <f>E12+F12</f>
        <v>0</v>
      </c>
      <c r="H12" s="172">
        <f t="shared" si="1"/>
        <v>0</v>
      </c>
      <c r="I12" s="337"/>
      <c r="J12" s="370" t="s">
        <v>345</v>
      </c>
      <c r="K12" s="371">
        <f>G208</f>
        <v>7079208.8030000012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490">
        <f>'[60]Sch B'!E21</f>
        <v>2235132.12</v>
      </c>
      <c r="D13" s="490">
        <f>'[60]Sch B'!G21</f>
        <v>0</v>
      </c>
      <c r="E13" s="171">
        <f t="shared" si="2"/>
        <v>2235132.12</v>
      </c>
      <c r="F13" s="171">
        <v>1471885.43</v>
      </c>
      <c r="G13" s="171">
        <f t="shared" si="0"/>
        <v>3707017.55</v>
      </c>
      <c r="H13" s="172">
        <f t="shared" si="1"/>
        <v>0.45110057999395337</v>
      </c>
      <c r="I13" s="337"/>
      <c r="J13" s="370" t="s">
        <v>346</v>
      </c>
      <c r="K13" s="371">
        <f>G228</f>
        <v>25621</v>
      </c>
      <c r="M13" s="359">
        <f t="shared" si="3"/>
        <v>513.65076208951086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490">
        <f>'[60]Sch B'!E27</f>
        <v>695976.53</v>
      </c>
      <c r="D14" s="490">
        <f>'[60]Sch B'!G27</f>
        <v>0</v>
      </c>
      <c r="E14" s="171">
        <f t="shared" si="2"/>
        <v>695976.53</v>
      </c>
      <c r="F14" s="171">
        <v>554773.65</v>
      </c>
      <c r="G14" s="175">
        <f>E14+F14</f>
        <v>1250750.1800000002</v>
      </c>
      <c r="H14" s="176">
        <f t="shared" si="1"/>
        <v>0.15220163487640939</v>
      </c>
      <c r="I14" s="338"/>
      <c r="J14" s="370" t="s">
        <v>347</v>
      </c>
      <c r="K14" s="371">
        <f>G231</f>
        <v>124</v>
      </c>
      <c r="M14" s="359">
        <f t="shared" si="3"/>
        <v>443.21409638554223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490">
        <f>'[60]Sch B'!E32</f>
        <v>0</v>
      </c>
      <c r="D15" s="490">
        <f>'[60]Sch B'!G32</f>
        <v>0</v>
      </c>
      <c r="E15" s="171">
        <f t="shared" si="2"/>
        <v>0</v>
      </c>
      <c r="F15" s="171">
        <v>0</v>
      </c>
      <c r="G15" s="171">
        <f t="shared" si="0"/>
        <v>0</v>
      </c>
      <c r="H15" s="172">
        <f t="shared" si="1"/>
        <v>0</v>
      </c>
      <c r="I15" s="337"/>
      <c r="J15" s="370" t="s">
        <v>348</v>
      </c>
      <c r="K15" s="371">
        <f>G235</f>
        <v>45260</v>
      </c>
      <c r="M15" s="359">
        <f t="shared" si="3"/>
        <v>0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490">
        <f>'[60]Sch B'!E37</f>
        <v>324515.7</v>
      </c>
      <c r="D16" s="490">
        <f>'[60]Sch B'!G37</f>
        <v>0</v>
      </c>
      <c r="E16" s="171">
        <f t="shared" si="2"/>
        <v>324515.7</v>
      </c>
      <c r="F16" s="171">
        <v>238370.85</v>
      </c>
      <c r="G16" s="171">
        <f t="shared" si="0"/>
        <v>562886.55000000005</v>
      </c>
      <c r="H16" s="172">
        <f t="shared" si="1"/>
        <v>6.8496694647640785E-2</v>
      </c>
      <c r="I16" s="337"/>
      <c r="J16" s="372"/>
      <c r="K16" s="371"/>
      <c r="M16" s="359">
        <f t="shared" si="3"/>
        <v>159.36765288788223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490">
        <f>'[60]Sch B'!E42</f>
        <v>82718.399999999994</v>
      </c>
      <c r="D17" s="490">
        <f>'[60]Sch B'!G42</f>
        <v>0</v>
      </c>
      <c r="E17" s="171">
        <f t="shared" si="2"/>
        <v>82718.399999999994</v>
      </c>
      <c r="F17" s="171">
        <v>43576.6</v>
      </c>
      <c r="G17" s="171">
        <f>E17+F17</f>
        <v>126295</v>
      </c>
      <c r="H17" s="172">
        <f t="shared" si="1"/>
        <v>1.5368620995694058E-2</v>
      </c>
      <c r="I17" s="337"/>
      <c r="J17" s="370" t="s">
        <v>156</v>
      </c>
      <c r="K17" s="371">
        <f>J208</f>
        <v>39301.94</v>
      </c>
      <c r="M17" s="359">
        <f t="shared" si="3"/>
        <v>187.9389880952381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490">
        <f>'[60]Sch B'!E47</f>
        <v>7635</v>
      </c>
      <c r="D18" s="490">
        <f>'[60]Sch B'!G47</f>
        <v>0</v>
      </c>
      <c r="E18" s="171">
        <f t="shared" si="2"/>
        <v>7635</v>
      </c>
      <c r="F18" s="171">
        <v>7645</v>
      </c>
      <c r="G18" s="171">
        <f>E18+F18</f>
        <v>15280</v>
      </c>
      <c r="H18" s="172">
        <f t="shared" si="1"/>
        <v>1.8593968788487684E-3</v>
      </c>
      <c r="I18" s="337"/>
      <c r="J18" s="373" t="s">
        <v>252</v>
      </c>
      <c r="K18" s="374">
        <f>K208</f>
        <v>40511.29</v>
      </c>
      <c r="M18" s="359">
        <f t="shared" si="3"/>
        <v>195.89743589743588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490">
        <f>'[60]Sch B'!E52</f>
        <v>0</v>
      </c>
      <c r="D19" s="490">
        <f>'[60]Sch B'!G52</f>
        <v>0</v>
      </c>
      <c r="E19" s="171">
        <f t="shared" si="2"/>
        <v>0</v>
      </c>
      <c r="F19" s="171">
        <v>0</v>
      </c>
      <c r="G19" s="171">
        <f t="shared" si="0"/>
        <v>0</v>
      </c>
      <c r="H19" s="172">
        <f t="shared" si="1"/>
        <v>0</v>
      </c>
      <c r="I19" s="337"/>
      <c r="J19" s="168"/>
      <c r="K19" s="168"/>
      <c r="M19" s="359">
        <f t="shared" si="3"/>
        <v>0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490">
        <f>'[60]Sch B'!E67</f>
        <v>9540.93</v>
      </c>
      <c r="D20" s="490">
        <f>'[60]Sch B'!G67</f>
        <v>-24.5</v>
      </c>
      <c r="E20" s="171">
        <f t="shared" si="2"/>
        <v>9516.43</v>
      </c>
      <c r="F20" s="496">
        <f>456402.36-456102</f>
        <v>300.35999999998603</v>
      </c>
      <c r="G20" s="171">
        <f t="shared" si="0"/>
        <v>9816.7899999999863</v>
      </c>
      <c r="H20" s="172">
        <f t="shared" si="1"/>
        <v>1.1945882648111109E-3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490">
        <f>SUM(C11:C20)</f>
        <v>4627522.9800000004</v>
      </c>
      <c r="D21" s="490">
        <f>SUM(D11:D20)</f>
        <v>-24.5</v>
      </c>
      <c r="E21" s="171">
        <f>SUM(E11:E20)</f>
        <v>4627498.4800000004</v>
      </c>
      <c r="F21" s="171">
        <f>SUM(F11:F20)</f>
        <v>3590219.95</v>
      </c>
      <c r="G21" s="171">
        <f>SUM(G11:G20)</f>
        <v>8217718.4299999997</v>
      </c>
      <c r="H21" s="172">
        <f t="shared" si="1"/>
        <v>1</v>
      </c>
      <c r="I21" s="337"/>
      <c r="J21" s="168"/>
      <c r="K21" s="168"/>
      <c r="M21" s="359">
        <f>IFERROR(G21/G228,0)</f>
        <v>320.74151789547636</v>
      </c>
      <c r="N21" s="359">
        <f>SUMMARY!J24</f>
        <v>264.67475627099196</v>
      </c>
    </row>
    <row r="22" spans="1:14" ht="13.25" customHeight="1">
      <c r="A22" s="145"/>
      <c r="B22" s="179"/>
      <c r="C22" s="151"/>
      <c r="D22" s="144"/>
      <c r="F22"/>
      <c r="G22" s="640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589" t="s">
        <v>613</v>
      </c>
      <c r="M23" s="363"/>
      <c r="N23" s="363"/>
    </row>
    <row r="24" spans="1:14">
      <c r="A24" s="181" t="s">
        <v>161</v>
      </c>
      <c r="B24" s="148" t="s">
        <v>12</v>
      </c>
      <c r="F24" s="589" t="s">
        <v>614</v>
      </c>
      <c r="M24" s="363"/>
      <c r="N24" s="363"/>
    </row>
    <row r="25" spans="1:14" s="167" customFormat="1">
      <c r="A25" s="169" t="s">
        <v>83</v>
      </c>
      <c r="B25" s="170" t="s">
        <v>14</v>
      </c>
      <c r="C25" s="490">
        <f>'[60]Sch C'!D10</f>
        <v>153840.81</v>
      </c>
      <c r="D25" s="490">
        <f>'[60]Sch C'!F10</f>
        <v>0</v>
      </c>
      <c r="E25" s="171">
        <f t="shared" ref="E25:E60" si="4">C25+D25</f>
        <v>153840.81</v>
      </c>
      <c r="F25" s="496">
        <v>50029</v>
      </c>
      <c r="G25" s="182">
        <f>E25+F25</f>
        <v>203869.81</v>
      </c>
      <c r="H25" s="172">
        <f>IF($G$208=0,0,G25/$G$208)</f>
        <v>2.8798389152415563E-2</v>
      </c>
      <c r="I25" s="337"/>
      <c r="J25" s="183"/>
      <c r="K25" s="183"/>
      <c r="M25" s="359">
        <f>G25/G$228</f>
        <v>7.9571371140861009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490">
        <f>'[60]Sch C'!D11</f>
        <v>0</v>
      </c>
      <c r="D26" s="490">
        <f>'[60]Sch C'!F11</f>
        <v>0</v>
      </c>
      <c r="E26" s="171">
        <f t="shared" si="4"/>
        <v>0</v>
      </c>
      <c r="F26" s="171">
        <v>0</v>
      </c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183"/>
      <c r="K26" s="183"/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490">
        <f>'[60]Sch C'!D12</f>
        <v>115453.26</v>
      </c>
      <c r="D27" s="490">
        <f>'[60]Sch C'!F12</f>
        <v>-21475.69</v>
      </c>
      <c r="E27" s="171">
        <f t="shared" si="4"/>
        <v>93977.569999999992</v>
      </c>
      <c r="F27" s="496">
        <v>72719</v>
      </c>
      <c r="G27" s="171">
        <f t="shared" si="5"/>
        <v>166696.57</v>
      </c>
      <c r="H27" s="172">
        <f t="shared" si="6"/>
        <v>2.3547344715889429E-2</v>
      </c>
      <c r="I27" s="337"/>
      <c r="J27" s="185"/>
      <c r="K27" s="185"/>
      <c r="M27" s="359">
        <f t="shared" si="7"/>
        <v>6.5062476093829282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490">
        <f>'[60]Sch C'!D13</f>
        <v>51662.240000000005</v>
      </c>
      <c r="D28" s="490">
        <f>'[60]Sch C'!F13</f>
        <v>0</v>
      </c>
      <c r="E28" s="171">
        <f t="shared" si="4"/>
        <v>51662.240000000005</v>
      </c>
      <c r="F28" s="496">
        <v>52335</v>
      </c>
      <c r="G28" s="171">
        <f t="shared" si="5"/>
        <v>103997.24</v>
      </c>
      <c r="H28" s="172">
        <f t="shared" si="6"/>
        <v>1.4690517386057101E-2</v>
      </c>
      <c r="I28" s="337"/>
      <c r="J28" s="168"/>
      <c r="K28" s="168"/>
      <c r="M28" s="359">
        <f t="shared" si="7"/>
        <v>4.059062487802974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490">
        <f>'[60]Sch C'!D14</f>
        <v>0</v>
      </c>
      <c r="D29" s="490">
        <f>'[60]Sch C'!F14</f>
        <v>0</v>
      </c>
      <c r="E29" s="171">
        <f t="shared" si="4"/>
        <v>0</v>
      </c>
      <c r="F29" s="171">
        <v>0</v>
      </c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490">
        <f>'[60]Sch C'!D15</f>
        <v>199339.72</v>
      </c>
      <c r="D30" s="490">
        <f>'[60]Sch C'!F15</f>
        <v>-199339.72</v>
      </c>
      <c r="E30" s="171">
        <f t="shared" si="4"/>
        <v>0</v>
      </c>
      <c r="F30" s="496">
        <f>460526.73-460526.73</f>
        <v>0</v>
      </c>
      <c r="G30" s="171">
        <f t="shared" si="5"/>
        <v>0</v>
      </c>
      <c r="H30" s="172">
        <f t="shared" si="6"/>
        <v>0</v>
      </c>
      <c r="I30" s="337"/>
      <c r="J30" s="168"/>
      <c r="K30" s="168"/>
      <c r="M30" s="359">
        <f t="shared" si="7"/>
        <v>0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490">
        <f>'[60]Sch C'!D16</f>
        <v>0</v>
      </c>
      <c r="D31" s="490">
        <f>'[60]Sch C'!F16</f>
        <v>455869</v>
      </c>
      <c r="E31" s="171">
        <f t="shared" si="4"/>
        <v>455869</v>
      </c>
      <c r="F31" s="496">
        <v>189945</v>
      </c>
      <c r="G31" s="171">
        <f t="shared" si="5"/>
        <v>645814</v>
      </c>
      <c r="H31" s="172">
        <f t="shared" si="6"/>
        <v>9.1226861358619529E-2</v>
      </c>
      <c r="I31" s="337"/>
      <c r="J31" s="168"/>
      <c r="K31" s="168"/>
      <c r="M31" s="359">
        <f t="shared" si="7"/>
        <v>25.206432223566605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490">
        <f>'[60]Sch C'!D17</f>
        <v>4077.2799999999997</v>
      </c>
      <c r="D32" s="490">
        <f>'[60]Sch C'!F17</f>
        <v>0</v>
      </c>
      <c r="E32" s="171">
        <f t="shared" si="4"/>
        <v>4077.2799999999997</v>
      </c>
      <c r="F32" s="171">
        <v>1245.26</v>
      </c>
      <c r="G32" s="171">
        <f t="shared" si="5"/>
        <v>5322.54</v>
      </c>
      <c r="H32" s="172">
        <f t="shared" si="6"/>
        <v>7.5185520700342011E-4</v>
      </c>
      <c r="I32" s="337"/>
      <c r="J32" s="168"/>
      <c r="K32" s="168"/>
      <c r="M32" s="359">
        <f t="shared" si="7"/>
        <v>0.20774130595995471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490">
        <f>'[60]Sch C'!D18</f>
        <v>21379.89</v>
      </c>
      <c r="D33" s="490">
        <f>'[60]Sch C'!F18</f>
        <v>0</v>
      </c>
      <c r="E33" s="171">
        <f t="shared" si="4"/>
        <v>21379.89</v>
      </c>
      <c r="F33" s="171">
        <v>14376.56</v>
      </c>
      <c r="G33" s="171">
        <f t="shared" si="5"/>
        <v>35756.449999999997</v>
      </c>
      <c r="H33" s="172">
        <f t="shared" si="6"/>
        <v>5.0509104894387712E-3</v>
      </c>
      <c r="I33" s="337"/>
      <c r="J33" s="168"/>
      <c r="K33" s="168"/>
      <c r="M33" s="359">
        <f t="shared" si="7"/>
        <v>1.3955915069669411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490">
        <f>'[60]Sch C'!D19</f>
        <v>15978.900000000001</v>
      </c>
      <c r="D34" s="490">
        <f>'[60]Sch C'!F19</f>
        <v>0</v>
      </c>
      <c r="E34" s="171">
        <f t="shared" si="4"/>
        <v>15978.900000000001</v>
      </c>
      <c r="F34" s="171">
        <v>11555.869999999999</v>
      </c>
      <c r="G34" s="171">
        <f t="shared" si="5"/>
        <v>27534.77</v>
      </c>
      <c r="H34" s="172">
        <f t="shared" si="6"/>
        <v>3.8895264663377943E-3</v>
      </c>
      <c r="I34" s="337"/>
      <c r="J34" s="168"/>
      <c r="K34" s="168"/>
      <c r="M34" s="359">
        <f t="shared" si="7"/>
        <v>1.0746953670816908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490">
        <f>'[60]Sch C'!D20</f>
        <v>9330.2800000000025</v>
      </c>
      <c r="D35" s="490">
        <f>'[60]Sch C'!F20</f>
        <v>0</v>
      </c>
      <c r="E35" s="171">
        <f t="shared" si="4"/>
        <v>9330.2800000000025</v>
      </c>
      <c r="F35" s="171">
        <v>7131.41</v>
      </c>
      <c r="G35" s="171">
        <f t="shared" si="5"/>
        <v>16461.690000000002</v>
      </c>
      <c r="H35" s="172">
        <f t="shared" si="6"/>
        <v>2.3253573186065549E-3</v>
      </c>
      <c r="I35" s="337"/>
      <c r="J35" s="168"/>
      <c r="K35" s="168"/>
      <c r="M35" s="359">
        <f t="shared" si="7"/>
        <v>0.64250770852035444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490">
        <f>'[60]Sch C'!D21</f>
        <v>7455.15</v>
      </c>
      <c r="D36" s="490">
        <f>'[60]Sch C'!F21</f>
        <v>47331</v>
      </c>
      <c r="E36" s="171">
        <f t="shared" si="4"/>
        <v>54786.15</v>
      </c>
      <c r="F36" s="496">
        <f>32866.65-28657</f>
        <v>4209.6500000000015</v>
      </c>
      <c r="G36" s="171">
        <f t="shared" si="5"/>
        <v>58995.8</v>
      </c>
      <c r="H36" s="172">
        <f t="shared" si="6"/>
        <v>8.3336714090138115E-3</v>
      </c>
      <c r="I36" s="337"/>
      <c r="J36" s="168"/>
      <c r="K36" s="168"/>
      <c r="M36" s="359">
        <f t="shared" si="7"/>
        <v>2.3026345575894775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490">
        <f>'[60]Sch C'!D22</f>
        <v>0</v>
      </c>
      <c r="D37" s="490">
        <f>'[60]Sch C'!F22</f>
        <v>0</v>
      </c>
      <c r="E37" s="171">
        <f t="shared" si="4"/>
        <v>0</v>
      </c>
      <c r="F37" s="171">
        <v>0</v>
      </c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490">
        <f>'[60]Sch C'!D23</f>
        <v>18814.449999999997</v>
      </c>
      <c r="D38" s="490">
        <f>'[60]Sch C'!F23</f>
        <v>0</v>
      </c>
      <c r="E38" s="171">
        <f t="shared" si="4"/>
        <v>18814.449999999997</v>
      </c>
      <c r="F38" s="171">
        <v>11740.800000000001</v>
      </c>
      <c r="G38" s="171">
        <f t="shared" si="5"/>
        <v>30555.25</v>
      </c>
      <c r="H38" s="172">
        <f t="shared" si="6"/>
        <v>4.3161956159636665E-3</v>
      </c>
      <c r="I38" s="337"/>
      <c r="J38" s="168"/>
      <c r="K38" s="168"/>
      <c r="M38" s="359">
        <f t="shared" si="7"/>
        <v>1.1925861597907965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490">
        <f>'[60]Sch C'!D24</f>
        <v>26604.17</v>
      </c>
      <c r="D39" s="490">
        <f>'[60]Sch C'!F24</f>
        <v>0</v>
      </c>
      <c r="E39" s="171">
        <f t="shared" si="4"/>
        <v>26604.17</v>
      </c>
      <c r="F39" s="171">
        <v>20088.080000000002</v>
      </c>
      <c r="G39" s="171">
        <f t="shared" si="5"/>
        <v>46692.25</v>
      </c>
      <c r="H39" s="172">
        <f t="shared" si="6"/>
        <v>6.5956876395866339E-3</v>
      </c>
      <c r="I39" s="337"/>
      <c r="J39" s="168"/>
      <c r="K39" s="168"/>
      <c r="M39" s="359">
        <f t="shared" si="7"/>
        <v>1.8224210608485227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490">
        <f>'[60]Sch C'!D25</f>
        <v>0</v>
      </c>
      <c r="D40" s="490">
        <f>'[60]Sch C'!F25</f>
        <v>0</v>
      </c>
      <c r="E40" s="171">
        <f t="shared" si="4"/>
        <v>0</v>
      </c>
      <c r="F40" s="171">
        <v>0</v>
      </c>
      <c r="G40" s="171">
        <f t="shared" si="5"/>
        <v>0</v>
      </c>
      <c r="H40" s="172">
        <f t="shared" si="6"/>
        <v>0</v>
      </c>
      <c r="I40" s="337"/>
      <c r="J40" s="168"/>
      <c r="K40" s="168"/>
      <c r="M40" s="359">
        <f t="shared" si="7"/>
        <v>0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490">
        <f>'[60]Sch C'!D26</f>
        <v>142514.09</v>
      </c>
      <c r="D41" s="490">
        <f>'[60]Sch C'!F26</f>
        <v>-2.4900000000000002</v>
      </c>
      <c r="E41" s="171">
        <f t="shared" si="4"/>
        <v>142511.6</v>
      </c>
      <c r="F41" s="171">
        <v>96789</v>
      </c>
      <c r="G41" s="171">
        <f t="shared" si="5"/>
        <v>239300.6</v>
      </c>
      <c r="H41" s="172">
        <f t="shared" si="6"/>
        <v>3.3803297325908803E-2</v>
      </c>
      <c r="I41" s="337"/>
      <c r="J41" s="168"/>
      <c r="K41" s="168"/>
      <c r="M41" s="359">
        <f t="shared" si="7"/>
        <v>9.3400179540220911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490">
        <f>'[60]Sch C'!D27</f>
        <v>6336.4</v>
      </c>
      <c r="D42" s="490">
        <f>'[60]Sch C'!F27</f>
        <v>8793.5</v>
      </c>
      <c r="E42" s="171">
        <f t="shared" si="4"/>
        <v>15129.9</v>
      </c>
      <c r="F42" s="171">
        <v>5501.0219999999999</v>
      </c>
      <c r="G42" s="171">
        <f t="shared" si="5"/>
        <v>20630.921999999999</v>
      </c>
      <c r="H42" s="172">
        <f t="shared" si="6"/>
        <v>2.9142977095487142E-3</v>
      </c>
      <c r="I42" s="337"/>
      <c r="J42" s="168"/>
      <c r="K42" s="168"/>
      <c r="M42" s="359">
        <f t="shared" si="7"/>
        <v>0.80523484641505005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490">
        <f>'[60]Sch C'!D28</f>
        <v>0</v>
      </c>
      <c r="D43" s="490">
        <f>'[60]Sch C'!F28</f>
        <v>0</v>
      </c>
      <c r="E43" s="171">
        <f t="shared" si="4"/>
        <v>0</v>
      </c>
      <c r="F43" s="171">
        <v>0</v>
      </c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490">
        <f>'[60]Sch C'!D29</f>
        <v>66467.94</v>
      </c>
      <c r="D44" s="490">
        <f>'[60]Sch C'!F29</f>
        <v>-66467.94</v>
      </c>
      <c r="E44" s="171">
        <f t="shared" si="4"/>
        <v>0</v>
      </c>
      <c r="F44" s="171">
        <v>0</v>
      </c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490">
        <f>'[60]Sch C'!D30</f>
        <v>310</v>
      </c>
      <c r="D45" s="490">
        <f>'[60]Sch C'!F30</f>
        <v>-310</v>
      </c>
      <c r="E45" s="171">
        <f t="shared" si="4"/>
        <v>0</v>
      </c>
      <c r="F45" s="171">
        <v>0</v>
      </c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490">
        <f>'[60]Sch C'!D31</f>
        <v>0</v>
      </c>
      <c r="D46" s="490">
        <f>'[60]Sch C'!F31</f>
        <v>0</v>
      </c>
      <c r="E46" s="171">
        <f t="shared" si="4"/>
        <v>0</v>
      </c>
      <c r="F46" s="171">
        <v>0</v>
      </c>
      <c r="G46" s="171">
        <f t="shared" si="5"/>
        <v>0</v>
      </c>
      <c r="H46" s="172">
        <f t="shared" si="6"/>
        <v>0</v>
      </c>
      <c r="I46" s="337"/>
      <c r="J46" s="168"/>
      <c r="K46" s="168"/>
      <c r="M46" s="359">
        <f t="shared" si="7"/>
        <v>0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490">
        <f>'[60]Sch C'!D32</f>
        <v>68066.990000000005</v>
      </c>
      <c r="D47" s="490">
        <f>'[60]Sch C'!F32</f>
        <v>0</v>
      </c>
      <c r="E47" s="171">
        <f t="shared" si="4"/>
        <v>68066.990000000005</v>
      </c>
      <c r="F47" s="171">
        <v>36572.83</v>
      </c>
      <c r="G47" s="171">
        <f t="shared" si="5"/>
        <v>104639.82</v>
      </c>
      <c r="H47" s="172">
        <f t="shared" si="6"/>
        <v>1.4781287416703421E-2</v>
      </c>
      <c r="I47" s="337"/>
      <c r="J47" s="168"/>
      <c r="K47" s="168"/>
      <c r="M47" s="359">
        <f t="shared" si="7"/>
        <v>4.0841426954451432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490">
        <f>'[60]Sch C'!D33</f>
        <v>0</v>
      </c>
      <c r="D48" s="490">
        <f>'[60]Sch C'!F33</f>
        <v>0</v>
      </c>
      <c r="E48" s="171">
        <f t="shared" si="4"/>
        <v>0</v>
      </c>
      <c r="F48" s="171">
        <v>0</v>
      </c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490">
        <f>'[60]Sch C'!D34</f>
        <v>0</v>
      </c>
      <c r="D49" s="490">
        <f>'[60]Sch C'!F34</f>
        <v>0</v>
      </c>
      <c r="E49" s="171">
        <f t="shared" si="4"/>
        <v>0</v>
      </c>
      <c r="F49" s="171">
        <v>0</v>
      </c>
      <c r="G49" s="171">
        <f t="shared" si="5"/>
        <v>0</v>
      </c>
      <c r="H49" s="172">
        <f t="shared" si="6"/>
        <v>0</v>
      </c>
      <c r="I49" s="337"/>
      <c r="J49" s="168"/>
      <c r="K49" s="168"/>
      <c r="M49" s="359">
        <f t="shared" si="7"/>
        <v>0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490">
        <f>'[60]Sch C'!D35</f>
        <v>0</v>
      </c>
      <c r="D50" s="490">
        <f>'[60]Sch C'!F35</f>
        <v>0</v>
      </c>
      <c r="E50" s="171">
        <f t="shared" si="4"/>
        <v>0</v>
      </c>
      <c r="F50" s="171">
        <v>0</v>
      </c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490">
        <f>'[60]Sch C'!D36</f>
        <v>0</v>
      </c>
      <c r="D51" s="490">
        <f>'[60]Sch C'!F36</f>
        <v>0</v>
      </c>
      <c r="E51" s="171">
        <f t="shared" si="4"/>
        <v>0</v>
      </c>
      <c r="F51" s="171">
        <v>0</v>
      </c>
      <c r="G51" s="171">
        <f t="shared" si="5"/>
        <v>0</v>
      </c>
      <c r="H51" s="172">
        <f t="shared" si="6"/>
        <v>0</v>
      </c>
      <c r="I51" s="337"/>
      <c r="J51" s="183"/>
      <c r="K51" s="183"/>
      <c r="M51" s="359">
        <f t="shared" si="7"/>
        <v>0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490">
        <f>'[60]Sch C'!D37</f>
        <v>0</v>
      </c>
      <c r="D52" s="490">
        <f>'[60]Sch C'!F37</f>
        <v>0</v>
      </c>
      <c r="E52" s="171">
        <f t="shared" si="4"/>
        <v>0</v>
      </c>
      <c r="F52" s="171">
        <v>0</v>
      </c>
      <c r="G52" s="171">
        <f t="shared" si="5"/>
        <v>0</v>
      </c>
      <c r="H52" s="172">
        <f t="shared" si="6"/>
        <v>0</v>
      </c>
      <c r="I52" s="337"/>
      <c r="J52" s="168"/>
      <c r="K52" s="168"/>
      <c r="M52" s="359">
        <f t="shared" si="7"/>
        <v>0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490">
        <f>'[60]Sch C'!D38</f>
        <v>0</v>
      </c>
      <c r="D53" s="490">
        <f>'[60]Sch C'!F38</f>
        <v>0</v>
      </c>
      <c r="E53" s="171">
        <f t="shared" si="4"/>
        <v>0</v>
      </c>
      <c r="F53" s="171">
        <v>0</v>
      </c>
      <c r="G53" s="171">
        <f t="shared" si="5"/>
        <v>0</v>
      </c>
      <c r="H53" s="172">
        <f t="shared" si="6"/>
        <v>0</v>
      </c>
      <c r="I53" s="337"/>
      <c r="J53" s="168"/>
      <c r="K53" s="168"/>
      <c r="M53" s="359">
        <f t="shared" si="7"/>
        <v>0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490">
        <f>'[60]Sch C'!D39</f>
        <v>8555.5499999999993</v>
      </c>
      <c r="D54" s="490">
        <f>'[60]Sch C'!F39</f>
        <v>274</v>
      </c>
      <c r="E54" s="171">
        <f t="shared" si="4"/>
        <v>8829.5499999999993</v>
      </c>
      <c r="F54" s="171">
        <v>9727.7800000000007</v>
      </c>
      <c r="G54" s="171">
        <f t="shared" si="5"/>
        <v>18557.330000000002</v>
      </c>
      <c r="H54" s="172">
        <f t="shared" si="6"/>
        <v>2.621384750247209E-3</v>
      </c>
      <c r="I54" s="337"/>
      <c r="J54" s="168"/>
      <c r="K54" s="168"/>
      <c r="M54" s="359">
        <f t="shared" si="7"/>
        <v>0.72430154951016756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490">
        <f>'[60]Sch C'!D40</f>
        <v>11364.499999999998</v>
      </c>
      <c r="D55" s="490">
        <f>'[60]Sch C'!F40</f>
        <v>-11364.5</v>
      </c>
      <c r="E55" s="171">
        <f t="shared" si="4"/>
        <v>0</v>
      </c>
      <c r="F55" s="171">
        <v>0</v>
      </c>
      <c r="G55" s="171">
        <f t="shared" si="5"/>
        <v>0</v>
      </c>
      <c r="H55" s="172">
        <f t="shared" si="6"/>
        <v>0</v>
      </c>
      <c r="I55" s="337"/>
      <c r="J55" s="168"/>
      <c r="K55" s="168"/>
      <c r="M55" s="359">
        <f t="shared" si="7"/>
        <v>0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490">
        <f>'[60]Sch C'!D41</f>
        <v>9031.4000000000015</v>
      </c>
      <c r="D56" s="490">
        <f>'[60]Sch C'!F41</f>
        <v>33271</v>
      </c>
      <c r="E56" s="171">
        <f t="shared" si="4"/>
        <v>42302.400000000001</v>
      </c>
      <c r="F56" s="496">
        <f>233163.84-226742</f>
        <v>6421.8399999999965</v>
      </c>
      <c r="G56" s="171">
        <f t="shared" si="5"/>
        <v>48724.24</v>
      </c>
      <c r="H56" s="172">
        <f t="shared" si="6"/>
        <v>6.8827239534666384E-3</v>
      </c>
      <c r="I56" s="337"/>
      <c r="J56" s="168"/>
      <c r="K56" s="168"/>
      <c r="M56" s="359">
        <f t="shared" si="7"/>
        <v>1.9017306116076655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490">
        <f>'[60]Sch C'!D42</f>
        <v>4496.04</v>
      </c>
      <c r="D57" s="490">
        <f>'[60]Sch C'!F42</f>
        <v>0</v>
      </c>
      <c r="E57" s="171">
        <f t="shared" si="4"/>
        <v>4496.04</v>
      </c>
      <c r="F57" s="171">
        <v>0</v>
      </c>
      <c r="G57" s="171">
        <f t="shared" si="5"/>
        <v>4496.04</v>
      </c>
      <c r="H57" s="172">
        <f t="shared" si="6"/>
        <v>6.3510487190244829E-4</v>
      </c>
      <c r="I57" s="337"/>
      <c r="J57" s="168"/>
      <c r="K57" s="168"/>
      <c r="M57" s="359">
        <f t="shared" si="7"/>
        <v>0.17548261191990944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490">
        <f>'[60]Sch C'!D43</f>
        <v>0</v>
      </c>
      <c r="D58" s="490">
        <f>'[60]Sch C'!F43</f>
        <v>0</v>
      </c>
      <c r="E58" s="171">
        <f t="shared" si="4"/>
        <v>0</v>
      </c>
      <c r="F58" s="171">
        <v>0</v>
      </c>
      <c r="G58" s="171">
        <f t="shared" si="5"/>
        <v>0</v>
      </c>
      <c r="H58" s="172">
        <f t="shared" si="6"/>
        <v>0</v>
      </c>
      <c r="I58" s="337"/>
      <c r="J58" s="168"/>
      <c r="K58" s="168"/>
      <c r="M58" s="359">
        <f t="shared" si="7"/>
        <v>0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490">
        <f>'[60]Sch C'!D44</f>
        <v>15</v>
      </c>
      <c r="D59" s="490">
        <f>'[60]Sch C'!F44</f>
        <v>-15</v>
      </c>
      <c r="E59" s="171">
        <f t="shared" si="4"/>
        <v>0</v>
      </c>
      <c r="F59" s="171">
        <v>-100</v>
      </c>
      <c r="G59" s="171">
        <f t="shared" si="5"/>
        <v>-100</v>
      </c>
      <c r="H59" s="172">
        <f t="shared" si="6"/>
        <v>-1.4125872365513836E-5</v>
      </c>
      <c r="I59" s="337"/>
      <c r="J59" s="168"/>
      <c r="K59" s="168"/>
      <c r="M59" s="359">
        <f t="shared" si="7"/>
        <v>-3.9030482807072323E-3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490">
        <f>'[60]Sch C'!D45</f>
        <v>1646.65</v>
      </c>
      <c r="D60" s="490">
        <f>'[60]Sch C'!F45</f>
        <v>0</v>
      </c>
      <c r="E60" s="171">
        <f t="shared" si="4"/>
        <v>1646.65</v>
      </c>
      <c r="F60" s="171">
        <v>1214.6599999999999</v>
      </c>
      <c r="G60" s="171">
        <f t="shared" si="5"/>
        <v>2861.31</v>
      </c>
      <c r="H60" s="172">
        <f t="shared" si="6"/>
        <v>4.0418499858168395E-4</v>
      </c>
      <c r="I60" s="337"/>
      <c r="J60" s="168"/>
      <c r="K60" s="168"/>
      <c r="M60" s="359">
        <f t="shared" si="7"/>
        <v>0.11167831076070411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490">
        <f>SUM(C25:C60)</f>
        <v>942740.7100000002</v>
      </c>
      <c r="D61" s="490">
        <f>SUM(D25:D60)</f>
        <v>246563.15999999997</v>
      </c>
      <c r="E61" s="171">
        <f t="shared" ref="E61:F61" si="8">SUM(E25:E60)</f>
        <v>1189303.8699999999</v>
      </c>
      <c r="F61" s="171">
        <f t="shared" si="8"/>
        <v>591502.76199999999</v>
      </c>
      <c r="G61" s="171">
        <f>SUM(G25:G60)</f>
        <v>1780806.6320000004</v>
      </c>
      <c r="H61" s="186">
        <f t="shared" si="6"/>
        <v>0.25155447191292574</v>
      </c>
      <c r="I61" s="339"/>
      <c r="J61" s="168"/>
      <c r="K61" s="168"/>
      <c r="M61" s="364">
        <f>G61/G$228</f>
        <v>69.505742632996387</v>
      </c>
      <c r="N61" s="359">
        <f>SUMMARY!J64</f>
        <v>50.526072695090264</v>
      </c>
    </row>
    <row r="62" spans="1:14" s="167" customFormat="1" ht="15">
      <c r="A62" s="163"/>
      <c r="C62" s="165"/>
      <c r="D62" s="165"/>
      <c r="E62" s="165"/>
      <c r="F62" s="640" t="s">
        <v>611</v>
      </c>
      <c r="G62" s="165"/>
      <c r="H62" s="187"/>
      <c r="I62" s="340"/>
      <c r="J62" s="168"/>
      <c r="K62" s="168"/>
      <c r="M62" s="359"/>
      <c r="N62" s="359"/>
    </row>
    <row r="63" spans="1:14" s="167" customFormat="1" ht="15" customHeight="1">
      <c r="A63" s="169" t="s">
        <v>162</v>
      </c>
      <c r="B63" s="170" t="s">
        <v>178</v>
      </c>
      <c r="C63" s="165"/>
      <c r="D63" s="165"/>
      <c r="E63" s="165"/>
      <c r="F63" s="597" t="s">
        <v>612</v>
      </c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490">
        <f>'[60]Sch C'!D57</f>
        <v>270732</v>
      </c>
      <c r="D64" s="490">
        <f>'[60]Sch C'!F57</f>
        <v>-270732</v>
      </c>
      <c r="E64" s="171">
        <f t="shared" ref="E64:E78" si="9">C64+D64</f>
        <v>0</v>
      </c>
      <c r="F64" s="496">
        <f>414838.35-414838.35</f>
        <v>0</v>
      </c>
      <c r="G64" s="171">
        <f t="shared" ref="G64:G78" si="10">E64+F64</f>
        <v>0</v>
      </c>
      <c r="H64" s="172">
        <f t="shared" ref="H64:H79" si="11">IF($G$208=0,0,G64/$G$208)</f>
        <v>0</v>
      </c>
      <c r="I64" s="337"/>
      <c r="J64" s="190"/>
      <c r="K64" s="168"/>
      <c r="M64" s="359">
        <f t="shared" ref="M64:M79" si="12">G64/G$228</f>
        <v>0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490">
        <f>'[60]Sch C'!D58</f>
        <v>4640.17</v>
      </c>
      <c r="D65" s="490">
        <f>'[60]Sch C'!F58</f>
        <v>66169.78</v>
      </c>
      <c r="E65" s="171">
        <f t="shared" si="9"/>
        <v>70809.95</v>
      </c>
      <c r="F65" s="496">
        <f>5431.74+42345</f>
        <v>47776.74</v>
      </c>
      <c r="G65" s="171">
        <f t="shared" si="10"/>
        <v>118586.69</v>
      </c>
      <c r="H65" s="172">
        <f t="shared" si="11"/>
        <v>1.6751404471887561E-2</v>
      </c>
      <c r="I65" s="337"/>
      <c r="J65" s="190"/>
      <c r="K65" s="168"/>
      <c r="M65" s="359">
        <f t="shared" si="12"/>
        <v>4.628495765192616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490">
        <f>'[60]Sch C'!D59</f>
        <v>0</v>
      </c>
      <c r="D66" s="490">
        <f>'[60]Sch C'!F59</f>
        <v>168823.31</v>
      </c>
      <c r="E66" s="171">
        <f t="shared" si="9"/>
        <v>168823.31</v>
      </c>
      <c r="F66" s="496">
        <v>96316</v>
      </c>
      <c r="G66" s="171">
        <f t="shared" si="10"/>
        <v>265139.31</v>
      </c>
      <c r="H66" s="172">
        <f t="shared" si="11"/>
        <v>3.7453240521404065E-2</v>
      </c>
      <c r="I66" s="337"/>
      <c r="J66" s="190"/>
      <c r="K66" s="168"/>
      <c r="M66" s="359">
        <f t="shared" si="12"/>
        <v>10.348515280434018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490">
        <f>'[60]Sch C'!D60</f>
        <v>16359.2</v>
      </c>
      <c r="D67" s="490">
        <f>'[60]Sch C'!F60</f>
        <v>0</v>
      </c>
      <c r="E67" s="171">
        <f t="shared" si="9"/>
        <v>16359.2</v>
      </c>
      <c r="F67" s="496">
        <f>12750.78-1501</f>
        <v>11249.78</v>
      </c>
      <c r="G67" s="171">
        <f t="shared" si="10"/>
        <v>27608.980000000003</v>
      </c>
      <c r="H67" s="172">
        <f t="shared" si="11"/>
        <v>3.9000092762202423E-3</v>
      </c>
      <c r="I67" s="337"/>
      <c r="J67" s="193"/>
      <c r="K67" s="168"/>
      <c r="M67" s="359">
        <f t="shared" si="12"/>
        <v>1.0775918192108038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490">
        <f>'[60]Sch C'!D61</f>
        <v>9753.880000000001</v>
      </c>
      <c r="D68" s="490">
        <f>'[60]Sch C'!F61</f>
        <v>5</v>
      </c>
      <c r="E68" s="171">
        <f t="shared" si="9"/>
        <v>9758.880000000001</v>
      </c>
      <c r="F68" s="171">
        <v>5919.72</v>
      </c>
      <c r="G68" s="171">
        <f t="shared" si="10"/>
        <v>15678.600000000002</v>
      </c>
      <c r="H68" s="172">
        <f t="shared" si="11"/>
        <v>2.2147390246994524E-3</v>
      </c>
      <c r="I68" s="337"/>
      <c r="J68" s="193"/>
      <c r="K68" s="168"/>
      <c r="M68" s="359">
        <f t="shared" si="12"/>
        <v>0.6119433277389642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490">
        <f>'[60]Sch C'!D62</f>
        <v>355.88</v>
      </c>
      <c r="D69" s="490">
        <f>'[60]Sch C'!F62</f>
        <v>163.11000000000001</v>
      </c>
      <c r="E69" s="171">
        <f t="shared" si="9"/>
        <v>518.99</v>
      </c>
      <c r="F69" s="171">
        <v>0</v>
      </c>
      <c r="G69" s="171">
        <f t="shared" si="10"/>
        <v>518.99</v>
      </c>
      <c r="H69" s="172">
        <f t="shared" si="11"/>
        <v>7.3311864989780259E-5</v>
      </c>
      <c r="I69" s="337"/>
      <c r="J69" s="195"/>
      <c r="K69" s="168"/>
      <c r="M69" s="359">
        <f t="shared" si="12"/>
        <v>2.0256430272042464E-2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490">
        <f>'[60]Sch C'!D63</f>
        <v>0</v>
      </c>
      <c r="D70" s="490">
        <f>'[60]Sch C'!F63</f>
        <v>0</v>
      </c>
      <c r="E70" s="171">
        <f t="shared" si="9"/>
        <v>0</v>
      </c>
      <c r="F70" s="171">
        <v>0</v>
      </c>
      <c r="G70" s="171">
        <f t="shared" si="10"/>
        <v>0</v>
      </c>
      <c r="H70" s="172">
        <f t="shared" si="11"/>
        <v>0</v>
      </c>
      <c r="I70" s="337"/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490">
        <f>'[60]Sch C'!D64</f>
        <v>0</v>
      </c>
      <c r="D71" s="490">
        <f>'[60]Sch C'!F64</f>
        <v>0</v>
      </c>
      <c r="E71" s="171">
        <f t="shared" si="9"/>
        <v>0</v>
      </c>
      <c r="F71" s="171">
        <v>0</v>
      </c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490">
        <f>'[60]Sch C'!D65</f>
        <v>0</v>
      </c>
      <c r="D72" s="490">
        <f>'[60]Sch C'!F65</f>
        <v>0</v>
      </c>
      <c r="E72" s="171">
        <f t="shared" si="9"/>
        <v>0</v>
      </c>
      <c r="F72" s="171">
        <v>0</v>
      </c>
      <c r="G72" s="171">
        <f t="shared" si="10"/>
        <v>0</v>
      </c>
      <c r="H72" s="172">
        <f t="shared" si="11"/>
        <v>0</v>
      </c>
      <c r="I72" s="337"/>
      <c r="J72" s="195"/>
      <c r="K72" s="168"/>
      <c r="M72" s="359">
        <f t="shared" si="12"/>
        <v>0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490">
        <f>'[60]Sch C'!D66</f>
        <v>0</v>
      </c>
      <c r="D73" s="490">
        <f>'[60]Sch C'!F66</f>
        <v>0</v>
      </c>
      <c r="E73" s="171">
        <f t="shared" si="9"/>
        <v>0</v>
      </c>
      <c r="F73" s="171">
        <v>0</v>
      </c>
      <c r="G73" s="171">
        <f t="shared" si="10"/>
        <v>0</v>
      </c>
      <c r="H73" s="172">
        <f t="shared" si="11"/>
        <v>0</v>
      </c>
      <c r="I73" s="337"/>
      <c r="J73" s="195"/>
      <c r="K73" s="168"/>
      <c r="M73" s="359">
        <f t="shared" si="12"/>
        <v>0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490">
        <f>'[60]Sch C'!D67</f>
        <v>24132.93</v>
      </c>
      <c r="D74" s="490">
        <f>'[60]Sch C'!F67</f>
        <v>71983.460000000006</v>
      </c>
      <c r="E74" s="171">
        <f t="shared" si="9"/>
        <v>96116.390000000014</v>
      </c>
      <c r="F74" s="496">
        <v>-42449</v>
      </c>
      <c r="G74" s="171">
        <f t="shared" si="10"/>
        <v>53667.390000000014</v>
      </c>
      <c r="H74" s="172">
        <f t="shared" si="11"/>
        <v>7.5809870133025379E-3</v>
      </c>
      <c r="I74" s="337"/>
      <c r="J74" s="195"/>
      <c r="K74" s="168"/>
      <c r="M74" s="359">
        <f t="shared" si="12"/>
        <v>2.0946641426954455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490">
        <f>'[60]Sch C'!D68</f>
        <v>0</v>
      </c>
      <c r="D75" s="490">
        <f>'[60]Sch C'!F68</f>
        <v>0</v>
      </c>
      <c r="E75" s="171">
        <f t="shared" si="9"/>
        <v>0</v>
      </c>
      <c r="F75" s="171">
        <v>0</v>
      </c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490">
        <f>'[60]Sch C'!D69</f>
        <v>0</v>
      </c>
      <c r="D76" s="490">
        <f>'[60]Sch C'!F69</f>
        <v>0</v>
      </c>
      <c r="E76" s="171">
        <f t="shared" si="9"/>
        <v>0</v>
      </c>
      <c r="F76" s="496">
        <v>1501</v>
      </c>
      <c r="G76" s="171">
        <f t="shared" si="10"/>
        <v>1501</v>
      </c>
      <c r="H76" s="172">
        <f t="shared" si="11"/>
        <v>2.1202934420636268E-4</v>
      </c>
      <c r="I76" s="337"/>
      <c r="J76" s="195"/>
      <c r="K76" s="168"/>
      <c r="M76" s="359">
        <f t="shared" si="12"/>
        <v>5.8584754693415557E-2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490">
        <f>'[60]Sch C'!D70</f>
        <v>0</v>
      </c>
      <c r="D77" s="490">
        <f>'[60]Sch C'!F70</f>
        <v>0</v>
      </c>
      <c r="E77" s="171">
        <f t="shared" si="9"/>
        <v>0</v>
      </c>
      <c r="F77" s="171">
        <v>0</v>
      </c>
      <c r="G77" s="171">
        <f t="shared" si="10"/>
        <v>0</v>
      </c>
      <c r="H77" s="172">
        <f t="shared" si="11"/>
        <v>0</v>
      </c>
      <c r="I77" s="337"/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490">
        <f>'[60]Sch C'!D71</f>
        <v>0</v>
      </c>
      <c r="D78" s="490">
        <f>'[60]Sch C'!F71</f>
        <v>0</v>
      </c>
      <c r="E78" s="171">
        <f t="shared" si="9"/>
        <v>0</v>
      </c>
      <c r="F78" s="171">
        <v>0</v>
      </c>
      <c r="G78" s="171">
        <f t="shared" si="10"/>
        <v>0</v>
      </c>
      <c r="H78" s="172">
        <f t="shared" si="11"/>
        <v>0</v>
      </c>
      <c r="I78" s="337"/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490">
        <f>SUM(C64:C78)</f>
        <v>325974.06</v>
      </c>
      <c r="D79" s="490">
        <f>SUM(D64:D78)</f>
        <v>36412.660000000003</v>
      </c>
      <c r="E79" s="171">
        <f t="shared" ref="E79:F79" si="13">SUM(E64:E78)</f>
        <v>362386.72000000003</v>
      </c>
      <c r="F79" s="171">
        <f t="shared" si="13"/>
        <v>120314.23999999999</v>
      </c>
      <c r="G79" s="171">
        <f>SUM(G64:G78)</f>
        <v>482700.95999999996</v>
      </c>
      <c r="H79" s="172">
        <f t="shared" si="11"/>
        <v>6.8185721516709985E-2</v>
      </c>
      <c r="I79" s="337"/>
      <c r="J79" s="195"/>
      <c r="K79" s="168"/>
      <c r="M79" s="359">
        <f t="shared" si="12"/>
        <v>18.840051520237303</v>
      </c>
      <c r="N79" s="359">
        <f>SUMMARY!J82</f>
        <v>21.548739024618541</v>
      </c>
    </row>
    <row r="80" spans="1:14" s="167" customFormat="1" ht="15" customHeight="1">
      <c r="A80" s="163"/>
      <c r="B80" s="170"/>
      <c r="C80" s="196"/>
      <c r="D80" s="196"/>
      <c r="E80" s="196"/>
      <c r="F80" s="641" t="s">
        <v>615</v>
      </c>
      <c r="G80" s="196"/>
      <c r="H80" s="197"/>
      <c r="I80" s="337"/>
      <c r="J80" s="168"/>
      <c r="K80" s="168"/>
      <c r="M80" s="359"/>
      <c r="N80" s="359"/>
    </row>
    <row r="81" spans="1:14" s="167" customFormat="1" ht="15" customHeight="1">
      <c r="A81" s="169" t="s">
        <v>163</v>
      </c>
      <c r="B81" s="170" t="s">
        <v>43</v>
      </c>
      <c r="C81" s="165"/>
      <c r="D81" s="165"/>
      <c r="E81" s="165"/>
      <c r="F81" s="641" t="s">
        <v>612</v>
      </c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490">
        <f>'[60]Sch C'!D75</f>
        <v>32427.4</v>
      </c>
      <c r="D82" s="490">
        <f>'[60]Sch C'!F75</f>
        <v>0</v>
      </c>
      <c r="E82" s="171">
        <f t="shared" ref="E82:E92" si="14">C82+D82</f>
        <v>32427.4</v>
      </c>
      <c r="F82" s="496">
        <v>23280</v>
      </c>
      <c r="G82" s="171">
        <f t="shared" ref="G82:G92" si="15">E82+F82</f>
        <v>55707.4</v>
      </c>
      <c r="H82" s="172">
        <f t="shared" ref="H82:H93" si="16">IF($G$208=0,0,G82/$G$208)</f>
        <v>7.8691562221462549E-3</v>
      </c>
      <c r="I82" s="337"/>
      <c r="J82" s="183"/>
      <c r="K82" s="183"/>
      <c r="M82" s="359">
        <f t="shared" ref="M82:M92" si="17">G82/G$228</f>
        <v>2.1742867179267007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490">
        <f>'[60]Sch C'!D76</f>
        <v>8734.6499999999978</v>
      </c>
      <c r="D83" s="490">
        <f>'[60]Sch C'!F76</f>
        <v>0</v>
      </c>
      <c r="E83" s="171">
        <f t="shared" si="14"/>
        <v>8734.6499999999978</v>
      </c>
      <c r="F83" s="496">
        <v>6882</v>
      </c>
      <c r="G83" s="171">
        <f t="shared" si="15"/>
        <v>15616.649999999998</v>
      </c>
      <c r="H83" s="172">
        <f t="shared" si="16"/>
        <v>2.205988046769016E-3</v>
      </c>
      <c r="I83" s="337"/>
      <c r="J83" s="168"/>
      <c r="K83" s="168"/>
      <c r="M83" s="359">
        <f t="shared" si="17"/>
        <v>0.60952538932906597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490">
        <f>'[60]Sch C'!D77</f>
        <v>4472.45</v>
      </c>
      <c r="D84" s="490">
        <f>'[60]Sch C'!F77</f>
        <v>0</v>
      </c>
      <c r="E84" s="171">
        <f t="shared" si="14"/>
        <v>4472.45</v>
      </c>
      <c r="F84" s="171">
        <v>3285.04</v>
      </c>
      <c r="G84" s="171">
        <f t="shared" si="15"/>
        <v>7757.49</v>
      </c>
      <c r="H84" s="172">
        <f t="shared" si="16"/>
        <v>1.0958131361674993E-3</v>
      </c>
      <c r="I84" s="337"/>
      <c r="J84" s="168"/>
      <c r="K84" s="168"/>
      <c r="M84" s="359">
        <f t="shared" si="17"/>
        <v>0.30277858007103547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490">
        <f>'[60]Sch C'!D78</f>
        <v>27981.960000000003</v>
      </c>
      <c r="D85" s="490">
        <f>'[60]Sch C'!F78</f>
        <v>2611</v>
      </c>
      <c r="E85" s="171">
        <f t="shared" si="14"/>
        <v>30592.960000000003</v>
      </c>
      <c r="F85" s="171">
        <v>18402.82</v>
      </c>
      <c r="G85" s="171">
        <f t="shared" si="15"/>
        <v>48995.78</v>
      </c>
      <c r="H85" s="172">
        <f t="shared" si="16"/>
        <v>6.9210813472879553E-3</v>
      </c>
      <c r="I85" s="337"/>
      <c r="J85" s="168"/>
      <c r="K85" s="168"/>
      <c r="M85" s="359">
        <f t="shared" si="17"/>
        <v>1.912328948909098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490">
        <f>'[60]Sch C'!D79</f>
        <v>16512.12</v>
      </c>
      <c r="D86" s="490">
        <f>'[60]Sch C'!F79</f>
        <v>0</v>
      </c>
      <c r="E86" s="171">
        <f t="shared" si="14"/>
        <v>16512.12</v>
      </c>
      <c r="F86" s="171">
        <v>20524.079999999998</v>
      </c>
      <c r="G86" s="171">
        <f>E86+F86</f>
        <v>37036.199999999997</v>
      </c>
      <c r="H86" s="172">
        <f t="shared" si="16"/>
        <v>5.2316863410364354E-3</v>
      </c>
      <c r="I86" s="337"/>
      <c r="J86" s="168"/>
      <c r="K86" s="168"/>
      <c r="M86" s="359">
        <f t="shared" si="17"/>
        <v>1.4455407673392919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490">
        <f>'[60]Sch C'!D80</f>
        <v>21641.840000000004</v>
      </c>
      <c r="D87" s="490">
        <f>'[60]Sch C'!F80</f>
        <v>0</v>
      </c>
      <c r="E87" s="171">
        <f t="shared" si="14"/>
        <v>21641.840000000004</v>
      </c>
      <c r="F87" s="496">
        <f>41452.22-29845</f>
        <v>11607.220000000001</v>
      </c>
      <c r="G87" s="171">
        <f t="shared" si="15"/>
        <v>33249.060000000005</v>
      </c>
      <c r="H87" s="172">
        <f t="shared" si="16"/>
        <v>4.6967197783331152E-3</v>
      </c>
      <c r="I87" s="337"/>
      <c r="J87" s="168"/>
      <c r="K87" s="168"/>
      <c r="M87" s="359">
        <f t="shared" si="17"/>
        <v>1.2977268646813163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490">
        <f>'[60]Sch C'!D81</f>
        <v>11136.26</v>
      </c>
      <c r="D88" s="490">
        <f>'[60]Sch C'!F81</f>
        <v>0</v>
      </c>
      <c r="E88" s="171">
        <f t="shared" si="14"/>
        <v>11136.26</v>
      </c>
      <c r="F88" s="171">
        <v>2984.58</v>
      </c>
      <c r="G88" s="171">
        <f t="shared" si="15"/>
        <v>14120.84</v>
      </c>
      <c r="H88" s="172">
        <f t="shared" si="16"/>
        <v>1.9946918353384241E-3</v>
      </c>
      <c r="I88" s="337"/>
      <c r="J88" s="168"/>
      <c r="K88" s="168"/>
      <c r="M88" s="359">
        <f t="shared" si="17"/>
        <v>0.55114320284141916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490">
        <f>'[60]Sch C'!D82</f>
        <v>0</v>
      </c>
      <c r="D89" s="490">
        <f>'[60]Sch C'!F82</f>
        <v>0</v>
      </c>
      <c r="E89" s="171">
        <f t="shared" si="14"/>
        <v>0</v>
      </c>
      <c r="F89" s="171">
        <v>0</v>
      </c>
      <c r="G89" s="171">
        <f t="shared" si="15"/>
        <v>0</v>
      </c>
      <c r="H89" s="172">
        <f t="shared" si="16"/>
        <v>0</v>
      </c>
      <c r="I89" s="337"/>
      <c r="J89" s="168"/>
      <c r="K89" s="168"/>
      <c r="M89" s="359">
        <f t="shared" si="17"/>
        <v>0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490">
        <f>'[60]Sch C'!D83</f>
        <v>0</v>
      </c>
      <c r="D90" s="490">
        <f>'[60]Sch C'!F83</f>
        <v>0</v>
      </c>
      <c r="E90" s="171">
        <f t="shared" si="14"/>
        <v>0</v>
      </c>
      <c r="F90" s="171">
        <v>0</v>
      </c>
      <c r="G90" s="171">
        <f t="shared" si="15"/>
        <v>0</v>
      </c>
      <c r="H90" s="172">
        <f t="shared" si="16"/>
        <v>0</v>
      </c>
      <c r="I90" s="337"/>
      <c r="J90" s="168"/>
      <c r="K90" s="168"/>
      <c r="M90" s="359">
        <f t="shared" si="17"/>
        <v>0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490">
        <f>'[60]Sch C'!D84</f>
        <v>96492.239999999991</v>
      </c>
      <c r="D91" s="490">
        <f>'[60]Sch C'!F84</f>
        <v>123</v>
      </c>
      <c r="E91" s="171">
        <f t="shared" si="14"/>
        <v>96615.239999999991</v>
      </c>
      <c r="F91" s="171">
        <v>63756.36</v>
      </c>
      <c r="G91" s="171">
        <f t="shared" si="15"/>
        <v>160371.59999999998</v>
      </c>
      <c r="H91" s="172">
        <f t="shared" si="16"/>
        <v>2.2653887526532385E-2</v>
      </c>
      <c r="I91" s="337"/>
      <c r="J91" s="168"/>
      <c r="K91" s="168"/>
      <c r="M91" s="359">
        <f t="shared" si="17"/>
        <v>6.2593809765426789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490">
        <f>'[60]Sch C'!D85</f>
        <v>0</v>
      </c>
      <c r="D92" s="490">
        <f>'[60]Sch C'!F85</f>
        <v>0</v>
      </c>
      <c r="E92" s="171">
        <f t="shared" si="14"/>
        <v>0</v>
      </c>
      <c r="F92" s="171">
        <v>0</v>
      </c>
      <c r="G92" s="171">
        <f t="shared" si="15"/>
        <v>0</v>
      </c>
      <c r="H92" s="172">
        <f t="shared" si="16"/>
        <v>0</v>
      </c>
      <c r="I92" s="337"/>
      <c r="J92" s="168"/>
      <c r="K92" s="168"/>
      <c r="M92" s="359">
        <f t="shared" si="17"/>
        <v>0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490">
        <f>SUM(C82:C92)</f>
        <v>219398.91999999998</v>
      </c>
      <c r="D93" s="490">
        <f>SUM(D82:D92)</f>
        <v>2734</v>
      </c>
      <c r="E93" s="171">
        <f t="shared" ref="E93:F93" si="18">SUM(E82:E92)</f>
        <v>222132.91999999998</v>
      </c>
      <c r="F93" s="171">
        <f t="shared" si="18"/>
        <v>150722.1</v>
      </c>
      <c r="G93" s="171">
        <f>SUM(G82:G92)</f>
        <v>372855.02</v>
      </c>
      <c r="H93" s="172">
        <f t="shared" si="16"/>
        <v>5.2669024233611091E-2</v>
      </c>
      <c r="I93" s="337"/>
      <c r="J93" s="168"/>
      <c r="K93" s="168"/>
      <c r="M93" s="364">
        <f>G93/G$228</f>
        <v>14.552711447640608</v>
      </c>
      <c r="N93" s="359">
        <f>SUMMARY!J96</f>
        <v>11.17524664351876</v>
      </c>
    </row>
    <row r="94" spans="1:14" s="167" customFormat="1" ht="15.5">
      <c r="A94" s="163"/>
      <c r="C94" s="165"/>
      <c r="D94" s="165"/>
      <c r="E94" s="165"/>
      <c r="F94"/>
      <c r="G94" s="165"/>
      <c r="H94" s="198"/>
      <c r="I94" s="341"/>
      <c r="J94" s="168"/>
      <c r="K94" s="168"/>
      <c r="M94" s="359"/>
      <c r="N94" s="359"/>
    </row>
    <row r="95" spans="1:14" s="167" customFormat="1" ht="15.5">
      <c r="A95" s="169" t="s">
        <v>164</v>
      </c>
      <c r="B95" s="170" t="s">
        <v>51</v>
      </c>
      <c r="C95" s="165"/>
      <c r="D95" s="165"/>
      <c r="E95" s="165"/>
      <c r="F9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490">
        <f>'[60]Sch C'!D89</f>
        <v>137620.32</v>
      </c>
      <c r="D96" s="490">
        <f>'[60]Sch C'!F89</f>
        <v>0</v>
      </c>
      <c r="E96" s="171">
        <f t="shared" ref="E96:E101" si="19">C96+D96</f>
        <v>137620.32</v>
      </c>
      <c r="F96" s="496">
        <v>96652</v>
      </c>
      <c r="G96" s="171">
        <f t="shared" ref="G96:G101" si="20">E96+F96</f>
        <v>234272.32</v>
      </c>
      <c r="H96" s="172">
        <f t="shared" ref="H96:H102" si="21">IF($G$208=0,0,G96/$G$208)</f>
        <v>3.3093008910928146E-2</v>
      </c>
      <c r="I96" s="337"/>
      <c r="J96" s="183"/>
      <c r="K96" s="183"/>
      <c r="M96" s="364">
        <f t="shared" ref="M96:M101" si="22">G96/G$228</f>
        <v>9.1437617579329462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490">
        <f>'[60]Sch C'!D90</f>
        <v>34304.629999999997</v>
      </c>
      <c r="D97" s="490">
        <f>'[60]Sch C'!F90</f>
        <v>0</v>
      </c>
      <c r="E97" s="171">
        <f t="shared" si="19"/>
        <v>34304.629999999997</v>
      </c>
      <c r="F97" s="496">
        <v>25631</v>
      </c>
      <c r="G97" s="171">
        <f t="shared" si="20"/>
        <v>59935.63</v>
      </c>
      <c r="H97" s="172">
        <f t="shared" si="21"/>
        <v>8.4664305952666195E-3</v>
      </c>
      <c r="I97" s="337"/>
      <c r="J97" s="168"/>
      <c r="K97" s="168"/>
      <c r="M97" s="364">
        <f t="shared" si="22"/>
        <v>2.3393165762460479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490">
        <f>'[60]Sch C'!D91</f>
        <v>11074.05</v>
      </c>
      <c r="D98" s="490">
        <f>'[60]Sch C'!F91</f>
        <v>0</v>
      </c>
      <c r="E98" s="171">
        <f t="shared" si="19"/>
        <v>11074.05</v>
      </c>
      <c r="F98" s="496">
        <f>130116.53-122114</f>
        <v>8002.5299999999988</v>
      </c>
      <c r="G98" s="171">
        <f t="shared" si="20"/>
        <v>19076.579999999998</v>
      </c>
      <c r="H98" s="172">
        <f t="shared" si="21"/>
        <v>2.6947333425051392E-3</v>
      </c>
      <c r="I98" s="337"/>
      <c r="J98" s="168"/>
      <c r="K98" s="168"/>
      <c r="M98" s="364">
        <f t="shared" si="22"/>
        <v>0.74456812770773972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490">
        <f>'[60]Sch C'!D92</f>
        <v>108488.16999999998</v>
      </c>
      <c r="D99" s="490">
        <f>'[60]Sch C'!F92</f>
        <v>0</v>
      </c>
      <c r="E99" s="171">
        <f t="shared" si="19"/>
        <v>108488.16999999998</v>
      </c>
      <c r="F99" s="171">
        <v>72905.95</v>
      </c>
      <c r="G99" s="171">
        <f t="shared" si="20"/>
        <v>181394.12</v>
      </c>
      <c r="H99" s="172">
        <f t="shared" si="21"/>
        <v>2.5623501869747007E-2</v>
      </c>
      <c r="I99" s="337"/>
      <c r="J99" s="168"/>
      <c r="K99" s="168"/>
      <c r="M99" s="364">
        <f t="shared" si="22"/>
        <v>7.0799000819640137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490">
        <f>'[60]Sch C'!D93</f>
        <v>6453.54</v>
      </c>
      <c r="D100" s="490">
        <f>'[60]Sch C'!F93</f>
        <v>0</v>
      </c>
      <c r="E100" s="171">
        <f t="shared" si="19"/>
        <v>6453.54</v>
      </c>
      <c r="F100" s="171">
        <v>3715.22</v>
      </c>
      <c r="G100" s="171">
        <f t="shared" si="20"/>
        <v>10168.76</v>
      </c>
      <c r="H100" s="172">
        <f t="shared" si="21"/>
        <v>1.4364260587554248E-3</v>
      </c>
      <c r="I100" s="337"/>
      <c r="J100" s="168"/>
      <c r="K100" s="168"/>
      <c r="M100" s="364">
        <f t="shared" si="22"/>
        <v>0.39689161234924475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490">
        <f>'[60]Sch C'!D94</f>
        <v>3053.4300000000003</v>
      </c>
      <c r="D101" s="490">
        <f>'[60]Sch C'!F94</f>
        <v>0</v>
      </c>
      <c r="E101" s="171">
        <f t="shared" si="19"/>
        <v>3053.4300000000003</v>
      </c>
      <c r="F101" s="171">
        <v>2696.9700000000003</v>
      </c>
      <c r="G101" s="171">
        <f t="shared" si="20"/>
        <v>5750.4000000000005</v>
      </c>
      <c r="H101" s="172">
        <f t="shared" si="21"/>
        <v>8.1229416450650767E-4</v>
      </c>
      <c r="I101" s="337"/>
      <c r="J101" s="168"/>
      <c r="K101" s="168"/>
      <c r="M101" s="364">
        <f t="shared" si="22"/>
        <v>0.22444088833378872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490">
        <f>SUM(C96:C101)</f>
        <v>300994.13999999996</v>
      </c>
      <c r="D102" s="490">
        <f>SUM(D96:D101)</f>
        <v>0</v>
      </c>
      <c r="E102" s="171">
        <f t="shared" ref="E102:F102" si="23">SUM(E96:E101)</f>
        <v>300994.13999999996</v>
      </c>
      <c r="F102" s="171">
        <f t="shared" si="23"/>
        <v>209603.66999999998</v>
      </c>
      <c r="G102" s="171">
        <f>SUM(G96:G101)</f>
        <v>510597.81000000006</v>
      </c>
      <c r="H102" s="172">
        <f t="shared" si="21"/>
        <v>7.2126394941708846E-2</v>
      </c>
      <c r="I102" s="337"/>
      <c r="J102" s="168"/>
      <c r="K102" s="168"/>
      <c r="M102" s="364">
        <f>G102/G$228</f>
        <v>19.928879044533783</v>
      </c>
      <c r="N102" s="359">
        <f>SUMMARY!J105</f>
        <v>18.68930531346383</v>
      </c>
    </row>
    <row r="103" spans="1:14" s="167" customFormat="1" ht="15.5">
      <c r="A103" s="163"/>
      <c r="C103" s="165"/>
      <c r="D103" s="165"/>
      <c r="E103" s="165"/>
      <c r="F103"/>
      <c r="G103" s="165"/>
      <c r="H103" s="198"/>
      <c r="I103" s="341"/>
      <c r="J103" s="168"/>
      <c r="K103" s="168"/>
      <c r="M103" s="359"/>
      <c r="N103" s="359"/>
    </row>
    <row r="104" spans="1:14" s="167" customFormat="1" ht="15.5">
      <c r="A104" s="169" t="s">
        <v>165</v>
      </c>
      <c r="B104" s="170" t="s">
        <v>56</v>
      </c>
      <c r="C104" s="165"/>
      <c r="D104" s="165"/>
      <c r="E104" s="165"/>
      <c r="F104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490">
        <f>'[60]Sch C'!D98</f>
        <v>20663.879999999997</v>
      </c>
      <c r="D105" s="490">
        <f>'[60]Sch C'!F98</f>
        <v>0</v>
      </c>
      <c r="E105" s="171">
        <f t="shared" ref="E105:E110" si="24">C105+D105</f>
        <v>20663.879999999997</v>
      </c>
      <c r="F105" s="496">
        <v>12779</v>
      </c>
      <c r="G105" s="171">
        <f t="shared" ref="G105:G110" si="25">E105+F105</f>
        <v>33442.879999999997</v>
      </c>
      <c r="H105" s="172">
        <f t="shared" ref="H105:H111" si="26">IF($G$208=0,0,G105/$G$208)</f>
        <v>4.724098544151953E-3</v>
      </c>
      <c r="I105" s="337"/>
      <c r="J105" s="183"/>
      <c r="K105" s="183"/>
      <c r="M105" s="364">
        <f t="shared" ref="M105:M110" si="27">G105/G$228</f>
        <v>1.3052917528589827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490">
        <f>'[60]Sch C'!D99</f>
        <v>5686.37</v>
      </c>
      <c r="D106" s="490">
        <f>'[60]Sch C'!F99</f>
        <v>0</v>
      </c>
      <c r="E106" s="171">
        <f t="shared" si="24"/>
        <v>5686.37</v>
      </c>
      <c r="F106" s="496">
        <v>3869</v>
      </c>
      <c r="G106" s="171">
        <f t="shared" si="25"/>
        <v>9555.369999999999</v>
      </c>
      <c r="H106" s="172">
        <f t="shared" si="26"/>
        <v>1.3497793702525994E-3</v>
      </c>
      <c r="I106" s="337"/>
      <c r="J106" s="168"/>
      <c r="K106" s="168"/>
      <c r="M106" s="364">
        <f t="shared" si="27"/>
        <v>0.37295070450021461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490">
        <f>'[60]Sch C'!D100</f>
        <v>2246.6799999999998</v>
      </c>
      <c r="D107" s="490">
        <f>'[60]Sch C'!F100</f>
        <v>0</v>
      </c>
      <c r="E107" s="171">
        <f t="shared" si="24"/>
        <v>2246.6799999999998</v>
      </c>
      <c r="F107" s="171">
        <v>2379.33</v>
      </c>
      <c r="G107" s="171">
        <f t="shared" si="25"/>
        <v>4626.01</v>
      </c>
      <c r="H107" s="172">
        <f t="shared" si="26"/>
        <v>6.534642682159066E-4</v>
      </c>
      <c r="I107" s="337"/>
      <c r="J107" s="168"/>
      <c r="K107" s="168"/>
      <c r="M107" s="364">
        <f t="shared" si="27"/>
        <v>0.18055540377034465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490">
        <f>'[60]Sch C'!D101</f>
        <v>147.19</v>
      </c>
      <c r="D108" s="490">
        <f>'[60]Sch C'!F101</f>
        <v>0</v>
      </c>
      <c r="E108" s="171">
        <f t="shared" si="24"/>
        <v>147.19</v>
      </c>
      <c r="F108" s="496">
        <f>16534.04-16440</f>
        <v>94.040000000000873</v>
      </c>
      <c r="G108" s="171">
        <f t="shared" si="25"/>
        <v>241.23000000000087</v>
      </c>
      <c r="H108" s="172">
        <f t="shared" si="26"/>
        <v>3.4075841907329152E-5</v>
      </c>
      <c r="I108" s="337"/>
      <c r="J108" s="168"/>
      <c r="K108" s="168"/>
      <c r="M108" s="364">
        <f t="shared" si="27"/>
        <v>9.4153233675500908E-3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490">
        <f>'[60]Sch C'!D102</f>
        <v>4582.67</v>
      </c>
      <c r="D109" s="490">
        <f>'[60]Sch C'!F102</f>
        <v>0</v>
      </c>
      <c r="E109" s="171">
        <f t="shared" si="24"/>
        <v>4582.67</v>
      </c>
      <c r="F109" s="171">
        <v>2703.01</v>
      </c>
      <c r="G109" s="171">
        <f t="shared" si="25"/>
        <v>7285.68</v>
      </c>
      <c r="H109" s="172">
        <f t="shared" si="26"/>
        <v>1.0291658577597684E-3</v>
      </c>
      <c r="I109" s="337"/>
      <c r="J109" s="168"/>
      <c r="K109" s="168"/>
      <c r="M109" s="364">
        <f t="shared" si="27"/>
        <v>0.28436360797783072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490">
        <f>'[60]Sch C'!D103</f>
        <v>0</v>
      </c>
      <c r="D110" s="490">
        <f>'[60]Sch C'!F103</f>
        <v>0</v>
      </c>
      <c r="E110" s="171">
        <f t="shared" si="24"/>
        <v>0</v>
      </c>
      <c r="F110" s="171">
        <v>0</v>
      </c>
      <c r="G110" s="171">
        <f t="shared" si="25"/>
        <v>0</v>
      </c>
      <c r="H110" s="172">
        <f t="shared" si="26"/>
        <v>0</v>
      </c>
      <c r="I110" s="337"/>
      <c r="J110" s="168"/>
      <c r="K110" s="168"/>
      <c r="M110" s="364">
        <f t="shared" si="27"/>
        <v>0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490">
        <f>SUM(C105:C110)</f>
        <v>33326.789999999994</v>
      </c>
      <c r="D111" s="490">
        <f>SUM(D105:D110)</f>
        <v>0</v>
      </c>
      <c r="E111" s="171">
        <f t="shared" ref="E111:F111" si="28">SUM(E105:E110)</f>
        <v>33326.789999999994</v>
      </c>
      <c r="F111" s="171">
        <f t="shared" si="28"/>
        <v>21824.380000000005</v>
      </c>
      <c r="G111" s="171">
        <f>SUM(G105:G110)</f>
        <v>55151.170000000006</v>
      </c>
      <c r="H111" s="172">
        <f t="shared" si="26"/>
        <v>7.7905838822875583E-3</v>
      </c>
      <c r="I111" s="337"/>
      <c r="J111" s="168"/>
      <c r="K111" s="168"/>
      <c r="M111" s="364">
        <f>G111/G$228</f>
        <v>2.1525767924749233</v>
      </c>
      <c r="N111" s="359">
        <f>SUMMARY!J114</f>
        <v>2.269671356169523</v>
      </c>
    </row>
    <row r="112" spans="1:14" s="167" customFormat="1" ht="15.5">
      <c r="A112" s="163"/>
      <c r="C112" s="165"/>
      <c r="D112" s="165"/>
      <c r="E112" s="165"/>
      <c r="F112"/>
      <c r="G112" s="165"/>
      <c r="H112" s="198"/>
      <c r="I112" s="341"/>
      <c r="J112" s="168"/>
      <c r="K112" s="168"/>
      <c r="M112" s="359"/>
      <c r="N112" s="359"/>
    </row>
    <row r="113" spans="1:14" s="167" customFormat="1" ht="15.5">
      <c r="A113" s="169" t="s">
        <v>166</v>
      </c>
      <c r="B113" s="170" t="s">
        <v>59</v>
      </c>
      <c r="C113" s="165"/>
      <c r="D113" s="165"/>
      <c r="E113" s="165"/>
      <c r="F113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490">
        <f>'[60]Sch C'!D115</f>
        <v>42529.39</v>
      </c>
      <c r="D114" s="490">
        <f>'[60]Sch C'!F115</f>
        <v>0</v>
      </c>
      <c r="E114" s="171">
        <f t="shared" ref="E114:E118" si="29">C114+D114</f>
        <v>42529.39</v>
      </c>
      <c r="F114" s="496">
        <v>30514</v>
      </c>
      <c r="G114" s="171">
        <f>E114+F114</f>
        <v>73043.39</v>
      </c>
      <c r="H114" s="172">
        <f t="shared" ref="H114:H119" si="30">IF($G$208=0,0,G114/$G$208)</f>
        <v>1.0318016042844496E-2</v>
      </c>
      <c r="I114" s="337"/>
      <c r="J114" s="183"/>
      <c r="K114" s="183"/>
      <c r="M114" s="364">
        <f t="shared" ref="M114:M119" si="31">G114/G$228</f>
        <v>2.8509187775652785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490">
        <f>'[60]Sch C'!D116</f>
        <v>8389.7999999999993</v>
      </c>
      <c r="D115" s="490">
        <f>'[60]Sch C'!F116</f>
        <v>0</v>
      </c>
      <c r="E115" s="171">
        <f t="shared" si="29"/>
        <v>8389.7999999999993</v>
      </c>
      <c r="F115" s="496">
        <v>5869</v>
      </c>
      <c r="G115" s="171">
        <f>E115+F115</f>
        <v>14258.8</v>
      </c>
      <c r="H115" s="172">
        <f t="shared" si="30"/>
        <v>2.0141798888538868E-3</v>
      </c>
      <c r="I115" s="337"/>
      <c r="J115" s="168"/>
      <c r="K115" s="168"/>
      <c r="M115" s="364">
        <f t="shared" si="31"/>
        <v>0.55652784824948287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490">
        <f>'[60]Sch C'!D117</f>
        <v>10650.130000000001</v>
      </c>
      <c r="D116" s="490">
        <f>'[60]Sch C'!F117</f>
        <v>0</v>
      </c>
      <c r="E116" s="171">
        <f t="shared" si="29"/>
        <v>10650.130000000001</v>
      </c>
      <c r="F116" s="171">
        <v>8824.7000000000007</v>
      </c>
      <c r="G116" s="171">
        <f>E116+F116</f>
        <v>19474.830000000002</v>
      </c>
      <c r="H116" s="172">
        <f t="shared" si="30"/>
        <v>2.7509896292007984E-3</v>
      </c>
      <c r="I116" s="337"/>
      <c r="J116" s="168"/>
      <c r="K116" s="168"/>
      <c r="M116" s="364">
        <f t="shared" si="31"/>
        <v>0.76011201748565638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490">
        <f>'[60]Sch C'!D118</f>
        <v>0</v>
      </c>
      <c r="D117" s="490">
        <f>'[60]Sch C'!F118</f>
        <v>0</v>
      </c>
      <c r="E117" s="171">
        <f t="shared" si="29"/>
        <v>0</v>
      </c>
      <c r="F117" s="496">
        <f>36234.74-36234.74</f>
        <v>0</v>
      </c>
      <c r="G117" s="171">
        <f>E117+F117</f>
        <v>0</v>
      </c>
      <c r="H117" s="172">
        <f t="shared" si="30"/>
        <v>0</v>
      </c>
      <c r="I117" s="337"/>
      <c r="J117" s="168"/>
      <c r="K117" s="168"/>
      <c r="M117" s="364">
        <f t="shared" si="31"/>
        <v>0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490">
        <f>'[60]Sch C'!D119</f>
        <v>552</v>
      </c>
      <c r="D118" s="490">
        <f>'[60]Sch C'!F119</f>
        <v>0</v>
      </c>
      <c r="E118" s="171">
        <f t="shared" si="29"/>
        <v>552</v>
      </c>
      <c r="F118" s="171">
        <v>15</v>
      </c>
      <c r="G118" s="171">
        <f>E118+F118</f>
        <v>567</v>
      </c>
      <c r="H118" s="172">
        <f t="shared" si="30"/>
        <v>8.0093696312463452E-5</v>
      </c>
      <c r="I118" s="337"/>
      <c r="J118" s="168"/>
      <c r="K118" s="168"/>
      <c r="M118" s="364">
        <f t="shared" si="31"/>
        <v>2.2130283751610007E-2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490">
        <f>SUM(C114:C118)</f>
        <v>62121.320000000007</v>
      </c>
      <c r="D119" s="490">
        <f>SUM(D114:D118)</f>
        <v>0</v>
      </c>
      <c r="E119" s="171">
        <f t="shared" ref="E119:F119" si="32">SUM(E114:E118)</f>
        <v>62121.320000000007</v>
      </c>
      <c r="F119" s="171">
        <f t="shared" si="32"/>
        <v>45222.7</v>
      </c>
      <c r="G119" s="171">
        <f>SUM(G114:G118)</f>
        <v>107344.02</v>
      </c>
      <c r="H119" s="172">
        <f t="shared" si="30"/>
        <v>1.5163279257211646E-2</v>
      </c>
      <c r="I119" s="337"/>
      <c r="J119" s="168"/>
      <c r="K119" s="168"/>
      <c r="M119" s="364">
        <f t="shared" si="31"/>
        <v>4.1896889270520274</v>
      </c>
      <c r="N119" s="359">
        <f>SUMMARY!J122</f>
        <v>5.7499401387004214</v>
      </c>
    </row>
    <row r="120" spans="1:14" s="167" customFormat="1" ht="15.5">
      <c r="A120" s="163"/>
      <c r="B120" s="170"/>
      <c r="C120" s="196"/>
      <c r="D120" s="196"/>
      <c r="E120" s="196"/>
      <c r="F120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641" t="s">
        <v>615</v>
      </c>
      <c r="G121" s="165"/>
      <c r="H121" s="198"/>
      <c r="I121" s="341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641" t="s">
        <v>612</v>
      </c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490">
        <f>'[60]Sch C'!D124</f>
        <v>62352.03</v>
      </c>
      <c r="D123" s="490">
        <f>'[60]Sch C'!F124</f>
        <v>0</v>
      </c>
      <c r="E123" s="171">
        <f t="shared" ref="E123:E127" si="33">C123+D123</f>
        <v>62352.03</v>
      </c>
      <c r="F123" s="496">
        <v>32288</v>
      </c>
      <c r="G123" s="171">
        <f>E123+F123</f>
        <v>94640.03</v>
      </c>
      <c r="H123" s="172">
        <f>IF($G$208=0,0,G123/$G$208)</f>
        <v>1.3368729844484005E-2</v>
      </c>
      <c r="I123" s="337"/>
      <c r="J123" s="183"/>
      <c r="K123" s="183"/>
      <c r="M123" s="364">
        <f t="shared" ref="M123:M160" si="34">G123/G$228</f>
        <v>3.6938460637758088</v>
      </c>
      <c r="N123" s="359">
        <f>SUMMARY!J126</f>
        <v>0.77002560279620991</v>
      </c>
    </row>
    <row r="124" spans="1:14" s="167" customFormat="1">
      <c r="B124" s="163" t="s">
        <v>194</v>
      </c>
      <c r="C124" s="490">
        <f>'[60]Sch C'!D125</f>
        <v>29726.06</v>
      </c>
      <c r="D124" s="490">
        <f>'[60]Sch C'!F125</f>
        <v>0</v>
      </c>
      <c r="E124" s="171">
        <f t="shared" si="33"/>
        <v>29726.06</v>
      </c>
      <c r="F124" s="171">
        <v>0</v>
      </c>
      <c r="G124" s="171">
        <f>E124+F124</f>
        <v>29726.06</v>
      </c>
      <c r="H124" s="172">
        <f>IF($G$208=0,0,G124/$G$208)</f>
        <v>4.1990652948960625E-3</v>
      </c>
      <c r="I124" s="337"/>
      <c r="J124" s="183"/>
      <c r="K124" s="183"/>
      <c r="M124" s="364">
        <f t="shared" si="34"/>
        <v>1.1602224737520004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490">
        <f>'[60]Sch C'!D126</f>
        <v>0</v>
      </c>
      <c r="D125" s="490">
        <f>'[60]Sch C'!F126</f>
        <v>0</v>
      </c>
      <c r="E125" s="171">
        <f t="shared" si="33"/>
        <v>0</v>
      </c>
      <c r="F125" s="171">
        <v>0</v>
      </c>
      <c r="G125" s="171">
        <f>E125+F125</f>
        <v>0</v>
      </c>
      <c r="H125" s="172">
        <f>IF($G$208=0,0,G125/$G$208)</f>
        <v>0</v>
      </c>
      <c r="I125" s="337"/>
      <c r="J125" s="183"/>
      <c r="K125" s="183"/>
      <c r="M125" s="364">
        <f t="shared" si="34"/>
        <v>0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490">
        <f>'[60]Sch C'!D127</f>
        <v>0</v>
      </c>
      <c r="D126" s="490">
        <f>'[60]Sch C'!F127</f>
        <v>0</v>
      </c>
      <c r="E126" s="171">
        <f t="shared" si="33"/>
        <v>0</v>
      </c>
      <c r="F126" s="171">
        <v>0</v>
      </c>
      <c r="G126" s="171">
        <f>E126+F126</f>
        <v>0</v>
      </c>
      <c r="H126" s="172">
        <f>IF($G$208=0,0,G126/$G$208)</f>
        <v>0</v>
      </c>
      <c r="I126" s="337"/>
      <c r="J126" s="183"/>
      <c r="K126" s="183"/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490">
        <f>'[60]Sch C'!D128</f>
        <v>21366.05</v>
      </c>
      <c r="D127" s="490">
        <f>'[60]Sch C'!F128</f>
        <v>0</v>
      </c>
      <c r="E127" s="171">
        <f t="shared" si="33"/>
        <v>21366.05</v>
      </c>
      <c r="F127" s="496">
        <v>64722</v>
      </c>
      <c r="G127" s="171">
        <f>E127+F127</f>
        <v>86088.05</v>
      </c>
      <c r="H127" s="172">
        <f>IF($G$208=0,0,G127/$G$208)</f>
        <v>1.2160688064959735E-2</v>
      </c>
      <c r="I127" s="337"/>
      <c r="J127" s="183"/>
      <c r="K127" s="183"/>
      <c r="M127" s="364">
        <f t="shared" si="34"/>
        <v>3.3600581554193827</v>
      </c>
      <c r="N127" s="359">
        <f>SUMMARY!J130</f>
        <v>2.5140796974413586</v>
      </c>
    </row>
    <row r="128" spans="1:14" s="167" customFormat="1" ht="15.5">
      <c r="A128" s="169" t="s">
        <v>95</v>
      </c>
      <c r="B128" s="170" t="s">
        <v>152</v>
      </c>
      <c r="C128" s="580"/>
      <c r="D128" s="580"/>
      <c r="E128" s="205"/>
      <c r="F128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490">
        <f>'[60]Sch C'!D130</f>
        <v>14583.071</v>
      </c>
      <c r="D129" s="490">
        <f>'[60]Sch C'!F130</f>
        <v>0</v>
      </c>
      <c r="E129" s="171">
        <f t="shared" ref="E129:E133" si="35">C129+D129</f>
        <v>14583.071</v>
      </c>
      <c r="F129" s="496">
        <v>7228</v>
      </c>
      <c r="G129" s="171">
        <f>E129+F129</f>
        <v>21811.071</v>
      </c>
      <c r="H129" s="172">
        <f>IF($G$208=0,0,G129/$G$208)</f>
        <v>3.0810040510116021E-3</v>
      </c>
      <c r="I129" s="337"/>
      <c r="J129" s="204"/>
      <c r="K129" s="204"/>
      <c r="M129" s="364">
        <f t="shared" si="34"/>
        <v>0.85129663166933378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490">
        <f>'[60]Sch C'!D131</f>
        <v>6952.42</v>
      </c>
      <c r="D130" s="490">
        <f>'[60]Sch C'!F131</f>
        <v>0</v>
      </c>
      <c r="E130" s="171">
        <f t="shared" si="35"/>
        <v>6952.42</v>
      </c>
      <c r="F130" s="171">
        <v>0</v>
      </c>
      <c r="G130" s="171">
        <f>E130+F130</f>
        <v>6952.42</v>
      </c>
      <c r="H130" s="172">
        <f>IF($G$208=0,0,G130/$G$208)</f>
        <v>9.8208997551445698E-4</v>
      </c>
      <c r="I130" s="337"/>
      <c r="J130" s="204"/>
      <c r="K130" s="204"/>
      <c r="M130" s="364">
        <f t="shared" si="34"/>
        <v>0.27135630927754578</v>
      </c>
      <c r="N130" s="359">
        <f>SUMMARY!J133</f>
        <v>1.0792348507966931</v>
      </c>
    </row>
    <row r="131" spans="1:14" s="167" customFormat="1">
      <c r="B131" s="163" t="s">
        <v>195</v>
      </c>
      <c r="C131" s="490">
        <f>'[60]Sch C'!D132</f>
        <v>0</v>
      </c>
      <c r="D131" s="490">
        <f>'[60]Sch C'!F132</f>
        <v>0</v>
      </c>
      <c r="E131" s="171">
        <f t="shared" si="35"/>
        <v>0</v>
      </c>
      <c r="F131" s="171">
        <v>0</v>
      </c>
      <c r="G131" s="171">
        <f>E131+F131</f>
        <v>0</v>
      </c>
      <c r="H131" s="172">
        <f>IF($G$208=0,0,G131/$G$208)</f>
        <v>0</v>
      </c>
      <c r="I131" s="337"/>
      <c r="J131" s="168"/>
      <c r="K131" s="168"/>
      <c r="M131" s="364">
        <f t="shared" si="34"/>
        <v>0</v>
      </c>
      <c r="N131" s="359">
        <f>SUMMARY!J134</f>
        <v>8.2765628075518377E-2</v>
      </c>
    </row>
    <row r="132" spans="1:14" s="167" customFormat="1">
      <c r="B132" s="163" t="s">
        <v>196</v>
      </c>
      <c r="C132" s="490">
        <f>'[60]Sch C'!D133</f>
        <v>0</v>
      </c>
      <c r="D132" s="490">
        <f>'[60]Sch C'!F133</f>
        <v>0</v>
      </c>
      <c r="E132" s="171">
        <f t="shared" si="35"/>
        <v>0</v>
      </c>
      <c r="F132" s="171">
        <v>0</v>
      </c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490">
        <f>'[60]Sch C'!D134</f>
        <v>5728.5800000000008</v>
      </c>
      <c r="D133" s="490">
        <f>'[60]Sch C'!F134</f>
        <v>0</v>
      </c>
      <c r="E133" s="171">
        <f t="shared" si="35"/>
        <v>5728.5800000000008</v>
      </c>
      <c r="F133" s="496">
        <v>14488</v>
      </c>
      <c r="G133" s="171">
        <f>E133+F133</f>
        <v>20216.580000000002</v>
      </c>
      <c r="H133" s="172">
        <f>IF($G$208=0,0,G133/$G$208)</f>
        <v>2.8557682874719974E-3</v>
      </c>
      <c r="I133" s="337"/>
      <c r="J133" s="168"/>
      <c r="K133" s="168"/>
      <c r="M133" s="364">
        <f t="shared" si="34"/>
        <v>0.78906287810780229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490">
        <f>'[60]Sch C'!D136</f>
        <v>297509.44</v>
      </c>
      <c r="D135" s="490">
        <f>'[60]Sch C'!F136</f>
        <v>0</v>
      </c>
      <c r="E135" s="171">
        <f t="shared" ref="E135:E138" si="36">C135+D135</f>
        <v>297509.44</v>
      </c>
      <c r="F135" s="496">
        <v>201781</v>
      </c>
      <c r="G135" s="171">
        <f>E135+F135</f>
        <v>499290.44</v>
      </c>
      <c r="H135" s="172">
        <f>IF($G$208=0,0,G135/$G$208)</f>
        <v>7.0529130287612443E-2</v>
      </c>
      <c r="I135" s="337"/>
      <c r="J135" s="183"/>
      <c r="K135" s="183"/>
      <c r="M135" s="364">
        <f t="shared" si="34"/>
        <v>19.487546934155574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490">
        <f>'[60]Sch C'!D137</f>
        <v>165695.52999999997</v>
      </c>
      <c r="D136" s="490">
        <f>'[60]Sch C'!F137</f>
        <v>0</v>
      </c>
      <c r="E136" s="171">
        <f t="shared" si="36"/>
        <v>165695.52999999997</v>
      </c>
      <c r="F136" s="496">
        <v>106692</v>
      </c>
      <c r="G136" s="171">
        <f>E136+F136</f>
        <v>272387.52999999997</v>
      </c>
      <c r="H136" s="172">
        <f>IF($G$208=0,0,G136/$G$208)</f>
        <v>3.8477114827375702E-2</v>
      </c>
      <c r="I136" s="337"/>
      <c r="J136" s="183"/>
      <c r="K136" s="183"/>
      <c r="M136" s="364">
        <f t="shared" si="34"/>
        <v>10.631416806525895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490">
        <f>'[60]Sch C'!D138</f>
        <v>303739.10000000003</v>
      </c>
      <c r="D137" s="490">
        <f>'[60]Sch C'!F138</f>
        <v>0</v>
      </c>
      <c r="E137" s="171">
        <f t="shared" si="36"/>
        <v>303739.10000000003</v>
      </c>
      <c r="F137" s="496">
        <v>272866</v>
      </c>
      <c r="G137" s="171">
        <f>E137+F137</f>
        <v>576605.10000000009</v>
      </c>
      <c r="H137" s="172">
        <f>IF($G$208=0,0,G137/$G$208)</f>
        <v>8.1450500479043439E-2</v>
      </c>
      <c r="I137" s="337"/>
      <c r="J137" s="183"/>
      <c r="K137" s="183"/>
      <c r="M137" s="364">
        <f t="shared" si="34"/>
        <v>22.505175442020221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490">
        <f>'[60]Sch C'!D139</f>
        <v>85158.46</v>
      </c>
      <c r="D138" s="490">
        <f>'[60]Sch C'!F139</f>
        <v>0</v>
      </c>
      <c r="E138" s="171">
        <f t="shared" si="36"/>
        <v>85158.46</v>
      </c>
      <c r="F138" s="496">
        <v>13026</v>
      </c>
      <c r="G138" s="171">
        <f>E138+F138</f>
        <v>98184.46</v>
      </c>
      <c r="H138" s="172">
        <f>IF($G$208=0,0,G138/$G$208)</f>
        <v>1.3869411502368987E-2</v>
      </c>
      <c r="I138" s="337"/>
      <c r="J138" s="183"/>
      <c r="K138" s="183"/>
      <c r="M138" s="364">
        <f t="shared" si="34"/>
        <v>3.8321868779516803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7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490">
        <f>'[60]Sch C'!D141</f>
        <v>69820.62</v>
      </c>
      <c r="D140" s="490">
        <f>'[60]Sch C'!F141</f>
        <v>0</v>
      </c>
      <c r="E140" s="171">
        <f t="shared" ref="E140:E143" si="37">C140+D140</f>
        <v>69820.62</v>
      </c>
      <c r="F140" s="496">
        <v>45169</v>
      </c>
      <c r="G140" s="171">
        <f>E140+F140</f>
        <v>114989.62</v>
      </c>
      <c r="H140" s="172">
        <f>IF($G$208=0,0,G140/$G$208)</f>
        <v>1.6243286954789372E-2</v>
      </c>
      <c r="I140" s="337"/>
      <c r="J140" s="168"/>
      <c r="K140" s="168"/>
      <c r="M140" s="364">
        <f t="shared" si="34"/>
        <v>4.4881003864017792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490">
        <f>'[60]Sch C'!D142</f>
        <v>38753.35</v>
      </c>
      <c r="D141" s="490">
        <f>'[60]Sch C'!F142</f>
        <v>0</v>
      </c>
      <c r="E141" s="171">
        <f t="shared" si="37"/>
        <v>38753.35</v>
      </c>
      <c r="F141" s="496">
        <v>23883</v>
      </c>
      <c r="G141" s="171">
        <f>E141+F141</f>
        <v>62636.35</v>
      </c>
      <c r="H141" s="172">
        <f>IF($G$208=0,0,G141/$G$208)</f>
        <v>8.8479308554165262E-3</v>
      </c>
      <c r="I141" s="337"/>
      <c r="J141" s="168"/>
      <c r="K141" s="168"/>
      <c r="M141" s="364">
        <f t="shared" si="34"/>
        <v>2.4447269817727646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490">
        <f>'[60]Sch C'!D143</f>
        <v>71039.37</v>
      </c>
      <c r="D142" s="490">
        <f>'[60]Sch C'!F143</f>
        <v>0</v>
      </c>
      <c r="E142" s="171">
        <f t="shared" si="37"/>
        <v>71039.37</v>
      </c>
      <c r="F142" s="496">
        <v>61081</v>
      </c>
      <c r="G142" s="171">
        <f>E142+F142</f>
        <v>132120.37</v>
      </c>
      <c r="H142" s="172">
        <f>IF($G$208=0,0,G142/$G$208)</f>
        <v>1.8663154835044632E-2</v>
      </c>
      <c r="I142" s="337"/>
      <c r="J142" s="168"/>
      <c r="K142" s="168"/>
      <c r="M142" s="364">
        <f t="shared" si="34"/>
        <v>5.156721829749034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490">
        <f>'[60]Sch C'!D144</f>
        <v>19917.099999999999</v>
      </c>
      <c r="D143" s="490">
        <f>'[60]Sch C'!F144</f>
        <v>0</v>
      </c>
      <c r="E143" s="171">
        <f t="shared" si="37"/>
        <v>19917.099999999999</v>
      </c>
      <c r="F143" s="496">
        <v>2916</v>
      </c>
      <c r="G143" s="171">
        <f>E143+F143</f>
        <v>22833.1</v>
      </c>
      <c r="H143" s="172">
        <f>IF($G$208=0,0,G143/$G$208)</f>
        <v>3.2253745630901397E-3</v>
      </c>
      <c r="I143" s="337"/>
      <c r="J143" s="168"/>
      <c r="K143" s="168"/>
      <c r="M143" s="364">
        <f t="shared" si="34"/>
        <v>0.89118691698216301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7"/>
      <c r="J144" s="204" t="s">
        <v>616</v>
      </c>
      <c r="K144" s="204"/>
      <c r="M144" s="364"/>
      <c r="N144" s="359"/>
    </row>
    <row r="145" spans="1:14" s="167" customFormat="1">
      <c r="A145" s="169"/>
      <c r="B145" s="163" t="s">
        <v>232</v>
      </c>
      <c r="C145" s="490">
        <f>'[60]Sch C'!D146</f>
        <v>10500</v>
      </c>
      <c r="D145" s="490">
        <f>'[60]Sch C'!F146</f>
        <v>0</v>
      </c>
      <c r="E145" s="171">
        <f t="shared" ref="E145:E153" si="38">C145+D145</f>
        <v>10500</v>
      </c>
      <c r="F145" s="496">
        <f>47280.26-44546</f>
        <v>2734.260000000002</v>
      </c>
      <c r="G145" s="171">
        <f t="shared" ref="G145:G153" si="39">E145+F145</f>
        <v>13234.260000000002</v>
      </c>
      <c r="H145" s="172">
        <f t="shared" ref="H145:H153" si="40">IF($G$208=0,0,G145/$G$208)</f>
        <v>1.8694546761202518E-3</v>
      </c>
      <c r="I145" s="337"/>
      <c r="J145" s="183">
        <v>807.19999999999993</v>
      </c>
      <c r="K145" s="183">
        <v>866.69999999999993</v>
      </c>
      <c r="M145" s="364">
        <f t="shared" si="34"/>
        <v>0.516539557394325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490">
        <f>'[60]Sch C'!D147</f>
        <v>0</v>
      </c>
      <c r="D146" s="490">
        <f>'[60]Sch C'!F147</f>
        <v>0</v>
      </c>
      <c r="E146" s="171">
        <f t="shared" si="38"/>
        <v>0</v>
      </c>
      <c r="F146" s="496">
        <f>312308.72-312308.72</f>
        <v>0</v>
      </c>
      <c r="G146" s="171">
        <f t="shared" si="39"/>
        <v>0</v>
      </c>
      <c r="H146" s="172">
        <f t="shared" si="40"/>
        <v>0</v>
      </c>
      <c r="I146" s="337"/>
      <c r="J146" s="183">
        <v>9001.93</v>
      </c>
      <c r="K146" s="183">
        <v>9224.43</v>
      </c>
      <c r="M146" s="364">
        <f t="shared" si="34"/>
        <v>0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490">
        <f>'[60]Sch C'!D148</f>
        <v>0</v>
      </c>
      <c r="D147" s="490">
        <f>'[60]Sch C'!F148</f>
        <v>0</v>
      </c>
      <c r="E147" s="171">
        <f t="shared" si="38"/>
        <v>0</v>
      </c>
      <c r="F147" s="496">
        <f>131234.26-131234.26</f>
        <v>0</v>
      </c>
      <c r="G147" s="171">
        <f t="shared" si="39"/>
        <v>0</v>
      </c>
      <c r="H147" s="172">
        <f t="shared" si="40"/>
        <v>0</v>
      </c>
      <c r="I147" s="337"/>
      <c r="J147" s="183">
        <v>4944.45</v>
      </c>
      <c r="K147" s="183">
        <v>5140.45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490">
        <f>'[60]Sch C'!D149</f>
        <v>0</v>
      </c>
      <c r="D148" s="490">
        <f>'[60]Sch C'!F149</f>
        <v>0</v>
      </c>
      <c r="E148" s="171">
        <f t="shared" si="38"/>
        <v>0</v>
      </c>
      <c r="F148" s="496">
        <f>338678.32-338678.32</f>
        <v>0</v>
      </c>
      <c r="G148" s="171">
        <f t="shared" si="39"/>
        <v>0</v>
      </c>
      <c r="H148" s="172">
        <f t="shared" si="40"/>
        <v>0</v>
      </c>
      <c r="I148" s="337"/>
      <c r="J148" s="183">
        <v>22742.440000000002</v>
      </c>
      <c r="K148" s="183">
        <v>23409.86</v>
      </c>
      <c r="M148" s="364">
        <f t="shared" si="34"/>
        <v>0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490">
        <f>'[60]Sch C'!D150</f>
        <v>9548.3499999999985</v>
      </c>
      <c r="D149" s="490">
        <f>'[60]Sch C'!F150</f>
        <v>0</v>
      </c>
      <c r="E149" s="171">
        <f t="shared" si="38"/>
        <v>9548.3499999999985</v>
      </c>
      <c r="F149" s="496">
        <f>40648.12-30159</f>
        <v>10489.120000000003</v>
      </c>
      <c r="G149" s="171">
        <f t="shared" si="39"/>
        <v>20037.47</v>
      </c>
      <c r="H149" s="172">
        <f t="shared" si="40"/>
        <v>2.8304674374781255E-3</v>
      </c>
      <c r="I149" s="337"/>
      <c r="J149" s="183">
        <v>1805.92</v>
      </c>
      <c r="K149" s="183">
        <v>1869.85</v>
      </c>
      <c r="M149" s="364">
        <f t="shared" si="34"/>
        <v>0.7820721283322275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490">
        <f>'[60]Sch C'!D151</f>
        <v>53961.049999999996</v>
      </c>
      <c r="D150" s="490">
        <f>'[60]Sch C'!F151</f>
        <v>0</v>
      </c>
      <c r="E150" s="171">
        <f t="shared" si="38"/>
        <v>53961.049999999996</v>
      </c>
      <c r="F150" s="171">
        <v>35505.729999999996</v>
      </c>
      <c r="G150" s="171">
        <f t="shared" si="39"/>
        <v>89466.78</v>
      </c>
      <c r="H150" s="172">
        <f t="shared" si="40"/>
        <v>1.263796315233506E-2</v>
      </c>
      <c r="I150" s="337"/>
      <c r="J150" s="168"/>
      <c r="K150" s="168"/>
      <c r="M150" s="364">
        <f t="shared" si="34"/>
        <v>3.4919316185941218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490">
        <f>'[60]Sch C'!D152</f>
        <v>3292.18</v>
      </c>
      <c r="D151" s="490">
        <f>'[60]Sch C'!F152</f>
        <v>0</v>
      </c>
      <c r="E151" s="171">
        <f t="shared" si="38"/>
        <v>3292.18</v>
      </c>
      <c r="F151" s="171">
        <v>2385.4699999999998</v>
      </c>
      <c r="G151" s="171">
        <f t="shared" si="39"/>
        <v>5677.65</v>
      </c>
      <c r="H151" s="172">
        <f t="shared" si="40"/>
        <v>8.0201759236059626E-4</v>
      </c>
      <c r="I151" s="337"/>
      <c r="J151" s="168"/>
      <c r="K151" s="168"/>
      <c r="M151" s="364">
        <f t="shared" si="34"/>
        <v>0.22160142070957417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490">
        <f>'[60]Sch C'!D153</f>
        <v>0</v>
      </c>
      <c r="D152" s="490">
        <f>'[60]Sch C'!F153</f>
        <v>0</v>
      </c>
      <c r="E152" s="171">
        <f t="shared" si="38"/>
        <v>0</v>
      </c>
      <c r="F152" s="171">
        <v>0</v>
      </c>
      <c r="G152" s="171">
        <f t="shared" si="39"/>
        <v>0</v>
      </c>
      <c r="H152" s="172">
        <f t="shared" si="40"/>
        <v>0</v>
      </c>
      <c r="I152" s="337"/>
      <c r="J152" s="168"/>
      <c r="K152" s="168"/>
      <c r="M152" s="364">
        <f t="shared" si="34"/>
        <v>0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490">
        <f>'[60]Sch C'!D154</f>
        <v>0</v>
      </c>
      <c r="D153" s="490">
        <f>'[60]Sch C'!F154</f>
        <v>0</v>
      </c>
      <c r="E153" s="171">
        <f t="shared" si="38"/>
        <v>0</v>
      </c>
      <c r="F153" s="171">
        <v>0</v>
      </c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210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490">
        <f>'[60]Sch C'!D156</f>
        <v>0</v>
      </c>
      <c r="D155" s="490">
        <f>'[60]Sch C'!F156</f>
        <v>0</v>
      </c>
      <c r="E155" s="171">
        <f t="shared" ref="E155:E160" si="41">C155+D155</f>
        <v>0</v>
      </c>
      <c r="F155" s="171">
        <v>0</v>
      </c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490">
        <f>'[60]Sch C'!D157</f>
        <v>0</v>
      </c>
      <c r="D156" s="490">
        <f>'[60]Sch C'!F157</f>
        <v>0</v>
      </c>
      <c r="E156" s="171">
        <f t="shared" si="41"/>
        <v>0</v>
      </c>
      <c r="F156" s="171">
        <v>0</v>
      </c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490">
        <f>'[60]Sch C'!D158</f>
        <v>0</v>
      </c>
      <c r="D157" s="490">
        <f>'[60]Sch C'!F158</f>
        <v>0</v>
      </c>
      <c r="E157" s="171">
        <f t="shared" si="41"/>
        <v>0</v>
      </c>
      <c r="F157" s="171">
        <v>0</v>
      </c>
      <c r="G157" s="171">
        <f t="shared" si="42"/>
        <v>0</v>
      </c>
      <c r="H157" s="172">
        <f t="shared" si="43"/>
        <v>0</v>
      </c>
      <c r="I157" s="337"/>
      <c r="J157" s="168"/>
      <c r="K157" s="168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490">
        <f>'[60]Sch C'!D159</f>
        <v>0</v>
      </c>
      <c r="D158" s="490">
        <f>'[60]Sch C'!F159</f>
        <v>0</v>
      </c>
      <c r="E158" s="171">
        <f t="shared" si="41"/>
        <v>0</v>
      </c>
      <c r="F158" s="171">
        <v>0</v>
      </c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490">
        <f>'[60]Sch C'!D160</f>
        <v>287.98</v>
      </c>
      <c r="D159" s="490">
        <f>'[60]Sch C'!F160</f>
        <v>0</v>
      </c>
      <c r="E159" s="171">
        <f t="shared" si="41"/>
        <v>287.98</v>
      </c>
      <c r="F159" s="171">
        <v>725</v>
      </c>
      <c r="G159" s="171">
        <f t="shared" si="42"/>
        <v>1012.98</v>
      </c>
      <c r="H159" s="172">
        <f>IF($G$208=0,0,G159/$G$208)</f>
        <v>1.4309226188818206E-4</v>
      </c>
      <c r="I159" s="337"/>
      <c r="J159" s="168"/>
      <c r="K159" s="168"/>
      <c r="M159" s="364">
        <f t="shared" si="34"/>
        <v>3.9537098473908121E-2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490">
        <f>'[60]Sch C'!D161</f>
        <v>2653.4300000000003</v>
      </c>
      <c r="D160" s="490">
        <f>'[60]Sch C'!F161</f>
        <v>0</v>
      </c>
      <c r="E160" s="171">
        <f t="shared" si="41"/>
        <v>2653.4300000000003</v>
      </c>
      <c r="F160" s="171">
        <v>3489.83</v>
      </c>
      <c r="G160" s="171">
        <f t="shared" si="42"/>
        <v>6143.26</v>
      </c>
      <c r="H160" s="172">
        <f t="shared" si="43"/>
        <v>8.6778906668166528E-4</v>
      </c>
      <c r="I160" s="337"/>
      <c r="J160" s="168"/>
      <c r="K160" s="168"/>
      <c r="M160" s="364">
        <f t="shared" si="34"/>
        <v>0.23977440380937512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490">
        <f>SUM(C123:C160)</f>
        <v>1272584.1710000003</v>
      </c>
      <c r="D161" s="490">
        <f>SUM(D123:D160)</f>
        <v>0</v>
      </c>
      <c r="E161" s="171">
        <f t="shared" ref="E161:F161" si="44">SUM(E123:E160)</f>
        <v>1272584.1710000003</v>
      </c>
      <c r="F161" s="171">
        <f t="shared" si="44"/>
        <v>901469.40999999992</v>
      </c>
      <c r="G161" s="171">
        <f>SUM(G123:G160)</f>
        <v>2174053.5809999998</v>
      </c>
      <c r="H161" s="172">
        <f t="shared" si="43"/>
        <v>0.30710403400994291</v>
      </c>
      <c r="I161" s="337"/>
      <c r="J161" s="168"/>
      <c r="K161" s="168"/>
      <c r="M161" s="364">
        <f>G161/G$228</f>
        <v>84.854360914874505</v>
      </c>
      <c r="N161" s="359">
        <f>SUMMARY!J164</f>
        <v>98.597321527877028</v>
      </c>
    </row>
    <row r="162" spans="1:17" s="167" customFormat="1" ht="15.5">
      <c r="A162" s="169"/>
      <c r="B162" s="170"/>
      <c r="C162" s="196"/>
      <c r="D162" s="196"/>
      <c r="E162" s="196"/>
      <c r="F162"/>
      <c r="G162" s="196"/>
      <c r="H162" s="197"/>
      <c r="I162" s="337"/>
      <c r="J162" s="168"/>
      <c r="K162" s="168"/>
      <c r="M162" s="359"/>
      <c r="N162" s="359"/>
    </row>
    <row r="163" spans="1:17" s="167" customFormat="1" ht="15.5">
      <c r="A163" s="169" t="s">
        <v>168</v>
      </c>
      <c r="B163" s="212" t="s">
        <v>100</v>
      </c>
      <c r="C163" s="213"/>
      <c r="D163" s="213"/>
      <c r="E163" s="213"/>
      <c r="F163"/>
      <c r="G163" s="213"/>
      <c r="H163" s="214"/>
      <c r="I163" s="337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490">
        <f>'[60]Sch C'!D175</f>
        <v>0</v>
      </c>
      <c r="D164" s="490">
        <f>'[60]Sch C'!F175</f>
        <v>0</v>
      </c>
      <c r="E164" s="171">
        <f t="shared" ref="E164:E196" si="45">C164+D164</f>
        <v>0</v>
      </c>
      <c r="F164" s="171">
        <v>0</v>
      </c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/>
      <c r="K164" s="217"/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490">
        <f>'[60]Sch C'!D176</f>
        <v>0</v>
      </c>
      <c r="D165" s="490">
        <f>'[60]Sch C'!F176</f>
        <v>0</v>
      </c>
      <c r="E165" s="171">
        <f t="shared" si="45"/>
        <v>0</v>
      </c>
      <c r="F165" s="171">
        <v>0</v>
      </c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490">
        <f>'[60]Sch C'!D177</f>
        <v>270971.26999999996</v>
      </c>
      <c r="D166" s="490">
        <f>'[60]Sch C'!F177</f>
        <v>0</v>
      </c>
      <c r="E166" s="171">
        <f t="shared" si="45"/>
        <v>270971.26999999996</v>
      </c>
      <c r="F166" s="496">
        <v>189079</v>
      </c>
      <c r="G166" s="171">
        <f t="shared" si="46"/>
        <v>460050.26999999996</v>
      </c>
      <c r="H166" s="172">
        <f t="shared" si="47"/>
        <v>6.4986113957401781E-2</v>
      </c>
      <c r="I166" s="343"/>
      <c r="J166" s="217"/>
      <c r="K166" s="217"/>
      <c r="L166" s="218"/>
      <c r="M166" s="364">
        <f t="shared" si="48"/>
        <v>17.95598415362398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490">
        <f>'[60]Sch C'!D178</f>
        <v>71076.539999999979</v>
      </c>
      <c r="D167" s="490">
        <f>'[60]Sch C'!F178</f>
        <v>0</v>
      </c>
      <c r="E167" s="171">
        <f t="shared" si="45"/>
        <v>71076.539999999979</v>
      </c>
      <c r="F167" s="496">
        <v>54919</v>
      </c>
      <c r="G167" s="171">
        <f t="shared" si="46"/>
        <v>125995.53999999998</v>
      </c>
      <c r="H167" s="172">
        <f t="shared" si="47"/>
        <v>1.7797969166639928E-2</v>
      </c>
      <c r="I167" s="344"/>
      <c r="J167" s="222"/>
      <c r="K167" s="222"/>
      <c r="L167" s="218"/>
      <c r="M167" s="364">
        <f t="shared" si="48"/>
        <v>4.9176667577377922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490">
        <f>'[60]Sch C'!D179</f>
        <v>50107.33</v>
      </c>
      <c r="D168" s="490">
        <f>'[60]Sch C'!F179</f>
        <v>0</v>
      </c>
      <c r="E168" s="171">
        <f t="shared" si="45"/>
        <v>50107.33</v>
      </c>
      <c r="F168" s="496">
        <v>30445</v>
      </c>
      <c r="G168" s="171">
        <f t="shared" si="46"/>
        <v>80552.33</v>
      </c>
      <c r="H168" s="172">
        <f t="shared" si="47"/>
        <v>1.1378719323247511E-2</v>
      </c>
      <c r="I168" s="343"/>
      <c r="J168" s="217"/>
      <c r="K168" s="217"/>
      <c r="L168" s="218"/>
      <c r="M168" s="364">
        <f t="shared" si="48"/>
        <v>3.1439963311346162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490">
        <f>'[60]Sch C'!D180</f>
        <v>11253.39</v>
      </c>
      <c r="D169" s="490">
        <f>'[60]Sch C'!F180</f>
        <v>0</v>
      </c>
      <c r="E169" s="171">
        <f t="shared" si="45"/>
        <v>11253.39</v>
      </c>
      <c r="F169" s="496">
        <v>8183</v>
      </c>
      <c r="G169" s="171">
        <f t="shared" si="46"/>
        <v>19436.39</v>
      </c>
      <c r="H169" s="172">
        <f t="shared" si="47"/>
        <v>2.7455596438634945E-3</v>
      </c>
      <c r="I169" s="344"/>
      <c r="J169" s="222"/>
      <c r="K169" s="222"/>
      <c r="L169" s="218"/>
      <c r="M169" s="364">
        <f t="shared" si="48"/>
        <v>0.75861168572655246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490">
        <f>'[60]Sch C'!D181</f>
        <v>0</v>
      </c>
      <c r="D170" s="490">
        <f>'[60]Sch C'!F181</f>
        <v>0</v>
      </c>
      <c r="E170" s="171">
        <f t="shared" si="45"/>
        <v>0</v>
      </c>
      <c r="F170" s="171"/>
      <c r="G170" s="171">
        <f t="shared" si="46"/>
        <v>0</v>
      </c>
      <c r="H170" s="172">
        <f t="shared" si="47"/>
        <v>0</v>
      </c>
      <c r="I170" s="343"/>
      <c r="J170" s="217"/>
      <c r="K170" s="217"/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490">
        <f>'[60]Sch C'!D182</f>
        <v>0</v>
      </c>
      <c r="D171" s="490">
        <f>'[60]Sch C'!F182</f>
        <v>0</v>
      </c>
      <c r="E171" s="171">
        <f t="shared" si="45"/>
        <v>0</v>
      </c>
      <c r="F171" s="171"/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490">
        <f>'[60]Sch C'!D183</f>
        <v>143743.52000000002</v>
      </c>
      <c r="D172" s="490">
        <f>'[60]Sch C'!F183</f>
        <v>0</v>
      </c>
      <c r="E172" s="171">
        <f t="shared" si="45"/>
        <v>143743.52000000002</v>
      </c>
      <c r="F172" s="496">
        <v>99374</v>
      </c>
      <c r="G172" s="171">
        <f t="shared" si="46"/>
        <v>243117.52000000002</v>
      </c>
      <c r="H172" s="172">
        <f t="shared" si="47"/>
        <v>3.4342470573402575E-2</v>
      </c>
      <c r="I172" s="343"/>
      <c r="J172" s="217"/>
      <c r="K172" s="217"/>
      <c r="L172" s="218"/>
      <c r="M172" s="364">
        <f t="shared" si="48"/>
        <v>9.488994184458063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490">
        <f>'[60]Sch C'!D184</f>
        <v>36092.46</v>
      </c>
      <c r="D173" s="490">
        <f>'[60]Sch C'!F184</f>
        <v>0</v>
      </c>
      <c r="E173" s="171">
        <f t="shared" si="45"/>
        <v>36092.46</v>
      </c>
      <c r="F173" s="496">
        <v>27144</v>
      </c>
      <c r="G173" s="171">
        <f t="shared" si="46"/>
        <v>63236.46</v>
      </c>
      <c r="H173" s="172">
        <f t="shared" si="47"/>
        <v>8.9327016280692107E-3</v>
      </c>
      <c r="I173" s="344"/>
      <c r="J173" s="222"/>
      <c r="K173" s="222"/>
      <c r="L173" s="218"/>
      <c r="M173" s="364">
        <f t="shared" si="48"/>
        <v>2.4681495648101168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490">
        <f>'[60]Sch C'!D185</f>
        <v>0</v>
      </c>
      <c r="D174" s="490">
        <f>'[60]Sch C'!F185</f>
        <v>0</v>
      </c>
      <c r="E174" s="171">
        <f t="shared" si="45"/>
        <v>0</v>
      </c>
      <c r="F174" s="171">
        <v>0</v>
      </c>
      <c r="G174" s="171">
        <f t="shared" si="46"/>
        <v>0</v>
      </c>
      <c r="H174" s="172">
        <f t="shared" si="47"/>
        <v>0</v>
      </c>
      <c r="I174" s="343"/>
      <c r="J174" s="217"/>
      <c r="K174" s="217"/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490">
        <f>'[60]Sch C'!D186</f>
        <v>0</v>
      </c>
      <c r="D175" s="490">
        <f>'[60]Sch C'!F186</f>
        <v>0</v>
      </c>
      <c r="E175" s="171">
        <f t="shared" si="45"/>
        <v>0</v>
      </c>
      <c r="F175" s="171">
        <v>0</v>
      </c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490">
        <f>'[60]Sch C'!D187</f>
        <v>0</v>
      </c>
      <c r="D176" s="490">
        <f>'[60]Sch C'!F187</f>
        <v>0</v>
      </c>
      <c r="E176" s="171">
        <f t="shared" si="45"/>
        <v>0</v>
      </c>
      <c r="F176" s="171">
        <v>0</v>
      </c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490">
        <f>'[60]Sch C'!D188</f>
        <v>0</v>
      </c>
      <c r="D177" s="490">
        <f>'[60]Sch C'!F188</f>
        <v>0</v>
      </c>
      <c r="E177" s="171">
        <f t="shared" si="45"/>
        <v>0</v>
      </c>
      <c r="F177" s="171">
        <v>0</v>
      </c>
      <c r="G177" s="171">
        <f t="shared" si="46"/>
        <v>0</v>
      </c>
      <c r="H177" s="172">
        <f t="shared" si="47"/>
        <v>0</v>
      </c>
      <c r="I177" s="337"/>
      <c r="J177" s="223"/>
      <c r="K177" s="218"/>
      <c r="L177" s="220"/>
      <c r="M177" s="364">
        <f t="shared" si="48"/>
        <v>0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490">
        <f>'[60]Sch C'!D189</f>
        <v>954.5</v>
      </c>
      <c r="D178" s="490">
        <f>'[60]Sch C'!F189</f>
        <v>0</v>
      </c>
      <c r="E178" s="171">
        <f t="shared" si="45"/>
        <v>954.5</v>
      </c>
      <c r="F178" s="171">
        <v>0</v>
      </c>
      <c r="G178" s="171">
        <f t="shared" si="46"/>
        <v>954.5</v>
      </c>
      <c r="H178" s="172">
        <f t="shared" si="47"/>
        <v>1.3483145172882958E-4</v>
      </c>
      <c r="I178" s="337"/>
      <c r="J178" s="223"/>
      <c r="K178" s="218"/>
      <c r="L178" s="220"/>
      <c r="M178" s="364">
        <f t="shared" si="48"/>
        <v>3.7254595839350535E-2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490">
        <f>'[60]Sch C'!D190</f>
        <v>0</v>
      </c>
      <c r="D179" s="490">
        <f>'[60]Sch C'!F190</f>
        <v>0</v>
      </c>
      <c r="E179" s="171">
        <f t="shared" si="45"/>
        <v>0</v>
      </c>
      <c r="F179" s="171">
        <v>0</v>
      </c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490">
        <f>'[60]Sch C'!D191</f>
        <v>0</v>
      </c>
      <c r="D180" s="490">
        <f>'[60]Sch C'!F191</f>
        <v>0</v>
      </c>
      <c r="E180" s="171">
        <f t="shared" si="45"/>
        <v>0</v>
      </c>
      <c r="F180" s="171">
        <v>0</v>
      </c>
      <c r="G180" s="171">
        <f t="shared" si="46"/>
        <v>0</v>
      </c>
      <c r="H180" s="172">
        <f t="shared" si="47"/>
        <v>0</v>
      </c>
      <c r="I180" s="337"/>
      <c r="J180" s="223"/>
      <c r="K180" s="218"/>
      <c r="L180" s="220"/>
      <c r="M180" s="364">
        <f t="shared" si="48"/>
        <v>0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490">
        <f>'[60]Sch C'!D192</f>
        <v>24486.959999999999</v>
      </c>
      <c r="D181" s="490">
        <f>'[60]Sch C'!F192</f>
        <v>0</v>
      </c>
      <c r="E181" s="171">
        <f t="shared" si="45"/>
        <v>24486.959999999999</v>
      </c>
      <c r="F181" s="171">
        <v>11551.150000000001</v>
      </c>
      <c r="G181" s="171">
        <f t="shared" si="46"/>
        <v>36038.11</v>
      </c>
      <c r="H181" s="172">
        <f t="shared" si="47"/>
        <v>5.090697421543478E-3</v>
      </c>
      <c r="I181" s="337"/>
      <c r="J181" s="223"/>
      <c r="K181" s="218"/>
      <c r="L181" s="220"/>
      <c r="M181" s="364">
        <f t="shared" si="48"/>
        <v>1.4065848327543813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490">
        <f>'[60]Sch C'!D193</f>
        <v>0</v>
      </c>
      <c r="D182" s="490">
        <f>'[60]Sch C'!F193</f>
        <v>0</v>
      </c>
      <c r="E182" s="171">
        <f t="shared" si="45"/>
        <v>0</v>
      </c>
      <c r="F182" s="171">
        <v>0</v>
      </c>
      <c r="G182" s="171">
        <f t="shared" si="46"/>
        <v>0</v>
      </c>
      <c r="H182" s="172">
        <f t="shared" si="47"/>
        <v>0</v>
      </c>
      <c r="I182" s="337"/>
      <c r="J182" s="223"/>
      <c r="K182" s="218"/>
      <c r="L182" s="220"/>
      <c r="M182" s="364">
        <f t="shared" si="48"/>
        <v>0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490">
        <f>'[60]Sch C'!D194</f>
        <v>0</v>
      </c>
      <c r="D183" s="490">
        <f>'[60]Sch C'!F194</f>
        <v>0</v>
      </c>
      <c r="E183" s="171">
        <f t="shared" si="45"/>
        <v>0</v>
      </c>
      <c r="F183" s="496">
        <f>245620.32-245620.32</f>
        <v>0</v>
      </c>
      <c r="G183" s="171">
        <f t="shared" si="46"/>
        <v>0</v>
      </c>
      <c r="H183" s="172">
        <f t="shared" si="47"/>
        <v>0</v>
      </c>
      <c r="I183" s="337"/>
      <c r="J183" s="223"/>
      <c r="K183" s="218"/>
      <c r="M183" s="364">
        <f t="shared" si="48"/>
        <v>0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490">
        <f>'[60]Sch C'!D195</f>
        <v>0</v>
      </c>
      <c r="D184" s="490">
        <f>'[60]Sch C'!F195</f>
        <v>0</v>
      </c>
      <c r="E184" s="171">
        <f t="shared" si="45"/>
        <v>0</v>
      </c>
      <c r="F184" s="496">
        <f>38627.77-38627.77</f>
        <v>0</v>
      </c>
      <c r="G184" s="171">
        <f t="shared" si="46"/>
        <v>0</v>
      </c>
      <c r="H184" s="172">
        <f t="shared" si="47"/>
        <v>0</v>
      </c>
      <c r="I184" s="337"/>
      <c r="J184" s="223"/>
      <c r="K184" s="218"/>
      <c r="M184" s="364">
        <f t="shared" si="48"/>
        <v>0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490">
        <f>'[60]Sch C'!D196</f>
        <v>0</v>
      </c>
      <c r="D185" s="490">
        <f>'[60]Sch C'!F196</f>
        <v>0</v>
      </c>
      <c r="E185" s="171">
        <f t="shared" si="45"/>
        <v>0</v>
      </c>
      <c r="F185" s="171">
        <v>0</v>
      </c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490">
        <f>'[60]Sch C'!D197</f>
        <v>0</v>
      </c>
      <c r="D186" s="490">
        <f>'[60]Sch C'!F197</f>
        <v>0</v>
      </c>
      <c r="E186" s="171">
        <f t="shared" si="45"/>
        <v>0</v>
      </c>
      <c r="F186" s="496">
        <f>127375.71-127375.71</f>
        <v>0</v>
      </c>
      <c r="G186" s="171">
        <f t="shared" si="46"/>
        <v>0</v>
      </c>
      <c r="H186" s="172">
        <f t="shared" si="47"/>
        <v>0</v>
      </c>
      <c r="I186" s="337"/>
      <c r="J186" s="223"/>
      <c r="K186" s="218"/>
      <c r="M186" s="364">
        <f t="shared" si="48"/>
        <v>0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490">
        <f>'[60]Sch C'!D198</f>
        <v>0</v>
      </c>
      <c r="D187" s="490">
        <f>'[60]Sch C'!F198</f>
        <v>0</v>
      </c>
      <c r="E187" s="171">
        <f t="shared" si="45"/>
        <v>0</v>
      </c>
      <c r="F187" s="171">
        <v>0</v>
      </c>
      <c r="G187" s="171">
        <f t="shared" si="46"/>
        <v>0</v>
      </c>
      <c r="H187" s="172">
        <f t="shared" si="47"/>
        <v>0</v>
      </c>
      <c r="I187" s="337"/>
      <c r="J187" s="223"/>
      <c r="K187" s="218"/>
      <c r="M187" s="364">
        <f t="shared" si="48"/>
        <v>0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490">
        <f>'[60]Sch C'!D199</f>
        <v>0</v>
      </c>
      <c r="D188" s="490">
        <f>'[60]Sch C'!F199</f>
        <v>0</v>
      </c>
      <c r="E188" s="171">
        <f t="shared" si="45"/>
        <v>0</v>
      </c>
      <c r="F188" s="171">
        <v>0</v>
      </c>
      <c r="G188" s="171">
        <f t="shared" si="46"/>
        <v>0</v>
      </c>
      <c r="H188" s="172">
        <f t="shared" si="47"/>
        <v>0</v>
      </c>
      <c r="I188" s="337"/>
      <c r="J188" s="223"/>
      <c r="K188" s="218"/>
      <c r="M188" s="364">
        <f t="shared" si="48"/>
        <v>0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490">
        <f>'[60]Sch C'!D200</f>
        <v>0</v>
      </c>
      <c r="D189" s="490">
        <f>'[60]Sch C'!F200</f>
        <v>0</v>
      </c>
      <c r="E189" s="171">
        <f t="shared" si="45"/>
        <v>0</v>
      </c>
      <c r="F189" s="171">
        <v>0</v>
      </c>
      <c r="G189" s="171">
        <f t="shared" si="46"/>
        <v>0</v>
      </c>
      <c r="H189" s="172">
        <f t="shared" si="47"/>
        <v>0</v>
      </c>
      <c r="I189" s="337"/>
      <c r="J189" s="223"/>
      <c r="K189" s="218"/>
      <c r="M189" s="364">
        <f t="shared" si="48"/>
        <v>0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490">
        <f>'[60]Sch C'!D201</f>
        <v>0</v>
      </c>
      <c r="D190" s="490">
        <f>'[60]Sch C'!F201</f>
        <v>0</v>
      </c>
      <c r="E190" s="171">
        <f t="shared" si="45"/>
        <v>0</v>
      </c>
      <c r="F190" s="171">
        <v>0</v>
      </c>
      <c r="G190" s="171">
        <f t="shared" si="46"/>
        <v>0</v>
      </c>
      <c r="H190" s="172">
        <f t="shared" si="47"/>
        <v>0</v>
      </c>
      <c r="I190" s="337"/>
      <c r="J190" s="223"/>
      <c r="K190" s="218"/>
      <c r="M190" s="364">
        <f t="shared" si="48"/>
        <v>0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490">
        <f>'[60]Sch C'!D202</f>
        <v>0</v>
      </c>
      <c r="D191" s="490">
        <f>'[60]Sch C'!F202</f>
        <v>0</v>
      </c>
      <c r="E191" s="171">
        <f t="shared" si="45"/>
        <v>0</v>
      </c>
      <c r="F191" s="171">
        <v>0</v>
      </c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490">
        <f>'[60]Sch C'!D203</f>
        <v>3707.58</v>
      </c>
      <c r="D192" s="490">
        <f>'[60]Sch C'!F203</f>
        <v>0</v>
      </c>
      <c r="E192" s="171">
        <f t="shared" si="45"/>
        <v>3707.58</v>
      </c>
      <c r="F192" s="171">
        <v>3043.34</v>
      </c>
      <c r="G192" s="171">
        <f t="shared" si="46"/>
        <v>6750.92</v>
      </c>
      <c r="H192" s="172">
        <f t="shared" si="47"/>
        <v>9.5362634269794669E-4</v>
      </c>
      <c r="I192" s="337"/>
      <c r="J192" s="223"/>
      <c r="K192" s="218"/>
      <c r="M192" s="364">
        <f t="shared" si="48"/>
        <v>0.26349166699192067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490">
        <f>'[60]Sch C'!D204</f>
        <v>0</v>
      </c>
      <c r="D193" s="490">
        <f>'[60]Sch C'!F204</f>
        <v>0</v>
      </c>
      <c r="E193" s="171">
        <f t="shared" si="45"/>
        <v>0</v>
      </c>
      <c r="F193" s="171">
        <v>0</v>
      </c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490">
        <f>'[60]Sch C'!D205</f>
        <v>203941.06000000003</v>
      </c>
      <c r="D194" s="490">
        <f>'[60]Sch C'!F205</f>
        <v>0</v>
      </c>
      <c r="E194" s="171">
        <f t="shared" si="45"/>
        <v>203941.06000000003</v>
      </c>
      <c r="F194" s="171">
        <v>142763.44</v>
      </c>
      <c r="G194" s="171">
        <f t="shared" si="46"/>
        <v>346704.5</v>
      </c>
      <c r="H194" s="172">
        <f t="shared" si="47"/>
        <v>4.8975035155492917E-2</v>
      </c>
      <c r="I194" s="337"/>
      <c r="J194" s="223"/>
      <c r="K194" s="218"/>
      <c r="M194" s="364">
        <f t="shared" si="48"/>
        <v>13.532044026384606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490">
        <f>'[60]Sch C'!D206</f>
        <v>9147.8599999999988</v>
      </c>
      <c r="D195" s="490">
        <f>'[60]Sch C'!F206</f>
        <v>0</v>
      </c>
      <c r="E195" s="171">
        <f t="shared" si="45"/>
        <v>9147.8599999999988</v>
      </c>
      <c r="F195" s="171">
        <v>5898.42</v>
      </c>
      <c r="G195" s="171">
        <f t="shared" si="46"/>
        <v>15046.279999999999</v>
      </c>
      <c r="H195" s="172">
        <f t="shared" si="47"/>
        <v>2.1254183085578351E-3</v>
      </c>
      <c r="I195" s="337"/>
      <c r="J195" s="223"/>
      <c r="K195" s="218"/>
      <c r="M195" s="364">
        <f t="shared" si="48"/>
        <v>0.5872635728503961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490">
        <f>'[60]Sch C'!D207</f>
        <v>31888.070000000003</v>
      </c>
      <c r="D196" s="490">
        <f>'[60]Sch C'!F207</f>
        <v>0</v>
      </c>
      <c r="E196" s="171">
        <f t="shared" si="45"/>
        <v>31888.070000000003</v>
      </c>
      <c r="F196" s="171">
        <v>9997.8200000000015</v>
      </c>
      <c r="G196" s="171">
        <f t="shared" si="46"/>
        <v>41885.890000000007</v>
      </c>
      <c r="H196" s="172">
        <f t="shared" si="47"/>
        <v>5.9167473605595241E-3</v>
      </c>
      <c r="I196" s="337"/>
      <c r="J196" s="223"/>
      <c r="K196" s="218"/>
      <c r="M196" s="364">
        <f t="shared" si="48"/>
        <v>1.6348265095039227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490">
        <f>SUM(C164:C196)</f>
        <v>857370.53999999992</v>
      </c>
      <c r="D197" s="490">
        <f>SUM(D164:D196)</f>
        <v>0</v>
      </c>
      <c r="E197" s="171">
        <f t="shared" ref="E197:F197" si="49">SUM(E164:E196)</f>
        <v>857370.53999999992</v>
      </c>
      <c r="F197" s="171">
        <f t="shared" si="49"/>
        <v>582398.17000000004</v>
      </c>
      <c r="G197" s="171">
        <f>SUM(G164:G196)</f>
        <v>1439768.71</v>
      </c>
      <c r="H197" s="172">
        <f>IF($G$208=0,0,G197/$G$208)</f>
        <v>0.20337989033320503</v>
      </c>
      <c r="I197" s="337"/>
      <c r="J197" s="168"/>
      <c r="K197" s="168"/>
      <c r="M197" s="364">
        <f>G197/G$228</f>
        <v>56.194867881815696</v>
      </c>
      <c r="N197" s="359">
        <f>SUMMARY!J200</f>
        <v>35.91740838389223</v>
      </c>
    </row>
    <row r="198" spans="1:16" s="167" customFormat="1" ht="15.5">
      <c r="A198" s="163"/>
      <c r="C198" s="165"/>
      <c r="D198" s="165"/>
      <c r="E198" s="165"/>
      <c r="F198"/>
      <c r="G198" s="165"/>
      <c r="H198" s="198"/>
      <c r="I198" s="341"/>
      <c r="J198" s="168"/>
      <c r="K198" s="168"/>
      <c r="M198" s="359"/>
      <c r="N198" s="359"/>
    </row>
    <row r="199" spans="1:16" s="167" customFormat="1" ht="15.5">
      <c r="A199" s="169" t="s">
        <v>169</v>
      </c>
      <c r="B199" s="170" t="s">
        <v>68</v>
      </c>
      <c r="C199" s="165"/>
      <c r="D199" s="165"/>
      <c r="E199" s="165"/>
      <c r="F199"/>
      <c r="G199" s="165"/>
      <c r="H199" s="198"/>
      <c r="I199" s="341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490">
        <f>'[60]Sch C'!D211</f>
        <v>66749.290000000008</v>
      </c>
      <c r="D200" s="490">
        <f>'[60]Sch C'!F211</f>
        <v>0</v>
      </c>
      <c r="E200" s="171">
        <f t="shared" ref="E200:E205" si="50">C200+D200</f>
        <v>66749.290000000008</v>
      </c>
      <c r="F200" s="496">
        <v>43599</v>
      </c>
      <c r="G200" s="171">
        <f t="shared" ref="G200:G205" si="51">E200+F200</f>
        <v>110348.29000000001</v>
      </c>
      <c r="H200" s="172">
        <f t="shared" ref="H200:H206" si="52">IF($G$208=0,0,G200/$G$208)</f>
        <v>1.5587658602927068E-2</v>
      </c>
      <c r="I200" s="337"/>
      <c r="J200" s="183"/>
      <c r="K200" s="183"/>
      <c r="M200" s="364">
        <f t="shared" ref="M200:M205" si="53">G200/G$228</f>
        <v>4.3069470356348312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490">
        <f>'[60]Sch C'!D212</f>
        <v>17848.850000000002</v>
      </c>
      <c r="D201" s="490">
        <f>'[60]Sch C'!F212</f>
        <v>0</v>
      </c>
      <c r="E201" s="171">
        <f t="shared" si="50"/>
        <v>17848.850000000002</v>
      </c>
      <c r="F201" s="496">
        <v>10384</v>
      </c>
      <c r="G201" s="171">
        <f t="shared" si="51"/>
        <v>28232.850000000002</v>
      </c>
      <c r="H201" s="172">
        <f t="shared" si="52"/>
        <v>3.9881363561469737E-3</v>
      </c>
      <c r="I201" s="337"/>
      <c r="J201" s="168"/>
      <c r="K201" s="168"/>
      <c r="M201" s="364">
        <f t="shared" si="53"/>
        <v>1.101941766519652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490">
        <f>'[60]Sch C'!D213</f>
        <v>4962.5</v>
      </c>
      <c r="D202" s="490">
        <f>'[60]Sch C'!F213</f>
        <v>0</v>
      </c>
      <c r="E202" s="171">
        <f t="shared" si="50"/>
        <v>4962.5</v>
      </c>
      <c r="F202" s="496">
        <f>58567.3-54004</f>
        <v>4563.3000000000029</v>
      </c>
      <c r="G202" s="171">
        <f t="shared" si="51"/>
        <v>9525.8000000000029</v>
      </c>
      <c r="H202" s="172">
        <f t="shared" si="52"/>
        <v>1.3456023497941175E-3</v>
      </c>
      <c r="I202" s="337"/>
      <c r="J202" s="168"/>
      <c r="K202" s="168"/>
      <c r="M202" s="364">
        <f t="shared" si="53"/>
        <v>0.37179657312360964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490">
        <f>'[60]Sch C'!D214</f>
        <v>0</v>
      </c>
      <c r="D203" s="490">
        <f>'[60]Sch C'!F214</f>
        <v>0</v>
      </c>
      <c r="E203" s="171">
        <f t="shared" si="50"/>
        <v>0</v>
      </c>
      <c r="F203" s="171">
        <v>0</v>
      </c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>
        <f t="shared" si="53"/>
        <v>0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490">
        <f>'[60]Sch C'!D215</f>
        <v>0</v>
      </c>
      <c r="D204" s="490">
        <f>'[60]Sch C'!F215</f>
        <v>0</v>
      </c>
      <c r="E204" s="171">
        <f t="shared" si="50"/>
        <v>0</v>
      </c>
      <c r="F204" s="171">
        <v>0</v>
      </c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490">
        <f>'[60]Sch C'!D216</f>
        <v>6081.88</v>
      </c>
      <c r="D205" s="490">
        <f>'[60]Sch C'!F216</f>
        <v>0</v>
      </c>
      <c r="E205" s="171">
        <f t="shared" si="50"/>
        <v>6081.88</v>
      </c>
      <c r="F205" s="171">
        <v>1742.08</v>
      </c>
      <c r="G205" s="171">
        <f t="shared" si="51"/>
        <v>7823.96</v>
      </c>
      <c r="H205" s="172">
        <f t="shared" si="52"/>
        <v>1.1052026035288562E-3</v>
      </c>
      <c r="I205" s="337"/>
      <c r="J205" s="168"/>
      <c r="K205" s="168"/>
      <c r="M205" s="364">
        <f t="shared" si="53"/>
        <v>0.30537293626322159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490">
        <f>SUM(C200:C205)</f>
        <v>95642.520000000019</v>
      </c>
      <c r="D206" s="490">
        <f>SUM(D200:D205)</f>
        <v>0</v>
      </c>
      <c r="E206" s="171">
        <f t="shared" ref="E206:F206" si="54">SUM(E200:E205)</f>
        <v>95642.520000000019</v>
      </c>
      <c r="F206" s="171">
        <f t="shared" si="54"/>
        <v>60288.380000000005</v>
      </c>
      <c r="G206" s="171">
        <f>SUM(G200:G205)</f>
        <v>155930.9</v>
      </c>
      <c r="H206" s="172">
        <f t="shared" si="52"/>
        <v>2.2026599912397013E-2</v>
      </c>
      <c r="I206" s="337"/>
      <c r="J206" s="168"/>
      <c r="K206" s="168"/>
      <c r="M206" s="364">
        <f>G206/G$228</f>
        <v>6.0860583115413132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455"/>
      <c r="G207" s="165"/>
      <c r="H207" s="198"/>
      <c r="I207" s="341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490">
        <f>SUM(C25:C206)/2</f>
        <v>4110153.1709999992</v>
      </c>
      <c r="D208" s="490">
        <f>SUM(D25:D206)/2</f>
        <v>285709.82</v>
      </c>
      <c r="E208" s="171">
        <f t="shared" ref="E208:F208" si="55">SUM(E25:E206)/2</f>
        <v>4395862.9909999985</v>
      </c>
      <c r="F208" s="171">
        <f t="shared" si="55"/>
        <v>2683345.8120000004</v>
      </c>
      <c r="G208" s="171">
        <f>SUM(G25:G206)/2</f>
        <v>7079208.8030000012</v>
      </c>
      <c r="H208" s="172">
        <f>IF($G$208=0,0,G208/$G$208)</f>
        <v>1</v>
      </c>
      <c r="I208" s="337"/>
      <c r="J208" s="183">
        <f>SUM(J25:J200)</f>
        <v>39301.94</v>
      </c>
      <c r="K208" s="183">
        <f>SUM(K25:K200)</f>
        <v>40511.29</v>
      </c>
      <c r="M208" s="364">
        <f>G208/G$228</f>
        <v>276.3049374731666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490">
        <f>'[60]Sch C'!D221</f>
        <v>4110153.17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490">
        <f>C208-C211</f>
        <v>9.9999923259019852E-4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619"/>
      <c r="D213" s="232"/>
      <c r="E213" s="232"/>
      <c r="F213" s="641" t="s">
        <v>615</v>
      </c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641" t="s">
        <v>612</v>
      </c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490">
        <f>C21-C208</f>
        <v>517369.80900000129</v>
      </c>
      <c r="D215" s="490">
        <f>D21-D208</f>
        <v>-285734.32</v>
      </c>
      <c r="E215" s="171">
        <f t="shared" ref="E215:F215" si="56">E21-E208</f>
        <v>231635.48900000192</v>
      </c>
      <c r="F215" s="171">
        <f t="shared" si="56"/>
        <v>906874.1379999998</v>
      </c>
      <c r="G215" s="171">
        <f>G21-G208</f>
        <v>1138509.6269999985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422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641" t="s">
        <v>615</v>
      </c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641" t="s">
        <v>612</v>
      </c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491">
        <f>'[60]Sch D'!C9</f>
        <v>6760</v>
      </c>
      <c r="D219" s="491"/>
      <c r="E219" s="235">
        <f t="shared" ref="E219:G227" si="57">C219+D219</f>
        <v>6760</v>
      </c>
      <c r="F219" s="235">
        <v>4540</v>
      </c>
      <c r="G219" s="235">
        <f t="shared" si="57"/>
        <v>11300</v>
      </c>
      <c r="H219" s="172">
        <f t="shared" ref="H219:H228" si="58">IF($G$228=0,0,G219/$G$228)</f>
        <v>0.44104445571991724</v>
      </c>
      <c r="I219" s="337"/>
      <c r="J219" s="168"/>
      <c r="K219" s="168"/>
    </row>
    <row r="220" spans="1:14">
      <c r="A220" s="163"/>
      <c r="B220" s="170" t="s">
        <v>217</v>
      </c>
      <c r="C220" s="491">
        <f>'[60]Sch D'!D9</f>
        <v>0</v>
      </c>
      <c r="D220" s="491"/>
      <c r="E220" s="235">
        <f t="shared" ref="E220:E227" si="59">C220+D220</f>
        <v>0</v>
      </c>
      <c r="F220" s="235">
        <v>0</v>
      </c>
      <c r="G220" s="235">
        <f t="shared" si="57"/>
        <v>0</v>
      </c>
      <c r="H220" s="172">
        <f t="shared" si="58"/>
        <v>0</v>
      </c>
      <c r="I220" s="337"/>
      <c r="J220" s="168"/>
      <c r="K220" s="168"/>
    </row>
    <row r="221" spans="1:14">
      <c r="A221" s="163"/>
      <c r="B221" s="170" t="s">
        <v>72</v>
      </c>
      <c r="C221" s="491">
        <f>'[60]Sch D'!E9</f>
        <v>4381</v>
      </c>
      <c r="D221" s="491"/>
      <c r="E221" s="235">
        <f t="shared" si="59"/>
        <v>4381</v>
      </c>
      <c r="F221" s="235">
        <v>2836</v>
      </c>
      <c r="G221" s="235">
        <f t="shared" si="57"/>
        <v>7217</v>
      </c>
      <c r="H221" s="172">
        <f t="shared" si="58"/>
        <v>0.28168299441864098</v>
      </c>
      <c r="I221" s="337"/>
      <c r="J221" s="168"/>
      <c r="K221" s="168"/>
    </row>
    <row r="222" spans="1:14">
      <c r="A222" s="163"/>
      <c r="B222" s="202" t="s">
        <v>334</v>
      </c>
      <c r="C222" s="491">
        <f>'[60]Sch D'!F9</f>
        <v>1586</v>
      </c>
      <c r="D222" s="491"/>
      <c r="E222" s="235">
        <f>C222+D222</f>
        <v>1586</v>
      </c>
      <c r="F222" s="235">
        <v>1236</v>
      </c>
      <c r="G222" s="235">
        <f>E222+F222</f>
        <v>2822</v>
      </c>
      <c r="H222" s="172">
        <f t="shared" si="58"/>
        <v>0.11014402248155809</v>
      </c>
      <c r="I222" s="337"/>
      <c r="J222" s="168"/>
      <c r="K222" s="168"/>
    </row>
    <row r="223" spans="1:14">
      <c r="A223" s="163"/>
      <c r="B223" s="170" t="s">
        <v>73</v>
      </c>
      <c r="C223" s="491">
        <f>'[60]Sch D'!G9</f>
        <v>0</v>
      </c>
      <c r="D223" s="491"/>
      <c r="E223" s="235">
        <f t="shared" si="59"/>
        <v>0</v>
      </c>
      <c r="F223" s="235">
        <v>0</v>
      </c>
      <c r="G223" s="235">
        <f t="shared" si="57"/>
        <v>0</v>
      </c>
      <c r="H223" s="172">
        <f t="shared" si="58"/>
        <v>0</v>
      </c>
      <c r="I223" s="337"/>
      <c r="J223" s="168"/>
      <c r="K223" s="168"/>
    </row>
    <row r="224" spans="1:14">
      <c r="A224" s="163"/>
      <c r="B224" s="170" t="s">
        <v>74</v>
      </c>
      <c r="C224" s="491">
        <f>'[60]Sch D'!H9</f>
        <v>2032</v>
      </c>
      <c r="D224" s="491"/>
      <c r="E224" s="235">
        <f t="shared" si="59"/>
        <v>2032</v>
      </c>
      <c r="F224" s="235">
        <v>1500</v>
      </c>
      <c r="G224" s="235">
        <f t="shared" si="57"/>
        <v>3532</v>
      </c>
      <c r="H224" s="172">
        <f t="shared" si="58"/>
        <v>0.13785566527457946</v>
      </c>
      <c r="I224" s="337"/>
      <c r="J224" s="168"/>
      <c r="K224" s="168"/>
    </row>
    <row r="225" spans="1:11">
      <c r="A225" s="163"/>
      <c r="B225" s="170" t="s">
        <v>236</v>
      </c>
      <c r="C225" s="491">
        <f>'[60]Sch D'!I9</f>
        <v>437</v>
      </c>
      <c r="D225" s="491"/>
      <c r="E225" s="235">
        <f t="shared" si="59"/>
        <v>437</v>
      </c>
      <c r="F225" s="235">
        <v>235</v>
      </c>
      <c r="G225" s="235">
        <f t="shared" si="57"/>
        <v>672</v>
      </c>
      <c r="H225" s="172">
        <f t="shared" si="58"/>
        <v>2.6228484446352601E-2</v>
      </c>
      <c r="I225" s="337"/>
      <c r="J225" s="168"/>
      <c r="K225" s="168"/>
    </row>
    <row r="226" spans="1:11">
      <c r="A226" s="163"/>
      <c r="B226" s="170" t="s">
        <v>235</v>
      </c>
      <c r="C226" s="491">
        <f>'[60]Sch D'!J9</f>
        <v>45</v>
      </c>
      <c r="D226" s="491"/>
      <c r="E226" s="235">
        <f>C226+D226</f>
        <v>45</v>
      </c>
      <c r="F226" s="235">
        <v>33</v>
      </c>
      <c r="G226" s="235">
        <f>E226+F226</f>
        <v>78</v>
      </c>
      <c r="H226" s="172">
        <f t="shared" si="58"/>
        <v>3.0443776589516411E-3</v>
      </c>
      <c r="I226" s="337"/>
      <c r="J226" s="168"/>
      <c r="K226" s="168"/>
    </row>
    <row r="227" spans="1:11">
      <c r="A227" s="163"/>
      <c r="B227" s="170" t="s">
        <v>179</v>
      </c>
      <c r="C227" s="491">
        <f>'[60]Sch D'!K9</f>
        <v>0</v>
      </c>
      <c r="D227" s="491"/>
      <c r="E227" s="235">
        <f t="shared" si="59"/>
        <v>0</v>
      </c>
      <c r="F227" s="235">
        <v>0</v>
      </c>
      <c r="G227" s="235">
        <f t="shared" si="57"/>
        <v>0</v>
      </c>
      <c r="H227" s="172">
        <f t="shared" si="58"/>
        <v>0</v>
      </c>
      <c r="I227" s="337"/>
      <c r="J227" s="168"/>
      <c r="K227" s="168"/>
    </row>
    <row r="228" spans="1:11" ht="13.5" thickBot="1">
      <c r="A228" s="163"/>
      <c r="B228" s="236" t="s">
        <v>75</v>
      </c>
      <c r="C228" s="491">
        <f>SUM(C219:C227)</f>
        <v>15241</v>
      </c>
      <c r="D228" s="491">
        <f>SUM(D219:D227)</f>
        <v>0</v>
      </c>
      <c r="E228" s="237">
        <f>SUM(E219:E227)</f>
        <v>15241</v>
      </c>
      <c r="F228" s="237">
        <f>SUM(F219:F227)</f>
        <v>10380</v>
      </c>
      <c r="G228" s="237">
        <f>SUM(G219:G227)</f>
        <v>25621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238"/>
      <c r="D229" s="239"/>
      <c r="E229" s="232"/>
      <c r="F229" s="641" t="s">
        <v>615</v>
      </c>
      <c r="G229" s="232"/>
      <c r="H229" s="167"/>
      <c r="J229" s="168"/>
      <c r="K229" s="168"/>
    </row>
    <row r="230" spans="1:11">
      <c r="A230" s="163"/>
      <c r="B230" s="233" t="s">
        <v>160</v>
      </c>
      <c r="C230" s="231"/>
      <c r="D230" s="232"/>
      <c r="E230" s="232"/>
      <c r="F230" s="641" t="s">
        <v>612</v>
      </c>
      <c r="G230" s="232"/>
      <c r="H230" s="167"/>
      <c r="J230" s="168"/>
      <c r="K230" s="168"/>
    </row>
    <row r="231" spans="1:11">
      <c r="A231" s="163"/>
      <c r="B231" s="202" t="s">
        <v>219</v>
      </c>
      <c r="C231" s="492">
        <v>124</v>
      </c>
      <c r="D231" s="526"/>
      <c r="E231" s="235">
        <f>C231+D231</f>
        <v>124</v>
      </c>
      <c r="F231" s="235">
        <v>124</v>
      </c>
      <c r="G231" s="235">
        <f>E231</f>
        <v>124</v>
      </c>
      <c r="H231" s="167"/>
      <c r="J231" s="168"/>
      <c r="K231" s="168"/>
    </row>
    <row r="232" spans="1:11">
      <c r="A232" s="163"/>
      <c r="B232" s="202" t="s">
        <v>290</v>
      </c>
      <c r="C232" s="492">
        <v>124</v>
      </c>
      <c r="D232" s="526"/>
      <c r="E232" s="235">
        <f>C232+D232</f>
        <v>124</v>
      </c>
      <c r="F232" s="235">
        <v>124</v>
      </c>
      <c r="G232" s="235">
        <f>E232</f>
        <v>124</v>
      </c>
      <c r="H232" s="167"/>
      <c r="J232" s="168"/>
      <c r="K232" s="168"/>
    </row>
    <row r="233" spans="1:11">
      <c r="A233" s="163"/>
      <c r="B233" s="202" t="s">
        <v>76</v>
      </c>
      <c r="C233" s="492">
        <v>215</v>
      </c>
      <c r="D233" s="489"/>
      <c r="E233" s="235">
        <f>C233+D233</f>
        <v>215</v>
      </c>
      <c r="F233" s="235">
        <v>150</v>
      </c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242"/>
      <c r="D234" s="240"/>
      <c r="E234" s="243"/>
      <c r="F234" s="243"/>
      <c r="G234" s="243"/>
      <c r="H234" s="167"/>
      <c r="J234" s="168"/>
      <c r="K234" s="168"/>
    </row>
    <row r="235" spans="1:11" ht="26">
      <c r="A235" s="163"/>
      <c r="B235" s="244" t="s">
        <v>335</v>
      </c>
      <c r="C235" s="492">
        <v>26660</v>
      </c>
      <c r="D235" s="489"/>
      <c r="E235" s="234">
        <f>E231*E233</f>
        <v>26660</v>
      </c>
      <c r="F235" s="234">
        <v>18600</v>
      </c>
      <c r="G235" s="234">
        <f>G231*G233</f>
        <v>45260</v>
      </c>
      <c r="H235" s="167"/>
      <c r="J235" s="168"/>
      <c r="K235" s="168"/>
    </row>
    <row r="236" spans="1:11" ht="26">
      <c r="A236" s="163"/>
      <c r="B236" s="244" t="s">
        <v>336</v>
      </c>
      <c r="C236" s="493">
        <v>0.57168042010502629</v>
      </c>
      <c r="D236" s="240"/>
      <c r="E236" s="245">
        <f>E228/E235</f>
        <v>0.57168042010502629</v>
      </c>
      <c r="F236" s="245">
        <v>0.5580645161290323</v>
      </c>
      <c r="G236" s="245">
        <f>G228/G235</f>
        <v>0.56608484312859042</v>
      </c>
      <c r="H236" s="167"/>
      <c r="J236" s="168"/>
      <c r="K236" s="168"/>
    </row>
    <row r="237" spans="1:11" ht="26">
      <c r="A237" s="163"/>
      <c r="B237" s="244" t="s">
        <v>337</v>
      </c>
      <c r="C237" s="493">
        <v>0.2535633908477119</v>
      </c>
      <c r="D237" s="240"/>
      <c r="E237" s="245">
        <f>(E219+E220)/E235</f>
        <v>0.2535633908477119</v>
      </c>
      <c r="F237" s="245">
        <v>0.24408602150537634</v>
      </c>
      <c r="G237" s="245">
        <f>(G219+G220)/G235</f>
        <v>0.24966858152894389</v>
      </c>
      <c r="H237" s="167"/>
      <c r="J237" s="168"/>
      <c r="K237" s="168"/>
    </row>
    <row r="238" spans="1:11" ht="26">
      <c r="A238" s="163"/>
      <c r="B238" s="244" t="s">
        <v>338</v>
      </c>
      <c r="C238" s="493">
        <v>0.44354045010169929</v>
      </c>
      <c r="D238" s="240"/>
      <c r="E238" s="245">
        <f>(E237/E236)</f>
        <v>0.44354045010169929</v>
      </c>
      <c r="F238" s="245">
        <v>0.43737957610789979</v>
      </c>
      <c r="G238" s="245">
        <f>(G237/G236)</f>
        <v>0.44104445571991724</v>
      </c>
      <c r="H238" s="167"/>
      <c r="J238" s="168"/>
      <c r="K238" s="168"/>
    </row>
    <row r="239" spans="1:11">
      <c r="F239" s="140"/>
    </row>
    <row r="240" spans="1:11">
      <c r="F240" s="140"/>
    </row>
    <row r="241" spans="2:8">
      <c r="B241" s="148" t="s">
        <v>339</v>
      </c>
      <c r="F241" s="412" t="s">
        <v>340</v>
      </c>
      <c r="G241" s="490">
        <f>'[60]Sch B'!C85</f>
        <v>164.92904145077719</v>
      </c>
    </row>
    <row r="242" spans="2:8">
      <c r="F242" s="412" t="s">
        <v>341</v>
      </c>
      <c r="G242" s="490">
        <f>'[60]Sch B'!E85</f>
        <v>156.51248730964465</v>
      </c>
    </row>
    <row r="243" spans="2:8">
      <c r="F243" s="412" t="s">
        <v>342</v>
      </c>
      <c r="G243" s="490">
        <f>(154.848036697248+156*2)/3</f>
        <v>155.61601223241601</v>
      </c>
      <c r="H243" s="140" t="s">
        <v>617</v>
      </c>
    </row>
    <row r="244" spans="2:8">
      <c r="F244" s="412" t="s">
        <v>343</v>
      </c>
      <c r="G244" s="490">
        <v>161.23420942408379</v>
      </c>
    </row>
    <row r="245" spans="2:8">
      <c r="F245" s="412"/>
    </row>
  </sheetData>
  <phoneticPr fontId="0" type="noConversion"/>
  <printOptions horizontalCentered="1"/>
  <pageMargins left="0" right="0" top="0.75" bottom="1" header="0.5" footer="0.5"/>
  <pageSetup scale="70" orientation="portrait" r:id="rId1"/>
  <headerFooter alignWithMargins="0">
    <oddFooter>&amp;R&amp;D
&amp;T
&amp;F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8">
    <tabColor rgb="FFE28CAB"/>
  </sheetPr>
  <dimension ref="A1:Q245"/>
  <sheetViews>
    <sheetView showGridLines="0" zoomScale="90" zoomScaleNormal="90" workbookViewId="0">
      <pane xSplit="2" topLeftCell="C1" activePane="topRight" state="frozen"/>
      <selection activeCell="N1" sqref="N1"/>
      <selection pane="topRight"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478"/>
      <c r="E1" s="478"/>
      <c r="F1" s="478"/>
      <c r="G1" s="478"/>
      <c r="H1" s="478"/>
      <c r="I1" s="479"/>
    </row>
    <row r="2" spans="1:14" ht="23">
      <c r="B2" s="143" t="s">
        <v>189</v>
      </c>
      <c r="C2" s="247" t="s">
        <v>360</v>
      </c>
      <c r="D2" s="247"/>
      <c r="E2" s="144"/>
    </row>
    <row r="3" spans="1:14">
      <c r="A3" s="145"/>
      <c r="B3" s="140" t="s">
        <v>79</v>
      </c>
      <c r="C3" s="495">
        <v>41821</v>
      </c>
      <c r="D3" s="144"/>
      <c r="E3" s="147"/>
    </row>
    <row r="4" spans="1:14">
      <c r="A4" s="145"/>
      <c r="B4" s="148" t="s">
        <v>80</v>
      </c>
      <c r="C4" s="495">
        <v>42185</v>
      </c>
      <c r="D4" s="144"/>
      <c r="E4" s="149"/>
      <c r="G4" s="150"/>
    </row>
    <row r="5" spans="1:14">
      <c r="A5" s="145"/>
      <c r="B5" s="148"/>
      <c r="C5" s="151"/>
      <c r="D5" s="144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144"/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490">
        <f>'[61]Sch B'!E10</f>
        <v>1795781</v>
      </c>
      <c r="D11" s="490">
        <f>'[61]Sch B'!G10</f>
        <v>0</v>
      </c>
      <c r="E11" s="171">
        <f>C11+D11</f>
        <v>1795781</v>
      </c>
      <c r="F11" s="171"/>
      <c r="G11" s="171">
        <f t="shared" ref="G11:G20" si="0">E11+F11</f>
        <v>1795781</v>
      </c>
      <c r="H11" s="172">
        <f t="shared" ref="H11:H21" si="1">IF($G$21=0,0,G11/$G$21)</f>
        <v>0.46478488654086958</v>
      </c>
      <c r="I11" s="337"/>
      <c r="J11" s="368" t="s">
        <v>344</v>
      </c>
      <c r="K11" s="369">
        <f>G21</f>
        <v>3863682</v>
      </c>
      <c r="M11" s="359">
        <f>IFERROR(G11/G219,0)</f>
        <v>196.41047796128186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490">
        <f>'[61]Sch B'!E15</f>
        <v>0</v>
      </c>
      <c r="D12" s="490">
        <f>'[61]Sch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7"/>
      <c r="J12" s="370" t="s">
        <v>345</v>
      </c>
      <c r="K12" s="371">
        <f>G208</f>
        <v>3683756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490">
        <f>'[61]Sch B'!E21</f>
        <v>1450831</v>
      </c>
      <c r="D13" s="490">
        <f>'[61]Sch B'!G21</f>
        <v>0</v>
      </c>
      <c r="E13" s="171">
        <f t="shared" si="2"/>
        <v>1450831</v>
      </c>
      <c r="F13" s="171"/>
      <c r="G13" s="171">
        <f t="shared" si="0"/>
        <v>1450831</v>
      </c>
      <c r="H13" s="172">
        <f t="shared" si="1"/>
        <v>0.37550476462607429</v>
      </c>
      <c r="I13" s="337"/>
      <c r="J13" s="370" t="s">
        <v>346</v>
      </c>
      <c r="K13" s="371">
        <f>G228</f>
        <v>14505</v>
      </c>
      <c r="M13" s="359">
        <f t="shared" si="3"/>
        <v>517.59935783089543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490">
        <f>'[61]Sch B'!E27</f>
        <v>21304</v>
      </c>
      <c r="D14" s="490">
        <f>'[61]Sch B'!G27</f>
        <v>0</v>
      </c>
      <c r="E14" s="171">
        <f t="shared" si="2"/>
        <v>21304</v>
      </c>
      <c r="F14" s="175"/>
      <c r="G14" s="175">
        <f>E14+F14</f>
        <v>21304</v>
      </c>
      <c r="H14" s="176">
        <f t="shared" si="1"/>
        <v>5.5139113415648595E-3</v>
      </c>
      <c r="I14" s="338"/>
      <c r="J14" s="370" t="s">
        <v>347</v>
      </c>
      <c r="K14" s="371">
        <f>G231</f>
        <v>98</v>
      </c>
      <c r="M14" s="359">
        <f t="shared" si="3"/>
        <v>463.13043478260869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490">
        <f>'[61]Sch B'!E32</f>
        <v>0</v>
      </c>
      <c r="D15" s="490">
        <f>'[61]Sch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7"/>
      <c r="J15" s="370" t="s">
        <v>348</v>
      </c>
      <c r="K15" s="371">
        <f>G235</f>
        <v>35770</v>
      </c>
      <c r="M15" s="359">
        <f t="shared" si="3"/>
        <v>0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490">
        <f>'[61]Sch B'!E37</f>
        <v>316444</v>
      </c>
      <c r="D16" s="490">
        <f>'[61]Sch B'!G37</f>
        <v>0</v>
      </c>
      <c r="E16" s="171">
        <f t="shared" si="2"/>
        <v>316444</v>
      </c>
      <c r="F16" s="171"/>
      <c r="G16" s="171">
        <f t="shared" si="0"/>
        <v>316444</v>
      </c>
      <c r="H16" s="172">
        <f t="shared" si="1"/>
        <v>8.1902185531832067E-2</v>
      </c>
      <c r="I16" s="337"/>
      <c r="J16" s="372"/>
      <c r="K16" s="371"/>
      <c r="M16" s="359">
        <f t="shared" si="3"/>
        <v>165.15866388308976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490">
        <f>'[61]Sch B'!E42</f>
        <v>42257</v>
      </c>
      <c r="D17" s="490">
        <f>'[61]Sch B'!G42</f>
        <v>0</v>
      </c>
      <c r="E17" s="171">
        <f t="shared" si="2"/>
        <v>42257</v>
      </c>
      <c r="F17" s="171"/>
      <c r="G17" s="171">
        <f>E17+F17</f>
        <v>42257</v>
      </c>
      <c r="H17" s="172">
        <f t="shared" si="1"/>
        <v>1.0936976697357598E-2</v>
      </c>
      <c r="I17" s="337"/>
      <c r="J17" s="370" t="s">
        <v>156</v>
      </c>
      <c r="K17" s="371">
        <f>J208</f>
        <v>74572</v>
      </c>
      <c r="M17" s="359">
        <f t="shared" si="3"/>
        <v>197.46261682242991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490">
        <f>'[61]Sch B'!E47</f>
        <v>0</v>
      </c>
      <c r="D18" s="490">
        <f>'[61]Sch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337"/>
      <c r="J18" s="373" t="s">
        <v>252</v>
      </c>
      <c r="K18" s="374">
        <f>K208</f>
        <v>83903</v>
      </c>
      <c r="M18" s="359">
        <f t="shared" si="3"/>
        <v>0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490">
        <f>'[61]Sch B'!E52</f>
        <v>176608</v>
      </c>
      <c r="D19" s="490">
        <f>'[61]Sch B'!G52</f>
        <v>0</v>
      </c>
      <c r="E19" s="171">
        <f t="shared" si="2"/>
        <v>176608</v>
      </c>
      <c r="F19" s="171"/>
      <c r="G19" s="171">
        <f t="shared" si="0"/>
        <v>176608</v>
      </c>
      <c r="H19" s="172">
        <f t="shared" si="1"/>
        <v>4.5709765969352549E-2</v>
      </c>
      <c r="I19" s="337"/>
      <c r="J19" s="168"/>
      <c r="K19" s="168"/>
      <c r="M19" s="359">
        <f t="shared" si="3"/>
        <v>461.11749347258484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490">
        <f>'[61]Sch B'!E67</f>
        <v>61365</v>
      </c>
      <c r="D20" s="490">
        <f>'[61]Sch B'!G67</f>
        <v>-908</v>
      </c>
      <c r="E20" s="171">
        <f t="shared" si="2"/>
        <v>60457</v>
      </c>
      <c r="F20" s="171"/>
      <c r="G20" s="171">
        <f t="shared" si="0"/>
        <v>60457</v>
      </c>
      <c r="H20" s="172">
        <f t="shared" si="1"/>
        <v>1.5647509292949058E-2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490">
        <f>SUM(C11:C20)</f>
        <v>3864590</v>
      </c>
      <c r="D21" s="490">
        <f>SUM(D11:D20)</f>
        <v>-908</v>
      </c>
      <c r="E21" s="171">
        <f>SUM(E11:E20)</f>
        <v>3863682</v>
      </c>
      <c r="F21" s="171">
        <f>SUM(F11:F20)</f>
        <v>0</v>
      </c>
      <c r="G21" s="171">
        <f>SUM(G11:G20)</f>
        <v>3863682</v>
      </c>
      <c r="H21" s="172">
        <f t="shared" si="1"/>
        <v>1</v>
      </c>
      <c r="I21" s="337"/>
      <c r="J21" s="168"/>
      <c r="K21" s="168"/>
      <c r="M21" s="359">
        <f>IFERROR(G21/G228,0)</f>
        <v>266.36897621509826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4">
      <c r="A24" s="181" t="s">
        <v>161</v>
      </c>
      <c r="B24" s="148" t="s">
        <v>12</v>
      </c>
      <c r="M24" s="363"/>
      <c r="N24" s="363"/>
    </row>
    <row r="25" spans="1:14" s="167" customFormat="1">
      <c r="A25" s="169" t="s">
        <v>83</v>
      </c>
      <c r="B25" s="170" t="s">
        <v>14</v>
      </c>
      <c r="C25" s="490">
        <f>'[61]Sch C'!D10</f>
        <v>0</v>
      </c>
      <c r="D25" s="490">
        <f>'[61]Sch C'!F10</f>
        <v>152934</v>
      </c>
      <c r="E25" s="171">
        <f t="shared" ref="E25:E60" si="4">C25+D25</f>
        <v>152934</v>
      </c>
      <c r="F25" s="171"/>
      <c r="G25" s="182">
        <f>E25+F25</f>
        <v>152934</v>
      </c>
      <c r="H25" s="172">
        <f>IF($G$208=0,0,G25/$G$208)</f>
        <v>4.1515779003821099E-2</v>
      </c>
      <c r="I25" s="337"/>
      <c r="J25" s="183">
        <v>1944</v>
      </c>
      <c r="K25" s="183">
        <v>2160</v>
      </c>
      <c r="M25" s="359">
        <f>G25/G$228</f>
        <v>10.543536711478801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490">
        <f>'[61]Sch C'!D11</f>
        <v>0</v>
      </c>
      <c r="D26" s="490">
        <f>'[61]Sch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490">
        <f>'[61]Sch C'!D12</f>
        <v>179394</v>
      </c>
      <c r="D27" s="490">
        <f>'[61]Sch C'!F12</f>
        <v>-152934</v>
      </c>
      <c r="E27" s="171">
        <f t="shared" si="4"/>
        <v>26460</v>
      </c>
      <c r="F27" s="171"/>
      <c r="G27" s="171">
        <f t="shared" si="5"/>
        <v>26460</v>
      </c>
      <c r="H27" s="172">
        <f t="shared" si="6"/>
        <v>7.1828861629271859E-3</v>
      </c>
      <c r="I27" s="337"/>
      <c r="J27" s="185">
        <v>3653</v>
      </c>
      <c r="K27" s="185">
        <v>4239</v>
      </c>
      <c r="M27" s="359">
        <f t="shared" si="7"/>
        <v>1.8241985522233712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490">
        <f>'[61]Sch C'!D13</f>
        <v>34204</v>
      </c>
      <c r="D28" s="490">
        <f>'[61]Sch C'!F13</f>
        <v>-174</v>
      </c>
      <c r="E28" s="171">
        <f t="shared" si="4"/>
        <v>34030</v>
      </c>
      <c r="F28" s="171"/>
      <c r="G28" s="171">
        <f t="shared" si="5"/>
        <v>34030</v>
      </c>
      <c r="H28" s="172">
        <f t="shared" si="6"/>
        <v>9.2378539729558642E-3</v>
      </c>
      <c r="I28" s="337"/>
      <c r="J28" s="168"/>
      <c r="K28" s="168"/>
      <c r="M28" s="359">
        <f t="shared" si="7"/>
        <v>2.3460875560151671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490">
        <f>'[61]Sch C'!D14</f>
        <v>0</v>
      </c>
      <c r="D29" s="490">
        <f>'[61]Sch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490">
        <f>'[61]Sch C'!D15</f>
        <v>0</v>
      </c>
      <c r="D30" s="490">
        <f>'[61]Sch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7"/>
      <c r="J30" s="168"/>
      <c r="K30" s="168"/>
      <c r="M30" s="359">
        <f t="shared" si="7"/>
        <v>0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490">
        <f>'[61]Sch C'!D16</f>
        <v>192388</v>
      </c>
      <c r="D31" s="490">
        <f>'[61]Sch C'!F16</f>
        <v>37162</v>
      </c>
      <c r="E31" s="171">
        <f t="shared" si="4"/>
        <v>229550</v>
      </c>
      <c r="F31" s="171"/>
      <c r="G31" s="171">
        <f t="shared" si="5"/>
        <v>229550</v>
      </c>
      <c r="H31" s="172">
        <f t="shared" si="6"/>
        <v>6.2314116352983208E-2</v>
      </c>
      <c r="I31" s="337"/>
      <c r="J31" s="168"/>
      <c r="K31" s="168"/>
      <c r="M31" s="359">
        <f t="shared" si="7"/>
        <v>15.825577387107893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490">
        <f>'[61]Sch C'!D17</f>
        <v>216</v>
      </c>
      <c r="D32" s="490">
        <f>'[61]Sch C'!F17</f>
        <v>-216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7"/>
      <c r="J32" s="168"/>
      <c r="K32" s="168"/>
      <c r="M32" s="359">
        <f t="shared" si="7"/>
        <v>0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490">
        <f>'[61]Sch C'!D18</f>
        <v>13790</v>
      </c>
      <c r="D33" s="490">
        <f>'[61]Sch C'!F18</f>
        <v>0</v>
      </c>
      <c r="E33" s="171">
        <f t="shared" si="4"/>
        <v>13790</v>
      </c>
      <c r="F33" s="171"/>
      <c r="G33" s="171">
        <f t="shared" si="5"/>
        <v>13790</v>
      </c>
      <c r="H33" s="172">
        <f t="shared" si="6"/>
        <v>3.7434618362345391E-3</v>
      </c>
      <c r="I33" s="337"/>
      <c r="J33" s="168"/>
      <c r="K33" s="168"/>
      <c r="M33" s="359">
        <f t="shared" si="7"/>
        <v>0.95070665287831779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490">
        <f>'[61]Sch C'!D19</f>
        <v>10961</v>
      </c>
      <c r="D34" s="490">
        <f>'[61]Sch C'!F19</f>
        <v>0</v>
      </c>
      <c r="E34" s="171">
        <f t="shared" si="4"/>
        <v>10961</v>
      </c>
      <c r="F34" s="171"/>
      <c r="G34" s="171">
        <f t="shared" si="5"/>
        <v>10961</v>
      </c>
      <c r="H34" s="172">
        <f t="shared" si="6"/>
        <v>2.975495662579172E-3</v>
      </c>
      <c r="I34" s="337"/>
      <c r="J34" s="168"/>
      <c r="K34" s="168"/>
      <c r="M34" s="359">
        <f t="shared" si="7"/>
        <v>0.75567045846259906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490">
        <f>'[61]Sch C'!D20</f>
        <v>6249</v>
      </c>
      <c r="D35" s="490">
        <f>'[61]Sch C'!F20</f>
        <v>0</v>
      </c>
      <c r="E35" s="171">
        <f t="shared" si="4"/>
        <v>6249</v>
      </c>
      <c r="F35" s="171"/>
      <c r="G35" s="171">
        <f t="shared" si="5"/>
        <v>6249</v>
      </c>
      <c r="H35" s="172">
        <f t="shared" si="6"/>
        <v>1.6963664260065E-3</v>
      </c>
      <c r="I35" s="337"/>
      <c r="J35" s="168"/>
      <c r="K35" s="168"/>
      <c r="M35" s="359">
        <f t="shared" si="7"/>
        <v>0.43081695966907962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490">
        <f>'[61]Sch C'!D21</f>
        <v>12761</v>
      </c>
      <c r="D36" s="490">
        <f>'[61]Sch C'!F21</f>
        <v>0</v>
      </c>
      <c r="E36" s="171">
        <f t="shared" si="4"/>
        <v>12761</v>
      </c>
      <c r="F36" s="171"/>
      <c r="G36" s="171">
        <f t="shared" si="5"/>
        <v>12761</v>
      </c>
      <c r="H36" s="172">
        <f t="shared" si="6"/>
        <v>3.464127374342926E-3</v>
      </c>
      <c r="I36" s="337"/>
      <c r="J36" s="168"/>
      <c r="K36" s="168"/>
      <c r="M36" s="359">
        <f t="shared" si="7"/>
        <v>0.87976559806963117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490">
        <f>'[61]Sch C'!D22</f>
        <v>0</v>
      </c>
      <c r="D37" s="490">
        <f>'[61]Sch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490">
        <f>'[61]Sch C'!D23</f>
        <v>3996</v>
      </c>
      <c r="D38" s="490">
        <f>'[61]Sch C'!F23</f>
        <v>0</v>
      </c>
      <c r="E38" s="171">
        <f t="shared" si="4"/>
        <v>3996</v>
      </c>
      <c r="F38" s="171"/>
      <c r="G38" s="171">
        <f t="shared" si="5"/>
        <v>3996</v>
      </c>
      <c r="H38" s="172">
        <f t="shared" si="6"/>
        <v>1.0847624001155342E-3</v>
      </c>
      <c r="I38" s="337"/>
      <c r="J38" s="168"/>
      <c r="K38" s="168"/>
      <c r="M38" s="359">
        <f t="shared" si="7"/>
        <v>0.27549120992761117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490">
        <f>'[61]Sch C'!D24</f>
        <v>0</v>
      </c>
      <c r="D39" s="490">
        <f>'[61]Sch C'!F24</f>
        <v>0</v>
      </c>
      <c r="E39" s="171">
        <f t="shared" si="4"/>
        <v>0</v>
      </c>
      <c r="F39" s="171"/>
      <c r="G39" s="171">
        <f t="shared" si="5"/>
        <v>0</v>
      </c>
      <c r="H39" s="172">
        <f t="shared" si="6"/>
        <v>0</v>
      </c>
      <c r="I39" s="337"/>
      <c r="J39" s="168"/>
      <c r="K39" s="168"/>
      <c r="M39" s="359">
        <f t="shared" si="7"/>
        <v>0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490">
        <f>'[61]Sch C'!D25</f>
        <v>3189</v>
      </c>
      <c r="D40" s="490">
        <f>'[61]Sch C'!F25</f>
        <v>0</v>
      </c>
      <c r="E40" s="171">
        <f t="shared" si="4"/>
        <v>3189</v>
      </c>
      <c r="F40" s="171"/>
      <c r="G40" s="171">
        <f t="shared" si="5"/>
        <v>3189</v>
      </c>
      <c r="H40" s="172">
        <f t="shared" si="6"/>
        <v>8.6569251600811779E-4</v>
      </c>
      <c r="I40" s="337"/>
      <c r="J40" s="168"/>
      <c r="K40" s="168"/>
      <c r="M40" s="359">
        <f t="shared" si="7"/>
        <v>0.21985522233712512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490">
        <f>'[61]Sch C'!D26</f>
        <v>179549</v>
      </c>
      <c r="D41" s="490">
        <f>'[61]Sch C'!F26</f>
        <v>0</v>
      </c>
      <c r="E41" s="171">
        <f t="shared" si="4"/>
        <v>179549</v>
      </c>
      <c r="F41" s="171"/>
      <c r="G41" s="171">
        <f t="shared" si="5"/>
        <v>179549</v>
      </c>
      <c r="H41" s="172">
        <f t="shared" si="6"/>
        <v>4.8740741786372388E-2</v>
      </c>
      <c r="I41" s="337"/>
      <c r="J41" s="168"/>
      <c r="K41" s="168"/>
      <c r="M41" s="359">
        <f t="shared" si="7"/>
        <v>12.378421234057221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490">
        <f>'[61]Sch C'!D27</f>
        <v>-6302</v>
      </c>
      <c r="D42" s="490">
        <f>'[61]Sch C'!F27</f>
        <v>-619</v>
      </c>
      <c r="E42" s="171">
        <f t="shared" si="4"/>
        <v>-6921</v>
      </c>
      <c r="F42" s="171"/>
      <c r="G42" s="171">
        <f t="shared" si="5"/>
        <v>-6921</v>
      </c>
      <c r="H42" s="172">
        <f t="shared" si="6"/>
        <v>-1.8787889317316347E-3</v>
      </c>
      <c r="I42" s="337"/>
      <c r="J42" s="168"/>
      <c r="K42" s="168"/>
      <c r="M42" s="359">
        <f t="shared" si="7"/>
        <v>-0.47714581178903825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490">
        <f>'[61]Sch C'!D28</f>
        <v>0</v>
      </c>
      <c r="D43" s="490">
        <f>'[61]Sch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490">
        <f>'[61]Sch C'!D29</f>
        <v>42495</v>
      </c>
      <c r="D44" s="490">
        <f>'[61]Sch C'!F29</f>
        <v>-42495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490">
        <f>'[61]Sch C'!D30</f>
        <v>0</v>
      </c>
      <c r="D45" s="490">
        <f>'[61]Sch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490">
        <f>'[61]Sch C'!D31</f>
        <v>0</v>
      </c>
      <c r="D46" s="490">
        <f>'[61]Sch C'!F31</f>
        <v>0</v>
      </c>
      <c r="E46" s="171">
        <f t="shared" si="4"/>
        <v>0</v>
      </c>
      <c r="F46" s="171"/>
      <c r="G46" s="171">
        <f t="shared" si="5"/>
        <v>0</v>
      </c>
      <c r="H46" s="172">
        <f t="shared" si="6"/>
        <v>0</v>
      </c>
      <c r="I46" s="337"/>
      <c r="J46" s="168"/>
      <c r="K46" s="168"/>
      <c r="M46" s="359">
        <f t="shared" si="7"/>
        <v>0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490">
        <f>'[61]Sch C'!D32</f>
        <v>68180</v>
      </c>
      <c r="D47" s="490">
        <f>'[61]Sch C'!F32</f>
        <v>0</v>
      </c>
      <c r="E47" s="171">
        <f t="shared" si="4"/>
        <v>68180</v>
      </c>
      <c r="F47" s="171"/>
      <c r="G47" s="171">
        <f t="shared" si="5"/>
        <v>68180</v>
      </c>
      <c r="H47" s="172">
        <f t="shared" si="6"/>
        <v>1.8508283393362645E-2</v>
      </c>
      <c r="I47" s="337"/>
      <c r="J47" s="168"/>
      <c r="K47" s="168"/>
      <c r="M47" s="359">
        <f t="shared" si="7"/>
        <v>4.7004481213374696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490">
        <f>'[61]Sch C'!D33</f>
        <v>0</v>
      </c>
      <c r="D48" s="490">
        <f>'[61]Sch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490">
        <f>'[61]Sch C'!D34</f>
        <v>16</v>
      </c>
      <c r="D49" s="490">
        <f>'[61]Sch C'!F34</f>
        <v>0</v>
      </c>
      <c r="E49" s="171">
        <f t="shared" si="4"/>
        <v>16</v>
      </c>
      <c r="F49" s="171"/>
      <c r="G49" s="171">
        <f t="shared" si="5"/>
        <v>16</v>
      </c>
      <c r="H49" s="172">
        <f t="shared" si="6"/>
        <v>4.3433929934555929E-6</v>
      </c>
      <c r="I49" s="337"/>
      <c r="J49" s="168"/>
      <c r="K49" s="168"/>
      <c r="M49" s="359">
        <f t="shared" si="7"/>
        <v>1.1030679076180626E-3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490">
        <f>'[61]Sch C'!D35</f>
        <v>0</v>
      </c>
      <c r="D50" s="490">
        <f>'[61]Sch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490">
        <f>'[61]Sch C'!D36</f>
        <v>6167</v>
      </c>
      <c r="D51" s="490">
        <f>'[61]Sch C'!F36</f>
        <v>0</v>
      </c>
      <c r="E51" s="171">
        <f t="shared" si="4"/>
        <v>6167</v>
      </c>
      <c r="F51" s="171"/>
      <c r="G51" s="171">
        <f t="shared" si="5"/>
        <v>6167</v>
      </c>
      <c r="H51" s="172">
        <f t="shared" si="6"/>
        <v>1.6741065369150401E-3</v>
      </c>
      <c r="I51" s="337"/>
      <c r="J51" s="183">
        <v>591</v>
      </c>
      <c r="K51" s="183">
        <v>626</v>
      </c>
      <c r="M51" s="359">
        <f t="shared" si="7"/>
        <v>0.42516373664253704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490">
        <f>'[61]Sch C'!D37</f>
        <v>790</v>
      </c>
      <c r="D52" s="490">
        <f>'[61]Sch C'!F37</f>
        <v>0</v>
      </c>
      <c r="E52" s="171">
        <f t="shared" si="4"/>
        <v>790</v>
      </c>
      <c r="F52" s="171"/>
      <c r="G52" s="171">
        <f t="shared" si="5"/>
        <v>790</v>
      </c>
      <c r="H52" s="172">
        <f t="shared" si="6"/>
        <v>2.1445502905186988E-4</v>
      </c>
      <c r="I52" s="337"/>
      <c r="J52" s="168"/>
      <c r="K52" s="168"/>
      <c r="M52" s="359">
        <f t="shared" si="7"/>
        <v>5.4463977938641848E-2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490">
        <f>'[61]Sch C'!D38</f>
        <v>264</v>
      </c>
      <c r="D53" s="490">
        <f>'[61]Sch C'!F38</f>
        <v>-264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7"/>
      <c r="J53" s="168"/>
      <c r="K53" s="168"/>
      <c r="M53" s="359">
        <f t="shared" si="7"/>
        <v>0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490">
        <f>'[61]Sch C'!D39</f>
        <v>3749</v>
      </c>
      <c r="D54" s="490">
        <f>'[61]Sch C'!F39</f>
        <v>0</v>
      </c>
      <c r="E54" s="171">
        <f t="shared" si="4"/>
        <v>3749</v>
      </c>
      <c r="F54" s="171"/>
      <c r="G54" s="171">
        <f t="shared" si="5"/>
        <v>3749</v>
      </c>
      <c r="H54" s="172">
        <f t="shared" si="6"/>
        <v>1.0177112707790636E-3</v>
      </c>
      <c r="I54" s="337"/>
      <c r="J54" s="168"/>
      <c r="K54" s="168"/>
      <c r="M54" s="359">
        <f t="shared" si="7"/>
        <v>0.25846259910375735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490">
        <f>'[61]Sch C'!D40</f>
        <v>5277</v>
      </c>
      <c r="D55" s="490">
        <f>'[61]Sch C'!F40</f>
        <v>-5277</v>
      </c>
      <c r="E55" s="171">
        <f t="shared" si="4"/>
        <v>0</v>
      </c>
      <c r="F55" s="171"/>
      <c r="G55" s="171">
        <f t="shared" si="5"/>
        <v>0</v>
      </c>
      <c r="H55" s="172">
        <f t="shared" si="6"/>
        <v>0</v>
      </c>
      <c r="I55" s="337"/>
      <c r="J55" s="168"/>
      <c r="K55" s="168"/>
      <c r="M55" s="359">
        <f t="shared" si="7"/>
        <v>0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490">
        <f>'[61]Sch C'!D41</f>
        <v>52717</v>
      </c>
      <c r="D56" s="490">
        <f>'[61]Sch C'!F41</f>
        <v>0</v>
      </c>
      <c r="E56" s="171">
        <f t="shared" si="4"/>
        <v>52717</v>
      </c>
      <c r="F56" s="171"/>
      <c r="G56" s="171">
        <f t="shared" si="5"/>
        <v>52717</v>
      </c>
      <c r="H56" s="172">
        <f t="shared" si="6"/>
        <v>1.4310665527249905E-2</v>
      </c>
      <c r="I56" s="337"/>
      <c r="J56" s="168"/>
      <c r="K56" s="168"/>
      <c r="M56" s="359">
        <f t="shared" si="7"/>
        <v>3.6344019303688384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490">
        <f>'[61]Sch C'!D42</f>
        <v>72</v>
      </c>
      <c r="D57" s="490">
        <f>'[61]Sch C'!F42</f>
        <v>0</v>
      </c>
      <c r="E57" s="171">
        <f t="shared" si="4"/>
        <v>72</v>
      </c>
      <c r="F57" s="171"/>
      <c r="G57" s="171">
        <f t="shared" si="5"/>
        <v>72</v>
      </c>
      <c r="H57" s="172">
        <f t="shared" si="6"/>
        <v>1.9545268470550167E-5</v>
      </c>
      <c r="I57" s="337"/>
      <c r="J57" s="168"/>
      <c r="K57" s="168"/>
      <c r="M57" s="359">
        <f t="shared" si="7"/>
        <v>4.9638055842812822E-3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490">
        <f>'[61]Sch C'!D43</f>
        <v>3571</v>
      </c>
      <c r="D58" s="490">
        <f>'[61]Sch C'!F43</f>
        <v>-3571</v>
      </c>
      <c r="E58" s="171">
        <f t="shared" si="4"/>
        <v>0</v>
      </c>
      <c r="F58" s="171"/>
      <c r="G58" s="171">
        <f t="shared" si="5"/>
        <v>0</v>
      </c>
      <c r="H58" s="172">
        <f t="shared" si="6"/>
        <v>0</v>
      </c>
      <c r="I58" s="337"/>
      <c r="J58" s="168"/>
      <c r="K58" s="168"/>
      <c r="M58" s="359">
        <f t="shared" si="7"/>
        <v>0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490">
        <f>'[61]Sch C'!D44</f>
        <v>0</v>
      </c>
      <c r="D59" s="490">
        <f>'[61]Sch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7"/>
      <c r="J59" s="168"/>
      <c r="K59" s="168"/>
      <c r="M59" s="359">
        <f t="shared" si="7"/>
        <v>0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490">
        <f>'[61]Sch C'!D45</f>
        <v>3874</v>
      </c>
      <c r="D60" s="490">
        <f>'[61]Sch C'!F45</f>
        <v>-169</v>
      </c>
      <c r="E60" s="171">
        <f t="shared" si="4"/>
        <v>3705</v>
      </c>
      <c r="F60" s="171"/>
      <c r="G60" s="171">
        <f t="shared" si="5"/>
        <v>3705</v>
      </c>
      <c r="H60" s="172">
        <f t="shared" si="6"/>
        <v>1.0057669400470608E-3</v>
      </c>
      <c r="I60" s="337"/>
      <c r="J60" s="168"/>
      <c r="K60" s="168"/>
      <c r="M60" s="359">
        <f t="shared" si="7"/>
        <v>0.25542916235780766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490">
        <f>SUM(C25:C60)</f>
        <v>817567</v>
      </c>
      <c r="D61" s="490">
        <f>SUM(D25:D60)</f>
        <v>-15623</v>
      </c>
      <c r="E61" s="171">
        <f t="shared" ref="E61:F61" si="8">SUM(E25:E60)</f>
        <v>801944</v>
      </c>
      <c r="F61" s="171">
        <f t="shared" si="8"/>
        <v>0</v>
      </c>
      <c r="G61" s="171">
        <f>SUM(G25:G60)</f>
        <v>801944</v>
      </c>
      <c r="H61" s="186">
        <f t="shared" si="6"/>
        <v>0.21769737192148447</v>
      </c>
      <c r="I61" s="339"/>
      <c r="J61" s="168"/>
      <c r="K61" s="168"/>
      <c r="M61" s="364">
        <f>G61/G$228</f>
        <v>55.287418131678734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I62" s="340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490">
        <f>'[61]Sch C'!D57</f>
        <v>0</v>
      </c>
      <c r="D64" s="490">
        <f>'[61]Sch C'!F57</f>
        <v>0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I64" s="337"/>
      <c r="J64" s="190"/>
      <c r="K64" s="168"/>
      <c r="M64" s="359">
        <f t="shared" ref="M64:M79" si="12">G64/G$228</f>
        <v>0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490">
        <f>'[61]Sch C'!D58</f>
        <v>142091</v>
      </c>
      <c r="D65" s="490">
        <f>'[61]Sch C'!F58</f>
        <v>0</v>
      </c>
      <c r="E65" s="171">
        <f t="shared" si="9"/>
        <v>142091</v>
      </c>
      <c r="F65" s="171"/>
      <c r="G65" s="171">
        <f t="shared" si="10"/>
        <v>142091</v>
      </c>
      <c r="H65" s="172">
        <f t="shared" si="11"/>
        <v>3.8572315864568663E-2</v>
      </c>
      <c r="I65" s="337"/>
      <c r="J65" s="190"/>
      <c r="K65" s="168"/>
      <c r="M65" s="359">
        <f t="shared" si="12"/>
        <v>9.7960013788348839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490">
        <f>'[61]Sch C'!D59</f>
        <v>287820</v>
      </c>
      <c r="D66" s="490">
        <f>'[61]Sch C'!F59</f>
        <v>0</v>
      </c>
      <c r="E66" s="171">
        <f t="shared" si="9"/>
        <v>287820</v>
      </c>
      <c r="F66" s="171"/>
      <c r="G66" s="171">
        <f t="shared" si="10"/>
        <v>287820</v>
      </c>
      <c r="H66" s="172">
        <f t="shared" si="11"/>
        <v>7.8132210711024289E-2</v>
      </c>
      <c r="I66" s="337"/>
      <c r="J66" s="190"/>
      <c r="K66" s="168"/>
      <c r="M66" s="359">
        <f t="shared" si="12"/>
        <v>19.842812823164426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490">
        <f>'[61]Sch C'!D60</f>
        <v>10202</v>
      </c>
      <c r="D67" s="490">
        <f>'[61]Sch C'!F60</f>
        <v>0</v>
      </c>
      <c r="E67" s="171">
        <f t="shared" si="9"/>
        <v>10202</v>
      </c>
      <c r="F67" s="171"/>
      <c r="G67" s="171">
        <f t="shared" si="10"/>
        <v>10202</v>
      </c>
      <c r="H67" s="172">
        <f t="shared" si="11"/>
        <v>2.769455957452122E-3</v>
      </c>
      <c r="I67" s="337"/>
      <c r="J67" s="193"/>
      <c r="K67" s="168"/>
      <c r="M67" s="359">
        <f t="shared" si="12"/>
        <v>0.70334367459496727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490">
        <f>'[61]Sch C'!D61</f>
        <v>56743</v>
      </c>
      <c r="D68" s="490">
        <f>'[61]Sch C'!F61</f>
        <v>0</v>
      </c>
      <c r="E68" s="171">
        <f t="shared" si="9"/>
        <v>56743</v>
      </c>
      <c r="F68" s="171"/>
      <c r="G68" s="171">
        <f t="shared" si="10"/>
        <v>56743</v>
      </c>
      <c r="H68" s="172">
        <f t="shared" si="11"/>
        <v>1.5403571789228169E-2</v>
      </c>
      <c r="I68" s="337"/>
      <c r="J68" s="193"/>
      <c r="K68" s="168"/>
      <c r="M68" s="359">
        <f t="shared" si="12"/>
        <v>3.9119613926232333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490">
        <f>'[61]Sch C'!D62</f>
        <v>6908</v>
      </c>
      <c r="D69" s="490">
        <f>'[61]Sch C'!F62</f>
        <v>0</v>
      </c>
      <c r="E69" s="171">
        <f t="shared" si="9"/>
        <v>6908</v>
      </c>
      <c r="F69" s="171"/>
      <c r="G69" s="171">
        <f t="shared" si="10"/>
        <v>6908</v>
      </c>
      <c r="H69" s="172">
        <f t="shared" si="11"/>
        <v>1.8752599249244521E-3</v>
      </c>
      <c r="I69" s="337"/>
      <c r="J69" s="195"/>
      <c r="K69" s="168"/>
      <c r="M69" s="359">
        <f t="shared" si="12"/>
        <v>0.4762495691140986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490">
        <f>'[61]Sch C'!D63</f>
        <v>0</v>
      </c>
      <c r="D70" s="490">
        <f>'[61]Sch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7"/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490">
        <f>'[61]Sch C'!D64</f>
        <v>0</v>
      </c>
      <c r="D71" s="490">
        <f>'[61]Sch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490">
        <f>'[61]Sch C'!D65</f>
        <v>1834</v>
      </c>
      <c r="D72" s="490">
        <f>'[61]Sch C'!F65</f>
        <v>0</v>
      </c>
      <c r="E72" s="171">
        <f t="shared" si="9"/>
        <v>1834</v>
      </c>
      <c r="F72" s="171"/>
      <c r="G72" s="171">
        <f t="shared" si="10"/>
        <v>1834</v>
      </c>
      <c r="H72" s="172">
        <f t="shared" si="11"/>
        <v>4.9786142187484728E-4</v>
      </c>
      <c r="I72" s="337"/>
      <c r="J72" s="195"/>
      <c r="K72" s="168"/>
      <c r="M72" s="359">
        <f t="shared" si="12"/>
        <v>0.12643915891072044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490">
        <f>'[61]Sch C'!D66</f>
        <v>21841</v>
      </c>
      <c r="D73" s="490">
        <f>'[61]Sch C'!F66</f>
        <v>-701</v>
      </c>
      <c r="E73" s="171">
        <f t="shared" si="9"/>
        <v>21140</v>
      </c>
      <c r="F73" s="171"/>
      <c r="G73" s="171">
        <f t="shared" si="10"/>
        <v>21140</v>
      </c>
      <c r="H73" s="172">
        <f t="shared" si="11"/>
        <v>5.7387079926032019E-3</v>
      </c>
      <c r="I73" s="337"/>
      <c r="J73" s="195"/>
      <c r="K73" s="168"/>
      <c r="M73" s="359">
        <f t="shared" si="12"/>
        <v>1.4574284729403655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490">
        <f>'[61]Sch C'!D67</f>
        <v>72093</v>
      </c>
      <c r="D74" s="490">
        <f>'[61]Sch C'!F67</f>
        <v>0</v>
      </c>
      <c r="E74" s="171">
        <f t="shared" si="9"/>
        <v>72093</v>
      </c>
      <c r="F74" s="171"/>
      <c r="G74" s="171">
        <f t="shared" si="10"/>
        <v>72093</v>
      </c>
      <c r="H74" s="172">
        <f t="shared" si="11"/>
        <v>1.9570514442324629E-2</v>
      </c>
      <c r="I74" s="337"/>
      <c r="J74" s="195"/>
      <c r="K74" s="168"/>
      <c r="M74" s="359">
        <f t="shared" si="12"/>
        <v>4.9702171664943124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490">
        <f>'[61]Sch C'!D68</f>
        <v>0</v>
      </c>
      <c r="D75" s="490">
        <f>'[61]Sch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490">
        <f>'[61]Sch C'!D69</f>
        <v>6454</v>
      </c>
      <c r="D76" s="490">
        <f>'[61]Sch C'!F69</f>
        <v>0</v>
      </c>
      <c r="E76" s="171">
        <f t="shared" si="9"/>
        <v>6454</v>
      </c>
      <c r="F76" s="171"/>
      <c r="G76" s="171">
        <f t="shared" si="10"/>
        <v>6454</v>
      </c>
      <c r="H76" s="172">
        <f t="shared" si="11"/>
        <v>1.7520161487351498E-3</v>
      </c>
      <c r="I76" s="337"/>
      <c r="J76" s="195"/>
      <c r="K76" s="168"/>
      <c r="M76" s="359">
        <f t="shared" si="12"/>
        <v>0.44495001723543604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490">
        <f>'[61]Sch C'!D70</f>
        <v>0</v>
      </c>
      <c r="D77" s="490">
        <f>'[61]Sch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7"/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490">
        <f>'[61]Sch C'!D71</f>
        <v>0</v>
      </c>
      <c r="D78" s="490">
        <f>'[61]Sch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7"/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490">
        <f>SUM(C64:C78)</f>
        <v>605986</v>
      </c>
      <c r="D79" s="490">
        <f>SUM(D64:D78)</f>
        <v>-701</v>
      </c>
      <c r="E79" s="171">
        <f t="shared" ref="E79:F79" si="13">SUM(E64:E78)</f>
        <v>605285</v>
      </c>
      <c r="F79" s="171">
        <f t="shared" si="13"/>
        <v>0</v>
      </c>
      <c r="G79" s="171">
        <f>SUM(G64:G78)</f>
        <v>605285</v>
      </c>
      <c r="H79" s="172">
        <f t="shared" si="11"/>
        <v>0.16431191425273553</v>
      </c>
      <c r="I79" s="337"/>
      <c r="J79" s="195"/>
      <c r="K79" s="168"/>
      <c r="M79" s="359">
        <f t="shared" si="12"/>
        <v>41.729403653912442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490">
        <f>'[61]Sch C'!D75</f>
        <v>24555</v>
      </c>
      <c r="D82" s="490">
        <f>'[61]Sch C'!F75</f>
        <v>0</v>
      </c>
      <c r="E82" s="171">
        <f t="shared" ref="E82:E92" si="14">C82+D82</f>
        <v>24555</v>
      </c>
      <c r="F82" s="171"/>
      <c r="G82" s="171">
        <f t="shared" ref="G82:G92" si="15">E82+F82</f>
        <v>24555</v>
      </c>
      <c r="H82" s="172">
        <f t="shared" ref="H82:H93" si="16">IF($G$208=0,0,G82/$G$208)</f>
        <v>6.6657509346438795E-3</v>
      </c>
      <c r="I82" s="337"/>
      <c r="J82" s="183">
        <v>1572</v>
      </c>
      <c r="K82" s="183">
        <v>1695</v>
      </c>
      <c r="M82" s="359">
        <f t="shared" ref="M82:M92" si="17">G82/G$228</f>
        <v>1.6928645294725957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490">
        <f>'[61]Sch C'!D76</f>
        <v>8138</v>
      </c>
      <c r="D83" s="490">
        <f>'[61]Sch C'!F76</f>
        <v>0</v>
      </c>
      <c r="E83" s="171">
        <f t="shared" si="14"/>
        <v>8138</v>
      </c>
      <c r="F83" s="171"/>
      <c r="G83" s="171">
        <f t="shared" si="15"/>
        <v>8138</v>
      </c>
      <c r="H83" s="172">
        <f t="shared" si="16"/>
        <v>2.209158261296351E-3</v>
      </c>
      <c r="I83" s="337"/>
      <c r="J83" s="168"/>
      <c r="K83" s="168"/>
      <c r="M83" s="359">
        <f t="shared" si="17"/>
        <v>0.56104791451223712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490">
        <f>'[61]Sch C'!D77</f>
        <v>1103</v>
      </c>
      <c r="D84" s="490">
        <f>'[61]Sch C'!F77</f>
        <v>0</v>
      </c>
      <c r="E84" s="171">
        <f t="shared" si="14"/>
        <v>1103</v>
      </c>
      <c r="F84" s="171"/>
      <c r="G84" s="171">
        <f t="shared" si="15"/>
        <v>1103</v>
      </c>
      <c r="H84" s="172">
        <f t="shared" si="16"/>
        <v>2.9942265448634493E-4</v>
      </c>
      <c r="I84" s="337"/>
      <c r="J84" s="168"/>
      <c r="K84" s="168"/>
      <c r="M84" s="359">
        <f t="shared" si="17"/>
        <v>7.6042743881420197E-2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490">
        <f>'[61]Sch C'!D78</f>
        <v>0</v>
      </c>
      <c r="D85" s="490">
        <f>'[61]Sch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I85" s="337"/>
      <c r="J85" s="168"/>
      <c r="K85" s="168"/>
      <c r="M85" s="359">
        <f t="shared" si="17"/>
        <v>0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490">
        <f>'[61]Sch C'!D79</f>
        <v>798</v>
      </c>
      <c r="D86" s="490">
        <f>'[61]Sch C'!F79</f>
        <v>0</v>
      </c>
      <c r="E86" s="171">
        <f t="shared" si="14"/>
        <v>798</v>
      </c>
      <c r="F86" s="171"/>
      <c r="G86" s="171">
        <f>E86+F86</f>
        <v>798</v>
      </c>
      <c r="H86" s="172">
        <f t="shared" si="16"/>
        <v>2.1662672554859769E-4</v>
      </c>
      <c r="I86" s="337"/>
      <c r="J86" s="168"/>
      <c r="K86" s="168"/>
      <c r="M86" s="359">
        <f t="shared" si="17"/>
        <v>5.501551189245088E-2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490">
        <f>'[61]Sch C'!D80</f>
        <v>25121</v>
      </c>
      <c r="D87" s="490">
        <f>'[61]Sch C'!F80</f>
        <v>0</v>
      </c>
      <c r="E87" s="171">
        <f t="shared" si="14"/>
        <v>25121</v>
      </c>
      <c r="F87" s="171"/>
      <c r="G87" s="171">
        <f t="shared" si="15"/>
        <v>25121</v>
      </c>
      <c r="H87" s="172">
        <f t="shared" si="16"/>
        <v>6.8193984617873713E-3</v>
      </c>
      <c r="I87" s="337"/>
      <c r="J87" s="168"/>
      <c r="K87" s="168"/>
      <c r="M87" s="359">
        <f t="shared" si="17"/>
        <v>1.7318855567045846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490">
        <f>'[61]Sch C'!D81</f>
        <v>5226</v>
      </c>
      <c r="D88" s="490">
        <f>'[61]Sch C'!F81</f>
        <v>0</v>
      </c>
      <c r="E88" s="171">
        <f t="shared" si="14"/>
        <v>5226</v>
      </c>
      <c r="F88" s="171"/>
      <c r="G88" s="171">
        <f t="shared" si="15"/>
        <v>5226</v>
      </c>
      <c r="H88" s="172">
        <f t="shared" si="16"/>
        <v>1.4186607364874329E-3</v>
      </c>
      <c r="I88" s="337"/>
      <c r="J88" s="168"/>
      <c r="K88" s="168"/>
      <c r="M88" s="359">
        <f t="shared" si="17"/>
        <v>0.36028955532574974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490">
        <f>'[61]Sch C'!D82</f>
        <v>3938</v>
      </c>
      <c r="D89" s="490">
        <f>'[61]Sch C'!F82</f>
        <v>0</v>
      </c>
      <c r="E89" s="171">
        <f t="shared" si="14"/>
        <v>3938</v>
      </c>
      <c r="F89" s="171"/>
      <c r="G89" s="171">
        <f t="shared" si="15"/>
        <v>3938</v>
      </c>
      <c r="H89" s="172">
        <f t="shared" si="16"/>
        <v>1.0690176005142577E-3</v>
      </c>
      <c r="I89" s="337"/>
      <c r="J89" s="168"/>
      <c r="K89" s="168"/>
      <c r="M89" s="359">
        <f t="shared" si="17"/>
        <v>0.27149258876249571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490">
        <f>'[61]Sch C'!D83</f>
        <v>2756</v>
      </c>
      <c r="D90" s="490">
        <f>'[61]Sch C'!F83</f>
        <v>0</v>
      </c>
      <c r="E90" s="171">
        <f t="shared" si="14"/>
        <v>2756</v>
      </c>
      <c r="F90" s="171"/>
      <c r="G90" s="171">
        <f t="shared" si="15"/>
        <v>2756</v>
      </c>
      <c r="H90" s="172">
        <f t="shared" si="16"/>
        <v>7.4814944312272583E-4</v>
      </c>
      <c r="I90" s="337"/>
      <c r="J90" s="168"/>
      <c r="K90" s="168"/>
      <c r="M90" s="359">
        <f t="shared" si="17"/>
        <v>0.19000344708721131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490">
        <f>'[61]Sch C'!D84</f>
        <v>61492</v>
      </c>
      <c r="D91" s="490">
        <f>'[61]Sch C'!F84</f>
        <v>0</v>
      </c>
      <c r="E91" s="171">
        <f t="shared" si="14"/>
        <v>61492</v>
      </c>
      <c r="F91" s="171"/>
      <c r="G91" s="171">
        <f t="shared" si="15"/>
        <v>61492</v>
      </c>
      <c r="H91" s="172">
        <f t="shared" si="16"/>
        <v>1.6692745122098205E-2</v>
      </c>
      <c r="I91" s="337"/>
      <c r="J91" s="168"/>
      <c r="K91" s="168"/>
      <c r="M91" s="359">
        <f t="shared" si="17"/>
        <v>4.2393657359531201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490">
        <f>'[61]Sch C'!D85</f>
        <v>0</v>
      </c>
      <c r="D92" s="490">
        <f>'[61]Sch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7"/>
      <c r="J92" s="168"/>
      <c r="K92" s="168"/>
      <c r="M92" s="359">
        <f t="shared" si="17"/>
        <v>0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490">
        <f>SUM(C82:C92)</f>
        <v>133127</v>
      </c>
      <c r="D93" s="490">
        <f>SUM(D82:D92)</f>
        <v>0</v>
      </c>
      <c r="E93" s="171">
        <f t="shared" ref="E93:F93" si="18">SUM(E82:E92)</f>
        <v>133127</v>
      </c>
      <c r="F93" s="171">
        <f t="shared" si="18"/>
        <v>0</v>
      </c>
      <c r="G93" s="171">
        <f>SUM(G82:G92)</f>
        <v>133127</v>
      </c>
      <c r="H93" s="172">
        <f t="shared" si="16"/>
        <v>3.6138929939985166E-2</v>
      </c>
      <c r="I93" s="337"/>
      <c r="J93" s="168"/>
      <c r="K93" s="168"/>
      <c r="M93" s="364">
        <f>G93/G$228</f>
        <v>9.1780075835918655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490">
        <f>'[61]Sch C'!D89</f>
        <v>103941</v>
      </c>
      <c r="D96" s="490">
        <f>'[61]Sch C'!F89</f>
        <v>0</v>
      </c>
      <c r="E96" s="171">
        <f t="shared" ref="E96:E101" si="19">C96+D96</f>
        <v>103941</v>
      </c>
      <c r="F96" s="171"/>
      <c r="G96" s="171">
        <f t="shared" ref="G96:G101" si="20">E96+F96</f>
        <v>103941</v>
      </c>
      <c r="H96" s="172">
        <f t="shared" ref="H96:H102" si="21">IF($G$208=0,0,G96/$G$208)</f>
        <v>2.8216038195797984E-2</v>
      </c>
      <c r="I96" s="337"/>
      <c r="J96" s="183">
        <v>9322</v>
      </c>
      <c r="K96" s="183">
        <v>9994</v>
      </c>
      <c r="M96" s="364">
        <f t="shared" ref="M96:M101" si="22">G96/G$228</f>
        <v>7.1658738366080659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490">
        <f>'[61]Sch C'!D90</f>
        <v>17020</v>
      </c>
      <c r="D97" s="490">
        <f>'[61]Sch C'!F90</f>
        <v>0</v>
      </c>
      <c r="E97" s="171">
        <f t="shared" si="19"/>
        <v>17020</v>
      </c>
      <c r="F97" s="171"/>
      <c r="G97" s="171">
        <f t="shared" si="20"/>
        <v>17020</v>
      </c>
      <c r="H97" s="172">
        <f t="shared" si="21"/>
        <v>4.6202842967883869E-3</v>
      </c>
      <c r="I97" s="337"/>
      <c r="J97" s="168"/>
      <c r="K97" s="168"/>
      <c r="M97" s="364">
        <f t="shared" si="22"/>
        <v>1.1733884867287143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490">
        <f>'[61]Sch C'!D91</f>
        <v>3187</v>
      </c>
      <c r="D98" s="490">
        <f>'[61]Sch C'!F91</f>
        <v>0</v>
      </c>
      <c r="E98" s="171">
        <f t="shared" si="19"/>
        <v>3187</v>
      </c>
      <c r="F98" s="171"/>
      <c r="G98" s="171">
        <f t="shared" si="20"/>
        <v>3187</v>
      </c>
      <c r="H98" s="172">
        <f t="shared" si="21"/>
        <v>8.651495918839358E-4</v>
      </c>
      <c r="I98" s="337"/>
      <c r="J98" s="168"/>
      <c r="K98" s="168"/>
      <c r="M98" s="364">
        <f t="shared" si="22"/>
        <v>0.21971733884867287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490">
        <f>'[61]Sch C'!D92</f>
        <v>80486</v>
      </c>
      <c r="D99" s="490">
        <f>'[61]Sch C'!F92</f>
        <v>-220</v>
      </c>
      <c r="E99" s="171">
        <f t="shared" si="19"/>
        <v>80266</v>
      </c>
      <c r="F99" s="171"/>
      <c r="G99" s="171">
        <f t="shared" si="20"/>
        <v>80266</v>
      </c>
      <c r="H99" s="172">
        <f t="shared" si="21"/>
        <v>2.1789173875794161E-2</v>
      </c>
      <c r="I99" s="337"/>
      <c r="J99" s="168"/>
      <c r="K99" s="168"/>
      <c r="M99" s="364">
        <f t="shared" si="22"/>
        <v>5.533678042054464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490">
        <f>'[61]Sch C'!D93</f>
        <v>6190</v>
      </c>
      <c r="D100" s="490">
        <f>'[61]Sch C'!F93</f>
        <v>0</v>
      </c>
      <c r="E100" s="171">
        <f t="shared" si="19"/>
        <v>6190</v>
      </c>
      <c r="F100" s="171"/>
      <c r="G100" s="171">
        <f t="shared" si="20"/>
        <v>6190</v>
      </c>
      <c r="H100" s="172">
        <f t="shared" si="21"/>
        <v>1.6803501643431324E-3</v>
      </c>
      <c r="I100" s="337"/>
      <c r="J100" s="168"/>
      <c r="K100" s="168"/>
      <c r="M100" s="364">
        <f t="shared" si="22"/>
        <v>0.426749396759738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490">
        <f>'[61]Sch C'!D94</f>
        <v>0</v>
      </c>
      <c r="D101" s="490">
        <f>'[61]Sch C'!F94</f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I101" s="337"/>
      <c r="J101" s="168"/>
      <c r="K101" s="168"/>
      <c r="M101" s="364">
        <f t="shared" si="22"/>
        <v>0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490">
        <f>SUM(C96:C101)</f>
        <v>210824</v>
      </c>
      <c r="D102" s="490">
        <f>SUM(D96:D101)</f>
        <v>-220</v>
      </c>
      <c r="E102" s="171">
        <f t="shared" ref="E102:F102" si="23">SUM(E96:E101)</f>
        <v>210604</v>
      </c>
      <c r="F102" s="171">
        <f t="shared" si="23"/>
        <v>0</v>
      </c>
      <c r="G102" s="171">
        <f>SUM(G96:G101)</f>
        <v>210604</v>
      </c>
      <c r="H102" s="172">
        <f t="shared" si="21"/>
        <v>5.7170996124607604E-2</v>
      </c>
      <c r="I102" s="337"/>
      <c r="J102" s="168"/>
      <c r="K102" s="168"/>
      <c r="M102" s="364">
        <f>G102/G$228</f>
        <v>14.519407100999656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490">
        <f>'[61]Sch C'!D98</f>
        <v>0</v>
      </c>
      <c r="D105" s="490">
        <f>'[61]Sch C'!F98</f>
        <v>0</v>
      </c>
      <c r="E105" s="171">
        <f t="shared" ref="E105:E110" si="24">C105+D105</f>
        <v>0</v>
      </c>
      <c r="F105" s="171"/>
      <c r="G105" s="171">
        <f t="shared" ref="G105:G110" si="25">E105+F105</f>
        <v>0</v>
      </c>
      <c r="H105" s="172">
        <f t="shared" ref="H105:H111" si="26">IF($G$208=0,0,G105/$G$208)</f>
        <v>0</v>
      </c>
      <c r="I105" s="337"/>
      <c r="J105" s="183">
        <v>0</v>
      </c>
      <c r="K105" s="183">
        <v>0</v>
      </c>
      <c r="M105" s="364">
        <f t="shared" ref="M105:M110" si="27">G105/G$228</f>
        <v>0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490">
        <f>'[61]Sch C'!D99</f>
        <v>0</v>
      </c>
      <c r="D106" s="490">
        <f>'[61]Sch C'!F99</f>
        <v>0</v>
      </c>
      <c r="E106" s="171">
        <f t="shared" si="24"/>
        <v>0</v>
      </c>
      <c r="F106" s="171"/>
      <c r="G106" s="171">
        <f t="shared" si="25"/>
        <v>0</v>
      </c>
      <c r="H106" s="172">
        <f t="shared" si="26"/>
        <v>0</v>
      </c>
      <c r="I106" s="337"/>
      <c r="J106" s="168"/>
      <c r="K106" s="168"/>
      <c r="M106" s="364">
        <f t="shared" si="27"/>
        <v>0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490">
        <f>'[61]Sch C'!D100</f>
        <v>0</v>
      </c>
      <c r="D107" s="490">
        <f>'[61]Sch C'!F100</f>
        <v>0</v>
      </c>
      <c r="E107" s="171">
        <f t="shared" si="24"/>
        <v>0</v>
      </c>
      <c r="F107" s="171"/>
      <c r="G107" s="171">
        <f t="shared" si="25"/>
        <v>0</v>
      </c>
      <c r="H107" s="172">
        <f t="shared" si="26"/>
        <v>0</v>
      </c>
      <c r="I107" s="337"/>
      <c r="J107" s="168"/>
      <c r="K107" s="168"/>
      <c r="M107" s="364">
        <f t="shared" si="27"/>
        <v>0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490">
        <f>'[61]Sch C'!D101</f>
        <v>46785</v>
      </c>
      <c r="D108" s="490">
        <f>'[61]Sch C'!F101</f>
        <v>0</v>
      </c>
      <c r="E108" s="171">
        <f t="shared" si="24"/>
        <v>46785</v>
      </c>
      <c r="F108" s="171"/>
      <c r="G108" s="171">
        <f t="shared" si="25"/>
        <v>46785</v>
      </c>
      <c r="H108" s="172">
        <f t="shared" si="26"/>
        <v>1.2700352574926244E-2</v>
      </c>
      <c r="I108" s="337"/>
      <c r="J108" s="168"/>
      <c r="K108" s="168"/>
      <c r="M108" s="364">
        <f t="shared" si="27"/>
        <v>3.2254395036194414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490">
        <f>'[61]Sch C'!D102</f>
        <v>4068</v>
      </c>
      <c r="D109" s="490">
        <f>'[61]Sch C'!F102</f>
        <v>0</v>
      </c>
      <c r="E109" s="171">
        <f t="shared" si="24"/>
        <v>4068</v>
      </c>
      <c r="F109" s="171"/>
      <c r="G109" s="171">
        <f t="shared" si="25"/>
        <v>4068</v>
      </c>
      <c r="H109" s="172">
        <f t="shared" si="26"/>
        <v>1.1043076685860844E-3</v>
      </c>
      <c r="I109" s="337"/>
      <c r="J109" s="168"/>
      <c r="K109" s="168"/>
      <c r="M109" s="364">
        <f t="shared" si="27"/>
        <v>0.28045501551189245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490">
        <f>'[61]Sch C'!D103</f>
        <v>0</v>
      </c>
      <c r="D110" s="490">
        <f>'[61]Sch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7"/>
      <c r="J110" s="168"/>
      <c r="K110" s="168"/>
      <c r="M110" s="364">
        <f t="shared" si="27"/>
        <v>0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490">
        <f>SUM(C105:C110)</f>
        <v>50853</v>
      </c>
      <c r="D111" s="490">
        <f>SUM(D105:D110)</f>
        <v>0</v>
      </c>
      <c r="E111" s="171">
        <f t="shared" ref="E111:F111" si="28">SUM(E105:E110)</f>
        <v>50853</v>
      </c>
      <c r="F111" s="171">
        <f t="shared" si="28"/>
        <v>0</v>
      </c>
      <c r="G111" s="171">
        <f>SUM(G105:G110)</f>
        <v>50853</v>
      </c>
      <c r="H111" s="172">
        <f t="shared" si="26"/>
        <v>1.3804660243512328E-2</v>
      </c>
      <c r="I111" s="337"/>
      <c r="J111" s="168"/>
      <c r="K111" s="168"/>
      <c r="M111" s="364">
        <f>G111/G$228</f>
        <v>3.505894519131334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490">
        <f>'[61]Sch C'!D115</f>
        <v>0</v>
      </c>
      <c r="D114" s="490">
        <f>'[61]Sch C'!F115</f>
        <v>0</v>
      </c>
      <c r="E114" s="171">
        <f t="shared" ref="E114:E118" si="29">C114+D114</f>
        <v>0</v>
      </c>
      <c r="F114" s="171"/>
      <c r="G114" s="171">
        <f>E114+F114</f>
        <v>0</v>
      </c>
      <c r="H114" s="172">
        <f t="shared" ref="H114:H119" si="30">IF($G$208=0,0,G114/$G$208)</f>
        <v>0</v>
      </c>
      <c r="I114" s="337"/>
      <c r="J114" s="183">
        <v>0</v>
      </c>
      <c r="K114" s="183">
        <v>0</v>
      </c>
      <c r="M114" s="364">
        <f t="shared" ref="M114:M119" si="31">G114/G$228</f>
        <v>0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490">
        <f>'[61]Sch C'!D116</f>
        <v>0</v>
      </c>
      <c r="D115" s="490">
        <f>'[61]Sch C'!F116</f>
        <v>0</v>
      </c>
      <c r="E115" s="171">
        <f t="shared" si="29"/>
        <v>0</v>
      </c>
      <c r="F115" s="171"/>
      <c r="G115" s="171">
        <f>E115+F115</f>
        <v>0</v>
      </c>
      <c r="H115" s="172">
        <f t="shared" si="30"/>
        <v>0</v>
      </c>
      <c r="I115" s="337"/>
      <c r="J115" s="168"/>
      <c r="K115" s="168"/>
      <c r="M115" s="364">
        <f t="shared" si="31"/>
        <v>0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490">
        <f>'[61]Sch C'!D117</f>
        <v>5431</v>
      </c>
      <c r="D116" s="490">
        <f>'[61]Sch C'!F117</f>
        <v>0</v>
      </c>
      <c r="E116" s="171">
        <f t="shared" si="29"/>
        <v>5431</v>
      </c>
      <c r="F116" s="171"/>
      <c r="G116" s="171">
        <f>E116+F116</f>
        <v>5431</v>
      </c>
      <c r="H116" s="172">
        <f t="shared" si="30"/>
        <v>1.4743104592160826E-3</v>
      </c>
      <c r="I116" s="337"/>
      <c r="J116" s="168"/>
      <c r="K116" s="168"/>
      <c r="M116" s="364">
        <f t="shared" si="31"/>
        <v>0.37442261289210615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490">
        <f>'[61]Sch C'!D118</f>
        <v>90492</v>
      </c>
      <c r="D117" s="490">
        <f>'[61]Sch C'!F118</f>
        <v>0</v>
      </c>
      <c r="E117" s="171">
        <f t="shared" si="29"/>
        <v>90492</v>
      </c>
      <c r="F117" s="171"/>
      <c r="G117" s="171">
        <f>E117+F117</f>
        <v>90492</v>
      </c>
      <c r="H117" s="172">
        <f t="shared" si="30"/>
        <v>2.4565144922736468E-2</v>
      </c>
      <c r="I117" s="337"/>
      <c r="J117" s="168"/>
      <c r="K117" s="168"/>
      <c r="M117" s="364">
        <f t="shared" si="31"/>
        <v>6.2386763185108585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490">
        <f>'[61]Sch C'!D119</f>
        <v>0</v>
      </c>
      <c r="D118" s="490">
        <f>'[61]Sch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337"/>
      <c r="J118" s="168"/>
      <c r="K118" s="168"/>
      <c r="M118" s="364">
        <f t="shared" si="31"/>
        <v>0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490">
        <f>SUM(C114:C118)</f>
        <v>95923</v>
      </c>
      <c r="D119" s="490">
        <f>SUM(D114:D118)</f>
        <v>0</v>
      </c>
      <c r="E119" s="171">
        <f t="shared" ref="E119:F119" si="32">SUM(E114:E118)</f>
        <v>95923</v>
      </c>
      <c r="F119" s="171">
        <f t="shared" si="32"/>
        <v>0</v>
      </c>
      <c r="G119" s="171">
        <f>SUM(G114:G118)</f>
        <v>95923</v>
      </c>
      <c r="H119" s="172">
        <f t="shared" si="30"/>
        <v>2.6039455381952549E-2</v>
      </c>
      <c r="I119" s="337"/>
      <c r="J119" s="168"/>
      <c r="K119" s="168"/>
      <c r="M119" s="364">
        <f t="shared" si="31"/>
        <v>6.6130989314029645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1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490">
        <f>'[61]Sch C'!D124</f>
        <v>0</v>
      </c>
      <c r="D123" s="490">
        <f>'[61]Sch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7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0.77002560279620991</v>
      </c>
    </row>
    <row r="124" spans="1:14" s="167" customFormat="1">
      <c r="B124" s="163" t="s">
        <v>194</v>
      </c>
      <c r="C124" s="490">
        <f>'[61]Sch C'!D125</f>
        <v>130846</v>
      </c>
      <c r="D124" s="490">
        <f>'[61]Sch C'!F125</f>
        <v>0</v>
      </c>
      <c r="E124" s="171">
        <f t="shared" si="33"/>
        <v>130846</v>
      </c>
      <c r="F124" s="171"/>
      <c r="G124" s="171">
        <f>E124+F124</f>
        <v>130846</v>
      </c>
      <c r="H124" s="172">
        <f>IF($G$208=0,0,G124/$G$208)</f>
        <v>3.5519724976355652E-2</v>
      </c>
      <c r="I124" s="337"/>
      <c r="J124" s="183">
        <v>3759</v>
      </c>
      <c r="K124" s="183">
        <v>4248</v>
      </c>
      <c r="M124" s="364">
        <f t="shared" si="34"/>
        <v>9.020751465012065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490">
        <f>'[61]Sch C'!D126</f>
        <v>0</v>
      </c>
      <c r="D125" s="490">
        <f>'[61]Sch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7"/>
      <c r="J125" s="183">
        <v>0</v>
      </c>
      <c r="K125" s="183">
        <v>0</v>
      </c>
      <c r="M125" s="364">
        <f t="shared" si="34"/>
        <v>0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490">
        <f>'[61]Sch C'!D127</f>
        <v>0</v>
      </c>
      <c r="D126" s="490">
        <f>'[61]Sch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7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490">
        <f>'[61]Sch C'!D128</f>
        <v>30243</v>
      </c>
      <c r="D127" s="490">
        <f>'[61]Sch C'!F128</f>
        <v>0</v>
      </c>
      <c r="E127" s="171">
        <f t="shared" si="33"/>
        <v>30243</v>
      </c>
      <c r="F127" s="171"/>
      <c r="G127" s="171">
        <f>E127+F127</f>
        <v>30243</v>
      </c>
      <c r="H127" s="172">
        <f>IF($G$208=0,0,G127/$G$208)</f>
        <v>8.2098271438173429E-3</v>
      </c>
      <c r="I127" s="337"/>
      <c r="J127" s="183">
        <v>2062</v>
      </c>
      <c r="K127" s="183">
        <v>2299</v>
      </c>
      <c r="M127" s="364">
        <f t="shared" si="34"/>
        <v>2.0850051706308168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205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490">
        <f>'[61]Sch C'!D130</f>
        <v>0</v>
      </c>
      <c r="D129" s="490">
        <f>'[61]Sch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7"/>
      <c r="J129" s="204"/>
      <c r="K129" s="204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490">
        <f>'[61]Sch C'!D131</f>
        <v>29816</v>
      </c>
      <c r="D130" s="490">
        <f>'[61]Sch C'!F131</f>
        <v>0</v>
      </c>
      <c r="E130" s="171">
        <f t="shared" si="35"/>
        <v>29816</v>
      </c>
      <c r="F130" s="171"/>
      <c r="G130" s="171">
        <f>E130+F130</f>
        <v>29816</v>
      </c>
      <c r="H130" s="172">
        <f>IF($G$208=0,0,G130/$G$208)</f>
        <v>8.0939128433044974E-3</v>
      </c>
      <c r="I130" s="337"/>
      <c r="J130" s="204"/>
      <c r="K130" s="204"/>
      <c r="M130" s="364">
        <f t="shared" si="34"/>
        <v>2.05556704584626</v>
      </c>
      <c r="N130" s="359">
        <f>SUMMARY!J133</f>
        <v>1.0792348507966931</v>
      </c>
    </row>
    <row r="131" spans="1:14" s="167" customFormat="1">
      <c r="B131" s="163" t="s">
        <v>195</v>
      </c>
      <c r="C131" s="490">
        <f>'[61]Sch C'!D132</f>
        <v>0</v>
      </c>
      <c r="D131" s="490">
        <f>'[61]Sch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7"/>
      <c r="J131" s="168"/>
      <c r="K131" s="168"/>
      <c r="M131" s="364">
        <f t="shared" si="34"/>
        <v>0</v>
      </c>
      <c r="N131" s="359">
        <f>SUMMARY!J134</f>
        <v>8.2765628075518377E-2</v>
      </c>
    </row>
    <row r="132" spans="1:14" s="167" customFormat="1">
      <c r="B132" s="163" t="s">
        <v>196</v>
      </c>
      <c r="C132" s="490">
        <f>'[61]Sch C'!D133</f>
        <v>0</v>
      </c>
      <c r="D132" s="490">
        <f>'[61]Sch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490">
        <f>'[61]Sch C'!D134</f>
        <v>8646</v>
      </c>
      <c r="D133" s="490">
        <f>'[61]Sch C'!F134</f>
        <v>0</v>
      </c>
      <c r="E133" s="171">
        <f t="shared" si="35"/>
        <v>8646</v>
      </c>
      <c r="F133" s="171"/>
      <c r="G133" s="171">
        <f>E133+F133</f>
        <v>8646</v>
      </c>
      <c r="H133" s="172">
        <f>IF($G$208=0,0,G133/$G$208)</f>
        <v>2.3470609888385659E-3</v>
      </c>
      <c r="I133" s="337"/>
      <c r="J133" s="168"/>
      <c r="K133" s="168"/>
      <c r="M133" s="364">
        <f t="shared" si="34"/>
        <v>0.59607032057911069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490">
        <f>'[61]Sch C'!D136</f>
        <v>138916</v>
      </c>
      <c r="D135" s="490">
        <f>'[61]Sch C'!F136</f>
        <v>0</v>
      </c>
      <c r="E135" s="171">
        <f t="shared" ref="E135:E138" si="36">C135+D135</f>
        <v>138916</v>
      </c>
      <c r="F135" s="171"/>
      <c r="G135" s="171">
        <f>E135+F135</f>
        <v>138916</v>
      </c>
      <c r="H135" s="172">
        <f>IF($G$208=0,0,G135/$G$208)</f>
        <v>3.7710423817429818E-2</v>
      </c>
      <c r="I135" s="337"/>
      <c r="J135" s="183">
        <v>4595</v>
      </c>
      <c r="K135" s="183">
        <v>5322</v>
      </c>
      <c r="M135" s="364">
        <f t="shared" si="34"/>
        <v>9.5771113409169253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490">
        <f>'[61]Sch C'!D137</f>
        <v>257560</v>
      </c>
      <c r="D136" s="490">
        <f>'[61]Sch C'!F137</f>
        <v>0</v>
      </c>
      <c r="E136" s="171">
        <f t="shared" si="36"/>
        <v>257560</v>
      </c>
      <c r="F136" s="171"/>
      <c r="G136" s="171">
        <f>E136+F136</f>
        <v>257560</v>
      </c>
      <c r="H136" s="172">
        <f>IF($G$208=0,0,G136/$G$208)</f>
        <v>6.9917768712151399E-2</v>
      </c>
      <c r="I136" s="337"/>
      <c r="J136" s="183">
        <v>11503</v>
      </c>
      <c r="K136" s="183">
        <v>13675</v>
      </c>
      <c r="M136" s="364">
        <f t="shared" si="34"/>
        <v>17.756635642881765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490">
        <f>'[61]Sch C'!D138</f>
        <v>328488</v>
      </c>
      <c r="D137" s="490">
        <f>'[61]Sch C'!F138</f>
        <v>9361</v>
      </c>
      <c r="E137" s="171">
        <f t="shared" si="36"/>
        <v>337849</v>
      </c>
      <c r="F137" s="171"/>
      <c r="G137" s="171">
        <f>E137+F137</f>
        <v>337849</v>
      </c>
      <c r="H137" s="172">
        <f>IF($G$208=0,0,G137/$G$208)</f>
        <v>9.1713186215373652E-2</v>
      </c>
      <c r="I137" s="337"/>
      <c r="J137" s="183">
        <v>30762</v>
      </c>
      <c r="K137" s="183">
        <v>34213</v>
      </c>
      <c r="M137" s="364">
        <f t="shared" si="34"/>
        <v>23.29189934505343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490">
        <f>'[61]Sch C'!D139</f>
        <v>9361</v>
      </c>
      <c r="D138" s="490">
        <f>'[61]Sch C'!F139</f>
        <v>-9361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7"/>
      <c r="J138" s="183">
        <v>0</v>
      </c>
      <c r="K138" s="183">
        <v>0</v>
      </c>
      <c r="M138" s="364">
        <f t="shared" si="34"/>
        <v>0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7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490">
        <f>'[61]Sch C'!D141</f>
        <v>157896</v>
      </c>
      <c r="D140" s="490">
        <f>'[61]Sch C'!F141</f>
        <v>-128026</v>
      </c>
      <c r="E140" s="171">
        <f t="shared" ref="E140:E143" si="37">C140+D140</f>
        <v>29870</v>
      </c>
      <c r="F140" s="171"/>
      <c r="G140" s="171">
        <f>E140+F140</f>
        <v>29870</v>
      </c>
      <c r="H140" s="172">
        <f>IF($G$208=0,0,G140/$G$208)</f>
        <v>8.1085717946574095E-3</v>
      </c>
      <c r="I140" s="337"/>
      <c r="J140" s="168"/>
      <c r="K140" s="168"/>
      <c r="M140" s="364">
        <f t="shared" si="34"/>
        <v>2.0592899000344707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490">
        <f>'[61]Sch C'!D142</f>
        <v>0</v>
      </c>
      <c r="D141" s="490">
        <f>'[61]Sch C'!F142</f>
        <v>55381</v>
      </c>
      <c r="E141" s="171">
        <f t="shared" si="37"/>
        <v>55381</v>
      </c>
      <c r="F141" s="171"/>
      <c r="G141" s="171">
        <f>E141+F141</f>
        <v>55381</v>
      </c>
      <c r="H141" s="172">
        <f>IF($G$208=0,0,G141/$G$208)</f>
        <v>1.5033840460660261E-2</v>
      </c>
      <c r="I141" s="337"/>
      <c r="J141" s="168"/>
      <c r="K141" s="168"/>
      <c r="M141" s="364">
        <f t="shared" si="34"/>
        <v>3.8180627369872457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490">
        <f>'[61]Sch C'!D143</f>
        <v>0</v>
      </c>
      <c r="D142" s="490">
        <f>'[61]Sch C'!F143</f>
        <v>72645</v>
      </c>
      <c r="E142" s="171">
        <f t="shared" si="37"/>
        <v>72645</v>
      </c>
      <c r="F142" s="171"/>
      <c r="G142" s="171">
        <f>E142+F142</f>
        <v>72645</v>
      </c>
      <c r="H142" s="172">
        <f>IF($G$208=0,0,G142/$G$208)</f>
        <v>1.9720361500598846E-2</v>
      </c>
      <c r="I142" s="337"/>
      <c r="J142" s="168"/>
      <c r="K142" s="168"/>
      <c r="M142" s="364">
        <f t="shared" si="34"/>
        <v>5.0082730093071355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490">
        <f>'[61]Sch C'!D144</f>
        <v>0</v>
      </c>
      <c r="D143" s="490">
        <f>'[61]Sch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7"/>
      <c r="J143" s="168"/>
      <c r="K143" s="168"/>
      <c r="M143" s="364">
        <f t="shared" si="34"/>
        <v>0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7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490">
        <f>'[61]Sch C'!D146</f>
        <v>23025</v>
      </c>
      <c r="D145" s="490">
        <f>'[61]Sch C'!F146</f>
        <v>0</v>
      </c>
      <c r="E145" s="171">
        <f t="shared" ref="E145:E153" si="38">C145+D145</f>
        <v>23025</v>
      </c>
      <c r="F145" s="171"/>
      <c r="G145" s="171">
        <f t="shared" ref="G145:G153" si="39">E145+F145</f>
        <v>23025</v>
      </c>
      <c r="H145" s="172">
        <f t="shared" ref="H145:H153" si="40">IF($G$208=0,0,G145/$G$208)</f>
        <v>6.250413979644689E-3</v>
      </c>
      <c r="I145" s="337"/>
      <c r="J145" s="183">
        <v>163</v>
      </c>
      <c r="K145" s="183">
        <v>163</v>
      </c>
      <c r="M145" s="364">
        <f t="shared" si="34"/>
        <v>1.5873836608066183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490">
        <f>'[61]Sch C'!D147</f>
        <v>0</v>
      </c>
      <c r="D146" s="490">
        <f>'[61]Sch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337"/>
      <c r="J146" s="183">
        <v>0</v>
      </c>
      <c r="K146" s="183">
        <v>0</v>
      </c>
      <c r="M146" s="364">
        <f t="shared" si="34"/>
        <v>0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490">
        <f>'[61]Sch C'!D148</f>
        <v>0</v>
      </c>
      <c r="D147" s="490">
        <f>'[61]Sch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7"/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490">
        <f>'[61]Sch C'!D149</f>
        <v>0</v>
      </c>
      <c r="D148" s="490">
        <f>'[61]Sch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7"/>
      <c r="J148" s="183">
        <v>0</v>
      </c>
      <c r="K148" s="183">
        <v>0</v>
      </c>
      <c r="M148" s="364">
        <f t="shared" si="34"/>
        <v>0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490">
        <f>'[61]Sch C'!D150</f>
        <v>687</v>
      </c>
      <c r="D149" s="490">
        <f>'[61]Sch C'!F150</f>
        <v>0</v>
      </c>
      <c r="E149" s="171">
        <f t="shared" si="38"/>
        <v>687</v>
      </c>
      <c r="F149" s="171"/>
      <c r="G149" s="171">
        <f t="shared" si="39"/>
        <v>687</v>
      </c>
      <c r="H149" s="172">
        <f t="shared" si="40"/>
        <v>1.864944366564995E-4</v>
      </c>
      <c r="I149" s="337"/>
      <c r="J149" s="183">
        <v>0</v>
      </c>
      <c r="K149" s="183">
        <v>0</v>
      </c>
      <c r="M149" s="364">
        <f t="shared" si="34"/>
        <v>4.7362978283350572E-2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490">
        <f>'[61]Sch C'!D151</f>
        <v>60518</v>
      </c>
      <c r="D150" s="490">
        <f>'[61]Sch C'!F151</f>
        <v>0</v>
      </c>
      <c r="E150" s="171">
        <f t="shared" si="38"/>
        <v>60518</v>
      </c>
      <c r="F150" s="171"/>
      <c r="G150" s="171">
        <f t="shared" si="39"/>
        <v>60518</v>
      </c>
      <c r="H150" s="172">
        <f t="shared" si="40"/>
        <v>1.6428341073621597E-2</v>
      </c>
      <c r="I150" s="337"/>
      <c r="J150" s="168"/>
      <c r="K150" s="168"/>
      <c r="M150" s="364">
        <f t="shared" si="34"/>
        <v>4.1722164770768702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490">
        <f>'[61]Sch C'!D152</f>
        <v>2843</v>
      </c>
      <c r="D151" s="490">
        <f>'[61]Sch C'!F152</f>
        <v>0</v>
      </c>
      <c r="E151" s="171">
        <f t="shared" si="38"/>
        <v>2843</v>
      </c>
      <c r="F151" s="171"/>
      <c r="G151" s="171">
        <f t="shared" si="39"/>
        <v>2843</v>
      </c>
      <c r="H151" s="172">
        <f t="shared" si="40"/>
        <v>7.717666425246406E-4</v>
      </c>
      <c r="I151" s="337"/>
      <c r="J151" s="168"/>
      <c r="K151" s="168"/>
      <c r="M151" s="364">
        <f t="shared" si="34"/>
        <v>0.19600137883488453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490">
        <f>'[61]Sch C'!D153</f>
        <v>0</v>
      </c>
      <c r="D152" s="490">
        <f>'[61]Sch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7"/>
      <c r="J152" s="168"/>
      <c r="K152" s="168"/>
      <c r="M152" s="364">
        <f t="shared" si="34"/>
        <v>0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490">
        <f>'[61]Sch C'!D154</f>
        <v>0</v>
      </c>
      <c r="D153" s="490">
        <f>'[61]Sch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210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490">
        <f>'[61]Sch C'!D156</f>
        <v>0</v>
      </c>
      <c r="D155" s="490">
        <f>'[61]Sch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490">
        <f>'[61]Sch C'!D157</f>
        <v>0</v>
      </c>
      <c r="D156" s="490">
        <f>'[61]Sch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490">
        <f>'[61]Sch C'!D158</f>
        <v>0</v>
      </c>
      <c r="D157" s="490">
        <f>'[61]Sch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7"/>
      <c r="J157" s="168"/>
      <c r="K157" s="168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490">
        <f>'[61]Sch C'!D159</f>
        <v>0</v>
      </c>
      <c r="D158" s="490">
        <f>'[61]Sch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490">
        <f>'[61]Sch C'!D160</f>
        <v>0</v>
      </c>
      <c r="D159" s="490">
        <f>'[61]Sch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7"/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490">
        <f>'[61]Sch C'!D161</f>
        <v>9284</v>
      </c>
      <c r="D160" s="490">
        <f>'[61]Sch C'!F161</f>
        <v>-352</v>
      </c>
      <c r="E160" s="171">
        <f t="shared" si="41"/>
        <v>8932</v>
      </c>
      <c r="F160" s="171"/>
      <c r="G160" s="171">
        <f t="shared" si="42"/>
        <v>8932</v>
      </c>
      <c r="H160" s="172">
        <f t="shared" si="43"/>
        <v>2.4246991385965845E-3</v>
      </c>
      <c r="I160" s="337"/>
      <c r="J160" s="168"/>
      <c r="K160" s="168"/>
      <c r="M160" s="364">
        <f t="shared" si="34"/>
        <v>0.61578765942778357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490">
        <f>SUM(C123:C160)</f>
        <v>1188129</v>
      </c>
      <c r="D161" s="490">
        <f>SUM(D123:D160)</f>
        <v>-352</v>
      </c>
      <c r="E161" s="171">
        <f t="shared" ref="E161:F161" si="44">SUM(E123:E160)</f>
        <v>1187777</v>
      </c>
      <c r="F161" s="171">
        <f t="shared" si="44"/>
        <v>0</v>
      </c>
      <c r="G161" s="171">
        <f>SUM(G123:G160)</f>
        <v>1187777</v>
      </c>
      <c r="H161" s="172">
        <f t="shared" si="43"/>
        <v>0.32243639372423144</v>
      </c>
      <c r="I161" s="337"/>
      <c r="J161" s="168"/>
      <c r="K161" s="168"/>
      <c r="M161" s="364">
        <f>G161/G$228</f>
        <v>81.887418131678729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337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7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490">
        <f>'[61]Sch C'!D175</f>
        <v>0</v>
      </c>
      <c r="D164" s="490">
        <f>'[61]Sch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490">
        <f>'[61]Sch C'!D176</f>
        <v>0</v>
      </c>
      <c r="D165" s="490">
        <f>'[61]Sch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490">
        <f>'[61]Sch C'!D177</f>
        <v>0</v>
      </c>
      <c r="D166" s="490">
        <f>'[61]Sch C'!F177</f>
        <v>0</v>
      </c>
      <c r="E166" s="171">
        <f t="shared" si="45"/>
        <v>0</v>
      </c>
      <c r="F166" s="216"/>
      <c r="G166" s="171">
        <f t="shared" si="46"/>
        <v>0</v>
      </c>
      <c r="H166" s="172">
        <f t="shared" si="47"/>
        <v>0</v>
      </c>
      <c r="I166" s="343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490">
        <f>'[61]Sch C'!D178</f>
        <v>0</v>
      </c>
      <c r="D167" s="490">
        <f>'[61]Sch C'!F178</f>
        <v>0</v>
      </c>
      <c r="E167" s="171">
        <f t="shared" si="45"/>
        <v>0</v>
      </c>
      <c r="F167" s="216"/>
      <c r="G167" s="171">
        <f t="shared" si="46"/>
        <v>0</v>
      </c>
      <c r="H167" s="172">
        <f t="shared" si="47"/>
        <v>0</v>
      </c>
      <c r="I167" s="344"/>
      <c r="J167" s="222"/>
      <c r="K167" s="222"/>
      <c r="L167" s="218"/>
      <c r="M167" s="364">
        <f t="shared" si="48"/>
        <v>0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490">
        <f>'[61]Sch C'!D179</f>
        <v>0</v>
      </c>
      <c r="D168" s="490">
        <f>'[61]Sch C'!F179</f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343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490">
        <f>'[61]Sch C'!D180</f>
        <v>0</v>
      </c>
      <c r="D169" s="490">
        <f>'[61]Sch C'!F180</f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344"/>
      <c r="J169" s="222"/>
      <c r="K169" s="222"/>
      <c r="L169" s="218"/>
      <c r="M169" s="364">
        <f t="shared" si="48"/>
        <v>0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490">
        <f>'[61]Sch C'!D181</f>
        <v>0</v>
      </c>
      <c r="D170" s="490">
        <f>'[61]Sch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3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490">
        <f>'[61]Sch C'!D182</f>
        <v>0</v>
      </c>
      <c r="D171" s="490">
        <f>'[61]Sch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490">
        <f>'[61]Sch C'!D183</f>
        <v>0</v>
      </c>
      <c r="D172" s="490">
        <f>'[61]Sch C'!F183</f>
        <v>0</v>
      </c>
      <c r="E172" s="171">
        <f t="shared" si="45"/>
        <v>0</v>
      </c>
      <c r="F172" s="216"/>
      <c r="G172" s="171">
        <f t="shared" si="46"/>
        <v>0</v>
      </c>
      <c r="H172" s="172">
        <f t="shared" si="47"/>
        <v>0</v>
      </c>
      <c r="I172" s="343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490">
        <f>'[61]Sch C'!D184</f>
        <v>0</v>
      </c>
      <c r="D173" s="490">
        <f>'[61]Sch C'!F184</f>
        <v>0</v>
      </c>
      <c r="E173" s="171">
        <f t="shared" si="45"/>
        <v>0</v>
      </c>
      <c r="F173" s="216"/>
      <c r="G173" s="171">
        <f t="shared" si="46"/>
        <v>0</v>
      </c>
      <c r="H173" s="172">
        <f t="shared" si="47"/>
        <v>0</v>
      </c>
      <c r="I173" s="344"/>
      <c r="J173" s="222"/>
      <c r="K173" s="222"/>
      <c r="L173" s="218"/>
      <c r="M173" s="364">
        <f t="shared" si="48"/>
        <v>0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490">
        <f>'[61]Sch C'!D185</f>
        <v>0</v>
      </c>
      <c r="D174" s="490">
        <f>'[61]Sch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3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490">
        <f>'[61]Sch C'!D186</f>
        <v>0</v>
      </c>
      <c r="D175" s="490">
        <f>'[61]Sch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490">
        <f>'[61]Sch C'!D187</f>
        <v>0</v>
      </c>
      <c r="D176" s="490">
        <f>'[61]Sch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490">
        <f>'[61]Sch C'!D188</f>
        <v>0</v>
      </c>
      <c r="D177" s="490">
        <f>'[61]Sch C'!F188</f>
        <v>0</v>
      </c>
      <c r="E177" s="171">
        <f t="shared" si="45"/>
        <v>0</v>
      </c>
      <c r="F177" s="216"/>
      <c r="G177" s="171">
        <f t="shared" si="46"/>
        <v>0</v>
      </c>
      <c r="H177" s="172">
        <f t="shared" si="47"/>
        <v>0</v>
      </c>
      <c r="I177" s="337"/>
      <c r="J177" s="223"/>
      <c r="K177" s="218"/>
      <c r="L177" s="220"/>
      <c r="M177" s="364">
        <f t="shared" si="48"/>
        <v>0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490">
        <f>'[61]Sch C'!D189</f>
        <v>0</v>
      </c>
      <c r="D178" s="490">
        <f>'[61]Sch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337"/>
      <c r="J178" s="223"/>
      <c r="K178" s="218"/>
      <c r="L178" s="220"/>
      <c r="M178" s="364">
        <f t="shared" si="48"/>
        <v>0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490">
        <f>'[61]Sch C'!D190</f>
        <v>0</v>
      </c>
      <c r="D179" s="490">
        <f>'[61]Sch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490">
        <f>'[61]Sch C'!D191</f>
        <v>0</v>
      </c>
      <c r="D180" s="490">
        <f>'[61]Sch C'!F191</f>
        <v>0</v>
      </c>
      <c r="E180" s="171">
        <f t="shared" si="45"/>
        <v>0</v>
      </c>
      <c r="F180" s="216"/>
      <c r="G180" s="171">
        <f t="shared" si="46"/>
        <v>0</v>
      </c>
      <c r="H180" s="172">
        <f t="shared" si="47"/>
        <v>0</v>
      </c>
      <c r="I180" s="337"/>
      <c r="J180" s="223"/>
      <c r="K180" s="218"/>
      <c r="L180" s="220"/>
      <c r="M180" s="364">
        <f t="shared" si="48"/>
        <v>0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490">
        <f>'[61]Sch C'!D192</f>
        <v>0</v>
      </c>
      <c r="D181" s="490">
        <f>'[61]Sch C'!F192</f>
        <v>0</v>
      </c>
      <c r="E181" s="171">
        <f t="shared" si="45"/>
        <v>0</v>
      </c>
      <c r="F181" s="216"/>
      <c r="G181" s="171">
        <f t="shared" si="46"/>
        <v>0</v>
      </c>
      <c r="H181" s="172">
        <f t="shared" si="47"/>
        <v>0</v>
      </c>
      <c r="I181" s="337"/>
      <c r="J181" s="223"/>
      <c r="K181" s="218"/>
      <c r="L181" s="220"/>
      <c r="M181" s="364">
        <f t="shared" si="48"/>
        <v>0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490">
        <f>'[61]Sch C'!D193</f>
        <v>399</v>
      </c>
      <c r="D182" s="490">
        <f>'[61]Sch C'!F193</f>
        <v>0</v>
      </c>
      <c r="E182" s="171">
        <f t="shared" si="45"/>
        <v>399</v>
      </c>
      <c r="F182" s="216"/>
      <c r="G182" s="171">
        <f t="shared" si="46"/>
        <v>399</v>
      </c>
      <c r="H182" s="172">
        <f t="shared" si="47"/>
        <v>1.0831336277429885E-4</v>
      </c>
      <c r="I182" s="337"/>
      <c r="J182" s="223"/>
      <c r="K182" s="218"/>
      <c r="L182" s="220"/>
      <c r="M182" s="364">
        <f t="shared" si="48"/>
        <v>2.750775594622544E-2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490">
        <f>'[61]Sch C'!D194</f>
        <v>190727</v>
      </c>
      <c r="D183" s="490">
        <f>'[61]Sch C'!F194</f>
        <v>7038</v>
      </c>
      <c r="E183" s="171">
        <f t="shared" si="45"/>
        <v>197765</v>
      </c>
      <c r="F183" s="216"/>
      <c r="G183" s="171">
        <f t="shared" si="46"/>
        <v>197765</v>
      </c>
      <c r="H183" s="172">
        <f t="shared" si="47"/>
        <v>5.3685694709421576E-2</v>
      </c>
      <c r="I183" s="337"/>
      <c r="J183" s="223"/>
      <c r="K183" s="218"/>
      <c r="M183" s="364">
        <f t="shared" si="48"/>
        <v>13.634264046880386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490">
        <f>'[61]Sch C'!D195</f>
        <v>10169</v>
      </c>
      <c r="D184" s="490">
        <f>'[61]Sch C'!F195</f>
        <v>375</v>
      </c>
      <c r="E184" s="171">
        <f t="shared" si="45"/>
        <v>10544</v>
      </c>
      <c r="F184" s="216"/>
      <c r="G184" s="171">
        <f t="shared" si="46"/>
        <v>10544</v>
      </c>
      <c r="H184" s="172">
        <f t="shared" si="47"/>
        <v>2.8622959826872353E-3</v>
      </c>
      <c r="I184" s="337"/>
      <c r="J184" s="223"/>
      <c r="K184" s="218"/>
      <c r="M184" s="364">
        <f t="shared" si="48"/>
        <v>0.72692175112030333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490">
        <f>'[61]Sch C'!D196</f>
        <v>0</v>
      </c>
      <c r="D185" s="490">
        <f>'[61]Sch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490">
        <f>'[61]Sch C'!D197</f>
        <v>166718</v>
      </c>
      <c r="D186" s="490">
        <f>'[61]Sch C'!F197</f>
        <v>6152</v>
      </c>
      <c r="E186" s="171">
        <f t="shared" si="45"/>
        <v>172870</v>
      </c>
      <c r="F186" s="216"/>
      <c r="G186" s="171">
        <f t="shared" si="46"/>
        <v>172870</v>
      </c>
      <c r="H186" s="172">
        <f t="shared" si="47"/>
        <v>4.6927646673666772E-2</v>
      </c>
      <c r="I186" s="337"/>
      <c r="J186" s="223"/>
      <c r="K186" s="218"/>
      <c r="M186" s="364">
        <f t="shared" si="48"/>
        <v>11.917959324370907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490">
        <f>'[61]Sch C'!D198</f>
        <v>10189</v>
      </c>
      <c r="D187" s="490">
        <f>'[61]Sch C'!F198</f>
        <v>0</v>
      </c>
      <c r="E187" s="171">
        <f t="shared" si="45"/>
        <v>10189</v>
      </c>
      <c r="F187" s="216"/>
      <c r="G187" s="171">
        <f t="shared" si="46"/>
        <v>10189</v>
      </c>
      <c r="H187" s="172">
        <f t="shared" si="47"/>
        <v>2.7659269506449397E-3</v>
      </c>
      <c r="I187" s="337"/>
      <c r="J187" s="223"/>
      <c r="K187" s="218"/>
      <c r="M187" s="364">
        <f t="shared" si="48"/>
        <v>0.70244743192002757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490">
        <f>'[61]Sch C'!D199</f>
        <v>0</v>
      </c>
      <c r="D188" s="490">
        <f>'[61]Sch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7"/>
      <c r="J188" s="223"/>
      <c r="K188" s="218"/>
      <c r="M188" s="364">
        <f t="shared" si="48"/>
        <v>0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490">
        <f>'[61]Sch C'!D200</f>
        <v>0</v>
      </c>
      <c r="D189" s="490">
        <f>'[61]Sch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7"/>
      <c r="J189" s="223"/>
      <c r="K189" s="218"/>
      <c r="M189" s="364">
        <f t="shared" si="48"/>
        <v>0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490">
        <f>'[61]Sch C'!D201</f>
        <v>0</v>
      </c>
      <c r="D190" s="490">
        <f>'[61]Sch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7"/>
      <c r="J190" s="223"/>
      <c r="K190" s="218"/>
      <c r="M190" s="364">
        <f t="shared" si="48"/>
        <v>0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490">
        <f>'[61]Sch C'!D202</f>
        <v>0</v>
      </c>
      <c r="D191" s="490">
        <f>'[61]Sch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490">
        <f>'[61]Sch C'!D203</f>
        <v>0</v>
      </c>
      <c r="D192" s="490">
        <f>'[61]Sch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7"/>
      <c r="J192" s="223"/>
      <c r="K192" s="218"/>
      <c r="M192" s="364">
        <f t="shared" si="48"/>
        <v>0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490">
        <f>'[61]Sch C'!D204</f>
        <v>0</v>
      </c>
      <c r="D193" s="490">
        <f>'[61]Sch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490">
        <f>'[61]Sch C'!D205</f>
        <v>121326</v>
      </c>
      <c r="D194" s="490">
        <f>'[61]Sch C'!F205</f>
        <v>-7755</v>
      </c>
      <c r="E194" s="171">
        <f t="shared" si="45"/>
        <v>113571</v>
      </c>
      <c r="F194" s="216"/>
      <c r="G194" s="171">
        <f t="shared" si="46"/>
        <v>113571</v>
      </c>
      <c r="H194" s="172">
        <f t="shared" si="47"/>
        <v>3.083021785373407E-2</v>
      </c>
      <c r="I194" s="337"/>
      <c r="J194" s="223"/>
      <c r="K194" s="218"/>
      <c r="M194" s="364">
        <f t="shared" si="48"/>
        <v>7.8297828335056874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490">
        <f>'[61]Sch C'!D206</f>
        <v>651</v>
      </c>
      <c r="D195" s="490">
        <f>'[61]Sch C'!F206</f>
        <v>0</v>
      </c>
      <c r="E195" s="171">
        <f t="shared" si="45"/>
        <v>651</v>
      </c>
      <c r="F195" s="216"/>
      <c r="G195" s="171">
        <f t="shared" si="46"/>
        <v>651</v>
      </c>
      <c r="H195" s="172">
        <f t="shared" si="47"/>
        <v>1.7672180242122443E-4</v>
      </c>
      <c r="I195" s="337"/>
      <c r="J195" s="223"/>
      <c r="K195" s="218"/>
      <c r="M195" s="364">
        <f t="shared" si="48"/>
        <v>4.4881075491209926E-2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490">
        <f>'[61]Sch C'!D207</f>
        <v>0</v>
      </c>
      <c r="D196" s="490">
        <f>'[61]Sch C'!F207</f>
        <v>0</v>
      </c>
      <c r="E196" s="171">
        <f t="shared" si="45"/>
        <v>0</v>
      </c>
      <c r="F196" s="216"/>
      <c r="G196" s="171">
        <f t="shared" si="46"/>
        <v>0</v>
      </c>
      <c r="H196" s="172">
        <f t="shared" si="47"/>
        <v>0</v>
      </c>
      <c r="I196" s="337"/>
      <c r="J196" s="223"/>
      <c r="K196" s="218"/>
      <c r="M196" s="364">
        <f t="shared" si="48"/>
        <v>0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490">
        <f>SUM(C164:C196)</f>
        <v>500179</v>
      </c>
      <c r="D197" s="490">
        <f>SUM(D164:D196)</f>
        <v>5810</v>
      </c>
      <c r="E197" s="171">
        <f t="shared" ref="E197:F197" si="49">SUM(E164:E196)</f>
        <v>505989</v>
      </c>
      <c r="F197" s="171">
        <f t="shared" si="49"/>
        <v>0</v>
      </c>
      <c r="G197" s="171">
        <f>SUM(G164:G196)</f>
        <v>505989</v>
      </c>
      <c r="H197" s="172">
        <f>IF($G$208=0,0,G197/$G$208)</f>
        <v>0.13735681733535013</v>
      </c>
      <c r="I197" s="337"/>
      <c r="J197" s="168"/>
      <c r="K197" s="168"/>
      <c r="M197" s="364">
        <f>G197/G$228</f>
        <v>34.883764219234749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165"/>
      <c r="G198" s="165"/>
      <c r="H198" s="198"/>
      <c r="I198" s="341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1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490">
        <f>'[61]Sch C'!D211</f>
        <v>70193</v>
      </c>
      <c r="D200" s="490">
        <f>'[61]Sch C'!F211</f>
        <v>0</v>
      </c>
      <c r="E200" s="171">
        <f t="shared" ref="E200:E205" si="50">C200+D200</f>
        <v>70193</v>
      </c>
      <c r="F200" s="171"/>
      <c r="G200" s="171">
        <f t="shared" ref="G200:G205" si="51">E200+F200</f>
        <v>70193</v>
      </c>
      <c r="H200" s="172">
        <f t="shared" ref="H200:H206" si="52">IF($G$208=0,0,G200/$G$208)</f>
        <v>1.9054736524351776E-2</v>
      </c>
      <c r="I200" s="337"/>
      <c r="J200" s="183">
        <v>4646</v>
      </c>
      <c r="K200" s="183">
        <v>5269</v>
      </c>
      <c r="M200" s="364">
        <f t="shared" ref="M200:M205" si="53">G200/G$228</f>
        <v>4.839227852464667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490">
        <f>'[61]Sch C'!D212</f>
        <v>15434</v>
      </c>
      <c r="D201" s="490">
        <f>'[61]Sch C'!F212</f>
        <v>0</v>
      </c>
      <c r="E201" s="171">
        <f t="shared" si="50"/>
        <v>15434</v>
      </c>
      <c r="F201" s="171"/>
      <c r="G201" s="171">
        <f t="shared" si="51"/>
        <v>15434</v>
      </c>
      <c r="H201" s="172">
        <f t="shared" si="52"/>
        <v>4.1897454663121008E-3</v>
      </c>
      <c r="I201" s="337"/>
      <c r="J201" s="168"/>
      <c r="K201" s="168"/>
      <c r="M201" s="364">
        <f t="shared" si="53"/>
        <v>1.0640468803860739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490">
        <f>'[61]Sch C'!D213</f>
        <v>5691</v>
      </c>
      <c r="D202" s="490">
        <f>'[61]Sch C'!F213</f>
        <v>0</v>
      </c>
      <c r="E202" s="171">
        <f t="shared" si="50"/>
        <v>5691</v>
      </c>
      <c r="F202" s="171"/>
      <c r="G202" s="171">
        <f t="shared" si="51"/>
        <v>5691</v>
      </c>
      <c r="H202" s="172">
        <f t="shared" si="52"/>
        <v>1.5448905953597361E-3</v>
      </c>
      <c r="I202" s="337"/>
      <c r="J202" s="168"/>
      <c r="K202" s="168"/>
      <c r="M202" s="364">
        <f t="shared" si="53"/>
        <v>0.39234746639089968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490">
        <f>'[61]Sch C'!D214</f>
        <v>0</v>
      </c>
      <c r="D203" s="490">
        <f>'[61]Sch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>
        <f t="shared" si="53"/>
        <v>0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490">
        <f>'[61]Sch C'!D215</f>
        <v>0</v>
      </c>
      <c r="D204" s="490">
        <f>'[61]Sch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490">
        <f>'[61]Sch C'!D216</f>
        <v>936</v>
      </c>
      <c r="D205" s="490">
        <f>'[61]Sch C'!F216</f>
        <v>0</v>
      </c>
      <c r="E205" s="171">
        <f t="shared" si="50"/>
        <v>936</v>
      </c>
      <c r="F205" s="171"/>
      <c r="G205" s="171">
        <f t="shared" si="51"/>
        <v>936</v>
      </c>
      <c r="H205" s="172">
        <f t="shared" si="52"/>
        <v>2.5408849011715218E-4</v>
      </c>
      <c r="I205" s="337"/>
      <c r="J205" s="168"/>
      <c r="K205" s="168"/>
      <c r="M205" s="364">
        <f t="shared" si="53"/>
        <v>6.4529472595656667E-2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490">
        <f>SUM(C200:C205)</f>
        <v>92254</v>
      </c>
      <c r="D206" s="490">
        <f>SUM(D200:D205)</f>
        <v>0</v>
      </c>
      <c r="E206" s="171">
        <f t="shared" ref="E206:F206" si="54">SUM(E200:E205)</f>
        <v>92254</v>
      </c>
      <c r="F206" s="171">
        <f t="shared" si="54"/>
        <v>0</v>
      </c>
      <c r="G206" s="171">
        <f>SUM(G200:G205)</f>
        <v>92254</v>
      </c>
      <c r="H206" s="172">
        <f t="shared" si="52"/>
        <v>2.5043461076140763E-2</v>
      </c>
      <c r="I206" s="337"/>
      <c r="J206" s="168"/>
      <c r="K206" s="168"/>
      <c r="M206" s="364">
        <f>G206/G$228</f>
        <v>6.3601516718372979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490">
        <f>SUM(C25:C206)/2</f>
        <v>3694842</v>
      </c>
      <c r="D208" s="490">
        <f>SUM(D25:D206)/2</f>
        <v>-11086</v>
      </c>
      <c r="E208" s="171">
        <f t="shared" ref="E208:F208" si="55">SUM(E25:E206)/2</f>
        <v>3683756</v>
      </c>
      <c r="F208" s="171">
        <f t="shared" si="55"/>
        <v>0</v>
      </c>
      <c r="G208" s="171">
        <f>SUM(G25:G206)/2</f>
        <v>3683756</v>
      </c>
      <c r="H208" s="172">
        <f>IF($G$208=0,0,G208/$G$208)</f>
        <v>1</v>
      </c>
      <c r="I208" s="337"/>
      <c r="J208" s="183">
        <f>SUM(J25:J200)</f>
        <v>74572</v>
      </c>
      <c r="K208" s="183">
        <f>SUM(K25:K200)</f>
        <v>83903</v>
      </c>
      <c r="M208" s="364">
        <f>G208/G$228</f>
        <v>253.96456394346777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490">
        <f>'[61]Sch C'!D221</f>
        <v>3694842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490">
        <f>C208-C211</f>
        <v>0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619"/>
      <c r="D213" s="232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490">
        <f>C21-C208</f>
        <v>169748</v>
      </c>
      <c r="D215" s="490">
        <f>D21-D208</f>
        <v>10178</v>
      </c>
      <c r="E215" s="171">
        <f t="shared" ref="E215:F215" si="56">E21-E208</f>
        <v>179926</v>
      </c>
      <c r="F215" s="171">
        <f t="shared" si="56"/>
        <v>0</v>
      </c>
      <c r="G215" s="171">
        <f>G21-G208</f>
        <v>179926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491">
        <f>'[61]Sch D'!C9</f>
        <v>9143</v>
      </c>
      <c r="D219" s="491"/>
      <c r="E219" s="235">
        <f t="shared" ref="E219:G227" si="57">C219+D219</f>
        <v>9143</v>
      </c>
      <c r="F219" s="234"/>
      <c r="G219" s="235">
        <f t="shared" si="57"/>
        <v>9143</v>
      </c>
      <c r="H219" s="172">
        <f t="shared" ref="H219:H228" si="58">IF($G$228=0,0,G219/$G$228)</f>
        <v>0.63033436745949678</v>
      </c>
      <c r="I219" s="337"/>
      <c r="J219" s="168"/>
      <c r="K219" s="168"/>
    </row>
    <row r="220" spans="1:14">
      <c r="A220" s="163"/>
      <c r="B220" s="170" t="s">
        <v>217</v>
      </c>
      <c r="C220" s="491">
        <f>'[61]Sch D'!D9</f>
        <v>0</v>
      </c>
      <c r="D220" s="491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7"/>
      <c r="J220" s="168"/>
      <c r="K220" s="168"/>
    </row>
    <row r="221" spans="1:14">
      <c r="A221" s="163"/>
      <c r="B221" s="170" t="s">
        <v>72</v>
      </c>
      <c r="C221" s="491">
        <f>'[61]Sch D'!E9</f>
        <v>2803</v>
      </c>
      <c r="D221" s="491"/>
      <c r="E221" s="235">
        <f t="shared" si="59"/>
        <v>2803</v>
      </c>
      <c r="F221" s="234"/>
      <c r="G221" s="235">
        <f t="shared" si="57"/>
        <v>2803</v>
      </c>
      <c r="H221" s="172">
        <f t="shared" si="58"/>
        <v>0.19324370906583938</v>
      </c>
      <c r="I221" s="337"/>
      <c r="J221" s="168"/>
      <c r="K221" s="168"/>
    </row>
    <row r="222" spans="1:14">
      <c r="A222" s="163"/>
      <c r="B222" s="202" t="s">
        <v>334</v>
      </c>
      <c r="C222" s="491">
        <f>'[61]Sch D'!F9</f>
        <v>46</v>
      </c>
      <c r="D222" s="491"/>
      <c r="E222" s="235">
        <f>C222+D222</f>
        <v>46</v>
      </c>
      <c r="F222" s="234"/>
      <c r="G222" s="235">
        <f>E222+F222</f>
        <v>46</v>
      </c>
      <c r="H222" s="172">
        <f t="shared" si="58"/>
        <v>3.1713202344019302E-3</v>
      </c>
      <c r="I222" s="337"/>
      <c r="J222" s="168"/>
      <c r="K222" s="168"/>
    </row>
    <row r="223" spans="1:14">
      <c r="A223" s="163"/>
      <c r="B223" s="170" t="s">
        <v>73</v>
      </c>
      <c r="C223" s="491">
        <f>'[61]Sch D'!G9</f>
        <v>0</v>
      </c>
      <c r="D223" s="491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7"/>
      <c r="J223" s="168"/>
      <c r="K223" s="168"/>
    </row>
    <row r="224" spans="1:14">
      <c r="A224" s="163"/>
      <c r="B224" s="170" t="s">
        <v>74</v>
      </c>
      <c r="C224" s="491">
        <f>'[61]Sch D'!H9</f>
        <v>1916</v>
      </c>
      <c r="D224" s="491"/>
      <c r="E224" s="235">
        <f t="shared" si="59"/>
        <v>1916</v>
      </c>
      <c r="F224" s="234"/>
      <c r="G224" s="235">
        <f t="shared" si="57"/>
        <v>1916</v>
      </c>
      <c r="H224" s="172">
        <f t="shared" si="58"/>
        <v>0.13209238193726303</v>
      </c>
      <c r="I224" s="337"/>
      <c r="J224" s="168"/>
      <c r="K224" s="168"/>
    </row>
    <row r="225" spans="1:11">
      <c r="A225" s="163"/>
      <c r="B225" s="170" t="s">
        <v>236</v>
      </c>
      <c r="C225" s="491">
        <f>'[61]Sch D'!I9</f>
        <v>214</v>
      </c>
      <c r="D225" s="491"/>
      <c r="E225" s="235">
        <f t="shared" si="59"/>
        <v>214</v>
      </c>
      <c r="F225" s="234"/>
      <c r="G225" s="235">
        <f t="shared" si="57"/>
        <v>214</v>
      </c>
      <c r="H225" s="172">
        <f t="shared" si="58"/>
        <v>1.4753533264391589E-2</v>
      </c>
      <c r="I225" s="337"/>
      <c r="J225" s="168"/>
      <c r="K225" s="168"/>
    </row>
    <row r="226" spans="1:11">
      <c r="A226" s="163"/>
      <c r="B226" s="170" t="s">
        <v>235</v>
      </c>
      <c r="C226" s="491">
        <f>'[61]Sch D'!J9</f>
        <v>0</v>
      </c>
      <c r="D226" s="491"/>
      <c r="E226" s="235">
        <f>C226+D226</f>
        <v>0</v>
      </c>
      <c r="F226" s="234"/>
      <c r="G226" s="235">
        <f>E226+F226</f>
        <v>0</v>
      </c>
      <c r="H226" s="172">
        <f t="shared" si="58"/>
        <v>0</v>
      </c>
      <c r="I226" s="337"/>
      <c r="J226" s="168"/>
      <c r="K226" s="168"/>
    </row>
    <row r="227" spans="1:11">
      <c r="A227" s="163"/>
      <c r="B227" s="170" t="s">
        <v>179</v>
      </c>
      <c r="C227" s="491">
        <f>'[61]Sch D'!K9</f>
        <v>383</v>
      </c>
      <c r="D227" s="491"/>
      <c r="E227" s="235">
        <f t="shared" si="59"/>
        <v>383</v>
      </c>
      <c r="F227" s="234"/>
      <c r="G227" s="235">
        <f t="shared" si="57"/>
        <v>383</v>
      </c>
      <c r="H227" s="172">
        <f t="shared" si="58"/>
        <v>2.6404688038607377E-2</v>
      </c>
      <c r="I227" s="337"/>
      <c r="J227" s="168"/>
      <c r="K227" s="168"/>
    </row>
    <row r="228" spans="1:11" ht="13.5" thickBot="1">
      <c r="A228" s="163"/>
      <c r="B228" s="236" t="s">
        <v>75</v>
      </c>
      <c r="C228" s="491">
        <f>SUM(C219:C227)</f>
        <v>14505</v>
      </c>
      <c r="D228" s="491">
        <f>SUM(D219:D227)</f>
        <v>0</v>
      </c>
      <c r="E228" s="237">
        <f>SUM(E219:E227)</f>
        <v>14505</v>
      </c>
      <c r="F228" s="237">
        <f>SUM(F219:F227)</f>
        <v>0</v>
      </c>
      <c r="G228" s="237">
        <f>SUM(G219:G227)</f>
        <v>14505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620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619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492">
        <f>'[61]Sch D'!N22</f>
        <v>98</v>
      </c>
      <c r="D231" s="526"/>
      <c r="E231" s="235">
        <f>C231+D231</f>
        <v>98</v>
      </c>
      <c r="F231" s="235"/>
      <c r="G231" s="235">
        <f>E231+F231</f>
        <v>98</v>
      </c>
      <c r="H231" s="167"/>
      <c r="J231" s="168"/>
      <c r="K231" s="168"/>
    </row>
    <row r="232" spans="1:11">
      <c r="A232" s="163"/>
      <c r="B232" s="202" t="s">
        <v>290</v>
      </c>
      <c r="C232" s="492">
        <f>'[61]Sch D'!N24</f>
        <v>98</v>
      </c>
      <c r="D232" s="526"/>
      <c r="E232" s="235">
        <f>C232+D232</f>
        <v>98</v>
      </c>
      <c r="F232" s="235"/>
      <c r="G232" s="235">
        <f>E232+F232</f>
        <v>98</v>
      </c>
      <c r="H232" s="167"/>
      <c r="J232" s="168"/>
      <c r="K232" s="168"/>
    </row>
    <row r="233" spans="1:11">
      <c r="A233" s="163"/>
      <c r="B233" s="202" t="s">
        <v>76</v>
      </c>
      <c r="C233" s="492">
        <f>$C$4-$C$3+1</f>
        <v>365</v>
      </c>
      <c r="D233" s="489"/>
      <c r="E233" s="235">
        <f>C233+D233</f>
        <v>365</v>
      </c>
      <c r="F233" s="240"/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621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492">
        <f>'[61]Sch D'!N28</f>
        <v>35770</v>
      </c>
      <c r="D235" s="489"/>
      <c r="E235" s="234">
        <f>E231*E233</f>
        <v>35770</v>
      </c>
      <c r="F235" s="240"/>
      <c r="G235" s="234">
        <f>G231*G233</f>
        <v>35770</v>
      </c>
      <c r="H235" s="167"/>
      <c r="J235" s="168"/>
      <c r="K235" s="168"/>
    </row>
    <row r="236" spans="1:11" ht="26">
      <c r="A236" s="163"/>
      <c r="B236" s="244" t="s">
        <v>336</v>
      </c>
      <c r="C236" s="493">
        <f>'[61]Sch D'!N30</f>
        <v>0.40550740844282918</v>
      </c>
      <c r="D236" s="240"/>
      <c r="E236" s="245">
        <f>E228/E235</f>
        <v>0.40550740844282918</v>
      </c>
      <c r="F236" s="246"/>
      <c r="G236" s="245">
        <f>G228/G235</f>
        <v>0.40550740844282918</v>
      </c>
      <c r="H236" s="167"/>
      <c r="J236" s="168"/>
      <c r="K236" s="168"/>
    </row>
    <row r="237" spans="1:11" ht="26">
      <c r="A237" s="163"/>
      <c r="B237" s="244" t="s">
        <v>337</v>
      </c>
      <c r="C237" s="493">
        <f>'[61]Sch D'!N32</f>
        <v>0.2556052558009505</v>
      </c>
      <c r="D237" s="240"/>
      <c r="E237" s="245">
        <f>(E219+E220)/E235</f>
        <v>0.2556052558009505</v>
      </c>
      <c r="F237" s="246"/>
      <c r="G237" s="245">
        <f>(G219+G220)/G235</f>
        <v>0.2556052558009505</v>
      </c>
      <c r="H237" s="167"/>
      <c r="J237" s="168"/>
      <c r="K237" s="168"/>
    </row>
    <row r="238" spans="1:11" ht="26">
      <c r="A238" s="163"/>
      <c r="B238" s="244" t="s">
        <v>338</v>
      </c>
      <c r="C238" s="493">
        <f>'[61]Sch D'!N34</f>
        <v>0.63033436745949667</v>
      </c>
      <c r="D238" s="240"/>
      <c r="E238" s="245">
        <f>(E237/E236)</f>
        <v>0.63033436745949667</v>
      </c>
      <c r="F238" s="246"/>
      <c r="G238" s="245">
        <f>(G237/G236)</f>
        <v>0.63033436745949667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490">
        <f>'[61]Sch B'!C85</f>
        <v>165.15849056603773</v>
      </c>
    </row>
    <row r="242" spans="2:7">
      <c r="F242" s="142" t="s">
        <v>341</v>
      </c>
      <c r="G242" s="490">
        <f>'[61]Sch B'!E85</f>
        <v>165.15979381443299</v>
      </c>
    </row>
    <row r="243" spans="2:7">
      <c r="F243" s="142" t="s">
        <v>342</v>
      </c>
      <c r="G243" s="490">
        <f>'[61]Sch B'!G85</f>
        <v>165.15938864628822</v>
      </c>
    </row>
    <row r="244" spans="2:7">
      <c r="F244" s="142" t="s">
        <v>343</v>
      </c>
      <c r="G244" s="490">
        <f>'[61]Sch B'!I85</f>
        <v>165.15740740740742</v>
      </c>
    </row>
    <row r="245" spans="2:7">
      <c r="F245" s="142"/>
    </row>
  </sheetData>
  <customSheetViews>
    <customSheetView guid="{8B6AA640-12E9-11D5-ABB1-E7A21A3D4A14}" showGridLines="0" showRuler="0">
      <selection activeCell="B90" sqref="B90"/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E28CAB"/>
  </sheetPr>
  <dimension ref="A1:Q245"/>
  <sheetViews>
    <sheetView showGridLines="0" topLeftCell="A126" zoomScale="90" zoomScaleNormal="90" workbookViewId="0">
      <pane xSplit="2" topLeftCell="C1" activePane="topRight" state="frozen"/>
      <selection activeCell="N1" sqref="N1"/>
      <selection pane="topRight"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478"/>
      <c r="E1" s="478"/>
      <c r="F1" s="478"/>
      <c r="G1" s="478"/>
      <c r="H1" s="478"/>
      <c r="I1" s="479"/>
    </row>
    <row r="2" spans="1:14" ht="23">
      <c r="B2" s="143" t="s">
        <v>189</v>
      </c>
      <c r="C2" s="247" t="s">
        <v>392</v>
      </c>
      <c r="D2" s="247"/>
      <c r="E2" s="144"/>
      <c r="F2" s="257"/>
    </row>
    <row r="3" spans="1:14" ht="15.5">
      <c r="A3" s="145"/>
      <c r="B3" s="140" t="s">
        <v>79</v>
      </c>
      <c r="C3" s="495">
        <v>41821</v>
      </c>
      <c r="D3" s="144"/>
      <c r="E3" s="147"/>
      <c r="F3"/>
    </row>
    <row r="4" spans="1:14">
      <c r="A4" s="145"/>
      <c r="B4" s="148" t="s">
        <v>80</v>
      </c>
      <c r="C4" s="495">
        <v>42185</v>
      </c>
      <c r="D4" s="144"/>
      <c r="E4" s="149"/>
      <c r="G4" s="150"/>
    </row>
    <row r="5" spans="1:14">
      <c r="A5" s="145"/>
      <c r="B5" s="148"/>
      <c r="C5" s="151"/>
      <c r="D5" s="144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589" t="s">
        <v>613</v>
      </c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589" t="s">
        <v>614</v>
      </c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573">
        <f>'[62]Sch B'!E10</f>
        <v>4592889.4900000012</v>
      </c>
      <c r="D11" s="573">
        <f>'[62]Sch B'!G10</f>
        <v>-238012.05999999994</v>
      </c>
      <c r="E11" s="171">
        <f>C11+D11</f>
        <v>4354877.4300000016</v>
      </c>
      <c r="F11" s="171"/>
      <c r="G11" s="171">
        <f t="shared" ref="G11:G20" si="0">E11+F11</f>
        <v>4354877.4300000016</v>
      </c>
      <c r="H11" s="172">
        <f t="shared" ref="H11:H21" si="1">IF($G$21=0,0,G11/$G$21)</f>
        <v>0.33348960664747201</v>
      </c>
      <c r="I11" s="337"/>
      <c r="J11" s="368" t="s">
        <v>344</v>
      </c>
      <c r="K11" s="369">
        <f>G21</f>
        <v>13058510.200000001</v>
      </c>
      <c r="M11" s="359">
        <f>IFERROR(G11/G219,0)</f>
        <v>236.84545766030357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573">
        <f>'[62]Sch B'!E15</f>
        <v>0</v>
      </c>
      <c r="D12" s="573">
        <f>'[62]Sch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7"/>
      <c r="J12" s="370" t="s">
        <v>345</v>
      </c>
      <c r="K12" s="371">
        <f>G208</f>
        <v>11394896.299999999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573">
        <f>'[62]Sch B'!E21</f>
        <v>4228617.49</v>
      </c>
      <c r="D13" s="573">
        <f>'[62]Sch B'!G21</f>
        <v>115411.96999999997</v>
      </c>
      <c r="E13" s="171">
        <f t="shared" si="2"/>
        <v>4344029.46</v>
      </c>
      <c r="F13" s="171"/>
      <c r="G13" s="171">
        <f t="shared" si="0"/>
        <v>4344029.46</v>
      </c>
      <c r="H13" s="172">
        <f t="shared" si="1"/>
        <v>0.33265888631001717</v>
      </c>
      <c r="I13" s="337"/>
      <c r="J13" s="370" t="s">
        <v>346</v>
      </c>
      <c r="K13" s="371">
        <f>G228</f>
        <v>37966</v>
      </c>
      <c r="M13" s="359">
        <f t="shared" si="3"/>
        <v>557.14113889957673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573">
        <f>'[62]Sch B'!E27</f>
        <v>2480045.9400000004</v>
      </c>
      <c r="D14" s="573">
        <f>'[62]Sch B'!G27</f>
        <v>69627.399999999965</v>
      </c>
      <c r="E14" s="171">
        <f t="shared" si="2"/>
        <v>2549673.3400000003</v>
      </c>
      <c r="F14" s="175"/>
      <c r="G14" s="175">
        <f>E14+F14</f>
        <v>2549673.3400000003</v>
      </c>
      <c r="H14" s="176">
        <f t="shared" si="1"/>
        <v>0.19524994053303263</v>
      </c>
      <c r="I14" s="338"/>
      <c r="J14" s="370" t="s">
        <v>347</v>
      </c>
      <c r="K14" s="371">
        <f>G231</f>
        <v>124</v>
      </c>
      <c r="M14" s="359">
        <f t="shared" si="3"/>
        <v>484.54453439756753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573">
        <f>'[62]Sch B'!E32</f>
        <v>0</v>
      </c>
      <c r="D15" s="573">
        <f>'[62]Sch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7"/>
      <c r="J15" s="370" t="s">
        <v>348</v>
      </c>
      <c r="K15" s="371">
        <f>G235</f>
        <v>45260</v>
      </c>
      <c r="M15" s="359">
        <f t="shared" si="3"/>
        <v>0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573">
        <f>'[62]Sch B'!E37</f>
        <v>1264414.8599999999</v>
      </c>
      <c r="D16" s="573">
        <f>'[62]Sch B'!G37</f>
        <v>52972.689999999995</v>
      </c>
      <c r="E16" s="171">
        <f t="shared" si="2"/>
        <v>1317387.5499999998</v>
      </c>
      <c r="F16" s="171"/>
      <c r="G16" s="171">
        <f t="shared" si="0"/>
        <v>1317387.5499999998</v>
      </c>
      <c r="H16" s="172">
        <f t="shared" si="1"/>
        <v>0.10088344917018173</v>
      </c>
      <c r="I16" s="337"/>
      <c r="J16" s="372"/>
      <c r="K16" s="371"/>
      <c r="M16" s="359">
        <f t="shared" si="3"/>
        <v>304.3168283668283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573">
        <f>'[62]Sch B'!E42</f>
        <v>0</v>
      </c>
      <c r="D17" s="573">
        <f>'[62]Sch B'!G42</f>
        <v>232219.11999999994</v>
      </c>
      <c r="E17" s="171">
        <f t="shared" si="2"/>
        <v>232219.11999999994</v>
      </c>
      <c r="F17" s="171"/>
      <c r="G17" s="171">
        <f>E17+F17</f>
        <v>232219.11999999994</v>
      </c>
      <c r="H17" s="172">
        <f t="shared" si="1"/>
        <v>1.7782971904406055E-2</v>
      </c>
      <c r="I17" s="337"/>
      <c r="J17" s="370" t="s">
        <v>156</v>
      </c>
      <c r="K17" s="371">
        <f>J208</f>
        <v>252628.11000000002</v>
      </c>
      <c r="M17" s="359">
        <f t="shared" si="3"/>
        <v>155.74723004694832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573">
        <f>'[62]Sch B'!E47</f>
        <v>426797.14</v>
      </c>
      <c r="D18" s="573">
        <f>'[62]Sch B'!G47</f>
        <v>-232219</v>
      </c>
      <c r="E18" s="171">
        <f t="shared" si="2"/>
        <v>194578.14</v>
      </c>
      <c r="F18" s="171"/>
      <c r="G18" s="171">
        <f>E18+F18</f>
        <v>194578.14</v>
      </c>
      <c r="H18" s="172">
        <f t="shared" si="1"/>
        <v>1.4900485355519345E-2</v>
      </c>
      <c r="I18" s="337"/>
      <c r="J18" s="373" t="s">
        <v>252</v>
      </c>
      <c r="K18" s="374">
        <f>K208</f>
        <v>266842.14</v>
      </c>
      <c r="M18" s="359">
        <f t="shared" si="3"/>
        <v>297.52009174311928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573">
        <f>'[62]Sch B'!E52</f>
        <v>0</v>
      </c>
      <c r="D19" s="573">
        <f>'[62]Sch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337"/>
      <c r="J19" s="168"/>
      <c r="K19" s="168"/>
      <c r="M19" s="359">
        <f t="shared" si="3"/>
        <v>0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573">
        <f>'[62]Sch B'!E67</f>
        <v>-1510748.8399999999</v>
      </c>
      <c r="D20" s="573">
        <f>'[62]Sch B'!G67</f>
        <v>0</v>
      </c>
      <c r="E20" s="171">
        <f t="shared" si="2"/>
        <v>-1510748.8399999999</v>
      </c>
      <c r="F20" s="496">
        <f>1509606+66888</f>
        <v>1576494</v>
      </c>
      <c r="G20" s="171">
        <f t="shared" si="0"/>
        <v>65745.160000000149</v>
      </c>
      <c r="H20" s="172">
        <f t="shared" si="1"/>
        <v>5.0346600793710868E-3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573">
        <f>SUM(C11:C20)</f>
        <v>11482016.080000002</v>
      </c>
      <c r="D21" s="573">
        <f>SUM(D11:D20)</f>
        <v>0.11999999993713573</v>
      </c>
      <c r="E21" s="171">
        <f>SUM(E11:E20)</f>
        <v>11482016.200000001</v>
      </c>
      <c r="F21" s="171">
        <f>SUM(F11:F20)</f>
        <v>1576494</v>
      </c>
      <c r="G21" s="171">
        <f>SUM(G11:G20)</f>
        <v>13058510.200000001</v>
      </c>
      <c r="H21" s="172">
        <f t="shared" si="1"/>
        <v>1</v>
      </c>
      <c r="I21" s="337"/>
      <c r="J21" s="168"/>
      <c r="K21" s="168"/>
      <c r="M21" s="359">
        <f>IFERROR(G21/G228,0)</f>
        <v>343.95275246272985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589" t="s">
        <v>613</v>
      </c>
      <c r="G23" s="144"/>
      <c r="M23" s="363"/>
      <c r="N23" s="363"/>
    </row>
    <row r="24" spans="1:14">
      <c r="A24" s="181" t="s">
        <v>161</v>
      </c>
      <c r="B24" s="148" t="s">
        <v>12</v>
      </c>
      <c r="F24" s="589" t="s">
        <v>614</v>
      </c>
      <c r="M24" s="363"/>
      <c r="N24" s="363"/>
    </row>
    <row r="25" spans="1:14" s="167" customFormat="1">
      <c r="A25" s="169" t="s">
        <v>83</v>
      </c>
      <c r="B25" s="170" t="s">
        <v>14</v>
      </c>
      <c r="C25" s="573">
        <f>'[62]Sch C'!D10</f>
        <v>0</v>
      </c>
      <c r="D25" s="573">
        <f>'[62]Sch C'!F10</f>
        <v>136413.51</v>
      </c>
      <c r="E25" s="171">
        <f t="shared" ref="E25:E60" si="4">C25+D25</f>
        <v>136413.51</v>
      </c>
      <c r="F25" s="171"/>
      <c r="G25" s="182">
        <f>E25+F25</f>
        <v>136413.51</v>
      </c>
      <c r="H25" s="172">
        <f>IF($G$208=0,0,G25/$G$208)</f>
        <v>1.1971456905667498E-2</v>
      </c>
      <c r="I25" s="337"/>
      <c r="J25" s="183">
        <v>1840</v>
      </c>
      <c r="K25" s="183">
        <v>2080</v>
      </c>
      <c r="M25" s="359">
        <f>G25/G$228</f>
        <v>3.5930440394036771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573">
        <f>'[62]Sch C'!D11</f>
        <v>0</v>
      </c>
      <c r="D26" s="573">
        <f>'[62]Sch C'!F11</f>
        <v>13641</v>
      </c>
      <c r="E26" s="171">
        <f t="shared" si="4"/>
        <v>13641</v>
      </c>
      <c r="F26" s="171"/>
      <c r="G26" s="171">
        <f t="shared" ref="G26:G60" si="5">E26+F26</f>
        <v>13641</v>
      </c>
      <c r="H26" s="184">
        <f t="shared" ref="H26:H61" si="6">IF($G$208=0,0,G26/$G$208)</f>
        <v>1.1971148873026604E-3</v>
      </c>
      <c r="I26" s="337"/>
      <c r="J26" s="183">
        <v>0</v>
      </c>
      <c r="K26" s="183">
        <v>0</v>
      </c>
      <c r="M26" s="359">
        <f t="shared" ref="M26:M60" si="7">G26/G$228</f>
        <v>0.35929515882631829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573">
        <f>'[62]Sch C'!D12</f>
        <v>162941</v>
      </c>
      <c r="D27" s="573">
        <f>'[62]Sch C'!F12</f>
        <v>0</v>
      </c>
      <c r="E27" s="171">
        <f t="shared" si="4"/>
        <v>162941</v>
      </c>
      <c r="F27" s="171"/>
      <c r="G27" s="171">
        <f t="shared" si="5"/>
        <v>162941</v>
      </c>
      <c r="H27" s="172">
        <f t="shared" si="6"/>
        <v>1.4299471948682852E-2</v>
      </c>
      <c r="I27" s="337"/>
      <c r="J27" s="185">
        <v>8345.2900000000009</v>
      </c>
      <c r="K27" s="185">
        <v>9037</v>
      </c>
      <c r="M27" s="359">
        <f t="shared" si="7"/>
        <v>4.2917610493599536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573">
        <f>'[62]Sch C'!D13</f>
        <v>36738.69</v>
      </c>
      <c r="D28" s="573">
        <f>'[62]Sch C'!F13</f>
        <v>0</v>
      </c>
      <c r="E28" s="171">
        <f t="shared" si="4"/>
        <v>36738.69</v>
      </c>
      <c r="F28" s="171"/>
      <c r="G28" s="171">
        <f t="shared" si="5"/>
        <v>36738.69</v>
      </c>
      <c r="H28" s="172">
        <f t="shared" si="6"/>
        <v>3.2241355281135823E-3</v>
      </c>
      <c r="I28" s="337"/>
      <c r="J28" s="168"/>
      <c r="K28" s="168"/>
      <c r="M28" s="359">
        <f t="shared" si="7"/>
        <v>0.96767344466101257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573">
        <f>'[62]Sch C'!D14</f>
        <v>0</v>
      </c>
      <c r="D29" s="573">
        <f>'[62]Sch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573">
        <f>'[62]Sch C'!D15</f>
        <v>0</v>
      </c>
      <c r="D30" s="573">
        <f>'[62]Sch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7"/>
      <c r="J30" s="168"/>
      <c r="K30" s="168"/>
      <c r="M30" s="359">
        <f t="shared" si="7"/>
        <v>0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573">
        <f>'[62]Sch C'!D16</f>
        <v>663698.35</v>
      </c>
      <c r="D31" s="573">
        <f>'[62]Sch C'!F16</f>
        <v>34137</v>
      </c>
      <c r="E31" s="171">
        <f t="shared" si="4"/>
        <v>697835.35</v>
      </c>
      <c r="F31" s="171"/>
      <c r="G31" s="171">
        <f t="shared" si="5"/>
        <v>697835.35</v>
      </c>
      <c r="H31" s="172">
        <f t="shared" si="6"/>
        <v>6.1241044378789126E-2</v>
      </c>
      <c r="I31" s="337"/>
      <c r="J31" s="168"/>
      <c r="K31" s="168"/>
      <c r="M31" s="359">
        <f t="shared" si="7"/>
        <v>18.380533898751516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573">
        <f>'[62]Sch C'!D17</f>
        <v>9827.5</v>
      </c>
      <c r="D32" s="573">
        <f>'[62]Sch C'!F17</f>
        <v>0</v>
      </c>
      <c r="E32" s="171">
        <f t="shared" si="4"/>
        <v>9827.5</v>
      </c>
      <c r="F32" s="171"/>
      <c r="G32" s="171">
        <f t="shared" si="5"/>
        <v>9827.5</v>
      </c>
      <c r="H32" s="172">
        <f t="shared" si="6"/>
        <v>8.6244751520906781E-4</v>
      </c>
      <c r="I32" s="337"/>
      <c r="J32" s="168"/>
      <c r="K32" s="168"/>
      <c r="M32" s="359">
        <f t="shared" si="7"/>
        <v>0.25885002370542065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573">
        <f>'[62]Sch C'!D18</f>
        <v>17582.22</v>
      </c>
      <c r="D33" s="573">
        <f>'[62]Sch C'!F18</f>
        <v>0</v>
      </c>
      <c r="E33" s="171">
        <f t="shared" si="4"/>
        <v>17582.22</v>
      </c>
      <c r="F33" s="171"/>
      <c r="G33" s="171">
        <f t="shared" si="5"/>
        <v>17582.22</v>
      </c>
      <c r="H33" s="172">
        <f t="shared" si="6"/>
        <v>1.5429907861469528E-3</v>
      </c>
      <c r="I33" s="337"/>
      <c r="J33" s="168"/>
      <c r="K33" s="168"/>
      <c r="M33" s="359">
        <f t="shared" si="7"/>
        <v>0.46310435652952647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573">
        <f>'[62]Sch C'!D19</f>
        <v>43302.42</v>
      </c>
      <c r="D34" s="573">
        <f>'[62]Sch C'!F19</f>
        <v>0</v>
      </c>
      <c r="E34" s="171">
        <f t="shared" si="4"/>
        <v>43302.42</v>
      </c>
      <c r="F34" s="171"/>
      <c r="G34" s="171">
        <f t="shared" si="5"/>
        <v>43302.42</v>
      </c>
      <c r="H34" s="172">
        <f t="shared" si="6"/>
        <v>3.8001591993426041E-3</v>
      </c>
      <c r="I34" s="337"/>
      <c r="J34" s="168"/>
      <c r="K34" s="168"/>
      <c r="M34" s="359">
        <f t="shared" si="7"/>
        <v>1.1405578675657166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573">
        <f>'[62]Sch C'!D20</f>
        <v>30315.919999999998</v>
      </c>
      <c r="D35" s="573">
        <f>'[62]Sch C'!F20</f>
        <v>0</v>
      </c>
      <c r="E35" s="171">
        <f t="shared" si="4"/>
        <v>30315.919999999998</v>
      </c>
      <c r="F35" s="496">
        <v>73</v>
      </c>
      <c r="G35" s="171">
        <f t="shared" si="5"/>
        <v>30388.92</v>
      </c>
      <c r="H35" s="172">
        <f t="shared" si="6"/>
        <v>2.6668886841910095E-3</v>
      </c>
      <c r="I35" s="337"/>
      <c r="J35" s="168"/>
      <c r="K35" s="168"/>
      <c r="M35" s="359">
        <f t="shared" si="7"/>
        <v>0.80042459042301006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573">
        <f>'[62]Sch C'!D21</f>
        <v>49465.33</v>
      </c>
      <c r="D36" s="573">
        <f>'[62]Sch C'!F21</f>
        <v>-16142</v>
      </c>
      <c r="E36" s="171">
        <f t="shared" si="4"/>
        <v>33323.33</v>
      </c>
      <c r="F36" s="496">
        <f>120652+5866</f>
        <v>126518</v>
      </c>
      <c r="G36" s="171">
        <f t="shared" si="5"/>
        <v>159841.33000000002</v>
      </c>
      <c r="H36" s="172">
        <f t="shared" si="6"/>
        <v>1.4027449288853995E-2</v>
      </c>
      <c r="I36" s="337"/>
      <c r="J36" s="168"/>
      <c r="K36" s="168"/>
      <c r="M36" s="359">
        <f t="shared" si="7"/>
        <v>4.21011773692251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573">
        <f>'[62]Sch C'!D22</f>
        <v>37786.18</v>
      </c>
      <c r="D37" s="573">
        <f>'[62]Sch C'!F22</f>
        <v>0</v>
      </c>
      <c r="E37" s="171">
        <f t="shared" si="4"/>
        <v>37786.18</v>
      </c>
      <c r="F37" s="496">
        <v>-37786</v>
      </c>
      <c r="G37" s="171">
        <f t="shared" si="5"/>
        <v>0.18000000000029104</v>
      </c>
      <c r="H37" s="172">
        <f t="shared" si="6"/>
        <v>1.5796545686887124E-8</v>
      </c>
      <c r="I37" s="337"/>
      <c r="J37" s="168"/>
      <c r="K37" s="168"/>
      <c r="M37" s="359">
        <f t="shared" si="7"/>
        <v>4.7410841279115802E-6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573">
        <f>'[62]Sch C'!D23</f>
        <v>0</v>
      </c>
      <c r="D38" s="573">
        <f>'[62]Sch C'!F23</f>
        <v>0</v>
      </c>
      <c r="E38" s="171">
        <f t="shared" si="4"/>
        <v>0</v>
      </c>
      <c r="F38" s="496">
        <v>37786</v>
      </c>
      <c r="G38" s="171">
        <f t="shared" si="5"/>
        <v>37786</v>
      </c>
      <c r="H38" s="172">
        <f t="shared" si="6"/>
        <v>3.3160459740208433E-3</v>
      </c>
      <c r="I38" s="337"/>
      <c r="J38" s="168"/>
      <c r="K38" s="168"/>
      <c r="M38" s="359">
        <f t="shared" si="7"/>
        <v>0.99525891587209614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573">
        <f>'[62]Sch C'!D24</f>
        <v>522.39</v>
      </c>
      <c r="D39" s="573">
        <f>'[62]Sch C'!F24</f>
        <v>0</v>
      </c>
      <c r="E39" s="171">
        <f t="shared" si="4"/>
        <v>522.39</v>
      </c>
      <c r="F39" s="171"/>
      <c r="G39" s="171">
        <f t="shared" si="5"/>
        <v>522.39</v>
      </c>
      <c r="H39" s="172">
        <f t="shared" si="6"/>
        <v>4.5844208340886789E-5</v>
      </c>
      <c r="I39" s="337"/>
      <c r="J39" s="168"/>
      <c r="K39" s="168"/>
      <c r="M39" s="359">
        <f t="shared" si="7"/>
        <v>1.3759416319865141E-2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573">
        <f>'[62]Sch C'!D25</f>
        <v>0</v>
      </c>
      <c r="D40" s="573">
        <f>'[62]Sch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337"/>
      <c r="J40" s="168"/>
      <c r="K40" s="168"/>
      <c r="M40" s="359">
        <f t="shared" si="7"/>
        <v>0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573">
        <f>'[62]Sch C'!D26</f>
        <v>383567.8</v>
      </c>
      <c r="D41" s="573">
        <f>'[62]Sch C'!F26</f>
        <v>0</v>
      </c>
      <c r="E41" s="171">
        <f t="shared" si="4"/>
        <v>383567.8</v>
      </c>
      <c r="F41" s="171"/>
      <c r="G41" s="171">
        <f t="shared" si="5"/>
        <v>383567.8</v>
      </c>
      <c r="H41" s="172">
        <f t="shared" si="6"/>
        <v>3.3661368203938814E-2</v>
      </c>
      <c r="I41" s="337"/>
      <c r="J41" s="168"/>
      <c r="K41" s="168"/>
      <c r="M41" s="359">
        <f t="shared" si="7"/>
        <v>10.102928936416793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573">
        <f>'[62]Sch C'!D27</f>
        <v>15471.01</v>
      </c>
      <c r="D42" s="573">
        <f>'[62]Sch C'!F27</f>
        <v>-15471</v>
      </c>
      <c r="E42" s="171">
        <f t="shared" si="4"/>
        <v>1.0000000000218279E-2</v>
      </c>
      <c r="F42" s="171"/>
      <c r="G42" s="171">
        <f t="shared" si="5"/>
        <v>1.0000000000218279E-2</v>
      </c>
      <c r="H42" s="172">
        <f t="shared" si="6"/>
        <v>8.7758587151146606E-10</v>
      </c>
      <c r="I42" s="337"/>
      <c r="J42" s="168"/>
      <c r="K42" s="168"/>
      <c r="M42" s="359">
        <f t="shared" si="7"/>
        <v>2.6339356266707787E-7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573">
        <f>'[62]Sch C'!D28</f>
        <v>0</v>
      </c>
      <c r="D43" s="573">
        <f>'[62]Sch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573">
        <f>'[62]Sch C'!D29</f>
        <v>549546.55000000005</v>
      </c>
      <c r="D44" s="573">
        <f>'[62]Sch C'!F29</f>
        <v>-549546.55000000005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573">
        <f>'[62]Sch C'!D30</f>
        <v>0</v>
      </c>
      <c r="D45" s="573">
        <f>'[62]Sch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573">
        <f>'[62]Sch C'!D31</f>
        <v>4589.13</v>
      </c>
      <c r="D46" s="573">
        <f>'[62]Sch C'!F31</f>
        <v>0</v>
      </c>
      <c r="E46" s="171">
        <f t="shared" si="4"/>
        <v>4589.13</v>
      </c>
      <c r="F46" s="171"/>
      <c r="G46" s="171">
        <f t="shared" si="5"/>
        <v>4589.13</v>
      </c>
      <c r="H46" s="172">
        <f t="shared" si="6"/>
        <v>4.0273556504415056E-4</v>
      </c>
      <c r="I46" s="337"/>
      <c r="J46" s="168"/>
      <c r="K46" s="168"/>
      <c r="M46" s="359">
        <f t="shared" si="7"/>
        <v>0.12087473002159828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573">
        <f>'[62]Sch C'!D32</f>
        <v>0</v>
      </c>
      <c r="D47" s="573">
        <f>'[62]Sch C'!F32</f>
        <v>14535</v>
      </c>
      <c r="E47" s="171">
        <f t="shared" si="4"/>
        <v>14535</v>
      </c>
      <c r="F47" s="171"/>
      <c r="G47" s="171">
        <f t="shared" si="5"/>
        <v>14535</v>
      </c>
      <c r="H47" s="172">
        <f t="shared" si="6"/>
        <v>1.2755710642140729E-3</v>
      </c>
      <c r="I47" s="337"/>
      <c r="J47" s="168"/>
      <c r="K47" s="168"/>
      <c r="M47" s="359">
        <f t="shared" si="7"/>
        <v>0.38284254332824108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573">
        <f>'[62]Sch C'!D33</f>
        <v>3616.63</v>
      </c>
      <c r="D48" s="573">
        <f>'[62]Sch C'!F33</f>
        <v>-3616.63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573">
        <f>'[62]Sch C'!D34</f>
        <v>0</v>
      </c>
      <c r="D49" s="573">
        <f>'[62]Sch C'!F34</f>
        <v>0</v>
      </c>
      <c r="E49" s="171">
        <f t="shared" si="4"/>
        <v>0</v>
      </c>
      <c r="F49" s="171"/>
      <c r="G49" s="171">
        <f t="shared" si="5"/>
        <v>0</v>
      </c>
      <c r="H49" s="172">
        <f t="shared" si="6"/>
        <v>0</v>
      </c>
      <c r="I49" s="337"/>
      <c r="J49" s="168"/>
      <c r="K49" s="168"/>
      <c r="M49" s="359">
        <f t="shared" si="7"/>
        <v>0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573">
        <f>'[62]Sch C'!D35</f>
        <v>2878.7</v>
      </c>
      <c r="D50" s="573">
        <f>'[62]Sch C'!F35</f>
        <v>-2878.7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573">
        <f>'[62]Sch C'!D36</f>
        <v>0</v>
      </c>
      <c r="D51" s="573">
        <f>'[62]Sch C'!F36</f>
        <v>0</v>
      </c>
      <c r="E51" s="171">
        <f t="shared" si="4"/>
        <v>0</v>
      </c>
      <c r="F51" s="496">
        <v>12315</v>
      </c>
      <c r="G51" s="171">
        <f t="shared" si="5"/>
        <v>12315</v>
      </c>
      <c r="H51" s="172">
        <f t="shared" si="6"/>
        <v>1.0807470007427799E-3</v>
      </c>
      <c r="I51" s="337"/>
      <c r="J51" s="183">
        <v>0</v>
      </c>
      <c r="K51" s="183">
        <v>0</v>
      </c>
      <c r="M51" s="359">
        <f t="shared" si="7"/>
        <v>0.32436917241742613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573">
        <f>'[62]Sch C'!D37</f>
        <v>0</v>
      </c>
      <c r="D52" s="573">
        <f>'[62]Sch C'!F37</f>
        <v>0</v>
      </c>
      <c r="E52" s="171">
        <f t="shared" si="4"/>
        <v>0</v>
      </c>
      <c r="F52" s="171"/>
      <c r="G52" s="171">
        <f t="shared" si="5"/>
        <v>0</v>
      </c>
      <c r="H52" s="172">
        <f t="shared" si="6"/>
        <v>0</v>
      </c>
      <c r="I52" s="337"/>
      <c r="J52" s="168"/>
      <c r="K52" s="168"/>
      <c r="M52" s="359">
        <f t="shared" si="7"/>
        <v>0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573">
        <f>'[62]Sch C'!D38</f>
        <v>397.93</v>
      </c>
      <c r="D53" s="573">
        <f>'[62]Sch C'!F38</f>
        <v>0</v>
      </c>
      <c r="E53" s="171">
        <f t="shared" si="4"/>
        <v>397.93</v>
      </c>
      <c r="F53" s="171"/>
      <c r="G53" s="171">
        <f t="shared" si="5"/>
        <v>397.93</v>
      </c>
      <c r="H53" s="172">
        <f t="shared" si="6"/>
        <v>3.4921774584293502E-5</v>
      </c>
      <c r="I53" s="337"/>
      <c r="J53" s="168"/>
      <c r="K53" s="168"/>
      <c r="M53" s="359">
        <f t="shared" si="7"/>
        <v>1.0481220038982247E-2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573">
        <f>'[62]Sch C'!D39</f>
        <v>8166.06</v>
      </c>
      <c r="D54" s="573">
        <f>'[62]Sch C'!F39</f>
        <v>0</v>
      </c>
      <c r="E54" s="171">
        <f t="shared" si="4"/>
        <v>8166.06</v>
      </c>
      <c r="F54" s="171"/>
      <c r="G54" s="171">
        <f t="shared" si="5"/>
        <v>8166.06</v>
      </c>
      <c r="H54" s="172">
        <f t="shared" si="6"/>
        <v>7.1664188817584945E-4</v>
      </c>
      <c r="I54" s="337"/>
      <c r="J54" s="168"/>
      <c r="K54" s="168"/>
      <c r="M54" s="359">
        <f t="shared" si="7"/>
        <v>0.21508876363061688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573">
        <f>'[62]Sch C'!D40</f>
        <v>27556.93</v>
      </c>
      <c r="D55" s="573">
        <f>'[62]Sch C'!F40</f>
        <v>0</v>
      </c>
      <c r="E55" s="171">
        <f t="shared" si="4"/>
        <v>27556.93</v>
      </c>
      <c r="F55" s="171"/>
      <c r="G55" s="171">
        <f t="shared" si="5"/>
        <v>27556.93</v>
      </c>
      <c r="H55" s="172">
        <f t="shared" si="6"/>
        <v>2.4183572429702588E-3</v>
      </c>
      <c r="I55" s="337"/>
      <c r="J55" s="168"/>
      <c r="K55" s="168"/>
      <c r="M55" s="359">
        <f t="shared" si="7"/>
        <v>0.7258317968708845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573">
        <f>'[62]Sch C'!D41</f>
        <v>137652.01999999999</v>
      </c>
      <c r="D56" s="573">
        <f>'[62]Sch C'!F41</f>
        <v>0</v>
      </c>
      <c r="E56" s="171">
        <f t="shared" si="4"/>
        <v>137652.01999999999</v>
      </c>
      <c r="F56" s="171"/>
      <c r="G56" s="171">
        <f t="shared" si="5"/>
        <v>137652.01999999999</v>
      </c>
      <c r="H56" s="172">
        <f t="shared" si="6"/>
        <v>1.208014679343769E-2</v>
      </c>
      <c r="I56" s="337"/>
      <c r="J56" s="168"/>
      <c r="K56" s="168"/>
      <c r="M56" s="359">
        <f t="shared" si="7"/>
        <v>3.625665595532845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573">
        <f>'[62]Sch C'!D42</f>
        <v>1038.1099999999999</v>
      </c>
      <c r="D57" s="573">
        <f>'[62]Sch C'!F42</f>
        <v>0</v>
      </c>
      <c r="E57" s="171">
        <f t="shared" si="4"/>
        <v>1038.1099999999999</v>
      </c>
      <c r="F57" s="496">
        <v>4108</v>
      </c>
      <c r="G57" s="171">
        <f t="shared" si="5"/>
        <v>5146.1099999999997</v>
      </c>
      <c r="H57" s="172">
        <f t="shared" si="6"/>
        <v>4.5161534291452923E-4</v>
      </c>
      <c r="I57" s="337"/>
      <c r="J57" s="168"/>
      <c r="K57" s="168"/>
      <c r="M57" s="359">
        <f t="shared" si="7"/>
        <v>0.13554522467470895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573">
        <f>'[62]Sch C'!D43</f>
        <v>0</v>
      </c>
      <c r="D58" s="573">
        <f>'[62]Sch C'!F43</f>
        <v>0</v>
      </c>
      <c r="E58" s="171">
        <f t="shared" si="4"/>
        <v>0</v>
      </c>
      <c r="F58" s="171"/>
      <c r="G58" s="171">
        <f t="shared" si="5"/>
        <v>0</v>
      </c>
      <c r="H58" s="172">
        <f t="shared" si="6"/>
        <v>0</v>
      </c>
      <c r="I58" s="337"/>
      <c r="J58" s="168"/>
      <c r="K58" s="168"/>
      <c r="M58" s="359">
        <f t="shared" si="7"/>
        <v>0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573">
        <f>'[62]Sch C'!D44</f>
        <v>0</v>
      </c>
      <c r="D59" s="573">
        <f>'[62]Sch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7"/>
      <c r="J59" s="168"/>
      <c r="K59" s="168"/>
      <c r="M59" s="359">
        <f t="shared" si="7"/>
        <v>0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573">
        <f>'[62]Sch C'!D45</f>
        <v>196438.09</v>
      </c>
      <c r="D60" s="573">
        <f>'[62]Sch C'!F45</f>
        <v>-150055</v>
      </c>
      <c r="E60" s="171">
        <f t="shared" si="4"/>
        <v>46383.09</v>
      </c>
      <c r="F60" s="496">
        <v>-725</v>
      </c>
      <c r="G60" s="171">
        <f t="shared" si="5"/>
        <v>45658.09</v>
      </c>
      <c r="H60" s="172">
        <f t="shared" si="6"/>
        <v>4.0068894703324332E-3</v>
      </c>
      <c r="I60" s="337"/>
      <c r="J60" s="168"/>
      <c r="K60" s="168"/>
      <c r="M60" s="359">
        <f t="shared" si="7"/>
        <v>1.2026046989411578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573">
        <f>SUM(C25:C60)</f>
        <v>2383098.9599999995</v>
      </c>
      <c r="D61" s="573">
        <f>SUM(D25:D60)</f>
        <v>-538983.37000000011</v>
      </c>
      <c r="E61" s="171">
        <f t="shared" ref="E61:F61" si="8">SUM(E25:E60)</f>
        <v>1844115.5899999999</v>
      </c>
      <c r="F61" s="171">
        <f t="shared" si="8"/>
        <v>142289</v>
      </c>
      <c r="G61" s="171">
        <f>SUM(G25:G60)</f>
        <v>1986404.5899999999</v>
      </c>
      <c r="H61" s="186">
        <f t="shared" si="6"/>
        <v>0.1743240603251475</v>
      </c>
      <c r="I61" s="339"/>
      <c r="J61" s="168"/>
      <c r="K61" s="168"/>
      <c r="M61" s="364">
        <f>G61/G$228</f>
        <v>52.320618184691561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I62" s="340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573">
        <f>'[62]Sch C'!D57</f>
        <v>900000</v>
      </c>
      <c r="D64" s="573">
        <f>'[62]Sch C'!F57</f>
        <v>0</v>
      </c>
      <c r="E64" s="171">
        <f t="shared" ref="E64:E78" si="9">C64+D64</f>
        <v>900000</v>
      </c>
      <c r="F64" s="496">
        <v>-900000</v>
      </c>
      <c r="G64" s="171">
        <f t="shared" ref="G64:G78" si="10">E64+F64</f>
        <v>0</v>
      </c>
      <c r="H64" s="172">
        <f t="shared" ref="H64:H79" si="11">IF($G$208=0,0,G64/$G$208)</f>
        <v>0</v>
      </c>
      <c r="I64" s="337"/>
      <c r="J64" s="190"/>
      <c r="K64" s="168"/>
      <c r="M64" s="359">
        <f t="shared" ref="M64:M79" si="12">G64/G$228</f>
        <v>0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573">
        <f>'[62]Sch C'!D58</f>
        <v>12022</v>
      </c>
      <c r="D65" s="573">
        <f>'[62]Sch C'!F58</f>
        <v>0</v>
      </c>
      <c r="E65" s="171">
        <f t="shared" si="9"/>
        <v>12022</v>
      </c>
      <c r="F65" s="496">
        <v>201173</v>
      </c>
      <c r="G65" s="171">
        <f t="shared" si="10"/>
        <v>213195</v>
      </c>
      <c r="H65" s="172">
        <f t="shared" si="11"/>
        <v>1.8709691987280307E-2</v>
      </c>
      <c r="I65" s="337"/>
      <c r="J65" s="190"/>
      <c r="K65" s="168"/>
      <c r="M65" s="359">
        <f t="shared" si="12"/>
        <v>5.6154190591581941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573">
        <f>'[62]Sch C'!D59</f>
        <v>0</v>
      </c>
      <c r="D66" s="573">
        <f>'[62]Sch C'!F59</f>
        <v>0</v>
      </c>
      <c r="E66" s="171">
        <f t="shared" si="9"/>
        <v>0</v>
      </c>
      <c r="F66" s="496">
        <v>340476</v>
      </c>
      <c r="G66" s="171">
        <f t="shared" si="10"/>
        <v>340476</v>
      </c>
      <c r="H66" s="172">
        <f t="shared" si="11"/>
        <v>2.9879692718221582E-2</v>
      </c>
      <c r="I66" s="337"/>
      <c r="J66" s="190"/>
      <c r="K66" s="168"/>
      <c r="M66" s="359">
        <f t="shared" si="12"/>
        <v>8.9679186640678505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573">
        <f>'[62]Sch C'!D60</f>
        <v>887.48</v>
      </c>
      <c r="D67" s="573">
        <f>'[62]Sch C'!F60</f>
        <v>0</v>
      </c>
      <c r="E67" s="171">
        <f t="shared" si="9"/>
        <v>887.48</v>
      </c>
      <c r="F67" s="171"/>
      <c r="G67" s="171">
        <f t="shared" si="10"/>
        <v>887.48</v>
      </c>
      <c r="H67" s="172">
        <f t="shared" si="11"/>
        <v>7.7883990923199547E-5</v>
      </c>
      <c r="I67" s="337"/>
      <c r="J67" s="193"/>
      <c r="K67" s="168"/>
      <c r="M67" s="359">
        <f t="shared" si="12"/>
        <v>2.3375651899067589E-2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573">
        <f>'[62]Sch C'!D61</f>
        <v>16550</v>
      </c>
      <c r="D68" s="573">
        <f>'[62]Sch C'!F61</f>
        <v>-14535</v>
      </c>
      <c r="E68" s="171">
        <f t="shared" si="9"/>
        <v>2015</v>
      </c>
      <c r="F68" s="171"/>
      <c r="G68" s="171">
        <f t="shared" si="10"/>
        <v>2015</v>
      </c>
      <c r="H68" s="172">
        <f t="shared" si="11"/>
        <v>1.768335531057005E-4</v>
      </c>
      <c r="I68" s="337"/>
      <c r="J68" s="193"/>
      <c r="K68" s="168"/>
      <c r="M68" s="359">
        <f t="shared" si="12"/>
        <v>5.3073802876257702E-2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573">
        <f>'[62]Sch C'!D62</f>
        <v>18015.09</v>
      </c>
      <c r="D69" s="573">
        <f>'[62]Sch C'!F62</f>
        <v>0</v>
      </c>
      <c r="E69" s="171">
        <f t="shared" si="9"/>
        <v>18015.09</v>
      </c>
      <c r="F69" s="171"/>
      <c r="G69" s="171">
        <f t="shared" si="10"/>
        <v>18015.09</v>
      </c>
      <c r="H69" s="172">
        <f t="shared" si="11"/>
        <v>1.5809788457662403E-3</v>
      </c>
      <c r="I69" s="337"/>
      <c r="J69" s="195"/>
      <c r="K69" s="168"/>
      <c r="M69" s="359">
        <f t="shared" si="12"/>
        <v>0.47450587367644737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573">
        <f>'[62]Sch C'!D63</f>
        <v>0</v>
      </c>
      <c r="D70" s="573">
        <f>'[62]Sch C'!F63</f>
        <v>13871.77</v>
      </c>
      <c r="E70" s="171">
        <f t="shared" si="9"/>
        <v>13871.77</v>
      </c>
      <c r="F70" s="171"/>
      <c r="G70" s="171">
        <f t="shared" si="10"/>
        <v>13871.77</v>
      </c>
      <c r="H70" s="172">
        <f t="shared" si="11"/>
        <v>1.2173669364590883E-3</v>
      </c>
      <c r="I70" s="337"/>
      <c r="J70" s="195"/>
      <c r="K70" s="168"/>
      <c r="M70" s="359">
        <f t="shared" si="12"/>
        <v>0.36537349207185377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573">
        <f>'[62]Sch C'!D64</f>
        <v>0</v>
      </c>
      <c r="D71" s="573">
        <f>'[62]Sch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573">
        <f>'[62]Sch C'!D65</f>
        <v>4882.68</v>
      </c>
      <c r="D72" s="573">
        <f>'[62]Sch C'!F65</f>
        <v>0</v>
      </c>
      <c r="E72" s="171">
        <f t="shared" si="9"/>
        <v>4882.68</v>
      </c>
      <c r="F72" s="171"/>
      <c r="G72" s="171">
        <f t="shared" si="10"/>
        <v>4882.68</v>
      </c>
      <c r="H72" s="172">
        <f t="shared" si="11"/>
        <v>4.2849709830180736E-4</v>
      </c>
      <c r="I72" s="337"/>
      <c r="J72" s="195"/>
      <c r="K72" s="168"/>
      <c r="M72" s="359">
        <f t="shared" si="12"/>
        <v>0.12860664805352157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573">
        <f>'[62]Sch C'!D66</f>
        <v>74924.94</v>
      </c>
      <c r="D73" s="573">
        <f>'[62]Sch C'!F66</f>
        <v>-15331.63</v>
      </c>
      <c r="E73" s="171">
        <f t="shared" si="9"/>
        <v>59593.310000000005</v>
      </c>
      <c r="F73" s="171"/>
      <c r="G73" s="171">
        <f t="shared" si="10"/>
        <v>59593.310000000005</v>
      </c>
      <c r="H73" s="172">
        <f t="shared" si="11"/>
        <v>5.2298246891461413E-3</v>
      </c>
      <c r="I73" s="337"/>
      <c r="J73" s="195"/>
      <c r="K73" s="168"/>
      <c r="M73" s="359">
        <f t="shared" si="12"/>
        <v>1.569649423168098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573">
        <f>'[62]Sch C'!D67</f>
        <v>49451.49</v>
      </c>
      <c r="D74" s="573">
        <f>'[62]Sch C'!F67</f>
        <v>0</v>
      </c>
      <c r="E74" s="171">
        <f t="shared" si="9"/>
        <v>49451.49</v>
      </c>
      <c r="F74" s="496">
        <v>95972</v>
      </c>
      <c r="G74" s="171">
        <f t="shared" si="10"/>
        <v>145423.49</v>
      </c>
      <c r="H74" s="172">
        <f t="shared" si="11"/>
        <v>1.2762160020710326E-2</v>
      </c>
      <c r="I74" s="337"/>
      <c r="J74" s="195"/>
      <c r="K74" s="168"/>
      <c r="M74" s="359">
        <f t="shared" si="12"/>
        <v>3.8303611125744084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573">
        <f>'[62]Sch C'!D68</f>
        <v>0</v>
      </c>
      <c r="D75" s="573">
        <f>'[62]Sch C'!F68</f>
        <v>1599.24</v>
      </c>
      <c r="E75" s="171">
        <f t="shared" si="9"/>
        <v>1599.24</v>
      </c>
      <c r="F75" s="171"/>
      <c r="G75" s="171">
        <f t="shared" si="10"/>
        <v>1599.24</v>
      </c>
      <c r="H75" s="172">
        <f t="shared" si="11"/>
        <v>1.4034704291253621E-4</v>
      </c>
      <c r="I75" s="337"/>
      <c r="J75" s="195"/>
      <c r="K75" s="168"/>
      <c r="M75" s="359">
        <f t="shared" si="12"/>
        <v>4.2122952115050308E-2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573">
        <f>'[62]Sch C'!D69</f>
        <v>0</v>
      </c>
      <c r="D76" s="573">
        <f>'[62]Sch C'!F69</f>
        <v>0</v>
      </c>
      <c r="E76" s="171">
        <f t="shared" si="9"/>
        <v>0</v>
      </c>
      <c r="F76" s="171"/>
      <c r="G76" s="171">
        <f t="shared" si="10"/>
        <v>0</v>
      </c>
      <c r="H76" s="172">
        <f t="shared" si="11"/>
        <v>0</v>
      </c>
      <c r="I76" s="337"/>
      <c r="J76" s="195"/>
      <c r="K76" s="168"/>
      <c r="M76" s="359">
        <f t="shared" si="12"/>
        <v>0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573">
        <f>'[62]Sch C'!D70</f>
        <v>0</v>
      </c>
      <c r="D77" s="573">
        <f>'[62]Sch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7"/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573">
        <f>'[62]Sch C'!D71</f>
        <v>0</v>
      </c>
      <c r="D78" s="573">
        <f>'[62]Sch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7"/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573">
        <f>SUM(C64:C78)</f>
        <v>1076733.68</v>
      </c>
      <c r="D79" s="573">
        <f>SUM(D64:D78)</f>
        <v>-14395.619999999999</v>
      </c>
      <c r="E79" s="171">
        <f t="shared" ref="E79:F79" si="13">SUM(E64:E78)</f>
        <v>1062338.06</v>
      </c>
      <c r="F79" s="171">
        <f t="shared" si="13"/>
        <v>-262379</v>
      </c>
      <c r="G79" s="171">
        <f>SUM(G64:G78)</f>
        <v>799959.06</v>
      </c>
      <c r="H79" s="172">
        <f t="shared" si="11"/>
        <v>7.0203276882826932E-2</v>
      </c>
      <c r="I79" s="337"/>
      <c r="J79" s="195"/>
      <c r="K79" s="168"/>
      <c r="M79" s="359">
        <f t="shared" si="12"/>
        <v>21.070406679660749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573">
        <f>'[62]Sch C'!D75</f>
        <v>34651.93</v>
      </c>
      <c r="D82" s="573">
        <f>'[62]Sch C'!F75</f>
        <v>0</v>
      </c>
      <c r="E82" s="171">
        <f t="shared" ref="E82:E92" si="14">C82+D82</f>
        <v>34651.93</v>
      </c>
      <c r="F82" s="171"/>
      <c r="G82" s="171">
        <f t="shared" ref="G82:G92" si="15">E82+F82</f>
        <v>34651.93</v>
      </c>
      <c r="H82" s="172">
        <f t="shared" ref="H82:H93" si="16">IF($G$208=0,0,G82/$G$208)</f>
        <v>3.0410044187940528E-3</v>
      </c>
      <c r="I82" s="337"/>
      <c r="J82" s="183">
        <v>1900.6200000000001</v>
      </c>
      <c r="K82" s="183">
        <v>2093.38</v>
      </c>
      <c r="M82" s="359">
        <f t="shared" ref="M82:M92" si="17">G82/G$228</f>
        <v>0.91270952957909712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573">
        <f>'[62]Sch C'!D76</f>
        <v>12056.56</v>
      </c>
      <c r="D83" s="573">
        <f>'[62]Sch C'!F76</f>
        <v>0</v>
      </c>
      <c r="E83" s="171">
        <f t="shared" si="14"/>
        <v>12056.56</v>
      </c>
      <c r="F83" s="171"/>
      <c r="G83" s="171">
        <f t="shared" si="15"/>
        <v>12056.56</v>
      </c>
      <c r="H83" s="172">
        <f t="shared" si="16"/>
        <v>1.0580666714799327E-3</v>
      </c>
      <c r="I83" s="337"/>
      <c r="J83" s="168"/>
      <c r="K83" s="168"/>
      <c r="M83" s="359">
        <f t="shared" si="17"/>
        <v>0.31756202918400672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573">
        <f>'[62]Sch C'!D77</f>
        <v>12236</v>
      </c>
      <c r="D84" s="573">
        <f>'[62]Sch C'!F77</f>
        <v>0</v>
      </c>
      <c r="E84" s="171">
        <f t="shared" si="14"/>
        <v>12236</v>
      </c>
      <c r="F84" s="171"/>
      <c r="G84" s="171">
        <f t="shared" si="15"/>
        <v>12236</v>
      </c>
      <c r="H84" s="172">
        <f t="shared" si="16"/>
        <v>1.0738140723579907E-3</v>
      </c>
      <c r="I84" s="337"/>
      <c r="J84" s="168"/>
      <c r="K84" s="168"/>
      <c r="M84" s="359">
        <f t="shared" si="17"/>
        <v>0.32228836327240162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573">
        <f>'[62]Sch C'!D78</f>
        <v>0</v>
      </c>
      <c r="D85" s="573">
        <f>'[62]Sch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I85" s="337"/>
      <c r="J85" s="168"/>
      <c r="K85" s="168"/>
      <c r="M85" s="359">
        <f t="shared" si="17"/>
        <v>0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573">
        <f>'[62]Sch C'!D79</f>
        <v>19481.3</v>
      </c>
      <c r="D86" s="573">
        <f>'[62]Sch C'!F79</f>
        <v>0</v>
      </c>
      <c r="E86" s="171">
        <f t="shared" si="14"/>
        <v>19481.3</v>
      </c>
      <c r="F86" s="171"/>
      <c r="G86" s="171">
        <f>E86+F86</f>
        <v>19481.3</v>
      </c>
      <c r="H86" s="172">
        <f t="shared" si="16"/>
        <v>1.7096513638303141E-3</v>
      </c>
      <c r="I86" s="337"/>
      <c r="J86" s="168"/>
      <c r="K86" s="168"/>
      <c r="M86" s="359">
        <f t="shared" si="17"/>
        <v>0.51312490122741394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573">
        <f>'[62]Sch C'!D80</f>
        <v>17240.25</v>
      </c>
      <c r="D87" s="573">
        <f>'[62]Sch C'!F80</f>
        <v>0</v>
      </c>
      <c r="E87" s="171">
        <f t="shared" si="14"/>
        <v>17240.25</v>
      </c>
      <c r="F87" s="171"/>
      <c r="G87" s="171">
        <f t="shared" si="15"/>
        <v>17240.25</v>
      </c>
      <c r="H87" s="172">
        <f t="shared" si="16"/>
        <v>1.5129799820995302E-3</v>
      </c>
      <c r="I87" s="337"/>
      <c r="J87" s="168"/>
      <c r="K87" s="168"/>
      <c r="M87" s="359">
        <f t="shared" si="17"/>
        <v>0.45409708686719696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573">
        <f>'[62]Sch C'!D81</f>
        <v>1571</v>
      </c>
      <c r="D88" s="573">
        <f>'[62]Sch C'!F81</f>
        <v>0</v>
      </c>
      <c r="E88" s="171">
        <f t="shared" si="14"/>
        <v>1571</v>
      </c>
      <c r="F88" s="171"/>
      <c r="G88" s="171">
        <f t="shared" si="15"/>
        <v>1571</v>
      </c>
      <c r="H88" s="172">
        <f t="shared" si="16"/>
        <v>1.3786874041144193E-4</v>
      </c>
      <c r="I88" s="337"/>
      <c r="J88" s="168"/>
      <c r="K88" s="168"/>
      <c r="M88" s="359">
        <f t="shared" si="17"/>
        <v>4.1379128694094713E-2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573">
        <f>'[62]Sch C'!D82</f>
        <v>13169.31</v>
      </c>
      <c r="D89" s="573">
        <f>'[62]Sch C'!F82</f>
        <v>0</v>
      </c>
      <c r="E89" s="171">
        <f t="shared" si="14"/>
        <v>13169.31</v>
      </c>
      <c r="F89" s="496">
        <v>7438</v>
      </c>
      <c r="G89" s="171">
        <f t="shared" si="15"/>
        <v>20607.309999999998</v>
      </c>
      <c r="H89" s="172">
        <f t="shared" si="16"/>
        <v>1.8084684105462198E-3</v>
      </c>
      <c r="I89" s="337"/>
      <c r="J89" s="168"/>
      <c r="K89" s="168"/>
      <c r="M89" s="359">
        <f t="shared" si="17"/>
        <v>0.5427832797766422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573">
        <f>'[62]Sch C'!D83</f>
        <v>0</v>
      </c>
      <c r="D90" s="573">
        <f>'[62]Sch C'!F83</f>
        <v>0</v>
      </c>
      <c r="E90" s="171">
        <f t="shared" si="14"/>
        <v>0</v>
      </c>
      <c r="F90" s="171"/>
      <c r="G90" s="171">
        <f t="shared" si="15"/>
        <v>0</v>
      </c>
      <c r="H90" s="172">
        <f t="shared" si="16"/>
        <v>0</v>
      </c>
      <c r="I90" s="337"/>
      <c r="J90" s="168"/>
      <c r="K90" s="168"/>
      <c r="M90" s="359">
        <f t="shared" si="17"/>
        <v>0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573">
        <f>'[62]Sch C'!D84</f>
        <v>150157.18</v>
      </c>
      <c r="D91" s="573">
        <f>'[62]Sch C'!F84</f>
        <v>0</v>
      </c>
      <c r="E91" s="171">
        <f t="shared" si="14"/>
        <v>150157.18</v>
      </c>
      <c r="F91" s="171"/>
      <c r="G91" s="171">
        <f t="shared" si="15"/>
        <v>150157.18</v>
      </c>
      <c r="H91" s="172">
        <f t="shared" si="16"/>
        <v>1.3177581967112769E-2</v>
      </c>
      <c r="I91" s="337"/>
      <c r="J91" s="168"/>
      <c r="K91" s="168"/>
      <c r="M91" s="359">
        <f t="shared" si="17"/>
        <v>3.9550434599378388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573">
        <f>'[62]Sch C'!D85</f>
        <v>0</v>
      </c>
      <c r="D92" s="573">
        <f>'[62]Sch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7"/>
      <c r="J92" s="168"/>
      <c r="K92" s="168"/>
      <c r="M92" s="359">
        <f t="shared" si="17"/>
        <v>0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573">
        <f>SUM(C82:C92)</f>
        <v>260563.52999999997</v>
      </c>
      <c r="D93" s="573">
        <f>SUM(D82:D92)</f>
        <v>0</v>
      </c>
      <c r="E93" s="171">
        <f t="shared" ref="E93:F93" si="18">SUM(E82:E92)</f>
        <v>260563.52999999997</v>
      </c>
      <c r="F93" s="171">
        <f t="shared" si="18"/>
        <v>7438</v>
      </c>
      <c r="G93" s="171">
        <f>SUM(G82:G92)</f>
        <v>268001.52999999997</v>
      </c>
      <c r="H93" s="172">
        <f t="shared" si="16"/>
        <v>2.3519435626632248E-2</v>
      </c>
      <c r="I93" s="337"/>
      <c r="J93" s="168"/>
      <c r="K93" s="168"/>
      <c r="M93" s="364">
        <f>G93/G$228</f>
        <v>7.0589877785386914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573">
        <f>'[62]Sch C'!D89</f>
        <v>281922.46999999997</v>
      </c>
      <c r="D96" s="573">
        <f>'[62]Sch C'!F89</f>
        <v>0</v>
      </c>
      <c r="E96" s="171">
        <f t="shared" ref="E96:E101" si="19">C96+D96</f>
        <v>281922.46999999997</v>
      </c>
      <c r="F96" s="171"/>
      <c r="G96" s="171">
        <f t="shared" ref="G96:G101" si="20">E96+F96</f>
        <v>281922.46999999997</v>
      </c>
      <c r="H96" s="172">
        <f t="shared" ref="H96:H102" si="21">IF($G$208=0,0,G96/$G$208)</f>
        <v>2.4741117652821467E-2</v>
      </c>
      <c r="I96" s="337"/>
      <c r="J96" s="183">
        <v>20032.850000000006</v>
      </c>
      <c r="K96" s="183">
        <v>21257.13</v>
      </c>
      <c r="M96" s="364">
        <f t="shared" ref="M96:M101" si="22">G96/G$228</f>
        <v>7.4256563767581509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573">
        <f>'[62]Sch C'!D90</f>
        <v>46895.360000000001</v>
      </c>
      <c r="D97" s="573">
        <f>'[62]Sch C'!F90</f>
        <v>0</v>
      </c>
      <c r="E97" s="171">
        <f t="shared" si="19"/>
        <v>46895.360000000001</v>
      </c>
      <c r="F97" s="171"/>
      <c r="G97" s="171">
        <f t="shared" si="20"/>
        <v>46895.360000000001</v>
      </c>
      <c r="H97" s="172">
        <f t="shared" si="21"/>
        <v>4.1154705374545622E-3</v>
      </c>
      <c r="I97" s="337"/>
      <c r="J97" s="168"/>
      <c r="K97" s="168"/>
      <c r="M97" s="364">
        <f t="shared" si="22"/>
        <v>1.2351935942685561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573">
        <f>'[62]Sch C'!D91</f>
        <v>31284.34</v>
      </c>
      <c r="D98" s="573">
        <f>'[62]Sch C'!F91</f>
        <v>0</v>
      </c>
      <c r="E98" s="171">
        <f t="shared" si="19"/>
        <v>31284.34</v>
      </c>
      <c r="F98" s="171"/>
      <c r="G98" s="171">
        <f t="shared" si="20"/>
        <v>31284.34</v>
      </c>
      <c r="H98" s="172">
        <f t="shared" si="21"/>
        <v>2.7454694782961739E-3</v>
      </c>
      <c r="I98" s="337"/>
      <c r="J98" s="168"/>
      <c r="K98" s="168"/>
      <c r="M98" s="364">
        <f t="shared" si="22"/>
        <v>0.82400937681083075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573">
        <f>'[62]Sch C'!D92</f>
        <v>287423.19</v>
      </c>
      <c r="D99" s="573">
        <f>'[62]Sch C'!F92</f>
        <v>0</v>
      </c>
      <c r="E99" s="171">
        <f t="shared" si="19"/>
        <v>287423.19</v>
      </c>
      <c r="F99" s="171"/>
      <c r="G99" s="171">
        <f t="shared" si="20"/>
        <v>287423.19</v>
      </c>
      <c r="H99" s="172">
        <f t="shared" si="21"/>
        <v>2.5223853068324985E-2</v>
      </c>
      <c r="I99" s="337"/>
      <c r="J99" s="168"/>
      <c r="K99" s="168"/>
      <c r="M99" s="364">
        <f t="shared" si="22"/>
        <v>7.5705418005583942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573">
        <f>'[62]Sch C'!D93</f>
        <v>27167.21</v>
      </c>
      <c r="D100" s="573">
        <f>'[62]Sch C'!F93</f>
        <v>0</v>
      </c>
      <c r="E100" s="171">
        <f t="shared" si="19"/>
        <v>27167.21</v>
      </c>
      <c r="F100" s="171"/>
      <c r="G100" s="171">
        <f t="shared" si="20"/>
        <v>27167.21</v>
      </c>
      <c r="H100" s="172">
        <f t="shared" si="21"/>
        <v>2.3841559663864602E-3</v>
      </c>
      <c r="I100" s="337"/>
      <c r="J100" s="168"/>
      <c r="K100" s="168"/>
      <c r="M100" s="364">
        <f t="shared" si="22"/>
        <v>0.71556682294684715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573">
        <f>'[62]Sch C'!D94</f>
        <v>125</v>
      </c>
      <c r="D101" s="573">
        <f>'[62]Sch C'!F94</f>
        <v>0</v>
      </c>
      <c r="E101" s="171">
        <f t="shared" si="19"/>
        <v>125</v>
      </c>
      <c r="F101" s="171"/>
      <c r="G101" s="171">
        <f t="shared" si="20"/>
        <v>125</v>
      </c>
      <c r="H101" s="172">
        <f t="shared" si="21"/>
        <v>1.0969823393653877E-5</v>
      </c>
      <c r="I101" s="337"/>
      <c r="J101" s="168"/>
      <c r="K101" s="168"/>
      <c r="M101" s="364">
        <f t="shared" si="22"/>
        <v>3.2924195332666071E-3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573">
        <f>SUM(C96:C101)</f>
        <v>674817.57</v>
      </c>
      <c r="D102" s="573">
        <f>SUM(D96:D101)</f>
        <v>0</v>
      </c>
      <c r="E102" s="171">
        <f t="shared" ref="E102:F102" si="23">SUM(E96:E101)</f>
        <v>674817.57</v>
      </c>
      <c r="F102" s="171">
        <f t="shared" si="23"/>
        <v>0</v>
      </c>
      <c r="G102" s="171">
        <f>SUM(G96:G101)</f>
        <v>674817.57</v>
      </c>
      <c r="H102" s="172">
        <f t="shared" si="21"/>
        <v>5.9221036526677297E-2</v>
      </c>
      <c r="I102" s="337"/>
      <c r="J102" s="168"/>
      <c r="K102" s="168"/>
      <c r="M102" s="364">
        <f>G102/G$228</f>
        <v>17.774260390876044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573">
        <f>'[62]Sch C'!D98</f>
        <v>43519.89</v>
      </c>
      <c r="D105" s="573">
        <f>'[62]Sch C'!F98</f>
        <v>0</v>
      </c>
      <c r="E105" s="171">
        <f t="shared" ref="E105:E110" si="24">C105+D105</f>
        <v>43519.89</v>
      </c>
      <c r="F105" s="171"/>
      <c r="G105" s="171">
        <f t="shared" ref="G105:G110" si="25">E105+F105</f>
        <v>43519.89</v>
      </c>
      <c r="H105" s="172">
        <f t="shared" ref="H105:H111" si="26">IF($G$208=0,0,G105/$G$208)</f>
        <v>3.8192440592899474E-3</v>
      </c>
      <c r="I105" s="337"/>
      <c r="J105" s="183">
        <v>4828.2400000000007</v>
      </c>
      <c r="K105" s="183">
        <v>5028.67</v>
      </c>
      <c r="M105" s="364">
        <f t="shared" ref="M105:M110" si="27">G105/G$228</f>
        <v>1.1462858873729125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573">
        <f>'[62]Sch C'!D99</f>
        <v>5368.01</v>
      </c>
      <c r="D106" s="573">
        <f>'[62]Sch C'!F99</f>
        <v>0</v>
      </c>
      <c r="E106" s="171">
        <f t="shared" si="24"/>
        <v>5368.01</v>
      </c>
      <c r="F106" s="171"/>
      <c r="G106" s="171">
        <f t="shared" si="25"/>
        <v>5368.01</v>
      </c>
      <c r="H106" s="172">
        <f t="shared" si="26"/>
        <v>4.7108897340294363E-4</v>
      </c>
      <c r="I106" s="337"/>
      <c r="J106" s="168"/>
      <c r="K106" s="168"/>
      <c r="M106" s="364">
        <f t="shared" si="27"/>
        <v>0.14138992783016383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573">
        <f>'[62]Sch C'!D100</f>
        <v>11937.85</v>
      </c>
      <c r="D107" s="573">
        <f>'[62]Sch C'!F100</f>
        <v>0</v>
      </c>
      <c r="E107" s="171">
        <f t="shared" si="24"/>
        <v>11937.85</v>
      </c>
      <c r="F107" s="171"/>
      <c r="G107" s="171">
        <f t="shared" si="25"/>
        <v>11937.85</v>
      </c>
      <c r="H107" s="172">
        <f t="shared" si="26"/>
        <v>1.0476488495994476E-3</v>
      </c>
      <c r="I107" s="337"/>
      <c r="J107" s="168"/>
      <c r="K107" s="168"/>
      <c r="M107" s="364">
        <f t="shared" si="27"/>
        <v>0.31443528420165412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573">
        <f>'[62]Sch C'!D101</f>
        <v>1219.2</v>
      </c>
      <c r="D108" s="573">
        <f>'[62]Sch C'!F101</f>
        <v>0</v>
      </c>
      <c r="E108" s="171">
        <f t="shared" si="24"/>
        <v>1219.2</v>
      </c>
      <c r="F108" s="171"/>
      <c r="G108" s="171">
        <f t="shared" si="25"/>
        <v>1219.2</v>
      </c>
      <c r="H108" s="172">
        <f t="shared" si="26"/>
        <v>1.0699526945234247E-4</v>
      </c>
      <c r="I108" s="337"/>
      <c r="J108" s="168"/>
      <c r="K108" s="168"/>
      <c r="M108" s="364">
        <f t="shared" si="27"/>
        <v>3.2112943159669179E-2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573">
        <f>'[62]Sch C'!D102</f>
        <v>5887.14</v>
      </c>
      <c r="D109" s="573">
        <f>'[62]Sch C'!F102</f>
        <v>0</v>
      </c>
      <c r="E109" s="171">
        <f t="shared" si="24"/>
        <v>5887.14</v>
      </c>
      <c r="F109" s="171"/>
      <c r="G109" s="171">
        <f t="shared" si="25"/>
        <v>5887.14</v>
      </c>
      <c r="H109" s="172">
        <f t="shared" si="26"/>
        <v>5.1664708874972389E-4</v>
      </c>
      <c r="I109" s="337"/>
      <c r="J109" s="168"/>
      <c r="K109" s="168"/>
      <c r="M109" s="364">
        <f t="shared" si="27"/>
        <v>0.15506347784860139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573">
        <f>'[62]Sch C'!D103</f>
        <v>7437.91</v>
      </c>
      <c r="D110" s="573">
        <f>'[62]Sch C'!F103</f>
        <v>0</v>
      </c>
      <c r="E110" s="171">
        <f t="shared" si="24"/>
        <v>7437.91</v>
      </c>
      <c r="F110" s="496">
        <v>-7437.91</v>
      </c>
      <c r="G110" s="171">
        <f t="shared" si="25"/>
        <v>0</v>
      </c>
      <c r="H110" s="172">
        <f t="shared" si="26"/>
        <v>0</v>
      </c>
      <c r="I110" s="337"/>
      <c r="J110" s="168"/>
      <c r="K110" s="168"/>
      <c r="M110" s="364">
        <f t="shared" si="27"/>
        <v>0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573">
        <f>SUM(C105:C110)</f>
        <v>75370</v>
      </c>
      <c r="D111" s="573">
        <f>SUM(D105:D110)</f>
        <v>0</v>
      </c>
      <c r="E111" s="171">
        <f t="shared" ref="E111:F111" si="28">SUM(E105:E110)</f>
        <v>75370</v>
      </c>
      <c r="F111" s="171">
        <f t="shared" si="28"/>
        <v>-7437.91</v>
      </c>
      <c r="G111" s="171">
        <f>SUM(G105:G110)</f>
        <v>67932.09</v>
      </c>
      <c r="H111" s="172">
        <f t="shared" si="26"/>
        <v>5.9616242404944052E-3</v>
      </c>
      <c r="I111" s="337"/>
      <c r="J111" s="168"/>
      <c r="K111" s="168"/>
      <c r="M111" s="364">
        <f>G111/G$228</f>
        <v>1.789287520413001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573">
        <f>'[62]Sch C'!D115</f>
        <v>127248.45</v>
      </c>
      <c r="D114" s="573">
        <f>'[62]Sch C'!F115</f>
        <v>0</v>
      </c>
      <c r="E114" s="171">
        <f t="shared" ref="E114:E118" si="29">C114+D114</f>
        <v>127248.45</v>
      </c>
      <c r="F114" s="171"/>
      <c r="G114" s="171">
        <f>E114+F114</f>
        <v>127248.45</v>
      </c>
      <c r="H114" s="172">
        <f t="shared" ref="H114:H119" si="30">IF($G$208=0,0,G114/$G$208)</f>
        <v>1.1167144188929565E-2</v>
      </c>
      <c r="I114" s="337"/>
      <c r="J114" s="183">
        <v>13266.560000000001</v>
      </c>
      <c r="K114" s="183">
        <v>14169.6</v>
      </c>
      <c r="M114" s="364">
        <f t="shared" ref="M114:M119" si="31">G114/G$228</f>
        <v>3.3516422588631931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573">
        <f>'[62]Sch C'!D116</f>
        <v>17202.59</v>
      </c>
      <c r="D115" s="573">
        <f>'[62]Sch C'!F116</f>
        <v>0</v>
      </c>
      <c r="E115" s="171">
        <f t="shared" si="29"/>
        <v>17202.59</v>
      </c>
      <c r="F115" s="171"/>
      <c r="G115" s="171">
        <f>E115+F115</f>
        <v>17202.59</v>
      </c>
      <c r="H115" s="172">
        <f t="shared" si="30"/>
        <v>1.5096749937074901E-3</v>
      </c>
      <c r="I115" s="337"/>
      <c r="J115" s="168"/>
      <c r="K115" s="168"/>
      <c r="M115" s="364">
        <f t="shared" si="31"/>
        <v>0.4531051467102144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573">
        <f>'[62]Sch C'!D117</f>
        <v>36946.74</v>
      </c>
      <c r="D116" s="573">
        <f>'[62]Sch C'!F117</f>
        <v>0</v>
      </c>
      <c r="E116" s="171">
        <f t="shared" si="29"/>
        <v>36946.74</v>
      </c>
      <c r="F116" s="171"/>
      <c r="G116" s="171">
        <f>E116+F116</f>
        <v>36946.74</v>
      </c>
      <c r="H116" s="172">
        <f t="shared" si="30"/>
        <v>3.2423937021699794E-3</v>
      </c>
      <c r="I116" s="337"/>
      <c r="J116" s="168"/>
      <c r="K116" s="168"/>
      <c r="M116" s="364">
        <f t="shared" si="31"/>
        <v>0.97315334773218132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573">
        <f>'[62]Sch C'!D118</f>
        <v>4811.3999999999996</v>
      </c>
      <c r="D117" s="573">
        <f>'[62]Sch C'!F118</f>
        <v>0</v>
      </c>
      <c r="E117" s="171">
        <f t="shared" si="29"/>
        <v>4811.3999999999996</v>
      </c>
      <c r="F117" s="171"/>
      <c r="G117" s="171">
        <f>E117+F117</f>
        <v>4811.3999999999996</v>
      </c>
      <c r="H117" s="172">
        <f t="shared" si="30"/>
        <v>4.2224166620981009E-4</v>
      </c>
      <c r="I117" s="337"/>
      <c r="J117" s="168"/>
      <c r="K117" s="168"/>
      <c r="M117" s="364">
        <f t="shared" si="31"/>
        <v>0.1267291787388716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573">
        <f>'[62]Sch C'!D119</f>
        <v>1212.1500000000001</v>
      </c>
      <c r="D118" s="573">
        <f>'[62]Sch C'!F119</f>
        <v>0</v>
      </c>
      <c r="E118" s="171">
        <f t="shared" si="29"/>
        <v>1212.1500000000001</v>
      </c>
      <c r="F118" s="171"/>
      <c r="G118" s="171">
        <f>E118+F118</f>
        <v>1212.1500000000001</v>
      </c>
      <c r="H118" s="172">
        <f t="shared" si="30"/>
        <v>1.0637657141294039E-4</v>
      </c>
      <c r="I118" s="337"/>
      <c r="J118" s="168"/>
      <c r="K118" s="168"/>
      <c r="M118" s="364">
        <f t="shared" si="31"/>
        <v>3.1927250697992945E-2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573">
        <f>SUM(C114:C118)</f>
        <v>187421.33</v>
      </c>
      <c r="D119" s="573">
        <f>SUM(D114:D118)</f>
        <v>0</v>
      </c>
      <c r="E119" s="171">
        <f t="shared" ref="E119:F119" si="32">SUM(E114:E118)</f>
        <v>187421.33</v>
      </c>
      <c r="F119" s="171">
        <f t="shared" si="32"/>
        <v>0</v>
      </c>
      <c r="G119" s="171">
        <f>SUM(G114:G118)</f>
        <v>187421.33</v>
      </c>
      <c r="H119" s="172">
        <f t="shared" si="30"/>
        <v>1.6447831122429785E-2</v>
      </c>
      <c r="I119" s="337"/>
      <c r="J119" s="168"/>
      <c r="K119" s="168"/>
      <c r="M119" s="364">
        <f t="shared" si="31"/>
        <v>4.9365571827424537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1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573">
        <f>'[62]Sch C'!D124</f>
        <v>0</v>
      </c>
      <c r="D123" s="573">
        <f>'[62]Sch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7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0.77002560279620991</v>
      </c>
    </row>
    <row r="124" spans="1:14" s="167" customFormat="1">
      <c r="B124" s="163" t="s">
        <v>194</v>
      </c>
      <c r="C124" s="573">
        <f>'[62]Sch C'!D125</f>
        <v>531905.09</v>
      </c>
      <c r="D124" s="573">
        <f>'[62]Sch C'!F125</f>
        <v>0</v>
      </c>
      <c r="E124" s="171">
        <f t="shared" si="33"/>
        <v>531905.09</v>
      </c>
      <c r="F124" s="171"/>
      <c r="G124" s="171">
        <f>E124+F124</f>
        <v>531905.09</v>
      </c>
      <c r="H124" s="172">
        <f>IF($G$208=0,0,G124/$G$208)</f>
        <v>4.6679239195884563E-2</v>
      </c>
      <c r="I124" s="337"/>
      <c r="J124" s="183">
        <v>18422.800000000003</v>
      </c>
      <c r="K124" s="183">
        <v>19192.460000000003</v>
      </c>
      <c r="M124" s="364">
        <f t="shared" si="34"/>
        <v>14.01003766527946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573">
        <f>'[62]Sch C'!D126</f>
        <v>0</v>
      </c>
      <c r="D125" s="573">
        <f>'[62]Sch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7"/>
      <c r="J125" s="183">
        <v>0</v>
      </c>
      <c r="K125" s="183">
        <v>0</v>
      </c>
      <c r="M125" s="364">
        <f t="shared" si="34"/>
        <v>0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573">
        <f>'[62]Sch C'!D127</f>
        <v>0</v>
      </c>
      <c r="D126" s="573">
        <f>'[62]Sch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7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573">
        <f>'[62]Sch C'!D128</f>
        <v>71489.33</v>
      </c>
      <c r="D127" s="573">
        <f>'[62]Sch C'!F128</f>
        <v>0</v>
      </c>
      <c r="E127" s="171">
        <f t="shared" si="33"/>
        <v>71489.33</v>
      </c>
      <c r="F127" s="171"/>
      <c r="G127" s="171">
        <f>E127+F127</f>
        <v>71489.33</v>
      </c>
      <c r="H127" s="172">
        <f>IF($G$208=0,0,G127/$G$208)</f>
        <v>6.2738025970451358E-3</v>
      </c>
      <c r="I127" s="337"/>
      <c r="J127" s="183">
        <v>4498.9400000000005</v>
      </c>
      <c r="K127" s="183">
        <v>4889.1099999999997</v>
      </c>
      <c r="M127" s="364">
        <f t="shared" si="34"/>
        <v>1.8829829320971396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205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573">
        <f>'[62]Sch C'!D130</f>
        <v>0</v>
      </c>
      <c r="D129" s="573">
        <f>'[62]Sch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7"/>
      <c r="J129" s="204"/>
      <c r="K129" s="204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573">
        <f>'[62]Sch C'!D131</f>
        <v>75228.289999999994</v>
      </c>
      <c r="D130" s="573">
        <f>'[62]Sch C'!F131</f>
        <v>0</v>
      </c>
      <c r="E130" s="171">
        <f t="shared" si="35"/>
        <v>75228.289999999994</v>
      </c>
      <c r="F130" s="171"/>
      <c r="G130" s="171">
        <f>E130+F130</f>
        <v>75228.289999999994</v>
      </c>
      <c r="H130" s="172">
        <f>IF($G$208=0,0,G130/$G$208)</f>
        <v>6.6019284440526236E-3</v>
      </c>
      <c r="I130" s="337"/>
      <c r="J130" s="204"/>
      <c r="K130" s="204"/>
      <c r="M130" s="364">
        <f t="shared" si="34"/>
        <v>1.9814647316019596</v>
      </c>
      <c r="N130" s="359">
        <f>SUMMARY!J133</f>
        <v>1.0792348507966931</v>
      </c>
    </row>
    <row r="131" spans="1:14" s="167" customFormat="1">
      <c r="B131" s="163" t="s">
        <v>195</v>
      </c>
      <c r="C131" s="573">
        <f>'[62]Sch C'!D132</f>
        <v>0</v>
      </c>
      <c r="D131" s="573">
        <f>'[62]Sch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7"/>
      <c r="J131" s="168"/>
      <c r="K131" s="168"/>
      <c r="M131" s="364">
        <f t="shared" si="34"/>
        <v>0</v>
      </c>
      <c r="N131" s="359">
        <f>SUMMARY!J134</f>
        <v>8.2765628075518377E-2</v>
      </c>
    </row>
    <row r="132" spans="1:14" s="167" customFormat="1">
      <c r="B132" s="163" t="s">
        <v>196</v>
      </c>
      <c r="C132" s="573">
        <f>'[62]Sch C'!D133</f>
        <v>0</v>
      </c>
      <c r="D132" s="573">
        <f>'[62]Sch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573">
        <f>'[62]Sch C'!D134</f>
        <v>20741.990000000002</v>
      </c>
      <c r="D133" s="573">
        <f>'[62]Sch C'!F134</f>
        <v>0</v>
      </c>
      <c r="E133" s="171">
        <f t="shared" si="35"/>
        <v>20741.990000000002</v>
      </c>
      <c r="F133" s="171"/>
      <c r="G133" s="171">
        <f>E133+F133</f>
        <v>20741.990000000002</v>
      </c>
      <c r="H133" s="172">
        <f>IF($G$208=0,0,G133/$G$208)</f>
        <v>1.8202877370634785E-3</v>
      </c>
      <c r="I133" s="337"/>
      <c r="J133" s="168"/>
      <c r="K133" s="168"/>
      <c r="M133" s="364">
        <f t="shared" si="34"/>
        <v>0.54633066427856503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573">
        <f>'[62]Sch C'!D136</f>
        <v>1002567.86</v>
      </c>
      <c r="D135" s="573">
        <f>'[62]Sch C'!F136</f>
        <v>0</v>
      </c>
      <c r="E135" s="171">
        <f t="shared" ref="E135:E138" si="36">C135+D135</f>
        <v>1002567.86</v>
      </c>
      <c r="F135" s="496">
        <v>500</v>
      </c>
      <c r="G135" s="171">
        <f>E135+F135</f>
        <v>1003067.86</v>
      </c>
      <c r="H135" s="172">
        <f>IF($G$208=0,0,G135/$G$208)</f>
        <v>8.8027818208402664E-2</v>
      </c>
      <c r="I135" s="337"/>
      <c r="J135" s="183">
        <v>33237.35</v>
      </c>
      <c r="K135" s="183">
        <v>33058.090000000004</v>
      </c>
      <c r="M135" s="364">
        <f t="shared" si="34"/>
        <v>26.420161723647475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573">
        <f>'[62]Sch C'!D137</f>
        <v>245236.37</v>
      </c>
      <c r="D136" s="573">
        <f>'[62]Sch C'!F137</f>
        <v>0</v>
      </c>
      <c r="E136" s="171">
        <f t="shared" si="36"/>
        <v>245236.37</v>
      </c>
      <c r="F136" s="171"/>
      <c r="G136" s="171">
        <f>E136+F136</f>
        <v>245236.37</v>
      </c>
      <c r="H136" s="172">
        <f>IF($G$208=0,0,G136/$G$208)</f>
        <v>2.1521597348806064E-2</v>
      </c>
      <c r="I136" s="337"/>
      <c r="J136" s="183">
        <v>9674.2599999999984</v>
      </c>
      <c r="K136" s="183">
        <v>10513.399999999998</v>
      </c>
      <c r="M136" s="364">
        <f t="shared" si="34"/>
        <v>6.4593681188431757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573">
        <f>'[62]Sch C'!D138</f>
        <v>1135646.44</v>
      </c>
      <c r="D137" s="573">
        <f>'[62]Sch C'!F138</f>
        <v>0</v>
      </c>
      <c r="E137" s="171">
        <f t="shared" si="36"/>
        <v>1135646.44</v>
      </c>
      <c r="F137" s="171"/>
      <c r="G137" s="171">
        <f>E137+F137</f>
        <v>1135646.44</v>
      </c>
      <c r="H137" s="172">
        <f>IF($G$208=0,0,G137/$G$208)</f>
        <v>9.9662727075453955E-2</v>
      </c>
      <c r="I137" s="337"/>
      <c r="J137" s="183">
        <v>96057.33</v>
      </c>
      <c r="K137" s="183">
        <v>102664.8</v>
      </c>
      <c r="M137" s="364">
        <f t="shared" si="34"/>
        <v>29.912196175525469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573">
        <f>'[62]Sch C'!D139</f>
        <v>695632.59000000008</v>
      </c>
      <c r="D138" s="573">
        <f>'[62]Sch C'!F139</f>
        <v>0</v>
      </c>
      <c r="E138" s="171">
        <f t="shared" si="36"/>
        <v>695632.59000000008</v>
      </c>
      <c r="F138" s="171"/>
      <c r="G138" s="171">
        <f>E138+F138</f>
        <v>695632.59000000008</v>
      </c>
      <c r="H138" s="172">
        <f>IF($G$208=0,0,G138/$G$208)</f>
        <v>6.10477332733603E-2</v>
      </c>
      <c r="I138" s="337"/>
      <c r="J138" s="183">
        <v>29728.52</v>
      </c>
      <c r="K138" s="183">
        <v>31263.859999999997</v>
      </c>
      <c r="M138" s="364">
        <f t="shared" si="34"/>
        <v>18.32251461834273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7"/>
      <c r="J139" s="208"/>
      <c r="K139" s="208"/>
      <c r="M139" s="364"/>
      <c r="N139" s="359"/>
    </row>
    <row r="140" spans="1:14" s="167" customFormat="1">
      <c r="A140" s="169"/>
      <c r="B140" s="163" t="s">
        <v>194</v>
      </c>
      <c r="C140" s="573">
        <f>'[62]Sch C'!D141</f>
        <v>158088.82</v>
      </c>
      <c r="D140" s="573">
        <f>'[62]Sch C'!F141</f>
        <v>0</v>
      </c>
      <c r="E140" s="171">
        <f t="shared" ref="E140:E143" si="37">C140+D140</f>
        <v>158088.82</v>
      </c>
      <c r="F140" s="496">
        <v>225</v>
      </c>
      <c r="G140" s="171">
        <f>E140+F140</f>
        <v>158313.82</v>
      </c>
      <c r="H140" s="172">
        <f>IF($G$208=0,0,G140/$G$208)</f>
        <v>1.3893397169397673E-2</v>
      </c>
      <c r="I140" s="337"/>
      <c r="J140" s="168"/>
      <c r="K140" s="168"/>
      <c r="M140" s="364">
        <f t="shared" si="34"/>
        <v>4.1698841068324288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573">
        <f>'[62]Sch C'!D142</f>
        <v>38669.760000000002</v>
      </c>
      <c r="D141" s="573">
        <f>'[62]Sch C'!F142</f>
        <v>0</v>
      </c>
      <c r="E141" s="171">
        <f t="shared" si="37"/>
        <v>38669.760000000002</v>
      </c>
      <c r="F141" s="171"/>
      <c r="G141" s="171">
        <f>E141+F141</f>
        <v>38669.760000000002</v>
      </c>
      <c r="H141" s="172">
        <f>IF($G$208=0,0,G141/$G$208)</f>
        <v>3.3936035029998477E-3</v>
      </c>
      <c r="I141" s="337"/>
      <c r="J141" s="168"/>
      <c r="K141" s="168"/>
      <c r="M141" s="364">
        <f t="shared" si="34"/>
        <v>1.0185365853658537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573">
        <f>'[62]Sch C'!D143</f>
        <v>179073.07</v>
      </c>
      <c r="D142" s="573">
        <f>'[62]Sch C'!F143</f>
        <v>0</v>
      </c>
      <c r="E142" s="171">
        <f t="shared" si="37"/>
        <v>179073.07</v>
      </c>
      <c r="F142" s="171"/>
      <c r="G142" s="171">
        <f>E142+F142</f>
        <v>179073.07</v>
      </c>
      <c r="H142" s="172">
        <f>IF($G$208=0,0,G142/$G$208)</f>
        <v>1.5715199619675348E-2</v>
      </c>
      <c r="I142" s="337"/>
      <c r="J142" s="168"/>
      <c r="K142" s="168"/>
      <c r="M142" s="364">
        <f t="shared" si="34"/>
        <v>4.716669388400148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573">
        <f>'[62]Sch C'!D144</f>
        <v>111687.19</v>
      </c>
      <c r="D143" s="573">
        <f>'[62]Sch C'!F144</f>
        <v>0</v>
      </c>
      <c r="E143" s="171">
        <f t="shared" si="37"/>
        <v>111687.19</v>
      </c>
      <c r="F143" s="171"/>
      <c r="G143" s="171">
        <f>E143+F143</f>
        <v>111687.19</v>
      </c>
      <c r="H143" s="172">
        <f>IF($G$208=0,0,G143/$G$208)</f>
        <v>9.8015099970677234E-3</v>
      </c>
      <c r="I143" s="337"/>
      <c r="J143" s="168"/>
      <c r="K143" s="168"/>
      <c r="M143" s="364">
        <f t="shared" si="34"/>
        <v>2.9417686877732709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7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573">
        <f>'[62]Sch C'!D146</f>
        <v>186651.73</v>
      </c>
      <c r="D145" s="573">
        <f>'[62]Sch C'!F146</f>
        <v>0</v>
      </c>
      <c r="E145" s="171">
        <f t="shared" ref="E145:E153" si="38">C145+D145</f>
        <v>186651.73</v>
      </c>
      <c r="F145" s="496">
        <v>-120652</v>
      </c>
      <c r="G145" s="171">
        <f t="shared" ref="G145:G153" si="39">E145+F145</f>
        <v>65999.73000000001</v>
      </c>
      <c r="H145" s="172">
        <f t="shared" ref="H145:H153" si="40">IF($G$208=0,0,G145/$G$208)</f>
        <v>5.792043057030718E-3</v>
      </c>
      <c r="I145" s="337"/>
      <c r="J145" s="183">
        <v>0</v>
      </c>
      <c r="K145" s="183">
        <v>0</v>
      </c>
      <c r="M145" s="364">
        <f t="shared" si="34"/>
        <v>1.738390401938577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573">
        <f>'[62]Sch C'!D147</f>
        <v>0</v>
      </c>
      <c r="D146" s="573">
        <f>'[62]Sch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337"/>
      <c r="J146" s="183">
        <v>0</v>
      </c>
      <c r="K146" s="183">
        <v>0</v>
      </c>
      <c r="M146" s="364">
        <f t="shared" si="34"/>
        <v>0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573">
        <f>'[62]Sch C'!D148</f>
        <v>0</v>
      </c>
      <c r="D147" s="573">
        <f>'[62]Sch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7"/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573">
        <f>'[62]Sch C'!D149</f>
        <v>0</v>
      </c>
      <c r="D148" s="573">
        <f>'[62]Sch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7"/>
      <c r="J148" s="183">
        <v>0</v>
      </c>
      <c r="K148" s="183">
        <v>0</v>
      </c>
      <c r="M148" s="364">
        <f t="shared" si="34"/>
        <v>0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573">
        <f>'[62]Sch C'!D150</f>
        <v>12372.5</v>
      </c>
      <c r="D149" s="573">
        <f>'[62]Sch C'!F150</f>
        <v>0</v>
      </c>
      <c r="E149" s="171">
        <f t="shared" si="38"/>
        <v>12372.5</v>
      </c>
      <c r="F149" s="171"/>
      <c r="G149" s="171">
        <f t="shared" si="39"/>
        <v>12372.5</v>
      </c>
      <c r="H149" s="172">
        <f t="shared" si="40"/>
        <v>1.0857931195038608E-3</v>
      </c>
      <c r="I149" s="337"/>
      <c r="J149" s="183">
        <v>0</v>
      </c>
      <c r="K149" s="183">
        <v>0</v>
      </c>
      <c r="M149" s="364">
        <f t="shared" si="34"/>
        <v>0.32588368540272877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573">
        <f>'[62]Sch C'!D151</f>
        <v>281452.36</v>
      </c>
      <c r="D150" s="573">
        <f>'[62]Sch C'!F151</f>
        <v>0</v>
      </c>
      <c r="E150" s="171">
        <f t="shared" si="38"/>
        <v>281452.36</v>
      </c>
      <c r="F150" s="171"/>
      <c r="G150" s="171">
        <f t="shared" si="39"/>
        <v>281452.36</v>
      </c>
      <c r="H150" s="172">
        <f t="shared" si="40"/>
        <v>2.4699861463416743E-2</v>
      </c>
      <c r="I150" s="337"/>
      <c r="J150" s="168"/>
      <c r="K150" s="168"/>
      <c r="M150" s="364">
        <f t="shared" si="34"/>
        <v>7.4132739819838802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573">
        <f>'[62]Sch C'!D152</f>
        <v>1726.84</v>
      </c>
      <c r="D151" s="573">
        <f>'[62]Sch C'!F152</f>
        <v>0</v>
      </c>
      <c r="E151" s="171">
        <f t="shared" si="38"/>
        <v>1726.84</v>
      </c>
      <c r="F151" s="171"/>
      <c r="G151" s="171">
        <f t="shared" si="39"/>
        <v>1726.84</v>
      </c>
      <c r="H151" s="172">
        <f t="shared" si="40"/>
        <v>1.5154503863277807E-4</v>
      </c>
      <c r="I151" s="337"/>
      <c r="J151" s="168"/>
      <c r="K151" s="168"/>
      <c r="M151" s="364">
        <f t="shared" si="34"/>
        <v>4.5483853974608857E-2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573">
        <f>'[62]Sch C'!D153</f>
        <v>1275</v>
      </c>
      <c r="D152" s="573">
        <f>'[62]Sch C'!F153</f>
        <v>0</v>
      </c>
      <c r="E152" s="171">
        <f t="shared" si="38"/>
        <v>1275</v>
      </c>
      <c r="F152" s="171"/>
      <c r="G152" s="171">
        <f t="shared" si="39"/>
        <v>1275</v>
      </c>
      <c r="H152" s="172">
        <f t="shared" si="40"/>
        <v>1.1189219861526955E-4</v>
      </c>
      <c r="I152" s="337"/>
      <c r="J152" s="168"/>
      <c r="K152" s="168"/>
      <c r="M152" s="364">
        <f t="shared" si="34"/>
        <v>3.3582679239319388E-2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573">
        <f>'[62]Sch C'!D154</f>
        <v>0</v>
      </c>
      <c r="D153" s="573">
        <f>'[62]Sch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210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573">
        <f>'[62]Sch C'!D156</f>
        <v>0</v>
      </c>
      <c r="D155" s="573">
        <f>'[62]Sch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573">
        <f>'[62]Sch C'!D157</f>
        <v>0</v>
      </c>
      <c r="D156" s="573">
        <f>'[62]Sch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573">
        <f>'[62]Sch C'!D158</f>
        <v>0</v>
      </c>
      <c r="D157" s="573">
        <f>'[62]Sch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7"/>
      <c r="J157" s="168"/>
      <c r="K157" s="168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573">
        <f>'[62]Sch C'!D159</f>
        <v>0</v>
      </c>
      <c r="D158" s="573">
        <f>'[62]Sch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573">
        <f>'[62]Sch C'!D160</f>
        <v>1474.09</v>
      </c>
      <c r="D159" s="573">
        <f>'[62]Sch C'!F160</f>
        <v>0</v>
      </c>
      <c r="E159" s="171">
        <f t="shared" si="41"/>
        <v>1474.09</v>
      </c>
      <c r="F159" s="171"/>
      <c r="G159" s="171">
        <f t="shared" si="42"/>
        <v>1474.09</v>
      </c>
      <c r="H159" s="172">
        <f>IF($G$208=0,0,G159/$G$208)</f>
        <v>1.2936405573080994E-4</v>
      </c>
      <c r="I159" s="337"/>
      <c r="J159" s="168"/>
      <c r="K159" s="168"/>
      <c r="M159" s="364">
        <f t="shared" si="34"/>
        <v>3.8826581678343776E-2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573">
        <f>'[62]Sch C'!D161</f>
        <v>57542.62</v>
      </c>
      <c r="D160" s="573">
        <f>'[62]Sch C'!F161</f>
        <v>0</v>
      </c>
      <c r="E160" s="171">
        <f t="shared" si="41"/>
        <v>57542.62</v>
      </c>
      <c r="F160" s="496">
        <v>-16423</v>
      </c>
      <c r="G160" s="171">
        <f t="shared" si="42"/>
        <v>41119.620000000003</v>
      </c>
      <c r="H160" s="172">
        <f t="shared" si="43"/>
        <v>3.608599755313263E-3</v>
      </c>
      <c r="I160" s="337"/>
      <c r="J160" s="168"/>
      <c r="K160" s="168"/>
      <c r="M160" s="364">
        <f t="shared" si="34"/>
        <v>1.083064320708002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573">
        <f>SUM(C123:C160)</f>
        <v>4808461.9400000004</v>
      </c>
      <c r="D161" s="573">
        <f>SUM(D123:D160)</f>
        <v>0</v>
      </c>
      <c r="E161" s="171">
        <f t="shared" ref="E161:F161" si="44">SUM(E123:E160)</f>
        <v>4808461.9400000004</v>
      </c>
      <c r="F161" s="171">
        <f t="shared" si="44"/>
        <v>-136350</v>
      </c>
      <c r="G161" s="171">
        <f>SUM(G123:G160)</f>
        <v>4672111.9400000004</v>
      </c>
      <c r="H161" s="172">
        <f t="shared" si="43"/>
        <v>0.41001794285745286</v>
      </c>
      <c r="I161" s="337"/>
      <c r="J161" s="168"/>
      <c r="K161" s="168"/>
      <c r="M161" s="364">
        <f>G161/G$228</f>
        <v>123.06042090291314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337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7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573">
        <f>'[62]Sch C'!D175</f>
        <v>0</v>
      </c>
      <c r="D164" s="573">
        <f>'[62]Sch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573">
        <f>'[62]Sch C'!D176</f>
        <v>0</v>
      </c>
      <c r="D165" s="573">
        <f>'[62]Sch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573">
        <f>'[62]Sch C'!D177</f>
        <v>0</v>
      </c>
      <c r="D166" s="573">
        <f>'[62]Sch C'!F177</f>
        <v>0</v>
      </c>
      <c r="E166" s="171">
        <f t="shared" si="45"/>
        <v>0</v>
      </c>
      <c r="F166" s="216"/>
      <c r="G166" s="171">
        <f t="shared" si="46"/>
        <v>0</v>
      </c>
      <c r="H166" s="172">
        <f t="shared" si="47"/>
        <v>0</v>
      </c>
      <c r="I166" s="343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573">
        <f>'[62]Sch C'!D178</f>
        <v>0</v>
      </c>
      <c r="D167" s="573">
        <f>'[62]Sch C'!F178</f>
        <v>0</v>
      </c>
      <c r="E167" s="171">
        <f t="shared" si="45"/>
        <v>0</v>
      </c>
      <c r="F167" s="216"/>
      <c r="G167" s="171">
        <f t="shared" si="46"/>
        <v>0</v>
      </c>
      <c r="H167" s="172">
        <f t="shared" si="47"/>
        <v>0</v>
      </c>
      <c r="I167" s="344"/>
      <c r="J167" s="222"/>
      <c r="K167" s="222"/>
      <c r="L167" s="218"/>
      <c r="M167" s="364">
        <f t="shared" si="48"/>
        <v>0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573">
        <f>'[62]Sch C'!D179</f>
        <v>0</v>
      </c>
      <c r="D168" s="573">
        <f>'[62]Sch C'!F179</f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343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573">
        <f>'[62]Sch C'!D180</f>
        <v>0</v>
      </c>
      <c r="D169" s="573">
        <f>'[62]Sch C'!F180</f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344"/>
      <c r="J169" s="222"/>
      <c r="K169" s="222"/>
      <c r="L169" s="218"/>
      <c r="M169" s="364">
        <f t="shared" si="48"/>
        <v>0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573">
        <f>'[62]Sch C'!D181</f>
        <v>0</v>
      </c>
      <c r="D170" s="573">
        <f>'[62]Sch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3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573">
        <f>'[62]Sch C'!D182</f>
        <v>0</v>
      </c>
      <c r="D171" s="573">
        <f>'[62]Sch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573">
        <f>'[62]Sch C'!D183</f>
        <v>0</v>
      </c>
      <c r="D172" s="573">
        <f>'[62]Sch C'!F183</f>
        <v>0</v>
      </c>
      <c r="E172" s="171">
        <f t="shared" si="45"/>
        <v>0</v>
      </c>
      <c r="F172" s="216"/>
      <c r="G172" s="171">
        <f t="shared" si="46"/>
        <v>0</v>
      </c>
      <c r="H172" s="172">
        <f t="shared" si="47"/>
        <v>0</v>
      </c>
      <c r="I172" s="343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573">
        <f>'[62]Sch C'!D184</f>
        <v>0</v>
      </c>
      <c r="D173" s="573">
        <f>'[62]Sch C'!F184</f>
        <v>0</v>
      </c>
      <c r="E173" s="171">
        <f t="shared" si="45"/>
        <v>0</v>
      </c>
      <c r="F173" s="216"/>
      <c r="G173" s="171">
        <f t="shared" si="46"/>
        <v>0</v>
      </c>
      <c r="H173" s="172">
        <f t="shared" si="47"/>
        <v>0</v>
      </c>
      <c r="I173" s="344"/>
      <c r="J173" s="222"/>
      <c r="K173" s="222"/>
      <c r="L173" s="218"/>
      <c r="M173" s="364">
        <f t="shared" si="48"/>
        <v>0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573">
        <f>'[62]Sch C'!D185</f>
        <v>0</v>
      </c>
      <c r="D174" s="573">
        <f>'[62]Sch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3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573">
        <f>'[62]Sch C'!D186</f>
        <v>0</v>
      </c>
      <c r="D175" s="573">
        <f>'[62]Sch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573">
        <f>'[62]Sch C'!D187</f>
        <v>0</v>
      </c>
      <c r="D176" s="573">
        <f>'[62]Sch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573">
        <f>'[62]Sch C'!D188</f>
        <v>0</v>
      </c>
      <c r="D177" s="573">
        <f>'[62]Sch C'!F188</f>
        <v>0</v>
      </c>
      <c r="E177" s="171">
        <f t="shared" si="45"/>
        <v>0</v>
      </c>
      <c r="F177" s="216"/>
      <c r="G177" s="171">
        <f t="shared" si="46"/>
        <v>0</v>
      </c>
      <c r="H177" s="172">
        <f t="shared" si="47"/>
        <v>0</v>
      </c>
      <c r="I177" s="337"/>
      <c r="J177" s="223"/>
      <c r="K177" s="218"/>
      <c r="L177" s="220"/>
      <c r="M177" s="364">
        <f t="shared" si="48"/>
        <v>0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573">
        <f>'[62]Sch C'!D189</f>
        <v>0</v>
      </c>
      <c r="D178" s="573">
        <f>'[62]Sch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337"/>
      <c r="J178" s="223"/>
      <c r="K178" s="218"/>
      <c r="L178" s="220"/>
      <c r="M178" s="364">
        <f t="shared" si="48"/>
        <v>0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573">
        <f>'[62]Sch C'!D190</f>
        <v>0</v>
      </c>
      <c r="D179" s="573">
        <f>'[62]Sch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573">
        <f>'[62]Sch C'!D191</f>
        <v>0</v>
      </c>
      <c r="D180" s="573">
        <f>'[62]Sch C'!F191</f>
        <v>0</v>
      </c>
      <c r="E180" s="171">
        <f t="shared" si="45"/>
        <v>0</v>
      </c>
      <c r="F180" s="216"/>
      <c r="G180" s="171">
        <f t="shared" si="46"/>
        <v>0</v>
      </c>
      <c r="H180" s="172">
        <f t="shared" si="47"/>
        <v>0</v>
      </c>
      <c r="I180" s="337"/>
      <c r="J180" s="223"/>
      <c r="K180" s="218"/>
      <c r="L180" s="220"/>
      <c r="M180" s="364">
        <f t="shared" si="48"/>
        <v>0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573">
        <f>'[62]Sch C'!D192</f>
        <v>0</v>
      </c>
      <c r="D181" s="573">
        <f>'[62]Sch C'!F192</f>
        <v>0</v>
      </c>
      <c r="E181" s="171">
        <f t="shared" si="45"/>
        <v>0</v>
      </c>
      <c r="F181" s="216"/>
      <c r="G181" s="171">
        <f t="shared" si="46"/>
        <v>0</v>
      </c>
      <c r="H181" s="172">
        <f t="shared" si="47"/>
        <v>0</v>
      </c>
      <c r="I181" s="337"/>
      <c r="J181" s="223"/>
      <c r="K181" s="218"/>
      <c r="L181" s="220"/>
      <c r="M181" s="364">
        <f t="shared" si="48"/>
        <v>0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573">
        <f>'[62]Sch C'!D193</f>
        <v>0</v>
      </c>
      <c r="D182" s="573">
        <f>'[62]Sch C'!F193</f>
        <v>0</v>
      </c>
      <c r="E182" s="171">
        <f t="shared" si="45"/>
        <v>0</v>
      </c>
      <c r="F182" s="216"/>
      <c r="G182" s="171">
        <f t="shared" si="46"/>
        <v>0</v>
      </c>
      <c r="H182" s="172">
        <f t="shared" si="47"/>
        <v>0</v>
      </c>
      <c r="I182" s="337"/>
      <c r="J182" s="223"/>
      <c r="K182" s="218"/>
      <c r="L182" s="220"/>
      <c r="M182" s="364">
        <f t="shared" si="48"/>
        <v>0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573">
        <f>'[62]Sch C'!D194</f>
        <v>763689.75</v>
      </c>
      <c r="D183" s="573">
        <f>'[62]Sch C'!F194</f>
        <v>-97170.03</v>
      </c>
      <c r="E183" s="171">
        <f t="shared" si="45"/>
        <v>666519.72</v>
      </c>
      <c r="F183" s="216"/>
      <c r="G183" s="171">
        <f t="shared" si="46"/>
        <v>666519.72</v>
      </c>
      <c r="H183" s="172">
        <f t="shared" si="47"/>
        <v>5.8492828934301057E-2</v>
      </c>
      <c r="I183" s="337"/>
      <c r="J183" s="223"/>
      <c r="K183" s="218"/>
      <c r="M183" s="364">
        <f t="shared" si="48"/>
        <v>17.555700363483115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573">
        <f>'[62]Sch C'!D195</f>
        <v>206772.69</v>
      </c>
      <c r="D184" s="573">
        <f>'[62]Sch C'!F195</f>
        <v>-26309.29</v>
      </c>
      <c r="E184" s="171">
        <f t="shared" si="45"/>
        <v>180463.4</v>
      </c>
      <c r="F184" s="216"/>
      <c r="G184" s="171">
        <f t="shared" si="46"/>
        <v>180463.4</v>
      </c>
      <c r="H184" s="172">
        <f t="shared" si="47"/>
        <v>1.5837213016146538E-2</v>
      </c>
      <c r="I184" s="337"/>
      <c r="J184" s="223"/>
      <c r="K184" s="218"/>
      <c r="M184" s="364">
        <f t="shared" si="48"/>
        <v>4.7532897855976399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573">
        <f>'[62]Sch C'!D196</f>
        <v>0</v>
      </c>
      <c r="D185" s="573">
        <f>'[62]Sch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573">
        <f>'[62]Sch C'!D197</f>
        <v>733823</v>
      </c>
      <c r="D186" s="573">
        <f>'[62]Sch C'!F197</f>
        <v>-93369.83</v>
      </c>
      <c r="E186" s="171">
        <f t="shared" si="45"/>
        <v>640453.17000000004</v>
      </c>
      <c r="F186" s="216"/>
      <c r="G186" s="171">
        <f t="shared" si="46"/>
        <v>640453.17000000004</v>
      </c>
      <c r="H186" s="172">
        <f t="shared" si="47"/>
        <v>5.6205265334446274E-2</v>
      </c>
      <c r="I186" s="337"/>
      <c r="J186" s="223"/>
      <c r="K186" s="218"/>
      <c r="M186" s="364">
        <f t="shared" si="48"/>
        <v>16.869124216404153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573">
        <f>'[62]Sch C'!D198</f>
        <v>120733.68</v>
      </c>
      <c r="D187" s="573">
        <f>'[62]Sch C'!F198</f>
        <v>0</v>
      </c>
      <c r="E187" s="171">
        <f t="shared" si="45"/>
        <v>120733.68</v>
      </c>
      <c r="F187" s="216"/>
      <c r="G187" s="171">
        <f t="shared" si="46"/>
        <v>120733.68</v>
      </c>
      <c r="H187" s="172">
        <f t="shared" si="47"/>
        <v>1.059541717812737E-2</v>
      </c>
      <c r="I187" s="337"/>
      <c r="J187" s="223"/>
      <c r="K187" s="218"/>
      <c r="M187" s="364">
        <f t="shared" si="48"/>
        <v>3.1800474108412788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573">
        <f>'[62]Sch C'!D199</f>
        <v>0</v>
      </c>
      <c r="D188" s="573">
        <f>'[62]Sch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7"/>
      <c r="J188" s="223"/>
      <c r="K188" s="218"/>
      <c r="M188" s="364">
        <f t="shared" si="48"/>
        <v>0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573">
        <f>'[62]Sch C'!D200</f>
        <v>0</v>
      </c>
      <c r="D189" s="573">
        <f>'[62]Sch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7"/>
      <c r="J189" s="223"/>
      <c r="K189" s="218"/>
      <c r="M189" s="364">
        <f t="shared" si="48"/>
        <v>0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573">
        <f>'[62]Sch C'!D201</f>
        <v>0</v>
      </c>
      <c r="D190" s="573">
        <f>'[62]Sch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7"/>
      <c r="J190" s="223"/>
      <c r="K190" s="218"/>
      <c r="M190" s="364">
        <f t="shared" si="48"/>
        <v>0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573">
        <f>'[62]Sch C'!D202</f>
        <v>0</v>
      </c>
      <c r="D191" s="573">
        <f>'[62]Sch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573">
        <f>'[62]Sch C'!D203</f>
        <v>0</v>
      </c>
      <c r="D192" s="573">
        <f>'[62]Sch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7"/>
      <c r="J192" s="223"/>
      <c r="K192" s="218"/>
      <c r="M192" s="364">
        <f t="shared" si="48"/>
        <v>0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573">
        <f>'[62]Sch C'!D204</f>
        <v>0</v>
      </c>
      <c r="D193" s="573">
        <f>'[62]Sch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573">
        <f>'[62]Sch C'!D205</f>
        <v>1032646.82</v>
      </c>
      <c r="D194" s="573">
        <f>'[62]Sch C'!F205</f>
        <v>-297434.78999999998</v>
      </c>
      <c r="E194" s="171">
        <f t="shared" si="45"/>
        <v>735212.03</v>
      </c>
      <c r="F194" s="216"/>
      <c r="G194" s="171">
        <f t="shared" si="46"/>
        <v>735212.03</v>
      </c>
      <c r="H194" s="172">
        <f t="shared" si="47"/>
        <v>6.4521169007918058E-2</v>
      </c>
      <c r="I194" s="337"/>
      <c r="J194" s="223"/>
      <c r="K194" s="218"/>
      <c r="M194" s="364">
        <f t="shared" si="48"/>
        <v>19.365011589316758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573">
        <f>'[62]Sch C'!D206</f>
        <v>84889.75</v>
      </c>
      <c r="D195" s="573">
        <f>'[62]Sch C'!F206</f>
        <v>0</v>
      </c>
      <c r="E195" s="171">
        <f t="shared" si="45"/>
        <v>84889.75</v>
      </c>
      <c r="F195" s="216"/>
      <c r="G195" s="171">
        <f t="shared" si="46"/>
        <v>84889.75</v>
      </c>
      <c r="H195" s="172">
        <f t="shared" si="47"/>
        <v>7.4498045234514341E-3</v>
      </c>
      <c r="I195" s="337"/>
      <c r="J195" s="223"/>
      <c r="K195" s="218"/>
      <c r="M195" s="364">
        <f t="shared" si="48"/>
        <v>2.2359413685929517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573">
        <f>'[62]Sch C'!D207</f>
        <v>6884.48</v>
      </c>
      <c r="D196" s="573">
        <f>'[62]Sch C'!F207</f>
        <v>0</v>
      </c>
      <c r="E196" s="171">
        <f t="shared" si="45"/>
        <v>6884.48</v>
      </c>
      <c r="F196" s="216"/>
      <c r="G196" s="171">
        <f t="shared" si="46"/>
        <v>6884.48</v>
      </c>
      <c r="H196" s="172">
        <f t="shared" si="47"/>
        <v>6.0417223805713796E-4</v>
      </c>
      <c r="I196" s="337"/>
      <c r="J196" s="223"/>
      <c r="K196" s="218"/>
      <c r="M196" s="364">
        <f t="shared" si="48"/>
        <v>0.1813327714270663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573">
        <f>SUM(C164:C196)</f>
        <v>2949440.17</v>
      </c>
      <c r="D197" s="573">
        <f>SUM(D164:D196)</f>
        <v>-514283.94</v>
      </c>
      <c r="E197" s="171">
        <f t="shared" ref="E197:F197" si="49">SUM(E164:E196)</f>
        <v>2435156.23</v>
      </c>
      <c r="F197" s="171">
        <f t="shared" si="49"/>
        <v>0</v>
      </c>
      <c r="G197" s="171">
        <f>SUM(G164:G196)</f>
        <v>2435156.23</v>
      </c>
      <c r="H197" s="172">
        <f>IF($G$208=0,0,G197/$G$208)</f>
        <v>0.21370587023244786</v>
      </c>
      <c r="I197" s="337"/>
      <c r="J197" s="168"/>
      <c r="K197" s="168"/>
      <c r="M197" s="364">
        <f>G197/G$228</f>
        <v>64.140447505662962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165"/>
      <c r="G198" s="165"/>
      <c r="H198" s="198"/>
      <c r="I198" s="341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1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573">
        <f>'[62]Sch C'!D211</f>
        <v>212146.66</v>
      </c>
      <c r="D200" s="573">
        <f>'[62]Sch C'!F211</f>
        <v>0</v>
      </c>
      <c r="E200" s="171">
        <f t="shared" ref="E200:E205" si="50">C200+D200</f>
        <v>212146.66</v>
      </c>
      <c r="F200" s="171"/>
      <c r="G200" s="171">
        <f t="shared" ref="G200:G205" si="51">E200+F200</f>
        <v>212146.66</v>
      </c>
      <c r="H200" s="172">
        <f t="shared" ref="H200:H206" si="52">IF($G$208=0,0,G200/$G$208)</f>
        <v>1.8617691150028284E-2</v>
      </c>
      <c r="I200" s="337"/>
      <c r="J200" s="183">
        <v>10795.35</v>
      </c>
      <c r="K200" s="183">
        <v>11594.64</v>
      </c>
      <c r="M200" s="364">
        <f t="shared" ref="M200:M205" si="53">G200/G$228</f>
        <v>5.5878064584101566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573">
        <f>'[62]Sch C'!D212</f>
        <v>50454.21</v>
      </c>
      <c r="D201" s="573">
        <f>'[62]Sch C'!F212</f>
        <v>0</v>
      </c>
      <c r="E201" s="171">
        <f t="shared" si="50"/>
        <v>50454.21</v>
      </c>
      <c r="F201" s="171"/>
      <c r="G201" s="171">
        <f t="shared" si="51"/>
        <v>50454.21</v>
      </c>
      <c r="H201" s="172">
        <f t="shared" si="52"/>
        <v>4.4277901853306033E-3</v>
      </c>
      <c r="I201" s="337"/>
      <c r="J201" s="168"/>
      <c r="K201" s="168"/>
      <c r="M201" s="364">
        <f t="shared" si="53"/>
        <v>1.328931412316283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573">
        <f>'[62]Sch C'!D213</f>
        <v>18850.689999999999</v>
      </c>
      <c r="D202" s="573">
        <f>'[62]Sch C'!F213</f>
        <v>0</v>
      </c>
      <c r="E202" s="171">
        <f t="shared" si="50"/>
        <v>18850.689999999999</v>
      </c>
      <c r="F202" s="171"/>
      <c r="G202" s="171">
        <f t="shared" si="51"/>
        <v>18850.689999999999</v>
      </c>
      <c r="H202" s="172">
        <f t="shared" si="52"/>
        <v>1.6543099211881376E-3</v>
      </c>
      <c r="I202" s="337"/>
      <c r="J202" s="168"/>
      <c r="K202" s="168"/>
      <c r="M202" s="364">
        <f t="shared" si="53"/>
        <v>0.49651503977242795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573">
        <f>'[62]Sch C'!D214</f>
        <v>0</v>
      </c>
      <c r="D203" s="573">
        <f>'[62]Sch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>
        <f t="shared" si="53"/>
        <v>0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573">
        <f>'[62]Sch C'!D215</f>
        <v>0</v>
      </c>
      <c r="D204" s="573">
        <f>'[62]Sch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573">
        <f>'[62]Sch C'!D216</f>
        <v>21640.400000000001</v>
      </c>
      <c r="D205" s="573">
        <f>'[62]Sch C'!F216</f>
        <v>0</v>
      </c>
      <c r="E205" s="171">
        <f t="shared" si="50"/>
        <v>21640.400000000001</v>
      </c>
      <c r="F205" s="171"/>
      <c r="G205" s="171">
        <f t="shared" si="51"/>
        <v>21640.400000000001</v>
      </c>
      <c r="H205" s="172">
        <f t="shared" si="52"/>
        <v>1.8991309293442192E-3</v>
      </c>
      <c r="I205" s="337"/>
      <c r="J205" s="168"/>
      <c r="K205" s="168"/>
      <c r="M205" s="364">
        <f t="shared" si="53"/>
        <v>0.56999420534162148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573">
        <f>SUM(C200:C205)</f>
        <v>303091.96000000002</v>
      </c>
      <c r="D206" s="573">
        <f>SUM(D200:D205)</f>
        <v>0</v>
      </c>
      <c r="E206" s="171">
        <f t="shared" ref="E206:F206" si="54">SUM(E200:E205)</f>
        <v>303091.96000000002</v>
      </c>
      <c r="F206" s="171">
        <f t="shared" si="54"/>
        <v>0</v>
      </c>
      <c r="G206" s="171">
        <f>SUM(G200:G205)</f>
        <v>303091.96000000002</v>
      </c>
      <c r="H206" s="172">
        <f t="shared" si="52"/>
        <v>2.6598922185891244E-2</v>
      </c>
      <c r="I206" s="337"/>
      <c r="J206" s="168"/>
      <c r="K206" s="168"/>
      <c r="M206" s="364">
        <f>G206/G$228</f>
        <v>7.9832471158404896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573">
        <f>SUM(C25:C206)/2</f>
        <v>12718999.140000001</v>
      </c>
      <c r="D208" s="573">
        <f>SUM(D25:D206)/2</f>
        <v>-1067662.9300000002</v>
      </c>
      <c r="E208" s="171">
        <f t="shared" ref="E208:F208" si="55">SUM(E25:E206)/2</f>
        <v>11651336.209999999</v>
      </c>
      <c r="F208" s="171">
        <f t="shared" si="55"/>
        <v>-256439.91</v>
      </c>
      <c r="G208" s="171">
        <f>SUM(G25:G206)/2</f>
        <v>11394896.299999999</v>
      </c>
      <c r="H208" s="172">
        <f>IF($G$208=0,0,G208/$G$208)</f>
        <v>1</v>
      </c>
      <c r="I208" s="337"/>
      <c r="J208" s="183">
        <f>SUM(J25:J200)</f>
        <v>252628.11000000002</v>
      </c>
      <c r="K208" s="183">
        <f>SUM(K25:K200)</f>
        <v>266842.14</v>
      </c>
      <c r="M208" s="364">
        <f>G208/G$228</f>
        <v>300.13423326133909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573">
        <f>'[62]Sch C'!D221</f>
        <v>12718999.43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573">
        <f>C208-C211</f>
        <v>-0.28999999910593033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619"/>
      <c r="D213" s="232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573">
        <f>C21-C208</f>
        <v>-1236983.0599999987</v>
      </c>
      <c r="D215" s="573">
        <f>D21-D208</f>
        <v>1067663.05</v>
      </c>
      <c r="E215" s="171">
        <f t="shared" ref="E215:F215" si="56">E21-E208</f>
        <v>-169320.00999999791</v>
      </c>
      <c r="F215" s="171">
        <f t="shared" si="56"/>
        <v>1832933.91</v>
      </c>
      <c r="G215" s="171">
        <f>G21-G208</f>
        <v>1663613.9000000022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</row>
    <row r="218" spans="1:14" ht="14" customHeight="1">
      <c r="A218" s="163"/>
      <c r="B218" s="233" t="s">
        <v>159</v>
      </c>
      <c r="C218" s="165"/>
      <c r="D218" s="165"/>
      <c r="E218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653">
        <f>'[62]Sch D'!C9</f>
        <v>18387</v>
      </c>
      <c r="D219" s="653"/>
      <c r="E219" s="235">
        <f t="shared" ref="E219:G227" si="57">C219+D219</f>
        <v>18387</v>
      </c>
      <c r="F219" s="234"/>
      <c r="G219" s="235">
        <f t="shared" si="57"/>
        <v>18387</v>
      </c>
      <c r="H219" s="172">
        <f t="shared" ref="H219:H228" si="58">IF($G$228=0,0,G219/$G$228)</f>
        <v>0.48430174366538481</v>
      </c>
      <c r="I219" s="337"/>
      <c r="J219" s="168"/>
      <c r="K219" s="168"/>
    </row>
    <row r="220" spans="1:14">
      <c r="A220" s="163"/>
      <c r="B220" s="170" t="s">
        <v>217</v>
      </c>
      <c r="C220" s="653">
        <f>'[62]Sch D'!D9</f>
        <v>46</v>
      </c>
      <c r="D220" s="653"/>
      <c r="E220" s="235">
        <f t="shared" ref="E220:E227" si="59">C220+D220</f>
        <v>46</v>
      </c>
      <c r="F220" s="234"/>
      <c r="G220" s="235">
        <f t="shared" si="57"/>
        <v>46</v>
      </c>
      <c r="H220" s="172">
        <f t="shared" si="58"/>
        <v>1.2116103882421113E-3</v>
      </c>
      <c r="I220" s="337"/>
      <c r="J220" s="168"/>
      <c r="K220" s="168"/>
    </row>
    <row r="221" spans="1:14">
      <c r="A221" s="163"/>
      <c r="B221" s="170" t="s">
        <v>72</v>
      </c>
      <c r="C221" s="653">
        <f>'[62]Sch D'!E9</f>
        <v>7797</v>
      </c>
      <c r="D221" s="653"/>
      <c r="E221" s="235">
        <f t="shared" si="59"/>
        <v>7797</v>
      </c>
      <c r="F221" s="234"/>
      <c r="G221" s="235">
        <f t="shared" si="57"/>
        <v>7797</v>
      </c>
      <c r="H221" s="172">
        <f t="shared" si="58"/>
        <v>0.20536796080703787</v>
      </c>
      <c r="I221" s="337"/>
      <c r="J221" s="168"/>
      <c r="K221" s="168"/>
    </row>
    <row r="222" spans="1:14">
      <c r="A222" s="163"/>
      <c r="B222" s="202" t="s">
        <v>334</v>
      </c>
      <c r="C222" s="653">
        <f>'[62]Sch D'!F9</f>
        <v>5262</v>
      </c>
      <c r="D222" s="653"/>
      <c r="E222" s="235">
        <f>C222+D222</f>
        <v>5262</v>
      </c>
      <c r="F222" s="234"/>
      <c r="G222" s="235">
        <f>E222+F222</f>
        <v>5262</v>
      </c>
      <c r="H222" s="172">
        <f t="shared" si="58"/>
        <v>0.13859769267239108</v>
      </c>
      <c r="I222" s="337"/>
      <c r="J222" s="168"/>
      <c r="K222" s="168"/>
    </row>
    <row r="223" spans="1:14">
      <c r="A223" s="163"/>
      <c r="B223" s="170" t="s">
        <v>73</v>
      </c>
      <c r="C223" s="653">
        <f>'[62]Sch D'!G9</f>
        <v>0</v>
      </c>
      <c r="D223" s="653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7"/>
      <c r="J223" s="168"/>
      <c r="K223" s="168"/>
    </row>
    <row r="224" spans="1:14">
      <c r="A224" s="163"/>
      <c r="B224" s="170" t="s">
        <v>74</v>
      </c>
      <c r="C224" s="653">
        <f>'[62]Sch D'!H9</f>
        <v>4329</v>
      </c>
      <c r="D224" s="653"/>
      <c r="E224" s="235">
        <f t="shared" si="59"/>
        <v>4329</v>
      </c>
      <c r="F224" s="234"/>
      <c r="G224" s="235">
        <f t="shared" si="57"/>
        <v>4329</v>
      </c>
      <c r="H224" s="172">
        <f t="shared" si="58"/>
        <v>0.11402307327608913</v>
      </c>
      <c r="I224" s="337"/>
      <c r="J224" s="168"/>
      <c r="K224" s="168"/>
    </row>
    <row r="225" spans="1:11">
      <c r="A225" s="163"/>
      <c r="B225" s="170" t="s">
        <v>236</v>
      </c>
      <c r="C225" s="653">
        <f>'[62]Sch D'!I9</f>
        <v>1491</v>
      </c>
      <c r="D225" s="653"/>
      <c r="E225" s="235">
        <f t="shared" si="59"/>
        <v>1491</v>
      </c>
      <c r="F225" s="234"/>
      <c r="G225" s="235">
        <f t="shared" si="57"/>
        <v>1491</v>
      </c>
      <c r="H225" s="172">
        <f t="shared" si="58"/>
        <v>3.927198019280409E-2</v>
      </c>
      <c r="I225" s="337"/>
      <c r="J225" s="168"/>
      <c r="K225" s="168"/>
    </row>
    <row r="226" spans="1:11">
      <c r="A226" s="163"/>
      <c r="B226" s="170" t="s">
        <v>235</v>
      </c>
      <c r="C226" s="653">
        <f>'[62]Sch D'!J9</f>
        <v>654</v>
      </c>
      <c r="D226" s="653"/>
      <c r="E226" s="235">
        <f>C226+D226</f>
        <v>654</v>
      </c>
      <c r="F226" s="234"/>
      <c r="G226" s="235">
        <f>E226+F226</f>
        <v>654</v>
      </c>
      <c r="H226" s="172">
        <f t="shared" si="58"/>
        <v>1.7225938998050888E-2</v>
      </c>
      <c r="I226" s="337"/>
      <c r="J226" s="168"/>
      <c r="K226" s="168"/>
    </row>
    <row r="227" spans="1:11">
      <c r="A227" s="163"/>
      <c r="B227" s="170" t="s">
        <v>179</v>
      </c>
      <c r="C227" s="653">
        <f>'[62]Sch D'!K9</f>
        <v>0</v>
      </c>
      <c r="D227" s="653"/>
      <c r="E227" s="235">
        <f t="shared" si="59"/>
        <v>0</v>
      </c>
      <c r="F227" s="234"/>
      <c r="G227" s="235">
        <f t="shared" si="57"/>
        <v>0</v>
      </c>
      <c r="H227" s="172">
        <f t="shared" si="58"/>
        <v>0</v>
      </c>
      <c r="I227" s="337"/>
      <c r="J227" s="168"/>
      <c r="K227" s="168"/>
    </row>
    <row r="228" spans="1:11" ht="13.5" thickBot="1">
      <c r="A228" s="163"/>
      <c r="B228" s="236" t="s">
        <v>75</v>
      </c>
      <c r="C228" s="653">
        <f>SUM(C219:C227)</f>
        <v>37966</v>
      </c>
      <c r="D228" s="653">
        <f>SUM(D219:D227)</f>
        <v>0</v>
      </c>
      <c r="E228" s="237">
        <f>SUM(E219:E227)</f>
        <v>37966</v>
      </c>
      <c r="F228" s="237">
        <f>SUM(F219:F227)</f>
        <v>0</v>
      </c>
      <c r="G228" s="237">
        <f>SUM(G219:G227)</f>
        <v>37966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620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619"/>
      <c r="D230" s="232"/>
      <c r="E230" s="232"/>
      <c r="F230" s="520" t="s">
        <v>522</v>
      </c>
      <c r="G230" s="232"/>
      <c r="H230" s="167"/>
      <c r="J230" s="168"/>
      <c r="K230" s="168"/>
    </row>
    <row r="231" spans="1:11">
      <c r="A231" s="163"/>
      <c r="B231" s="202" t="s">
        <v>219</v>
      </c>
      <c r="C231" s="654">
        <f>'[62]Sch D'!N22</f>
        <v>124</v>
      </c>
      <c r="D231" s="574"/>
      <c r="E231" s="235">
        <f>C231+D231</f>
        <v>124</v>
      </c>
      <c r="F231" s="521"/>
      <c r="G231" s="235">
        <f>E231+F231</f>
        <v>124</v>
      </c>
      <c r="H231" s="522" t="s">
        <v>521</v>
      </c>
      <c r="J231" s="168"/>
      <c r="K231" s="168"/>
    </row>
    <row r="232" spans="1:11" ht="15.5">
      <c r="A232" s="163"/>
      <c r="B232" s="202" t="s">
        <v>290</v>
      </c>
      <c r="C232" s="654">
        <f>'[62]Sch D'!N24</f>
        <v>124</v>
      </c>
      <c r="D232" s="574"/>
      <c r="E232" s="235">
        <f>C232+D232</f>
        <v>124</v>
      </c>
      <c r="F232" s="521"/>
      <c r="G232" s="235">
        <f>E232+F232</f>
        <v>124</v>
      </c>
      <c r="H232"/>
      <c r="J232" s="168"/>
      <c r="K232" s="168"/>
    </row>
    <row r="233" spans="1:11" ht="15.5">
      <c r="A233" s="163"/>
      <c r="B233" s="202" t="s">
        <v>76</v>
      </c>
      <c r="C233" s="654">
        <f>$C$4-$C$3+1</f>
        <v>365</v>
      </c>
      <c r="D233" s="489"/>
      <c r="E233" s="235">
        <f>C233+D233</f>
        <v>365</v>
      </c>
      <c r="F233" s="240"/>
      <c r="G233" s="235">
        <f>E233+F233</f>
        <v>365</v>
      </c>
      <c r="H233"/>
      <c r="J233" s="168"/>
      <c r="K233" s="168"/>
    </row>
    <row r="234" spans="1:11" ht="15.5">
      <c r="A234" s="163"/>
      <c r="B234" s="241"/>
      <c r="C234" s="621"/>
      <c r="D234" s="240"/>
      <c r="E234" s="243"/>
      <c r="F234" s="240"/>
      <c r="G234" s="243"/>
      <c r="H234"/>
      <c r="J234" s="168"/>
      <c r="K234" s="168"/>
    </row>
    <row r="235" spans="1:11" ht="26">
      <c r="A235" s="163"/>
      <c r="B235" s="244" t="s">
        <v>335</v>
      </c>
      <c r="C235" s="654">
        <f>'[62]Sch D'!N28</f>
        <v>45260</v>
      </c>
      <c r="D235" s="489"/>
      <c r="E235" s="234">
        <f>E231*E233</f>
        <v>45260</v>
      </c>
      <c r="F235" s="240"/>
      <c r="G235" s="234">
        <f>G231*G233</f>
        <v>45260</v>
      </c>
      <c r="H235" s="167"/>
      <c r="J235" s="168"/>
      <c r="K235" s="168"/>
    </row>
    <row r="236" spans="1:11" ht="26">
      <c r="A236" s="163"/>
      <c r="B236" s="244" t="s">
        <v>336</v>
      </c>
      <c r="C236" s="655">
        <f>'[62]Sch D'!N30</f>
        <v>0.83884224480777725</v>
      </c>
      <c r="D236" s="240"/>
      <c r="E236" s="245">
        <f>E228/E235</f>
        <v>0.83884224480777725</v>
      </c>
      <c r="F236" s="246"/>
      <c r="G236" s="245">
        <f>G228/G235</f>
        <v>0.83884224480777725</v>
      </c>
      <c r="H236" s="167"/>
      <c r="J236" s="168"/>
      <c r="K236" s="168"/>
    </row>
    <row r="237" spans="1:11" ht="26">
      <c r="A237" s="163"/>
      <c r="B237" s="244" t="s">
        <v>337</v>
      </c>
      <c r="C237" s="655">
        <f>'[62]Sch D'!N32</f>
        <v>0.40726911179849756</v>
      </c>
      <c r="D237" s="240"/>
      <c r="E237" s="245">
        <f>(E219+E220)/E235</f>
        <v>0.40726911179849756</v>
      </c>
      <c r="F237" s="246"/>
      <c r="G237" s="245">
        <f>(G219+G220)/G235</f>
        <v>0.40726911179849756</v>
      </c>
      <c r="H237" s="167"/>
      <c r="J237" s="168"/>
      <c r="K237" s="168"/>
    </row>
    <row r="238" spans="1:11" ht="26">
      <c r="A238" s="163"/>
      <c r="B238" s="244" t="s">
        <v>338</v>
      </c>
      <c r="C238" s="655">
        <f>'[62]Sch D'!N34</f>
        <v>0.48551335405362694</v>
      </c>
      <c r="D238" s="240"/>
      <c r="E238" s="245">
        <f>(E237/E236)</f>
        <v>0.48551335405362694</v>
      </c>
      <c r="F238" s="246"/>
      <c r="G238" s="245">
        <f>(G237/G236)</f>
        <v>0.48551335405362694</v>
      </c>
      <c r="H238" s="167"/>
      <c r="J238" s="168"/>
      <c r="K238" s="168"/>
    </row>
    <row r="239" spans="1:11">
      <c r="C239" s="459" t="s">
        <v>523</v>
      </c>
    </row>
    <row r="240" spans="1:11">
      <c r="C240" s="465"/>
    </row>
    <row r="241" spans="2:7">
      <c r="B241" s="148" t="s">
        <v>339</v>
      </c>
      <c r="C241" s="140" t="s">
        <v>528</v>
      </c>
      <c r="F241" s="142" t="s">
        <v>340</v>
      </c>
      <c r="G241" s="573">
        <f>'[62]Sch B'!C85</f>
        <v>289.24440440440446</v>
      </c>
    </row>
    <row r="242" spans="2:7">
      <c r="C242" s="465" t="s">
        <v>529</v>
      </c>
      <c r="F242" s="142" t="s">
        <v>341</v>
      </c>
      <c r="G242" s="573">
        <f>'[62]Sch B'!E85</f>
        <v>301.98064755838641</v>
      </c>
    </row>
    <row r="243" spans="2:7">
      <c r="C243" s="465" t="s">
        <v>530</v>
      </c>
      <c r="F243" s="142" t="s">
        <v>342</v>
      </c>
      <c r="G243" s="573">
        <f>'[62]Sch B'!G85</f>
        <v>314.08582564102568</v>
      </c>
    </row>
    <row r="244" spans="2:7">
      <c r="C244" s="465" t="s">
        <v>531</v>
      </c>
      <c r="F244" s="142" t="s">
        <v>343</v>
      </c>
      <c r="G244" s="573">
        <f>'[62]Sch B'!I85</f>
        <v>395.0310574948665</v>
      </c>
    </row>
    <row r="245" spans="2:7">
      <c r="F245" s="142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B13" sqref="B13"/>
      <pageMargins left="0.75" right="0.75" top="1" bottom="1" header="0.5" footer="0.5"/>
      <printOptions horizontalCentered="1"/>
      <pageSetup scale="70" orientation="portrait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r:id="rId3"/>
  <headerFooter alignWithMargins="0">
    <oddFooter>&amp;R&amp;D
&amp;T
&amp;F</oddFooter>
  </headerFooter>
  <ignoredErrors>
    <ignoredError sqref="C6:H6" numberStoredAsText="1"/>
  </ignoredError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E28CAB"/>
  </sheetPr>
  <dimension ref="A1:Q245"/>
  <sheetViews>
    <sheetView showGridLines="0" zoomScale="90" zoomScaleNormal="90" workbookViewId="0">
      <pane xSplit="2" ySplit="8" topLeftCell="C9" activePane="bottomRight" state="frozen"/>
      <selection activeCell="N1" sqref="N1"/>
      <selection pane="topRight" activeCell="N1" sqref="N1"/>
      <selection pane="bottomLeft" activeCell="N1" sqref="N1"/>
      <selection pane="bottomRight"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478"/>
      <c r="E1" s="478"/>
      <c r="F1" s="478"/>
      <c r="G1" s="478"/>
      <c r="H1" s="478"/>
      <c r="I1" s="479"/>
    </row>
    <row r="2" spans="1:14" ht="23">
      <c r="B2" s="143" t="s">
        <v>189</v>
      </c>
      <c r="C2" s="247" t="s">
        <v>459</v>
      </c>
      <c r="D2" s="247"/>
      <c r="E2" s="144"/>
    </row>
    <row r="3" spans="1:14">
      <c r="A3" s="145"/>
      <c r="B3" s="140" t="s">
        <v>79</v>
      </c>
      <c r="C3" s="495">
        <v>41821</v>
      </c>
      <c r="D3" s="443"/>
      <c r="E3" s="147"/>
    </row>
    <row r="4" spans="1:14">
      <c r="A4" s="145"/>
      <c r="B4" s="148" t="s">
        <v>80</v>
      </c>
      <c r="C4" s="495">
        <v>42185</v>
      </c>
      <c r="D4" s="144"/>
      <c r="E4" s="149"/>
      <c r="G4" s="150"/>
    </row>
    <row r="5" spans="1:14">
      <c r="A5" s="145"/>
      <c r="B5" s="148"/>
      <c r="C5" s="151"/>
      <c r="D5" s="144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144"/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573">
        <f>'[63]Sch B'!E10</f>
        <v>130170</v>
      </c>
      <c r="D11" s="573">
        <f>'[63]Sch B'!G10</f>
        <v>0</v>
      </c>
      <c r="E11" s="171">
        <f>C11+D11</f>
        <v>130170</v>
      </c>
      <c r="F11" s="171"/>
      <c r="G11" s="171">
        <f t="shared" ref="G11:G20" si="0">E11+F11</f>
        <v>130170</v>
      </c>
      <c r="H11" s="172">
        <f t="shared" ref="H11:H21" si="1">IF($G$21=0,0,G11/$G$21)</f>
        <v>2.1402453431125516E-2</v>
      </c>
      <c r="I11" s="337"/>
      <c r="J11" s="368" t="s">
        <v>344</v>
      </c>
      <c r="K11" s="369">
        <f>G21</f>
        <v>6082013</v>
      </c>
      <c r="M11" s="359">
        <f>IFERROR(G11/G219,0)</f>
        <v>180.54091539528432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573">
        <f>'[63]Sch B'!E15</f>
        <v>0</v>
      </c>
      <c r="D12" s="573">
        <f>'[63]Sch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7"/>
      <c r="J12" s="370" t="s">
        <v>345</v>
      </c>
      <c r="K12" s="371">
        <f>G208</f>
        <v>5790712.9299999997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573">
        <f>'[63]Sch B'!E21</f>
        <v>2862459</v>
      </c>
      <c r="D13" s="573">
        <f>'[63]Sch B'!G21</f>
        <v>0</v>
      </c>
      <c r="E13" s="171">
        <f t="shared" si="2"/>
        <v>2862459</v>
      </c>
      <c r="F13" s="171"/>
      <c r="G13" s="171">
        <f t="shared" si="0"/>
        <v>2862459</v>
      </c>
      <c r="H13" s="172">
        <f t="shared" si="1"/>
        <v>0.47064335442887084</v>
      </c>
      <c r="I13" s="337"/>
      <c r="J13" s="370" t="s">
        <v>346</v>
      </c>
      <c r="K13" s="371">
        <f>G228</f>
        <v>12439</v>
      </c>
      <c r="M13" s="359">
        <f t="shared" si="3"/>
        <v>581.56420154408772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573">
        <f>'[63]Sch B'!E27</f>
        <v>2229626</v>
      </c>
      <c r="D14" s="573">
        <f>'[63]Sch B'!G27</f>
        <v>0</v>
      </c>
      <c r="E14" s="171">
        <f t="shared" si="2"/>
        <v>2229626</v>
      </c>
      <c r="F14" s="175"/>
      <c r="G14" s="175">
        <f>E14+F14</f>
        <v>2229626</v>
      </c>
      <c r="H14" s="176">
        <f t="shared" si="1"/>
        <v>0.36659342885324314</v>
      </c>
      <c r="I14" s="338"/>
      <c r="J14" s="370" t="s">
        <v>347</v>
      </c>
      <c r="K14" s="371">
        <f>G231</f>
        <v>40</v>
      </c>
      <c r="M14" s="359">
        <f t="shared" si="3"/>
        <v>457.4530160032827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573">
        <f>'[63]Sch B'!E32</f>
        <v>0</v>
      </c>
      <c r="D15" s="573">
        <f>'[63]Sch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7"/>
      <c r="J15" s="370" t="s">
        <v>348</v>
      </c>
      <c r="K15" s="371">
        <f>G235</f>
        <v>14600</v>
      </c>
      <c r="M15" s="359">
        <f t="shared" si="3"/>
        <v>0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573">
        <f>'[63]Sch B'!E37</f>
        <v>785544</v>
      </c>
      <c r="D16" s="573">
        <f>'[63]Sch B'!G37</f>
        <v>0</v>
      </c>
      <c r="E16" s="171">
        <f t="shared" si="2"/>
        <v>785544</v>
      </c>
      <c r="F16" s="171"/>
      <c r="G16" s="171">
        <f t="shared" si="0"/>
        <v>785544</v>
      </c>
      <c r="H16" s="172">
        <f t="shared" si="1"/>
        <v>0.1291585532618888</v>
      </c>
      <c r="I16" s="337"/>
      <c r="J16" s="372"/>
      <c r="K16" s="371"/>
      <c r="M16" s="359">
        <f t="shared" si="3"/>
        <v>577.60588235294119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573">
        <f>'[63]Sch B'!E42</f>
        <v>0</v>
      </c>
      <c r="D17" s="573">
        <f>'[63]Sch B'!G42</f>
        <v>0</v>
      </c>
      <c r="E17" s="171">
        <f t="shared" si="2"/>
        <v>0</v>
      </c>
      <c r="F17" s="171"/>
      <c r="G17" s="171">
        <f>E17+F17</f>
        <v>0</v>
      </c>
      <c r="H17" s="172">
        <f t="shared" si="1"/>
        <v>0</v>
      </c>
      <c r="I17" s="337"/>
      <c r="J17" s="370" t="s">
        <v>156</v>
      </c>
      <c r="K17" s="371">
        <f>J208</f>
        <v>84801</v>
      </c>
      <c r="M17" s="359">
        <f t="shared" si="3"/>
        <v>0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573">
        <f>'[63]Sch B'!E47</f>
        <v>72982</v>
      </c>
      <c r="D18" s="573">
        <f>'[63]Sch B'!G47</f>
        <v>0</v>
      </c>
      <c r="E18" s="171">
        <f t="shared" si="2"/>
        <v>72982</v>
      </c>
      <c r="F18" s="171"/>
      <c r="G18" s="171">
        <f>E18+F18</f>
        <v>72982</v>
      </c>
      <c r="H18" s="172">
        <f t="shared" si="1"/>
        <v>1.1999645512102653E-2</v>
      </c>
      <c r="I18" s="337"/>
      <c r="J18" s="373" t="s">
        <v>252</v>
      </c>
      <c r="K18" s="374">
        <f>K208</f>
        <v>88632</v>
      </c>
      <c r="M18" s="359">
        <f t="shared" si="3"/>
        <v>218.50898203592814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573">
        <f>'[63]Sch B'!E52</f>
        <v>-3459</v>
      </c>
      <c r="D19" s="573">
        <f>'[63]Sch B'!G52</f>
        <v>0</v>
      </c>
      <c r="E19" s="171">
        <f t="shared" si="2"/>
        <v>-3459</v>
      </c>
      <c r="F19" s="171"/>
      <c r="G19" s="171">
        <f t="shared" si="0"/>
        <v>-3459</v>
      </c>
      <c r="H19" s="172">
        <f t="shared" si="1"/>
        <v>-5.6872617667867535E-4</v>
      </c>
      <c r="I19" s="337"/>
      <c r="J19" s="168"/>
      <c r="K19" s="168"/>
      <c r="M19" s="359">
        <f t="shared" si="3"/>
        <v>-15.171052631578947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573">
        <f>'[63]Sch B'!E67</f>
        <v>504691</v>
      </c>
      <c r="D20" s="573">
        <f>'[63]Sch B'!G67</f>
        <v>0</v>
      </c>
      <c r="E20" s="171">
        <f t="shared" si="2"/>
        <v>504691</v>
      </c>
      <c r="F20" s="171">
        <v>-500000</v>
      </c>
      <c r="G20" s="171">
        <f t="shared" si="0"/>
        <v>4691</v>
      </c>
      <c r="H20" s="172">
        <f t="shared" si="1"/>
        <v>7.712906894477207E-4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573">
        <f>SUM(C11:C20)</f>
        <v>6582013</v>
      </c>
      <c r="D21" s="573">
        <f>SUM(D11:D20)</f>
        <v>0</v>
      </c>
      <c r="E21" s="171">
        <f>SUM(E11:E20)</f>
        <v>6582013</v>
      </c>
      <c r="F21" s="171">
        <f>SUM(F11:F20)</f>
        <v>-500000</v>
      </c>
      <c r="G21" s="171">
        <f>SUM(G11:G20)</f>
        <v>6082013</v>
      </c>
      <c r="H21" s="172">
        <f t="shared" si="1"/>
        <v>1</v>
      </c>
      <c r="I21" s="337"/>
      <c r="J21" s="168"/>
      <c r="K21" s="168"/>
      <c r="M21" s="359">
        <f>IFERROR(G21/G228,0)</f>
        <v>488.94710185706248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4">
      <c r="A24" s="181" t="s">
        <v>161</v>
      </c>
      <c r="B24" s="148" t="s">
        <v>12</v>
      </c>
      <c r="M24" s="363"/>
      <c r="N24" s="363"/>
    </row>
    <row r="25" spans="1:14" s="167" customFormat="1">
      <c r="A25" s="169" t="s">
        <v>83</v>
      </c>
      <c r="B25" s="170" t="s">
        <v>14</v>
      </c>
      <c r="C25" s="573">
        <f>'[63]Sch C'!D10</f>
        <v>0</v>
      </c>
      <c r="D25" s="573">
        <f>'[63]Sch C'!F10</f>
        <v>99075</v>
      </c>
      <c r="E25" s="171">
        <f t="shared" ref="E25:E60" si="4">C25+D25</f>
        <v>99075</v>
      </c>
      <c r="F25" s="171"/>
      <c r="G25" s="182">
        <f>E25+F25</f>
        <v>99075</v>
      </c>
      <c r="H25" s="172">
        <f>IF($G$208=0,0,G25/$G$208)</f>
        <v>1.710929227500145E-2</v>
      </c>
      <c r="I25" s="337"/>
      <c r="J25" s="183">
        <v>1856</v>
      </c>
      <c r="K25" s="183">
        <v>2080</v>
      </c>
      <c r="M25" s="359">
        <f>G25/G$228</f>
        <v>7.9648685585658008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573">
        <f>'[63]Sch C'!D11</f>
        <v>0</v>
      </c>
      <c r="D26" s="573">
        <f>'[63]Sch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573">
        <f>'[63]Sch C'!D12</f>
        <v>109164</v>
      </c>
      <c r="D27" s="573">
        <f>'[63]Sch C'!F12</f>
        <v>0</v>
      </c>
      <c r="E27" s="171">
        <f t="shared" si="4"/>
        <v>109164</v>
      </c>
      <c r="F27" s="171"/>
      <c r="G27" s="171">
        <f t="shared" si="5"/>
        <v>109164</v>
      </c>
      <c r="H27" s="172">
        <f t="shared" si="6"/>
        <v>1.8851564793421732E-2</v>
      </c>
      <c r="I27" s="337"/>
      <c r="J27" s="185">
        <v>4501</v>
      </c>
      <c r="K27" s="185">
        <v>4723</v>
      </c>
      <c r="M27" s="359">
        <f t="shared" si="7"/>
        <v>8.7759466195031752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573">
        <f>'[63]Sch C'!D13</f>
        <v>23278</v>
      </c>
      <c r="D28" s="573">
        <f>'[63]Sch C'!F13</f>
        <v>11924</v>
      </c>
      <c r="E28" s="171">
        <f t="shared" si="4"/>
        <v>35202</v>
      </c>
      <c r="F28" s="171"/>
      <c r="G28" s="171">
        <f t="shared" si="5"/>
        <v>35202</v>
      </c>
      <c r="H28" s="172">
        <f t="shared" si="6"/>
        <v>6.07904422573405E-3</v>
      </c>
      <c r="I28" s="337"/>
      <c r="J28" s="168"/>
      <c r="K28" s="168"/>
      <c r="M28" s="359">
        <f t="shared" si="7"/>
        <v>2.8299702548436367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573">
        <f>'[63]Sch C'!D14</f>
        <v>0</v>
      </c>
      <c r="D29" s="573">
        <f>'[63]Sch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573">
        <f>'[63]Sch C'!D15</f>
        <v>0</v>
      </c>
      <c r="D30" s="573">
        <f>'[63]Sch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7"/>
      <c r="J30" s="168"/>
      <c r="K30" s="168"/>
      <c r="M30" s="359">
        <f t="shared" si="7"/>
        <v>0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573">
        <f>'[63]Sch C'!D16</f>
        <v>332082</v>
      </c>
      <c r="D31" s="573">
        <f>'[63]Sch C'!F16</f>
        <v>2745</v>
      </c>
      <c r="E31" s="171">
        <f t="shared" si="4"/>
        <v>334827</v>
      </c>
      <c r="F31" s="171"/>
      <c r="G31" s="171">
        <f t="shared" si="5"/>
        <v>334827</v>
      </c>
      <c r="H31" s="172">
        <f t="shared" si="6"/>
        <v>5.7821377790178249E-2</v>
      </c>
      <c r="I31" s="337"/>
      <c r="J31" s="168"/>
      <c r="K31" s="168"/>
      <c r="M31" s="359">
        <f t="shared" si="7"/>
        <v>26.917517485328403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573">
        <f>'[63]Sch C'!D17</f>
        <v>23844</v>
      </c>
      <c r="D32" s="573">
        <f>'[63]Sch C'!F17</f>
        <v>0</v>
      </c>
      <c r="E32" s="171">
        <f t="shared" si="4"/>
        <v>23844</v>
      </c>
      <c r="F32" s="171">
        <v>-1476</v>
      </c>
      <c r="G32" s="171">
        <f t="shared" si="5"/>
        <v>22368</v>
      </c>
      <c r="H32" s="172">
        <f t="shared" si="6"/>
        <v>3.8627368115794337E-3</v>
      </c>
      <c r="I32" s="337"/>
      <c r="J32" s="168"/>
      <c r="K32" s="168"/>
      <c r="M32" s="359">
        <f t="shared" si="7"/>
        <v>1.7982152906182169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573">
        <f>'[63]Sch C'!D18</f>
        <v>15592</v>
      </c>
      <c r="D33" s="573">
        <f>'[63]Sch C'!F18</f>
        <v>0</v>
      </c>
      <c r="E33" s="171">
        <f t="shared" si="4"/>
        <v>15592</v>
      </c>
      <c r="F33" s="171"/>
      <c r="G33" s="171">
        <f t="shared" si="5"/>
        <v>15592</v>
      </c>
      <c r="H33" s="172">
        <f t="shared" si="6"/>
        <v>2.6925872838942477E-3</v>
      </c>
      <c r="I33" s="337"/>
      <c r="J33" s="168"/>
      <c r="K33" s="168"/>
      <c r="M33" s="359">
        <f t="shared" si="7"/>
        <v>1.2534769676018973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573">
        <f>'[63]Sch C'!D19</f>
        <v>20048</v>
      </c>
      <c r="D34" s="573">
        <f>'[63]Sch C'!F19</f>
        <v>0</v>
      </c>
      <c r="E34" s="171">
        <f t="shared" si="4"/>
        <v>20048</v>
      </c>
      <c r="F34" s="171"/>
      <c r="G34" s="171">
        <f t="shared" si="5"/>
        <v>20048</v>
      </c>
      <c r="H34" s="172">
        <f t="shared" si="6"/>
        <v>3.4620952967875755E-3</v>
      </c>
      <c r="I34" s="337"/>
      <c r="J34" s="168"/>
      <c r="K34" s="168"/>
      <c r="M34" s="359">
        <f t="shared" si="7"/>
        <v>1.6117051209904334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573">
        <f>'[63]Sch C'!D20</f>
        <v>13070</v>
      </c>
      <c r="D35" s="573">
        <f>'[63]Sch C'!F20</f>
        <v>0</v>
      </c>
      <c r="E35" s="171">
        <f t="shared" si="4"/>
        <v>13070</v>
      </c>
      <c r="F35" s="171"/>
      <c r="G35" s="171">
        <f t="shared" si="5"/>
        <v>13070</v>
      </c>
      <c r="H35" s="172">
        <f t="shared" si="6"/>
        <v>2.2570623268662019E-3</v>
      </c>
      <c r="I35" s="337"/>
      <c r="J35" s="168"/>
      <c r="K35" s="168"/>
      <c r="M35" s="359">
        <f t="shared" si="7"/>
        <v>1.0507275504461773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573">
        <f>'[63]Sch C'!D21</f>
        <v>5771</v>
      </c>
      <c r="D36" s="573">
        <f>'[63]Sch C'!F21</f>
        <v>0</v>
      </c>
      <c r="E36" s="171">
        <f t="shared" si="4"/>
        <v>5771</v>
      </c>
      <c r="F36" s="171"/>
      <c r="G36" s="171">
        <f t="shared" si="5"/>
        <v>5771</v>
      </c>
      <c r="H36" s="172">
        <f t="shared" si="6"/>
        <v>9.9659576804474745E-4</v>
      </c>
      <c r="I36" s="337"/>
      <c r="J36" s="168"/>
      <c r="K36" s="168"/>
      <c r="M36" s="359">
        <f t="shared" si="7"/>
        <v>0.46394404694911168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573">
        <f>'[63]Sch C'!D22</f>
        <v>0</v>
      </c>
      <c r="D37" s="573">
        <f>'[63]Sch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573">
        <f>'[63]Sch C'!D23</f>
        <v>21010</v>
      </c>
      <c r="D38" s="573">
        <f>'[63]Sch C'!F23</f>
        <v>0</v>
      </c>
      <c r="E38" s="171">
        <f t="shared" si="4"/>
        <v>21010</v>
      </c>
      <c r="F38" s="171">
        <f>140-1656</f>
        <v>-1516</v>
      </c>
      <c r="G38" s="171">
        <f t="shared" si="5"/>
        <v>19494</v>
      </c>
      <c r="H38" s="172">
        <f t="shared" si="6"/>
        <v>3.3664248661002092E-3</v>
      </c>
      <c r="I38" s="337"/>
      <c r="J38" s="168"/>
      <c r="K38" s="168"/>
      <c r="M38" s="359">
        <f t="shared" si="7"/>
        <v>1.5671677787603504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573">
        <f>'[63]Sch C'!D24</f>
        <v>535</v>
      </c>
      <c r="D39" s="573">
        <f>'[63]Sch C'!F24</f>
        <v>0</v>
      </c>
      <c r="E39" s="171">
        <f t="shared" si="4"/>
        <v>535</v>
      </c>
      <c r="F39" s="171">
        <v>52476</v>
      </c>
      <c r="G39" s="171">
        <f t="shared" si="5"/>
        <v>53011</v>
      </c>
      <c r="H39" s="172">
        <f t="shared" si="6"/>
        <v>9.1544859226858621E-3</v>
      </c>
      <c r="I39" s="337"/>
      <c r="J39" s="168"/>
      <c r="K39" s="168"/>
      <c r="M39" s="359">
        <f t="shared" si="7"/>
        <v>4.2616769836803599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573">
        <f>'[63]Sch C'!D25</f>
        <v>0</v>
      </c>
      <c r="D40" s="573">
        <f>'[63]Sch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337"/>
      <c r="J40" s="168"/>
      <c r="K40" s="168"/>
      <c r="M40" s="359">
        <f t="shared" si="7"/>
        <v>0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573">
        <f>'[63]Sch C'!D26</f>
        <v>39590</v>
      </c>
      <c r="D41" s="573">
        <f>'[63]Sch C'!F26</f>
        <v>0</v>
      </c>
      <c r="E41" s="171">
        <f t="shared" si="4"/>
        <v>39590</v>
      </c>
      <c r="F41" s="171"/>
      <c r="G41" s="171">
        <f t="shared" si="5"/>
        <v>39590</v>
      </c>
      <c r="H41" s="172">
        <f t="shared" si="6"/>
        <v>6.8368092976765823E-3</v>
      </c>
      <c r="I41" s="337"/>
      <c r="J41" s="168"/>
      <c r="K41" s="168"/>
      <c r="M41" s="359">
        <f t="shared" si="7"/>
        <v>3.1827317308465313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573">
        <f>'[63]Sch C'!D27</f>
        <v>1344</v>
      </c>
      <c r="D42" s="573">
        <f>'[63]Sch C'!F27</f>
        <v>0</v>
      </c>
      <c r="E42" s="171">
        <f t="shared" si="4"/>
        <v>1344</v>
      </c>
      <c r="F42" s="171"/>
      <c r="G42" s="171">
        <f t="shared" si="5"/>
        <v>1344</v>
      </c>
      <c r="H42" s="172">
        <f t="shared" si="6"/>
        <v>2.3209577408631792E-4</v>
      </c>
      <c r="I42" s="337"/>
      <c r="J42" s="168"/>
      <c r="K42" s="168"/>
      <c r="M42" s="359">
        <f t="shared" si="7"/>
        <v>0.1080472706809229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573">
        <f>'[63]Sch C'!D28</f>
        <v>0</v>
      </c>
      <c r="D43" s="573">
        <f>'[63]Sch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573">
        <f>'[63]Sch C'!D29</f>
        <v>96315</v>
      </c>
      <c r="D44" s="573">
        <f>'[63]Sch C'!F29</f>
        <v>-96315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573">
        <f>'[63]Sch C'!D30</f>
        <v>-300</v>
      </c>
      <c r="D45" s="573">
        <f>'[63]Sch C'!F30</f>
        <v>300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573">
        <f>'[63]Sch C'!D31</f>
        <v>3677</v>
      </c>
      <c r="D46" s="573">
        <f>'[63]Sch C'!F31</f>
        <v>0</v>
      </c>
      <c r="E46" s="171">
        <f t="shared" si="4"/>
        <v>3677</v>
      </c>
      <c r="F46" s="171"/>
      <c r="G46" s="171">
        <f t="shared" si="5"/>
        <v>3677</v>
      </c>
      <c r="H46" s="172">
        <f t="shared" si="6"/>
        <v>6.3498226288347538E-4</v>
      </c>
      <c r="I46" s="337"/>
      <c r="J46" s="168"/>
      <c r="K46" s="168"/>
      <c r="M46" s="359">
        <f t="shared" si="7"/>
        <v>0.29560254039713801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573">
        <f>'[63]Sch C'!D32</f>
        <v>0</v>
      </c>
      <c r="D47" s="573">
        <f>'[63]Sch C'!F32</f>
        <v>5630</v>
      </c>
      <c r="E47" s="171">
        <f t="shared" si="4"/>
        <v>5630</v>
      </c>
      <c r="F47" s="171"/>
      <c r="G47" s="171">
        <f t="shared" si="5"/>
        <v>5630</v>
      </c>
      <c r="H47" s="172">
        <f t="shared" si="6"/>
        <v>9.7224643460265612E-4</v>
      </c>
      <c r="I47" s="337"/>
      <c r="J47" s="168"/>
      <c r="K47" s="168"/>
      <c r="M47" s="359">
        <f t="shared" si="7"/>
        <v>0.45260873060535411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573">
        <f>'[63]Sch C'!D33</f>
        <v>-85</v>
      </c>
      <c r="D48" s="573">
        <f>'[63]Sch C'!F33</f>
        <v>85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573">
        <f>'[63]Sch C'!D34</f>
        <v>0</v>
      </c>
      <c r="D49" s="573">
        <f>'[63]Sch C'!F34</f>
        <v>0</v>
      </c>
      <c r="E49" s="171">
        <f t="shared" si="4"/>
        <v>0</v>
      </c>
      <c r="F49" s="171"/>
      <c r="G49" s="171">
        <f t="shared" si="5"/>
        <v>0</v>
      </c>
      <c r="H49" s="172">
        <f t="shared" si="6"/>
        <v>0</v>
      </c>
      <c r="I49" s="337"/>
      <c r="J49" s="168"/>
      <c r="K49" s="168"/>
      <c r="M49" s="359">
        <f t="shared" si="7"/>
        <v>0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573">
        <f>'[63]Sch C'!D35</f>
        <v>2107</v>
      </c>
      <c r="D50" s="573">
        <f>'[63]Sch C'!F35</f>
        <v>-2107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573">
        <f>'[63]Sch C'!D36</f>
        <v>0</v>
      </c>
      <c r="D51" s="573">
        <f>'[63]Sch C'!F36</f>
        <v>0</v>
      </c>
      <c r="E51" s="171">
        <f t="shared" si="4"/>
        <v>0</v>
      </c>
      <c r="F51" s="171"/>
      <c r="G51" s="171">
        <f t="shared" si="5"/>
        <v>0</v>
      </c>
      <c r="H51" s="172">
        <f t="shared" si="6"/>
        <v>0</v>
      </c>
      <c r="I51" s="337"/>
      <c r="J51" s="183">
        <v>0</v>
      </c>
      <c r="K51" s="183">
        <v>0</v>
      </c>
      <c r="M51" s="359">
        <f t="shared" si="7"/>
        <v>0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573">
        <f>'[63]Sch C'!D37</f>
        <v>0</v>
      </c>
      <c r="D52" s="573">
        <f>'[63]Sch C'!F37</f>
        <v>0</v>
      </c>
      <c r="E52" s="171">
        <f t="shared" si="4"/>
        <v>0</v>
      </c>
      <c r="F52" s="171"/>
      <c r="G52" s="171">
        <f t="shared" si="5"/>
        <v>0</v>
      </c>
      <c r="H52" s="172">
        <f t="shared" si="6"/>
        <v>0</v>
      </c>
      <c r="I52" s="337"/>
      <c r="J52" s="168"/>
      <c r="K52" s="168"/>
      <c r="M52" s="359">
        <f t="shared" si="7"/>
        <v>0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573">
        <f>'[63]Sch C'!D38</f>
        <v>1096</v>
      </c>
      <c r="D53" s="573">
        <f>'[63]Sch C'!F38</f>
        <v>0</v>
      </c>
      <c r="E53" s="171">
        <f t="shared" si="4"/>
        <v>1096</v>
      </c>
      <c r="F53" s="171"/>
      <c r="G53" s="171">
        <f t="shared" si="5"/>
        <v>1096</v>
      </c>
      <c r="H53" s="172">
        <f t="shared" si="6"/>
        <v>1.8926857767753307E-4</v>
      </c>
      <c r="I53" s="337"/>
      <c r="J53" s="168"/>
      <c r="K53" s="168"/>
      <c r="M53" s="359">
        <f t="shared" si="7"/>
        <v>8.8109976686228803E-2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573">
        <f>'[63]Sch C'!D39</f>
        <v>6036</v>
      </c>
      <c r="D54" s="573">
        <f>'[63]Sch C'!F39</f>
        <v>0</v>
      </c>
      <c r="E54" s="171">
        <f t="shared" si="4"/>
        <v>6036</v>
      </c>
      <c r="F54" s="171"/>
      <c r="G54" s="171">
        <f t="shared" si="5"/>
        <v>6036</v>
      </c>
      <c r="H54" s="172">
        <f t="shared" si="6"/>
        <v>1.0423586996912313E-3</v>
      </c>
      <c r="I54" s="337"/>
      <c r="J54" s="168"/>
      <c r="K54" s="168"/>
      <c r="M54" s="359">
        <f t="shared" si="7"/>
        <v>0.48524801029021625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573">
        <f>'[63]Sch C'!D40</f>
        <v>10325</v>
      </c>
      <c r="D55" s="573">
        <f>'[63]Sch C'!F40</f>
        <v>0</v>
      </c>
      <c r="E55" s="171">
        <f t="shared" si="4"/>
        <v>10325</v>
      </c>
      <c r="F55" s="171"/>
      <c r="G55" s="171">
        <f t="shared" si="5"/>
        <v>10325</v>
      </c>
      <c r="H55" s="172">
        <f t="shared" si="6"/>
        <v>1.7830274311318693E-3</v>
      </c>
      <c r="I55" s="337"/>
      <c r="J55" s="168"/>
      <c r="K55" s="168"/>
      <c r="M55" s="359">
        <f t="shared" si="7"/>
        <v>0.8300506471581317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573">
        <f>'[63]Sch C'!D41</f>
        <v>79059</v>
      </c>
      <c r="D56" s="573">
        <f>'[63]Sch C'!F41</f>
        <v>-7022.07</v>
      </c>
      <c r="E56" s="171">
        <f t="shared" si="4"/>
        <v>72036.929999999993</v>
      </c>
      <c r="F56" s="171">
        <f>25654-2731+59668</f>
        <v>82591</v>
      </c>
      <c r="G56" s="171">
        <f t="shared" si="5"/>
        <v>154627.93</v>
      </c>
      <c r="H56" s="172">
        <f t="shared" si="6"/>
        <v>2.6702744872555789E-2</v>
      </c>
      <c r="I56" s="337"/>
      <c r="J56" s="168"/>
      <c r="K56" s="168"/>
      <c r="M56" s="359">
        <f t="shared" si="7"/>
        <v>12.430897178229761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573">
        <f>'[63]Sch C'!D42</f>
        <v>302</v>
      </c>
      <c r="D57" s="573">
        <f>'[63]Sch C'!F42</f>
        <v>0</v>
      </c>
      <c r="E57" s="171">
        <f t="shared" si="4"/>
        <v>302</v>
      </c>
      <c r="F57" s="171">
        <v>1989</v>
      </c>
      <c r="G57" s="171">
        <f t="shared" si="5"/>
        <v>2291</v>
      </c>
      <c r="H57" s="172">
        <f t="shared" si="6"/>
        <v>3.9563349585696009E-4</v>
      </c>
      <c r="I57" s="337"/>
      <c r="J57" s="168"/>
      <c r="K57" s="168"/>
      <c r="M57" s="359">
        <f t="shared" si="7"/>
        <v>0.1841787925074363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573">
        <f>'[63]Sch C'!D43</f>
        <v>0</v>
      </c>
      <c r="D58" s="573">
        <f>'[63]Sch C'!F43</f>
        <v>0</v>
      </c>
      <c r="E58" s="171">
        <f t="shared" si="4"/>
        <v>0</v>
      </c>
      <c r="F58" s="171"/>
      <c r="G58" s="171">
        <f t="shared" si="5"/>
        <v>0</v>
      </c>
      <c r="H58" s="172">
        <f t="shared" si="6"/>
        <v>0</v>
      </c>
      <c r="I58" s="337"/>
      <c r="J58" s="168"/>
      <c r="K58" s="168"/>
      <c r="M58" s="359">
        <f t="shared" si="7"/>
        <v>0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573">
        <f>'[63]Sch C'!D44</f>
        <v>0</v>
      </c>
      <c r="D59" s="573">
        <f>'[63]Sch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7"/>
      <c r="J59" s="168"/>
      <c r="K59" s="168"/>
      <c r="M59" s="359">
        <f t="shared" si="7"/>
        <v>0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573">
        <f>'[63]Sch C'!D45</f>
        <v>119163</v>
      </c>
      <c r="D60" s="573">
        <f>'[63]Sch C'!F45</f>
        <v>-110999</v>
      </c>
      <c r="E60" s="171">
        <f t="shared" si="4"/>
        <v>8164</v>
      </c>
      <c r="F60" s="171">
        <f>-2899-4500</f>
        <v>-7399</v>
      </c>
      <c r="G60" s="171">
        <f t="shared" si="5"/>
        <v>765</v>
      </c>
      <c r="H60" s="172">
        <f t="shared" si="6"/>
        <v>1.3210808569645327E-4</v>
      </c>
      <c r="I60" s="337"/>
      <c r="J60" s="168"/>
      <c r="K60" s="168"/>
      <c r="M60" s="359">
        <f t="shared" si="7"/>
        <v>6.1500120588471742E-2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573">
        <f>SUM(C25:C60)</f>
        <v>923023</v>
      </c>
      <c r="D61" s="573">
        <f>SUM(D25:D60)</f>
        <v>-96684.07</v>
      </c>
      <c r="E61" s="171">
        <f t="shared" ref="E61" si="8">SUM(E25:E60)</f>
        <v>826338.92999999993</v>
      </c>
      <c r="F61" s="171">
        <f>SUM(F25:F60)</f>
        <v>126665</v>
      </c>
      <c r="G61" s="171">
        <f>SUM(G25:G60)</f>
        <v>953003.92999999993</v>
      </c>
      <c r="H61" s="186">
        <f t="shared" si="6"/>
        <v>0.16457454229215263</v>
      </c>
      <c r="I61" s="339"/>
      <c r="J61" s="168"/>
      <c r="K61" s="168"/>
      <c r="M61" s="364">
        <f>G61/G$228</f>
        <v>76.61419165527775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I62" s="340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573">
        <f>'[63]Sch C'!D57</f>
        <v>488863</v>
      </c>
      <c r="D64" s="573">
        <f>'[63]Sch C'!F57</f>
        <v>0</v>
      </c>
      <c r="E64" s="171">
        <f t="shared" ref="E64:E78" si="9">C64+D64</f>
        <v>488863</v>
      </c>
      <c r="F64" s="171">
        <v>-488863</v>
      </c>
      <c r="G64" s="171">
        <f t="shared" ref="G64:G78" si="10">E64+F64</f>
        <v>0</v>
      </c>
      <c r="H64" s="172">
        <f t="shared" ref="H64:H79" si="11">IF($G$208=0,0,G64/$G$208)</f>
        <v>0</v>
      </c>
      <c r="I64" s="337"/>
      <c r="J64" s="190"/>
      <c r="K64" s="168"/>
      <c r="M64" s="359">
        <f t="shared" ref="M64:M79" si="12">G64/G$228</f>
        <v>0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573">
        <f>'[63]Sch C'!D58</f>
        <v>15408</v>
      </c>
      <c r="D65" s="573">
        <f>'[63]Sch C'!F58</f>
        <v>0</v>
      </c>
      <c r="E65" s="171">
        <f t="shared" si="9"/>
        <v>15408</v>
      </c>
      <c r="F65" s="171">
        <v>97751</v>
      </c>
      <c r="G65" s="171">
        <f t="shared" si="10"/>
        <v>113159</v>
      </c>
      <c r="H65" s="172">
        <f t="shared" si="11"/>
        <v>1.954146257428099E-2</v>
      </c>
      <c r="I65" s="337"/>
      <c r="J65" s="190"/>
      <c r="K65" s="168"/>
      <c r="M65" s="359">
        <f t="shared" si="12"/>
        <v>9.0971139159096399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573">
        <f>'[63]Sch C'!D59</f>
        <v>0</v>
      </c>
      <c r="D66" s="573">
        <f>'[63]Sch C'!F59</f>
        <v>0</v>
      </c>
      <c r="E66" s="171">
        <f t="shared" si="9"/>
        <v>0</v>
      </c>
      <c r="F66" s="171">
        <v>270463</v>
      </c>
      <c r="G66" s="171">
        <f t="shared" si="10"/>
        <v>270463</v>
      </c>
      <c r="H66" s="172">
        <f t="shared" si="11"/>
        <v>4.6706338799633783E-2</v>
      </c>
      <c r="I66" s="337"/>
      <c r="J66" s="190"/>
      <c r="K66" s="168"/>
      <c r="M66" s="359">
        <f t="shared" si="12"/>
        <v>21.743146555189323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573">
        <f>'[63]Sch C'!D60</f>
        <v>34800</v>
      </c>
      <c r="D67" s="573">
        <f>'[63]Sch C'!F60</f>
        <v>-34800</v>
      </c>
      <c r="E67" s="171">
        <f t="shared" si="9"/>
        <v>0</v>
      </c>
      <c r="F67" s="171"/>
      <c r="G67" s="171">
        <f t="shared" si="10"/>
        <v>0</v>
      </c>
      <c r="H67" s="172">
        <f t="shared" si="11"/>
        <v>0</v>
      </c>
      <c r="I67" s="337"/>
      <c r="J67" s="193"/>
      <c r="K67" s="168"/>
      <c r="M67" s="359">
        <f t="shared" si="12"/>
        <v>0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573">
        <f>'[63]Sch C'!D61</f>
        <v>11329</v>
      </c>
      <c r="D68" s="573">
        <f>'[63]Sch C'!F61</f>
        <v>-5630</v>
      </c>
      <c r="E68" s="171">
        <f t="shared" si="9"/>
        <v>5699</v>
      </c>
      <c r="F68" s="171"/>
      <c r="G68" s="171">
        <f t="shared" si="10"/>
        <v>5699</v>
      </c>
      <c r="H68" s="172">
        <f t="shared" si="11"/>
        <v>9.841620658615519E-4</v>
      </c>
      <c r="I68" s="337"/>
      <c r="J68" s="193"/>
      <c r="K68" s="168"/>
      <c r="M68" s="359">
        <f t="shared" si="12"/>
        <v>0.4581558003054908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573">
        <f>'[63]Sch C'!D62</f>
        <v>10920</v>
      </c>
      <c r="D69" s="573">
        <f>'[63]Sch C'!F62</f>
        <v>0</v>
      </c>
      <c r="E69" s="171">
        <f t="shared" si="9"/>
        <v>10920</v>
      </c>
      <c r="F69" s="171"/>
      <c r="G69" s="171">
        <f t="shared" si="10"/>
        <v>10920</v>
      </c>
      <c r="H69" s="172">
        <f t="shared" si="11"/>
        <v>1.885778164451333E-3</v>
      </c>
      <c r="I69" s="337"/>
      <c r="J69" s="195"/>
      <c r="K69" s="168"/>
      <c r="M69" s="359">
        <f t="shared" si="12"/>
        <v>0.87788407428249859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573">
        <f>'[63]Sch C'!D63</f>
        <v>0</v>
      </c>
      <c r="D70" s="573">
        <f>'[63]Sch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7"/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573">
        <f>'[63]Sch C'!D64</f>
        <v>0</v>
      </c>
      <c r="D71" s="573">
        <f>'[63]Sch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573">
        <f>'[63]Sch C'!D65</f>
        <v>4389</v>
      </c>
      <c r="D72" s="573">
        <f>'[63]Sch C'!F65</f>
        <v>0</v>
      </c>
      <c r="E72" s="171">
        <f t="shared" si="9"/>
        <v>4389</v>
      </c>
      <c r="F72" s="171"/>
      <c r="G72" s="171">
        <f t="shared" si="10"/>
        <v>4389</v>
      </c>
      <c r="H72" s="172">
        <f t="shared" si="11"/>
        <v>7.5793776225063195E-4</v>
      </c>
      <c r="I72" s="337"/>
      <c r="J72" s="195"/>
      <c r="K72" s="168"/>
      <c r="M72" s="359">
        <f t="shared" si="12"/>
        <v>0.35284186831738884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573">
        <f>'[63]Sch C'!D66</f>
        <v>64855</v>
      </c>
      <c r="D73" s="573">
        <f>'[63]Sch C'!F66</f>
        <v>-10649</v>
      </c>
      <c r="E73" s="171">
        <f t="shared" si="9"/>
        <v>54206</v>
      </c>
      <c r="F73" s="171">
        <v>-52476</v>
      </c>
      <c r="G73" s="171">
        <f t="shared" si="10"/>
        <v>1730</v>
      </c>
      <c r="H73" s="172">
        <f t="shared" si="11"/>
        <v>2.9875423301289433E-4</v>
      </c>
      <c r="I73" s="337"/>
      <c r="J73" s="195"/>
      <c r="K73" s="168"/>
      <c r="M73" s="359">
        <f t="shared" si="12"/>
        <v>0.13907870407589035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573">
        <f>'[63]Sch C'!D67</f>
        <v>27422</v>
      </c>
      <c r="D74" s="573">
        <f>'[63]Sch C'!F67</f>
        <v>0</v>
      </c>
      <c r="E74" s="171">
        <f t="shared" si="9"/>
        <v>27422</v>
      </c>
      <c r="F74" s="171">
        <v>92513</v>
      </c>
      <c r="G74" s="171">
        <f t="shared" si="10"/>
        <v>119935</v>
      </c>
      <c r="H74" s="172">
        <f t="shared" si="11"/>
        <v>2.0711612101966176E-2</v>
      </c>
      <c r="I74" s="337"/>
      <c r="J74" s="195"/>
      <c r="K74" s="168"/>
      <c r="M74" s="359">
        <f t="shared" si="12"/>
        <v>9.6418522389259582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573">
        <f>'[63]Sch C'!D68</f>
        <v>0</v>
      </c>
      <c r="D75" s="573">
        <f>'[63]Sch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573">
        <f>'[63]Sch C'!D69</f>
        <v>0</v>
      </c>
      <c r="D76" s="573">
        <f>'[63]Sch C'!F69</f>
        <v>34800</v>
      </c>
      <c r="E76" s="171">
        <f t="shared" si="9"/>
        <v>34800</v>
      </c>
      <c r="F76" s="171">
        <f>4838-34800</f>
        <v>-29962</v>
      </c>
      <c r="G76" s="171">
        <f t="shared" si="10"/>
        <v>4838</v>
      </c>
      <c r="H76" s="172">
        <f t="shared" si="11"/>
        <v>8.3547571058750455E-4</v>
      </c>
      <c r="I76" s="337"/>
      <c r="J76" s="195"/>
      <c r="K76" s="168"/>
      <c r="M76" s="359">
        <f t="shared" si="12"/>
        <v>0.38893801752552454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573">
        <f>'[63]Sch C'!D70</f>
        <v>0</v>
      </c>
      <c r="D77" s="573">
        <f>'[63]Sch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7"/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573">
        <f>'[63]Sch C'!D71</f>
        <v>0</v>
      </c>
      <c r="D78" s="573">
        <f>'[63]Sch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7"/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573">
        <f>SUM(C64:C78)</f>
        <v>657986</v>
      </c>
      <c r="D79" s="573">
        <f>SUM(D64:D78)</f>
        <v>-16279</v>
      </c>
      <c r="E79" s="171">
        <f t="shared" ref="E79" si="13">SUM(E64:E78)</f>
        <v>641707</v>
      </c>
      <c r="F79" s="171">
        <f>SUM(F64:F78)</f>
        <v>-110574</v>
      </c>
      <c r="G79" s="171">
        <f>SUM(G64:G78)</f>
        <v>531133</v>
      </c>
      <c r="H79" s="172">
        <f t="shared" si="11"/>
        <v>9.1721521412044857E-2</v>
      </c>
      <c r="I79" s="337"/>
      <c r="J79" s="195"/>
      <c r="K79" s="168"/>
      <c r="M79" s="359">
        <f t="shared" si="12"/>
        <v>42.699011174531712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573">
        <f>'[63]Sch C'!D75</f>
        <v>50103</v>
      </c>
      <c r="D82" s="573">
        <f>'[63]Sch C'!F75</f>
        <v>0</v>
      </c>
      <c r="E82" s="171">
        <f t="shared" ref="E82:E92" si="14">C82+D82</f>
        <v>50103</v>
      </c>
      <c r="F82" s="171"/>
      <c r="G82" s="171">
        <f t="shared" ref="G82:G92" si="15">E82+F82</f>
        <v>50103</v>
      </c>
      <c r="H82" s="172">
        <f t="shared" ref="H82:H93" si="16">IF($G$208=0,0,G82/$G$208)</f>
        <v>8.6523025067312392E-3</v>
      </c>
      <c r="I82" s="337"/>
      <c r="J82" s="183">
        <v>1984</v>
      </c>
      <c r="K82" s="183">
        <v>2144</v>
      </c>
      <c r="M82" s="359">
        <f t="shared" ref="M82:M92" si="17">G82/G$228</f>
        <v>4.0278961331296728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573">
        <f>'[63]Sch C'!D76</f>
        <v>10994</v>
      </c>
      <c r="D83" s="573">
        <f>'[63]Sch C'!F76</f>
        <v>0</v>
      </c>
      <c r="E83" s="171">
        <f t="shared" si="14"/>
        <v>10994</v>
      </c>
      <c r="F83" s="171"/>
      <c r="G83" s="171">
        <f t="shared" si="15"/>
        <v>10994</v>
      </c>
      <c r="H83" s="172">
        <f t="shared" si="16"/>
        <v>1.8985572472507285E-3</v>
      </c>
      <c r="I83" s="337"/>
      <c r="J83" s="168"/>
      <c r="K83" s="168"/>
      <c r="M83" s="359">
        <f t="shared" si="17"/>
        <v>0.88383310555510897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573">
        <f>'[63]Sch C'!D77</f>
        <v>13435</v>
      </c>
      <c r="D84" s="573">
        <f>'[63]Sch C'!F77</f>
        <v>0</v>
      </c>
      <c r="E84" s="171">
        <f t="shared" si="14"/>
        <v>13435</v>
      </c>
      <c r="F84" s="171"/>
      <c r="G84" s="171">
        <f t="shared" si="15"/>
        <v>13435</v>
      </c>
      <c r="H84" s="172">
        <f t="shared" si="16"/>
        <v>2.3200942893226795E-3</v>
      </c>
      <c r="I84" s="337"/>
      <c r="J84" s="168"/>
      <c r="K84" s="168"/>
      <c r="M84" s="359">
        <f t="shared" si="17"/>
        <v>1.0800707452367553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573">
        <f>'[63]Sch C'!D78</f>
        <v>0</v>
      </c>
      <c r="D85" s="573">
        <f>'[63]Sch C'!F78</f>
        <v>0</v>
      </c>
      <c r="E85" s="171">
        <f t="shared" si="14"/>
        <v>0</v>
      </c>
      <c r="F85" s="171">
        <f>1878+1047</f>
        <v>2925</v>
      </c>
      <c r="G85" s="171">
        <f t="shared" si="15"/>
        <v>2925</v>
      </c>
      <c r="H85" s="172">
        <f t="shared" si="16"/>
        <v>5.051191511923213E-4</v>
      </c>
      <c r="I85" s="337"/>
      <c r="J85" s="168"/>
      <c r="K85" s="168"/>
      <c r="M85" s="359">
        <f t="shared" si="17"/>
        <v>0.23514751989709784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573">
        <f>'[63]Sch C'!D79</f>
        <v>5970</v>
      </c>
      <c r="D86" s="573">
        <f>'[63]Sch C'!F79</f>
        <v>0</v>
      </c>
      <c r="E86" s="171">
        <f t="shared" si="14"/>
        <v>5970</v>
      </c>
      <c r="F86" s="171"/>
      <c r="G86" s="171">
        <f>E86+F86</f>
        <v>5970</v>
      </c>
      <c r="H86" s="172">
        <f t="shared" si="16"/>
        <v>1.0309611393566353E-3</v>
      </c>
      <c r="I86" s="337"/>
      <c r="J86" s="168"/>
      <c r="K86" s="168"/>
      <c r="M86" s="359">
        <f t="shared" si="17"/>
        <v>0.47994211753356381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573">
        <f>'[63]Sch C'!D80</f>
        <v>7353</v>
      </c>
      <c r="D87" s="573">
        <f>'[63]Sch C'!F80</f>
        <v>0</v>
      </c>
      <c r="E87" s="171">
        <f t="shared" si="14"/>
        <v>7353</v>
      </c>
      <c r="F87" s="171"/>
      <c r="G87" s="171">
        <f t="shared" si="15"/>
        <v>7353</v>
      </c>
      <c r="H87" s="172">
        <f t="shared" si="16"/>
        <v>1.2697918354588509E-3</v>
      </c>
      <c r="I87" s="337"/>
      <c r="J87" s="168"/>
      <c r="K87" s="168"/>
      <c r="M87" s="359">
        <f t="shared" si="17"/>
        <v>0.59112468847978128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573">
        <f>'[63]Sch C'!D81</f>
        <v>2878</v>
      </c>
      <c r="D88" s="573">
        <f>'[63]Sch C'!F81</f>
        <v>0</v>
      </c>
      <c r="E88" s="171">
        <f t="shared" si="14"/>
        <v>2878</v>
      </c>
      <c r="F88" s="171"/>
      <c r="G88" s="171">
        <f t="shared" si="15"/>
        <v>2878</v>
      </c>
      <c r="H88" s="172">
        <f t="shared" si="16"/>
        <v>4.9700270671162419E-4</v>
      </c>
      <c r="I88" s="337"/>
      <c r="J88" s="168"/>
      <c r="K88" s="168"/>
      <c r="M88" s="359">
        <f t="shared" si="17"/>
        <v>0.23136908111584534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573">
        <f>'[63]Sch C'!D82</f>
        <v>19549</v>
      </c>
      <c r="D89" s="573">
        <f>'[63]Sch C'!F82</f>
        <v>0</v>
      </c>
      <c r="E89" s="171">
        <f t="shared" si="14"/>
        <v>19549</v>
      </c>
      <c r="F89" s="171"/>
      <c r="G89" s="171">
        <f t="shared" si="15"/>
        <v>19549</v>
      </c>
      <c r="H89" s="172">
        <f t="shared" si="16"/>
        <v>3.3759228330457062E-3</v>
      </c>
      <c r="I89" s="337"/>
      <c r="J89" s="168"/>
      <c r="K89" s="168"/>
      <c r="M89" s="359">
        <f t="shared" si="17"/>
        <v>1.5715893560575609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573">
        <f>'[63]Sch C'!D83</f>
        <v>0</v>
      </c>
      <c r="D90" s="573">
        <f>'[63]Sch C'!F83</f>
        <v>0</v>
      </c>
      <c r="E90" s="171">
        <f t="shared" si="14"/>
        <v>0</v>
      </c>
      <c r="F90" s="171">
        <v>1656</v>
      </c>
      <c r="G90" s="171">
        <f t="shared" si="15"/>
        <v>1656</v>
      </c>
      <c r="H90" s="172">
        <f t="shared" si="16"/>
        <v>2.8597515021349886E-4</v>
      </c>
      <c r="I90" s="337"/>
      <c r="J90" s="168"/>
      <c r="K90" s="168"/>
      <c r="M90" s="359">
        <f t="shared" si="17"/>
        <v>0.13312967280328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573">
        <f>'[63]Sch C'!D84</f>
        <v>106583</v>
      </c>
      <c r="D91" s="573">
        <f>'[63]Sch C'!F84</f>
        <v>0</v>
      </c>
      <c r="E91" s="171">
        <f t="shared" si="14"/>
        <v>106583</v>
      </c>
      <c r="F91" s="171"/>
      <c r="G91" s="171">
        <f t="shared" si="15"/>
        <v>106583</v>
      </c>
      <c r="H91" s="172">
        <f t="shared" si="16"/>
        <v>1.8405851108215791E-2</v>
      </c>
      <c r="I91" s="337"/>
      <c r="J91" s="168"/>
      <c r="K91" s="168"/>
      <c r="M91" s="359">
        <f t="shared" si="17"/>
        <v>8.5684540557922659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573">
        <f>'[63]Sch C'!D85</f>
        <v>0</v>
      </c>
      <c r="D92" s="573">
        <f>'[63]Sch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7"/>
      <c r="J92" s="168"/>
      <c r="K92" s="168"/>
      <c r="M92" s="359">
        <f t="shared" si="17"/>
        <v>0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573">
        <f>SUM(C82:C92)</f>
        <v>216865</v>
      </c>
      <c r="D93" s="573">
        <f>SUM(D82:D92)</f>
        <v>0</v>
      </c>
      <c r="E93" s="171">
        <f t="shared" ref="E93" si="18">SUM(E82:E92)</f>
        <v>216865</v>
      </c>
      <c r="F93" s="171">
        <f>SUM(F82:F92)</f>
        <v>4581</v>
      </c>
      <c r="G93" s="171">
        <f>SUM(G82:G92)</f>
        <v>221446</v>
      </c>
      <c r="H93" s="172">
        <f t="shared" si="16"/>
        <v>3.8241577967499073E-2</v>
      </c>
      <c r="I93" s="337"/>
      <c r="J93" s="168"/>
      <c r="K93" s="168"/>
      <c r="M93" s="364">
        <f>G93/G$228</f>
        <v>17.802556475600934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573">
        <f>'[63]Sch C'!D89</f>
        <v>153067</v>
      </c>
      <c r="D96" s="573">
        <f>'[63]Sch C'!F89</f>
        <v>0</v>
      </c>
      <c r="E96" s="171">
        <f t="shared" ref="E96:E101" si="19">C96+D96</f>
        <v>153067</v>
      </c>
      <c r="F96" s="171"/>
      <c r="G96" s="171">
        <f t="shared" ref="G96:G101" si="20">E96+F96</f>
        <v>153067</v>
      </c>
      <c r="H96" s="172">
        <f t="shared" ref="H96:H102" si="21">IF($G$208=0,0,G96/$G$208)</f>
        <v>2.643318738993335E-2</v>
      </c>
      <c r="I96" s="337"/>
      <c r="J96" s="183">
        <v>10509</v>
      </c>
      <c r="K96" s="183">
        <v>10913</v>
      </c>
      <c r="M96" s="364">
        <f t="shared" ref="M96:M101" si="22">G96/G$228</f>
        <v>12.305410402765496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573">
        <f>'[63]Sch C'!D90</f>
        <v>23609</v>
      </c>
      <c r="D97" s="573">
        <f>'[63]Sch C'!F90</f>
        <v>0</v>
      </c>
      <c r="E97" s="171">
        <f t="shared" si="19"/>
        <v>23609</v>
      </c>
      <c r="F97" s="171"/>
      <c r="G97" s="171">
        <f t="shared" si="20"/>
        <v>23609</v>
      </c>
      <c r="H97" s="172">
        <f t="shared" si="21"/>
        <v>4.0770454839314579E-3</v>
      </c>
      <c r="I97" s="337"/>
      <c r="J97" s="168"/>
      <c r="K97" s="168"/>
      <c r="M97" s="364">
        <f t="shared" si="22"/>
        <v>1.8979821529061822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573">
        <f>'[63]Sch C'!D91</f>
        <v>38039</v>
      </c>
      <c r="D98" s="573">
        <f>'[63]Sch C'!F91</f>
        <v>0</v>
      </c>
      <c r="E98" s="171">
        <f t="shared" si="19"/>
        <v>38039</v>
      </c>
      <c r="F98" s="171"/>
      <c r="G98" s="171">
        <f t="shared" si="20"/>
        <v>38039</v>
      </c>
      <c r="H98" s="172">
        <f t="shared" si="21"/>
        <v>6.568966629813577E-3</v>
      </c>
      <c r="I98" s="337"/>
      <c r="J98" s="168"/>
      <c r="K98" s="168"/>
      <c r="M98" s="364">
        <f t="shared" si="22"/>
        <v>3.058043251065198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573">
        <f>'[63]Sch C'!D92</f>
        <v>117656</v>
      </c>
      <c r="D99" s="573">
        <f>'[63]Sch C'!F92</f>
        <v>0</v>
      </c>
      <c r="E99" s="171">
        <f t="shared" si="19"/>
        <v>117656</v>
      </c>
      <c r="F99" s="171"/>
      <c r="G99" s="171">
        <f t="shared" si="20"/>
        <v>117656</v>
      </c>
      <c r="H99" s="172">
        <f t="shared" si="21"/>
        <v>2.0318050889806413E-2</v>
      </c>
      <c r="I99" s="337"/>
      <c r="J99" s="168"/>
      <c r="K99" s="168"/>
      <c r="M99" s="364">
        <f t="shared" si="22"/>
        <v>9.4586381541924585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573">
        <f>'[63]Sch C'!D93</f>
        <v>15317</v>
      </c>
      <c r="D100" s="573">
        <f>'[63]Sch C'!F93</f>
        <v>0</v>
      </c>
      <c r="E100" s="171">
        <f t="shared" si="19"/>
        <v>15317</v>
      </c>
      <c r="F100" s="171"/>
      <c r="G100" s="171">
        <f t="shared" si="20"/>
        <v>15317</v>
      </c>
      <c r="H100" s="172">
        <f t="shared" si="21"/>
        <v>2.6450974491667644E-3</v>
      </c>
      <c r="I100" s="337"/>
      <c r="J100" s="168"/>
      <c r="K100" s="168"/>
      <c r="M100" s="364">
        <f t="shared" si="22"/>
        <v>1.2313690811158453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573">
        <f>'[63]Sch C'!D94</f>
        <v>2018</v>
      </c>
      <c r="D101" s="573">
        <f>'[63]Sch C'!F94</f>
        <v>0</v>
      </c>
      <c r="E101" s="171">
        <f t="shared" si="19"/>
        <v>2018</v>
      </c>
      <c r="F101" s="171">
        <v>-2018</v>
      </c>
      <c r="G101" s="171">
        <f t="shared" si="20"/>
        <v>0</v>
      </c>
      <c r="H101" s="172">
        <f t="shared" si="21"/>
        <v>0</v>
      </c>
      <c r="I101" s="337"/>
      <c r="J101" s="168"/>
      <c r="K101" s="168"/>
      <c r="M101" s="364">
        <f t="shared" si="22"/>
        <v>0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573">
        <f>SUM(C96:C101)</f>
        <v>349706</v>
      </c>
      <c r="D102" s="573">
        <f>SUM(D96:D101)</f>
        <v>0</v>
      </c>
      <c r="E102" s="171">
        <f t="shared" ref="E102" si="23">SUM(E96:E101)</f>
        <v>349706</v>
      </c>
      <c r="F102" s="171">
        <f>SUM(F96:F101)</f>
        <v>-2018</v>
      </c>
      <c r="G102" s="171">
        <f>SUM(G96:G101)</f>
        <v>347688</v>
      </c>
      <c r="H102" s="172">
        <f t="shared" si="21"/>
        <v>6.0042347842651562E-2</v>
      </c>
      <c r="I102" s="337"/>
      <c r="J102" s="168"/>
      <c r="K102" s="168"/>
      <c r="M102" s="364">
        <f>G102/G$228</f>
        <v>27.951443042045181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573">
        <f>'[63]Sch C'!D98</f>
        <v>13355</v>
      </c>
      <c r="D105" s="573">
        <f>'[63]Sch C'!F98</f>
        <v>0</v>
      </c>
      <c r="E105" s="171">
        <f t="shared" ref="E105:E110" si="24">C105+D105</f>
        <v>13355</v>
      </c>
      <c r="F105" s="171"/>
      <c r="G105" s="171">
        <f t="shared" ref="G105:G110" si="25">E105+F105</f>
        <v>13355</v>
      </c>
      <c r="H105" s="172">
        <f t="shared" ref="H105:H111" si="26">IF($G$208=0,0,G105/$G$208)</f>
        <v>2.3062790646746845E-3</v>
      </c>
      <c r="I105" s="337"/>
      <c r="J105" s="183">
        <v>1267</v>
      </c>
      <c r="K105" s="183">
        <v>1267</v>
      </c>
      <c r="M105" s="364">
        <f t="shared" ref="M105:M110" si="27">G105/G$228</f>
        <v>1.0736393600771765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573">
        <f>'[63]Sch C'!D99</f>
        <v>1701</v>
      </c>
      <c r="D106" s="573">
        <f>'[63]Sch C'!F99</f>
        <v>0</v>
      </c>
      <c r="E106" s="171">
        <f t="shared" si="24"/>
        <v>1701</v>
      </c>
      <c r="F106" s="171"/>
      <c r="G106" s="171">
        <f t="shared" si="25"/>
        <v>1701</v>
      </c>
      <c r="H106" s="172">
        <f t="shared" si="26"/>
        <v>2.9374621407799611E-4</v>
      </c>
      <c r="I106" s="337"/>
      <c r="J106" s="168"/>
      <c r="K106" s="168"/>
      <c r="M106" s="364">
        <f t="shared" si="27"/>
        <v>0.13674732695554306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573">
        <f>'[63]Sch C'!D100</f>
        <v>154</v>
      </c>
      <c r="D107" s="573">
        <f>'[63]Sch C'!F100</f>
        <v>0</v>
      </c>
      <c r="E107" s="171">
        <f t="shared" si="24"/>
        <v>154</v>
      </c>
      <c r="F107" s="171"/>
      <c r="G107" s="171">
        <f t="shared" si="25"/>
        <v>154</v>
      </c>
      <c r="H107" s="172">
        <f t="shared" si="26"/>
        <v>2.6594307447390595E-5</v>
      </c>
      <c r="I107" s="337"/>
      <c r="J107" s="168"/>
      <c r="K107" s="168"/>
      <c r="M107" s="364">
        <f t="shared" si="27"/>
        <v>1.2380416432189083E-2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573">
        <f>'[63]Sch C'!D101</f>
        <v>0</v>
      </c>
      <c r="D108" s="573">
        <f>'[63]Sch C'!F101</f>
        <v>0</v>
      </c>
      <c r="E108" s="171">
        <f t="shared" si="24"/>
        <v>0</v>
      </c>
      <c r="F108" s="171"/>
      <c r="G108" s="171">
        <f t="shared" si="25"/>
        <v>0</v>
      </c>
      <c r="H108" s="172">
        <f t="shared" si="26"/>
        <v>0</v>
      </c>
      <c r="I108" s="337"/>
      <c r="J108" s="168"/>
      <c r="K108" s="168"/>
      <c r="M108" s="364">
        <f t="shared" si="27"/>
        <v>0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573">
        <f>'[63]Sch C'!D102</f>
        <v>3179</v>
      </c>
      <c r="D109" s="573">
        <f>'[63]Sch C'!F102</f>
        <v>0</v>
      </c>
      <c r="E109" s="171">
        <f t="shared" si="24"/>
        <v>3179</v>
      </c>
      <c r="F109" s="171"/>
      <c r="G109" s="171">
        <f t="shared" si="25"/>
        <v>3179</v>
      </c>
      <c r="H109" s="172">
        <f t="shared" si="26"/>
        <v>5.4898248944970586E-4</v>
      </c>
      <c r="I109" s="337"/>
      <c r="J109" s="168"/>
      <c r="K109" s="168"/>
      <c r="M109" s="364">
        <f t="shared" si="27"/>
        <v>0.25556716777876037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573">
        <f>'[63]Sch C'!D103</f>
        <v>709</v>
      </c>
      <c r="D110" s="573">
        <f>'[63]Sch C'!F103</f>
        <v>0</v>
      </c>
      <c r="E110" s="171">
        <f t="shared" si="24"/>
        <v>709</v>
      </c>
      <c r="F110" s="171"/>
      <c r="G110" s="171">
        <f t="shared" si="25"/>
        <v>709</v>
      </c>
      <c r="H110" s="172">
        <f t="shared" si="26"/>
        <v>1.2243742844285669E-4</v>
      </c>
      <c r="I110" s="337"/>
      <c r="J110" s="168"/>
      <c r="K110" s="168"/>
      <c r="M110" s="364">
        <f t="shared" si="27"/>
        <v>5.6998150976766623E-2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573">
        <f>SUM(C105:C110)</f>
        <v>19098</v>
      </c>
      <c r="D111" s="573">
        <f>SUM(D105:D110)</f>
        <v>0</v>
      </c>
      <c r="E111" s="171">
        <f t="shared" ref="E111" si="28">SUM(E105:E110)</f>
        <v>19098</v>
      </c>
      <c r="F111" s="171">
        <f>SUM(F105:F110)</f>
        <v>0</v>
      </c>
      <c r="G111" s="171">
        <f>SUM(G105:G110)</f>
        <v>19098</v>
      </c>
      <c r="H111" s="172">
        <f t="shared" si="26"/>
        <v>3.2980395040926335E-3</v>
      </c>
      <c r="I111" s="337"/>
      <c r="J111" s="168"/>
      <c r="K111" s="168"/>
      <c r="M111" s="364">
        <f>G111/G$228</f>
        <v>1.5353324222204356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573">
        <f>'[63]Sch C'!D115</f>
        <v>42419</v>
      </c>
      <c r="D114" s="573">
        <f>'[63]Sch C'!F115</f>
        <v>0</v>
      </c>
      <c r="E114" s="171">
        <f t="shared" ref="E114:E118" si="29">C114+D114</f>
        <v>42419</v>
      </c>
      <c r="F114" s="171"/>
      <c r="G114" s="171">
        <f>E114+F114</f>
        <v>42419</v>
      </c>
      <c r="H114" s="172">
        <f t="shared" ref="H114:H119" si="30">IF($G$208=0,0,G114/$G$208)</f>
        <v>7.3253501792913088E-3</v>
      </c>
      <c r="I114" s="337"/>
      <c r="J114" s="183">
        <v>4065</v>
      </c>
      <c r="K114" s="183">
        <v>4260</v>
      </c>
      <c r="M114" s="364">
        <f t="shared" ref="M114:M119" si="31">G114/G$228</f>
        <v>3.4101615885521346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573">
        <f>'[63]Sch C'!D116</f>
        <v>5477</v>
      </c>
      <c r="D115" s="573">
        <f>'[63]Sch C'!F116</f>
        <v>0</v>
      </c>
      <c r="E115" s="171">
        <f t="shared" si="29"/>
        <v>5477</v>
      </c>
      <c r="F115" s="171"/>
      <c r="G115" s="171">
        <f>E115+F115</f>
        <v>5477</v>
      </c>
      <c r="H115" s="172">
        <f t="shared" si="30"/>
        <v>9.458248174633655E-4</v>
      </c>
      <c r="I115" s="337"/>
      <c r="J115" s="168"/>
      <c r="K115" s="168"/>
      <c r="M115" s="364">
        <f t="shared" si="31"/>
        <v>0.4403087064876598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573">
        <f>'[63]Sch C'!D117</f>
        <v>8648</v>
      </c>
      <c r="D116" s="573">
        <f>'[63]Sch C'!F117</f>
        <v>0</v>
      </c>
      <c r="E116" s="171">
        <f t="shared" si="29"/>
        <v>8648</v>
      </c>
      <c r="F116" s="171"/>
      <c r="G116" s="171">
        <f>E116+F116</f>
        <v>8648</v>
      </c>
      <c r="H116" s="172">
        <f t="shared" si="30"/>
        <v>1.4934257844482718E-3</v>
      </c>
      <c r="I116" s="337"/>
      <c r="J116" s="168"/>
      <c r="K116" s="168"/>
      <c r="M116" s="364">
        <f t="shared" si="31"/>
        <v>0.69523273575046229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573">
        <f>'[63]Sch C'!D118</f>
        <v>7570</v>
      </c>
      <c r="D117" s="573">
        <f>'[63]Sch C'!F118</f>
        <v>0</v>
      </c>
      <c r="E117" s="171">
        <f t="shared" si="29"/>
        <v>7570</v>
      </c>
      <c r="F117" s="171"/>
      <c r="G117" s="171">
        <f>E117+F117</f>
        <v>7570</v>
      </c>
      <c r="H117" s="172">
        <f t="shared" si="30"/>
        <v>1.3072656323165376E-3</v>
      </c>
      <c r="I117" s="337"/>
      <c r="J117" s="168"/>
      <c r="K117" s="168"/>
      <c r="M117" s="364">
        <f t="shared" si="31"/>
        <v>0.60856982072513865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573">
        <f>'[63]Sch C'!D119</f>
        <v>75</v>
      </c>
      <c r="D118" s="573">
        <f>'[63]Sch C'!F119</f>
        <v>0</v>
      </c>
      <c r="E118" s="171">
        <f t="shared" si="29"/>
        <v>75</v>
      </c>
      <c r="F118" s="171"/>
      <c r="G118" s="171">
        <f>E118+F118</f>
        <v>75</v>
      </c>
      <c r="H118" s="172">
        <f t="shared" si="30"/>
        <v>1.295177310749542E-5</v>
      </c>
      <c r="I118" s="337"/>
      <c r="J118" s="168"/>
      <c r="K118" s="168"/>
      <c r="M118" s="364">
        <f t="shared" si="31"/>
        <v>6.0294235871050728E-3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573">
        <f>SUM(C114:C118)</f>
        <v>64189</v>
      </c>
      <c r="D119" s="573">
        <f>SUM(D114:D118)</f>
        <v>0</v>
      </c>
      <c r="E119" s="171">
        <f t="shared" ref="E119" si="32">SUM(E114:E118)</f>
        <v>64189</v>
      </c>
      <c r="F119" s="171">
        <f>SUM(F114:F118)</f>
        <v>0</v>
      </c>
      <c r="G119" s="171">
        <f>SUM(G114:G118)</f>
        <v>64189</v>
      </c>
      <c r="H119" s="172">
        <f t="shared" si="30"/>
        <v>1.1084818186626979E-2</v>
      </c>
      <c r="I119" s="337"/>
      <c r="J119" s="168"/>
      <c r="K119" s="168"/>
      <c r="M119" s="364">
        <f t="shared" si="31"/>
        <v>5.1603022751025005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1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573">
        <f>'[63]Sch C'!D124</f>
        <v>0</v>
      </c>
      <c r="D123" s="573">
        <f>'[63]Sch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7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0.77002560279620991</v>
      </c>
    </row>
    <row r="124" spans="1:14" s="167" customFormat="1">
      <c r="B124" s="163" t="s">
        <v>194</v>
      </c>
      <c r="C124" s="573">
        <f>'[63]Sch C'!D125</f>
        <v>368348</v>
      </c>
      <c r="D124" s="573">
        <f>'[63]Sch C'!F125</f>
        <v>0</v>
      </c>
      <c r="E124" s="171">
        <f t="shared" si="33"/>
        <v>368348</v>
      </c>
      <c r="F124" s="171">
        <v>2899</v>
      </c>
      <c r="G124" s="171">
        <f>E124+F124</f>
        <v>371247</v>
      </c>
      <c r="H124" s="172">
        <f>IF($G$208=0,0,G124/$G$208)</f>
        <v>6.4110758811178031E-2</v>
      </c>
      <c r="I124" s="337"/>
      <c r="J124" s="183">
        <v>0</v>
      </c>
      <c r="K124" s="183">
        <v>0</v>
      </c>
      <c r="M124" s="364">
        <f t="shared" si="34"/>
        <v>29.845405579226625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573">
        <f>'[63]Sch C'!D126</f>
        <v>0</v>
      </c>
      <c r="D125" s="573">
        <f>'[63]Sch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7"/>
      <c r="J125" s="183">
        <v>0</v>
      </c>
      <c r="K125" s="183">
        <v>0</v>
      </c>
      <c r="M125" s="364">
        <f t="shared" si="34"/>
        <v>0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573">
        <f>'[63]Sch C'!D127</f>
        <v>0</v>
      </c>
      <c r="D126" s="573">
        <f>'[63]Sch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7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573">
        <f>'[63]Sch C'!D128</f>
        <v>0</v>
      </c>
      <c r="D127" s="573">
        <f>'[63]Sch C'!F128</f>
        <v>0</v>
      </c>
      <c r="E127" s="171">
        <f t="shared" si="33"/>
        <v>0</v>
      </c>
      <c r="F127" s="171"/>
      <c r="G127" s="171">
        <f>E127+F127</f>
        <v>0</v>
      </c>
      <c r="H127" s="172">
        <f>IF($G$208=0,0,G127/$G$208)</f>
        <v>0</v>
      </c>
      <c r="I127" s="337"/>
      <c r="J127" s="183">
        <v>0</v>
      </c>
      <c r="K127" s="183">
        <v>0</v>
      </c>
      <c r="M127" s="364">
        <f t="shared" si="34"/>
        <v>0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205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573">
        <f>'[63]Sch C'!D130</f>
        <v>0</v>
      </c>
      <c r="D129" s="573">
        <f>'[63]Sch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7"/>
      <c r="J129" s="204"/>
      <c r="K129" s="204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573">
        <f>'[63]Sch C'!D131</f>
        <v>74987</v>
      </c>
      <c r="D130" s="573">
        <f>'[63]Sch C'!F131</f>
        <v>0</v>
      </c>
      <c r="E130" s="171">
        <f t="shared" si="35"/>
        <v>74987</v>
      </c>
      <c r="F130" s="171"/>
      <c r="G130" s="171">
        <f>E130+F130</f>
        <v>74987</v>
      </c>
      <c r="H130" s="172">
        <f>IF($G$208=0,0,G130/$G$208)</f>
        <v>1.294952813349012E-2</v>
      </c>
      <c r="I130" s="337"/>
      <c r="J130" s="204"/>
      <c r="K130" s="204"/>
      <c r="M130" s="364">
        <f t="shared" si="34"/>
        <v>6.0283784870166413</v>
      </c>
      <c r="N130" s="359">
        <f>SUMMARY!J133</f>
        <v>1.0792348507966931</v>
      </c>
    </row>
    <row r="131" spans="1:14" s="167" customFormat="1">
      <c r="B131" s="163" t="s">
        <v>195</v>
      </c>
      <c r="C131" s="573">
        <f>'[63]Sch C'!D132</f>
        <v>0</v>
      </c>
      <c r="D131" s="573">
        <f>'[63]Sch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7"/>
      <c r="J131" s="168"/>
      <c r="K131" s="168"/>
      <c r="M131" s="364">
        <f t="shared" si="34"/>
        <v>0</v>
      </c>
      <c r="N131" s="359">
        <f>SUMMARY!J134</f>
        <v>8.2765628075518377E-2</v>
      </c>
    </row>
    <row r="132" spans="1:14" s="167" customFormat="1">
      <c r="B132" s="163" t="s">
        <v>196</v>
      </c>
      <c r="C132" s="573">
        <f>'[63]Sch C'!D133</f>
        <v>0</v>
      </c>
      <c r="D132" s="573">
        <f>'[63]Sch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573">
        <f>'[63]Sch C'!D134</f>
        <v>0</v>
      </c>
      <c r="D133" s="573">
        <f>'[63]Sch C'!F134</f>
        <v>0</v>
      </c>
      <c r="E133" s="171">
        <f t="shared" si="35"/>
        <v>0</v>
      </c>
      <c r="F133" s="171"/>
      <c r="G133" s="171">
        <f>E133+F133</f>
        <v>0</v>
      </c>
      <c r="H133" s="172">
        <f>IF($G$208=0,0,G133/$G$208)</f>
        <v>0</v>
      </c>
      <c r="I133" s="337"/>
      <c r="J133" s="168"/>
      <c r="K133" s="168"/>
      <c r="M133" s="364">
        <f t="shared" si="34"/>
        <v>0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573">
        <f>'[63]Sch C'!D136</f>
        <v>369775</v>
      </c>
      <c r="D135" s="573">
        <f>'[63]Sch C'!F136</f>
        <v>0</v>
      </c>
      <c r="E135" s="171">
        <f t="shared" ref="E135:E138" si="36">C135+D135</f>
        <v>369775</v>
      </c>
      <c r="F135" s="171"/>
      <c r="G135" s="171">
        <f>E135+F135</f>
        <v>369775</v>
      </c>
      <c r="H135" s="172">
        <f>IF($G$208=0,0,G135/$G$208)</f>
        <v>6.3856558677654912E-2</v>
      </c>
      <c r="I135" s="337"/>
      <c r="J135" s="183">
        <v>14753</v>
      </c>
      <c r="K135" s="183">
        <v>15584</v>
      </c>
      <c r="M135" s="364">
        <f t="shared" si="34"/>
        <v>29.727068092290377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573">
        <f>'[63]Sch C'!D137</f>
        <v>174214</v>
      </c>
      <c r="D136" s="573">
        <f>'[63]Sch C'!F137</f>
        <v>0</v>
      </c>
      <c r="E136" s="171">
        <f t="shared" si="36"/>
        <v>174214</v>
      </c>
      <c r="F136" s="171"/>
      <c r="G136" s="171">
        <f>E136+F136</f>
        <v>174214</v>
      </c>
      <c r="H136" s="172">
        <f>IF($G$208=0,0,G136/$G$208)</f>
        <v>3.0085069335322758E-2</v>
      </c>
      <c r="I136" s="337"/>
      <c r="J136" s="183">
        <v>5686</v>
      </c>
      <c r="K136" s="183">
        <v>5919</v>
      </c>
      <c r="M136" s="364">
        <f t="shared" si="34"/>
        <v>14.005466677385641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573">
        <f>'[63]Sch C'!D138</f>
        <v>322084</v>
      </c>
      <c r="D137" s="573">
        <f>'[63]Sch C'!F138</f>
        <v>0</v>
      </c>
      <c r="E137" s="171">
        <f t="shared" si="36"/>
        <v>322084</v>
      </c>
      <c r="F137" s="171"/>
      <c r="G137" s="171">
        <f>E137+F137</f>
        <v>322084</v>
      </c>
      <c r="H137" s="172">
        <f>IF($G$208=0,0,G137/$G$208)</f>
        <v>5.5620785194060725E-2</v>
      </c>
      <c r="I137" s="337"/>
      <c r="J137" s="183">
        <v>34506</v>
      </c>
      <c r="K137" s="183">
        <v>35849</v>
      </c>
      <c r="M137" s="364">
        <f t="shared" si="34"/>
        <v>25.893078221722003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573">
        <f>'[63]Sch C'!D139</f>
        <v>86436</v>
      </c>
      <c r="D138" s="573">
        <f>'[63]Sch C'!F139</f>
        <v>0</v>
      </c>
      <c r="E138" s="171">
        <f t="shared" si="36"/>
        <v>86436</v>
      </c>
      <c r="F138" s="171"/>
      <c r="G138" s="171">
        <f>E138+F138</f>
        <v>86436</v>
      </c>
      <c r="H138" s="172">
        <f>IF($G$208=0,0,G138/$G$208)</f>
        <v>1.4926659470926321E-2</v>
      </c>
      <c r="I138" s="337"/>
      <c r="J138" s="183">
        <v>0</v>
      </c>
      <c r="K138" s="183">
        <v>0</v>
      </c>
      <c r="M138" s="364">
        <f t="shared" si="34"/>
        <v>6.9487900956668547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7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573">
        <f>'[63]Sch C'!D141</f>
        <v>55650</v>
      </c>
      <c r="D140" s="573">
        <f>'[63]Sch C'!F141</f>
        <v>0</v>
      </c>
      <c r="E140" s="171">
        <f t="shared" ref="E140:E143" si="37">C140+D140</f>
        <v>55650</v>
      </c>
      <c r="F140" s="171"/>
      <c r="G140" s="171">
        <f>E140+F140</f>
        <v>55650</v>
      </c>
      <c r="H140" s="172">
        <f>IF($G$208=0,0,G140/$G$208)</f>
        <v>9.6102156457616005E-3</v>
      </c>
      <c r="I140" s="337"/>
      <c r="J140" s="168"/>
      <c r="K140" s="168"/>
      <c r="M140" s="364">
        <f t="shared" si="34"/>
        <v>4.4738323016319637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573">
        <f>'[63]Sch C'!D142</f>
        <v>20147</v>
      </c>
      <c r="D141" s="573">
        <f>'[63]Sch C'!F142</f>
        <v>0</v>
      </c>
      <c r="E141" s="171">
        <f t="shared" si="37"/>
        <v>20147</v>
      </c>
      <c r="F141" s="171"/>
      <c r="G141" s="171">
        <f>E141+F141</f>
        <v>20147</v>
      </c>
      <c r="H141" s="172">
        <f>IF($G$208=0,0,G141/$G$208)</f>
        <v>3.4791916372894694E-3</v>
      </c>
      <c r="I141" s="337"/>
      <c r="J141" s="168"/>
      <c r="K141" s="168"/>
      <c r="M141" s="364">
        <f t="shared" si="34"/>
        <v>1.6196639601254119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573">
        <f>'[63]Sch C'!D143</f>
        <v>57551</v>
      </c>
      <c r="D142" s="573">
        <f>'[63]Sch C'!F143</f>
        <v>0</v>
      </c>
      <c r="E142" s="171">
        <f t="shared" si="37"/>
        <v>57551</v>
      </c>
      <c r="F142" s="171"/>
      <c r="G142" s="171">
        <f>E142+F142</f>
        <v>57551</v>
      </c>
      <c r="H142" s="172">
        <f>IF($G$208=0,0,G142/$G$208)</f>
        <v>9.9384999214595857E-3</v>
      </c>
      <c r="I142" s="337"/>
      <c r="J142" s="168"/>
      <c r="K142" s="168"/>
      <c r="M142" s="364">
        <f t="shared" si="34"/>
        <v>4.6266580914864539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573">
        <f>'[63]Sch C'!D144</f>
        <v>0</v>
      </c>
      <c r="D143" s="573">
        <f>'[63]Sch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7"/>
      <c r="J143" s="168"/>
      <c r="K143" s="168"/>
      <c r="M143" s="364">
        <f t="shared" si="34"/>
        <v>0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7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573">
        <f>'[63]Sch C'!D146</f>
        <v>95668</v>
      </c>
      <c r="D145" s="573">
        <f>'[63]Sch C'!F146</f>
        <v>0</v>
      </c>
      <c r="E145" s="171">
        <f t="shared" ref="E145:E153" si="38">C145+D145</f>
        <v>95668</v>
      </c>
      <c r="F145" s="171">
        <f>-1498-59668</f>
        <v>-61166</v>
      </c>
      <c r="G145" s="171">
        <f t="shared" ref="G145:G153" si="39">E145+F145</f>
        <v>34502</v>
      </c>
      <c r="H145" s="172">
        <f t="shared" ref="H145:H153" si="40">IF($G$208=0,0,G145/$G$208)</f>
        <v>5.9581610100640928E-3</v>
      </c>
      <c r="I145" s="337"/>
      <c r="J145" s="183">
        <v>3868</v>
      </c>
      <c r="K145" s="183">
        <v>3939</v>
      </c>
      <c r="M145" s="364">
        <f t="shared" si="34"/>
        <v>2.7736956346973227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573">
        <f>'[63]Sch C'!D147</f>
        <v>0</v>
      </c>
      <c r="D146" s="573">
        <f>'[63]Sch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337"/>
      <c r="J146" s="183">
        <v>0</v>
      </c>
      <c r="K146" s="183">
        <v>0</v>
      </c>
      <c r="M146" s="364">
        <f t="shared" si="34"/>
        <v>0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573">
        <f>'[63]Sch C'!D148</f>
        <v>0</v>
      </c>
      <c r="D147" s="573">
        <f>'[63]Sch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7"/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573">
        <f>'[63]Sch C'!D149</f>
        <v>0</v>
      </c>
      <c r="D148" s="573">
        <f>'[63]Sch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7"/>
      <c r="J148" s="183">
        <v>0</v>
      </c>
      <c r="K148" s="183">
        <v>0</v>
      </c>
      <c r="M148" s="364">
        <f t="shared" si="34"/>
        <v>0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573">
        <f>'[63]Sch C'!D150</f>
        <v>5703</v>
      </c>
      <c r="D149" s="573">
        <f>'[63]Sch C'!F150</f>
        <v>0</v>
      </c>
      <c r="E149" s="171">
        <f t="shared" si="38"/>
        <v>5703</v>
      </c>
      <c r="F149" s="171">
        <f>1498+12881</f>
        <v>14379</v>
      </c>
      <c r="G149" s="171">
        <f t="shared" si="39"/>
        <v>20082</v>
      </c>
      <c r="H149" s="172">
        <f t="shared" si="40"/>
        <v>3.4679667672629735E-3</v>
      </c>
      <c r="I149" s="337"/>
      <c r="J149" s="183">
        <v>0</v>
      </c>
      <c r="K149" s="183">
        <v>0</v>
      </c>
      <c r="M149" s="364">
        <f t="shared" si="34"/>
        <v>1.6144384596832544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573">
        <f>'[63]Sch C'!D151</f>
        <v>108588</v>
      </c>
      <c r="D150" s="573">
        <f>'[63]Sch C'!F151</f>
        <v>0</v>
      </c>
      <c r="E150" s="171">
        <f t="shared" si="38"/>
        <v>108588</v>
      </c>
      <c r="F150" s="171">
        <f>-1047-1686</f>
        <v>-2733</v>
      </c>
      <c r="G150" s="171">
        <f t="shared" si="39"/>
        <v>105855</v>
      </c>
      <c r="H150" s="172">
        <f t="shared" si="40"/>
        <v>1.8280132563919034E-2</v>
      </c>
      <c r="I150" s="337"/>
      <c r="J150" s="168"/>
      <c r="K150" s="168"/>
      <c r="M150" s="364">
        <f t="shared" si="34"/>
        <v>8.5099284508400999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573">
        <f>'[63]Sch C'!D152</f>
        <v>2505</v>
      </c>
      <c r="D151" s="573">
        <f>'[63]Sch C'!F152</f>
        <v>0</v>
      </c>
      <c r="E151" s="171">
        <f t="shared" si="38"/>
        <v>2505</v>
      </c>
      <c r="F151" s="171"/>
      <c r="G151" s="171">
        <f t="shared" si="39"/>
        <v>2505</v>
      </c>
      <c r="H151" s="172">
        <f t="shared" si="40"/>
        <v>4.3258922179034698E-4</v>
      </c>
      <c r="I151" s="337"/>
      <c r="J151" s="168"/>
      <c r="K151" s="168"/>
      <c r="M151" s="364">
        <f t="shared" si="34"/>
        <v>0.20138274780930943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573">
        <f>'[63]Sch C'!D153</f>
        <v>4569</v>
      </c>
      <c r="D152" s="573">
        <f>'[63]Sch C'!F153</f>
        <v>0</v>
      </c>
      <c r="E152" s="171">
        <f t="shared" si="38"/>
        <v>4569</v>
      </c>
      <c r="F152" s="171"/>
      <c r="G152" s="171">
        <f t="shared" si="39"/>
        <v>4569</v>
      </c>
      <c r="H152" s="172">
        <f t="shared" si="40"/>
        <v>7.8902201770862093E-4</v>
      </c>
      <c r="I152" s="337"/>
      <c r="J152" s="168"/>
      <c r="K152" s="168"/>
      <c r="M152" s="364">
        <f t="shared" si="34"/>
        <v>0.36731248492644103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573">
        <f>'[63]Sch C'!D154</f>
        <v>0</v>
      </c>
      <c r="D153" s="573">
        <f>'[63]Sch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210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573">
        <f>'[63]Sch C'!D156</f>
        <v>0</v>
      </c>
      <c r="D155" s="573">
        <f>'[63]Sch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573">
        <f>'[63]Sch C'!D157</f>
        <v>584</v>
      </c>
      <c r="D156" s="573">
        <f>'[63]Sch C'!F157</f>
        <v>0</v>
      </c>
      <c r="E156" s="171">
        <f t="shared" si="41"/>
        <v>584</v>
      </c>
      <c r="F156" s="171"/>
      <c r="G156" s="171">
        <f t="shared" si="42"/>
        <v>584</v>
      </c>
      <c r="H156" s="172">
        <f t="shared" si="43"/>
        <v>1.0085113993036433E-4</v>
      </c>
      <c r="I156" s="337"/>
      <c r="J156" s="168"/>
      <c r="K156" s="168"/>
      <c r="M156" s="364">
        <f t="shared" si="34"/>
        <v>4.6949111664924832E-2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573">
        <f>'[63]Sch C'!D158</f>
        <v>0</v>
      </c>
      <c r="D157" s="573">
        <f>'[63]Sch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7"/>
      <c r="J157" s="168"/>
      <c r="K157" s="168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573">
        <f>'[63]Sch C'!D159</f>
        <v>0</v>
      </c>
      <c r="D158" s="573">
        <f>'[63]Sch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573">
        <f>'[63]Sch C'!D160</f>
        <v>0</v>
      </c>
      <c r="D159" s="573">
        <f>'[63]Sch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7"/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573">
        <f>'[63]Sch C'!D161</f>
        <v>49544</v>
      </c>
      <c r="D160" s="573">
        <f>'[63]Sch C'!F161</f>
        <v>0</v>
      </c>
      <c r="E160" s="171">
        <f t="shared" si="41"/>
        <v>49544</v>
      </c>
      <c r="F160" s="171">
        <v>-40524</v>
      </c>
      <c r="G160" s="171">
        <f t="shared" si="42"/>
        <v>9020</v>
      </c>
      <c r="H160" s="172">
        <f t="shared" si="43"/>
        <v>1.557666579061449E-3</v>
      </c>
      <c r="I160" s="337"/>
      <c r="J160" s="168"/>
      <c r="K160" s="168"/>
      <c r="M160" s="364">
        <f t="shared" si="34"/>
        <v>0.72513867674250343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573">
        <f>SUM(C123:C160)</f>
        <v>1796353</v>
      </c>
      <c r="D161" s="573">
        <f>SUM(D123:D160)</f>
        <v>0</v>
      </c>
      <c r="E161" s="171">
        <f t="shared" ref="E161" si="44">SUM(E123:E160)</f>
        <v>1796353</v>
      </c>
      <c r="F161" s="171">
        <f>SUM(F123:F160)</f>
        <v>-87145</v>
      </c>
      <c r="G161" s="171">
        <f>SUM(G123:G160)</f>
        <v>1709208</v>
      </c>
      <c r="H161" s="172">
        <f t="shared" si="43"/>
        <v>0.29516365612688039</v>
      </c>
      <c r="I161" s="337"/>
      <c r="J161" s="168"/>
      <c r="K161" s="168"/>
      <c r="M161" s="364">
        <f>G161/G$228</f>
        <v>137.40718707291583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337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7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573">
        <f>'[63]Sch C'!D175</f>
        <v>0</v>
      </c>
      <c r="D164" s="573">
        <f>'[63]Sch C'!F175</f>
        <v>0</v>
      </c>
      <c r="E164" s="171">
        <f t="shared" ref="E164:E196" si="45">C164+D164</f>
        <v>0</v>
      </c>
      <c r="F164" s="665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573">
        <f>'[63]Sch C'!D176</f>
        <v>0</v>
      </c>
      <c r="D165" s="573">
        <f>'[63]Sch C'!F176</f>
        <v>0</v>
      </c>
      <c r="E165" s="171">
        <f t="shared" si="45"/>
        <v>0</v>
      </c>
      <c r="F165" s="665"/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573">
        <f>'[63]Sch C'!D177</f>
        <v>0</v>
      </c>
      <c r="D166" s="573">
        <f>'[63]Sch C'!F177</f>
        <v>0</v>
      </c>
      <c r="E166" s="171">
        <f t="shared" si="45"/>
        <v>0</v>
      </c>
      <c r="F166" s="665"/>
      <c r="G166" s="171">
        <f t="shared" si="46"/>
        <v>0</v>
      </c>
      <c r="H166" s="172">
        <f t="shared" si="47"/>
        <v>0</v>
      </c>
      <c r="I166" s="343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573">
        <f>'[63]Sch C'!D178</f>
        <v>0</v>
      </c>
      <c r="D167" s="573">
        <f>'[63]Sch C'!F178</f>
        <v>0</v>
      </c>
      <c r="E167" s="171">
        <f t="shared" si="45"/>
        <v>0</v>
      </c>
      <c r="F167" s="665"/>
      <c r="G167" s="171">
        <f t="shared" si="46"/>
        <v>0</v>
      </c>
      <c r="H167" s="172">
        <f t="shared" si="47"/>
        <v>0</v>
      </c>
      <c r="I167" s="344"/>
      <c r="J167" s="222"/>
      <c r="K167" s="222"/>
      <c r="L167" s="218"/>
      <c r="M167" s="364">
        <f t="shared" si="48"/>
        <v>0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573">
        <f>'[63]Sch C'!D179</f>
        <v>0</v>
      </c>
      <c r="D168" s="573">
        <f>'[63]Sch C'!F179</f>
        <v>0</v>
      </c>
      <c r="E168" s="171">
        <f t="shared" si="45"/>
        <v>0</v>
      </c>
      <c r="F168" s="665"/>
      <c r="G168" s="171">
        <f t="shared" si="46"/>
        <v>0</v>
      </c>
      <c r="H168" s="172">
        <f t="shared" si="47"/>
        <v>0</v>
      </c>
      <c r="I168" s="343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573">
        <f>'[63]Sch C'!D180</f>
        <v>0</v>
      </c>
      <c r="D169" s="573">
        <f>'[63]Sch C'!F180</f>
        <v>0</v>
      </c>
      <c r="E169" s="171">
        <f t="shared" si="45"/>
        <v>0</v>
      </c>
      <c r="F169" s="665"/>
      <c r="G169" s="171">
        <f t="shared" si="46"/>
        <v>0</v>
      </c>
      <c r="H169" s="172">
        <f t="shared" si="47"/>
        <v>0</v>
      </c>
      <c r="I169" s="344"/>
      <c r="J169" s="222"/>
      <c r="K169" s="222"/>
      <c r="L169" s="218"/>
      <c r="M169" s="364">
        <f t="shared" si="48"/>
        <v>0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573">
        <f>'[63]Sch C'!D181</f>
        <v>0</v>
      </c>
      <c r="D170" s="573">
        <f>'[63]Sch C'!F181</f>
        <v>0</v>
      </c>
      <c r="E170" s="171">
        <f t="shared" si="45"/>
        <v>0</v>
      </c>
      <c r="F170" s="665"/>
      <c r="G170" s="171">
        <f t="shared" si="46"/>
        <v>0</v>
      </c>
      <c r="H170" s="172">
        <f t="shared" si="47"/>
        <v>0</v>
      </c>
      <c r="I170" s="343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573">
        <f>'[63]Sch C'!D182</f>
        <v>0</v>
      </c>
      <c r="D171" s="573">
        <f>'[63]Sch C'!F182</f>
        <v>0</v>
      </c>
      <c r="E171" s="171">
        <f t="shared" si="45"/>
        <v>0</v>
      </c>
      <c r="F171" s="665"/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573">
        <f>'[63]Sch C'!D183</f>
        <v>0</v>
      </c>
      <c r="D172" s="573">
        <f>'[63]Sch C'!F183</f>
        <v>0</v>
      </c>
      <c r="E172" s="171">
        <f t="shared" si="45"/>
        <v>0</v>
      </c>
      <c r="F172" s="665"/>
      <c r="G172" s="171">
        <f t="shared" si="46"/>
        <v>0</v>
      </c>
      <c r="H172" s="172">
        <f t="shared" si="47"/>
        <v>0</v>
      </c>
      <c r="I172" s="343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573">
        <f>'[63]Sch C'!D184</f>
        <v>0</v>
      </c>
      <c r="D173" s="573">
        <f>'[63]Sch C'!F184</f>
        <v>0</v>
      </c>
      <c r="E173" s="171">
        <f t="shared" si="45"/>
        <v>0</v>
      </c>
      <c r="F173" s="665"/>
      <c r="G173" s="171">
        <f t="shared" si="46"/>
        <v>0</v>
      </c>
      <c r="H173" s="172">
        <f t="shared" si="47"/>
        <v>0</v>
      </c>
      <c r="I173" s="344"/>
      <c r="J173" s="222"/>
      <c r="K173" s="222"/>
      <c r="L173" s="218"/>
      <c r="M173" s="364">
        <f t="shared" si="48"/>
        <v>0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573">
        <f>'[63]Sch C'!D185</f>
        <v>0</v>
      </c>
      <c r="D174" s="573">
        <f>'[63]Sch C'!F185</f>
        <v>0</v>
      </c>
      <c r="E174" s="171">
        <f t="shared" si="45"/>
        <v>0</v>
      </c>
      <c r="F174" s="665"/>
      <c r="G174" s="171">
        <f t="shared" si="46"/>
        <v>0</v>
      </c>
      <c r="H174" s="172">
        <f t="shared" si="47"/>
        <v>0</v>
      </c>
      <c r="I174" s="343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573">
        <f>'[63]Sch C'!D186</f>
        <v>0</v>
      </c>
      <c r="D175" s="573">
        <f>'[63]Sch C'!F186</f>
        <v>0</v>
      </c>
      <c r="E175" s="171">
        <f t="shared" si="45"/>
        <v>0</v>
      </c>
      <c r="F175" s="665"/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573">
        <f>'[63]Sch C'!D187</f>
        <v>0</v>
      </c>
      <c r="D176" s="573">
        <f>'[63]Sch C'!F187</f>
        <v>0</v>
      </c>
      <c r="E176" s="171">
        <f t="shared" si="45"/>
        <v>0</v>
      </c>
      <c r="F176" s="665"/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573">
        <f>'[63]Sch C'!D188</f>
        <v>0</v>
      </c>
      <c r="D177" s="573">
        <f>'[63]Sch C'!F188</f>
        <v>0</v>
      </c>
      <c r="E177" s="171">
        <f t="shared" si="45"/>
        <v>0</v>
      </c>
      <c r="F177" s="665"/>
      <c r="G177" s="171">
        <f t="shared" si="46"/>
        <v>0</v>
      </c>
      <c r="H177" s="172">
        <f t="shared" si="47"/>
        <v>0</v>
      </c>
      <c r="I177" s="337"/>
      <c r="J177" s="223"/>
      <c r="K177" s="218"/>
      <c r="L177" s="220"/>
      <c r="M177" s="364">
        <f t="shared" si="48"/>
        <v>0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573">
        <f>'[63]Sch C'!D189</f>
        <v>0</v>
      </c>
      <c r="D178" s="573">
        <f>'[63]Sch C'!F189</f>
        <v>0</v>
      </c>
      <c r="E178" s="171">
        <f t="shared" si="45"/>
        <v>0</v>
      </c>
      <c r="F178" s="665"/>
      <c r="G178" s="171">
        <f t="shared" si="46"/>
        <v>0</v>
      </c>
      <c r="H178" s="172">
        <f t="shared" si="47"/>
        <v>0</v>
      </c>
      <c r="I178" s="337"/>
      <c r="J178" s="223"/>
      <c r="K178" s="218"/>
      <c r="L178" s="220"/>
      <c r="M178" s="364">
        <f t="shared" si="48"/>
        <v>0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573">
        <f>'[63]Sch C'!D190</f>
        <v>0</v>
      </c>
      <c r="D179" s="573">
        <f>'[63]Sch C'!F190</f>
        <v>0</v>
      </c>
      <c r="E179" s="171">
        <f t="shared" si="45"/>
        <v>0</v>
      </c>
      <c r="F179" s="665"/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573">
        <f>'[63]Sch C'!D191</f>
        <v>0</v>
      </c>
      <c r="D180" s="573">
        <f>'[63]Sch C'!F191</f>
        <v>0</v>
      </c>
      <c r="E180" s="171">
        <f t="shared" si="45"/>
        <v>0</v>
      </c>
      <c r="F180" s="665"/>
      <c r="G180" s="171">
        <f t="shared" si="46"/>
        <v>0</v>
      </c>
      <c r="H180" s="172">
        <f t="shared" si="47"/>
        <v>0</v>
      </c>
      <c r="I180" s="337"/>
      <c r="J180" s="223"/>
      <c r="K180" s="218"/>
      <c r="L180" s="220"/>
      <c r="M180" s="364">
        <f t="shared" si="48"/>
        <v>0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573">
        <f>'[63]Sch C'!D192</f>
        <v>0</v>
      </c>
      <c r="D181" s="573">
        <f>'[63]Sch C'!F192</f>
        <v>0</v>
      </c>
      <c r="E181" s="171">
        <f t="shared" si="45"/>
        <v>0</v>
      </c>
      <c r="F181" s="665"/>
      <c r="G181" s="171">
        <f t="shared" si="46"/>
        <v>0</v>
      </c>
      <c r="H181" s="172">
        <f t="shared" si="47"/>
        <v>0</v>
      </c>
      <c r="I181" s="337"/>
      <c r="J181" s="223"/>
      <c r="K181" s="218"/>
      <c r="L181" s="220"/>
      <c r="M181" s="364">
        <f t="shared" si="48"/>
        <v>0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573">
        <f>'[63]Sch C'!D193</f>
        <v>0</v>
      </c>
      <c r="D182" s="573">
        <f>'[63]Sch C'!F193</f>
        <v>0</v>
      </c>
      <c r="E182" s="171">
        <f t="shared" si="45"/>
        <v>0</v>
      </c>
      <c r="F182" s="665"/>
      <c r="G182" s="171">
        <f t="shared" si="46"/>
        <v>0</v>
      </c>
      <c r="H182" s="172">
        <f t="shared" si="47"/>
        <v>0</v>
      </c>
      <c r="I182" s="337"/>
      <c r="J182" s="223"/>
      <c r="K182" s="218"/>
      <c r="L182" s="220"/>
      <c r="M182" s="364">
        <f t="shared" si="48"/>
        <v>0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573">
        <f>'[63]Sch C'!D194</f>
        <v>663634</v>
      </c>
      <c r="D183" s="573">
        <f>'[63]Sch C'!F194</f>
        <v>-34059</v>
      </c>
      <c r="E183" s="171">
        <f t="shared" si="45"/>
        <v>629575</v>
      </c>
      <c r="F183" s="665"/>
      <c r="G183" s="171">
        <f t="shared" si="46"/>
        <v>629575</v>
      </c>
      <c r="H183" s="172">
        <f t="shared" si="47"/>
        <v>0.10872150072201904</v>
      </c>
      <c r="I183" s="337"/>
      <c r="J183" s="223"/>
      <c r="K183" s="218"/>
      <c r="M183" s="364">
        <f t="shared" si="48"/>
        <v>50.612991398022352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573">
        <f>'[63]Sch C'!D195</f>
        <v>120454</v>
      </c>
      <c r="D184" s="573">
        <f>'[63]Sch C'!F195</f>
        <v>-6182</v>
      </c>
      <c r="E184" s="171">
        <f t="shared" si="45"/>
        <v>114272</v>
      </c>
      <c r="F184" s="665"/>
      <c r="G184" s="171">
        <f t="shared" si="46"/>
        <v>114272</v>
      </c>
      <c r="H184" s="172">
        <f t="shared" si="47"/>
        <v>1.973366688719622E-2</v>
      </c>
      <c r="I184" s="337"/>
      <c r="J184" s="223"/>
      <c r="K184" s="218"/>
      <c r="M184" s="364">
        <f t="shared" si="48"/>
        <v>9.1865905619422783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573">
        <f>'[63]Sch C'!D196</f>
        <v>0</v>
      </c>
      <c r="D185" s="573">
        <f>'[63]Sch C'!F196</f>
        <v>0</v>
      </c>
      <c r="E185" s="171">
        <f t="shared" si="45"/>
        <v>0</v>
      </c>
      <c r="F185" s="665"/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573">
        <f>'[63]Sch C'!D197</f>
        <v>585939</v>
      </c>
      <c r="D186" s="573">
        <f>'[63]Sch C'!F197</f>
        <v>-30072</v>
      </c>
      <c r="E186" s="171">
        <f t="shared" si="45"/>
        <v>555867</v>
      </c>
      <c r="F186" s="665"/>
      <c r="G186" s="171">
        <f t="shared" si="46"/>
        <v>555867</v>
      </c>
      <c r="H186" s="172">
        <f t="shared" si="47"/>
        <v>9.5992843492588756E-2</v>
      </c>
      <c r="I186" s="337"/>
      <c r="J186" s="223"/>
      <c r="K186" s="218"/>
      <c r="M186" s="364">
        <f t="shared" si="48"/>
        <v>44.687434681244476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573">
        <f>'[63]Sch C'!D198</f>
        <v>73221</v>
      </c>
      <c r="D187" s="573">
        <f>'[63]Sch C'!F198</f>
        <v>0</v>
      </c>
      <c r="E187" s="171">
        <f t="shared" si="45"/>
        <v>73221</v>
      </c>
      <c r="F187" s="665">
        <v>2731</v>
      </c>
      <c r="G187" s="171">
        <f t="shared" si="46"/>
        <v>75952</v>
      </c>
      <c r="H187" s="172">
        <f t="shared" si="47"/>
        <v>1.3116174280806562E-2</v>
      </c>
      <c r="I187" s="337"/>
      <c r="J187" s="223"/>
      <c r="K187" s="218"/>
      <c r="M187" s="364">
        <f t="shared" si="48"/>
        <v>6.1059570705040596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573">
        <f>'[63]Sch C'!D199</f>
        <v>0</v>
      </c>
      <c r="D188" s="573">
        <f>'[63]Sch C'!F199</f>
        <v>0</v>
      </c>
      <c r="E188" s="171">
        <f t="shared" si="45"/>
        <v>0</v>
      </c>
      <c r="F188" s="665"/>
      <c r="G188" s="171">
        <f t="shared" si="46"/>
        <v>0</v>
      </c>
      <c r="H188" s="172">
        <f t="shared" si="47"/>
        <v>0</v>
      </c>
      <c r="I188" s="337"/>
      <c r="J188" s="223"/>
      <c r="K188" s="218"/>
      <c r="M188" s="364">
        <f t="shared" si="48"/>
        <v>0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573">
        <f>'[63]Sch C'!D200</f>
        <v>0</v>
      </c>
      <c r="D189" s="573">
        <f>'[63]Sch C'!F200</f>
        <v>0</v>
      </c>
      <c r="E189" s="171">
        <f t="shared" si="45"/>
        <v>0</v>
      </c>
      <c r="F189" s="665"/>
      <c r="G189" s="171">
        <f t="shared" si="46"/>
        <v>0</v>
      </c>
      <c r="H189" s="172">
        <f t="shared" si="47"/>
        <v>0</v>
      </c>
      <c r="I189" s="337"/>
      <c r="J189" s="223"/>
      <c r="K189" s="218"/>
      <c r="M189" s="364">
        <f t="shared" si="48"/>
        <v>0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573">
        <f>'[63]Sch C'!D201</f>
        <v>0</v>
      </c>
      <c r="D190" s="573">
        <f>'[63]Sch C'!F201</f>
        <v>0</v>
      </c>
      <c r="E190" s="171">
        <f t="shared" si="45"/>
        <v>0</v>
      </c>
      <c r="F190" s="665"/>
      <c r="G190" s="171">
        <f t="shared" si="46"/>
        <v>0</v>
      </c>
      <c r="H190" s="172">
        <f t="shared" si="47"/>
        <v>0</v>
      </c>
      <c r="I190" s="337"/>
      <c r="J190" s="223"/>
      <c r="K190" s="218"/>
      <c r="M190" s="364">
        <f t="shared" si="48"/>
        <v>0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573">
        <f>'[63]Sch C'!D202</f>
        <v>0</v>
      </c>
      <c r="D191" s="573">
        <f>'[63]Sch C'!F202</f>
        <v>0</v>
      </c>
      <c r="E191" s="171">
        <f t="shared" si="45"/>
        <v>0</v>
      </c>
      <c r="F191" s="665"/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573">
        <f>'[63]Sch C'!D203</f>
        <v>0</v>
      </c>
      <c r="D192" s="573">
        <f>'[63]Sch C'!F203</f>
        <v>0</v>
      </c>
      <c r="E192" s="171">
        <f t="shared" si="45"/>
        <v>0</v>
      </c>
      <c r="F192" s="665"/>
      <c r="G192" s="171">
        <f t="shared" si="46"/>
        <v>0</v>
      </c>
      <c r="H192" s="172">
        <f t="shared" si="47"/>
        <v>0</v>
      </c>
      <c r="I192" s="337"/>
      <c r="J192" s="223"/>
      <c r="K192" s="218"/>
      <c r="M192" s="364">
        <f t="shared" si="48"/>
        <v>0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573">
        <f>'[63]Sch C'!D204</f>
        <v>0</v>
      </c>
      <c r="D193" s="573">
        <f>'[63]Sch C'!F204</f>
        <v>0</v>
      </c>
      <c r="E193" s="171">
        <f t="shared" si="45"/>
        <v>0</v>
      </c>
      <c r="F193" s="665"/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573">
        <f>'[63]Sch C'!D205</f>
        <v>638152</v>
      </c>
      <c r="D194" s="573">
        <f>'[63]Sch C'!F205</f>
        <v>-180886</v>
      </c>
      <c r="E194" s="171">
        <f t="shared" si="45"/>
        <v>457266</v>
      </c>
      <c r="F194" s="665"/>
      <c r="G194" s="171">
        <f t="shared" si="46"/>
        <v>457266</v>
      </c>
      <c r="H194" s="172">
        <f t="shared" si="47"/>
        <v>7.8965406423626677E-2</v>
      </c>
      <c r="I194" s="337"/>
      <c r="J194" s="223"/>
      <c r="K194" s="218"/>
      <c r="M194" s="364">
        <f t="shared" si="48"/>
        <v>36.760672079749177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573">
        <f>'[63]Sch C'!D206</f>
        <v>15391</v>
      </c>
      <c r="D195" s="573">
        <f>'[63]Sch C'!F206</f>
        <v>0</v>
      </c>
      <c r="E195" s="171">
        <f t="shared" si="45"/>
        <v>15391</v>
      </c>
      <c r="F195" s="665"/>
      <c r="G195" s="171">
        <f t="shared" si="46"/>
        <v>15391</v>
      </c>
      <c r="H195" s="172">
        <f t="shared" si="47"/>
        <v>2.6578765319661599E-3</v>
      </c>
      <c r="I195" s="337"/>
      <c r="J195" s="223"/>
      <c r="K195" s="218"/>
      <c r="M195" s="364">
        <f t="shared" si="48"/>
        <v>1.2373181123884556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573">
        <f>'[63]Sch C'!D207</f>
        <v>10569</v>
      </c>
      <c r="D196" s="573">
        <f>'[63]Sch C'!F207</f>
        <v>0</v>
      </c>
      <c r="E196" s="171">
        <f t="shared" si="45"/>
        <v>10569</v>
      </c>
      <c r="F196" s="665"/>
      <c r="G196" s="171">
        <f t="shared" si="46"/>
        <v>10569</v>
      </c>
      <c r="H196" s="172">
        <f t="shared" si="47"/>
        <v>1.8251638663082544E-3</v>
      </c>
      <c r="I196" s="337"/>
      <c r="J196" s="223"/>
      <c r="K196" s="218"/>
      <c r="M196" s="364">
        <f t="shared" si="48"/>
        <v>0.84966637189484684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573">
        <f>SUM(C164:C196)</f>
        <v>2107360</v>
      </c>
      <c r="D197" s="573">
        <f>SUM(D164:D196)</f>
        <v>-251199</v>
      </c>
      <c r="E197" s="171">
        <f t="shared" ref="E197" si="49">SUM(E164:E196)</f>
        <v>1856161</v>
      </c>
      <c r="F197" s="171">
        <f>SUM(F164:F196)</f>
        <v>2731</v>
      </c>
      <c r="G197" s="171">
        <f>SUM(G164:G196)</f>
        <v>1858892</v>
      </c>
      <c r="H197" s="172">
        <f>IF($G$208=0,0,G197/$G$208)</f>
        <v>0.32101263220451165</v>
      </c>
      <c r="I197" s="337"/>
      <c r="J197" s="168"/>
      <c r="K197" s="168"/>
      <c r="M197" s="364">
        <f>G197/G$228</f>
        <v>149.44063027574563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165"/>
      <c r="G198" s="165"/>
      <c r="H198" s="198"/>
      <c r="I198" s="341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1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573">
        <f>'[63]Sch C'!D211</f>
        <v>24103</v>
      </c>
      <c r="D200" s="573">
        <f>'[63]Sch C'!F211</f>
        <v>0</v>
      </c>
      <c r="E200" s="171">
        <f t="shared" ref="E200:E205" si="50">C200+D200</f>
        <v>24103</v>
      </c>
      <c r="F200" s="171"/>
      <c r="G200" s="171">
        <f t="shared" ref="G200:G205" si="51">E200+F200</f>
        <v>24103</v>
      </c>
      <c r="H200" s="172">
        <f t="shared" ref="H200:H206" si="52">IF($G$208=0,0,G200/$G$208)</f>
        <v>4.1623544961328276E-3</v>
      </c>
      <c r="I200" s="337"/>
      <c r="J200" s="183">
        <v>1806</v>
      </c>
      <c r="K200" s="183">
        <v>1954</v>
      </c>
      <c r="M200" s="364">
        <f t="shared" ref="M200:M205" si="53">G200/G$228</f>
        <v>1.937695956266581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573">
        <f>'[63]Sch C'!D212</f>
        <v>6162</v>
      </c>
      <c r="D201" s="573">
        <f>'[63]Sch C'!F212</f>
        <v>0</v>
      </c>
      <c r="E201" s="171">
        <f t="shared" si="50"/>
        <v>6162</v>
      </c>
      <c r="F201" s="171"/>
      <c r="G201" s="171">
        <f t="shared" si="51"/>
        <v>6162</v>
      </c>
      <c r="H201" s="172">
        <f t="shared" si="52"/>
        <v>1.0641176785118236E-3</v>
      </c>
      <c r="I201" s="337"/>
      <c r="J201" s="168"/>
      <c r="K201" s="168"/>
      <c r="M201" s="364">
        <f t="shared" si="53"/>
        <v>0.49537744191655275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573">
        <f>'[63]Sch C'!D213</f>
        <v>49608</v>
      </c>
      <c r="D202" s="573">
        <f>'[63]Sch C'!F213</f>
        <v>0</v>
      </c>
      <c r="E202" s="171">
        <f t="shared" si="50"/>
        <v>49608</v>
      </c>
      <c r="F202" s="171"/>
      <c r="G202" s="171">
        <f t="shared" si="51"/>
        <v>49608</v>
      </c>
      <c r="H202" s="172">
        <f t="shared" si="52"/>
        <v>8.5668208042217701E-3</v>
      </c>
      <c r="I202" s="337"/>
      <c r="J202" s="168"/>
      <c r="K202" s="168"/>
      <c r="M202" s="364">
        <f t="shared" si="53"/>
        <v>3.9881019374547795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573">
        <f>'[63]Sch C'!D214</f>
        <v>0</v>
      </c>
      <c r="D203" s="573">
        <f>'[63]Sch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>
        <f t="shared" si="53"/>
        <v>0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573">
        <f>'[63]Sch C'!D215</f>
        <v>0</v>
      </c>
      <c r="D204" s="573">
        <f>'[63]Sch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573">
        <f>'[63]Sch C'!D216</f>
        <v>6182</v>
      </c>
      <c r="D205" s="573">
        <f>'[63]Sch C'!F216</f>
        <v>0</v>
      </c>
      <c r="E205" s="171">
        <f t="shared" si="50"/>
        <v>6182</v>
      </c>
      <c r="F205" s="171"/>
      <c r="G205" s="171">
        <f t="shared" si="51"/>
        <v>6182</v>
      </c>
      <c r="H205" s="172">
        <f t="shared" si="52"/>
        <v>1.0675714846738224E-3</v>
      </c>
      <c r="I205" s="337"/>
      <c r="J205" s="168"/>
      <c r="K205" s="168"/>
      <c r="M205" s="364">
        <f t="shared" si="53"/>
        <v>0.49698528820644744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573">
        <f>SUM(C200:C205)</f>
        <v>86055</v>
      </c>
      <c r="D206" s="573">
        <f>SUM(D200:D205)</f>
        <v>0</v>
      </c>
      <c r="E206" s="171">
        <f t="shared" ref="E206" si="54">SUM(E200:E205)</f>
        <v>86055</v>
      </c>
      <c r="F206" s="171">
        <f>SUM(F200:F205)</f>
        <v>0</v>
      </c>
      <c r="G206" s="171">
        <f>SUM(G200:G205)</f>
        <v>86055</v>
      </c>
      <c r="H206" s="172">
        <f t="shared" si="52"/>
        <v>1.4860864463540244E-2</v>
      </c>
      <c r="I206" s="337"/>
      <c r="J206" s="168"/>
      <c r="K206" s="168"/>
      <c r="M206" s="364">
        <f>G206/G$228</f>
        <v>6.9181606238443605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573">
        <f>SUM(C25:C206)/2</f>
        <v>6220635</v>
      </c>
      <c r="D208" s="573">
        <f>SUM(D25:D206)/2</f>
        <v>-364162.07</v>
      </c>
      <c r="E208" s="171">
        <f t="shared" ref="E208:F208" si="55">SUM(E25:E206)/2</f>
        <v>5856472.9299999997</v>
      </c>
      <c r="F208" s="171">
        <f t="shared" si="55"/>
        <v>-65760</v>
      </c>
      <c r="G208" s="171">
        <f>SUM(G25:G206)/2</f>
        <v>5790712.9299999997</v>
      </c>
      <c r="H208" s="172">
        <f>IF($G$208=0,0,G208/$G$208)</f>
        <v>1</v>
      </c>
      <c r="I208" s="337"/>
      <c r="J208" s="183">
        <f>SUM(J25:J200)</f>
        <v>84801</v>
      </c>
      <c r="K208" s="183">
        <f>SUM(K25:K200)</f>
        <v>88632</v>
      </c>
      <c r="M208" s="364">
        <f>G208/G$228</f>
        <v>465.52881501728433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573">
        <f>'[63]Sch C'!D221</f>
        <v>6220635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573">
        <f>C208-C211</f>
        <v>0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619"/>
      <c r="D213" s="232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573">
        <f>C21-C208</f>
        <v>361378</v>
      </c>
      <c r="D215" s="573">
        <f>D21-D208</f>
        <v>364162.07</v>
      </c>
      <c r="E215" s="171">
        <f t="shared" ref="E215:F215" si="56">E21-E208</f>
        <v>725540.0700000003</v>
      </c>
      <c r="F215" s="171">
        <f t="shared" si="56"/>
        <v>-434240</v>
      </c>
      <c r="G215" s="171">
        <f>G21-G208</f>
        <v>291300.0700000003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653">
        <f>'[63]Sch D'!C9</f>
        <v>721</v>
      </c>
      <c r="D219" s="653"/>
      <c r="E219" s="235">
        <f t="shared" ref="E219:G227" si="57">C219+D219</f>
        <v>721</v>
      </c>
      <c r="F219" s="234"/>
      <c r="G219" s="235">
        <f t="shared" si="57"/>
        <v>721</v>
      </c>
      <c r="H219" s="172">
        <f t="shared" ref="H219:H228" si="58">IF($G$228=0,0,G219/$G$228)</f>
        <v>5.7962858750703436E-2</v>
      </c>
      <c r="I219" s="337"/>
      <c r="J219" s="168"/>
      <c r="K219" s="168"/>
    </row>
    <row r="220" spans="1:14">
      <c r="A220" s="163"/>
      <c r="B220" s="170" t="s">
        <v>217</v>
      </c>
      <c r="C220" s="653">
        <f>'[63]Sch D'!D9</f>
        <v>0</v>
      </c>
      <c r="D220" s="653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7"/>
      <c r="J220" s="168"/>
      <c r="K220" s="168"/>
    </row>
    <row r="221" spans="1:14">
      <c r="A221" s="163"/>
      <c r="B221" s="170" t="s">
        <v>72</v>
      </c>
      <c r="C221" s="653">
        <f>'[63]Sch D'!E9</f>
        <v>4922</v>
      </c>
      <c r="D221" s="653"/>
      <c r="E221" s="235">
        <f t="shared" si="59"/>
        <v>4922</v>
      </c>
      <c r="F221" s="234"/>
      <c r="G221" s="235">
        <f t="shared" si="57"/>
        <v>4922</v>
      </c>
      <c r="H221" s="172">
        <f t="shared" si="58"/>
        <v>0.39569097194308223</v>
      </c>
      <c r="I221" s="337"/>
      <c r="J221" s="168"/>
      <c r="K221" s="168"/>
    </row>
    <row r="222" spans="1:14">
      <c r="A222" s="163"/>
      <c r="B222" s="202" t="s">
        <v>334</v>
      </c>
      <c r="C222" s="653">
        <f>'[63]Sch D'!F9</f>
        <v>4874</v>
      </c>
      <c r="D222" s="653"/>
      <c r="E222" s="235">
        <f>C222+D222</f>
        <v>4874</v>
      </c>
      <c r="F222" s="234"/>
      <c r="G222" s="235">
        <f>E222+F222</f>
        <v>4874</v>
      </c>
      <c r="H222" s="172">
        <f t="shared" si="58"/>
        <v>0.39183214084733498</v>
      </c>
      <c r="I222" s="337"/>
      <c r="J222" s="168"/>
      <c r="K222" s="168"/>
    </row>
    <row r="223" spans="1:14">
      <c r="A223" s="163"/>
      <c r="B223" s="170" t="s">
        <v>73</v>
      </c>
      <c r="C223" s="653">
        <f>'[63]Sch D'!G9</f>
        <v>0</v>
      </c>
      <c r="D223" s="653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7"/>
      <c r="J223" s="168"/>
      <c r="K223" s="168"/>
    </row>
    <row r="224" spans="1:14">
      <c r="A224" s="163"/>
      <c r="B224" s="170" t="s">
        <v>74</v>
      </c>
      <c r="C224" s="653">
        <f>'[63]Sch D'!H9</f>
        <v>1360</v>
      </c>
      <c r="D224" s="653"/>
      <c r="E224" s="235">
        <f t="shared" si="59"/>
        <v>1360</v>
      </c>
      <c r="F224" s="234"/>
      <c r="G224" s="235">
        <f t="shared" si="57"/>
        <v>1360</v>
      </c>
      <c r="H224" s="172">
        <f t="shared" si="58"/>
        <v>0.10933354771283865</v>
      </c>
      <c r="I224" s="337"/>
      <c r="J224" s="168"/>
      <c r="K224" s="168"/>
    </row>
    <row r="225" spans="1:11">
      <c r="A225" s="163"/>
      <c r="B225" s="170" t="s">
        <v>236</v>
      </c>
      <c r="C225" s="653">
        <f>'[63]Sch D'!I9</f>
        <v>0</v>
      </c>
      <c r="D225" s="653"/>
      <c r="E225" s="235">
        <f t="shared" si="59"/>
        <v>0</v>
      </c>
      <c r="F225" s="234"/>
      <c r="G225" s="235">
        <f t="shared" si="57"/>
        <v>0</v>
      </c>
      <c r="H225" s="172">
        <f t="shared" si="58"/>
        <v>0</v>
      </c>
      <c r="I225" s="337"/>
      <c r="J225" s="168"/>
      <c r="K225" s="168"/>
    </row>
    <row r="226" spans="1:11">
      <c r="A226" s="163"/>
      <c r="B226" s="170" t="s">
        <v>235</v>
      </c>
      <c r="C226" s="653">
        <f>'[63]Sch D'!J9</f>
        <v>334</v>
      </c>
      <c r="D226" s="653"/>
      <c r="E226" s="235">
        <f>C226+D226</f>
        <v>334</v>
      </c>
      <c r="F226" s="234"/>
      <c r="G226" s="235">
        <f>E226+F226</f>
        <v>334</v>
      </c>
      <c r="H226" s="172">
        <f t="shared" si="58"/>
        <v>2.6851033041241257E-2</v>
      </c>
      <c r="I226" s="337"/>
      <c r="J226" s="168"/>
      <c r="K226" s="168"/>
    </row>
    <row r="227" spans="1:11">
      <c r="A227" s="163"/>
      <c r="B227" s="170" t="s">
        <v>179</v>
      </c>
      <c r="C227" s="653">
        <f>'[63]Sch D'!K9</f>
        <v>228</v>
      </c>
      <c r="D227" s="653"/>
      <c r="E227" s="235">
        <f t="shared" si="59"/>
        <v>228</v>
      </c>
      <c r="F227" s="234"/>
      <c r="G227" s="235">
        <f t="shared" si="57"/>
        <v>228</v>
      </c>
      <c r="H227" s="172">
        <f t="shared" si="58"/>
        <v>1.8329447704799422E-2</v>
      </c>
      <c r="I227" s="337"/>
      <c r="J227" s="168"/>
      <c r="K227" s="168"/>
    </row>
    <row r="228" spans="1:11" ht="13.5" thickBot="1">
      <c r="A228" s="163"/>
      <c r="B228" s="236" t="s">
        <v>75</v>
      </c>
      <c r="C228" s="653">
        <f>SUM(C219:C227)</f>
        <v>12439</v>
      </c>
      <c r="D228" s="653">
        <f>SUM(D219:D227)</f>
        <v>0</v>
      </c>
      <c r="E228" s="237">
        <f>SUM(E219:E227)</f>
        <v>12439</v>
      </c>
      <c r="F228" s="237">
        <f>SUM(F219:F227)</f>
        <v>0</v>
      </c>
      <c r="G228" s="237">
        <f>SUM(G219:G227)</f>
        <v>12439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620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619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654">
        <f>'[63]Sch D'!N22</f>
        <v>40</v>
      </c>
      <c r="D231" s="574"/>
      <c r="E231" s="235">
        <f>C231+D231</f>
        <v>40</v>
      </c>
      <c r="F231" s="235"/>
      <c r="G231" s="235">
        <f>E231+F231</f>
        <v>40</v>
      </c>
      <c r="H231" s="167"/>
      <c r="J231" s="168"/>
      <c r="K231" s="168"/>
    </row>
    <row r="232" spans="1:11">
      <c r="A232" s="163"/>
      <c r="B232" s="202" t="s">
        <v>290</v>
      </c>
      <c r="C232" s="654">
        <f>'[63]Sch D'!N24</f>
        <v>10</v>
      </c>
      <c r="D232" s="574"/>
      <c r="E232" s="235">
        <f>C232+D232</f>
        <v>10</v>
      </c>
      <c r="F232" s="235"/>
      <c r="G232" s="235">
        <f>E232+F232</f>
        <v>10</v>
      </c>
      <c r="H232" s="167"/>
      <c r="J232" s="168"/>
      <c r="K232" s="168"/>
    </row>
    <row r="233" spans="1:11">
      <c r="A233" s="163"/>
      <c r="B233" s="202" t="s">
        <v>76</v>
      </c>
      <c r="C233" s="654">
        <f>$C$4-$C$3+1</f>
        <v>365</v>
      </c>
      <c r="D233" s="489"/>
      <c r="E233" s="235">
        <f>C233+D233</f>
        <v>365</v>
      </c>
      <c r="F233" s="240"/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621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654">
        <f>'[63]Sch D'!N28</f>
        <v>14600</v>
      </c>
      <c r="D235" s="489"/>
      <c r="E235" s="234">
        <f>E231*E233</f>
        <v>14600</v>
      </c>
      <c r="F235" s="240"/>
      <c r="G235" s="234">
        <f>G231*G233</f>
        <v>14600</v>
      </c>
      <c r="H235" s="167"/>
      <c r="J235" s="168"/>
      <c r="K235" s="168"/>
    </row>
    <row r="236" spans="1:11" ht="26">
      <c r="A236" s="163"/>
      <c r="B236" s="244" t="s">
        <v>336</v>
      </c>
      <c r="C236" s="655">
        <f>'[63]Sch D'!N30</f>
        <v>0.85198630136986298</v>
      </c>
      <c r="D236" s="240"/>
      <c r="E236" s="245">
        <f>E228/E235</f>
        <v>0.85198630136986298</v>
      </c>
      <c r="F236" s="246"/>
      <c r="G236" s="245">
        <f>G228/G235</f>
        <v>0.85198630136986298</v>
      </c>
      <c r="H236" s="167"/>
      <c r="J236" s="168"/>
      <c r="K236" s="168"/>
    </row>
    <row r="237" spans="1:11" ht="26">
      <c r="A237" s="163"/>
      <c r="B237" s="244" t="s">
        <v>337</v>
      </c>
      <c r="C237" s="655">
        <f>'[63]Sch D'!N32</f>
        <v>4.9383561643835616E-2</v>
      </c>
      <c r="D237" s="240"/>
      <c r="E237" s="245">
        <f>(E219+E220)/E235</f>
        <v>4.9383561643835616E-2</v>
      </c>
      <c r="F237" s="246"/>
      <c r="G237" s="245">
        <f>(G219+G220)/G235</f>
        <v>4.9383561643835616E-2</v>
      </c>
      <c r="H237" s="167"/>
      <c r="J237" s="168"/>
      <c r="K237" s="168"/>
    </row>
    <row r="238" spans="1:11" ht="26">
      <c r="A238" s="163"/>
      <c r="B238" s="244" t="s">
        <v>338</v>
      </c>
      <c r="C238" s="655">
        <f>'[63]Sch D'!N34</f>
        <v>5.7962858750703436E-2</v>
      </c>
      <c r="D238" s="240"/>
      <c r="E238" s="245">
        <f>(E237/E236)</f>
        <v>5.7962858750703436E-2</v>
      </c>
      <c r="F238" s="246"/>
      <c r="G238" s="245">
        <f>(G237/G236)</f>
        <v>5.7962858750703436E-2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73">
        <f>'[63]Sch B'!C85</f>
        <v>548.76628352490422</v>
      </c>
    </row>
    <row r="242" spans="2:7">
      <c r="F242" s="142" t="s">
        <v>341</v>
      </c>
      <c r="G242" s="573">
        <f>'[63]Sch B'!E85</f>
        <v>920.04100946372239</v>
      </c>
    </row>
    <row r="243" spans="2:7">
      <c r="F243" s="142" t="s">
        <v>342</v>
      </c>
      <c r="G243" s="573">
        <f>'[63]Sch B'!G85</f>
        <v>482.10986547085201</v>
      </c>
    </row>
    <row r="244" spans="2:7">
      <c r="F244" s="142" t="s">
        <v>343</v>
      </c>
      <c r="G244" s="573">
        <f>'[63]Sch B'!I85</f>
        <v>403.69642857142856</v>
      </c>
    </row>
    <row r="245" spans="2:7">
      <c r="F245" s="142"/>
    </row>
  </sheetData>
  <printOptions horizontalCentered="1"/>
  <pageMargins left="0" right="0" top="0.75" bottom="1" header="0.5" footer="0.5"/>
  <pageSetup scale="70" orientation="portrait" r:id="rId1"/>
  <headerFooter alignWithMargins="0">
    <oddFooter>&amp;R&amp;D
&amp;T
&amp;F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tabColor rgb="FFE28CAB"/>
  </sheetPr>
  <dimension ref="A1:Q245"/>
  <sheetViews>
    <sheetView showGridLines="0" zoomScale="90" zoomScaleNormal="90" workbookViewId="0">
      <selection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43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478"/>
      <c r="E1" s="478"/>
      <c r="F1" s="480"/>
      <c r="G1" s="481"/>
      <c r="H1" s="481"/>
      <c r="I1" s="479"/>
    </row>
    <row r="2" spans="1:14" ht="23">
      <c r="B2" s="143" t="s">
        <v>189</v>
      </c>
      <c r="C2" s="247" t="s">
        <v>466</v>
      </c>
      <c r="D2" s="247"/>
      <c r="E2" s="144"/>
      <c r="F2" s="453"/>
      <c r="G2"/>
      <c r="H2"/>
    </row>
    <row r="3" spans="1:14" ht="13.25" customHeight="1">
      <c r="A3" s="145"/>
      <c r="B3" s="140" t="s">
        <v>79</v>
      </c>
      <c r="C3" s="495">
        <v>41821</v>
      </c>
      <c r="D3"/>
      <c r="E3" s="147"/>
      <c r="F3" s="453"/>
      <c r="G3"/>
      <c r="H3"/>
    </row>
    <row r="4" spans="1:14" ht="13.25" customHeight="1">
      <c r="A4" s="145"/>
      <c r="B4" s="148" t="s">
        <v>80</v>
      </c>
      <c r="C4" s="495">
        <v>42185</v>
      </c>
      <c r="D4"/>
      <c r="E4" s="149"/>
      <c r="F4" s="642" t="s">
        <v>618</v>
      </c>
      <c r="G4"/>
      <c r="H4"/>
    </row>
    <row r="5" spans="1:14" ht="13.25" customHeight="1">
      <c r="A5" s="145"/>
      <c r="B5" s="148"/>
      <c r="C5" s="151"/>
      <c r="D5" s="144"/>
      <c r="F5" s="642" t="s">
        <v>619</v>
      </c>
      <c r="G5"/>
      <c r="H5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419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420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421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 ht="13.25" customHeight="1">
      <c r="A9" s="145"/>
      <c r="C9" s="151"/>
      <c r="D9" s="144"/>
      <c r="F9" s="643" t="s">
        <v>613</v>
      </c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643" t="s">
        <v>604</v>
      </c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490">
        <f>'[64]Sch B'!E10</f>
        <v>2218217.6100000003</v>
      </c>
      <c r="D11" s="490">
        <f>'[64]Sch B'!G10</f>
        <v>0</v>
      </c>
      <c r="E11" s="171">
        <f>C11+D11</f>
        <v>2218217.6100000003</v>
      </c>
      <c r="F11" s="675">
        <f>1717504.06+1046706</f>
        <v>2764210.06</v>
      </c>
      <c r="G11" s="171">
        <f t="shared" ref="G11:G20" si="0">E11+F11</f>
        <v>4982427.67</v>
      </c>
      <c r="H11" s="172">
        <f t="shared" ref="H11:H21" si="1">IF($G$21=0,0,G11/$G$21)</f>
        <v>0.40034635472333618</v>
      </c>
      <c r="I11" s="337"/>
      <c r="J11" s="368" t="s">
        <v>344</v>
      </c>
      <c r="K11" s="369">
        <f>G21</f>
        <v>12445292.960000003</v>
      </c>
      <c r="M11" s="359">
        <f>IFERROR(G11/G219,0)</f>
        <v>228.0809187457084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490">
        <f>'[64]Sch B'!E15</f>
        <v>0</v>
      </c>
      <c r="D12" s="490">
        <f>'[64]Sch B'!G15</f>
        <v>0</v>
      </c>
      <c r="E12" s="171">
        <f t="shared" ref="E12:E20" si="2">C12+D12</f>
        <v>0</v>
      </c>
      <c r="F12" s="418">
        <v>0</v>
      </c>
      <c r="G12" s="171">
        <f>E12+F12</f>
        <v>0</v>
      </c>
      <c r="H12" s="172">
        <f t="shared" si="1"/>
        <v>0</v>
      </c>
      <c r="I12" s="337"/>
      <c r="J12" s="370" t="s">
        <v>345</v>
      </c>
      <c r="K12" s="371">
        <f>G208</f>
        <v>10664481.582027778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490">
        <f>'[64]Sch B'!E21</f>
        <v>1866116.3800000008</v>
      </c>
      <c r="D13" s="490">
        <f>'[64]Sch B'!G21</f>
        <v>0</v>
      </c>
      <c r="E13" s="171">
        <f t="shared" si="2"/>
        <v>1866116.3800000008</v>
      </c>
      <c r="F13" s="418">
        <v>1539225.7</v>
      </c>
      <c r="G13" s="171">
        <f t="shared" si="0"/>
        <v>3405342.080000001</v>
      </c>
      <c r="H13" s="172">
        <f t="shared" si="1"/>
        <v>0.27362490308142978</v>
      </c>
      <c r="I13" s="337"/>
      <c r="J13" s="370" t="s">
        <v>346</v>
      </c>
      <c r="K13" s="371">
        <f>G228</f>
        <v>42350</v>
      </c>
      <c r="M13" s="359">
        <f t="shared" si="3"/>
        <v>535.68382570394851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490">
        <f>'[64]Sch B'!E27</f>
        <v>1309780.7</v>
      </c>
      <c r="D14" s="490">
        <f>'[64]Sch B'!G27</f>
        <v>0</v>
      </c>
      <c r="E14" s="171">
        <f t="shared" si="2"/>
        <v>1309780.7</v>
      </c>
      <c r="F14" s="418">
        <v>880716.74</v>
      </c>
      <c r="G14" s="175">
        <f>E14+F14</f>
        <v>2190497.44</v>
      </c>
      <c r="H14" s="176">
        <f t="shared" si="1"/>
        <v>0.17601011459034385</v>
      </c>
      <c r="I14" s="338"/>
      <c r="J14" s="370" t="s">
        <v>347</v>
      </c>
      <c r="K14" s="371">
        <f>G231</f>
        <v>154</v>
      </c>
      <c r="M14" s="359">
        <f t="shared" si="3"/>
        <v>420.19901016689045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490">
        <f>'[64]Sch B'!E32</f>
        <v>57235.32</v>
      </c>
      <c r="D15" s="490">
        <f>'[64]Sch B'!G32</f>
        <v>0</v>
      </c>
      <c r="E15" s="171">
        <f t="shared" si="2"/>
        <v>57235.32</v>
      </c>
      <c r="F15" s="418">
        <v>244285.64999999997</v>
      </c>
      <c r="G15" s="171">
        <f t="shared" si="0"/>
        <v>301520.96999999997</v>
      </c>
      <c r="H15" s="172">
        <f t="shared" si="1"/>
        <v>2.4227711711496739E-2</v>
      </c>
      <c r="I15" s="337"/>
      <c r="J15" s="370" t="s">
        <v>348</v>
      </c>
      <c r="K15" s="371">
        <f>G235</f>
        <v>56210</v>
      </c>
      <c r="M15" s="359">
        <f t="shared" si="3"/>
        <v>241.99114767255213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490">
        <f>'[64]Sch B'!E37</f>
        <v>657629.89</v>
      </c>
      <c r="D16" s="490">
        <f>'[64]Sch B'!G37</f>
        <v>0</v>
      </c>
      <c r="E16" s="171">
        <f t="shared" si="2"/>
        <v>657629.89</v>
      </c>
      <c r="F16" s="418">
        <v>434419.18</v>
      </c>
      <c r="G16" s="171">
        <f t="shared" si="0"/>
        <v>1092049.07</v>
      </c>
      <c r="H16" s="172">
        <f t="shared" si="1"/>
        <v>8.7747960093018162E-2</v>
      </c>
      <c r="I16" s="337"/>
      <c r="J16" s="372"/>
      <c r="K16" s="371"/>
      <c r="M16" s="359">
        <f t="shared" si="3"/>
        <v>213.49932942326492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490">
        <f>'[64]Sch B'!E42</f>
        <v>255988.11000000002</v>
      </c>
      <c r="D17" s="490">
        <f>'[64]Sch B'!G42</f>
        <v>0</v>
      </c>
      <c r="E17" s="171">
        <f t="shared" si="2"/>
        <v>255988.11000000002</v>
      </c>
      <c r="F17" s="418">
        <v>178363.63</v>
      </c>
      <c r="G17" s="171">
        <f>E17+F17</f>
        <v>434351.74</v>
      </c>
      <c r="H17" s="172">
        <f t="shared" si="1"/>
        <v>3.4900885129505212E-2</v>
      </c>
      <c r="I17" s="337"/>
      <c r="J17" s="370" t="s">
        <v>156</v>
      </c>
      <c r="K17" s="371">
        <f>J208</f>
        <v>215240.67724899997</v>
      </c>
      <c r="M17" s="359">
        <f t="shared" si="3"/>
        <v>180.67876039933444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490">
        <f>'[64]Sch B'!E47</f>
        <v>15827.62</v>
      </c>
      <c r="D18" s="490">
        <f>'[64]Sch B'!G47</f>
        <v>0</v>
      </c>
      <c r="E18" s="171">
        <f t="shared" si="2"/>
        <v>15827.62</v>
      </c>
      <c r="F18" s="418">
        <v>19837.61</v>
      </c>
      <c r="G18" s="171">
        <f>E18+F18</f>
        <v>35665.230000000003</v>
      </c>
      <c r="H18" s="172">
        <f t="shared" si="1"/>
        <v>2.8657605823045242E-3</v>
      </c>
      <c r="I18" s="337"/>
      <c r="J18" s="373" t="s">
        <v>252</v>
      </c>
      <c r="K18" s="374">
        <f>K208</f>
        <v>226528.53724899999</v>
      </c>
      <c r="M18" s="359">
        <f t="shared" si="3"/>
        <v>209.7954705882353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490">
        <f>'[64]Sch B'!E52</f>
        <v>0</v>
      </c>
      <c r="D19" s="490">
        <f>'[64]Sch B'!G52</f>
        <v>0</v>
      </c>
      <c r="E19" s="171">
        <f t="shared" si="2"/>
        <v>0</v>
      </c>
      <c r="F19" s="418">
        <v>0</v>
      </c>
      <c r="G19" s="171">
        <f t="shared" si="0"/>
        <v>0</v>
      </c>
      <c r="H19" s="172">
        <f t="shared" si="1"/>
        <v>0</v>
      </c>
      <c r="I19" s="337"/>
      <c r="J19" s="168"/>
      <c r="K19" s="168"/>
      <c r="M19" s="359">
        <f t="shared" si="3"/>
        <v>0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490">
        <f>'[64]Sch B'!E67</f>
        <v>11223.19</v>
      </c>
      <c r="D20" s="490">
        <f>'[64]Sch B'!G67</f>
        <v>-7784.43</v>
      </c>
      <c r="E20" s="171">
        <f t="shared" si="2"/>
        <v>3438.76</v>
      </c>
      <c r="F20" s="675">
        <f>1046706.68-1046706.68</f>
        <v>0</v>
      </c>
      <c r="G20" s="171">
        <f t="shared" si="0"/>
        <v>3438.76</v>
      </c>
      <c r="H20" s="172">
        <f t="shared" si="1"/>
        <v>2.7631008856540402E-4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490">
        <f>SUM(C11:C20)</f>
        <v>6392018.8200000022</v>
      </c>
      <c r="D21" s="490">
        <f>SUM(D11:D20)</f>
        <v>-7784.43</v>
      </c>
      <c r="E21" s="171">
        <f>SUM(E11:E20)</f>
        <v>6384234.3900000015</v>
      </c>
      <c r="F21" s="418">
        <f>SUM(F11:F20)</f>
        <v>6061058.5700000003</v>
      </c>
      <c r="G21" s="171">
        <f>SUM(G11:G20)</f>
        <v>12445292.960000003</v>
      </c>
      <c r="H21" s="172">
        <f t="shared" si="1"/>
        <v>1</v>
      </c>
      <c r="I21" s="337"/>
      <c r="J21" s="168"/>
      <c r="K21" s="168"/>
      <c r="M21" s="359">
        <f>IFERROR(G21/G228,0)</f>
        <v>293.86760236127515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436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643" t="s">
        <v>613</v>
      </c>
      <c r="G23" s="144"/>
      <c r="M23" s="363"/>
      <c r="N23" s="363"/>
    </row>
    <row r="24" spans="1:14">
      <c r="A24" s="181" t="s">
        <v>161</v>
      </c>
      <c r="B24" s="148" t="s">
        <v>12</v>
      </c>
      <c r="F24" s="643" t="s">
        <v>604</v>
      </c>
      <c r="M24" s="363"/>
      <c r="N24" s="363"/>
    </row>
    <row r="25" spans="1:14" s="167" customFormat="1">
      <c r="A25" s="169" t="s">
        <v>83</v>
      </c>
      <c r="B25" s="170" t="s">
        <v>14</v>
      </c>
      <c r="C25" s="490">
        <f>'[64]Sch C'!D10</f>
        <v>164920.58499999996</v>
      </c>
      <c r="D25" s="490">
        <f>'[64]Sch C'!F10</f>
        <v>0</v>
      </c>
      <c r="E25" s="171">
        <f t="shared" ref="E25:E60" si="4">C25+D25</f>
        <v>164920.58499999996</v>
      </c>
      <c r="F25" s="675">
        <v>50013</v>
      </c>
      <c r="G25" s="182">
        <f>E25+F25</f>
        <v>214933.58499999996</v>
      </c>
      <c r="H25" s="172">
        <f>IF($G$208=0,0,G25/$G$208)</f>
        <v>2.0154152205787E-2</v>
      </c>
      <c r="I25" s="337"/>
      <c r="J25" s="183">
        <v>1213.3799999999999</v>
      </c>
      <c r="K25" s="183">
        <v>1357</v>
      </c>
      <c r="M25" s="359">
        <f>G25/G$228</f>
        <v>5.075173199527744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490">
        <f>'[64]Sch C'!D11</f>
        <v>0</v>
      </c>
      <c r="D26" s="490">
        <f>'[64]Sch C'!F11</f>
        <v>0</v>
      </c>
      <c r="E26" s="171">
        <f t="shared" si="4"/>
        <v>0</v>
      </c>
      <c r="F26" s="418">
        <v>0</v>
      </c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490">
        <f>'[64]Sch C'!D12</f>
        <v>199084.11999999997</v>
      </c>
      <c r="D27" s="490">
        <f>'[64]Sch C'!F12</f>
        <v>-62222.35</v>
      </c>
      <c r="E27" s="171">
        <f t="shared" si="4"/>
        <v>136861.76999999996</v>
      </c>
      <c r="F27" s="675">
        <v>141655</v>
      </c>
      <c r="G27" s="171">
        <f t="shared" si="5"/>
        <v>278516.76999999996</v>
      </c>
      <c r="H27" s="172">
        <f t="shared" si="6"/>
        <v>2.6116297154975432E-2</v>
      </c>
      <c r="I27" s="337"/>
      <c r="J27" s="185">
        <v>6877.409999999998</v>
      </c>
      <c r="K27" s="185">
        <v>7352.159999999998</v>
      </c>
      <c r="M27" s="359">
        <f t="shared" si="7"/>
        <v>6.5765471074380155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490">
        <f>'[64]Sch C'!D13</f>
        <v>96803.89</v>
      </c>
      <c r="D28" s="490">
        <f>'[64]Sch C'!F13</f>
        <v>0</v>
      </c>
      <c r="E28" s="171">
        <f t="shared" si="4"/>
        <v>96803.89</v>
      </c>
      <c r="F28" s="675">
        <v>77857</v>
      </c>
      <c r="G28" s="171">
        <f t="shared" si="5"/>
        <v>174660.89</v>
      </c>
      <c r="H28" s="172">
        <f t="shared" si="6"/>
        <v>1.6377813460182231E-2</v>
      </c>
      <c r="I28" s="337"/>
      <c r="J28" s="168"/>
      <c r="K28" s="168"/>
      <c r="M28" s="359">
        <f t="shared" si="7"/>
        <v>4.1242240850059035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490">
        <f>'[64]Sch C'!D14</f>
        <v>0</v>
      </c>
      <c r="D29" s="490">
        <f>'[64]Sch C'!F14</f>
        <v>0</v>
      </c>
      <c r="E29" s="171">
        <f t="shared" si="4"/>
        <v>0</v>
      </c>
      <c r="F29" s="418">
        <v>0</v>
      </c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490">
        <f>'[64]Sch C'!D15</f>
        <v>275520.03000000003</v>
      </c>
      <c r="D30" s="490">
        <f>'[64]Sch C'!F15</f>
        <v>-275520.03000000003</v>
      </c>
      <c r="E30" s="171">
        <f t="shared" si="4"/>
        <v>0</v>
      </c>
      <c r="F30" s="675">
        <f>716181.19-716181.19</f>
        <v>0</v>
      </c>
      <c r="G30" s="171">
        <f t="shared" si="5"/>
        <v>0</v>
      </c>
      <c r="H30" s="172">
        <f t="shared" si="6"/>
        <v>0</v>
      </c>
      <c r="I30" s="337"/>
      <c r="J30" s="168"/>
      <c r="K30" s="168"/>
      <c r="M30" s="359">
        <f t="shared" si="7"/>
        <v>0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490">
        <f>'[64]Sch C'!D16</f>
        <v>0</v>
      </c>
      <c r="D31" s="490">
        <f>'[64]Sch C'!F16</f>
        <v>669803</v>
      </c>
      <c r="E31" s="171">
        <f t="shared" si="4"/>
        <v>669803</v>
      </c>
      <c r="F31" s="675">
        <v>279085</v>
      </c>
      <c r="G31" s="171">
        <f t="shared" si="5"/>
        <v>948888</v>
      </c>
      <c r="H31" s="172">
        <f t="shared" si="6"/>
        <v>8.8976476981225697E-2</v>
      </c>
      <c r="I31" s="337"/>
      <c r="J31" s="168"/>
      <c r="K31" s="168"/>
      <c r="M31" s="359">
        <f t="shared" si="7"/>
        <v>22.405855962219597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490">
        <f>'[64]Sch C'!D17</f>
        <v>200</v>
      </c>
      <c r="D32" s="490">
        <f>'[64]Sch C'!F17</f>
        <v>0</v>
      </c>
      <c r="E32" s="171">
        <f t="shared" si="4"/>
        <v>200</v>
      </c>
      <c r="F32" s="418">
        <v>350</v>
      </c>
      <c r="G32" s="171">
        <f t="shared" si="5"/>
        <v>550</v>
      </c>
      <c r="H32" s="172">
        <f t="shared" si="6"/>
        <v>5.1573064829225507E-5</v>
      </c>
      <c r="I32" s="337"/>
      <c r="J32" s="168"/>
      <c r="K32" s="168"/>
      <c r="M32" s="359">
        <f t="shared" si="7"/>
        <v>1.2987012987012988E-2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490">
        <f>'[64]Sch C'!D18</f>
        <v>29578.02</v>
      </c>
      <c r="D33" s="490">
        <f>'[64]Sch C'!F18</f>
        <v>0</v>
      </c>
      <c r="E33" s="171">
        <f t="shared" si="4"/>
        <v>29578.02</v>
      </c>
      <c r="F33" s="418">
        <v>15480.55</v>
      </c>
      <c r="G33" s="171">
        <f t="shared" si="5"/>
        <v>45058.57</v>
      </c>
      <c r="H33" s="172">
        <f t="shared" si="6"/>
        <v>4.2251064576767196E-3</v>
      </c>
      <c r="I33" s="337"/>
      <c r="J33" s="168"/>
      <c r="K33" s="168"/>
      <c r="M33" s="359">
        <f t="shared" si="7"/>
        <v>1.0639567886658796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490">
        <f>'[64]Sch C'!D19</f>
        <v>11879.580000000002</v>
      </c>
      <c r="D34" s="490">
        <f>'[64]Sch C'!F19</f>
        <v>0</v>
      </c>
      <c r="E34" s="171">
        <f t="shared" si="4"/>
        <v>11879.580000000002</v>
      </c>
      <c r="F34" s="418">
        <v>13533.26</v>
      </c>
      <c r="G34" s="171">
        <f t="shared" si="5"/>
        <v>25412.840000000004</v>
      </c>
      <c r="H34" s="172">
        <f t="shared" si="6"/>
        <v>2.3829418996631551E-3</v>
      </c>
      <c r="I34" s="337"/>
      <c r="J34" s="168"/>
      <c r="K34" s="168"/>
      <c r="M34" s="359">
        <f t="shared" si="7"/>
        <v>0.60006706021251488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490">
        <f>'[64]Sch C'!D20</f>
        <v>18074.89</v>
      </c>
      <c r="D35" s="490">
        <f>'[64]Sch C'!F20</f>
        <v>-8.65</v>
      </c>
      <c r="E35" s="171">
        <f t="shared" si="4"/>
        <v>18066.239999999998</v>
      </c>
      <c r="F35" s="418">
        <v>11818.59</v>
      </c>
      <c r="G35" s="171">
        <f t="shared" si="5"/>
        <v>29884.829999999998</v>
      </c>
      <c r="H35" s="172">
        <f t="shared" si="6"/>
        <v>2.8022768636370605E-3</v>
      </c>
      <c r="I35" s="337"/>
      <c r="J35" s="168"/>
      <c r="K35" s="168"/>
      <c r="M35" s="359">
        <f t="shared" si="7"/>
        <v>0.70566304604486418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490">
        <f>'[64]Sch C'!D21</f>
        <v>10705.32</v>
      </c>
      <c r="D36" s="490">
        <f>'[64]Sch C'!F21</f>
        <v>74773</v>
      </c>
      <c r="E36" s="171">
        <f t="shared" si="4"/>
        <v>85478.32</v>
      </c>
      <c r="F36" s="675">
        <f>66057.87-62157</f>
        <v>3900.8699999999953</v>
      </c>
      <c r="G36" s="171">
        <f t="shared" si="5"/>
        <v>89379.19</v>
      </c>
      <c r="H36" s="172">
        <f t="shared" si="6"/>
        <v>8.3810159277339352E-3</v>
      </c>
      <c r="I36" s="337"/>
      <c r="J36" s="168"/>
      <c r="K36" s="168"/>
      <c r="M36" s="359">
        <f t="shared" si="7"/>
        <v>2.1104885478158204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490">
        <f>'[64]Sch C'!D22</f>
        <v>0</v>
      </c>
      <c r="D37" s="490">
        <f>'[64]Sch C'!F22</f>
        <v>0</v>
      </c>
      <c r="E37" s="171">
        <f t="shared" si="4"/>
        <v>0</v>
      </c>
      <c r="F37" s="418">
        <v>0</v>
      </c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490">
        <f>'[64]Sch C'!D23</f>
        <v>18999.29</v>
      </c>
      <c r="D38" s="490">
        <f>'[64]Sch C'!F23</f>
        <v>0</v>
      </c>
      <c r="E38" s="171">
        <f t="shared" si="4"/>
        <v>18999.29</v>
      </c>
      <c r="F38" s="418">
        <v>14596.87</v>
      </c>
      <c r="G38" s="171">
        <f t="shared" si="5"/>
        <v>33596.160000000003</v>
      </c>
      <c r="H38" s="172">
        <f t="shared" si="6"/>
        <v>3.1502853412600602E-3</v>
      </c>
      <c r="I38" s="337"/>
      <c r="J38" s="168"/>
      <c r="K38" s="168"/>
      <c r="M38" s="359">
        <f t="shared" si="7"/>
        <v>0.79329775678866599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490">
        <f>'[64]Sch C'!D24</f>
        <v>33818.479999999996</v>
      </c>
      <c r="D39" s="490">
        <f>'[64]Sch C'!F24</f>
        <v>0</v>
      </c>
      <c r="E39" s="171">
        <f t="shared" si="4"/>
        <v>33818.479999999996</v>
      </c>
      <c r="F39" s="418">
        <v>24426.2</v>
      </c>
      <c r="G39" s="171">
        <f t="shared" si="5"/>
        <v>58244.679999999993</v>
      </c>
      <c r="H39" s="172">
        <f t="shared" si="6"/>
        <v>5.4615575592681705E-3</v>
      </c>
      <c r="I39" s="337"/>
      <c r="J39" s="168"/>
      <c r="K39" s="168"/>
      <c r="M39" s="359">
        <f t="shared" si="7"/>
        <v>1.3753171192443918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490">
        <f>'[64]Sch C'!D25</f>
        <v>0</v>
      </c>
      <c r="D40" s="490">
        <f>'[64]Sch C'!F25</f>
        <v>0</v>
      </c>
      <c r="E40" s="171">
        <f t="shared" si="4"/>
        <v>0</v>
      </c>
      <c r="F40" s="418">
        <v>0</v>
      </c>
      <c r="G40" s="171">
        <f t="shared" si="5"/>
        <v>0</v>
      </c>
      <c r="H40" s="172">
        <f t="shared" si="6"/>
        <v>0</v>
      </c>
      <c r="I40" s="337"/>
      <c r="J40" s="168"/>
      <c r="K40" s="168"/>
      <c r="M40" s="359">
        <f t="shared" si="7"/>
        <v>0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490">
        <f>'[64]Sch C'!D26</f>
        <v>267792.26</v>
      </c>
      <c r="D41" s="490">
        <f>'[64]Sch C'!F26</f>
        <v>-17.059999999999999</v>
      </c>
      <c r="E41" s="171">
        <f t="shared" si="4"/>
        <v>267775.2</v>
      </c>
      <c r="F41" s="418">
        <v>205667</v>
      </c>
      <c r="G41" s="171">
        <f t="shared" si="5"/>
        <v>473442.2</v>
      </c>
      <c r="H41" s="172">
        <f t="shared" si="6"/>
        <v>4.4394300497256636E-2</v>
      </c>
      <c r="I41" s="337"/>
      <c r="J41" s="168"/>
      <c r="K41" s="168"/>
      <c r="M41" s="359">
        <f t="shared" si="7"/>
        <v>11.179272727272728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490">
        <f>'[64]Sch C'!D27</f>
        <v>8898.68</v>
      </c>
      <c r="D42" s="490">
        <f>'[64]Sch C'!F27</f>
        <v>12891.49</v>
      </c>
      <c r="E42" s="171">
        <f t="shared" si="4"/>
        <v>21790.17</v>
      </c>
      <c r="F42" s="418">
        <v>7412.116</v>
      </c>
      <c r="G42" s="171">
        <f t="shared" si="5"/>
        <v>29202.286</v>
      </c>
      <c r="H42" s="172">
        <f t="shared" si="6"/>
        <v>2.7382752527992443E-3</v>
      </c>
      <c r="I42" s="337"/>
      <c r="J42" s="168"/>
      <c r="K42" s="168"/>
      <c r="M42" s="359">
        <f t="shared" si="7"/>
        <v>0.6895463046044864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490">
        <f>'[64]Sch C'!D28</f>
        <v>0</v>
      </c>
      <c r="D43" s="490">
        <f>'[64]Sch C'!F28</f>
        <v>0</v>
      </c>
      <c r="E43" s="171">
        <f t="shared" si="4"/>
        <v>0</v>
      </c>
      <c r="F43" s="418">
        <v>0</v>
      </c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490">
        <f>'[64]Sch C'!D29</f>
        <v>124268.13099999999</v>
      </c>
      <c r="D44" s="490">
        <f>'[64]Sch C'!F29</f>
        <v>-124268.13099999999</v>
      </c>
      <c r="E44" s="171">
        <f t="shared" si="4"/>
        <v>0</v>
      </c>
      <c r="F44" s="418">
        <v>0</v>
      </c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490">
        <f>'[64]Sch C'!D30</f>
        <v>0</v>
      </c>
      <c r="D45" s="490">
        <f>'[64]Sch C'!F30</f>
        <v>0</v>
      </c>
      <c r="E45" s="171">
        <f t="shared" si="4"/>
        <v>0</v>
      </c>
      <c r="F45" s="418">
        <v>0</v>
      </c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490">
        <f>'[64]Sch C'!D31</f>
        <v>0</v>
      </c>
      <c r="D46" s="490">
        <f>'[64]Sch C'!F31</f>
        <v>0</v>
      </c>
      <c r="E46" s="171">
        <f t="shared" si="4"/>
        <v>0</v>
      </c>
      <c r="F46" s="418">
        <v>0</v>
      </c>
      <c r="G46" s="171">
        <f t="shared" si="5"/>
        <v>0</v>
      </c>
      <c r="H46" s="172">
        <f t="shared" si="6"/>
        <v>0</v>
      </c>
      <c r="I46" s="337"/>
      <c r="J46" s="168"/>
      <c r="K46" s="168"/>
      <c r="M46" s="359">
        <f t="shared" si="7"/>
        <v>0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490">
        <f>'[64]Sch C'!D32</f>
        <v>81384.890000000014</v>
      </c>
      <c r="D47" s="490">
        <f>'[64]Sch C'!F32</f>
        <v>0</v>
      </c>
      <c r="E47" s="171">
        <f t="shared" si="4"/>
        <v>81384.890000000014</v>
      </c>
      <c r="F47" s="418">
        <v>58231.27</v>
      </c>
      <c r="G47" s="171">
        <f t="shared" si="5"/>
        <v>139616.16</v>
      </c>
      <c r="H47" s="172">
        <f t="shared" si="6"/>
        <v>1.309169685615913E-2</v>
      </c>
      <c r="I47" s="337"/>
      <c r="J47" s="168"/>
      <c r="K47" s="168"/>
      <c r="M47" s="359">
        <f t="shared" si="7"/>
        <v>3.2967216056670603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490">
        <f>'[64]Sch C'!D33</f>
        <v>0</v>
      </c>
      <c r="D48" s="490">
        <f>'[64]Sch C'!F33</f>
        <v>0</v>
      </c>
      <c r="E48" s="171">
        <f t="shared" si="4"/>
        <v>0</v>
      </c>
      <c r="F48" s="418">
        <v>0</v>
      </c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490">
        <f>'[64]Sch C'!D34</f>
        <v>0</v>
      </c>
      <c r="D49" s="490">
        <f>'[64]Sch C'!F34</f>
        <v>0</v>
      </c>
      <c r="E49" s="171">
        <f t="shared" si="4"/>
        <v>0</v>
      </c>
      <c r="F49" s="418">
        <v>0</v>
      </c>
      <c r="G49" s="171">
        <f t="shared" si="5"/>
        <v>0</v>
      </c>
      <c r="H49" s="172">
        <f t="shared" si="6"/>
        <v>0</v>
      </c>
      <c r="I49" s="337"/>
      <c r="J49" s="168"/>
      <c r="K49" s="168"/>
      <c r="M49" s="359">
        <f t="shared" si="7"/>
        <v>0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490">
        <f>'[64]Sch C'!D35</f>
        <v>91.52</v>
      </c>
      <c r="D50" s="490">
        <f>'[64]Sch C'!F35</f>
        <v>-91.52</v>
      </c>
      <c r="E50" s="171">
        <f t="shared" si="4"/>
        <v>0</v>
      </c>
      <c r="F50" s="418">
        <v>0</v>
      </c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490">
        <f>'[64]Sch C'!D36</f>
        <v>0</v>
      </c>
      <c r="D51" s="490">
        <f>'[64]Sch C'!F36</f>
        <v>0</v>
      </c>
      <c r="E51" s="171">
        <f t="shared" si="4"/>
        <v>0</v>
      </c>
      <c r="F51" s="418">
        <v>0</v>
      </c>
      <c r="G51" s="171">
        <f t="shared" si="5"/>
        <v>0</v>
      </c>
      <c r="H51" s="172">
        <f t="shared" si="6"/>
        <v>0</v>
      </c>
      <c r="I51" s="337"/>
      <c r="J51" s="183">
        <v>0</v>
      </c>
      <c r="K51" s="183">
        <v>0</v>
      </c>
      <c r="M51" s="359">
        <f t="shared" si="7"/>
        <v>0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490">
        <f>'[64]Sch C'!D37</f>
        <v>0</v>
      </c>
      <c r="D52" s="490">
        <f>'[64]Sch C'!F37</f>
        <v>0</v>
      </c>
      <c r="E52" s="171">
        <f t="shared" si="4"/>
        <v>0</v>
      </c>
      <c r="F52" s="418">
        <v>0</v>
      </c>
      <c r="G52" s="171">
        <f t="shared" si="5"/>
        <v>0</v>
      </c>
      <c r="H52" s="172">
        <f t="shared" si="6"/>
        <v>0</v>
      </c>
      <c r="I52" s="337"/>
      <c r="J52" s="168"/>
      <c r="K52" s="168"/>
      <c r="M52" s="359">
        <f t="shared" si="7"/>
        <v>0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490">
        <f>'[64]Sch C'!D38</f>
        <v>0</v>
      </c>
      <c r="D53" s="490">
        <f>'[64]Sch C'!F38</f>
        <v>0</v>
      </c>
      <c r="E53" s="171">
        <f t="shared" si="4"/>
        <v>0</v>
      </c>
      <c r="F53" s="418">
        <v>0</v>
      </c>
      <c r="G53" s="171">
        <f t="shared" si="5"/>
        <v>0</v>
      </c>
      <c r="H53" s="172">
        <f t="shared" si="6"/>
        <v>0</v>
      </c>
      <c r="I53" s="337"/>
      <c r="J53" s="168"/>
      <c r="K53" s="168"/>
      <c r="M53" s="359">
        <f t="shared" si="7"/>
        <v>0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490">
        <f>'[64]Sch C'!D39</f>
        <v>14875.31</v>
      </c>
      <c r="D54" s="490">
        <f>'[64]Sch C'!F39</f>
        <v>403</v>
      </c>
      <c r="E54" s="171">
        <f t="shared" si="4"/>
        <v>15278.31</v>
      </c>
      <c r="F54" s="418">
        <v>11505.94</v>
      </c>
      <c r="G54" s="171">
        <f t="shared" si="5"/>
        <v>26784.25</v>
      </c>
      <c r="H54" s="172">
        <f t="shared" si="6"/>
        <v>2.5115379302766967E-3</v>
      </c>
      <c r="I54" s="337"/>
      <c r="J54" s="168"/>
      <c r="K54" s="168"/>
      <c r="M54" s="359">
        <f t="shared" si="7"/>
        <v>0.63244982290436835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490">
        <f>'[64]Sch C'!D40</f>
        <v>29828.87</v>
      </c>
      <c r="D55" s="490">
        <f>'[64]Sch C'!F40</f>
        <v>-29828.87</v>
      </c>
      <c r="E55" s="171">
        <f t="shared" si="4"/>
        <v>0</v>
      </c>
      <c r="F55" s="418">
        <v>0</v>
      </c>
      <c r="G55" s="171">
        <f t="shared" si="5"/>
        <v>0</v>
      </c>
      <c r="H55" s="172">
        <f t="shared" si="6"/>
        <v>0</v>
      </c>
      <c r="I55" s="337"/>
      <c r="J55" s="168"/>
      <c r="K55" s="168"/>
      <c r="M55" s="359">
        <f t="shared" si="7"/>
        <v>0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490">
        <f>'[64]Sch C'!D41</f>
        <v>10827.01</v>
      </c>
      <c r="D56" s="490">
        <f>'[64]Sch C'!F41</f>
        <v>48884</v>
      </c>
      <c r="E56" s="171">
        <f t="shared" si="4"/>
        <v>59711.01</v>
      </c>
      <c r="F56" s="675">
        <f>456640.33-450348</f>
        <v>6292.3300000000163</v>
      </c>
      <c r="G56" s="171">
        <f t="shared" si="5"/>
        <v>66003.340000000026</v>
      </c>
      <c r="H56" s="172">
        <f t="shared" si="6"/>
        <v>6.1890809686643896E-3</v>
      </c>
      <c r="I56" s="337"/>
      <c r="J56" s="168"/>
      <c r="K56" s="168"/>
      <c r="M56" s="359">
        <f t="shared" si="7"/>
        <v>1.5585204250295166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490">
        <f>'[64]Sch C'!D42</f>
        <v>2882.46</v>
      </c>
      <c r="D57" s="490">
        <f>'[64]Sch C'!F42</f>
        <v>0</v>
      </c>
      <c r="E57" s="171">
        <f t="shared" si="4"/>
        <v>2882.46</v>
      </c>
      <c r="F57" s="418">
        <v>0</v>
      </c>
      <c r="G57" s="171">
        <f t="shared" si="5"/>
        <v>2882.46</v>
      </c>
      <c r="H57" s="172">
        <f t="shared" si="6"/>
        <v>2.7028599354118063E-4</v>
      </c>
      <c r="I57" s="337"/>
      <c r="J57" s="168"/>
      <c r="K57" s="168"/>
      <c r="M57" s="359">
        <f t="shared" si="7"/>
        <v>6.8062809917355374E-2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490">
        <f>'[64]Sch C'!D43</f>
        <v>0</v>
      </c>
      <c r="D58" s="490">
        <f>'[64]Sch C'!F43</f>
        <v>0</v>
      </c>
      <c r="E58" s="171">
        <f t="shared" si="4"/>
        <v>0</v>
      </c>
      <c r="F58" s="418">
        <v>0</v>
      </c>
      <c r="G58" s="171">
        <f t="shared" si="5"/>
        <v>0</v>
      </c>
      <c r="H58" s="172">
        <f t="shared" si="6"/>
        <v>0</v>
      </c>
      <c r="I58" s="337"/>
      <c r="J58" s="168"/>
      <c r="K58" s="168"/>
      <c r="M58" s="359">
        <f t="shared" si="7"/>
        <v>0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490">
        <f>'[64]Sch C'!D44</f>
        <v>7</v>
      </c>
      <c r="D59" s="490">
        <f>'[64]Sch C'!F44</f>
        <v>0</v>
      </c>
      <c r="E59" s="171">
        <f t="shared" si="4"/>
        <v>7</v>
      </c>
      <c r="F59" s="418">
        <v>0</v>
      </c>
      <c r="G59" s="171">
        <f t="shared" si="5"/>
        <v>7</v>
      </c>
      <c r="H59" s="172">
        <f t="shared" si="6"/>
        <v>6.5638446146287009E-7</v>
      </c>
      <c r="I59" s="337"/>
      <c r="J59" s="168"/>
      <c r="K59" s="168"/>
      <c r="M59" s="359">
        <f t="shared" si="7"/>
        <v>1.6528925619834712E-4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490">
        <f>'[64]Sch C'!D45</f>
        <v>2309.37</v>
      </c>
      <c r="D60" s="490">
        <f>'[64]Sch C'!F45</f>
        <v>-1735.74</v>
      </c>
      <c r="E60" s="171">
        <f t="shared" si="4"/>
        <v>573.62999999999988</v>
      </c>
      <c r="F60" s="418">
        <v>1053.2</v>
      </c>
      <c r="G60" s="171">
        <f t="shared" si="5"/>
        <v>1626.83</v>
      </c>
      <c r="H60" s="172">
        <f t="shared" si="6"/>
        <v>1.5254656192023442E-4</v>
      </c>
      <c r="I60" s="337"/>
      <c r="J60" s="168"/>
      <c r="K60" s="168"/>
      <c r="M60" s="359">
        <f t="shared" si="7"/>
        <v>3.8413931523022429E-2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490">
        <f>SUM(C25:C60)</f>
        <v>1402749.706</v>
      </c>
      <c r="D61" s="490">
        <f>SUM(D25:D60)</f>
        <v>313062.13899999997</v>
      </c>
      <c r="E61" s="171">
        <f t="shared" ref="E61:F61" si="8">SUM(E25:E60)</f>
        <v>1715811.845</v>
      </c>
      <c r="F61" s="171">
        <f t="shared" si="8"/>
        <v>922878.196</v>
      </c>
      <c r="G61" s="171">
        <f>SUM(G25:G60)</f>
        <v>2638690.0409999997</v>
      </c>
      <c r="H61" s="186">
        <f t="shared" si="6"/>
        <v>0.24742787736131763</v>
      </c>
      <c r="I61" s="339"/>
      <c r="J61" s="168"/>
      <c r="K61" s="168"/>
      <c r="M61" s="364">
        <f>G61/G$228</f>
        <v>62.306730602125143</v>
      </c>
      <c r="N61" s="359">
        <f>SUMMARY!J64</f>
        <v>50.526072695090264</v>
      </c>
    </row>
    <row r="62" spans="1:14" s="167" customFormat="1" ht="15">
      <c r="A62" s="163"/>
      <c r="C62" s="165"/>
      <c r="D62" s="165"/>
      <c r="E62" s="165"/>
      <c r="F62" s="642" t="s">
        <v>618</v>
      </c>
      <c r="G62" s="165"/>
      <c r="H62" s="187"/>
      <c r="I62" s="340"/>
      <c r="J62" s="168"/>
      <c r="K62" s="168"/>
      <c r="M62" s="359"/>
      <c r="N62" s="359"/>
    </row>
    <row r="63" spans="1:14" s="167" customFormat="1" ht="15">
      <c r="A63" s="169" t="s">
        <v>162</v>
      </c>
      <c r="B63" s="170" t="s">
        <v>178</v>
      </c>
      <c r="C63" s="165"/>
      <c r="D63" s="165"/>
      <c r="E63" s="165"/>
      <c r="F63" s="642" t="s">
        <v>619</v>
      </c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490">
        <f>'[64]Sch C'!D57</f>
        <v>299614.66200000001</v>
      </c>
      <c r="D64" s="490">
        <f>'[64]Sch C'!F57</f>
        <v>-299614.66200000001</v>
      </c>
      <c r="E64" s="171">
        <f t="shared" ref="E64:E78" si="9">C64+D64</f>
        <v>0</v>
      </c>
      <c r="F64" s="675">
        <f>585520.85-585520.85</f>
        <v>0</v>
      </c>
      <c r="G64" s="171">
        <f t="shared" ref="G64:G78" si="10">E64+F64</f>
        <v>0</v>
      </c>
      <c r="H64" s="172">
        <f t="shared" ref="H64:H79" si="11">IF($G$208=0,0,G64/$G$208)</f>
        <v>0</v>
      </c>
      <c r="I64" s="337"/>
      <c r="J64" s="190"/>
      <c r="K64" s="168"/>
      <c r="M64" s="359">
        <f t="shared" ref="M64:M79" si="12">G64/G$228</f>
        <v>0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490">
        <f>'[64]Sch C'!D58</f>
        <v>16095.960000000001</v>
      </c>
      <c r="D65" s="490">
        <f>'[64]Sch C'!F58</f>
        <v>76179.72</v>
      </c>
      <c r="E65" s="171">
        <f t="shared" si="9"/>
        <v>92275.680000000008</v>
      </c>
      <c r="F65" s="675">
        <f>944.003333333333+48410</f>
        <v>49354.003333333334</v>
      </c>
      <c r="G65" s="171">
        <f t="shared" si="10"/>
        <v>141629.68333333335</v>
      </c>
      <c r="H65" s="172">
        <f t="shared" si="11"/>
        <v>1.3280503345986691E-2</v>
      </c>
      <c r="I65" s="337"/>
      <c r="J65" s="190"/>
      <c r="K65" s="168"/>
      <c r="M65" s="359">
        <f t="shared" si="12"/>
        <v>3.3442664305391583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490">
        <f>'[64]Sch C'!D59</f>
        <v>0</v>
      </c>
      <c r="D66" s="490">
        <f>'[64]Sch C'!F59</f>
        <v>278429.28000000003</v>
      </c>
      <c r="E66" s="171">
        <f t="shared" si="9"/>
        <v>278429.28000000003</v>
      </c>
      <c r="F66" s="675">
        <v>162443</v>
      </c>
      <c r="G66" s="171">
        <f t="shared" si="10"/>
        <v>440872.28</v>
      </c>
      <c r="H66" s="172">
        <f t="shared" si="11"/>
        <v>4.1340244868815386E-2</v>
      </c>
      <c r="I66" s="337"/>
      <c r="J66" s="190"/>
      <c r="K66" s="168"/>
      <c r="M66" s="359">
        <f t="shared" si="12"/>
        <v>10.410207319952775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490">
        <f>'[64]Sch C'!D60</f>
        <v>73586.490000000005</v>
      </c>
      <c r="D67" s="490">
        <f>'[64]Sch C'!F60</f>
        <v>0</v>
      </c>
      <c r="E67" s="171">
        <f t="shared" si="9"/>
        <v>73586.490000000005</v>
      </c>
      <c r="F67" s="675">
        <f>45599.15-1849</f>
        <v>43750.15</v>
      </c>
      <c r="G67" s="171">
        <f t="shared" si="10"/>
        <v>117336.64000000001</v>
      </c>
      <c r="H67" s="172">
        <f t="shared" si="11"/>
        <v>1.100256389375181E-2</v>
      </c>
      <c r="I67" s="337"/>
      <c r="J67" s="193"/>
      <c r="K67" s="168"/>
      <c r="M67" s="359">
        <f t="shared" si="12"/>
        <v>2.7706408500590323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490">
        <f>'[64]Sch C'!D61</f>
        <v>13878.689999999999</v>
      </c>
      <c r="D68" s="490">
        <f>'[64]Sch C'!F61</f>
        <v>8</v>
      </c>
      <c r="E68" s="171">
        <f t="shared" si="9"/>
        <v>13886.689999999999</v>
      </c>
      <c r="F68" s="418">
        <v>8253.48</v>
      </c>
      <c r="G68" s="171">
        <f t="shared" si="10"/>
        <v>22140.17</v>
      </c>
      <c r="H68" s="172">
        <f t="shared" si="11"/>
        <v>2.0760662231637701E-3</v>
      </c>
      <c r="I68" s="337"/>
      <c r="J68" s="193"/>
      <c r="K68" s="168"/>
      <c r="M68" s="359">
        <f t="shared" si="12"/>
        <v>0.52279031877213689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490">
        <f>'[64]Sch C'!D62</f>
        <v>449.4</v>
      </c>
      <c r="D69" s="490">
        <f>'[64]Sch C'!F62</f>
        <v>86.69</v>
      </c>
      <c r="E69" s="171">
        <f t="shared" si="9"/>
        <v>536.08999999999992</v>
      </c>
      <c r="F69" s="418">
        <v>0</v>
      </c>
      <c r="G69" s="171">
        <f t="shared" si="10"/>
        <v>536.08999999999992</v>
      </c>
      <c r="H69" s="172">
        <f t="shared" si="11"/>
        <v>5.0268735135089996E-5</v>
      </c>
      <c r="I69" s="337"/>
      <c r="J69" s="195"/>
      <c r="K69" s="168"/>
      <c r="M69" s="359">
        <f t="shared" si="12"/>
        <v>1.2658559622195984E-2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490">
        <f>'[64]Sch C'!D63</f>
        <v>0</v>
      </c>
      <c r="D70" s="490">
        <f>'[64]Sch C'!F63</f>
        <v>0</v>
      </c>
      <c r="E70" s="171">
        <f t="shared" si="9"/>
        <v>0</v>
      </c>
      <c r="F70" s="418">
        <v>0</v>
      </c>
      <c r="G70" s="171">
        <f t="shared" si="10"/>
        <v>0</v>
      </c>
      <c r="H70" s="172">
        <f t="shared" si="11"/>
        <v>0</v>
      </c>
      <c r="I70" s="337"/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490">
        <f>'[64]Sch C'!D64</f>
        <v>0</v>
      </c>
      <c r="D71" s="490">
        <f>'[64]Sch C'!F64</f>
        <v>0</v>
      </c>
      <c r="E71" s="171">
        <f t="shared" si="9"/>
        <v>0</v>
      </c>
      <c r="F71" s="418">
        <v>0</v>
      </c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490">
        <f>'[64]Sch C'!D65</f>
        <v>0</v>
      </c>
      <c r="D72" s="490">
        <f>'[64]Sch C'!F65</f>
        <v>0</v>
      </c>
      <c r="E72" s="171">
        <f t="shared" si="9"/>
        <v>0</v>
      </c>
      <c r="F72" s="418">
        <v>0</v>
      </c>
      <c r="G72" s="171">
        <f t="shared" si="10"/>
        <v>0</v>
      </c>
      <c r="H72" s="172">
        <f t="shared" si="11"/>
        <v>0</v>
      </c>
      <c r="I72" s="337"/>
      <c r="J72" s="195"/>
      <c r="K72" s="168"/>
      <c r="M72" s="359">
        <f t="shared" si="12"/>
        <v>0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490">
        <f>'[64]Sch C'!D66</f>
        <v>0</v>
      </c>
      <c r="D73" s="490">
        <f>'[64]Sch C'!F66</f>
        <v>0</v>
      </c>
      <c r="E73" s="171">
        <f t="shared" si="9"/>
        <v>0</v>
      </c>
      <c r="F73" s="418">
        <v>0</v>
      </c>
      <c r="G73" s="171">
        <f t="shared" si="10"/>
        <v>0</v>
      </c>
      <c r="H73" s="172">
        <f t="shared" si="11"/>
        <v>0</v>
      </c>
      <c r="I73" s="337"/>
      <c r="J73" s="195"/>
      <c r="K73" s="168"/>
      <c r="M73" s="359">
        <f t="shared" si="12"/>
        <v>0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490">
        <f>'[64]Sch C'!D67</f>
        <v>32614.960000000003</v>
      </c>
      <c r="D74" s="490">
        <f>'[64]Sch C'!F67</f>
        <v>81162.84</v>
      </c>
      <c r="E74" s="171">
        <f t="shared" si="9"/>
        <v>113777.8</v>
      </c>
      <c r="F74" s="675">
        <f>728.427694444444-73189</f>
        <v>-72460.572305555557</v>
      </c>
      <c r="G74" s="171">
        <f t="shared" si="10"/>
        <v>41317.227694444446</v>
      </c>
      <c r="H74" s="172">
        <f t="shared" si="11"/>
        <v>3.8742837499081001E-3</v>
      </c>
      <c r="I74" s="337"/>
      <c r="J74" s="195"/>
      <c r="K74" s="168"/>
      <c r="M74" s="359">
        <f t="shared" si="12"/>
        <v>0.97561340482749581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490">
        <f>'[64]Sch C'!D68</f>
        <v>0</v>
      </c>
      <c r="D75" s="490">
        <f>'[64]Sch C'!F68</f>
        <v>0</v>
      </c>
      <c r="E75" s="171">
        <f t="shared" si="9"/>
        <v>0</v>
      </c>
      <c r="F75" s="418">
        <v>0</v>
      </c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490">
        <f>'[64]Sch C'!D69</f>
        <v>0</v>
      </c>
      <c r="D76" s="490">
        <f>'[64]Sch C'!F69</f>
        <v>0</v>
      </c>
      <c r="E76" s="171">
        <f t="shared" si="9"/>
        <v>0</v>
      </c>
      <c r="F76" s="675">
        <v>1849</v>
      </c>
      <c r="G76" s="171">
        <f t="shared" si="10"/>
        <v>1849</v>
      </c>
      <c r="H76" s="172">
        <f t="shared" si="11"/>
        <v>1.7337926703497812E-4</v>
      </c>
      <c r="I76" s="337"/>
      <c r="J76" s="195"/>
      <c r="K76" s="168"/>
      <c r="M76" s="359">
        <f t="shared" si="12"/>
        <v>4.3659976387249118E-2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490">
        <f>'[64]Sch C'!D70</f>
        <v>0</v>
      </c>
      <c r="D77" s="490">
        <f>'[64]Sch C'!F70</f>
        <v>0</v>
      </c>
      <c r="E77" s="171">
        <f t="shared" si="9"/>
        <v>0</v>
      </c>
      <c r="F77" s="418">
        <v>0</v>
      </c>
      <c r="G77" s="171">
        <f t="shared" si="10"/>
        <v>0</v>
      </c>
      <c r="H77" s="172">
        <f t="shared" si="11"/>
        <v>0</v>
      </c>
      <c r="I77" s="337"/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490">
        <f>'[64]Sch C'!D71</f>
        <v>0</v>
      </c>
      <c r="D78" s="490">
        <f>'[64]Sch C'!F71</f>
        <v>0</v>
      </c>
      <c r="E78" s="171">
        <f t="shared" si="9"/>
        <v>0</v>
      </c>
      <c r="F78" s="418">
        <v>0</v>
      </c>
      <c r="G78" s="171">
        <f t="shared" si="10"/>
        <v>0</v>
      </c>
      <c r="H78" s="172">
        <f t="shared" si="11"/>
        <v>0</v>
      </c>
      <c r="I78" s="337"/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490">
        <f>SUM(C64:C78)</f>
        <v>436240.16200000007</v>
      </c>
      <c r="D79" s="490">
        <f>SUM(D64:D78)</f>
        <v>136251.86800000002</v>
      </c>
      <c r="E79" s="171">
        <f t="shared" ref="E79:F79" si="13">SUM(E64:E78)</f>
        <v>572492.03</v>
      </c>
      <c r="F79" s="171">
        <f t="shared" si="13"/>
        <v>193189.06102777773</v>
      </c>
      <c r="G79" s="171">
        <f>SUM(G64:G78)</f>
        <v>765681.09102777787</v>
      </c>
      <c r="H79" s="172">
        <f t="shared" si="11"/>
        <v>7.1797310083795834E-2</v>
      </c>
      <c r="I79" s="337"/>
      <c r="J79" s="195"/>
      <c r="K79" s="168"/>
      <c r="M79" s="359">
        <f t="shared" si="12"/>
        <v>18.079836860160043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422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425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490">
        <f>'[64]Sch C'!D75</f>
        <v>47263.98</v>
      </c>
      <c r="D82" s="490">
        <f>'[64]Sch C'!F75</f>
        <v>0</v>
      </c>
      <c r="E82" s="171">
        <f t="shared" ref="E82:E92" si="14">C82+D82</f>
        <v>47263.98</v>
      </c>
      <c r="F82" s="675">
        <v>32272</v>
      </c>
      <c r="G82" s="171">
        <f t="shared" ref="G82:G92" si="15">E82+F82</f>
        <v>79535.98000000001</v>
      </c>
      <c r="H82" s="172">
        <f t="shared" ref="H82:H93" si="16">IF($G$208=0,0,G82/$G$208)</f>
        <v>7.4580259141745165E-3</v>
      </c>
      <c r="I82" s="337"/>
      <c r="J82" s="183">
        <v>2445.5599999999995</v>
      </c>
      <c r="K82" s="183">
        <v>2643.5599999999995</v>
      </c>
      <c r="M82" s="359">
        <f t="shared" ref="M82:M92" si="17">G82/G$228</f>
        <v>1.8780632821723733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490">
        <f>'[64]Sch C'!D76</f>
        <v>15116.58</v>
      </c>
      <c r="D83" s="490">
        <f>'[64]Sch C'!F76</f>
        <v>0</v>
      </c>
      <c r="E83" s="171">
        <f t="shared" si="14"/>
        <v>15116.58</v>
      </c>
      <c r="F83" s="675">
        <v>9971</v>
      </c>
      <c r="G83" s="171">
        <f t="shared" si="15"/>
        <v>25087.58</v>
      </c>
      <c r="H83" s="172">
        <f t="shared" si="16"/>
        <v>2.3524425268152387E-3</v>
      </c>
      <c r="I83" s="337"/>
      <c r="J83" s="168"/>
      <c r="K83" s="168"/>
      <c r="M83" s="359">
        <f t="shared" si="17"/>
        <v>0.59238677685950414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490">
        <f>'[64]Sch C'!D77</f>
        <v>28172.54</v>
      </c>
      <c r="D84" s="490">
        <f>'[64]Sch C'!F77</f>
        <v>-411.5</v>
      </c>
      <c r="E84" s="171">
        <f t="shared" si="14"/>
        <v>27761.040000000001</v>
      </c>
      <c r="F84" s="418">
        <v>20109.919999999998</v>
      </c>
      <c r="G84" s="171">
        <f t="shared" si="15"/>
        <v>47870.96</v>
      </c>
      <c r="H84" s="172">
        <f t="shared" si="16"/>
        <v>4.4888220427586568E-3</v>
      </c>
      <c r="I84" s="337"/>
      <c r="J84" s="168"/>
      <c r="K84" s="168"/>
      <c r="M84" s="359">
        <f t="shared" si="17"/>
        <v>1.1303650531286895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490">
        <f>'[64]Sch C'!D78</f>
        <v>28284.14</v>
      </c>
      <c r="D85" s="490">
        <f>'[64]Sch C'!F78</f>
        <v>3837</v>
      </c>
      <c r="E85" s="171">
        <f t="shared" si="14"/>
        <v>32121.14</v>
      </c>
      <c r="F85" s="418">
        <v>17213.22</v>
      </c>
      <c r="G85" s="171">
        <f t="shared" si="15"/>
        <v>49334.36</v>
      </c>
      <c r="H85" s="172">
        <f t="shared" si="16"/>
        <v>4.6260439028879084E-3</v>
      </c>
      <c r="I85" s="337"/>
      <c r="J85" s="168"/>
      <c r="K85" s="168"/>
      <c r="M85" s="359">
        <f t="shared" si="17"/>
        <v>1.1649199527744982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490">
        <f>'[64]Sch C'!D79</f>
        <v>24356.289999999997</v>
      </c>
      <c r="D86" s="490">
        <f>'[64]Sch C'!F79</f>
        <v>0</v>
      </c>
      <c r="E86" s="171">
        <f t="shared" si="14"/>
        <v>24356.289999999997</v>
      </c>
      <c r="F86" s="418">
        <v>21181.68</v>
      </c>
      <c r="G86" s="171">
        <f>E86+F86</f>
        <v>45537.97</v>
      </c>
      <c r="H86" s="172">
        <f t="shared" si="16"/>
        <v>4.2700594163660481E-3</v>
      </c>
      <c r="I86" s="337"/>
      <c r="J86" s="168"/>
      <c r="K86" s="168"/>
      <c r="M86" s="359">
        <f t="shared" si="17"/>
        <v>1.0752767414403779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490">
        <f>'[64]Sch C'!D80</f>
        <v>55447.100000000006</v>
      </c>
      <c r="D87" s="490">
        <f>'[64]Sch C'!F80</f>
        <v>0</v>
      </c>
      <c r="E87" s="171">
        <f t="shared" si="14"/>
        <v>55447.100000000006</v>
      </c>
      <c r="F87" s="675">
        <f>69226.1-43652</f>
        <v>25574.100000000006</v>
      </c>
      <c r="G87" s="171">
        <f t="shared" si="15"/>
        <v>81021.200000000012</v>
      </c>
      <c r="H87" s="172">
        <f t="shared" si="16"/>
        <v>7.5972938184393568E-3</v>
      </c>
      <c r="I87" s="337"/>
      <c r="J87" s="168"/>
      <c r="K87" s="168"/>
      <c r="M87" s="359">
        <f t="shared" si="17"/>
        <v>1.9131334120425032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490">
        <f>'[64]Sch C'!D81</f>
        <v>673.71</v>
      </c>
      <c r="D88" s="490">
        <f>'[64]Sch C'!F81</f>
        <v>0</v>
      </c>
      <c r="E88" s="171">
        <f t="shared" si="14"/>
        <v>673.71</v>
      </c>
      <c r="F88" s="418">
        <v>53.38</v>
      </c>
      <c r="G88" s="171">
        <f t="shared" si="15"/>
        <v>727.09</v>
      </c>
      <c r="H88" s="172">
        <f t="shared" si="16"/>
        <v>6.8178654012148322E-5</v>
      </c>
      <c r="I88" s="337"/>
      <c r="J88" s="168"/>
      <c r="K88" s="168"/>
      <c r="M88" s="359">
        <f t="shared" si="17"/>
        <v>1.7168595041322315E-2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490">
        <f>'[64]Sch C'!D82</f>
        <v>0</v>
      </c>
      <c r="D89" s="490">
        <f>'[64]Sch C'!F82</f>
        <v>0</v>
      </c>
      <c r="E89" s="171">
        <f t="shared" si="14"/>
        <v>0</v>
      </c>
      <c r="F89" s="418">
        <v>0</v>
      </c>
      <c r="G89" s="171">
        <f t="shared" si="15"/>
        <v>0</v>
      </c>
      <c r="H89" s="172">
        <f t="shared" si="16"/>
        <v>0</v>
      </c>
      <c r="I89" s="337"/>
      <c r="J89" s="168"/>
      <c r="K89" s="168"/>
      <c r="M89" s="359">
        <f t="shared" si="17"/>
        <v>0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490">
        <f>'[64]Sch C'!D83</f>
        <v>0</v>
      </c>
      <c r="D90" s="490">
        <f>'[64]Sch C'!F83</f>
        <v>0</v>
      </c>
      <c r="E90" s="171">
        <f t="shared" si="14"/>
        <v>0</v>
      </c>
      <c r="F90" s="418">
        <v>0</v>
      </c>
      <c r="G90" s="171">
        <f t="shared" si="15"/>
        <v>0</v>
      </c>
      <c r="H90" s="172">
        <f t="shared" si="16"/>
        <v>0</v>
      </c>
      <c r="I90" s="337"/>
      <c r="J90" s="168"/>
      <c r="K90" s="168"/>
      <c r="M90" s="359">
        <f t="shared" si="17"/>
        <v>0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490">
        <f>'[64]Sch C'!D84</f>
        <v>144949.97</v>
      </c>
      <c r="D91" s="490">
        <f>'[64]Sch C'!F84</f>
        <v>180</v>
      </c>
      <c r="E91" s="171">
        <f t="shared" si="14"/>
        <v>145129.97</v>
      </c>
      <c r="F91" s="418">
        <v>96803.6</v>
      </c>
      <c r="G91" s="171">
        <f t="shared" si="15"/>
        <v>241933.57</v>
      </c>
      <c r="H91" s="172">
        <f t="shared" si="16"/>
        <v>2.2685919436319941E-2</v>
      </c>
      <c r="I91" s="337"/>
      <c r="J91" s="168"/>
      <c r="K91" s="168"/>
      <c r="M91" s="359">
        <f t="shared" si="17"/>
        <v>5.7127171192443917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490">
        <f>'[64]Sch C'!D85</f>
        <v>1226.9299999999998</v>
      </c>
      <c r="D92" s="490">
        <f>'[64]Sch C'!F85</f>
        <v>-4210.92</v>
      </c>
      <c r="E92" s="171">
        <f t="shared" si="14"/>
        <v>-2983.9900000000002</v>
      </c>
      <c r="F92" s="418">
        <v>669.87</v>
      </c>
      <c r="G92" s="171">
        <f t="shared" si="15"/>
        <v>-2314.1200000000003</v>
      </c>
      <c r="H92" s="172">
        <f t="shared" si="16"/>
        <v>-2.1699320142292246E-4</v>
      </c>
      <c r="I92" s="337"/>
      <c r="J92" s="168"/>
      <c r="K92" s="168"/>
      <c r="M92" s="359">
        <f t="shared" si="17"/>
        <v>-5.4642739079102727E-2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490">
        <f>SUM(C82:C92)</f>
        <v>345491.24</v>
      </c>
      <c r="D93" s="490">
        <f>SUM(D82:D92)</f>
        <v>-605.42000000000007</v>
      </c>
      <c r="E93" s="171">
        <f t="shared" ref="E93:F93" si="18">SUM(E82:E92)</f>
        <v>344885.82</v>
      </c>
      <c r="F93" s="171">
        <f t="shared" si="18"/>
        <v>223848.77000000002</v>
      </c>
      <c r="G93" s="171">
        <f>SUM(G82:G92)</f>
        <v>568734.59000000008</v>
      </c>
      <c r="H93" s="172">
        <f t="shared" si="16"/>
        <v>5.3329792510350894E-2</v>
      </c>
      <c r="I93" s="337"/>
      <c r="J93" s="168"/>
      <c r="K93" s="168"/>
      <c r="M93" s="364">
        <f>G93/G$228</f>
        <v>13.429388193624559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425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42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490">
        <f>'[64]Sch C'!D89</f>
        <v>211542.05</v>
      </c>
      <c r="D96" s="490">
        <f>'[64]Sch C'!F89</f>
        <v>0</v>
      </c>
      <c r="E96" s="171">
        <f t="shared" ref="E96:E101" si="19">C96+D96</f>
        <v>211542.05</v>
      </c>
      <c r="F96" s="675">
        <v>129658</v>
      </c>
      <c r="G96" s="171">
        <f t="shared" ref="G96:G101" si="20">E96+F96</f>
        <v>341200.05</v>
      </c>
      <c r="H96" s="172">
        <f t="shared" ref="H96:H102" si="21">IF($G$208=0,0,G96/$G$208)</f>
        <v>3.1994058724336333E-2</v>
      </c>
      <c r="I96" s="337"/>
      <c r="J96" s="183">
        <v>14441.36</v>
      </c>
      <c r="K96" s="183">
        <v>15366.78</v>
      </c>
      <c r="M96" s="364">
        <f t="shared" ref="M96:M101" si="22">G96/G$228</f>
        <v>8.0566717827626917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490">
        <f>'[64]Sch C'!D90</f>
        <v>53260.74</v>
      </c>
      <c r="D97" s="490">
        <f>'[64]Sch C'!F90</f>
        <v>0</v>
      </c>
      <c r="E97" s="171">
        <f t="shared" si="19"/>
        <v>53260.74</v>
      </c>
      <c r="F97" s="675">
        <v>33962</v>
      </c>
      <c r="G97" s="171">
        <f t="shared" si="20"/>
        <v>87222.739999999991</v>
      </c>
      <c r="H97" s="172">
        <f t="shared" si="21"/>
        <v>8.1788073174594196E-3</v>
      </c>
      <c r="I97" s="337"/>
      <c r="J97" s="168"/>
      <c r="K97" s="168"/>
      <c r="M97" s="364">
        <f t="shared" si="22"/>
        <v>2.0595688311688312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490">
        <f>'[64]Sch C'!D91</f>
        <v>2311.7999999999997</v>
      </c>
      <c r="D98" s="490">
        <f>'[64]Sch C'!F91</f>
        <v>0</v>
      </c>
      <c r="E98" s="171">
        <f t="shared" si="19"/>
        <v>2311.7999999999997</v>
      </c>
      <c r="F98" s="675">
        <f>166699.34-166064</f>
        <v>635.33999999999651</v>
      </c>
      <c r="G98" s="171">
        <f t="shared" si="20"/>
        <v>2947.1399999999962</v>
      </c>
      <c r="H98" s="172">
        <f t="shared" si="21"/>
        <v>2.7635098596509724E-4</v>
      </c>
      <c r="I98" s="337"/>
      <c r="J98" s="168"/>
      <c r="K98" s="168"/>
      <c r="M98" s="364">
        <f t="shared" si="22"/>
        <v>6.9590082644628015E-2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490">
        <f>'[64]Sch C'!D92</f>
        <v>182837.98</v>
      </c>
      <c r="D99" s="490">
        <f>'[64]Sch C'!F92</f>
        <v>0</v>
      </c>
      <c r="E99" s="171">
        <f t="shared" si="19"/>
        <v>182837.98</v>
      </c>
      <c r="F99" s="418">
        <v>133413.19</v>
      </c>
      <c r="G99" s="171">
        <f t="shared" si="20"/>
        <v>316251.17000000004</v>
      </c>
      <c r="H99" s="172">
        <f t="shared" si="21"/>
        <v>2.9654621986778942E-2</v>
      </c>
      <c r="I99" s="337"/>
      <c r="J99" s="168"/>
      <c r="K99" s="168"/>
      <c r="M99" s="364">
        <f t="shared" si="22"/>
        <v>7.4675600944510041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490">
        <f>'[64]Sch C'!D93</f>
        <v>24.62</v>
      </c>
      <c r="D100" s="490">
        <f>'[64]Sch C'!F93</f>
        <v>0</v>
      </c>
      <c r="E100" s="171">
        <f t="shared" si="19"/>
        <v>24.62</v>
      </c>
      <c r="F100" s="418">
        <v>0</v>
      </c>
      <c r="G100" s="171">
        <f t="shared" si="20"/>
        <v>24.62</v>
      </c>
      <c r="H100" s="172">
        <f t="shared" si="21"/>
        <v>2.3085979201736946E-6</v>
      </c>
      <c r="I100" s="337"/>
      <c r="J100" s="168"/>
      <c r="K100" s="168"/>
      <c r="M100" s="364">
        <f t="shared" si="22"/>
        <v>5.8134592680047224E-4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490">
        <f>'[64]Sch C'!D94</f>
        <v>20403.080000000002</v>
      </c>
      <c r="D101" s="490">
        <f>'[64]Sch C'!F94</f>
        <v>-738</v>
      </c>
      <c r="E101" s="171">
        <f t="shared" si="19"/>
        <v>19665.080000000002</v>
      </c>
      <c r="F101" s="418">
        <v>10818.09</v>
      </c>
      <c r="G101" s="171">
        <f t="shared" si="20"/>
        <v>30483.170000000002</v>
      </c>
      <c r="H101" s="172">
        <f t="shared" si="21"/>
        <v>2.8583827320187312E-3</v>
      </c>
      <c r="I101" s="337"/>
      <c r="J101" s="168"/>
      <c r="K101" s="168"/>
      <c r="M101" s="364">
        <f t="shared" si="22"/>
        <v>0.71979149940968123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490">
        <f>SUM(C96:C101)</f>
        <v>470380.26999999996</v>
      </c>
      <c r="D102" s="490">
        <f>SUM(D96:D101)</f>
        <v>-738</v>
      </c>
      <c r="E102" s="171">
        <f t="shared" ref="E102:F102" si="23">SUM(E96:E101)</f>
        <v>469642.26999999996</v>
      </c>
      <c r="F102" s="171">
        <f t="shared" si="23"/>
        <v>308486.62000000005</v>
      </c>
      <c r="G102" s="171">
        <f>SUM(G96:G101)</f>
        <v>778128.89000000013</v>
      </c>
      <c r="H102" s="172">
        <f t="shared" si="21"/>
        <v>7.2964530344478709E-2</v>
      </c>
      <c r="I102" s="337"/>
      <c r="J102" s="168"/>
      <c r="K102" s="168"/>
      <c r="M102" s="364">
        <f>G102/G$228</f>
        <v>18.373763636363641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425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425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490">
        <f>'[64]Sch C'!D98</f>
        <v>45067.090000000004</v>
      </c>
      <c r="D105" s="490">
        <f>'[64]Sch C'!F98</f>
        <v>0</v>
      </c>
      <c r="E105" s="171">
        <f t="shared" ref="E105:E110" si="24">C105+D105</f>
        <v>45067.090000000004</v>
      </c>
      <c r="F105" s="675">
        <v>32348</v>
      </c>
      <c r="G105" s="171">
        <f t="shared" ref="G105:G110" si="25">E105+F105</f>
        <v>77415.09</v>
      </c>
      <c r="H105" s="172">
        <f t="shared" ref="H105:H111" si="26">IF($G$208=0,0,G105/$G$208)</f>
        <v>7.2591517369642311E-3</v>
      </c>
      <c r="I105" s="337"/>
      <c r="J105" s="183">
        <v>4723.5900000000011</v>
      </c>
      <c r="K105" s="183">
        <v>5027.5900000000011</v>
      </c>
      <c r="M105" s="364">
        <f t="shared" ref="M105:M110" si="27">G105/G$228</f>
        <v>1.8279832349468712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490">
        <f>'[64]Sch C'!D99</f>
        <v>12911.01</v>
      </c>
      <c r="D106" s="490">
        <f>'[64]Sch C'!F99</f>
        <v>0</v>
      </c>
      <c r="E106" s="171">
        <f t="shared" si="24"/>
        <v>12911.01</v>
      </c>
      <c r="F106" s="675">
        <v>8961</v>
      </c>
      <c r="G106" s="171">
        <f t="shared" si="25"/>
        <v>21872.010000000002</v>
      </c>
      <c r="H106" s="172">
        <f t="shared" si="26"/>
        <v>2.0509210721372157E-3</v>
      </c>
      <c r="I106" s="337"/>
      <c r="J106" s="168"/>
      <c r="K106" s="168"/>
      <c r="M106" s="364">
        <f t="shared" si="27"/>
        <v>0.51645832349468723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490">
        <f>'[64]Sch C'!D100</f>
        <v>8444.7999999999993</v>
      </c>
      <c r="D107" s="490">
        <f>'[64]Sch C'!F100</f>
        <v>0</v>
      </c>
      <c r="E107" s="171">
        <f t="shared" si="24"/>
        <v>8444.7999999999993</v>
      </c>
      <c r="F107" s="418">
        <v>4137.1499999999996</v>
      </c>
      <c r="G107" s="171">
        <f t="shared" si="25"/>
        <v>12581.949999999999</v>
      </c>
      <c r="H107" s="172">
        <f t="shared" si="26"/>
        <v>1.1797994964146796E-3</v>
      </c>
      <c r="I107" s="337"/>
      <c r="J107" s="168"/>
      <c r="K107" s="168"/>
      <c r="M107" s="364">
        <f t="shared" si="27"/>
        <v>0.29709445100354187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490">
        <f>'[64]Sch C'!D101</f>
        <v>0</v>
      </c>
      <c r="D108" s="490">
        <f>'[64]Sch C'!F101</f>
        <v>0</v>
      </c>
      <c r="E108" s="171">
        <f t="shared" si="24"/>
        <v>0</v>
      </c>
      <c r="F108" s="675">
        <f>40780.01-40780.01</f>
        <v>0</v>
      </c>
      <c r="G108" s="171">
        <f t="shared" si="25"/>
        <v>0</v>
      </c>
      <c r="H108" s="172">
        <f t="shared" si="26"/>
        <v>0</v>
      </c>
      <c r="I108" s="337"/>
      <c r="J108" s="168"/>
      <c r="K108" s="168"/>
      <c r="M108" s="364">
        <f t="shared" si="27"/>
        <v>0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490">
        <f>'[64]Sch C'!D102</f>
        <v>9594.09</v>
      </c>
      <c r="D109" s="490">
        <f>'[64]Sch C'!F102</f>
        <v>0</v>
      </c>
      <c r="E109" s="171">
        <f t="shared" si="24"/>
        <v>9594.09</v>
      </c>
      <c r="F109" s="418">
        <v>4296.72</v>
      </c>
      <c r="G109" s="171">
        <f t="shared" si="25"/>
        <v>13890.810000000001</v>
      </c>
      <c r="H109" s="172">
        <f t="shared" si="26"/>
        <v>1.3025302630190073E-3</v>
      </c>
      <c r="I109" s="337"/>
      <c r="J109" s="168"/>
      <c r="K109" s="168"/>
      <c r="M109" s="364">
        <f t="shared" si="27"/>
        <v>0.32800023612750889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490">
        <f>'[64]Sch C'!D103</f>
        <v>120</v>
      </c>
      <c r="D110" s="490">
        <f>'[64]Sch C'!F103</f>
        <v>0</v>
      </c>
      <c r="E110" s="171">
        <f t="shared" si="24"/>
        <v>120</v>
      </c>
      <c r="F110" s="418">
        <v>0</v>
      </c>
      <c r="G110" s="171">
        <f t="shared" si="25"/>
        <v>120</v>
      </c>
      <c r="H110" s="172">
        <f t="shared" si="26"/>
        <v>1.1252305053649201E-5</v>
      </c>
      <c r="I110" s="337"/>
      <c r="J110" s="168"/>
      <c r="K110" s="168"/>
      <c r="M110" s="364">
        <f t="shared" si="27"/>
        <v>2.8335301062573791E-3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490">
        <f>SUM(C105:C110)</f>
        <v>76136.990000000005</v>
      </c>
      <c r="D111" s="490">
        <f>SUM(D105:D110)</f>
        <v>0</v>
      </c>
      <c r="E111" s="171">
        <f t="shared" ref="E111:F111" si="28">SUM(E105:E110)</f>
        <v>76136.990000000005</v>
      </c>
      <c r="F111" s="171">
        <f t="shared" si="28"/>
        <v>49742.87</v>
      </c>
      <c r="G111" s="171">
        <f>SUM(G105:G110)</f>
        <v>125879.86</v>
      </c>
      <c r="H111" s="172">
        <f t="shared" si="26"/>
        <v>1.1803654873588783E-2</v>
      </c>
      <c r="I111" s="337"/>
      <c r="J111" s="168"/>
      <c r="K111" s="168"/>
      <c r="M111" s="364">
        <f>G111/G$228</f>
        <v>2.9723697756788665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425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425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490">
        <f>'[64]Sch C'!D115</f>
        <v>57971.210000000006</v>
      </c>
      <c r="D114" s="490">
        <f>'[64]Sch C'!F115</f>
        <v>0</v>
      </c>
      <c r="E114" s="171">
        <f t="shared" ref="E114:E118" si="29">C114+D114</f>
        <v>57971.210000000006</v>
      </c>
      <c r="F114" s="675">
        <v>45560</v>
      </c>
      <c r="G114" s="171">
        <f>E114+F114</f>
        <v>103531.21</v>
      </c>
      <c r="H114" s="172">
        <f t="shared" ref="H114:H119" si="30">IF($G$208=0,0,G114/$G$208)</f>
        <v>9.708039645778474E-3</v>
      </c>
      <c r="I114" s="337"/>
      <c r="J114" s="183">
        <v>6061.5599999999995</v>
      </c>
      <c r="K114" s="183">
        <v>6601.5599999999995</v>
      </c>
      <c r="M114" s="364">
        <f t="shared" ref="M114:M119" si="31">G114/G$228</f>
        <v>2.4446566706021251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490">
        <f>'[64]Sch C'!D116</f>
        <v>15310.84</v>
      </c>
      <c r="D115" s="490">
        <f>'[64]Sch C'!F116</f>
        <v>0</v>
      </c>
      <c r="E115" s="171">
        <f t="shared" si="29"/>
        <v>15310.84</v>
      </c>
      <c r="F115" s="675">
        <v>11536</v>
      </c>
      <c r="G115" s="171">
        <f>E115+F115</f>
        <v>26846.84</v>
      </c>
      <c r="H115" s="172">
        <f t="shared" si="30"/>
        <v>2.517406945054263E-3</v>
      </c>
      <c r="I115" s="337"/>
      <c r="J115" s="168"/>
      <c r="K115" s="168"/>
      <c r="M115" s="364">
        <f t="shared" si="31"/>
        <v>0.63392774498229043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490">
        <f>'[64]Sch C'!D117</f>
        <v>26696.82</v>
      </c>
      <c r="D116" s="490">
        <f>'[64]Sch C'!F117</f>
        <v>0</v>
      </c>
      <c r="E116" s="171">
        <f t="shared" si="29"/>
        <v>26696.82</v>
      </c>
      <c r="F116" s="418">
        <v>15333.2</v>
      </c>
      <c r="G116" s="171">
        <f>E116+F116</f>
        <v>42030.020000000004</v>
      </c>
      <c r="H116" s="172">
        <f t="shared" si="30"/>
        <v>3.9411217204248089E-3</v>
      </c>
      <c r="I116" s="337"/>
      <c r="J116" s="168"/>
      <c r="K116" s="168"/>
      <c r="M116" s="364">
        <f t="shared" si="31"/>
        <v>0.99244439197166479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490">
        <f>'[64]Sch C'!D118</f>
        <v>4050.25</v>
      </c>
      <c r="D117" s="490">
        <f>'[64]Sch C'!F118</f>
        <v>0</v>
      </c>
      <c r="E117" s="171">
        <f t="shared" si="29"/>
        <v>4050.25</v>
      </c>
      <c r="F117" s="675">
        <f>59308.22-56830</f>
        <v>2478.2200000000012</v>
      </c>
      <c r="G117" s="171">
        <f>E117+F117</f>
        <v>6528.4700000000012</v>
      </c>
      <c r="H117" s="172">
        <f t="shared" si="30"/>
        <v>6.1216946644664344E-4</v>
      </c>
      <c r="I117" s="337"/>
      <c r="J117" s="168"/>
      <c r="K117" s="168"/>
      <c r="M117" s="364">
        <f t="shared" si="31"/>
        <v>0.15415513577331763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490">
        <f>'[64]Sch C'!D119</f>
        <v>90</v>
      </c>
      <c r="D118" s="490">
        <f>'[64]Sch C'!F119</f>
        <v>0</v>
      </c>
      <c r="E118" s="171">
        <f t="shared" si="29"/>
        <v>90</v>
      </c>
      <c r="F118" s="418">
        <v>0</v>
      </c>
      <c r="G118" s="171">
        <f>E118+F118</f>
        <v>90</v>
      </c>
      <c r="H118" s="172">
        <f t="shared" si="30"/>
        <v>8.4392287902369016E-6</v>
      </c>
      <c r="I118" s="337"/>
      <c r="J118" s="168"/>
      <c r="K118" s="168"/>
      <c r="M118" s="364">
        <f t="shared" si="31"/>
        <v>2.1251475796930344E-3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490">
        <f>SUM(C114:C118)</f>
        <v>104119.12</v>
      </c>
      <c r="D119" s="490">
        <f>SUM(D114:D118)</f>
        <v>0</v>
      </c>
      <c r="E119" s="171">
        <f t="shared" ref="E119:F119" si="32">SUM(E114:E118)</f>
        <v>104119.12</v>
      </c>
      <c r="F119" s="171">
        <f t="shared" si="32"/>
        <v>74907.42</v>
      </c>
      <c r="G119" s="171">
        <f>SUM(G114:G118)</f>
        <v>179026.54</v>
      </c>
      <c r="H119" s="172">
        <f t="shared" si="30"/>
        <v>1.6787177006494427E-2</v>
      </c>
      <c r="I119" s="337"/>
      <c r="J119" s="168"/>
      <c r="K119" s="168"/>
      <c r="M119" s="364">
        <f t="shared" si="31"/>
        <v>4.2273090909090909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422"/>
      <c r="G120" s="196"/>
      <c r="H120" s="197"/>
      <c r="I120" s="337"/>
      <c r="J120" s="203"/>
      <c r="K120" s="203"/>
      <c r="M120" s="359"/>
      <c r="N120" s="359"/>
    </row>
    <row r="121" spans="1:14" s="167" customFormat="1" ht="15">
      <c r="A121" s="169" t="s">
        <v>167</v>
      </c>
      <c r="B121" s="170" t="s">
        <v>62</v>
      </c>
      <c r="C121" s="165"/>
      <c r="D121" s="165"/>
      <c r="E121" s="165"/>
      <c r="F121" s="642" t="s">
        <v>618</v>
      </c>
      <c r="G121" s="165"/>
      <c r="H121" s="198"/>
      <c r="I121" s="341"/>
      <c r="J121" s="204"/>
      <c r="K121" s="204"/>
      <c r="M121" s="359"/>
      <c r="N121" s="359"/>
    </row>
    <row r="122" spans="1:14" s="167" customFormat="1" ht="15">
      <c r="A122" s="169" t="s">
        <v>85</v>
      </c>
      <c r="B122" s="170" t="s">
        <v>63</v>
      </c>
      <c r="C122" s="165"/>
      <c r="D122" s="165"/>
      <c r="E122" s="165"/>
      <c r="F122" s="642" t="s">
        <v>619</v>
      </c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490">
        <f>'[64]Sch C'!D124</f>
        <v>138123.79999999999</v>
      </c>
      <c r="D123" s="490">
        <f>'[64]Sch C'!F124</f>
        <v>0</v>
      </c>
      <c r="E123" s="171">
        <f t="shared" ref="E123:E127" si="33">C123+D123</f>
        <v>138123.79999999999</v>
      </c>
      <c r="F123" s="675">
        <v>43933</v>
      </c>
      <c r="G123" s="171">
        <f>E123+F123</f>
        <v>182056.8</v>
      </c>
      <c r="H123" s="172">
        <f>IF($G$208=0,0,G123/$G$208)</f>
        <v>1.7071322089093347E-2</v>
      </c>
      <c r="I123" s="337"/>
      <c r="J123" s="183">
        <v>3716.1499999999996</v>
      </c>
      <c r="K123" s="183">
        <v>3943.4799999999996</v>
      </c>
      <c r="M123" s="364">
        <f t="shared" ref="M123:M160" si="34">G123/G$228</f>
        <v>4.2988618654073196</v>
      </c>
      <c r="N123" s="359">
        <f>SUMMARY!J126</f>
        <v>0.77002560279620991</v>
      </c>
    </row>
    <row r="124" spans="1:14" s="167" customFormat="1">
      <c r="B124" s="163" t="s">
        <v>194</v>
      </c>
      <c r="C124" s="490">
        <f>'[64]Sch C'!D125</f>
        <v>44035.640000000007</v>
      </c>
      <c r="D124" s="490">
        <f>'[64]Sch C'!F125</f>
        <v>0</v>
      </c>
      <c r="E124" s="171">
        <f t="shared" si="33"/>
        <v>44035.640000000007</v>
      </c>
      <c r="F124" s="418">
        <v>0</v>
      </c>
      <c r="G124" s="171">
        <f>E124+F124</f>
        <v>44035.640000000007</v>
      </c>
      <c r="H124" s="172">
        <f>IF($G$208=0,0,G124/$G$208)</f>
        <v>4.1291871209389753E-3</v>
      </c>
      <c r="I124" s="337"/>
      <c r="J124" s="183">
        <v>1385.35</v>
      </c>
      <c r="K124" s="183">
        <v>1457.35</v>
      </c>
      <c r="M124" s="364">
        <f t="shared" si="34"/>
        <v>1.0398025974025975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490">
        <f>'[64]Sch C'!D126</f>
        <v>0</v>
      </c>
      <c r="D125" s="490">
        <f>'[64]Sch C'!F126</f>
        <v>0</v>
      </c>
      <c r="E125" s="171">
        <f t="shared" si="33"/>
        <v>0</v>
      </c>
      <c r="F125" s="418">
        <v>0</v>
      </c>
      <c r="G125" s="171">
        <f>E125+F125</f>
        <v>0</v>
      </c>
      <c r="H125" s="172">
        <f>IF($G$208=0,0,G125/$G$208)</f>
        <v>0</v>
      </c>
      <c r="I125" s="337"/>
      <c r="J125" s="183">
        <v>0</v>
      </c>
      <c r="K125" s="183">
        <v>0</v>
      </c>
      <c r="M125" s="364">
        <f t="shared" si="34"/>
        <v>0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490">
        <f>'[64]Sch C'!D127</f>
        <v>0</v>
      </c>
      <c r="D126" s="490">
        <f>'[64]Sch C'!F127</f>
        <v>0</v>
      </c>
      <c r="E126" s="171">
        <f t="shared" si="33"/>
        <v>0</v>
      </c>
      <c r="F126" s="418">
        <v>0</v>
      </c>
      <c r="G126" s="171">
        <f>E126+F126</f>
        <v>0</v>
      </c>
      <c r="H126" s="172">
        <f>IF($G$208=0,0,G126/$G$208)</f>
        <v>0</v>
      </c>
      <c r="I126" s="337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490">
        <f>'[64]Sch C'!D128</f>
        <v>41245.089999999997</v>
      </c>
      <c r="D127" s="490">
        <f>'[64]Sch C'!F128</f>
        <v>0</v>
      </c>
      <c r="E127" s="171">
        <f t="shared" si="33"/>
        <v>41245.089999999997</v>
      </c>
      <c r="F127" s="675">
        <v>151040</v>
      </c>
      <c r="G127" s="171">
        <f>E127+F127</f>
        <v>192285.09</v>
      </c>
      <c r="H127" s="172">
        <f>IF($G$208=0,0,G127/$G$208)</f>
        <v>1.8030420749569929E-2</v>
      </c>
      <c r="I127" s="337"/>
      <c r="J127" s="183">
        <v>2470.8999999999996</v>
      </c>
      <c r="K127" s="183">
        <v>2590.8999999999996</v>
      </c>
      <c r="M127" s="364">
        <f t="shared" si="34"/>
        <v>4.5403799291617473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422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490">
        <f>'[64]Sch C'!D130</f>
        <v>38474.86</v>
      </c>
      <c r="D129" s="490">
        <f>'[64]Sch C'!F130</f>
        <v>0</v>
      </c>
      <c r="E129" s="171">
        <f t="shared" ref="E129:E133" si="35">C129+D129</f>
        <v>38474.86</v>
      </c>
      <c r="F129" s="675">
        <v>10459</v>
      </c>
      <c r="G129" s="171">
        <f>E129+F129</f>
        <v>48933.86</v>
      </c>
      <c r="H129" s="172">
        <f>IF($G$208=0,0,G129/$G$208)</f>
        <v>4.5884893347713542E-3</v>
      </c>
      <c r="I129" s="337"/>
      <c r="J129" s="204"/>
      <c r="K129" s="204"/>
      <c r="M129" s="364">
        <f t="shared" si="34"/>
        <v>1.1554630460448643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490">
        <f>'[64]Sch C'!D131</f>
        <v>12266.28</v>
      </c>
      <c r="D130" s="490">
        <f>'[64]Sch C'!F131</f>
        <v>0</v>
      </c>
      <c r="E130" s="171">
        <f t="shared" si="35"/>
        <v>12266.28</v>
      </c>
      <c r="F130" s="418">
        <v>0</v>
      </c>
      <c r="G130" s="171">
        <f>E130+F130</f>
        <v>12266.28</v>
      </c>
      <c r="H130" s="172">
        <f>IF($G$208=0,0,G130/$G$208)</f>
        <v>1.1501993702789678E-3</v>
      </c>
      <c r="I130" s="337"/>
      <c r="J130" s="204"/>
      <c r="K130" s="204"/>
      <c r="M130" s="364">
        <f t="shared" si="34"/>
        <v>0.28964061393152302</v>
      </c>
      <c r="N130" s="359">
        <f>SUMMARY!J133</f>
        <v>1.0792348507966931</v>
      </c>
    </row>
    <row r="131" spans="1:14" s="167" customFormat="1">
      <c r="B131" s="163" t="s">
        <v>195</v>
      </c>
      <c r="C131" s="490">
        <f>'[64]Sch C'!D132</f>
        <v>0</v>
      </c>
      <c r="D131" s="490">
        <f>'[64]Sch C'!F132</f>
        <v>0</v>
      </c>
      <c r="E131" s="171">
        <f t="shared" si="35"/>
        <v>0</v>
      </c>
      <c r="F131" s="418">
        <v>0</v>
      </c>
      <c r="G131" s="171">
        <f>E131+F131</f>
        <v>0</v>
      </c>
      <c r="H131" s="172">
        <f>IF($G$208=0,0,G131/$G$208)</f>
        <v>0</v>
      </c>
      <c r="I131" s="337"/>
      <c r="J131" s="168"/>
      <c r="K131" s="168"/>
      <c r="M131" s="364">
        <f t="shared" si="34"/>
        <v>0</v>
      </c>
      <c r="N131" s="359">
        <f>SUMMARY!J134</f>
        <v>8.2765628075518377E-2</v>
      </c>
    </row>
    <row r="132" spans="1:14" s="167" customFormat="1">
      <c r="B132" s="163" t="s">
        <v>196</v>
      </c>
      <c r="C132" s="490">
        <f>'[64]Sch C'!D133</f>
        <v>0</v>
      </c>
      <c r="D132" s="490">
        <f>'[64]Sch C'!F133</f>
        <v>0</v>
      </c>
      <c r="E132" s="171">
        <f t="shared" si="35"/>
        <v>0</v>
      </c>
      <c r="F132" s="418">
        <v>0</v>
      </c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490">
        <f>'[64]Sch C'!D134</f>
        <v>8955.06</v>
      </c>
      <c r="D133" s="490">
        <f>'[64]Sch C'!F134</f>
        <v>0</v>
      </c>
      <c r="E133" s="171">
        <f t="shared" si="35"/>
        <v>8955.06</v>
      </c>
      <c r="F133" s="675">
        <v>35957</v>
      </c>
      <c r="G133" s="171">
        <f>E133+F133</f>
        <v>44912.06</v>
      </c>
      <c r="H133" s="172">
        <f>IF($G$208=0,0,G133/$G$208)</f>
        <v>4.211368330898301E-3</v>
      </c>
      <c r="I133" s="337"/>
      <c r="J133" s="168"/>
      <c r="K133" s="168"/>
      <c r="M133" s="364">
        <f t="shared" si="34"/>
        <v>1.0604972845336482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422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490">
        <f>'[64]Sch C'!D136</f>
        <v>423634.99</v>
      </c>
      <c r="D135" s="490">
        <f>'[64]Sch C'!F136</f>
        <v>0</v>
      </c>
      <c r="E135" s="171">
        <f t="shared" ref="E135:E138" si="36">C135+D135</f>
        <v>423634.99</v>
      </c>
      <c r="F135" s="675">
        <v>256725</v>
      </c>
      <c r="G135" s="171">
        <f>E135+F135</f>
        <v>680359.99</v>
      </c>
      <c r="H135" s="172">
        <f>IF($G$208=0,0,G135/$G$208)</f>
        <v>6.3796817948147663E-2</v>
      </c>
      <c r="I135" s="337"/>
      <c r="J135" s="183">
        <v>15587.16</v>
      </c>
      <c r="K135" s="183">
        <v>16219.96</v>
      </c>
      <c r="M135" s="364">
        <f t="shared" si="34"/>
        <v>16.065170956316411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490">
        <f>'[64]Sch C'!D137</f>
        <v>189316.65999999997</v>
      </c>
      <c r="D136" s="490">
        <f>'[64]Sch C'!F137</f>
        <v>0</v>
      </c>
      <c r="E136" s="171">
        <f t="shared" si="36"/>
        <v>189316.65999999997</v>
      </c>
      <c r="F136" s="675">
        <v>151091</v>
      </c>
      <c r="G136" s="171">
        <f>E136+F136</f>
        <v>340407.66</v>
      </c>
      <c r="H136" s="172">
        <f>IF($G$208=0,0,G136/$G$208)</f>
        <v>3.1919756940990827E-2</v>
      </c>
      <c r="I136" s="337"/>
      <c r="J136" s="183">
        <v>7711.01</v>
      </c>
      <c r="K136" s="183">
        <v>8372.16</v>
      </c>
      <c r="M136" s="364">
        <f t="shared" si="34"/>
        <v>8.0379612750885467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490">
        <f>'[64]Sch C'!D138</f>
        <v>648947.77</v>
      </c>
      <c r="D137" s="490">
        <f>'[64]Sch C'!F138</f>
        <v>0</v>
      </c>
      <c r="E137" s="171">
        <f t="shared" si="36"/>
        <v>648947.77</v>
      </c>
      <c r="F137" s="675">
        <v>535672</v>
      </c>
      <c r="G137" s="171">
        <f>E137+F137</f>
        <v>1184619.77</v>
      </c>
      <c r="H137" s="172">
        <f>IF($G$208=0,0,G137/$G$208)</f>
        <v>0.11108085853853129</v>
      </c>
      <c r="I137" s="337"/>
      <c r="J137" s="183">
        <v>54624.44</v>
      </c>
      <c r="K137" s="183">
        <v>57506.61</v>
      </c>
      <c r="M137" s="364">
        <f t="shared" si="34"/>
        <v>27.972131523022433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490">
        <f>'[64]Sch C'!D139</f>
        <v>53705.909999999996</v>
      </c>
      <c r="D138" s="490">
        <f>'[64]Sch C'!F139</f>
        <v>0</v>
      </c>
      <c r="E138" s="171">
        <f t="shared" si="36"/>
        <v>53705.909999999996</v>
      </c>
      <c r="F138" s="418">
        <v>0</v>
      </c>
      <c r="G138" s="171">
        <f>E138+F138</f>
        <v>53705.909999999996</v>
      </c>
      <c r="H138" s="172">
        <f>IF($G$208=0,0,G138/$G$208)</f>
        <v>5.0359606875319098E-3</v>
      </c>
      <c r="I138" s="337"/>
      <c r="J138" s="183">
        <v>4077.9300000000003</v>
      </c>
      <c r="K138" s="183">
        <v>4371.93</v>
      </c>
      <c r="M138" s="364">
        <f t="shared" si="34"/>
        <v>1.2681442739079103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422"/>
      <c r="G139" s="196"/>
      <c r="H139" s="197"/>
      <c r="I139" s="337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490">
        <f>'[64]Sch C'!D141</f>
        <v>118004.98000000001</v>
      </c>
      <c r="D140" s="490">
        <f>'[64]Sch C'!F141</f>
        <v>0</v>
      </c>
      <c r="E140" s="171">
        <f t="shared" ref="E140:E143" si="37">C140+D140</f>
        <v>118004.98000000001</v>
      </c>
      <c r="F140" s="675">
        <v>61116</v>
      </c>
      <c r="G140" s="171">
        <f>E140+F140</f>
        <v>179120.98</v>
      </c>
      <c r="H140" s="172">
        <f>IF($G$208=0,0,G140/$G$208)</f>
        <v>1.6796032570571648E-2</v>
      </c>
      <c r="I140" s="337"/>
      <c r="J140" s="168"/>
      <c r="K140" s="168"/>
      <c r="M140" s="364">
        <f t="shared" si="34"/>
        <v>4.2295390791027154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490">
        <f>'[64]Sch C'!D142</f>
        <v>52734.81</v>
      </c>
      <c r="D141" s="490">
        <f>'[64]Sch C'!F142</f>
        <v>0</v>
      </c>
      <c r="E141" s="171">
        <f t="shared" si="37"/>
        <v>52734.81</v>
      </c>
      <c r="F141" s="675">
        <v>35969</v>
      </c>
      <c r="G141" s="171">
        <f>E141+F141</f>
        <v>88703.81</v>
      </c>
      <c r="H141" s="172">
        <f>IF($G$208=0,0,G141/$G$208)</f>
        <v>8.3176860795078217E-3</v>
      </c>
      <c r="I141" s="337"/>
      <c r="J141" s="168"/>
      <c r="K141" s="168"/>
      <c r="M141" s="364">
        <f t="shared" si="34"/>
        <v>2.0945409681227862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490">
        <f>'[64]Sch C'!D143</f>
        <v>180991.04</v>
      </c>
      <c r="D142" s="490">
        <f>'[64]Sch C'!F143</f>
        <v>0</v>
      </c>
      <c r="E142" s="171">
        <f t="shared" si="37"/>
        <v>180991.04</v>
      </c>
      <c r="F142" s="675">
        <v>127522</v>
      </c>
      <c r="G142" s="171">
        <f>E142+F142</f>
        <v>308513.04000000004</v>
      </c>
      <c r="H142" s="172">
        <f>IF($G$208=0,0,G142/$G$208)</f>
        <v>2.8929023659238988E-2</v>
      </c>
      <c r="I142" s="337"/>
      <c r="J142" s="168"/>
      <c r="K142" s="168"/>
      <c r="M142" s="364">
        <f t="shared" si="34"/>
        <v>7.2848415584415589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490">
        <f>'[64]Sch C'!D144</f>
        <v>14959.97</v>
      </c>
      <c r="D143" s="490">
        <f>'[64]Sch C'!F144</f>
        <v>0</v>
      </c>
      <c r="E143" s="171">
        <f t="shared" si="37"/>
        <v>14959.97</v>
      </c>
      <c r="F143" s="418">
        <v>0</v>
      </c>
      <c r="G143" s="171">
        <f>E143+F143</f>
        <v>14959.97</v>
      </c>
      <c r="H143" s="172">
        <f>IF($G$208=0,0,G143/$G$208)</f>
        <v>1.4027845502786703E-3</v>
      </c>
      <c r="I143" s="337"/>
      <c r="J143" s="168"/>
      <c r="K143" s="168"/>
      <c r="M143" s="364">
        <f t="shared" si="34"/>
        <v>0.35324604486422667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422"/>
      <c r="G144" s="196"/>
      <c r="H144" s="197"/>
      <c r="I144" s="337"/>
      <c r="J144" s="204" t="s">
        <v>620</v>
      </c>
      <c r="K144" s="204"/>
      <c r="M144" s="364"/>
      <c r="N144" s="359"/>
    </row>
    <row r="145" spans="1:14" s="167" customFormat="1">
      <c r="A145" s="169"/>
      <c r="B145" s="163" t="s">
        <v>232</v>
      </c>
      <c r="C145" s="490">
        <f>'[64]Sch C'!D146</f>
        <v>28000</v>
      </c>
      <c r="D145" s="490">
        <f>'[64]Sch C'!F146</f>
        <v>0</v>
      </c>
      <c r="E145" s="171">
        <f t="shared" ref="E145:E153" si="38">C145+D145</f>
        <v>28000</v>
      </c>
      <c r="F145" s="675">
        <f>140370.2-118105</f>
        <v>22265.200000000012</v>
      </c>
      <c r="G145" s="171">
        <f t="shared" ref="G145:G153" si="39">E145+F145</f>
        <v>50265.200000000012</v>
      </c>
      <c r="H145" s="172">
        <f t="shared" ref="H145:H153" si="40">IF($G$208=0,0,G145/$G$208)</f>
        <v>4.7133280331890662E-3</v>
      </c>
      <c r="I145" s="337"/>
      <c r="J145" s="644">
        <v>2569.707249</v>
      </c>
      <c r="K145" s="644">
        <v>2669.707249</v>
      </c>
      <c r="M145" s="364">
        <f t="shared" si="34"/>
        <v>1.1868996458087371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490">
        <f>'[64]Sch C'!D147</f>
        <v>0</v>
      </c>
      <c r="D146" s="490">
        <f>'[64]Sch C'!F147</f>
        <v>0</v>
      </c>
      <c r="E146" s="171">
        <f t="shared" si="38"/>
        <v>0</v>
      </c>
      <c r="F146" s="675">
        <f>411604.83-411604.83</f>
        <v>0</v>
      </c>
      <c r="G146" s="171">
        <f t="shared" si="39"/>
        <v>0</v>
      </c>
      <c r="H146" s="172">
        <f t="shared" si="40"/>
        <v>0</v>
      </c>
      <c r="I146" s="337"/>
      <c r="J146" s="644">
        <v>12102.15</v>
      </c>
      <c r="K146" s="644">
        <v>12740.15</v>
      </c>
      <c r="M146" s="364">
        <f t="shared" si="34"/>
        <v>0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490">
        <f>'[64]Sch C'!D148</f>
        <v>0</v>
      </c>
      <c r="D147" s="490">
        <f>'[64]Sch C'!F148</f>
        <v>0</v>
      </c>
      <c r="E147" s="171">
        <f t="shared" si="38"/>
        <v>0</v>
      </c>
      <c r="F147" s="675">
        <f>189774.31-189774.31</f>
        <v>0</v>
      </c>
      <c r="G147" s="171">
        <f t="shared" si="39"/>
        <v>0</v>
      </c>
      <c r="H147" s="172">
        <f t="shared" si="40"/>
        <v>0</v>
      </c>
      <c r="I147" s="337"/>
      <c r="J147" s="644">
        <v>6069.74</v>
      </c>
      <c r="K147" s="644">
        <v>6401.42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490">
        <f>'[64]Sch C'!D149</f>
        <v>0</v>
      </c>
      <c r="D148" s="490">
        <f>'[64]Sch C'!F149</f>
        <v>0</v>
      </c>
      <c r="E148" s="171">
        <f t="shared" si="38"/>
        <v>0</v>
      </c>
      <c r="F148" s="675">
        <f>673025.92-673025.92</f>
        <v>0</v>
      </c>
      <c r="G148" s="171">
        <f t="shared" si="39"/>
        <v>0</v>
      </c>
      <c r="H148" s="172">
        <f t="shared" si="40"/>
        <v>0</v>
      </c>
      <c r="I148" s="337"/>
      <c r="J148" s="644">
        <v>44097.04</v>
      </c>
      <c r="K148" s="644">
        <v>45337.8</v>
      </c>
      <c r="M148" s="364">
        <f t="shared" si="34"/>
        <v>0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490">
        <f>'[64]Sch C'!D150</f>
        <v>2690.29</v>
      </c>
      <c r="D149" s="490">
        <f>'[64]Sch C'!F150</f>
        <v>0</v>
      </c>
      <c r="E149" s="171">
        <f t="shared" si="38"/>
        <v>2690.29</v>
      </c>
      <c r="F149" s="675">
        <f>38796.37-37865</f>
        <v>931.37000000000262</v>
      </c>
      <c r="G149" s="171">
        <f t="shared" si="39"/>
        <v>3621.6600000000026</v>
      </c>
      <c r="H149" s="172">
        <f t="shared" si="40"/>
        <v>3.3960019267166E-4</v>
      </c>
      <c r="I149" s="337"/>
      <c r="J149" s="644">
        <v>1772.4699999999998</v>
      </c>
      <c r="K149" s="644">
        <v>1844.4699999999998</v>
      </c>
      <c r="M149" s="364">
        <f t="shared" si="34"/>
        <v>8.5517355371900888E-2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490">
        <f>'[64]Sch C'!D151</f>
        <v>80168.590000000011</v>
      </c>
      <c r="D150" s="490">
        <f>'[64]Sch C'!F151</f>
        <v>-100</v>
      </c>
      <c r="E150" s="171">
        <f t="shared" si="38"/>
        <v>80068.590000000011</v>
      </c>
      <c r="F150" s="418">
        <v>62499.090000000004</v>
      </c>
      <c r="G150" s="171">
        <f t="shared" si="39"/>
        <v>142567.68000000002</v>
      </c>
      <c r="H150" s="172">
        <f t="shared" si="40"/>
        <v>1.3368458551258688E-2</v>
      </c>
      <c r="I150" s="337"/>
      <c r="J150" s="168"/>
      <c r="K150" s="168"/>
      <c r="M150" s="364">
        <f t="shared" si="34"/>
        <v>3.3664151121605674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490">
        <f>'[64]Sch C'!D152</f>
        <v>4866.6400000000003</v>
      </c>
      <c r="D151" s="490">
        <f>'[64]Sch C'!F152</f>
        <v>0</v>
      </c>
      <c r="E151" s="171">
        <f t="shared" si="38"/>
        <v>4866.6400000000003</v>
      </c>
      <c r="F151" s="418">
        <v>4024.92</v>
      </c>
      <c r="G151" s="171">
        <f t="shared" si="39"/>
        <v>8891.5600000000013</v>
      </c>
      <c r="H151" s="172">
        <f t="shared" si="40"/>
        <v>8.337545460235426E-4</v>
      </c>
      <c r="I151" s="337"/>
      <c r="J151" s="168"/>
      <c r="K151" s="168"/>
      <c r="M151" s="364">
        <f t="shared" si="34"/>
        <v>0.20995419126328221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490">
        <f>'[64]Sch C'!D153</f>
        <v>0</v>
      </c>
      <c r="D152" s="490">
        <f>'[64]Sch C'!F153</f>
        <v>0</v>
      </c>
      <c r="E152" s="171">
        <f t="shared" si="38"/>
        <v>0</v>
      </c>
      <c r="F152" s="418">
        <v>0</v>
      </c>
      <c r="G152" s="171">
        <f t="shared" si="39"/>
        <v>0</v>
      </c>
      <c r="H152" s="172">
        <f t="shared" si="40"/>
        <v>0</v>
      </c>
      <c r="I152" s="337"/>
      <c r="J152" s="168"/>
      <c r="K152" s="168"/>
      <c r="M152" s="364">
        <f t="shared" si="34"/>
        <v>0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490">
        <f>'[64]Sch C'!D154</f>
        <v>0</v>
      </c>
      <c r="D153" s="490">
        <f>'[64]Sch C'!F154</f>
        <v>0</v>
      </c>
      <c r="E153" s="171">
        <f t="shared" si="38"/>
        <v>0</v>
      </c>
      <c r="F153" s="418">
        <v>0</v>
      </c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423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490">
        <f>'[64]Sch C'!D156</f>
        <v>0</v>
      </c>
      <c r="D155" s="490">
        <f>'[64]Sch C'!F156</f>
        <v>0</v>
      </c>
      <c r="E155" s="171">
        <f t="shared" ref="E155:E160" si="41">C155+D155</f>
        <v>0</v>
      </c>
      <c r="F155" s="418">
        <v>0</v>
      </c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490">
        <f>'[64]Sch C'!D157</f>
        <v>0</v>
      </c>
      <c r="D156" s="490">
        <f>'[64]Sch C'!F157</f>
        <v>0</v>
      </c>
      <c r="E156" s="171">
        <f t="shared" si="41"/>
        <v>0</v>
      </c>
      <c r="F156" s="418">
        <v>0</v>
      </c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490">
        <f>'[64]Sch C'!D158</f>
        <v>0</v>
      </c>
      <c r="D157" s="490">
        <f>'[64]Sch C'!F158</f>
        <v>0</v>
      </c>
      <c r="E157" s="171">
        <f t="shared" si="41"/>
        <v>0</v>
      </c>
      <c r="F157" s="418">
        <v>0</v>
      </c>
      <c r="G157" s="171">
        <f t="shared" si="42"/>
        <v>0</v>
      </c>
      <c r="H157" s="172">
        <f t="shared" si="43"/>
        <v>0</v>
      </c>
      <c r="I157" s="337"/>
      <c r="J157" s="168"/>
      <c r="K157" s="168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490">
        <f>'[64]Sch C'!D159</f>
        <v>0</v>
      </c>
      <c r="D158" s="490">
        <f>'[64]Sch C'!F159</f>
        <v>0</v>
      </c>
      <c r="E158" s="171">
        <f t="shared" si="41"/>
        <v>0</v>
      </c>
      <c r="F158" s="418">
        <v>0</v>
      </c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490">
        <f>'[64]Sch C'!D160</f>
        <v>287.98</v>
      </c>
      <c r="D159" s="490">
        <f>'[64]Sch C'!F160</f>
        <v>0</v>
      </c>
      <c r="E159" s="171">
        <f t="shared" si="41"/>
        <v>287.98</v>
      </c>
      <c r="F159" s="418">
        <v>0</v>
      </c>
      <c r="G159" s="171">
        <f t="shared" si="42"/>
        <v>287.98</v>
      </c>
      <c r="H159" s="172">
        <f>IF($G$208=0,0,G159/$G$208)</f>
        <v>2.7003656744582476E-5</v>
      </c>
      <c r="I159" s="337"/>
      <c r="J159" s="168"/>
      <c r="K159" s="168"/>
      <c r="M159" s="364">
        <f t="shared" si="34"/>
        <v>6.8000000000000005E-3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490">
        <f>'[64]Sch C'!D161</f>
        <v>1730.7800000000002</v>
      </c>
      <c r="D160" s="490">
        <f>'[64]Sch C'!F161</f>
        <v>-537.11</v>
      </c>
      <c r="E160" s="171">
        <f t="shared" si="41"/>
        <v>1193.67</v>
      </c>
      <c r="F160" s="418">
        <v>1773.12</v>
      </c>
      <c r="G160" s="171">
        <f t="shared" si="42"/>
        <v>2966.79</v>
      </c>
      <c r="H160" s="172">
        <f t="shared" si="43"/>
        <v>2.7819355091763262E-4</v>
      </c>
      <c r="I160" s="337"/>
      <c r="J160" s="168"/>
      <c r="K160" s="168"/>
      <c r="M160" s="364">
        <f t="shared" si="34"/>
        <v>7.005407319952775E-2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490">
        <f>SUM(C123:C160)</f>
        <v>2083141.14</v>
      </c>
      <c r="D161" s="490">
        <f>SUM(D123:D160)</f>
        <v>-637.11</v>
      </c>
      <c r="E161" s="171">
        <f t="shared" ref="E161:F161" si="44">SUM(E123:E160)</f>
        <v>2082504.0299999998</v>
      </c>
      <c r="F161" s="171">
        <f t="shared" si="44"/>
        <v>1500977.7000000002</v>
      </c>
      <c r="G161" s="171">
        <f>SUM(G123:G160)</f>
        <v>3583481.7300000009</v>
      </c>
      <c r="H161" s="172">
        <f t="shared" si="43"/>
        <v>0.33602024650115497</v>
      </c>
      <c r="I161" s="337"/>
      <c r="J161" s="168"/>
      <c r="K161" s="168"/>
      <c r="M161" s="364">
        <f>G161/G$228</f>
        <v>84.615861393152329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422"/>
      <c r="G162" s="196"/>
      <c r="H162" s="197"/>
      <c r="I162" s="337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437"/>
      <c r="G163" s="213"/>
      <c r="H163" s="214"/>
      <c r="I163" s="337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490">
        <f>'[64]Sch C'!D175</f>
        <v>0</v>
      </c>
      <c r="D164" s="490">
        <f>'[64]Sch C'!F175</f>
        <v>0</v>
      </c>
      <c r="E164" s="171">
        <f t="shared" ref="E164:E196" si="45">C164+D164</f>
        <v>0</v>
      </c>
      <c r="F164" s="418">
        <v>0</v>
      </c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490">
        <f>'[64]Sch C'!D176</f>
        <v>0</v>
      </c>
      <c r="D165" s="490">
        <f>'[64]Sch C'!F176</f>
        <v>0</v>
      </c>
      <c r="E165" s="171">
        <f t="shared" si="45"/>
        <v>0</v>
      </c>
      <c r="F165" s="418">
        <v>0</v>
      </c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490">
        <f>'[64]Sch C'!D177</f>
        <v>275060.96000000002</v>
      </c>
      <c r="D166" s="490">
        <f>'[64]Sch C'!F177</f>
        <v>0</v>
      </c>
      <c r="E166" s="171">
        <f t="shared" si="45"/>
        <v>275060.96000000002</v>
      </c>
      <c r="F166" s="675">
        <v>228885</v>
      </c>
      <c r="G166" s="171">
        <f t="shared" si="46"/>
        <v>503945.96</v>
      </c>
      <c r="H166" s="172">
        <f t="shared" si="47"/>
        <v>4.7254613937284154E-2</v>
      </c>
      <c r="I166" s="343"/>
      <c r="J166" s="217">
        <v>8199.2200000000012</v>
      </c>
      <c r="K166" s="217">
        <v>8550.4000000000015</v>
      </c>
      <c r="L166" s="218"/>
      <c r="M166" s="364">
        <f t="shared" si="48"/>
        <v>11.899550413223141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490">
        <f>'[64]Sch C'!D178</f>
        <v>79390.570000000007</v>
      </c>
      <c r="D167" s="490">
        <f>'[64]Sch C'!F178</f>
        <v>0</v>
      </c>
      <c r="E167" s="171">
        <f t="shared" si="45"/>
        <v>79390.570000000007</v>
      </c>
      <c r="F167" s="675">
        <v>60918</v>
      </c>
      <c r="G167" s="171">
        <f t="shared" si="46"/>
        <v>140308.57</v>
      </c>
      <c r="H167" s="172">
        <f t="shared" si="47"/>
        <v>1.3156623594010774E-2</v>
      </c>
      <c r="I167" s="344"/>
      <c r="J167" s="222"/>
      <c r="K167" s="222"/>
      <c r="L167" s="218"/>
      <c r="M167" s="364">
        <f t="shared" si="48"/>
        <v>3.3130713105076741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490">
        <f>'[64]Sch C'!D179</f>
        <v>92669.5</v>
      </c>
      <c r="D168" s="490">
        <f>'[64]Sch C'!F179</f>
        <v>0</v>
      </c>
      <c r="E168" s="171">
        <f t="shared" si="45"/>
        <v>92669.5</v>
      </c>
      <c r="F168" s="675">
        <v>65154</v>
      </c>
      <c r="G168" s="171">
        <f t="shared" si="46"/>
        <v>157823.5</v>
      </c>
      <c r="H168" s="172">
        <f t="shared" si="47"/>
        <v>1.479898472195504E-2</v>
      </c>
      <c r="I168" s="343"/>
      <c r="J168" s="217">
        <v>2822.25</v>
      </c>
      <c r="K168" s="217">
        <v>2943.75</v>
      </c>
      <c r="L168" s="218"/>
      <c r="M168" s="364">
        <f t="shared" si="48"/>
        <v>3.7266469893742622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490">
        <f>'[64]Sch C'!D180</f>
        <v>24257.1</v>
      </c>
      <c r="D169" s="490">
        <f>'[64]Sch C'!F180</f>
        <v>0</v>
      </c>
      <c r="E169" s="171">
        <f t="shared" si="45"/>
        <v>24257.1</v>
      </c>
      <c r="F169" s="675">
        <v>16173</v>
      </c>
      <c r="G169" s="171">
        <f t="shared" si="46"/>
        <v>40430.1</v>
      </c>
      <c r="H169" s="172">
        <f t="shared" si="47"/>
        <v>3.7910984879128548E-3</v>
      </c>
      <c r="I169" s="344"/>
      <c r="J169" s="222"/>
      <c r="K169" s="222"/>
      <c r="L169" s="218"/>
      <c r="M169" s="364">
        <f t="shared" si="48"/>
        <v>0.9546658795749704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490">
        <f>'[64]Sch C'!D181</f>
        <v>0</v>
      </c>
      <c r="D170" s="490">
        <f>'[64]Sch C'!F181</f>
        <v>0</v>
      </c>
      <c r="E170" s="171">
        <f t="shared" si="45"/>
        <v>0</v>
      </c>
      <c r="F170" s="418">
        <v>0</v>
      </c>
      <c r="G170" s="171">
        <f t="shared" si="46"/>
        <v>0</v>
      </c>
      <c r="H170" s="172">
        <f t="shared" si="47"/>
        <v>0</v>
      </c>
      <c r="I170" s="343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490">
        <f>'[64]Sch C'!D182</f>
        <v>0</v>
      </c>
      <c r="D171" s="490">
        <f>'[64]Sch C'!F182</f>
        <v>0</v>
      </c>
      <c r="E171" s="171">
        <f t="shared" si="45"/>
        <v>0</v>
      </c>
      <c r="F171" s="418">
        <v>0</v>
      </c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490">
        <f>'[64]Sch C'!D183</f>
        <v>140739.25</v>
      </c>
      <c r="D172" s="490">
        <f>'[64]Sch C'!F183</f>
        <v>0</v>
      </c>
      <c r="E172" s="171">
        <f t="shared" si="45"/>
        <v>140739.25</v>
      </c>
      <c r="F172" s="675">
        <v>108455</v>
      </c>
      <c r="G172" s="171">
        <f t="shared" si="46"/>
        <v>249194.25</v>
      </c>
      <c r="H172" s="172">
        <f t="shared" si="47"/>
        <v>2.3366747655127688E-2</v>
      </c>
      <c r="I172" s="343"/>
      <c r="J172" s="217">
        <v>5071.5300000000007</v>
      </c>
      <c r="K172" s="217">
        <v>5369.5300000000007</v>
      </c>
      <c r="L172" s="218"/>
      <c r="M172" s="364">
        <f t="shared" si="48"/>
        <v>5.8841617473435655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490">
        <f>'[64]Sch C'!D184</f>
        <v>36470.33</v>
      </c>
      <c r="D173" s="490">
        <f>'[64]Sch C'!F184</f>
        <v>0</v>
      </c>
      <c r="E173" s="171">
        <f t="shared" si="45"/>
        <v>36470.33</v>
      </c>
      <c r="F173" s="675">
        <v>27030</v>
      </c>
      <c r="G173" s="171">
        <f t="shared" si="46"/>
        <v>63500.33</v>
      </c>
      <c r="H173" s="172">
        <f t="shared" si="47"/>
        <v>5.9543757013949339E-3</v>
      </c>
      <c r="I173" s="344"/>
      <c r="J173" s="222"/>
      <c r="K173" s="222"/>
      <c r="L173" s="218"/>
      <c r="M173" s="364">
        <f t="shared" si="48"/>
        <v>1.4994174734356553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490">
        <f>'[64]Sch C'!D185</f>
        <v>0</v>
      </c>
      <c r="D174" s="490">
        <f>'[64]Sch C'!F185</f>
        <v>0</v>
      </c>
      <c r="E174" s="171">
        <f t="shared" si="45"/>
        <v>0</v>
      </c>
      <c r="F174" s="418">
        <v>0</v>
      </c>
      <c r="G174" s="171">
        <f t="shared" si="46"/>
        <v>0</v>
      </c>
      <c r="H174" s="172">
        <f t="shared" si="47"/>
        <v>0</v>
      </c>
      <c r="I174" s="343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490">
        <f>'[64]Sch C'!D186</f>
        <v>0</v>
      </c>
      <c r="D175" s="490">
        <f>'[64]Sch C'!F186</f>
        <v>0</v>
      </c>
      <c r="E175" s="171">
        <f t="shared" si="45"/>
        <v>0</v>
      </c>
      <c r="F175" s="418">
        <v>0</v>
      </c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490">
        <f>'[64]Sch C'!D187</f>
        <v>0</v>
      </c>
      <c r="D176" s="490">
        <f>'[64]Sch C'!F187</f>
        <v>0</v>
      </c>
      <c r="E176" s="171">
        <f t="shared" si="45"/>
        <v>0</v>
      </c>
      <c r="F176" s="418">
        <v>0</v>
      </c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490">
        <f>'[64]Sch C'!D188</f>
        <v>980.35</v>
      </c>
      <c r="D177" s="490">
        <f>'[64]Sch C'!F188</f>
        <v>0</v>
      </c>
      <c r="E177" s="171">
        <f t="shared" si="45"/>
        <v>980.35</v>
      </c>
      <c r="F177" s="418">
        <v>0</v>
      </c>
      <c r="G177" s="171">
        <f t="shared" si="46"/>
        <v>980.35</v>
      </c>
      <c r="H177" s="172">
        <f t="shared" si="47"/>
        <v>9.1926643827874965E-5</v>
      </c>
      <c r="I177" s="337"/>
      <c r="J177" s="223"/>
      <c r="K177" s="218"/>
      <c r="L177" s="220"/>
      <c r="M177" s="364">
        <f t="shared" si="48"/>
        <v>2.3148760330578513E-2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490">
        <f>'[64]Sch C'!D189</f>
        <v>9724.3099999999977</v>
      </c>
      <c r="D178" s="490">
        <f>'[64]Sch C'!F189</f>
        <v>0</v>
      </c>
      <c r="E178" s="171">
        <f t="shared" si="45"/>
        <v>9724.3099999999977</v>
      </c>
      <c r="F178" s="418">
        <v>8776.08</v>
      </c>
      <c r="G178" s="171">
        <f t="shared" si="46"/>
        <v>18500.39</v>
      </c>
      <c r="H178" s="172">
        <f t="shared" si="47"/>
        <v>1.7347669324290097E-3</v>
      </c>
      <c r="I178" s="337"/>
      <c r="J178" s="223"/>
      <c r="K178" s="218"/>
      <c r="L178" s="220"/>
      <c r="M178" s="364">
        <f t="shared" si="48"/>
        <v>0.43684510035419127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490">
        <f>'[64]Sch C'!D190</f>
        <v>0</v>
      </c>
      <c r="D179" s="490">
        <f>'[64]Sch C'!F190</f>
        <v>0</v>
      </c>
      <c r="E179" s="171">
        <f t="shared" si="45"/>
        <v>0</v>
      </c>
      <c r="F179" s="418">
        <v>0</v>
      </c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490">
        <f>'[64]Sch C'!D191</f>
        <v>2460.63</v>
      </c>
      <c r="D180" s="490">
        <f>'[64]Sch C'!F191</f>
        <v>0</v>
      </c>
      <c r="E180" s="171">
        <f t="shared" si="45"/>
        <v>2460.63</v>
      </c>
      <c r="F180" s="418">
        <v>929.39</v>
      </c>
      <c r="G180" s="171">
        <f t="shared" si="46"/>
        <v>3390.02</v>
      </c>
      <c r="H180" s="172">
        <f t="shared" si="47"/>
        <v>3.1787949314976557E-4</v>
      </c>
      <c r="I180" s="337"/>
      <c r="J180" s="223"/>
      <c r="K180" s="218"/>
      <c r="L180" s="220"/>
      <c r="M180" s="364">
        <f t="shared" si="48"/>
        <v>8.0047697756788661E-2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490">
        <f>'[64]Sch C'!D192</f>
        <v>31053.579999999994</v>
      </c>
      <c r="D181" s="490">
        <f>'[64]Sch C'!F192</f>
        <v>0</v>
      </c>
      <c r="E181" s="171">
        <f t="shared" si="45"/>
        <v>31053.579999999994</v>
      </c>
      <c r="F181" s="418">
        <v>24448.600000000002</v>
      </c>
      <c r="G181" s="171">
        <f t="shared" si="46"/>
        <v>55502.179999999993</v>
      </c>
      <c r="H181" s="172">
        <f t="shared" si="47"/>
        <v>5.2043955041878968E-3</v>
      </c>
      <c r="I181" s="337"/>
      <c r="J181" s="223"/>
      <c r="K181" s="218"/>
      <c r="L181" s="220"/>
      <c r="M181" s="364">
        <f t="shared" si="48"/>
        <v>1.3105591499409679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490">
        <f>'[64]Sch C'!D193</f>
        <v>0</v>
      </c>
      <c r="D182" s="490">
        <f>'[64]Sch C'!F193</f>
        <v>0</v>
      </c>
      <c r="E182" s="171">
        <f t="shared" si="45"/>
        <v>0</v>
      </c>
      <c r="F182" s="418">
        <v>0</v>
      </c>
      <c r="G182" s="171">
        <f t="shared" si="46"/>
        <v>0</v>
      </c>
      <c r="H182" s="172">
        <f t="shared" si="47"/>
        <v>0</v>
      </c>
      <c r="I182" s="337"/>
      <c r="J182" s="223"/>
      <c r="K182" s="218"/>
      <c r="L182" s="220"/>
      <c r="M182" s="364">
        <f t="shared" si="48"/>
        <v>0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490">
        <f>'[64]Sch C'!D194</f>
        <v>0</v>
      </c>
      <c r="D183" s="490">
        <f>'[64]Sch C'!F194</f>
        <v>0</v>
      </c>
      <c r="E183" s="171">
        <f t="shared" si="45"/>
        <v>0</v>
      </c>
      <c r="F183" s="675">
        <f>291602.77-291602.77</f>
        <v>0</v>
      </c>
      <c r="G183" s="171">
        <f t="shared" si="46"/>
        <v>0</v>
      </c>
      <c r="H183" s="172">
        <f t="shared" si="47"/>
        <v>0</v>
      </c>
      <c r="I183" s="337"/>
      <c r="J183" s="223"/>
      <c r="K183" s="218"/>
      <c r="M183" s="364">
        <f t="shared" si="48"/>
        <v>0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490">
        <f>'[64]Sch C'!D195</f>
        <v>0</v>
      </c>
      <c r="D184" s="490">
        <f>'[64]Sch C'!F195</f>
        <v>0</v>
      </c>
      <c r="E184" s="171">
        <f t="shared" si="45"/>
        <v>0</v>
      </c>
      <c r="F184" s="675">
        <f>81327.54-81327.54</f>
        <v>0</v>
      </c>
      <c r="G184" s="171">
        <f t="shared" si="46"/>
        <v>0</v>
      </c>
      <c r="H184" s="172">
        <f t="shared" si="47"/>
        <v>0</v>
      </c>
      <c r="I184" s="337"/>
      <c r="J184" s="223"/>
      <c r="K184" s="218"/>
      <c r="M184" s="364">
        <f t="shared" si="48"/>
        <v>0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490">
        <f>'[64]Sch C'!D196</f>
        <v>0</v>
      </c>
      <c r="D185" s="490">
        <f>'[64]Sch C'!F196</f>
        <v>0</v>
      </c>
      <c r="E185" s="171">
        <f t="shared" si="45"/>
        <v>0</v>
      </c>
      <c r="F185" s="418">
        <v>0</v>
      </c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490">
        <f>'[64]Sch C'!D197</f>
        <v>0</v>
      </c>
      <c r="D186" s="490">
        <f>'[64]Sch C'!F197</f>
        <v>0</v>
      </c>
      <c r="E186" s="171">
        <f t="shared" si="45"/>
        <v>0</v>
      </c>
      <c r="F186" s="675">
        <f>135916.62-135916.62</f>
        <v>0</v>
      </c>
      <c r="G186" s="171">
        <f t="shared" si="46"/>
        <v>0</v>
      </c>
      <c r="H186" s="172">
        <f t="shared" si="47"/>
        <v>0</v>
      </c>
      <c r="I186" s="337"/>
      <c r="J186" s="223"/>
      <c r="K186" s="218"/>
      <c r="M186" s="364">
        <f t="shared" si="48"/>
        <v>0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490">
        <f>'[64]Sch C'!D198</f>
        <v>0</v>
      </c>
      <c r="D187" s="490">
        <f>'[64]Sch C'!F198</f>
        <v>0</v>
      </c>
      <c r="E187" s="171">
        <f t="shared" si="45"/>
        <v>0</v>
      </c>
      <c r="F187" s="418">
        <v>0</v>
      </c>
      <c r="G187" s="171">
        <f t="shared" si="46"/>
        <v>0</v>
      </c>
      <c r="H187" s="172">
        <f t="shared" si="47"/>
        <v>0</v>
      </c>
      <c r="I187" s="337"/>
      <c r="J187" s="223"/>
      <c r="K187" s="218"/>
      <c r="M187" s="364">
        <f t="shared" si="48"/>
        <v>0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490">
        <f>'[64]Sch C'!D199</f>
        <v>0</v>
      </c>
      <c r="D188" s="490">
        <f>'[64]Sch C'!F199</f>
        <v>0</v>
      </c>
      <c r="E188" s="171">
        <f t="shared" si="45"/>
        <v>0</v>
      </c>
      <c r="F188" s="418">
        <v>0</v>
      </c>
      <c r="G188" s="171">
        <f t="shared" si="46"/>
        <v>0</v>
      </c>
      <c r="H188" s="172">
        <f t="shared" si="47"/>
        <v>0</v>
      </c>
      <c r="I188" s="337"/>
      <c r="J188" s="223"/>
      <c r="K188" s="218"/>
      <c r="M188" s="364">
        <f t="shared" si="48"/>
        <v>0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490">
        <f>'[64]Sch C'!D200</f>
        <v>0</v>
      </c>
      <c r="D189" s="490">
        <f>'[64]Sch C'!F200</f>
        <v>0</v>
      </c>
      <c r="E189" s="171">
        <f t="shared" si="45"/>
        <v>0</v>
      </c>
      <c r="F189" s="418">
        <v>0</v>
      </c>
      <c r="G189" s="171">
        <f t="shared" si="46"/>
        <v>0</v>
      </c>
      <c r="H189" s="172">
        <f t="shared" si="47"/>
        <v>0</v>
      </c>
      <c r="I189" s="337"/>
      <c r="J189" s="223"/>
      <c r="K189" s="218"/>
      <c r="M189" s="364">
        <f t="shared" si="48"/>
        <v>0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490">
        <f>'[64]Sch C'!D201</f>
        <v>0</v>
      </c>
      <c r="D190" s="490">
        <f>'[64]Sch C'!F201</f>
        <v>0</v>
      </c>
      <c r="E190" s="171">
        <f t="shared" si="45"/>
        <v>0</v>
      </c>
      <c r="F190" s="418">
        <v>0</v>
      </c>
      <c r="G190" s="171">
        <f t="shared" si="46"/>
        <v>0</v>
      </c>
      <c r="H190" s="172">
        <f t="shared" si="47"/>
        <v>0</v>
      </c>
      <c r="I190" s="337"/>
      <c r="J190" s="223"/>
      <c r="K190" s="218"/>
      <c r="M190" s="364">
        <f t="shared" si="48"/>
        <v>0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490">
        <f>'[64]Sch C'!D202</f>
        <v>0</v>
      </c>
      <c r="D191" s="490">
        <f>'[64]Sch C'!F202</f>
        <v>0</v>
      </c>
      <c r="E191" s="171">
        <f t="shared" si="45"/>
        <v>0</v>
      </c>
      <c r="F191" s="418">
        <v>0</v>
      </c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490">
        <f>'[64]Sch C'!D203</f>
        <v>12620.55</v>
      </c>
      <c r="D192" s="490">
        <f>'[64]Sch C'!F203</f>
        <v>0</v>
      </c>
      <c r="E192" s="171">
        <f t="shared" si="45"/>
        <v>12620.55</v>
      </c>
      <c r="F192" s="418">
        <v>11894.490000000002</v>
      </c>
      <c r="G192" s="171">
        <f t="shared" si="46"/>
        <v>24515.040000000001</v>
      </c>
      <c r="H192" s="172">
        <f t="shared" si="47"/>
        <v>2.2987559040201027E-3</v>
      </c>
      <c r="I192" s="337"/>
      <c r="J192" s="223"/>
      <c r="K192" s="218"/>
      <c r="M192" s="364">
        <f t="shared" si="48"/>
        <v>0.57886753246753253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490">
        <f>'[64]Sch C'!D204</f>
        <v>0</v>
      </c>
      <c r="D193" s="490">
        <f>'[64]Sch C'!F204</f>
        <v>0</v>
      </c>
      <c r="E193" s="171">
        <f t="shared" si="45"/>
        <v>0</v>
      </c>
      <c r="F193" s="418">
        <v>0</v>
      </c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490">
        <f>'[64]Sch C'!D205</f>
        <v>202781.55</v>
      </c>
      <c r="D194" s="490">
        <f>'[64]Sch C'!F205</f>
        <v>0</v>
      </c>
      <c r="E194" s="171">
        <f t="shared" si="45"/>
        <v>202781.55</v>
      </c>
      <c r="F194" s="418">
        <v>209984.62999999998</v>
      </c>
      <c r="G194" s="171">
        <f t="shared" si="46"/>
        <v>412766.17999999993</v>
      </c>
      <c r="H194" s="172">
        <f t="shared" si="47"/>
        <v>3.8704758109912293E-2</v>
      </c>
      <c r="I194" s="337"/>
      <c r="J194" s="223"/>
      <c r="K194" s="218"/>
      <c r="M194" s="364">
        <f t="shared" si="48"/>
        <v>9.7465449822904358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490">
        <f>'[64]Sch C'!D206</f>
        <v>2880</v>
      </c>
      <c r="D195" s="490">
        <f>'[64]Sch C'!F206</f>
        <v>0</v>
      </c>
      <c r="E195" s="171">
        <f t="shared" si="45"/>
        <v>2880</v>
      </c>
      <c r="F195" s="418">
        <v>1450</v>
      </c>
      <c r="G195" s="171">
        <f t="shared" si="46"/>
        <v>4330</v>
      </c>
      <c r="H195" s="172">
        <f t="shared" si="47"/>
        <v>4.0602067401917537E-4</v>
      </c>
      <c r="I195" s="337"/>
      <c r="J195" s="223"/>
      <c r="K195" s="218"/>
      <c r="M195" s="364">
        <f t="shared" si="48"/>
        <v>0.10224321133412043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490">
        <f>'[64]Sch C'!D207</f>
        <v>24885.75</v>
      </c>
      <c r="D196" s="490">
        <f>'[64]Sch C'!F207</f>
        <v>0</v>
      </c>
      <c r="E196" s="171">
        <f t="shared" si="45"/>
        <v>24885.75</v>
      </c>
      <c r="F196" s="418">
        <v>15356.28</v>
      </c>
      <c r="G196" s="171">
        <f t="shared" si="46"/>
        <v>40242.03</v>
      </c>
      <c r="H196" s="172">
        <f t="shared" si="47"/>
        <v>3.7734633128175231E-3</v>
      </c>
      <c r="I196" s="337"/>
      <c r="J196" s="223"/>
      <c r="K196" s="218"/>
      <c r="M196" s="364">
        <f t="shared" si="48"/>
        <v>0.95022502951593857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490">
        <f>SUM(C164:C196)</f>
        <v>935974.42999999993</v>
      </c>
      <c r="D197" s="490">
        <f>SUM(D164:D196)</f>
        <v>0</v>
      </c>
      <c r="E197" s="171">
        <f t="shared" ref="E197:F197" si="49">SUM(E164:E196)</f>
        <v>935974.42999999993</v>
      </c>
      <c r="F197" s="171">
        <f t="shared" si="49"/>
        <v>779454.47000000009</v>
      </c>
      <c r="G197" s="171">
        <f>SUM(G164:G196)</f>
        <v>1715428.9</v>
      </c>
      <c r="H197" s="172">
        <f>IF($G$208=0,0,G197/$G$208)</f>
        <v>0.16085441067204909</v>
      </c>
      <c r="I197" s="337"/>
      <c r="J197" s="168"/>
      <c r="K197" s="168"/>
      <c r="M197" s="364">
        <f>G197/G$228</f>
        <v>40.50599527744982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425"/>
      <c r="G198" s="165"/>
      <c r="H198" s="198"/>
      <c r="I198" s="341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425"/>
      <c r="G199" s="165"/>
      <c r="H199" s="198"/>
      <c r="I199" s="341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490">
        <f>'[64]Sch C'!D211</f>
        <v>104785.49</v>
      </c>
      <c r="D200" s="490">
        <f>'[64]Sch C'!F211</f>
        <v>0</v>
      </c>
      <c r="E200" s="171">
        <f t="shared" ref="E200:E205" si="50">C200+D200</f>
        <v>104785.49</v>
      </c>
      <c r="F200" s="675">
        <v>93090</v>
      </c>
      <c r="G200" s="171">
        <f t="shared" ref="G200:G205" si="51">E200+F200</f>
        <v>197875.49</v>
      </c>
      <c r="H200" s="172">
        <f t="shared" ref="H200:H206" si="52">IF($G$208=0,0,G200/$G$208)</f>
        <v>1.8554628134335931E-2</v>
      </c>
      <c r="I200" s="337"/>
      <c r="J200" s="183">
        <v>7200.77</v>
      </c>
      <c r="K200" s="183">
        <v>7860.27</v>
      </c>
      <c r="M200" s="364">
        <f t="shared" ref="M200:M205" si="53">G200/G$228</f>
        <v>4.6723846517119245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490">
        <f>'[64]Sch C'!D212</f>
        <v>25486.300000000003</v>
      </c>
      <c r="D201" s="490">
        <f>'[64]Sch C'!F212</f>
        <v>0</v>
      </c>
      <c r="E201" s="171">
        <f t="shared" si="50"/>
        <v>25486.300000000003</v>
      </c>
      <c r="F201" s="675">
        <v>20494</v>
      </c>
      <c r="G201" s="171">
        <f t="shared" si="51"/>
        <v>45980.3</v>
      </c>
      <c r="H201" s="172">
        <f t="shared" si="52"/>
        <v>4.3115363504858872E-3</v>
      </c>
      <c r="I201" s="337"/>
      <c r="J201" s="168"/>
      <c r="K201" s="168"/>
      <c r="M201" s="364">
        <f t="shared" si="53"/>
        <v>1.0857213695395513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490">
        <f>'[64]Sch C'!D213</f>
        <v>2780.69</v>
      </c>
      <c r="D202" s="490">
        <f>'[64]Sch C'!F213</f>
        <v>0</v>
      </c>
      <c r="E202" s="171">
        <f t="shared" si="50"/>
        <v>2780.69</v>
      </c>
      <c r="F202" s="675">
        <f>117471.14-112706</f>
        <v>4765.1399999999994</v>
      </c>
      <c r="G202" s="171">
        <f t="shared" si="51"/>
        <v>7545.83</v>
      </c>
      <c r="H202" s="172">
        <f t="shared" si="52"/>
        <v>7.0756650869148127E-4</v>
      </c>
      <c r="I202" s="337"/>
      <c r="J202" s="168"/>
      <c r="K202" s="168"/>
      <c r="M202" s="364">
        <f t="shared" si="53"/>
        <v>0.17817780401416766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490">
        <f>'[64]Sch C'!D214</f>
        <v>0</v>
      </c>
      <c r="D203" s="490">
        <f>'[64]Sch C'!F214</f>
        <v>0</v>
      </c>
      <c r="E203" s="171">
        <f t="shared" si="50"/>
        <v>0</v>
      </c>
      <c r="F203" s="418">
        <v>0</v>
      </c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>
        <f t="shared" si="53"/>
        <v>0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490">
        <f>'[64]Sch C'!D215</f>
        <v>0</v>
      </c>
      <c r="D204" s="490">
        <f>'[64]Sch C'!F215</f>
        <v>0</v>
      </c>
      <c r="E204" s="171">
        <f t="shared" si="50"/>
        <v>0</v>
      </c>
      <c r="F204" s="418">
        <v>0</v>
      </c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490">
        <f>'[64]Sch C'!D216</f>
        <v>35712.28</v>
      </c>
      <c r="D205" s="490">
        <f>'[64]Sch C'!F216</f>
        <v>0</v>
      </c>
      <c r="E205" s="171">
        <f t="shared" si="50"/>
        <v>35712.28</v>
      </c>
      <c r="F205" s="418">
        <v>22316.04</v>
      </c>
      <c r="G205" s="171">
        <f t="shared" si="51"/>
        <v>58028.32</v>
      </c>
      <c r="H205" s="172">
        <f t="shared" si="52"/>
        <v>5.4412696532564423E-3</v>
      </c>
      <c r="I205" s="337"/>
      <c r="J205" s="168"/>
      <c r="K205" s="168"/>
      <c r="M205" s="364">
        <f t="shared" si="53"/>
        <v>1.37020826446281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490">
        <f>SUM(C200:C205)</f>
        <v>168764.76</v>
      </c>
      <c r="D206" s="490">
        <f>SUM(D200:D205)</f>
        <v>0</v>
      </c>
      <c r="E206" s="171">
        <f t="shared" ref="E206:F206" si="54">SUM(E200:E205)</f>
        <v>168764.76</v>
      </c>
      <c r="F206" s="171">
        <f t="shared" si="54"/>
        <v>140665.18</v>
      </c>
      <c r="G206" s="171">
        <f>SUM(G200:G205)</f>
        <v>309429.93999999994</v>
      </c>
      <c r="H206" s="172">
        <f t="shared" si="52"/>
        <v>2.9015000646769738E-2</v>
      </c>
      <c r="I206" s="337"/>
      <c r="J206" s="168"/>
      <c r="K206" s="168"/>
      <c r="M206" s="364">
        <f>G206/G$228</f>
        <v>7.3064920897284518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425"/>
      <c r="G207" s="165"/>
      <c r="H207" s="198"/>
      <c r="I207" s="341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490">
        <f>SUM(C25:C206)/2</f>
        <v>6022997.8180000018</v>
      </c>
      <c r="D208" s="490">
        <f>SUM(D25:D206)/2</f>
        <v>447333.4769999999</v>
      </c>
      <c r="E208" s="171">
        <f t="shared" ref="E208:F208" si="55">SUM(E25:E206)/2</f>
        <v>6470331.2950000009</v>
      </c>
      <c r="F208" s="171">
        <f t="shared" si="55"/>
        <v>4194150.2870277781</v>
      </c>
      <c r="G208" s="171">
        <f>SUM(G25:G206)/2</f>
        <v>10664481.582027778</v>
      </c>
      <c r="H208" s="172">
        <f>IF($G$208=0,0,G208/$G$208)</f>
        <v>1</v>
      </c>
      <c r="I208" s="337"/>
      <c r="J208" s="183">
        <f>SUM(J25:J200)</f>
        <v>215240.67724899997</v>
      </c>
      <c r="K208" s="183">
        <f>SUM(K25:K200)</f>
        <v>226528.53724899999</v>
      </c>
      <c r="M208" s="364">
        <f>G208/G$228</f>
        <v>251.81774691919193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490">
        <f>'[64]Sch C'!D221</f>
        <v>6022997.8029999994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490">
        <f>C208-C211</f>
        <v>1.5000002458691597E-2</v>
      </c>
      <c r="D212" s="229"/>
      <c r="E212" s="165"/>
      <c r="F212"/>
      <c r="G212"/>
      <c r="I212" s="333"/>
      <c r="J212" s="168"/>
      <c r="K212" s="168"/>
    </row>
    <row r="213" spans="1:14" s="167" customFormat="1" ht="14" customHeight="1">
      <c r="A213" s="163"/>
      <c r="B213" s="230"/>
      <c r="C213" s="619"/>
      <c r="D213" s="232"/>
      <c r="E213" s="232"/>
      <c r="F213" s="642"/>
      <c r="G213" s="232"/>
      <c r="H213" s="166"/>
      <c r="I213" s="336"/>
      <c r="J213" s="168"/>
      <c r="K213" s="168"/>
    </row>
    <row r="214" spans="1:14" s="167" customFormat="1" ht="13.25" customHeight="1">
      <c r="A214" s="169"/>
      <c r="B214" s="228"/>
      <c r="C214" s="165"/>
      <c r="D214" s="165"/>
      <c r="E214" s="165"/>
      <c r="F214" s="642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490">
        <f>C21-C208</f>
        <v>369021.00200000033</v>
      </c>
      <c r="D215" s="490">
        <f>D21-D208</f>
        <v>-455117.90699999989</v>
      </c>
      <c r="E215" s="171">
        <f t="shared" ref="E215:F215" si="56">E21-E208</f>
        <v>-86096.904999999329</v>
      </c>
      <c r="F215" s="171">
        <f t="shared" si="56"/>
        <v>1866908.2829722222</v>
      </c>
      <c r="G215" s="171">
        <f>G21-G208</f>
        <v>1780811.3779722247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422"/>
      <c r="G216" s="196"/>
      <c r="I216" s="333"/>
      <c r="J216" s="168"/>
      <c r="K216" s="168"/>
    </row>
    <row r="217" spans="1:14" s="167" customFormat="1" ht="15">
      <c r="A217" s="163"/>
      <c r="B217" s="228"/>
      <c r="C217" s="196"/>
      <c r="D217" s="196"/>
      <c r="E217" s="196"/>
      <c r="F217" s="642" t="s">
        <v>618</v>
      </c>
      <c r="G217" s="196"/>
      <c r="I217" s="333"/>
      <c r="J217" s="168"/>
      <c r="K217" s="168"/>
    </row>
    <row r="218" spans="1:14" ht="15">
      <c r="A218" s="163"/>
      <c r="B218" s="233" t="s">
        <v>159</v>
      </c>
      <c r="C218" s="165"/>
      <c r="D218" s="165"/>
      <c r="E218" s="165"/>
      <c r="F218" s="642" t="s">
        <v>619</v>
      </c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491">
        <f>'[64]Sch D'!C9</f>
        <v>12566</v>
      </c>
      <c r="D219" s="491"/>
      <c r="E219" s="235">
        <f t="shared" ref="E219:G227" si="57">C219+D219</f>
        <v>12566</v>
      </c>
      <c r="F219" s="432">
        <v>9279</v>
      </c>
      <c r="G219" s="235">
        <f t="shared" si="57"/>
        <v>21845</v>
      </c>
      <c r="H219" s="172">
        <f t="shared" ref="H219:H228" si="58">IF($G$228=0,0,G219/$G$228)</f>
        <v>0.51582054309327041</v>
      </c>
      <c r="I219" s="337"/>
      <c r="J219" s="168"/>
      <c r="K219" s="168"/>
    </row>
    <row r="220" spans="1:14">
      <c r="A220" s="163"/>
      <c r="B220" s="170" t="s">
        <v>217</v>
      </c>
      <c r="C220" s="491">
        <f>'[64]Sch D'!D9</f>
        <v>0</v>
      </c>
      <c r="D220" s="491"/>
      <c r="E220" s="235">
        <f t="shared" ref="E220:E227" si="59">C220+D220</f>
        <v>0</v>
      </c>
      <c r="F220" s="432">
        <v>0</v>
      </c>
      <c r="G220" s="235">
        <f t="shared" si="57"/>
        <v>0</v>
      </c>
      <c r="H220" s="172">
        <f t="shared" si="58"/>
        <v>0</v>
      </c>
      <c r="I220" s="337"/>
      <c r="J220" s="168"/>
      <c r="K220" s="168"/>
    </row>
    <row r="221" spans="1:14">
      <c r="A221" s="163"/>
      <c r="B221" s="170" t="s">
        <v>72</v>
      </c>
      <c r="C221" s="491">
        <f>'[64]Sch D'!E9</f>
        <v>3540</v>
      </c>
      <c r="D221" s="491"/>
      <c r="E221" s="235">
        <f t="shared" si="59"/>
        <v>3540</v>
      </c>
      <c r="F221" s="432">
        <v>2817</v>
      </c>
      <c r="G221" s="235">
        <f t="shared" si="57"/>
        <v>6357</v>
      </c>
      <c r="H221" s="172">
        <f t="shared" si="58"/>
        <v>0.15010625737898464</v>
      </c>
      <c r="I221" s="337"/>
      <c r="J221" s="168"/>
      <c r="K221" s="168"/>
    </row>
    <row r="222" spans="1:14">
      <c r="A222" s="163"/>
      <c r="B222" s="202" t="s">
        <v>334</v>
      </c>
      <c r="C222" s="491">
        <f>'[64]Sch D'!F9</f>
        <v>3166</v>
      </c>
      <c r="D222" s="491"/>
      <c r="E222" s="235">
        <f>C222+D222</f>
        <v>3166</v>
      </c>
      <c r="F222" s="432">
        <v>2047</v>
      </c>
      <c r="G222" s="235">
        <f>E222+F222</f>
        <v>5213</v>
      </c>
      <c r="H222" s="172">
        <f t="shared" si="58"/>
        <v>0.12309327036599764</v>
      </c>
      <c r="I222" s="337"/>
      <c r="J222" s="168"/>
      <c r="K222" s="168"/>
    </row>
    <row r="223" spans="1:14">
      <c r="A223" s="163"/>
      <c r="B223" s="170" t="s">
        <v>73</v>
      </c>
      <c r="C223" s="491">
        <f>'[64]Sch D'!G9</f>
        <v>229</v>
      </c>
      <c r="D223" s="491"/>
      <c r="E223" s="235">
        <f t="shared" si="59"/>
        <v>229</v>
      </c>
      <c r="F223" s="432">
        <v>1017</v>
      </c>
      <c r="G223" s="235">
        <f t="shared" si="57"/>
        <v>1246</v>
      </c>
      <c r="H223" s="172">
        <f t="shared" si="58"/>
        <v>2.9421487603305783E-2</v>
      </c>
      <c r="I223" s="337"/>
      <c r="J223" s="168"/>
      <c r="K223" s="168"/>
    </row>
    <row r="224" spans="1:14">
      <c r="A224" s="163"/>
      <c r="B224" s="170" t="s">
        <v>74</v>
      </c>
      <c r="C224" s="491">
        <f>'[64]Sch D'!H9</f>
        <v>3078</v>
      </c>
      <c r="D224" s="491"/>
      <c r="E224" s="235">
        <f t="shared" si="59"/>
        <v>3078</v>
      </c>
      <c r="F224" s="432">
        <v>2037</v>
      </c>
      <c r="G224" s="235">
        <f t="shared" si="57"/>
        <v>5115</v>
      </c>
      <c r="H224" s="172">
        <f t="shared" si="58"/>
        <v>0.12077922077922078</v>
      </c>
      <c r="I224" s="337"/>
      <c r="J224" s="168"/>
      <c r="K224" s="168"/>
    </row>
    <row r="225" spans="1:11">
      <c r="A225" s="163"/>
      <c r="B225" s="170" t="s">
        <v>417</v>
      </c>
      <c r="C225" s="491">
        <f>'[64]Sch D'!I9</f>
        <v>1447</v>
      </c>
      <c r="D225" s="491"/>
      <c r="E225" s="235">
        <f t="shared" si="59"/>
        <v>1447</v>
      </c>
      <c r="F225" s="234">
        <v>957</v>
      </c>
      <c r="G225" s="235">
        <f t="shared" si="57"/>
        <v>2404</v>
      </c>
      <c r="H225" s="172">
        <f t="shared" si="58"/>
        <v>5.6765053128689492E-2</v>
      </c>
      <c r="I225" s="337"/>
      <c r="J225" s="168"/>
      <c r="K225" s="168"/>
    </row>
    <row r="226" spans="1:11">
      <c r="A226" s="163"/>
      <c r="B226" s="170" t="s">
        <v>418</v>
      </c>
      <c r="C226" s="491">
        <f>'[64]Sch D'!J9</f>
        <v>85</v>
      </c>
      <c r="D226" s="491"/>
      <c r="E226" s="235">
        <f>C226+D226</f>
        <v>85</v>
      </c>
      <c r="F226" s="234">
        <v>85</v>
      </c>
      <c r="G226" s="235">
        <f>E226+F226</f>
        <v>170</v>
      </c>
      <c r="H226" s="172">
        <f t="shared" si="58"/>
        <v>4.0141676505312867E-3</v>
      </c>
      <c r="I226" s="337"/>
      <c r="J226" s="168"/>
      <c r="K226" s="168"/>
    </row>
    <row r="227" spans="1:11">
      <c r="A227" s="163"/>
      <c r="B227" s="170" t="s">
        <v>179</v>
      </c>
      <c r="C227" s="491">
        <f>'[64]Sch D'!K9</f>
        <v>0</v>
      </c>
      <c r="D227" s="491"/>
      <c r="E227" s="235">
        <f t="shared" si="59"/>
        <v>0</v>
      </c>
      <c r="F227" s="432">
        <v>0</v>
      </c>
      <c r="G227" s="235">
        <f t="shared" si="57"/>
        <v>0</v>
      </c>
      <c r="H227" s="172">
        <f t="shared" si="58"/>
        <v>0</v>
      </c>
      <c r="I227" s="337"/>
      <c r="J227" s="168"/>
      <c r="K227" s="168"/>
    </row>
    <row r="228" spans="1:11" ht="13.5" thickBot="1">
      <c r="A228" s="163"/>
      <c r="B228" s="236" t="s">
        <v>75</v>
      </c>
      <c r="C228" s="491">
        <f>SUM(C219:C227)</f>
        <v>24111</v>
      </c>
      <c r="D228" s="491">
        <f>SUM(D219:D227)</f>
        <v>0</v>
      </c>
      <c r="E228" s="237">
        <f>SUM(E219:E227)</f>
        <v>24111</v>
      </c>
      <c r="F228" s="428">
        <f>SUM(F219:F227)</f>
        <v>18239</v>
      </c>
      <c r="G228" s="237">
        <f>SUM(G219:G227)</f>
        <v>42350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238"/>
      <c r="D229" s="239"/>
      <c r="E229" s="232"/>
      <c r="F229" s="431"/>
      <c r="G229" s="232"/>
      <c r="H229" s="167"/>
      <c r="J229" s="168"/>
      <c r="K229" s="168"/>
    </row>
    <row r="230" spans="1:11">
      <c r="A230" s="163"/>
      <c r="B230" s="233" t="s">
        <v>160</v>
      </c>
      <c r="C230" s="231"/>
      <c r="D230" s="232"/>
      <c r="E230" s="232"/>
      <c r="F230" s="426"/>
      <c r="G230" s="232"/>
      <c r="H230" s="167"/>
      <c r="J230" s="168"/>
      <c r="K230" s="168"/>
    </row>
    <row r="231" spans="1:11">
      <c r="A231" s="163"/>
      <c r="B231" s="202" t="s">
        <v>219</v>
      </c>
      <c r="C231" s="492">
        <v>154</v>
      </c>
      <c r="D231" s="526"/>
      <c r="E231" s="235">
        <f>C231+D231</f>
        <v>154</v>
      </c>
      <c r="F231" s="432">
        <v>154</v>
      </c>
      <c r="G231" s="235">
        <f>E231</f>
        <v>154</v>
      </c>
      <c r="H231" s="167"/>
      <c r="J231" s="168"/>
      <c r="K231" s="168"/>
    </row>
    <row r="232" spans="1:11">
      <c r="A232" s="163"/>
      <c r="B232" s="202" t="s">
        <v>290</v>
      </c>
      <c r="C232" s="492">
        <v>154</v>
      </c>
      <c r="D232" s="526"/>
      <c r="E232" s="235">
        <f>C232+D232</f>
        <v>154</v>
      </c>
      <c r="F232" s="432">
        <v>154</v>
      </c>
      <c r="G232" s="235">
        <f>E232</f>
        <v>154</v>
      </c>
      <c r="H232" s="167"/>
      <c r="J232" s="168"/>
      <c r="K232" s="168"/>
    </row>
    <row r="233" spans="1:11">
      <c r="A233" s="163"/>
      <c r="B233" s="202" t="s">
        <v>76</v>
      </c>
      <c r="C233" s="492">
        <v>215</v>
      </c>
      <c r="D233" s="489"/>
      <c r="E233" s="235">
        <f>C233+D233</f>
        <v>215</v>
      </c>
      <c r="F233" s="429">
        <v>150</v>
      </c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242"/>
      <c r="D234" s="240"/>
      <c r="E234" s="243"/>
      <c r="F234" s="429"/>
      <c r="G234" s="243"/>
      <c r="H234" s="167"/>
      <c r="J234" s="168"/>
      <c r="K234" s="168"/>
    </row>
    <row r="235" spans="1:11" ht="26">
      <c r="A235" s="163"/>
      <c r="B235" s="244" t="s">
        <v>335</v>
      </c>
      <c r="C235" s="492">
        <v>33110</v>
      </c>
      <c r="D235" s="489"/>
      <c r="E235" s="234">
        <f>E231*E233</f>
        <v>33110</v>
      </c>
      <c r="F235" s="429"/>
      <c r="G235" s="234">
        <f>G231*G233</f>
        <v>56210</v>
      </c>
      <c r="H235" s="167"/>
      <c r="J235" s="168"/>
      <c r="K235" s="168"/>
    </row>
    <row r="236" spans="1:11" ht="26">
      <c r="A236" s="163"/>
      <c r="B236" s="244" t="s">
        <v>336</v>
      </c>
      <c r="C236" s="493">
        <v>0.72820900030202351</v>
      </c>
      <c r="D236" s="240"/>
      <c r="E236" s="245">
        <f>E228/E235</f>
        <v>0.72820900030202351</v>
      </c>
      <c r="F236" s="433"/>
      <c r="G236" s="245">
        <f>G228/G235</f>
        <v>0.75342465753424659</v>
      </c>
      <c r="H236" s="167"/>
      <c r="J236" s="168"/>
      <c r="K236" s="168"/>
    </row>
    <row r="237" spans="1:11" ht="26">
      <c r="A237" s="163"/>
      <c r="B237" s="244" t="s">
        <v>337</v>
      </c>
      <c r="C237" s="493">
        <v>0.37952280277861672</v>
      </c>
      <c r="D237" s="240"/>
      <c r="E237" s="245">
        <f>(E219+E220)/E235</f>
        <v>0.37952280277861672</v>
      </c>
      <c r="F237" s="433"/>
      <c r="G237" s="245">
        <f>(G219+G220)/G235</f>
        <v>0.38863191602917629</v>
      </c>
      <c r="H237" s="167"/>
      <c r="J237" s="168"/>
      <c r="K237" s="168"/>
    </row>
    <row r="238" spans="1:11" ht="26">
      <c r="A238" s="163"/>
      <c r="B238" s="244" t="s">
        <v>338</v>
      </c>
      <c r="C238" s="493">
        <v>0.52117290863091537</v>
      </c>
      <c r="D238" s="240"/>
      <c r="E238" s="245">
        <f>(E237/E236)</f>
        <v>0.52117290863091537</v>
      </c>
      <c r="F238" s="433"/>
      <c r="G238" s="245">
        <f>(G237/G236)</f>
        <v>0.5158205430932703</v>
      </c>
      <c r="H238" s="167"/>
      <c r="J238" s="168"/>
      <c r="K238" s="168"/>
    </row>
    <row r="241" spans="2:8">
      <c r="B241" s="148" t="s">
        <v>339</v>
      </c>
      <c r="F241" s="412" t="s">
        <v>340</v>
      </c>
      <c r="G241" s="490">
        <f>'[64]Sch B'!C85</f>
        <v>212.34198767334362</v>
      </c>
    </row>
    <row r="242" spans="2:8">
      <c r="F242" s="412" t="s">
        <v>341</v>
      </c>
      <c r="G242" s="490">
        <f>'[64]Sch B'!E85</f>
        <v>215.7211159737418</v>
      </c>
    </row>
    <row r="243" spans="2:8">
      <c r="F243" s="412" t="s">
        <v>342</v>
      </c>
      <c r="G243" s="490">
        <f>(211+209*2)/3</f>
        <v>209.66666666666666</v>
      </c>
      <c r="H243" s="140" t="s">
        <v>621</v>
      </c>
    </row>
    <row r="244" spans="2:8">
      <c r="F244" s="412" t="s">
        <v>343</v>
      </c>
      <c r="G244" s="573">
        <f>'[65]Sch B'!I85</f>
        <v>216.2859967051071</v>
      </c>
    </row>
    <row r="245" spans="2:8">
      <c r="F245" s="412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56">
    <tabColor rgb="FFE28CAB"/>
  </sheetPr>
  <dimension ref="A1:Q245"/>
  <sheetViews>
    <sheetView showGridLines="0" zoomScale="90" zoomScaleNormal="90" workbookViewId="0">
      <pane xSplit="2" ySplit="8" topLeftCell="C9" activePane="bottomRight" state="frozen"/>
      <selection activeCell="N1" sqref="N1"/>
      <selection pane="topRight" activeCell="N1" sqref="N1"/>
      <selection pane="bottomLeft" activeCell="N1" sqref="N1"/>
      <selection pane="bottomRight"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9140625" style="430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41.4" customHeight="1">
      <c r="A1" s="138" t="str">
        <f>'ALPINE VALLEY'!A1</f>
        <v>schedules revised 7/9/15</v>
      </c>
      <c r="B1" s="139" t="s">
        <v>304</v>
      </c>
      <c r="C1" s="669" t="s">
        <v>676</v>
      </c>
      <c r="D1" s="476"/>
      <c r="E1" s="476"/>
      <c r="F1" s="480"/>
      <c r="G1" s="476"/>
      <c r="H1" s="476"/>
      <c r="I1" s="476"/>
    </row>
    <row r="2" spans="1:14" ht="23">
      <c r="B2" s="143" t="s">
        <v>189</v>
      </c>
      <c r="C2" s="247" t="s">
        <v>441</v>
      </c>
      <c r="D2" s="247"/>
      <c r="E2"/>
    </row>
    <row r="3" spans="1:14">
      <c r="A3" s="145"/>
      <c r="B3" s="140" t="s">
        <v>79</v>
      </c>
      <c r="C3" s="495">
        <v>41821</v>
      </c>
      <c r="D3" s="400"/>
      <c r="E3" s="147"/>
    </row>
    <row r="4" spans="1:14">
      <c r="A4" s="145"/>
      <c r="B4" s="148" t="s">
        <v>80</v>
      </c>
      <c r="C4" s="495">
        <v>42185</v>
      </c>
      <c r="D4" s="400"/>
      <c r="E4" s="149"/>
      <c r="G4" s="150"/>
    </row>
    <row r="5" spans="1:14" ht="13.25" customHeight="1">
      <c r="A5" s="145"/>
      <c r="B5" s="454"/>
      <c r="D5" s="144"/>
      <c r="F5" s="414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419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420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421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436"/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425"/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490">
        <f>'[66]Sch B'!E10</f>
        <v>1497710.37</v>
      </c>
      <c r="D11" s="490">
        <f>'[66]Sch B'!G10</f>
        <v>0</v>
      </c>
      <c r="E11" s="171">
        <f>C11+D11</f>
        <v>1497710.37</v>
      </c>
      <c r="F11" s="418"/>
      <c r="G11" s="171">
        <f t="shared" ref="G11:G20" si="0">E11+F11</f>
        <v>1497710.37</v>
      </c>
      <c r="H11" s="172">
        <f t="shared" ref="H11:H21" si="1">IF($G$21=0,0,G11/$G$21)</f>
        <v>0.49580690853695097</v>
      </c>
      <c r="I11" s="337"/>
      <c r="J11" s="368" t="s">
        <v>344</v>
      </c>
      <c r="K11" s="369">
        <f>G21</f>
        <v>3020753.33</v>
      </c>
      <c r="M11" s="359">
        <f>IFERROR(G11/G219,0)</f>
        <v>151.20750832912671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490">
        <f>'[66]Sch B'!E15</f>
        <v>0</v>
      </c>
      <c r="D12" s="490">
        <f>'[66]Sch B'!G15</f>
        <v>0</v>
      </c>
      <c r="E12" s="171">
        <f t="shared" ref="E12:E20" si="2">C12+D12</f>
        <v>0</v>
      </c>
      <c r="F12" s="418"/>
      <c r="G12" s="171">
        <f>E12+F12</f>
        <v>0</v>
      </c>
      <c r="H12" s="172">
        <f t="shared" si="1"/>
        <v>0</v>
      </c>
      <c r="I12" s="337"/>
      <c r="J12" s="370" t="s">
        <v>345</v>
      </c>
      <c r="K12" s="371">
        <f>G208</f>
        <v>2934318.4550360441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490">
        <f>'[66]Sch B'!E21</f>
        <v>797021.46000000008</v>
      </c>
      <c r="D13" s="490">
        <f>'[66]Sch B'!G21</f>
        <v>0</v>
      </c>
      <c r="E13" s="171">
        <f t="shared" si="2"/>
        <v>797021.46000000008</v>
      </c>
      <c r="F13" s="418"/>
      <c r="G13" s="171">
        <f t="shared" si="0"/>
        <v>797021.46000000008</v>
      </c>
      <c r="H13" s="172">
        <f t="shared" si="1"/>
        <v>0.26384857448787452</v>
      </c>
      <c r="I13" s="337"/>
      <c r="J13" s="370" t="s">
        <v>346</v>
      </c>
      <c r="K13" s="371">
        <f>G228</f>
        <v>15868</v>
      </c>
      <c r="M13" s="359">
        <f t="shared" si="3"/>
        <v>433.39938009787932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490">
        <f>'[66]Sch B'!E27</f>
        <v>4127.08</v>
      </c>
      <c r="D14" s="490">
        <f>'[66]Sch B'!G27</f>
        <v>0</v>
      </c>
      <c r="E14" s="171">
        <f t="shared" si="2"/>
        <v>4127.08</v>
      </c>
      <c r="F14" s="418"/>
      <c r="G14" s="175">
        <f>E14+F14</f>
        <v>4127.08</v>
      </c>
      <c r="H14" s="176">
        <f t="shared" si="1"/>
        <v>1.3662419764675058E-3</v>
      </c>
      <c r="I14" s="338"/>
      <c r="J14" s="370" t="s">
        <v>347</v>
      </c>
      <c r="K14" s="371">
        <f>G231</f>
        <v>53</v>
      </c>
      <c r="M14" s="359">
        <f t="shared" si="3"/>
        <v>171.96166666666667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490">
        <f>'[66]Sch B'!E32</f>
        <v>0</v>
      </c>
      <c r="D15" s="490">
        <f>'[66]Sch B'!G32</f>
        <v>0</v>
      </c>
      <c r="E15" s="171">
        <f t="shared" si="2"/>
        <v>0</v>
      </c>
      <c r="F15" s="418"/>
      <c r="G15" s="171">
        <f t="shared" si="0"/>
        <v>0</v>
      </c>
      <c r="H15" s="172">
        <f t="shared" si="1"/>
        <v>0</v>
      </c>
      <c r="I15" s="337"/>
      <c r="J15" s="370" t="s">
        <v>348</v>
      </c>
      <c r="K15" s="371">
        <f>G235</f>
        <v>19345</v>
      </c>
      <c r="M15" s="359">
        <f t="shared" si="3"/>
        <v>0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490">
        <f>'[66]Sch B'!E37</f>
        <v>356592.81</v>
      </c>
      <c r="D16" s="490">
        <f>'[66]Sch B'!G37</f>
        <v>0</v>
      </c>
      <c r="E16" s="171">
        <f t="shared" si="2"/>
        <v>356592.81</v>
      </c>
      <c r="F16" s="418"/>
      <c r="G16" s="171">
        <f t="shared" si="0"/>
        <v>356592.81</v>
      </c>
      <c r="H16" s="172">
        <f t="shared" si="1"/>
        <v>0.11804764277128182</v>
      </c>
      <c r="I16" s="337"/>
      <c r="J16" s="372"/>
      <c r="K16" s="371"/>
      <c r="M16" s="359">
        <f t="shared" si="3"/>
        <v>171.10979366602686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490">
        <f>'[66]Sch B'!E42</f>
        <v>172870.56</v>
      </c>
      <c r="D17" s="490">
        <f>'[66]Sch B'!G42</f>
        <v>0</v>
      </c>
      <c r="E17" s="171">
        <f t="shared" si="2"/>
        <v>172870.56</v>
      </c>
      <c r="F17" s="418"/>
      <c r="G17" s="171">
        <f>E17+F17</f>
        <v>172870.56</v>
      </c>
      <c r="H17" s="172">
        <f t="shared" si="1"/>
        <v>5.7227632022506116E-2</v>
      </c>
      <c r="I17" s="337"/>
      <c r="J17" s="370" t="s">
        <v>156</v>
      </c>
      <c r="K17" s="371">
        <f>J208</f>
        <v>79726.039999999994</v>
      </c>
      <c r="M17" s="359">
        <f t="shared" si="3"/>
        <v>189.13628008752735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490">
        <f>'[66]Sch B'!E47</f>
        <v>134006</v>
      </c>
      <c r="D18" s="490">
        <f>'[66]Sch B'!G47</f>
        <v>0</v>
      </c>
      <c r="E18" s="171">
        <f t="shared" si="2"/>
        <v>134006</v>
      </c>
      <c r="F18" s="418"/>
      <c r="G18" s="171">
        <f>E18+F18</f>
        <v>134006</v>
      </c>
      <c r="H18" s="172">
        <f t="shared" si="1"/>
        <v>4.4361781767861194E-2</v>
      </c>
      <c r="I18" s="337"/>
      <c r="J18" s="373" t="s">
        <v>252</v>
      </c>
      <c r="K18" s="374">
        <f>K208</f>
        <v>83542.03</v>
      </c>
      <c r="M18" s="359">
        <f t="shared" si="3"/>
        <v>121.60254083484574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490">
        <f>'[66]Sch B'!E52</f>
        <v>0</v>
      </c>
      <c r="D19" s="490">
        <f>'[66]Sch B'!G52</f>
        <v>0</v>
      </c>
      <c r="E19" s="171">
        <f t="shared" si="2"/>
        <v>0</v>
      </c>
      <c r="F19" s="418"/>
      <c r="G19" s="171">
        <f t="shared" si="0"/>
        <v>0</v>
      </c>
      <c r="H19" s="172">
        <f t="shared" si="1"/>
        <v>0</v>
      </c>
      <c r="I19" s="337"/>
      <c r="J19" s="168"/>
      <c r="K19" s="168"/>
      <c r="M19" s="359">
        <f t="shared" si="3"/>
        <v>0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490">
        <f>'[66]Sch B'!E67</f>
        <v>58425.05</v>
      </c>
      <c r="D20" s="490">
        <f>'[66]Sch B'!G67</f>
        <v>0</v>
      </c>
      <c r="E20" s="171">
        <f t="shared" si="2"/>
        <v>58425.05</v>
      </c>
      <c r="F20" s="418"/>
      <c r="G20" s="171">
        <f t="shared" si="0"/>
        <v>58425.05</v>
      </c>
      <c r="H20" s="172">
        <f t="shared" si="1"/>
        <v>1.9341218437057887E-2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490">
        <f>SUM(C11:C20)</f>
        <v>3020753.33</v>
      </c>
      <c r="D21" s="490">
        <f>SUM(D11:D20)</f>
        <v>0</v>
      </c>
      <c r="E21" s="171">
        <f>SUM(E11:E20)</f>
        <v>3020753.33</v>
      </c>
      <c r="F21" s="418">
        <f>SUM(F11:F20)</f>
        <v>0</v>
      </c>
      <c r="G21" s="171">
        <f>SUM(G11:G20)</f>
        <v>3020753.33</v>
      </c>
      <c r="H21" s="172">
        <f t="shared" si="1"/>
        <v>1</v>
      </c>
      <c r="I21" s="337"/>
      <c r="J21" s="168"/>
      <c r="K21" s="168"/>
      <c r="M21" s="359">
        <f>IFERROR(G21/G228,0)</f>
        <v>190.36761595664231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436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436"/>
      <c r="G23" s="144"/>
      <c r="M23" s="363"/>
      <c r="N23" s="363"/>
    </row>
    <row r="24" spans="1:14">
      <c r="A24" s="181" t="s">
        <v>161</v>
      </c>
      <c r="B24" s="148" t="s">
        <v>12</v>
      </c>
      <c r="M24" s="363"/>
      <c r="N24" s="363"/>
    </row>
    <row r="25" spans="1:14" s="167" customFormat="1">
      <c r="A25" s="169" t="s">
        <v>83</v>
      </c>
      <c r="B25" s="170" t="s">
        <v>14</v>
      </c>
      <c r="C25" s="490">
        <f>'[66]Sch C'!D10</f>
        <v>62940.09</v>
      </c>
      <c r="D25" s="490">
        <f>'[66]Sch C'!F10</f>
        <v>21667</v>
      </c>
      <c r="E25" s="171">
        <f t="shared" ref="E25:E60" si="4">C25+D25</f>
        <v>84607.09</v>
      </c>
      <c r="F25" s="418"/>
      <c r="G25" s="182">
        <f>E25+F25</f>
        <v>84607.09</v>
      </c>
      <c r="H25" s="172">
        <f>IF($G$208=0,0,G25/$G$208)</f>
        <v>2.883364273390044E-2</v>
      </c>
      <c r="I25" s="337"/>
      <c r="J25" s="183">
        <v>1960.08</v>
      </c>
      <c r="K25" s="183">
        <v>2080.08</v>
      </c>
      <c r="M25" s="359">
        <f>G25/G$228</f>
        <v>5.3319315603730777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490">
        <f>'[66]Sch C'!D11</f>
        <v>0</v>
      </c>
      <c r="D26" s="490">
        <f>'[66]Sch C'!F11</f>
        <v>0</v>
      </c>
      <c r="E26" s="171">
        <f t="shared" si="4"/>
        <v>0</v>
      </c>
      <c r="F26" s="418"/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490">
        <f>'[66]Sch C'!D12</f>
        <v>33729.360000000001</v>
      </c>
      <c r="D27" s="490">
        <f>'[66]Sch C'!F12</f>
        <v>0</v>
      </c>
      <c r="E27" s="171">
        <f t="shared" si="4"/>
        <v>33729.360000000001</v>
      </c>
      <c r="F27" s="418"/>
      <c r="G27" s="171">
        <f t="shared" si="5"/>
        <v>33729.360000000001</v>
      </c>
      <c r="H27" s="172">
        <f t="shared" si="6"/>
        <v>1.149478508105068E-2</v>
      </c>
      <c r="I27" s="337"/>
      <c r="J27" s="185">
        <v>2776.68</v>
      </c>
      <c r="K27" s="185">
        <v>2782.68</v>
      </c>
      <c r="M27" s="359">
        <f t="shared" si="7"/>
        <v>2.1256213763549283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490">
        <f>'[66]Sch C'!D13</f>
        <v>125116.63</v>
      </c>
      <c r="D28" s="490">
        <f>'[66]Sch C'!F13</f>
        <v>-113304</v>
      </c>
      <c r="E28" s="171">
        <f t="shared" si="4"/>
        <v>11812.630000000005</v>
      </c>
      <c r="F28" s="418"/>
      <c r="G28" s="171">
        <f t="shared" si="5"/>
        <v>11812.630000000005</v>
      </c>
      <c r="H28" s="172">
        <f t="shared" si="6"/>
        <v>4.0256809821464668E-3</v>
      </c>
      <c r="I28" s="337"/>
      <c r="J28" s="168"/>
      <c r="K28" s="168"/>
      <c r="M28" s="359">
        <f t="shared" si="7"/>
        <v>0.74443093017393525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490">
        <f>'[66]Sch C'!D14</f>
        <v>0</v>
      </c>
      <c r="D29" s="490">
        <f>'[66]Sch C'!F14</f>
        <v>0</v>
      </c>
      <c r="E29" s="171">
        <f t="shared" si="4"/>
        <v>0</v>
      </c>
      <c r="F29" s="418"/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490">
        <f>'[66]Sch C'!D15</f>
        <v>85939.25</v>
      </c>
      <c r="D30" s="490">
        <f>'[66]Sch C'!F15</f>
        <v>-85939</v>
      </c>
      <c r="E30" s="171">
        <f t="shared" si="4"/>
        <v>0.25</v>
      </c>
      <c r="F30" s="418"/>
      <c r="G30" s="171">
        <f t="shared" si="5"/>
        <v>0.25</v>
      </c>
      <c r="H30" s="172">
        <f t="shared" si="6"/>
        <v>8.5198659869700159E-8</v>
      </c>
      <c r="I30" s="337"/>
      <c r="J30" s="168"/>
      <c r="K30" s="168"/>
      <c r="M30" s="359">
        <f t="shared" si="7"/>
        <v>1.5754978573229141E-5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490">
        <f>'[66]Sch C'!D16</f>
        <v>0</v>
      </c>
      <c r="D31" s="490">
        <f>'[66]Sch C'!F16</f>
        <v>81180</v>
      </c>
      <c r="E31" s="171">
        <f t="shared" si="4"/>
        <v>81180</v>
      </c>
      <c r="F31" s="418"/>
      <c r="G31" s="171">
        <f t="shared" si="5"/>
        <v>81180</v>
      </c>
      <c r="H31" s="172">
        <f t="shared" si="6"/>
        <v>2.7665708832889036E-2</v>
      </c>
      <c r="I31" s="337"/>
      <c r="J31" s="168"/>
      <c r="K31" s="168"/>
      <c r="M31" s="359">
        <f t="shared" si="7"/>
        <v>5.1159566422989666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490">
        <f>'[66]Sch C'!D17</f>
        <v>1494.38</v>
      </c>
      <c r="D32" s="490">
        <f>'[66]Sch C'!F17</f>
        <v>-1494</v>
      </c>
      <c r="E32" s="171">
        <f t="shared" si="4"/>
        <v>0.38000000000010914</v>
      </c>
      <c r="F32" s="418"/>
      <c r="G32" s="171">
        <f t="shared" si="5"/>
        <v>0.38000000000010914</v>
      </c>
      <c r="H32" s="172">
        <f t="shared" si="6"/>
        <v>1.2950196300198144E-7</v>
      </c>
      <c r="I32" s="337"/>
      <c r="J32" s="168"/>
      <c r="K32" s="168"/>
      <c r="M32" s="359">
        <f t="shared" si="7"/>
        <v>2.3947567431315171E-5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490">
        <f>'[66]Sch C'!D18</f>
        <v>7014.31</v>
      </c>
      <c r="D33" s="490">
        <f>'[66]Sch C'!F18</f>
        <v>0</v>
      </c>
      <c r="E33" s="171">
        <f t="shared" si="4"/>
        <v>7014.31</v>
      </c>
      <c r="F33" s="418"/>
      <c r="G33" s="171">
        <f t="shared" si="5"/>
        <v>7014.31</v>
      </c>
      <c r="H33" s="172">
        <f t="shared" si="6"/>
        <v>2.3904392476425465E-3</v>
      </c>
      <c r="I33" s="337"/>
      <c r="J33" s="168"/>
      <c r="K33" s="168"/>
      <c r="M33" s="359">
        <f t="shared" si="7"/>
        <v>0.44204121502394761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490">
        <f>'[66]Sch C'!D19</f>
        <v>8988.7000000000007</v>
      </c>
      <c r="D34" s="490">
        <f>'[66]Sch C'!F19</f>
        <v>0</v>
      </c>
      <c r="E34" s="171">
        <f t="shared" si="4"/>
        <v>8988.7000000000007</v>
      </c>
      <c r="F34" s="418"/>
      <c r="G34" s="171">
        <f t="shared" si="5"/>
        <v>8988.7000000000007</v>
      </c>
      <c r="H34" s="172">
        <f t="shared" si="6"/>
        <v>3.0633007758830958E-3</v>
      </c>
      <c r="I34" s="337"/>
      <c r="J34" s="168"/>
      <c r="K34" s="168"/>
      <c r="M34" s="359">
        <f t="shared" si="7"/>
        <v>0.56646710360473918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490">
        <f>'[66]Sch C'!D20</f>
        <v>8558.66</v>
      </c>
      <c r="D35" s="490">
        <f>'[66]Sch C'!F20</f>
        <v>0</v>
      </c>
      <c r="E35" s="171">
        <f t="shared" si="4"/>
        <v>8558.66</v>
      </c>
      <c r="F35" s="418"/>
      <c r="G35" s="171">
        <f t="shared" si="5"/>
        <v>8558.66</v>
      </c>
      <c r="H35" s="172">
        <f t="shared" si="6"/>
        <v>2.9167454491216319E-3</v>
      </c>
      <c r="I35" s="337"/>
      <c r="J35" s="168"/>
      <c r="K35" s="168"/>
      <c r="M35" s="359">
        <f t="shared" si="7"/>
        <v>0.5393660196622132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490">
        <f>'[66]Sch C'!D21</f>
        <v>5151.3999999999996</v>
      </c>
      <c r="D36" s="490">
        <f>'[66]Sch C'!F21</f>
        <v>0</v>
      </c>
      <c r="E36" s="171">
        <f t="shared" si="4"/>
        <v>5151.3999999999996</v>
      </c>
      <c r="F36" s="418"/>
      <c r="G36" s="171">
        <f t="shared" si="5"/>
        <v>5151.3999999999996</v>
      </c>
      <c r="H36" s="172">
        <f t="shared" si="6"/>
        <v>1.7555695058110935E-3</v>
      </c>
      <c r="I36" s="337"/>
      <c r="J36" s="168"/>
      <c r="K36" s="168"/>
      <c r="M36" s="359">
        <f t="shared" si="7"/>
        <v>0.32464078648853034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490">
        <f>'[66]Sch C'!D22</f>
        <v>0</v>
      </c>
      <c r="D37" s="490">
        <f>'[66]Sch C'!F22</f>
        <v>0</v>
      </c>
      <c r="E37" s="171">
        <f t="shared" si="4"/>
        <v>0</v>
      </c>
      <c r="F37" s="418"/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490">
        <f>'[66]Sch C'!D23</f>
        <v>5799.81</v>
      </c>
      <c r="D38" s="490">
        <f>'[66]Sch C'!F23</f>
        <v>0</v>
      </c>
      <c r="E38" s="171">
        <f t="shared" si="4"/>
        <v>5799.81</v>
      </c>
      <c r="F38" s="418"/>
      <c r="G38" s="171">
        <f t="shared" si="5"/>
        <v>5799.81</v>
      </c>
      <c r="H38" s="172">
        <f t="shared" si="6"/>
        <v>1.9765441579955431E-3</v>
      </c>
      <c r="I38" s="337"/>
      <c r="J38" s="168"/>
      <c r="K38" s="168"/>
      <c r="M38" s="359">
        <f t="shared" si="7"/>
        <v>0.36550352911520045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490">
        <f>'[66]Sch C'!D24</f>
        <v>24610.65</v>
      </c>
      <c r="D39" s="490">
        <f>'[66]Sch C'!F24</f>
        <v>0</v>
      </c>
      <c r="E39" s="171">
        <f t="shared" si="4"/>
        <v>24610.65</v>
      </c>
      <c r="F39" s="418">
        <v>-11360</v>
      </c>
      <c r="G39" s="171">
        <f t="shared" si="5"/>
        <v>13250.650000000001</v>
      </c>
      <c r="H39" s="172">
        <f t="shared" si="6"/>
        <v>4.5157504896097701E-3</v>
      </c>
      <c r="I39" s="337"/>
      <c r="J39" s="168"/>
      <c r="K39" s="168"/>
      <c r="M39" s="359">
        <f t="shared" si="7"/>
        <v>0.8350548273254349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490">
        <f>'[66]Sch C'!D25</f>
        <v>0</v>
      </c>
      <c r="D40" s="490">
        <f>'[66]Sch C'!F25</f>
        <v>0</v>
      </c>
      <c r="E40" s="171">
        <f t="shared" si="4"/>
        <v>0</v>
      </c>
      <c r="F40" s="418"/>
      <c r="G40" s="171">
        <f t="shared" si="5"/>
        <v>0</v>
      </c>
      <c r="H40" s="172">
        <f t="shared" si="6"/>
        <v>0</v>
      </c>
      <c r="I40" s="337"/>
      <c r="J40" s="168"/>
      <c r="K40" s="168"/>
      <c r="M40" s="359">
        <f t="shared" si="7"/>
        <v>0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490">
        <f>'[66]Sch C'!D26</f>
        <v>216840.45</v>
      </c>
      <c r="D41" s="490">
        <f>'[66]Sch C'!F26</f>
        <v>0</v>
      </c>
      <c r="E41" s="171">
        <f t="shared" si="4"/>
        <v>216840.45</v>
      </c>
      <c r="F41" s="418"/>
      <c r="G41" s="171">
        <f t="shared" si="5"/>
        <v>216840.45</v>
      </c>
      <c r="H41" s="172">
        <f t="shared" si="6"/>
        <v>7.3898062982170901E-2</v>
      </c>
      <c r="I41" s="337"/>
      <c r="J41" s="168"/>
      <c r="K41" s="168"/>
      <c r="M41" s="359">
        <f t="shared" si="7"/>
        <v>13.66526657423746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490">
        <f>'[66]Sch C'!D27</f>
        <v>135.06</v>
      </c>
      <c r="D42" s="490">
        <f>'[66]Sch C'!F27</f>
        <v>0</v>
      </c>
      <c r="E42" s="171">
        <f t="shared" si="4"/>
        <v>135.06</v>
      </c>
      <c r="F42" s="418"/>
      <c r="G42" s="171">
        <f t="shared" si="5"/>
        <v>135.06</v>
      </c>
      <c r="H42" s="172">
        <f t="shared" si="6"/>
        <v>4.6027724008006818E-5</v>
      </c>
      <c r="I42" s="337"/>
      <c r="J42" s="168"/>
      <c r="K42" s="168"/>
      <c r="M42" s="359">
        <f t="shared" si="7"/>
        <v>8.5114696244013108E-3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490">
        <f>'[66]Sch C'!D28</f>
        <v>0</v>
      </c>
      <c r="D43" s="490">
        <f>'[66]Sch C'!F28</f>
        <v>0</v>
      </c>
      <c r="E43" s="171">
        <f t="shared" si="4"/>
        <v>0</v>
      </c>
      <c r="F43" s="418"/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490">
        <f>'[66]Sch C'!D29</f>
        <v>30362.26</v>
      </c>
      <c r="D44" s="490">
        <f>'[66]Sch C'!F29</f>
        <v>-30362.26</v>
      </c>
      <c r="E44" s="171">
        <f t="shared" si="4"/>
        <v>0</v>
      </c>
      <c r="F44" s="418"/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490">
        <f>'[66]Sch C'!D30</f>
        <v>0</v>
      </c>
      <c r="D45" s="490">
        <f>'[66]Sch C'!F30</f>
        <v>0</v>
      </c>
      <c r="E45" s="171">
        <f t="shared" si="4"/>
        <v>0</v>
      </c>
      <c r="F45" s="418"/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490">
        <f>'[66]Sch C'!D31</f>
        <v>26901.54</v>
      </c>
      <c r="D46" s="490">
        <f>'[66]Sch C'!F31</f>
        <v>0</v>
      </c>
      <c r="E46" s="171">
        <f t="shared" si="4"/>
        <v>26901.54</v>
      </c>
      <c r="F46" s="418"/>
      <c r="G46" s="171">
        <f t="shared" si="5"/>
        <v>26901.54</v>
      </c>
      <c r="H46" s="172">
        <f t="shared" si="6"/>
        <v>9.1679006257245361E-3</v>
      </c>
      <c r="I46" s="337"/>
      <c r="J46" s="168"/>
      <c r="K46" s="168"/>
      <c r="M46" s="359">
        <f t="shared" si="7"/>
        <v>1.6953327451474667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490">
        <f>'[66]Sch C'!D32</f>
        <v>20801.59</v>
      </c>
      <c r="D47" s="490">
        <f>'[66]Sch C'!F32</f>
        <v>0</v>
      </c>
      <c r="E47" s="171">
        <f t="shared" si="4"/>
        <v>20801.59</v>
      </c>
      <c r="F47" s="418"/>
      <c r="G47" s="171">
        <f t="shared" si="5"/>
        <v>20801.59</v>
      </c>
      <c r="H47" s="172">
        <f t="shared" si="6"/>
        <v>7.0890703646358253E-3</v>
      </c>
      <c r="I47" s="337"/>
      <c r="J47" s="168"/>
      <c r="K47" s="168"/>
      <c r="M47" s="359">
        <f t="shared" si="7"/>
        <v>1.3109144189563902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490">
        <f>'[66]Sch C'!D33</f>
        <v>0</v>
      </c>
      <c r="D48" s="490">
        <f>'[66]Sch C'!F33</f>
        <v>0</v>
      </c>
      <c r="E48" s="171">
        <f t="shared" si="4"/>
        <v>0</v>
      </c>
      <c r="F48" s="418"/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490">
        <f>'[66]Sch C'!D34</f>
        <v>0</v>
      </c>
      <c r="D49" s="490">
        <f>'[66]Sch C'!F34</f>
        <v>0</v>
      </c>
      <c r="E49" s="171">
        <f t="shared" si="4"/>
        <v>0</v>
      </c>
      <c r="F49" s="418"/>
      <c r="G49" s="171">
        <f t="shared" si="5"/>
        <v>0</v>
      </c>
      <c r="H49" s="172">
        <f t="shared" si="6"/>
        <v>0</v>
      </c>
      <c r="I49" s="337"/>
      <c r="J49" s="168"/>
      <c r="K49" s="168"/>
      <c r="M49" s="359">
        <f t="shared" si="7"/>
        <v>0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490">
        <f>'[66]Sch C'!D35</f>
        <v>0</v>
      </c>
      <c r="D50" s="490">
        <f>'[66]Sch C'!F35</f>
        <v>0</v>
      </c>
      <c r="E50" s="171">
        <f t="shared" si="4"/>
        <v>0</v>
      </c>
      <c r="F50" s="418"/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490">
        <f>'[66]Sch C'!D36</f>
        <v>0</v>
      </c>
      <c r="D51" s="490">
        <f>'[66]Sch C'!F36</f>
        <v>0</v>
      </c>
      <c r="E51" s="171">
        <f t="shared" si="4"/>
        <v>0</v>
      </c>
      <c r="F51" s="418"/>
      <c r="G51" s="171">
        <f t="shared" si="5"/>
        <v>0</v>
      </c>
      <c r="H51" s="172">
        <f t="shared" si="6"/>
        <v>0</v>
      </c>
      <c r="I51" s="337"/>
      <c r="J51" s="183">
        <v>0</v>
      </c>
      <c r="K51" s="183">
        <v>0</v>
      </c>
      <c r="M51" s="359">
        <f t="shared" si="7"/>
        <v>0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490">
        <f>'[66]Sch C'!D37</f>
        <v>0</v>
      </c>
      <c r="D52" s="490">
        <f>'[66]Sch C'!F37</f>
        <v>0</v>
      </c>
      <c r="E52" s="171">
        <f t="shared" si="4"/>
        <v>0</v>
      </c>
      <c r="F52" s="418"/>
      <c r="G52" s="171">
        <f t="shared" si="5"/>
        <v>0</v>
      </c>
      <c r="H52" s="172">
        <f t="shared" si="6"/>
        <v>0</v>
      </c>
      <c r="I52" s="337"/>
      <c r="J52" s="168"/>
      <c r="K52" s="168"/>
      <c r="M52" s="359">
        <f t="shared" si="7"/>
        <v>0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490">
        <f>'[66]Sch C'!D38</f>
        <v>0</v>
      </c>
      <c r="D53" s="490">
        <f>'[66]Sch C'!F38</f>
        <v>0</v>
      </c>
      <c r="E53" s="171">
        <f t="shared" si="4"/>
        <v>0</v>
      </c>
      <c r="F53" s="418"/>
      <c r="G53" s="171">
        <f t="shared" si="5"/>
        <v>0</v>
      </c>
      <c r="H53" s="172">
        <f t="shared" si="6"/>
        <v>0</v>
      </c>
      <c r="I53" s="337"/>
      <c r="J53" s="168"/>
      <c r="K53" s="168"/>
      <c r="M53" s="359">
        <f t="shared" si="7"/>
        <v>0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490">
        <f>'[66]Sch C'!D39</f>
        <v>4516.03</v>
      </c>
      <c r="D54" s="490">
        <f>'[66]Sch C'!F39</f>
        <v>0</v>
      </c>
      <c r="E54" s="171">
        <f t="shared" si="4"/>
        <v>4516.03</v>
      </c>
      <c r="F54" s="418"/>
      <c r="G54" s="171">
        <f t="shared" si="5"/>
        <v>4516.03</v>
      </c>
      <c r="H54" s="172">
        <f t="shared" si="6"/>
        <v>1.5390388157254481E-3</v>
      </c>
      <c r="I54" s="337"/>
      <c r="J54" s="168"/>
      <c r="K54" s="168"/>
      <c r="M54" s="359">
        <f t="shared" si="7"/>
        <v>0.28459982354423996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490">
        <f>'[66]Sch C'!D40</f>
        <v>3519.18</v>
      </c>
      <c r="D55" s="490">
        <f>'[66]Sch C'!F40</f>
        <v>-3519</v>
      </c>
      <c r="E55" s="171">
        <f t="shared" si="4"/>
        <v>0.17999999999983629</v>
      </c>
      <c r="F55" s="418"/>
      <c r="G55" s="171">
        <f t="shared" si="5"/>
        <v>0.17999999999983629</v>
      </c>
      <c r="H55" s="172">
        <f t="shared" si="6"/>
        <v>6.1343035106128321E-8</v>
      </c>
      <c r="I55" s="337"/>
      <c r="J55" s="168"/>
      <c r="K55" s="168"/>
      <c r="M55" s="359">
        <f t="shared" si="7"/>
        <v>1.1343584572714663E-5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490">
        <f>'[66]Sch C'!D41</f>
        <v>0</v>
      </c>
      <c r="D56" s="490">
        <f>'[66]Sch C'!F41</f>
        <v>0</v>
      </c>
      <c r="E56" s="171">
        <f t="shared" si="4"/>
        <v>0</v>
      </c>
      <c r="F56" s="418"/>
      <c r="G56" s="171">
        <f t="shared" si="5"/>
        <v>0</v>
      </c>
      <c r="H56" s="172">
        <f t="shared" si="6"/>
        <v>0</v>
      </c>
      <c r="I56" s="337"/>
      <c r="J56" s="168"/>
      <c r="K56" s="168"/>
      <c r="M56" s="359">
        <f t="shared" si="7"/>
        <v>0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490">
        <f>'[66]Sch C'!D42</f>
        <v>2377.0300000000002</v>
      </c>
      <c r="D57" s="490">
        <f>'[66]Sch C'!F42</f>
        <v>0</v>
      </c>
      <c r="E57" s="171">
        <f t="shared" si="4"/>
        <v>2377.0300000000002</v>
      </c>
      <c r="F57" s="418"/>
      <c r="G57" s="171">
        <f t="shared" si="5"/>
        <v>2377.0300000000002</v>
      </c>
      <c r="H57" s="172">
        <f t="shared" si="6"/>
        <v>8.1007908188029357E-4</v>
      </c>
      <c r="I57" s="337"/>
      <c r="J57" s="168"/>
      <c r="K57" s="168"/>
      <c r="M57" s="359">
        <f t="shared" si="7"/>
        <v>0.14980022687169148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490">
        <f>'[66]Sch C'!D43</f>
        <v>5060.51</v>
      </c>
      <c r="D58" s="490">
        <f>'[66]Sch C'!F43</f>
        <v>0</v>
      </c>
      <c r="E58" s="171">
        <f t="shared" si="4"/>
        <v>5060.51</v>
      </c>
      <c r="F58" s="418"/>
      <c r="G58" s="171">
        <f t="shared" si="5"/>
        <v>5060.51</v>
      </c>
      <c r="H58" s="172">
        <f t="shared" si="6"/>
        <v>1.7245946810288655E-3</v>
      </c>
      <c r="I58" s="337"/>
      <c r="J58" s="168"/>
      <c r="K58" s="168"/>
      <c r="M58" s="359">
        <f t="shared" si="7"/>
        <v>0.31891290647844722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490">
        <f>'[66]Sch C'!D44</f>
        <v>2493.6999999999998</v>
      </c>
      <c r="D59" s="490">
        <f>'[66]Sch C'!F44</f>
        <v>0</v>
      </c>
      <c r="E59" s="171">
        <f t="shared" si="4"/>
        <v>2493.6999999999998</v>
      </c>
      <c r="F59" s="418"/>
      <c r="G59" s="171">
        <f t="shared" si="5"/>
        <v>2493.6999999999998</v>
      </c>
      <c r="H59" s="172">
        <f t="shared" si="6"/>
        <v>8.4983959246828517E-4</v>
      </c>
      <c r="I59" s="337"/>
      <c r="J59" s="168"/>
      <c r="K59" s="168"/>
      <c r="M59" s="359">
        <f t="shared" si="7"/>
        <v>0.15715276027224601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490">
        <f>'[66]Sch C'!D45</f>
        <v>21232.639999999999</v>
      </c>
      <c r="D60" s="490">
        <f>'[66]Sch C'!F45</f>
        <v>-21233</v>
      </c>
      <c r="E60" s="171">
        <f t="shared" si="4"/>
        <v>-0.36000000000058208</v>
      </c>
      <c r="F60" s="418"/>
      <c r="G60" s="171">
        <f t="shared" si="5"/>
        <v>-0.36000000000058208</v>
      </c>
      <c r="H60" s="172">
        <f t="shared" si="6"/>
        <v>-1.226860702125666E-7</v>
      </c>
      <c r="I60" s="337"/>
      <c r="J60" s="168"/>
      <c r="K60" s="168"/>
      <c r="M60" s="359">
        <f t="shared" si="7"/>
        <v>-2.2687169145486644E-5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490">
        <f>SUM(C25:C60)</f>
        <v>703583.23000000021</v>
      </c>
      <c r="D61" s="490">
        <f>SUM(D25:D60)</f>
        <v>-153004.26</v>
      </c>
      <c r="E61" s="171">
        <f t="shared" ref="E61" si="8">SUM(E25:E60)</f>
        <v>550578.97000000009</v>
      </c>
      <c r="F61" s="171">
        <f>SUM(F25:F60)</f>
        <v>-11360</v>
      </c>
      <c r="G61" s="171">
        <f>SUM(G25:G60)</f>
        <v>539218.97000000009</v>
      </c>
      <c r="H61" s="186">
        <f t="shared" si="6"/>
        <v>0.18376293448128025</v>
      </c>
      <c r="I61" s="339"/>
      <c r="J61" s="168"/>
      <c r="K61" s="168"/>
      <c r="M61" s="364">
        <f>G61/G$228</f>
        <v>33.981533274514753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425"/>
      <c r="G62" s="165"/>
      <c r="H62" s="187"/>
      <c r="I62" s="340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425"/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490">
        <f>'[66]Sch C'!D57</f>
        <v>432000</v>
      </c>
      <c r="D64" s="490">
        <f>'[66]Sch C'!F57</f>
        <v>0</v>
      </c>
      <c r="E64" s="171">
        <f t="shared" ref="E64:E78" si="9">C64+D64</f>
        <v>432000</v>
      </c>
      <c r="F64" s="418"/>
      <c r="G64" s="171">
        <f t="shared" ref="G64:G78" si="10">E64+F64</f>
        <v>432000</v>
      </c>
      <c r="H64" s="172">
        <f t="shared" ref="H64:H79" si="11">IF($G$208=0,0,G64/$G$208)</f>
        <v>0.14722328425484188</v>
      </c>
      <c r="I64" s="337"/>
      <c r="J64" s="190"/>
      <c r="K64" s="168"/>
      <c r="M64" s="359">
        <f t="shared" ref="M64:M79" si="12">G64/G$228</f>
        <v>27.224602974539955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490">
        <f>'[66]Sch C'!D58</f>
        <v>1970.7</v>
      </c>
      <c r="D65" s="490">
        <f>'[66]Sch C'!F58</f>
        <v>0</v>
      </c>
      <c r="E65" s="171">
        <f t="shared" si="9"/>
        <v>1970.7</v>
      </c>
      <c r="F65" s="418"/>
      <c r="G65" s="171">
        <f t="shared" si="10"/>
        <v>1970.7</v>
      </c>
      <c r="H65" s="172">
        <f t="shared" si="11"/>
        <v>6.7160399602087244E-4</v>
      </c>
      <c r="I65" s="337"/>
      <c r="J65" s="190"/>
      <c r="K65" s="168"/>
      <c r="M65" s="359">
        <f t="shared" si="12"/>
        <v>0.12419334509705067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490">
        <f>'[66]Sch C'!D59</f>
        <v>0</v>
      </c>
      <c r="D66" s="490">
        <f>'[66]Sch C'!F59</f>
        <v>0</v>
      </c>
      <c r="E66" s="171">
        <f t="shared" si="9"/>
        <v>0</v>
      </c>
      <c r="F66" s="418"/>
      <c r="G66" s="171">
        <f t="shared" si="10"/>
        <v>0</v>
      </c>
      <c r="H66" s="172">
        <f t="shared" si="11"/>
        <v>0</v>
      </c>
      <c r="I66" s="337"/>
      <c r="J66" s="190"/>
      <c r="K66" s="168"/>
      <c r="M66" s="359">
        <f t="shared" si="12"/>
        <v>0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490">
        <f>'[66]Sch C'!D60</f>
        <v>7581.8</v>
      </c>
      <c r="D67" s="490">
        <f>'[66]Sch C'!F60</f>
        <v>0</v>
      </c>
      <c r="E67" s="171">
        <f t="shared" si="9"/>
        <v>7581.8</v>
      </c>
      <c r="F67" s="418"/>
      <c r="G67" s="171">
        <f t="shared" si="10"/>
        <v>7581.8</v>
      </c>
      <c r="H67" s="172">
        <f t="shared" si="11"/>
        <v>2.5838367976003711E-3</v>
      </c>
      <c r="I67" s="337"/>
      <c r="J67" s="193"/>
      <c r="K67" s="168"/>
      <c r="M67" s="359">
        <f t="shared" si="12"/>
        <v>0.47780438618603482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490">
        <f>'[66]Sch C'!D61</f>
        <v>15276.49</v>
      </c>
      <c r="D68" s="490">
        <f>'[66]Sch C'!F61</f>
        <v>0</v>
      </c>
      <c r="E68" s="171">
        <f t="shared" si="9"/>
        <v>15276.49</v>
      </c>
      <c r="F68" s="418"/>
      <c r="G68" s="171">
        <f t="shared" si="10"/>
        <v>15276.49</v>
      </c>
      <c r="H68" s="172">
        <f t="shared" si="11"/>
        <v>5.2061459020515035E-3</v>
      </c>
      <c r="I68" s="337"/>
      <c r="J68" s="193"/>
      <c r="K68" s="168"/>
      <c r="M68" s="359">
        <f t="shared" si="12"/>
        <v>0.96272309049659688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490">
        <f>'[66]Sch C'!D62</f>
        <v>0</v>
      </c>
      <c r="D69" s="490">
        <f>'[66]Sch C'!F62</f>
        <v>0</v>
      </c>
      <c r="E69" s="171">
        <f t="shared" si="9"/>
        <v>0</v>
      </c>
      <c r="F69" s="418"/>
      <c r="G69" s="171">
        <f t="shared" si="10"/>
        <v>0</v>
      </c>
      <c r="H69" s="172">
        <f t="shared" si="11"/>
        <v>0</v>
      </c>
      <c r="I69" s="337"/>
      <c r="J69" s="195"/>
      <c r="K69" s="168"/>
      <c r="M69" s="359">
        <f t="shared" si="12"/>
        <v>0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490">
        <f>'[66]Sch C'!D63</f>
        <v>0</v>
      </c>
      <c r="D70" s="490">
        <f>'[66]Sch C'!F63</f>
        <v>0</v>
      </c>
      <c r="E70" s="171">
        <f t="shared" si="9"/>
        <v>0</v>
      </c>
      <c r="F70" s="418"/>
      <c r="G70" s="171">
        <f t="shared" si="10"/>
        <v>0</v>
      </c>
      <c r="H70" s="172">
        <f t="shared" si="11"/>
        <v>0</v>
      </c>
      <c r="I70" s="337"/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490">
        <f>'[66]Sch C'!D64</f>
        <v>0</v>
      </c>
      <c r="D71" s="490">
        <f>'[66]Sch C'!F64</f>
        <v>0</v>
      </c>
      <c r="E71" s="171">
        <f t="shared" si="9"/>
        <v>0</v>
      </c>
      <c r="F71" s="418"/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490">
        <f>'[66]Sch C'!D65</f>
        <v>1035</v>
      </c>
      <c r="D72" s="490">
        <f>'[66]Sch C'!F65</f>
        <v>0</v>
      </c>
      <c r="E72" s="171">
        <f t="shared" si="9"/>
        <v>1035</v>
      </c>
      <c r="F72" s="418"/>
      <c r="G72" s="171">
        <f t="shared" si="10"/>
        <v>1035</v>
      </c>
      <c r="H72" s="172">
        <f t="shared" si="11"/>
        <v>3.5272245186055866E-4</v>
      </c>
      <c r="I72" s="337"/>
      <c r="J72" s="195"/>
      <c r="K72" s="168"/>
      <c r="M72" s="359">
        <f t="shared" si="12"/>
        <v>6.5225611293168645E-2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490">
        <f>'[66]Sch C'!D66</f>
        <v>370.62</v>
      </c>
      <c r="D73" s="490">
        <f>'[66]Sch C'!F66</f>
        <v>0</v>
      </c>
      <c r="E73" s="171">
        <f t="shared" si="9"/>
        <v>370.62</v>
      </c>
      <c r="F73" s="418"/>
      <c r="G73" s="171">
        <f t="shared" si="10"/>
        <v>370.62</v>
      </c>
      <c r="H73" s="172">
        <f t="shared" si="11"/>
        <v>1.2630530928363311E-4</v>
      </c>
      <c r="I73" s="337"/>
      <c r="J73" s="195"/>
      <c r="K73" s="168"/>
      <c r="M73" s="359">
        <f t="shared" si="12"/>
        <v>2.3356440635240738E-2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490">
        <f>'[66]Sch C'!D67</f>
        <v>2948.24</v>
      </c>
      <c r="D74" s="490">
        <f>'[66]Sch C'!F67</f>
        <v>0</v>
      </c>
      <c r="E74" s="171">
        <f t="shared" si="9"/>
        <v>2948.24</v>
      </c>
      <c r="F74" s="418"/>
      <c r="G74" s="171">
        <f t="shared" si="10"/>
        <v>2948.24</v>
      </c>
      <c r="H74" s="172">
        <f t="shared" si="11"/>
        <v>1.0047443878969792E-3</v>
      </c>
      <c r="I74" s="337"/>
      <c r="J74" s="195"/>
      <c r="K74" s="168"/>
      <c r="M74" s="359">
        <f t="shared" si="12"/>
        <v>0.1857978321149483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490">
        <f>'[66]Sch C'!D68</f>
        <v>0</v>
      </c>
      <c r="D75" s="490">
        <f>'[66]Sch C'!F68</f>
        <v>0</v>
      </c>
      <c r="E75" s="171">
        <f t="shared" si="9"/>
        <v>0</v>
      </c>
      <c r="F75" s="418"/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490">
        <f>'[66]Sch C'!D69</f>
        <v>0</v>
      </c>
      <c r="D76" s="490">
        <f>'[66]Sch C'!F69</f>
        <v>0</v>
      </c>
      <c r="E76" s="171">
        <f t="shared" si="9"/>
        <v>0</v>
      </c>
      <c r="F76" s="418"/>
      <c r="G76" s="171">
        <f t="shared" si="10"/>
        <v>0</v>
      </c>
      <c r="H76" s="172">
        <f t="shared" si="11"/>
        <v>0</v>
      </c>
      <c r="I76" s="337"/>
      <c r="J76" s="195"/>
      <c r="K76" s="168"/>
      <c r="M76" s="359">
        <f t="shared" si="12"/>
        <v>0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490">
        <f>'[66]Sch C'!D70</f>
        <v>0</v>
      </c>
      <c r="D77" s="490">
        <f>'[66]Sch C'!F70</f>
        <v>0</v>
      </c>
      <c r="E77" s="171">
        <f t="shared" si="9"/>
        <v>0</v>
      </c>
      <c r="F77" s="418"/>
      <c r="G77" s="171">
        <f t="shared" si="10"/>
        <v>0</v>
      </c>
      <c r="H77" s="172">
        <f t="shared" si="11"/>
        <v>0</v>
      </c>
      <c r="I77" s="337"/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490">
        <f>'[66]Sch C'!D71</f>
        <v>0</v>
      </c>
      <c r="D78" s="490">
        <f>'[66]Sch C'!F71</f>
        <v>0</v>
      </c>
      <c r="E78" s="171">
        <f t="shared" si="9"/>
        <v>0</v>
      </c>
      <c r="F78" s="418"/>
      <c r="G78" s="171">
        <f t="shared" si="10"/>
        <v>0</v>
      </c>
      <c r="H78" s="172">
        <f t="shared" si="11"/>
        <v>0</v>
      </c>
      <c r="I78" s="337"/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490">
        <f>SUM(C64:C78)</f>
        <v>461182.85</v>
      </c>
      <c r="D79" s="490">
        <f>SUM(D64:D78)</f>
        <v>0</v>
      </c>
      <c r="E79" s="171">
        <f t="shared" ref="E79" si="13">SUM(E64:E78)</f>
        <v>461182.85</v>
      </c>
      <c r="F79" s="171">
        <f>SUM(F64:F78)</f>
        <v>0</v>
      </c>
      <c r="G79" s="171">
        <f>SUM(G64:G78)</f>
        <v>461182.85</v>
      </c>
      <c r="H79" s="172">
        <f t="shared" si="11"/>
        <v>0.1571686430995558</v>
      </c>
      <c r="I79" s="337"/>
      <c r="J79" s="195"/>
      <c r="K79" s="168"/>
      <c r="M79" s="359">
        <f t="shared" si="12"/>
        <v>29.063703680362995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422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425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490">
        <f>'[66]Sch C'!D75</f>
        <v>22759.02</v>
      </c>
      <c r="D82" s="490">
        <f>'[66]Sch C'!F75</f>
        <v>0</v>
      </c>
      <c r="E82" s="171">
        <f t="shared" ref="E82:E92" si="14">C82+D82</f>
        <v>22759.02</v>
      </c>
      <c r="F82" s="418"/>
      <c r="G82" s="171">
        <f t="shared" ref="G82:G92" si="15">E82+F82</f>
        <v>22759.02</v>
      </c>
      <c r="H82" s="172">
        <f t="shared" ref="H82:H93" si="16">IF($G$208=0,0,G82/$G$208)</f>
        <v>7.7561520157908136E-3</v>
      </c>
      <c r="I82" s="337"/>
      <c r="J82" s="183">
        <v>1778.78</v>
      </c>
      <c r="K82" s="183">
        <v>1894.78</v>
      </c>
      <c r="M82" s="359">
        <f t="shared" ref="M82:M92" si="17">G82/G$228</f>
        <v>1.434271489790774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490">
        <f>'[66]Sch C'!D76</f>
        <v>0</v>
      </c>
      <c r="D83" s="490">
        <f>'[66]Sch C'!F76</f>
        <v>2271.9824160683843</v>
      </c>
      <c r="E83" s="171">
        <f t="shared" si="14"/>
        <v>2271.9824160683843</v>
      </c>
      <c r="F83" s="418"/>
      <c r="G83" s="171">
        <f t="shared" si="15"/>
        <v>2271.9824160683843</v>
      </c>
      <c r="H83" s="172">
        <f t="shared" si="16"/>
        <v>7.7427942838619946E-4</v>
      </c>
      <c r="I83" s="337"/>
      <c r="J83" s="168"/>
      <c r="K83" s="168"/>
      <c r="M83" s="359">
        <f t="shared" si="17"/>
        <v>0.14318013713564307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490">
        <f>'[66]Sch C'!D77</f>
        <v>1406.68</v>
      </c>
      <c r="D84" s="490">
        <f>'[66]Sch C'!F77</f>
        <v>0</v>
      </c>
      <c r="E84" s="171">
        <f t="shared" si="14"/>
        <v>1406.68</v>
      </c>
      <c r="F84" s="418"/>
      <c r="G84" s="171">
        <f t="shared" si="15"/>
        <v>1406.68</v>
      </c>
      <c r="H84" s="172">
        <f t="shared" si="16"/>
        <v>4.7938900346203934E-4</v>
      </c>
      <c r="I84" s="337"/>
      <c r="J84" s="168"/>
      <c r="K84" s="168"/>
      <c r="M84" s="359">
        <f t="shared" si="17"/>
        <v>8.8648853037559872E-2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490">
        <f>'[66]Sch C'!D78</f>
        <v>0</v>
      </c>
      <c r="D85" s="490">
        <f>'[66]Sch C'!F78</f>
        <v>0</v>
      </c>
      <c r="E85" s="171">
        <f t="shared" si="14"/>
        <v>0</v>
      </c>
      <c r="F85" s="418"/>
      <c r="G85" s="171">
        <f t="shared" si="15"/>
        <v>0</v>
      </c>
      <c r="H85" s="172">
        <f t="shared" si="16"/>
        <v>0</v>
      </c>
      <c r="I85" s="337"/>
      <c r="J85" s="168"/>
      <c r="K85" s="168"/>
      <c r="M85" s="359">
        <f t="shared" si="17"/>
        <v>0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490">
        <f>'[66]Sch C'!D79</f>
        <v>752.34</v>
      </c>
      <c r="D86" s="490">
        <f>'[66]Sch C'!F79</f>
        <v>0</v>
      </c>
      <c r="E86" s="171">
        <f t="shared" si="14"/>
        <v>752.34</v>
      </c>
      <c r="F86" s="418"/>
      <c r="G86" s="171">
        <f>E86+F86</f>
        <v>752.34</v>
      </c>
      <c r="H86" s="172">
        <f t="shared" si="16"/>
        <v>2.5639343906548091E-4</v>
      </c>
      <c r="I86" s="337"/>
      <c r="J86" s="168"/>
      <c r="K86" s="168"/>
      <c r="M86" s="359">
        <f t="shared" si="17"/>
        <v>4.7412402319132851E-2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490">
        <f>'[66]Sch C'!D80</f>
        <v>4243.6400000000003</v>
      </c>
      <c r="D87" s="490">
        <f>'[66]Sch C'!F80</f>
        <v>0</v>
      </c>
      <c r="E87" s="171">
        <f t="shared" si="14"/>
        <v>4243.6400000000003</v>
      </c>
      <c r="F87" s="418"/>
      <c r="G87" s="171">
        <f t="shared" si="15"/>
        <v>4243.6400000000003</v>
      </c>
      <c r="H87" s="172">
        <f t="shared" si="16"/>
        <v>1.4462097638778177E-3</v>
      </c>
      <c r="I87" s="337"/>
      <c r="J87" s="168"/>
      <c r="K87" s="168"/>
      <c r="M87" s="359">
        <f t="shared" si="17"/>
        <v>0.26743382908999247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490">
        <f>'[66]Sch C'!D81</f>
        <v>9687.73</v>
      </c>
      <c r="D88" s="490">
        <f>'[66]Sch C'!F81</f>
        <v>0</v>
      </c>
      <c r="E88" s="171">
        <f t="shared" si="14"/>
        <v>9687.73</v>
      </c>
      <c r="F88" s="418"/>
      <c r="G88" s="171">
        <f t="shared" si="15"/>
        <v>9687.73</v>
      </c>
      <c r="H88" s="172">
        <f t="shared" si="16"/>
        <v>3.3015264527179611E-3</v>
      </c>
      <c r="I88" s="337"/>
      <c r="J88" s="168"/>
      <c r="K88" s="168"/>
      <c r="M88" s="359">
        <f t="shared" si="17"/>
        <v>0.61051991429291652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490">
        <f>'[66]Sch C'!D82</f>
        <v>13375.64</v>
      </c>
      <c r="D89" s="490">
        <f>'[66]Sch C'!F82</f>
        <v>0</v>
      </c>
      <c r="E89" s="171">
        <f t="shared" si="14"/>
        <v>13375.64</v>
      </c>
      <c r="F89" s="418"/>
      <c r="G89" s="171">
        <f t="shared" si="15"/>
        <v>13375.64</v>
      </c>
      <c r="H89" s="172">
        <f t="shared" si="16"/>
        <v>4.5583464115982247E-3</v>
      </c>
      <c r="I89" s="337"/>
      <c r="J89" s="168"/>
      <c r="K89" s="168"/>
      <c r="M89" s="359">
        <f t="shared" si="17"/>
        <v>0.84293168641290639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490">
        <f>'[66]Sch C'!D83</f>
        <v>11184.5</v>
      </c>
      <c r="D90" s="490">
        <f>'[66]Sch C'!F83</f>
        <v>0</v>
      </c>
      <c r="E90" s="171">
        <f t="shared" si="14"/>
        <v>11184.5</v>
      </c>
      <c r="F90" s="418"/>
      <c r="G90" s="171">
        <f t="shared" si="15"/>
        <v>11184.5</v>
      </c>
      <c r="H90" s="172">
        <f t="shared" si="16"/>
        <v>3.8116176452506461E-3</v>
      </c>
      <c r="I90" s="337"/>
      <c r="J90" s="168"/>
      <c r="K90" s="168"/>
      <c r="M90" s="359">
        <f t="shared" si="17"/>
        <v>0.70484623140912528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490">
        <f>'[66]Sch C'!D84</f>
        <v>74267.64</v>
      </c>
      <c r="D91" s="490">
        <f>'[66]Sch C'!F84</f>
        <v>0</v>
      </c>
      <c r="E91" s="171">
        <f t="shared" si="14"/>
        <v>74267.64</v>
      </c>
      <c r="F91" s="418"/>
      <c r="G91" s="171">
        <f t="shared" si="15"/>
        <v>74267.64</v>
      </c>
      <c r="H91" s="172">
        <f t="shared" si="16"/>
        <v>2.5310013598741354E-2</v>
      </c>
      <c r="I91" s="337"/>
      <c r="J91" s="168"/>
      <c r="K91" s="168"/>
      <c r="M91" s="359">
        <f t="shared" si="17"/>
        <v>4.6803403075371817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490">
        <f>'[66]Sch C'!D85</f>
        <v>0</v>
      </c>
      <c r="D92" s="490">
        <f>'[66]Sch C'!F85</f>
        <v>0</v>
      </c>
      <c r="E92" s="171">
        <f t="shared" si="14"/>
        <v>0</v>
      </c>
      <c r="F92" s="418"/>
      <c r="G92" s="171">
        <f t="shared" si="15"/>
        <v>0</v>
      </c>
      <c r="H92" s="172">
        <f t="shared" si="16"/>
        <v>0</v>
      </c>
      <c r="I92" s="337"/>
      <c r="J92" s="168"/>
      <c r="K92" s="168"/>
      <c r="M92" s="359">
        <f t="shared" si="17"/>
        <v>0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490">
        <f>SUM(C82:C92)</f>
        <v>137677.19</v>
      </c>
      <c r="D93" s="490">
        <f>SUM(D82:D92)</f>
        <v>2271.9824160683843</v>
      </c>
      <c r="E93" s="171">
        <f t="shared" ref="E93" si="18">SUM(E82:E92)</f>
        <v>139949.17241606838</v>
      </c>
      <c r="F93" s="171">
        <f>SUM(F82:F92)</f>
        <v>0</v>
      </c>
      <c r="G93" s="171">
        <f>SUM(G82:G92)</f>
        <v>139949.17241606838</v>
      </c>
      <c r="H93" s="172">
        <f t="shared" si="16"/>
        <v>4.7693927758890538E-2</v>
      </c>
      <c r="I93" s="337"/>
      <c r="J93" s="168"/>
      <c r="K93" s="168"/>
      <c r="M93" s="364">
        <f>G93/G$228</f>
        <v>8.8195848510252315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425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42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490">
        <f>'[66]Sch C'!D89</f>
        <v>123030.69</v>
      </c>
      <c r="D96" s="490">
        <f>'[66]Sch C'!F89</f>
        <v>0</v>
      </c>
      <c r="E96" s="171">
        <f t="shared" ref="E96:E101" si="19">C96+D96</f>
        <v>123030.69</v>
      </c>
      <c r="F96" s="418"/>
      <c r="G96" s="171">
        <f t="shared" ref="G96:G101" si="20">E96+F96</f>
        <v>123030.69</v>
      </c>
      <c r="H96" s="172">
        <f t="shared" ref="H96:H102" si="21">IF($G$208=0,0,G96/$G$208)</f>
        <v>4.1928199643378086E-2</v>
      </c>
      <c r="I96" s="337"/>
      <c r="J96" s="183">
        <v>11354.07</v>
      </c>
      <c r="K96" s="183">
        <v>12125.94</v>
      </c>
      <c r="M96" s="364">
        <f t="shared" ref="M96:M101" si="22">G96/G$228</f>
        <v>7.7533835391983867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490">
        <f>'[66]Sch C'!D90</f>
        <v>0</v>
      </c>
      <c r="D97" s="490">
        <f>'[66]Sch C'!F90</f>
        <v>12281.880516681314</v>
      </c>
      <c r="E97" s="171">
        <f t="shared" si="19"/>
        <v>12281.880516681314</v>
      </c>
      <c r="F97" s="418"/>
      <c r="G97" s="171">
        <f t="shared" si="20"/>
        <v>12281.880516681314</v>
      </c>
      <c r="H97" s="172">
        <f t="shared" si="21"/>
        <v>4.1855990428041143E-3</v>
      </c>
      <c r="I97" s="337"/>
      <c r="J97" s="168"/>
      <c r="K97" s="168"/>
      <c r="M97" s="364">
        <f t="shared" si="22"/>
        <v>0.77400305751709819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490">
        <f>'[66]Sch C'!D91</f>
        <v>5807.5</v>
      </c>
      <c r="D98" s="490">
        <f>'[66]Sch C'!F91</f>
        <v>0</v>
      </c>
      <c r="E98" s="171">
        <f t="shared" si="19"/>
        <v>5807.5</v>
      </c>
      <c r="F98" s="418"/>
      <c r="G98" s="171">
        <f t="shared" si="20"/>
        <v>5807.5</v>
      </c>
      <c r="H98" s="172">
        <f t="shared" si="21"/>
        <v>1.9791648687731349E-3</v>
      </c>
      <c r="I98" s="337"/>
      <c r="J98" s="168"/>
      <c r="K98" s="168"/>
      <c r="M98" s="364">
        <f t="shared" si="22"/>
        <v>0.36598815225611292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490">
        <f>'[66]Sch C'!D92</f>
        <v>142362.4</v>
      </c>
      <c r="D99" s="490">
        <f>'[66]Sch C'!F92</f>
        <v>0</v>
      </c>
      <c r="E99" s="171">
        <f t="shared" si="19"/>
        <v>142362.4</v>
      </c>
      <c r="F99" s="418"/>
      <c r="G99" s="171">
        <f t="shared" si="20"/>
        <v>142362.4</v>
      </c>
      <c r="H99" s="172">
        <f t="shared" si="21"/>
        <v>4.8516342783336809E-2</v>
      </c>
      <c r="I99" s="337"/>
      <c r="J99" s="168"/>
      <c r="K99" s="168"/>
      <c r="M99" s="364">
        <f t="shared" si="22"/>
        <v>8.9716662465339052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490">
        <f>'[66]Sch C'!D93</f>
        <v>12839.32</v>
      </c>
      <c r="D100" s="490">
        <f>'[66]Sch C'!F93</f>
        <v>0</v>
      </c>
      <c r="E100" s="171">
        <f t="shared" si="19"/>
        <v>12839.32</v>
      </c>
      <c r="F100" s="418"/>
      <c r="G100" s="171">
        <f t="shared" si="20"/>
        <v>12839.32</v>
      </c>
      <c r="H100" s="172">
        <f t="shared" si="21"/>
        <v>4.3755714305529544E-3</v>
      </c>
      <c r="I100" s="337"/>
      <c r="J100" s="168"/>
      <c r="K100" s="168"/>
      <c r="M100" s="364">
        <f t="shared" si="22"/>
        <v>0.80913284597932944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490">
        <f>'[66]Sch C'!D94</f>
        <v>0</v>
      </c>
      <c r="D101" s="490">
        <f>'[66]Sch C'!F94</f>
        <v>0</v>
      </c>
      <c r="E101" s="171">
        <f t="shared" si="19"/>
        <v>0</v>
      </c>
      <c r="F101" s="418"/>
      <c r="G101" s="171">
        <f t="shared" si="20"/>
        <v>0</v>
      </c>
      <c r="H101" s="172">
        <f t="shared" si="21"/>
        <v>0</v>
      </c>
      <c r="I101" s="337"/>
      <c r="J101" s="168"/>
      <c r="K101" s="168"/>
      <c r="M101" s="364">
        <f t="shared" si="22"/>
        <v>0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490">
        <f>SUM(C96:C101)</f>
        <v>284039.90999999997</v>
      </c>
      <c r="D102" s="490">
        <f>SUM(D96:D101)</f>
        <v>12281.880516681314</v>
      </c>
      <c r="E102" s="171">
        <f t="shared" ref="E102" si="23">SUM(E96:E101)</f>
        <v>296321.79051668133</v>
      </c>
      <c r="F102" s="171">
        <f>SUM(F96:F101)</f>
        <v>0</v>
      </c>
      <c r="G102" s="171">
        <f>SUM(G96:G101)</f>
        <v>296321.79051668133</v>
      </c>
      <c r="H102" s="172">
        <f t="shared" si="21"/>
        <v>0.1009848777688451</v>
      </c>
      <c r="I102" s="337"/>
      <c r="J102" s="168"/>
      <c r="K102" s="168"/>
      <c r="M102" s="364">
        <f>G102/G$228</f>
        <v>18.674173841484834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425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425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490">
        <f>'[66]Sch C'!D98</f>
        <v>0</v>
      </c>
      <c r="D105" s="490">
        <f>'[66]Sch C'!F98</f>
        <v>0</v>
      </c>
      <c r="E105" s="171">
        <f t="shared" ref="E105:E110" si="24">C105+D105</f>
        <v>0</v>
      </c>
      <c r="F105" s="418"/>
      <c r="G105" s="171">
        <f t="shared" ref="G105:G110" si="25">E105+F105</f>
        <v>0</v>
      </c>
      <c r="H105" s="172">
        <f t="shared" ref="H105:H111" si="26">IF($G$208=0,0,G105/$G$208)</f>
        <v>0</v>
      </c>
      <c r="I105" s="337"/>
      <c r="J105" s="183">
        <v>0</v>
      </c>
      <c r="K105" s="183">
        <v>0</v>
      </c>
      <c r="M105" s="364">
        <f t="shared" ref="M105:M110" si="27">G105/G$228</f>
        <v>0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490">
        <f>'[66]Sch C'!D99</f>
        <v>0</v>
      </c>
      <c r="D106" s="490">
        <f>'[66]Sch C'!F99</f>
        <v>0</v>
      </c>
      <c r="E106" s="171">
        <f t="shared" si="24"/>
        <v>0</v>
      </c>
      <c r="F106" s="418"/>
      <c r="G106" s="171">
        <f t="shared" si="25"/>
        <v>0</v>
      </c>
      <c r="H106" s="172">
        <f t="shared" si="26"/>
        <v>0</v>
      </c>
      <c r="I106" s="337"/>
      <c r="J106" s="168"/>
      <c r="K106" s="168"/>
      <c r="M106" s="364">
        <f t="shared" si="27"/>
        <v>0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490">
        <f>'[66]Sch C'!D100</f>
        <v>1933.34</v>
      </c>
      <c r="D107" s="490">
        <f>'[66]Sch C'!F100</f>
        <v>0</v>
      </c>
      <c r="E107" s="171">
        <f t="shared" si="24"/>
        <v>1933.34</v>
      </c>
      <c r="F107" s="418"/>
      <c r="G107" s="171">
        <f t="shared" si="25"/>
        <v>1933.34</v>
      </c>
      <c r="H107" s="172">
        <f t="shared" si="26"/>
        <v>6.5887190828994445E-4</v>
      </c>
      <c r="I107" s="337"/>
      <c r="J107" s="168"/>
      <c r="K107" s="168"/>
      <c r="M107" s="364">
        <f t="shared" si="27"/>
        <v>0.1218389210990673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490">
        <f>'[66]Sch C'!D101</f>
        <v>41272.58</v>
      </c>
      <c r="D108" s="490">
        <f>'[66]Sch C'!F101</f>
        <v>0</v>
      </c>
      <c r="E108" s="171">
        <f t="shared" si="24"/>
        <v>41272.58</v>
      </c>
      <c r="F108" s="418"/>
      <c r="G108" s="171">
        <f t="shared" si="25"/>
        <v>41272.58</v>
      </c>
      <c r="H108" s="172">
        <f t="shared" si="26"/>
        <v>1.4065474021459958E-2</v>
      </c>
      <c r="I108" s="337"/>
      <c r="J108" s="168"/>
      <c r="K108" s="168"/>
      <c r="M108" s="364">
        <f t="shared" si="27"/>
        <v>2.6009944542475423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490">
        <f>'[66]Sch C'!D102</f>
        <v>6369.72</v>
      </c>
      <c r="D109" s="490">
        <f>'[66]Sch C'!F102</f>
        <v>0</v>
      </c>
      <c r="E109" s="171">
        <f t="shared" si="24"/>
        <v>6369.72</v>
      </c>
      <c r="F109" s="418"/>
      <c r="G109" s="171">
        <f t="shared" si="25"/>
        <v>6369.72</v>
      </c>
      <c r="H109" s="172">
        <f t="shared" si="26"/>
        <v>2.1707664309809061E-3</v>
      </c>
      <c r="I109" s="337"/>
      <c r="J109" s="168"/>
      <c r="K109" s="168"/>
      <c r="M109" s="364">
        <f t="shared" si="27"/>
        <v>0.4014192084698765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490">
        <f>'[66]Sch C'!D103</f>
        <v>63.7</v>
      </c>
      <c r="D110" s="490">
        <f>'[66]Sch C'!F103</f>
        <v>0</v>
      </c>
      <c r="E110" s="171">
        <f t="shared" si="24"/>
        <v>63.7</v>
      </c>
      <c r="F110" s="418"/>
      <c r="G110" s="171">
        <f t="shared" si="25"/>
        <v>63.7</v>
      </c>
      <c r="H110" s="172">
        <f t="shared" si="26"/>
        <v>2.1708618534799601E-5</v>
      </c>
      <c r="I110" s="337"/>
      <c r="J110" s="168"/>
      <c r="K110" s="168"/>
      <c r="M110" s="364">
        <f t="shared" si="27"/>
        <v>4.0143685404587853E-3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490">
        <f>SUM(C105:C110)</f>
        <v>49639.34</v>
      </c>
      <c r="D111" s="490">
        <f>SUM(D105:D110)</f>
        <v>0</v>
      </c>
      <c r="E111" s="171">
        <f t="shared" ref="E111" si="28">SUM(E105:E110)</f>
        <v>49639.34</v>
      </c>
      <c r="F111" s="171">
        <f>SUM(F105:F110)</f>
        <v>0</v>
      </c>
      <c r="G111" s="171">
        <f>SUM(G105:G110)</f>
        <v>49639.34</v>
      </c>
      <c r="H111" s="172">
        <f t="shared" si="26"/>
        <v>1.6916820979265609E-2</v>
      </c>
      <c r="I111" s="337"/>
      <c r="J111" s="168"/>
      <c r="K111" s="168"/>
      <c r="M111" s="364">
        <f>G111/G$228</f>
        <v>3.1282669523569444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425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425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490">
        <f>'[66]Sch C'!D115</f>
        <v>0</v>
      </c>
      <c r="D114" s="490">
        <f>'[66]Sch C'!F115</f>
        <v>0</v>
      </c>
      <c r="E114" s="171">
        <f t="shared" ref="E114:E118" si="29">C114+D114</f>
        <v>0</v>
      </c>
      <c r="F114" s="418"/>
      <c r="G114" s="171">
        <f>E114+F114</f>
        <v>0</v>
      </c>
      <c r="H114" s="172">
        <f t="shared" ref="H114:H119" si="30">IF($G$208=0,0,G114/$G$208)</f>
        <v>0</v>
      </c>
      <c r="I114" s="337"/>
      <c r="J114" s="183">
        <v>0</v>
      </c>
      <c r="K114" s="183">
        <v>0</v>
      </c>
      <c r="M114" s="364">
        <f t="shared" ref="M114:M119" si="31">G114/G$228</f>
        <v>0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490">
        <f>'[66]Sch C'!D116</f>
        <v>0</v>
      </c>
      <c r="D115" s="490">
        <f>'[66]Sch C'!F116</f>
        <v>0</v>
      </c>
      <c r="E115" s="171">
        <f t="shared" si="29"/>
        <v>0</v>
      </c>
      <c r="F115" s="418"/>
      <c r="G115" s="171">
        <f>E115+F115</f>
        <v>0</v>
      </c>
      <c r="H115" s="172">
        <f t="shared" si="30"/>
        <v>0</v>
      </c>
      <c r="I115" s="337"/>
      <c r="J115" s="168"/>
      <c r="K115" s="168"/>
      <c r="M115" s="364">
        <f t="shared" si="31"/>
        <v>0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490">
        <f>'[66]Sch C'!D117</f>
        <v>10081.280000000001</v>
      </c>
      <c r="D116" s="490">
        <f>'[66]Sch C'!F117</f>
        <v>0</v>
      </c>
      <c r="E116" s="171">
        <f t="shared" si="29"/>
        <v>10081.280000000001</v>
      </c>
      <c r="F116" s="418"/>
      <c r="G116" s="171">
        <f>E116+F116</f>
        <v>10081.280000000001</v>
      </c>
      <c r="H116" s="172">
        <f t="shared" si="30"/>
        <v>3.4356461830848438E-3</v>
      </c>
      <c r="I116" s="337"/>
      <c r="J116" s="168"/>
      <c r="K116" s="168"/>
      <c r="M116" s="364">
        <f t="shared" si="31"/>
        <v>0.63532140156289396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490">
        <f>'[66]Sch C'!D118</f>
        <v>73004.070000000007</v>
      </c>
      <c r="D117" s="490">
        <f>'[66]Sch C'!F118</f>
        <v>0</v>
      </c>
      <c r="E117" s="171">
        <f t="shared" si="29"/>
        <v>73004.070000000007</v>
      </c>
      <c r="F117" s="418"/>
      <c r="G117" s="171">
        <f>E117+F117</f>
        <v>73004.070000000007</v>
      </c>
      <c r="H117" s="172">
        <f t="shared" si="30"/>
        <v>2.4879395716135129E-2</v>
      </c>
      <c r="I117" s="337"/>
      <c r="J117" s="168"/>
      <c r="K117" s="168"/>
      <c r="M117" s="364">
        <f t="shared" si="31"/>
        <v>4.6007102344340813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490">
        <f>'[66]Sch C'!D119</f>
        <v>0</v>
      </c>
      <c r="D118" s="490">
        <f>'[66]Sch C'!F119</f>
        <v>0</v>
      </c>
      <c r="E118" s="171">
        <f t="shared" si="29"/>
        <v>0</v>
      </c>
      <c r="F118" s="418"/>
      <c r="G118" s="171">
        <f>E118+F118</f>
        <v>0</v>
      </c>
      <c r="H118" s="172">
        <f t="shared" si="30"/>
        <v>0</v>
      </c>
      <c r="I118" s="337"/>
      <c r="J118" s="168"/>
      <c r="K118" s="168"/>
      <c r="M118" s="364">
        <f t="shared" si="31"/>
        <v>0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490">
        <f>SUM(C114:C118)</f>
        <v>83085.350000000006</v>
      </c>
      <c r="D119" s="490">
        <f>SUM(D114:D118)</f>
        <v>0</v>
      </c>
      <c r="E119" s="171">
        <f t="shared" ref="E119" si="32">SUM(E114:E118)</f>
        <v>83085.350000000006</v>
      </c>
      <c r="F119" s="171">
        <f>SUM(F114:F118)</f>
        <v>0</v>
      </c>
      <c r="G119" s="171">
        <f>SUM(G114:G118)</f>
        <v>83085.350000000006</v>
      </c>
      <c r="H119" s="172">
        <f t="shared" si="30"/>
        <v>2.8315041899219972E-2</v>
      </c>
      <c r="I119" s="337"/>
      <c r="J119" s="168"/>
      <c r="K119" s="168"/>
      <c r="M119" s="364">
        <f t="shared" si="31"/>
        <v>5.2360316359969756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422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425"/>
      <c r="G121" s="165"/>
      <c r="H121" s="198"/>
      <c r="I121" s="341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425"/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490">
        <f>'[66]Sch C'!D124</f>
        <v>0</v>
      </c>
      <c r="D123" s="490">
        <f>'[66]Sch C'!F124</f>
        <v>0</v>
      </c>
      <c r="E123" s="171">
        <f t="shared" ref="E123:E127" si="33">C123+D123</f>
        <v>0</v>
      </c>
      <c r="F123" s="418"/>
      <c r="G123" s="171">
        <f>E123+F123</f>
        <v>0</v>
      </c>
      <c r="H123" s="172">
        <f>IF($G$208=0,0,G123/$G$208)</f>
        <v>0</v>
      </c>
      <c r="I123" s="337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0.77002560279620991</v>
      </c>
    </row>
    <row r="124" spans="1:14" s="167" customFormat="1">
      <c r="B124" s="163" t="s">
        <v>194</v>
      </c>
      <c r="C124" s="490">
        <f>'[66]Sch C'!D125</f>
        <v>73033.710000000006</v>
      </c>
      <c r="D124" s="490">
        <f>'[66]Sch C'!F125</f>
        <v>0</v>
      </c>
      <c r="E124" s="171">
        <f t="shared" si="33"/>
        <v>73033.710000000006</v>
      </c>
      <c r="F124" s="418"/>
      <c r="G124" s="171">
        <f>E124+F124</f>
        <v>73033.710000000006</v>
      </c>
      <c r="H124" s="172">
        <f>IF($G$208=0,0,G124/$G$208)</f>
        <v>2.4889496869249281E-2</v>
      </c>
      <c r="I124" s="337"/>
      <c r="J124" s="183">
        <v>2025.41</v>
      </c>
      <c r="K124" s="183">
        <v>2094.44</v>
      </c>
      <c r="M124" s="364">
        <f t="shared" si="34"/>
        <v>4.6025781446937239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490">
        <f>'[66]Sch C'!D126</f>
        <v>0</v>
      </c>
      <c r="D125" s="490">
        <f>'[66]Sch C'!F126</f>
        <v>0</v>
      </c>
      <c r="E125" s="171">
        <f t="shared" si="33"/>
        <v>0</v>
      </c>
      <c r="F125" s="418"/>
      <c r="G125" s="171">
        <f>E125+F125</f>
        <v>0</v>
      </c>
      <c r="H125" s="172">
        <f>IF($G$208=0,0,G125/$G$208)</f>
        <v>0</v>
      </c>
      <c r="I125" s="337"/>
      <c r="J125" s="183">
        <v>0</v>
      </c>
      <c r="K125" s="183">
        <v>0</v>
      </c>
      <c r="M125" s="364">
        <f t="shared" si="34"/>
        <v>0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490">
        <f>'[66]Sch C'!D127</f>
        <v>22910.400000000001</v>
      </c>
      <c r="D126" s="490">
        <f>'[66]Sch C'!F127</f>
        <v>0</v>
      </c>
      <c r="E126" s="171">
        <f t="shared" si="33"/>
        <v>22910.400000000001</v>
      </c>
      <c r="F126" s="418"/>
      <c r="G126" s="171">
        <f>E126+F126</f>
        <v>22910.400000000001</v>
      </c>
      <c r="H126" s="172">
        <f>IF($G$208=0,0,G126/$G$208)</f>
        <v>7.8077415083151148E-3</v>
      </c>
      <c r="I126" s="337"/>
      <c r="J126" s="183">
        <v>1752.66</v>
      </c>
      <c r="K126" s="183">
        <v>1864.94</v>
      </c>
      <c r="M126" s="364">
        <f t="shared" si="34"/>
        <v>1.4438114444164356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490">
        <f>'[66]Sch C'!D128</f>
        <v>0</v>
      </c>
      <c r="D127" s="490">
        <f>'[66]Sch C'!F128</f>
        <v>0</v>
      </c>
      <c r="E127" s="171">
        <f t="shared" si="33"/>
        <v>0</v>
      </c>
      <c r="F127" s="418"/>
      <c r="G127" s="171">
        <f>E127+F127</f>
        <v>0</v>
      </c>
      <c r="H127" s="172">
        <f>IF($G$208=0,0,G127/$G$208)</f>
        <v>0</v>
      </c>
      <c r="I127" s="337"/>
      <c r="J127" s="183">
        <v>0</v>
      </c>
      <c r="K127" s="183">
        <v>0</v>
      </c>
      <c r="M127" s="364">
        <f t="shared" si="34"/>
        <v>0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422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490">
        <f>'[66]Sch C'!D130</f>
        <v>0</v>
      </c>
      <c r="D129" s="490">
        <f>'[66]Sch C'!F130</f>
        <v>0</v>
      </c>
      <c r="E129" s="171">
        <f t="shared" ref="E129:E133" si="35">C129+D129</f>
        <v>0</v>
      </c>
      <c r="F129" s="418"/>
      <c r="G129" s="171">
        <f>E129+F129</f>
        <v>0</v>
      </c>
      <c r="H129" s="172">
        <f>IF($G$208=0,0,G129/$G$208)</f>
        <v>0</v>
      </c>
      <c r="I129" s="337"/>
      <c r="J129" s="204"/>
      <c r="K129" s="204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490">
        <f>'[66]Sch C'!D131</f>
        <v>0</v>
      </c>
      <c r="D130" s="490">
        <f>'[66]Sch C'!F131</f>
        <v>7290.7930526111277</v>
      </c>
      <c r="E130" s="171">
        <f t="shared" si="35"/>
        <v>7290.7930526111277</v>
      </c>
      <c r="F130" s="418"/>
      <c r="G130" s="171">
        <f>E130+F130</f>
        <v>7290.7930526111277</v>
      </c>
      <c r="H130" s="172">
        <f>IF($G$208=0,0,G130/$G$208)</f>
        <v>2.4846631898791539E-3</v>
      </c>
      <c r="I130" s="337"/>
      <c r="J130" s="204"/>
      <c r="K130" s="204"/>
      <c r="M130" s="364">
        <f t="shared" si="34"/>
        <v>0.4594651533029448</v>
      </c>
      <c r="N130" s="359">
        <f>SUMMARY!J133</f>
        <v>1.0792348507966931</v>
      </c>
    </row>
    <row r="131" spans="1:14" s="167" customFormat="1">
      <c r="B131" s="163" t="s">
        <v>195</v>
      </c>
      <c r="C131" s="490">
        <f>'[66]Sch C'!D132</f>
        <v>0</v>
      </c>
      <c r="D131" s="490">
        <f>'[66]Sch C'!F132</f>
        <v>0</v>
      </c>
      <c r="E131" s="171">
        <f t="shared" si="35"/>
        <v>0</v>
      </c>
      <c r="F131" s="418"/>
      <c r="G131" s="171">
        <f>E131+F131</f>
        <v>0</v>
      </c>
      <c r="H131" s="172">
        <f>IF($G$208=0,0,G131/$G$208)</f>
        <v>0</v>
      </c>
      <c r="I131" s="337"/>
      <c r="J131" s="168"/>
      <c r="K131" s="168"/>
      <c r="M131" s="364">
        <f t="shared" si="34"/>
        <v>0</v>
      </c>
      <c r="N131" s="359">
        <f>SUMMARY!J134</f>
        <v>8.2765628075518377E-2</v>
      </c>
    </row>
    <row r="132" spans="1:14" s="167" customFormat="1">
      <c r="B132" s="163" t="s">
        <v>196</v>
      </c>
      <c r="C132" s="490">
        <f>'[66]Sch C'!D133</f>
        <v>0</v>
      </c>
      <c r="D132" s="490">
        <f>'[66]Sch C'!F133</f>
        <v>2287.0943452351248</v>
      </c>
      <c r="E132" s="171">
        <f t="shared" si="35"/>
        <v>2287.0943452351248</v>
      </c>
      <c r="F132" s="418"/>
      <c r="G132" s="171">
        <f>E132+F132</f>
        <v>2287.0943452351248</v>
      </c>
      <c r="H132" s="172">
        <f>IF($G$208=0,0,G132/$G$208)</f>
        <v>7.7942949283840799E-4</v>
      </c>
      <c r="I132" s="337"/>
      <c r="J132" s="168"/>
      <c r="K132" s="168"/>
      <c r="M132" s="364">
        <f t="shared" si="34"/>
        <v>0.14413248961653169</v>
      </c>
      <c r="N132" s="359">
        <f>SUMMARY!J135</f>
        <v>2.4827298902786038E-2</v>
      </c>
    </row>
    <row r="133" spans="1:14" s="167" customFormat="1">
      <c r="B133" s="163" t="s">
        <v>197</v>
      </c>
      <c r="C133" s="490">
        <f>'[66]Sch C'!D134</f>
        <v>0</v>
      </c>
      <c r="D133" s="490">
        <f>'[66]Sch C'!F134</f>
        <v>0</v>
      </c>
      <c r="E133" s="171">
        <f t="shared" si="35"/>
        <v>0</v>
      </c>
      <c r="F133" s="418"/>
      <c r="G133" s="171">
        <f>E133+F133</f>
        <v>0</v>
      </c>
      <c r="H133" s="172">
        <f>IF($G$208=0,0,G133/$G$208)</f>
        <v>0</v>
      </c>
      <c r="I133" s="337"/>
      <c r="J133" s="168"/>
      <c r="K133" s="168"/>
      <c r="M133" s="364">
        <f t="shared" si="34"/>
        <v>0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422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490">
        <f>'[66]Sch C'!D136</f>
        <v>331901.49</v>
      </c>
      <c r="D135" s="490">
        <f>'[66]Sch C'!F136</f>
        <v>0</v>
      </c>
      <c r="E135" s="171">
        <f t="shared" ref="E135:E138" si="36">C135+D135</f>
        <v>331901.49</v>
      </c>
      <c r="F135" s="418"/>
      <c r="G135" s="171">
        <f>E135+F135</f>
        <v>331901.49</v>
      </c>
      <c r="H135" s="172">
        <f>IF($G$208=0,0,G135/$G$208)</f>
        <v>0.11311024862702676</v>
      </c>
      <c r="I135" s="337"/>
      <c r="J135" s="183">
        <v>12126.6</v>
      </c>
      <c r="K135" s="183">
        <v>12718.77</v>
      </c>
      <c r="M135" s="364">
        <f t="shared" si="34"/>
        <v>20.916403453491302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490">
        <f>'[66]Sch C'!D137</f>
        <v>56119.51</v>
      </c>
      <c r="D136" s="490">
        <f>'[66]Sch C'!F137</f>
        <v>0</v>
      </c>
      <c r="E136" s="171">
        <f t="shared" si="36"/>
        <v>56119.51</v>
      </c>
      <c r="F136" s="418"/>
      <c r="G136" s="171">
        <f>E136+F136</f>
        <v>56119.51</v>
      </c>
      <c r="H136" s="172">
        <f>IF($G$208=0,0,G136/$G$208)</f>
        <v>1.912522817817695E-2</v>
      </c>
      <c r="I136" s="337"/>
      <c r="J136" s="183">
        <v>2213.21</v>
      </c>
      <c r="K136" s="183">
        <v>2295.87</v>
      </c>
      <c r="M136" s="364">
        <f t="shared" si="34"/>
        <v>3.5366467103604742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490">
        <f>'[66]Sch C'!D138</f>
        <v>421480.81</v>
      </c>
      <c r="D137" s="490">
        <f>'[66]Sch C'!F138</f>
        <v>0</v>
      </c>
      <c r="E137" s="171">
        <f t="shared" si="36"/>
        <v>421480.81</v>
      </c>
      <c r="F137" s="418"/>
      <c r="G137" s="171">
        <f>E137+F137</f>
        <v>421480.81</v>
      </c>
      <c r="H137" s="172">
        <f>IF($G$208=0,0,G137/$G$208)</f>
        <v>0.14363840069118289</v>
      </c>
      <c r="I137" s="337"/>
      <c r="J137" s="183">
        <v>37464.15</v>
      </c>
      <c r="K137" s="183">
        <v>39144.06</v>
      </c>
      <c r="M137" s="364">
        <f t="shared" si="34"/>
        <v>26.561684522309051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490">
        <f>'[66]Sch C'!D139</f>
        <v>0</v>
      </c>
      <c r="D138" s="490">
        <f>'[66]Sch C'!F139</f>
        <v>0</v>
      </c>
      <c r="E138" s="171">
        <f t="shared" si="36"/>
        <v>0</v>
      </c>
      <c r="F138" s="418"/>
      <c r="G138" s="171">
        <f>E138+F138</f>
        <v>0</v>
      </c>
      <c r="H138" s="172">
        <f>IF($G$208=0,0,G138/$G$208)</f>
        <v>0</v>
      </c>
      <c r="I138" s="337"/>
      <c r="J138" s="183">
        <v>0</v>
      </c>
      <c r="K138" s="183">
        <v>0</v>
      </c>
      <c r="M138" s="364">
        <f t="shared" si="34"/>
        <v>0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422"/>
      <c r="G139" s="196"/>
      <c r="H139" s="197"/>
      <c r="I139" s="337"/>
      <c r="J139" s="208"/>
      <c r="K139" s="208"/>
      <c r="M139" s="364"/>
      <c r="N139" s="359"/>
    </row>
    <row r="140" spans="1:14" s="167" customFormat="1">
      <c r="A140" s="169"/>
      <c r="B140" s="163" t="s">
        <v>194</v>
      </c>
      <c r="C140" s="490">
        <f>'[66]Sch C'!D141</f>
        <v>0</v>
      </c>
      <c r="D140" s="490">
        <f>'[66]Sch C'!F141</f>
        <v>33132.988553412957</v>
      </c>
      <c r="E140" s="171">
        <f t="shared" ref="E140:E143" si="37">C140+D140</f>
        <v>33132.988553412957</v>
      </c>
      <c r="F140" s="418"/>
      <c r="G140" s="171">
        <f>E140+F140</f>
        <v>33132.988553412957</v>
      </c>
      <c r="H140" s="172">
        <f>IF($G$208=0,0,G140/$G$208)</f>
        <v>1.1291544888915598E-2</v>
      </c>
      <c r="I140" s="337"/>
      <c r="J140" s="168"/>
      <c r="K140" s="168"/>
      <c r="M140" s="364">
        <f t="shared" si="34"/>
        <v>2.0880380989042702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490">
        <f>'[66]Sch C'!D142</f>
        <v>0</v>
      </c>
      <c r="D141" s="490">
        <f>'[66]Sch C'!F142</f>
        <v>5602.2860350917508</v>
      </c>
      <c r="E141" s="171">
        <f t="shared" si="37"/>
        <v>5602.2860350917508</v>
      </c>
      <c r="F141" s="418"/>
      <c r="G141" s="171">
        <f>E141+F141</f>
        <v>5602.2860350917508</v>
      </c>
      <c r="H141" s="172">
        <f>IF($G$208=0,0,G141/$G$208)</f>
        <v>1.9092290495862129E-3</v>
      </c>
      <c r="I141" s="337"/>
      <c r="J141" s="168"/>
      <c r="K141" s="168"/>
      <c r="M141" s="364">
        <f t="shared" si="34"/>
        <v>0.35305558577588547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490">
        <f>'[66]Sch C'!D143</f>
        <v>0</v>
      </c>
      <c r="D142" s="490">
        <f>'[66]Sch C'!F143</f>
        <v>42075.493102526358</v>
      </c>
      <c r="E142" s="171">
        <f t="shared" si="37"/>
        <v>42075.493102526358</v>
      </c>
      <c r="F142" s="418"/>
      <c r="G142" s="171">
        <f>E142+F142</f>
        <v>42075.493102526358</v>
      </c>
      <c r="H142" s="172">
        <f>IF($G$208=0,0,G142/$G$208)</f>
        <v>1.4339102502768234E-2</v>
      </c>
      <c r="I142" s="337"/>
      <c r="J142" s="168"/>
      <c r="K142" s="168"/>
      <c r="M142" s="364">
        <f t="shared" si="34"/>
        <v>2.6515939691534132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490">
        <f>'[66]Sch C'!D144</f>
        <v>0</v>
      </c>
      <c r="D143" s="490">
        <f>'[66]Sch C'!F144</f>
        <v>0</v>
      </c>
      <c r="E143" s="171">
        <f t="shared" si="37"/>
        <v>0</v>
      </c>
      <c r="F143" s="418"/>
      <c r="G143" s="171">
        <f>E143+F143</f>
        <v>0</v>
      </c>
      <c r="H143" s="172">
        <f>IF($G$208=0,0,G143/$G$208)</f>
        <v>0</v>
      </c>
      <c r="I143" s="337"/>
      <c r="J143" s="168"/>
      <c r="K143" s="168"/>
      <c r="M143" s="364">
        <f t="shared" si="34"/>
        <v>0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422"/>
      <c r="G144" s="196"/>
      <c r="H144" s="197"/>
      <c r="I144" s="337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490">
        <f>'[66]Sch C'!D146</f>
        <v>10300</v>
      </c>
      <c r="D145" s="490">
        <f>'[66]Sch C'!F146</f>
        <v>0</v>
      </c>
      <c r="E145" s="171">
        <f t="shared" ref="E145:E153" si="38">C145+D145</f>
        <v>10300</v>
      </c>
      <c r="F145" s="418"/>
      <c r="G145" s="171">
        <f t="shared" ref="G145:G153" si="39">E145+F145</f>
        <v>10300</v>
      </c>
      <c r="H145" s="172">
        <f t="shared" ref="H145:H153" si="40">IF($G$208=0,0,G145/$G$208)</f>
        <v>3.5101847866316469E-3</v>
      </c>
      <c r="I145" s="337"/>
      <c r="J145" s="183">
        <v>0</v>
      </c>
      <c r="K145" s="183">
        <v>0</v>
      </c>
      <c r="M145" s="364">
        <f t="shared" si="34"/>
        <v>0.64910511721704056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490">
        <f>'[66]Sch C'!D147</f>
        <v>0</v>
      </c>
      <c r="D146" s="490">
        <f>'[66]Sch C'!F147</f>
        <v>0</v>
      </c>
      <c r="E146" s="171">
        <f t="shared" si="38"/>
        <v>0</v>
      </c>
      <c r="F146" s="418"/>
      <c r="G146" s="171">
        <f t="shared" si="39"/>
        <v>0</v>
      </c>
      <c r="H146" s="172">
        <f t="shared" si="40"/>
        <v>0</v>
      </c>
      <c r="I146" s="337"/>
      <c r="J146" s="183">
        <v>0</v>
      </c>
      <c r="K146" s="183">
        <v>0</v>
      </c>
      <c r="M146" s="364">
        <f t="shared" si="34"/>
        <v>0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490">
        <f>'[66]Sch C'!D148</f>
        <v>0</v>
      </c>
      <c r="D147" s="490">
        <f>'[66]Sch C'!F148</f>
        <v>0</v>
      </c>
      <c r="E147" s="171">
        <f t="shared" si="38"/>
        <v>0</v>
      </c>
      <c r="F147" s="418"/>
      <c r="G147" s="171">
        <f t="shared" si="39"/>
        <v>0</v>
      </c>
      <c r="H147" s="172">
        <f t="shared" si="40"/>
        <v>0</v>
      </c>
      <c r="I147" s="337"/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490">
        <f>'[66]Sch C'!D149</f>
        <v>0</v>
      </c>
      <c r="D148" s="490">
        <f>'[66]Sch C'!F149</f>
        <v>0</v>
      </c>
      <c r="E148" s="171">
        <f t="shared" si="38"/>
        <v>0</v>
      </c>
      <c r="F148" s="418"/>
      <c r="G148" s="171">
        <f t="shared" si="39"/>
        <v>0</v>
      </c>
      <c r="H148" s="172">
        <f t="shared" si="40"/>
        <v>0</v>
      </c>
      <c r="I148" s="337"/>
      <c r="J148" s="183">
        <v>0</v>
      </c>
      <c r="K148" s="183">
        <v>0</v>
      </c>
      <c r="M148" s="364">
        <f t="shared" si="34"/>
        <v>0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490">
        <f>'[66]Sch C'!D150</f>
        <v>5653.28</v>
      </c>
      <c r="D149" s="490">
        <f>'[66]Sch C'!F150</f>
        <v>0</v>
      </c>
      <c r="E149" s="171">
        <f t="shared" si="38"/>
        <v>5653.28</v>
      </c>
      <c r="F149" s="418"/>
      <c r="G149" s="171">
        <f t="shared" si="39"/>
        <v>5653.28</v>
      </c>
      <c r="H149" s="172">
        <f t="shared" si="40"/>
        <v>1.9266075194727141E-3</v>
      </c>
      <c r="I149" s="337"/>
      <c r="J149" s="183">
        <v>0</v>
      </c>
      <c r="K149" s="183">
        <v>0</v>
      </c>
      <c r="M149" s="364">
        <f t="shared" si="34"/>
        <v>0.35626922107385933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490">
        <f>'[66]Sch C'!D151</f>
        <v>93503.54</v>
      </c>
      <c r="D150" s="490">
        <f>'[66]Sch C'!F151</f>
        <v>0</v>
      </c>
      <c r="E150" s="171">
        <f t="shared" si="38"/>
        <v>93503.54</v>
      </c>
      <c r="F150" s="418"/>
      <c r="G150" s="171">
        <f t="shared" si="39"/>
        <v>93503.54</v>
      </c>
      <c r="H150" s="172">
        <f t="shared" si="40"/>
        <v>3.1865505204291614E-2</v>
      </c>
      <c r="I150" s="540" t="s">
        <v>467</v>
      </c>
      <c r="J150" s="168"/>
      <c r="K150" s="168"/>
      <c r="M150" s="364">
        <f t="shared" si="34"/>
        <v>5.8925850768842949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490">
        <f>'[66]Sch C'!D152</f>
        <v>1539.69</v>
      </c>
      <c r="D151" s="490">
        <f>'[66]Sch C'!F152</f>
        <v>0</v>
      </c>
      <c r="E151" s="171">
        <f t="shared" si="38"/>
        <v>1539.69</v>
      </c>
      <c r="F151" s="418"/>
      <c r="G151" s="171">
        <f t="shared" si="39"/>
        <v>1539.69</v>
      </c>
      <c r="H151" s="172">
        <f t="shared" si="40"/>
        <v>5.2471809845911464E-4</v>
      </c>
      <c r="I151" s="337"/>
      <c r="J151" s="168"/>
      <c r="K151" s="168"/>
      <c r="M151" s="364">
        <f t="shared" si="34"/>
        <v>9.7031131837660697E-2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490">
        <f>'[66]Sch C'!D153</f>
        <v>4847.5</v>
      </c>
      <c r="D152" s="490">
        <f>'[66]Sch C'!F153</f>
        <v>0</v>
      </c>
      <c r="E152" s="171">
        <f t="shared" si="38"/>
        <v>4847.5</v>
      </c>
      <c r="F152" s="418"/>
      <c r="G152" s="171">
        <f t="shared" si="39"/>
        <v>4847.5</v>
      </c>
      <c r="H152" s="172">
        <f t="shared" si="40"/>
        <v>1.6520020148734862E-3</v>
      </c>
      <c r="I152" s="337"/>
      <c r="J152" s="168"/>
      <c r="K152" s="168"/>
      <c r="M152" s="364">
        <f t="shared" si="34"/>
        <v>0.30548903453491305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490">
        <f>'[66]Sch C'!D154</f>
        <v>0</v>
      </c>
      <c r="D153" s="490">
        <f>'[66]Sch C'!F154</f>
        <v>0</v>
      </c>
      <c r="E153" s="171">
        <f t="shared" si="38"/>
        <v>0</v>
      </c>
      <c r="F153" s="418"/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423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490">
        <f>'[66]Sch C'!D156</f>
        <v>0</v>
      </c>
      <c r="D155" s="490">
        <f>'[66]Sch C'!F156</f>
        <v>0</v>
      </c>
      <c r="E155" s="171">
        <f t="shared" ref="E155:E160" si="41">C155+D155</f>
        <v>0</v>
      </c>
      <c r="F155" s="418"/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490">
        <f>'[66]Sch C'!D157</f>
        <v>1575</v>
      </c>
      <c r="D156" s="490">
        <f>'[66]Sch C'!F157</f>
        <v>0</v>
      </c>
      <c r="E156" s="171">
        <f t="shared" si="41"/>
        <v>1575</v>
      </c>
      <c r="F156" s="418"/>
      <c r="G156" s="171">
        <f t="shared" si="42"/>
        <v>1575</v>
      </c>
      <c r="H156" s="172">
        <f t="shared" si="43"/>
        <v>5.3675155717911103E-4</v>
      </c>
      <c r="I156" s="337"/>
      <c r="J156" s="168"/>
      <c r="K156" s="168"/>
      <c r="M156" s="364">
        <f t="shared" si="34"/>
        <v>9.9256365011343578E-2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490">
        <f>'[66]Sch C'!D158</f>
        <v>0</v>
      </c>
      <c r="D157" s="490">
        <f>'[66]Sch C'!F158</f>
        <v>0</v>
      </c>
      <c r="E157" s="171">
        <f t="shared" si="41"/>
        <v>0</v>
      </c>
      <c r="F157" s="418"/>
      <c r="G157" s="171">
        <f t="shared" si="42"/>
        <v>0</v>
      </c>
      <c r="H157" s="172">
        <f t="shared" si="43"/>
        <v>0</v>
      </c>
      <c r="I157" s="337"/>
      <c r="J157" s="168"/>
      <c r="K157" s="168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490">
        <f>'[66]Sch C'!D159</f>
        <v>0</v>
      </c>
      <c r="D158" s="490">
        <f>'[66]Sch C'!F159</f>
        <v>0</v>
      </c>
      <c r="E158" s="171">
        <f t="shared" si="41"/>
        <v>0</v>
      </c>
      <c r="F158" s="418"/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490">
        <f>'[66]Sch C'!D160</f>
        <v>0</v>
      </c>
      <c r="D159" s="490">
        <f>'[66]Sch C'!F160</f>
        <v>0</v>
      </c>
      <c r="E159" s="171">
        <f t="shared" si="41"/>
        <v>0</v>
      </c>
      <c r="F159" s="418"/>
      <c r="G159" s="171">
        <f t="shared" si="42"/>
        <v>0</v>
      </c>
      <c r="H159" s="172">
        <f>IF($G$208=0,0,G159/$G$208)</f>
        <v>0</v>
      </c>
      <c r="I159" s="540" t="s">
        <v>467</v>
      </c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490">
        <f>'[66]Sch C'!D161</f>
        <v>0</v>
      </c>
      <c r="D160" s="490">
        <f>'[66]Sch C'!F161</f>
        <v>0</v>
      </c>
      <c r="E160" s="171">
        <f t="shared" si="41"/>
        <v>0</v>
      </c>
      <c r="F160" s="418"/>
      <c r="G160" s="171">
        <f t="shared" si="42"/>
        <v>0</v>
      </c>
      <c r="H160" s="172">
        <f t="shared" si="43"/>
        <v>0</v>
      </c>
      <c r="I160" s="337"/>
      <c r="J160" s="168"/>
      <c r="K160" s="168"/>
      <c r="M160" s="364">
        <f t="shared" si="34"/>
        <v>0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490">
        <f>SUM(C123:C160)</f>
        <v>1022864.9299999999</v>
      </c>
      <c r="D161" s="490">
        <f>SUM(D123:D160)</f>
        <v>90388.655088877305</v>
      </c>
      <c r="E161" s="171">
        <f t="shared" ref="E161" si="44">SUM(E123:E160)</f>
        <v>1113253.5850888772</v>
      </c>
      <c r="F161" s="171">
        <f>SUM(F123:F160)</f>
        <v>0</v>
      </c>
      <c r="G161" s="171">
        <f>SUM(G123:G160)</f>
        <v>1113253.5850888772</v>
      </c>
      <c r="H161" s="172">
        <f t="shared" si="43"/>
        <v>0.37939085417884627</v>
      </c>
      <c r="I161" s="337"/>
      <c r="J161" s="168"/>
      <c r="K161" s="168"/>
      <c r="M161" s="364">
        <f>G161/G$228</f>
        <v>70.157145518583135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422"/>
      <c r="G162" s="196"/>
      <c r="H162" s="197"/>
      <c r="I162" s="337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437"/>
      <c r="G163" s="213"/>
      <c r="H163" s="214"/>
      <c r="I163" s="337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490">
        <f>'[66]Sch C'!D175</f>
        <v>0</v>
      </c>
      <c r="D164" s="490">
        <f>'[66]Sch C'!F175</f>
        <v>0</v>
      </c>
      <c r="E164" s="171">
        <f t="shared" ref="E164:E196" si="45">C164+D164</f>
        <v>0</v>
      </c>
      <c r="F164" s="418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490">
        <f>'[66]Sch C'!D176</f>
        <v>0</v>
      </c>
      <c r="D165" s="490">
        <f>'[66]Sch C'!F176</f>
        <v>0</v>
      </c>
      <c r="E165" s="171">
        <f t="shared" si="45"/>
        <v>0</v>
      </c>
      <c r="F165" s="418"/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490">
        <f>'[66]Sch C'!D177</f>
        <v>0</v>
      </c>
      <c r="D166" s="490">
        <f>'[66]Sch C'!F177</f>
        <v>0</v>
      </c>
      <c r="E166" s="171">
        <f t="shared" si="45"/>
        <v>0</v>
      </c>
      <c r="F166" s="418"/>
      <c r="G166" s="171">
        <f t="shared" si="46"/>
        <v>0</v>
      </c>
      <c r="H166" s="172">
        <f t="shared" si="47"/>
        <v>0</v>
      </c>
      <c r="I166" s="343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490">
        <f>'[66]Sch C'!D178</f>
        <v>0</v>
      </c>
      <c r="D167" s="490">
        <f>'[66]Sch C'!F178</f>
        <v>0</v>
      </c>
      <c r="E167" s="171">
        <f t="shared" si="45"/>
        <v>0</v>
      </c>
      <c r="F167" s="418"/>
      <c r="G167" s="171">
        <f t="shared" si="46"/>
        <v>0</v>
      </c>
      <c r="H167" s="172">
        <f t="shared" si="47"/>
        <v>0</v>
      </c>
      <c r="I167" s="344"/>
      <c r="J167" s="222"/>
      <c r="K167" s="222"/>
      <c r="L167" s="218"/>
      <c r="M167" s="364">
        <f t="shared" si="48"/>
        <v>0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490">
        <f>'[66]Sch C'!D179</f>
        <v>0</v>
      </c>
      <c r="D168" s="490">
        <f>'[66]Sch C'!F179</f>
        <v>0</v>
      </c>
      <c r="E168" s="171">
        <f t="shared" si="45"/>
        <v>0</v>
      </c>
      <c r="F168" s="418"/>
      <c r="G168" s="171">
        <f t="shared" si="46"/>
        <v>0</v>
      </c>
      <c r="H168" s="172">
        <f t="shared" si="47"/>
        <v>0</v>
      </c>
      <c r="I168" s="343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490">
        <f>'[66]Sch C'!D180</f>
        <v>0</v>
      </c>
      <c r="D169" s="490">
        <f>'[66]Sch C'!F180</f>
        <v>0</v>
      </c>
      <c r="E169" s="171">
        <f t="shared" si="45"/>
        <v>0</v>
      </c>
      <c r="F169" s="418"/>
      <c r="G169" s="171">
        <f t="shared" si="46"/>
        <v>0</v>
      </c>
      <c r="H169" s="172">
        <f t="shared" si="47"/>
        <v>0</v>
      </c>
      <c r="I169" s="344"/>
      <c r="J169" s="222"/>
      <c r="K169" s="222"/>
      <c r="L169" s="218"/>
      <c r="M169" s="364">
        <f t="shared" si="48"/>
        <v>0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490">
        <f>'[66]Sch C'!D181</f>
        <v>0</v>
      </c>
      <c r="D170" s="490">
        <f>'[66]Sch C'!F181</f>
        <v>0</v>
      </c>
      <c r="E170" s="171">
        <f t="shared" si="45"/>
        <v>0</v>
      </c>
      <c r="F170" s="418"/>
      <c r="G170" s="171">
        <f t="shared" si="46"/>
        <v>0</v>
      </c>
      <c r="H170" s="172">
        <f t="shared" si="47"/>
        <v>0</v>
      </c>
      <c r="I170" s="343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490">
        <f>'[66]Sch C'!D182</f>
        <v>0</v>
      </c>
      <c r="D171" s="490">
        <f>'[66]Sch C'!F182</f>
        <v>0</v>
      </c>
      <c r="E171" s="171">
        <f t="shared" si="45"/>
        <v>0</v>
      </c>
      <c r="F171" s="418"/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490">
        <f>'[66]Sch C'!D183</f>
        <v>0</v>
      </c>
      <c r="D172" s="490">
        <f>'[66]Sch C'!F183</f>
        <v>0</v>
      </c>
      <c r="E172" s="171">
        <f t="shared" si="45"/>
        <v>0</v>
      </c>
      <c r="F172" s="418"/>
      <c r="G172" s="171">
        <f t="shared" si="46"/>
        <v>0</v>
      </c>
      <c r="H172" s="172">
        <f t="shared" si="47"/>
        <v>0</v>
      </c>
      <c r="I172" s="343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490">
        <f>'[66]Sch C'!D184</f>
        <v>0</v>
      </c>
      <c r="D173" s="490">
        <f>'[66]Sch C'!F184</f>
        <v>0</v>
      </c>
      <c r="E173" s="171">
        <f t="shared" si="45"/>
        <v>0</v>
      </c>
      <c r="F173" s="418"/>
      <c r="G173" s="171">
        <f t="shared" si="46"/>
        <v>0</v>
      </c>
      <c r="H173" s="172">
        <f t="shared" si="47"/>
        <v>0</v>
      </c>
      <c r="I173" s="344"/>
      <c r="J173" s="222"/>
      <c r="K173" s="222"/>
      <c r="L173" s="218"/>
      <c r="M173" s="364">
        <f t="shared" si="48"/>
        <v>0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490">
        <f>'[66]Sch C'!D185</f>
        <v>0</v>
      </c>
      <c r="D174" s="490">
        <f>'[66]Sch C'!F185</f>
        <v>0</v>
      </c>
      <c r="E174" s="171">
        <f t="shared" si="45"/>
        <v>0</v>
      </c>
      <c r="F174" s="418"/>
      <c r="G174" s="171">
        <f t="shared" si="46"/>
        <v>0</v>
      </c>
      <c r="H174" s="172">
        <f t="shared" si="47"/>
        <v>0</v>
      </c>
      <c r="I174" s="343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490">
        <f>'[66]Sch C'!D186</f>
        <v>0</v>
      </c>
      <c r="D175" s="490">
        <f>'[66]Sch C'!F186</f>
        <v>0</v>
      </c>
      <c r="E175" s="171">
        <f t="shared" si="45"/>
        <v>0</v>
      </c>
      <c r="F175" s="418"/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490">
        <f>'[66]Sch C'!D187</f>
        <v>0</v>
      </c>
      <c r="D176" s="490">
        <f>'[66]Sch C'!F187</f>
        <v>0</v>
      </c>
      <c r="E176" s="171">
        <f t="shared" si="45"/>
        <v>0</v>
      </c>
      <c r="F176" s="418"/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490">
        <f>'[66]Sch C'!D188</f>
        <v>157.53</v>
      </c>
      <c r="D177" s="490">
        <f>'[66]Sch C'!F188</f>
        <v>0</v>
      </c>
      <c r="E177" s="171">
        <f t="shared" si="45"/>
        <v>157.53</v>
      </c>
      <c r="F177" s="418"/>
      <c r="G177" s="171">
        <f t="shared" si="46"/>
        <v>157.53</v>
      </c>
      <c r="H177" s="172">
        <f t="shared" si="47"/>
        <v>5.3685379557095469E-5</v>
      </c>
      <c r="I177" s="337"/>
      <c r="J177" s="223"/>
      <c r="K177" s="218"/>
      <c r="L177" s="220"/>
      <c r="M177" s="364">
        <f t="shared" si="48"/>
        <v>9.9275270985631457E-3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490">
        <f>'[66]Sch C'!D189</f>
        <v>0</v>
      </c>
      <c r="D178" s="490">
        <f>'[66]Sch C'!F189</f>
        <v>0</v>
      </c>
      <c r="E178" s="171">
        <f t="shared" si="45"/>
        <v>0</v>
      </c>
      <c r="F178" s="418"/>
      <c r="G178" s="171">
        <f t="shared" si="46"/>
        <v>0</v>
      </c>
      <c r="H178" s="172">
        <f t="shared" si="47"/>
        <v>0</v>
      </c>
      <c r="I178" s="337"/>
      <c r="J178" s="223"/>
      <c r="K178" s="218"/>
      <c r="L178" s="220"/>
      <c r="M178" s="364">
        <f t="shared" si="48"/>
        <v>0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490">
        <f>'[66]Sch C'!D190</f>
        <v>0</v>
      </c>
      <c r="D179" s="490">
        <f>'[66]Sch C'!F190</f>
        <v>0</v>
      </c>
      <c r="E179" s="171">
        <f t="shared" si="45"/>
        <v>0</v>
      </c>
      <c r="F179" s="418"/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490">
        <f>'[66]Sch C'!D191</f>
        <v>0</v>
      </c>
      <c r="D180" s="490">
        <f>'[66]Sch C'!F191</f>
        <v>0</v>
      </c>
      <c r="E180" s="171">
        <f t="shared" si="45"/>
        <v>0</v>
      </c>
      <c r="F180" s="418"/>
      <c r="G180" s="171">
        <f t="shared" si="46"/>
        <v>0</v>
      </c>
      <c r="H180" s="172">
        <f t="shared" si="47"/>
        <v>0</v>
      </c>
      <c r="I180" s="337"/>
      <c r="J180" s="223"/>
      <c r="K180" s="218"/>
      <c r="L180" s="220"/>
      <c r="M180" s="364">
        <f t="shared" si="48"/>
        <v>0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490">
        <f>'[66]Sch C'!D192</f>
        <v>0</v>
      </c>
      <c r="D181" s="490">
        <f>'[66]Sch C'!F192</f>
        <v>0</v>
      </c>
      <c r="E181" s="171">
        <f t="shared" si="45"/>
        <v>0</v>
      </c>
      <c r="F181" s="418"/>
      <c r="G181" s="171">
        <f t="shared" si="46"/>
        <v>0</v>
      </c>
      <c r="H181" s="172">
        <f t="shared" si="47"/>
        <v>0</v>
      </c>
      <c r="I181" s="337"/>
      <c r="J181" s="223"/>
      <c r="K181" s="218"/>
      <c r="L181" s="220"/>
      <c r="M181" s="364">
        <f t="shared" si="48"/>
        <v>0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490">
        <f>'[66]Sch C'!D193</f>
        <v>2915.8</v>
      </c>
      <c r="D182" s="490">
        <f>'[66]Sch C'!F193</f>
        <v>0</v>
      </c>
      <c r="E182" s="171">
        <f t="shared" si="45"/>
        <v>2915.8</v>
      </c>
      <c r="F182" s="418"/>
      <c r="G182" s="171">
        <f t="shared" si="46"/>
        <v>2915.8</v>
      </c>
      <c r="H182" s="172">
        <f t="shared" si="47"/>
        <v>9.9368900979228706E-4</v>
      </c>
      <c r="I182" s="337"/>
      <c r="J182" s="223"/>
      <c r="K182" s="218"/>
      <c r="L182" s="220"/>
      <c r="M182" s="364">
        <f t="shared" si="48"/>
        <v>0.18375346609528612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490">
        <f>'[66]Sch C'!D194</f>
        <v>95896.79</v>
      </c>
      <c r="D183" s="490">
        <f>'[66]Sch C'!F194</f>
        <v>-47949</v>
      </c>
      <c r="E183" s="171">
        <f t="shared" si="45"/>
        <v>47947.789999999994</v>
      </c>
      <c r="F183" s="418"/>
      <c r="G183" s="171">
        <f t="shared" si="46"/>
        <v>47947.789999999994</v>
      </c>
      <c r="H183" s="172">
        <f t="shared" si="47"/>
        <v>1.6340349806855243E-2</v>
      </c>
      <c r="I183" s="337"/>
      <c r="J183" s="223"/>
      <c r="K183" s="218"/>
      <c r="M183" s="364">
        <f t="shared" si="48"/>
        <v>3.0216656163347615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490">
        <f>'[66]Sch C'!D195</f>
        <v>2671.69</v>
      </c>
      <c r="D184" s="490">
        <f>'[66]Sch C'!F195</f>
        <v>0</v>
      </c>
      <c r="E184" s="171">
        <f t="shared" si="45"/>
        <v>2671.69</v>
      </c>
      <c r="F184" s="418"/>
      <c r="G184" s="171">
        <f t="shared" si="46"/>
        <v>2671.69</v>
      </c>
      <c r="H184" s="172">
        <f t="shared" si="47"/>
        <v>9.10497630349117E-4</v>
      </c>
      <c r="I184" s="337"/>
      <c r="J184" s="223"/>
      <c r="K184" s="218"/>
      <c r="M184" s="364">
        <f t="shared" si="48"/>
        <v>0.16836967481724224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490">
        <f>'[66]Sch C'!D196</f>
        <v>0</v>
      </c>
      <c r="D185" s="490">
        <f>'[66]Sch C'!F196</f>
        <v>0</v>
      </c>
      <c r="E185" s="171">
        <f t="shared" si="45"/>
        <v>0</v>
      </c>
      <c r="F185" s="418"/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490">
        <f>'[66]Sch C'!D197</f>
        <v>45426.87</v>
      </c>
      <c r="D186" s="490">
        <f>'[66]Sch C'!F197</f>
        <v>-22713.5</v>
      </c>
      <c r="E186" s="171">
        <f t="shared" si="45"/>
        <v>22713.370000000003</v>
      </c>
      <c r="F186" s="418"/>
      <c r="G186" s="171">
        <f t="shared" si="46"/>
        <v>22713.370000000003</v>
      </c>
      <c r="H186" s="172">
        <f t="shared" si="47"/>
        <v>7.7405947404986077E-3</v>
      </c>
      <c r="I186" s="337"/>
      <c r="J186" s="223"/>
      <c r="K186" s="218"/>
      <c r="M186" s="364">
        <f t="shared" si="48"/>
        <v>1.4313946307033023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490">
        <f>'[66]Sch C'!D198</f>
        <v>7103.84</v>
      </c>
      <c r="D187" s="490">
        <f>'[66]Sch C'!F198</f>
        <v>0</v>
      </c>
      <c r="E187" s="171">
        <f t="shared" si="45"/>
        <v>7103.84</v>
      </c>
      <c r="F187" s="418"/>
      <c r="G187" s="171">
        <f t="shared" si="46"/>
        <v>7103.84</v>
      </c>
      <c r="H187" s="172">
        <f t="shared" si="47"/>
        <v>2.4209505917150835E-3</v>
      </c>
      <c r="I187" s="337"/>
      <c r="J187" s="223"/>
      <c r="K187" s="218"/>
      <c r="M187" s="364">
        <f t="shared" si="48"/>
        <v>0.44768338795059237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490">
        <f>'[66]Sch C'!D199</f>
        <v>0</v>
      </c>
      <c r="D188" s="490">
        <f>'[66]Sch C'!F199</f>
        <v>0</v>
      </c>
      <c r="E188" s="171">
        <f t="shared" si="45"/>
        <v>0</v>
      </c>
      <c r="F188" s="418"/>
      <c r="G188" s="171">
        <f t="shared" si="46"/>
        <v>0</v>
      </c>
      <c r="H188" s="172">
        <f t="shared" si="47"/>
        <v>0</v>
      </c>
      <c r="I188" s="337"/>
      <c r="J188" s="223"/>
      <c r="K188" s="218"/>
      <c r="M188" s="364">
        <f t="shared" si="48"/>
        <v>0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490">
        <f>'[66]Sch C'!D200</f>
        <v>1482.25</v>
      </c>
      <c r="D189" s="490">
        <f>'[66]Sch C'!F200</f>
        <v>0</v>
      </c>
      <c r="E189" s="171">
        <f t="shared" si="45"/>
        <v>1482.25</v>
      </c>
      <c r="F189" s="418"/>
      <c r="G189" s="171">
        <f t="shared" si="46"/>
        <v>1482.25</v>
      </c>
      <c r="H189" s="172">
        <f t="shared" si="47"/>
        <v>5.0514285436745231E-4</v>
      </c>
      <c r="I189" s="337"/>
      <c r="J189" s="223"/>
      <c r="K189" s="218"/>
      <c r="M189" s="364">
        <f t="shared" si="48"/>
        <v>9.3411267960675573E-2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490">
        <f>'[66]Sch C'!D201</f>
        <v>0</v>
      </c>
      <c r="D190" s="490">
        <f>'[66]Sch C'!F201</f>
        <v>0</v>
      </c>
      <c r="E190" s="171">
        <f t="shared" si="45"/>
        <v>0</v>
      </c>
      <c r="F190" s="418"/>
      <c r="G190" s="171">
        <f t="shared" si="46"/>
        <v>0</v>
      </c>
      <c r="H190" s="172">
        <f t="shared" si="47"/>
        <v>0</v>
      </c>
      <c r="I190" s="337"/>
      <c r="J190" s="223"/>
      <c r="K190" s="218"/>
      <c r="M190" s="364">
        <f t="shared" si="48"/>
        <v>0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490">
        <f>'[66]Sch C'!D202</f>
        <v>680</v>
      </c>
      <c r="D191" s="490">
        <f>'[66]Sch C'!F202</f>
        <v>0</v>
      </c>
      <c r="E191" s="171">
        <f t="shared" si="45"/>
        <v>680</v>
      </c>
      <c r="F191" s="418"/>
      <c r="G191" s="171">
        <f t="shared" si="46"/>
        <v>680</v>
      </c>
      <c r="H191" s="172">
        <f t="shared" si="47"/>
        <v>2.3174035484558445E-4</v>
      </c>
      <c r="I191" s="337"/>
      <c r="J191" s="223"/>
      <c r="K191" s="218"/>
      <c r="M191" s="364">
        <f t="shared" si="48"/>
        <v>4.2853541719183263E-2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490">
        <f>'[66]Sch C'!D203</f>
        <v>0</v>
      </c>
      <c r="D192" s="490">
        <f>'[66]Sch C'!F203</f>
        <v>0</v>
      </c>
      <c r="E192" s="171">
        <f t="shared" si="45"/>
        <v>0</v>
      </c>
      <c r="F192" s="418"/>
      <c r="G192" s="171">
        <f t="shared" si="46"/>
        <v>0</v>
      </c>
      <c r="H192" s="172">
        <f t="shared" si="47"/>
        <v>0</v>
      </c>
      <c r="I192" s="337"/>
      <c r="J192" s="223"/>
      <c r="K192" s="218"/>
      <c r="M192" s="364">
        <f t="shared" si="48"/>
        <v>0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490">
        <f>'[66]Sch C'!D204</f>
        <v>0</v>
      </c>
      <c r="D193" s="490">
        <f>'[66]Sch C'!F204</f>
        <v>0</v>
      </c>
      <c r="E193" s="171">
        <f t="shared" si="45"/>
        <v>0</v>
      </c>
      <c r="F193" s="418"/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490">
        <f>'[66]Sch C'!D205</f>
        <v>60386.33</v>
      </c>
      <c r="D194" s="490">
        <f>'[66]Sch C'!F205</f>
        <v>0</v>
      </c>
      <c r="E194" s="171">
        <f t="shared" si="45"/>
        <v>60386.33</v>
      </c>
      <c r="F194" s="418"/>
      <c r="G194" s="171">
        <f t="shared" si="46"/>
        <v>60386.33</v>
      </c>
      <c r="H194" s="172">
        <f t="shared" si="47"/>
        <v>2.0579337561797886E-2</v>
      </c>
      <c r="I194" s="337"/>
      <c r="J194" s="223"/>
      <c r="K194" s="218"/>
      <c r="M194" s="364">
        <f t="shared" si="48"/>
        <v>3.8055413410637762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490">
        <f>'[66]Sch C'!D206</f>
        <v>1200</v>
      </c>
      <c r="D195" s="490">
        <f>'[66]Sch C'!F206</f>
        <v>0</v>
      </c>
      <c r="E195" s="171">
        <f t="shared" si="45"/>
        <v>1200</v>
      </c>
      <c r="F195" s="418"/>
      <c r="G195" s="171">
        <f t="shared" si="46"/>
        <v>1200</v>
      </c>
      <c r="H195" s="172">
        <f t="shared" si="47"/>
        <v>4.0895356737456079E-4</v>
      </c>
      <c r="I195" s="337"/>
      <c r="J195" s="223"/>
      <c r="K195" s="218"/>
      <c r="M195" s="364">
        <f t="shared" si="48"/>
        <v>7.5623897151499878E-2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490">
        <f>'[66]Sch C'!D207</f>
        <v>1823.72</v>
      </c>
      <c r="D196" s="490">
        <f>'[66]Sch C'!F207</f>
        <v>0</v>
      </c>
      <c r="E196" s="171">
        <f t="shared" si="45"/>
        <v>1823.72</v>
      </c>
      <c r="F196" s="418"/>
      <c r="G196" s="171">
        <f t="shared" si="46"/>
        <v>1823.72</v>
      </c>
      <c r="H196" s="172">
        <f t="shared" si="47"/>
        <v>6.2151399991027835E-4</v>
      </c>
      <c r="I196" s="337"/>
      <c r="J196" s="223"/>
      <c r="K196" s="218"/>
      <c r="M196" s="364">
        <f t="shared" si="48"/>
        <v>0.11493067809427779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490">
        <f>SUM(C164:C196)</f>
        <v>219744.81999999998</v>
      </c>
      <c r="D197" s="490">
        <f>SUM(D164:D196)</f>
        <v>-70662.5</v>
      </c>
      <c r="E197" s="171">
        <f t="shared" ref="E197" si="49">SUM(E164:E196)</f>
        <v>149082.31999999998</v>
      </c>
      <c r="F197" s="171">
        <f>SUM(F164:F196)</f>
        <v>0</v>
      </c>
      <c r="G197" s="171">
        <f>SUM(G164:G196)</f>
        <v>149082.31999999998</v>
      </c>
      <c r="H197" s="172">
        <f>IF($G$208=0,0,G197/$G$208)</f>
        <v>5.0806455497063183E-2</v>
      </c>
      <c r="I197" s="337"/>
      <c r="J197" s="168"/>
      <c r="K197" s="168"/>
      <c r="M197" s="364">
        <f>G197/G$228</f>
        <v>9.3951550289891586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425"/>
      <c r="G198" s="165"/>
      <c r="H198" s="198"/>
      <c r="I198" s="341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425"/>
      <c r="G199" s="165"/>
      <c r="H199" s="198"/>
      <c r="I199" s="341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490">
        <f>'[66]Sch C'!D211</f>
        <v>83752.710000000006</v>
      </c>
      <c r="D200" s="490">
        <f>'[66]Sch C'!F211</f>
        <v>0</v>
      </c>
      <c r="E200" s="171">
        <f t="shared" ref="E200:E205" si="50">C200+D200</f>
        <v>83752.710000000006</v>
      </c>
      <c r="F200" s="418"/>
      <c r="G200" s="171">
        <f t="shared" ref="G200:G205" si="51">E200+F200</f>
        <v>83752.710000000006</v>
      </c>
      <c r="H200" s="172">
        <f t="shared" ref="H200:H206" si="52">IF($G$208=0,0,G200/$G$208)</f>
        <v>2.8542474609822545E-2</v>
      </c>
      <c r="I200" s="337"/>
      <c r="J200" s="183">
        <v>6274.4</v>
      </c>
      <c r="K200" s="183">
        <v>6540.47</v>
      </c>
      <c r="M200" s="364">
        <f t="shared" ref="M200:M205" si="53">G200/G$228</f>
        <v>5.2780886059994963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490">
        <f>'[66]Sch C'!D212</f>
        <v>0</v>
      </c>
      <c r="D201" s="490">
        <f>'[66]Sch C'!F212</f>
        <v>8360.8470144177863</v>
      </c>
      <c r="E201" s="171">
        <f t="shared" si="50"/>
        <v>8360.8470144177863</v>
      </c>
      <c r="F201" s="418"/>
      <c r="G201" s="171">
        <f t="shared" si="51"/>
        <v>8360.8470144177863</v>
      </c>
      <c r="H201" s="172">
        <f t="shared" si="52"/>
        <v>2.8493318440159163E-3</v>
      </c>
      <c r="I201" s="337"/>
      <c r="J201" s="168"/>
      <c r="K201" s="168"/>
      <c r="M201" s="364">
        <f t="shared" si="53"/>
        <v>0.52689986226479624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490">
        <f>'[66]Sch C'!D213</f>
        <v>10150</v>
      </c>
      <c r="D202" s="490">
        <f>'[66]Sch C'!F213</f>
        <v>0</v>
      </c>
      <c r="E202" s="171">
        <f t="shared" si="50"/>
        <v>10150</v>
      </c>
      <c r="F202" s="418"/>
      <c r="G202" s="171">
        <f t="shared" si="51"/>
        <v>10150</v>
      </c>
      <c r="H202" s="172">
        <f t="shared" si="52"/>
        <v>3.4590655907098269E-3</v>
      </c>
      <c r="I202" s="337"/>
      <c r="J202" s="168"/>
      <c r="K202" s="168"/>
      <c r="M202" s="364">
        <f t="shared" si="53"/>
        <v>0.63965213007310306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490">
        <f>'[66]Sch C'!D214</f>
        <v>280</v>
      </c>
      <c r="D203" s="490">
        <f>'[66]Sch C'!F214</f>
        <v>0</v>
      </c>
      <c r="E203" s="171">
        <f t="shared" si="50"/>
        <v>280</v>
      </c>
      <c r="F203" s="418"/>
      <c r="G203" s="171">
        <f t="shared" si="51"/>
        <v>280</v>
      </c>
      <c r="H203" s="172">
        <f t="shared" si="52"/>
        <v>9.5422499054064182E-5</v>
      </c>
      <c r="I203" s="337"/>
      <c r="J203" s="168"/>
      <c r="K203" s="168"/>
      <c r="M203" s="364">
        <f t="shared" si="53"/>
        <v>1.7645576002016636E-2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490">
        <f>'[66]Sch C'!D215</f>
        <v>0</v>
      </c>
      <c r="D204" s="490">
        <f>'[66]Sch C'!F215</f>
        <v>0</v>
      </c>
      <c r="E204" s="171">
        <f t="shared" si="50"/>
        <v>0</v>
      </c>
      <c r="F204" s="418"/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490">
        <f>'[66]Sch C'!D216</f>
        <v>41.52</v>
      </c>
      <c r="D205" s="490">
        <f>'[66]Sch C'!F216</f>
        <v>0</v>
      </c>
      <c r="E205" s="171">
        <f t="shared" si="50"/>
        <v>41.52</v>
      </c>
      <c r="F205" s="418"/>
      <c r="G205" s="171">
        <f t="shared" si="51"/>
        <v>41.52</v>
      </c>
      <c r="H205" s="172">
        <f t="shared" si="52"/>
        <v>1.4149793431159805E-5</v>
      </c>
      <c r="I205" s="540" t="s">
        <v>467</v>
      </c>
      <c r="J205" s="168"/>
      <c r="K205" s="168"/>
      <c r="M205" s="364">
        <f t="shared" si="53"/>
        <v>2.6165868414418959E-3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490">
        <f>SUM(C200:C205)</f>
        <v>94224.23000000001</v>
      </c>
      <c r="D206" s="490">
        <f>SUM(D200:D205)</f>
        <v>8360.8470144177863</v>
      </c>
      <c r="E206" s="171">
        <f t="shared" ref="E206" si="54">SUM(E200:E205)</f>
        <v>102585.07701441779</v>
      </c>
      <c r="F206" s="171">
        <f>SUM(F200:F205)</f>
        <v>0</v>
      </c>
      <c r="G206" s="171">
        <f>SUM(G200:G205)</f>
        <v>102585.07701441779</v>
      </c>
      <c r="H206" s="172">
        <f t="shared" si="52"/>
        <v>3.4960444337033512E-2</v>
      </c>
      <c r="I206" s="337"/>
      <c r="J206" s="168"/>
      <c r="K206" s="168"/>
      <c r="M206" s="364">
        <f>G206/G$228</f>
        <v>6.4649027611808538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425"/>
      <c r="G207" s="165"/>
      <c r="H207" s="198"/>
      <c r="I207" s="341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490">
        <f>SUM(C25:C206)/2</f>
        <v>3056041.8500000006</v>
      </c>
      <c r="D208" s="490">
        <f>SUM(D25:D206)/2</f>
        <v>-110363.39496395523</v>
      </c>
      <c r="E208" s="171">
        <f t="shared" ref="E208:F208" si="55">SUM(E25:E206)/2</f>
        <v>2945678.4550360441</v>
      </c>
      <c r="F208" s="171">
        <f t="shared" si="55"/>
        <v>-11360</v>
      </c>
      <c r="G208" s="171">
        <f>SUM(G25:G206)/2</f>
        <v>2934318.4550360441</v>
      </c>
      <c r="H208" s="172">
        <f>IF($G$208=0,0,G208/$G$208)</f>
        <v>1</v>
      </c>
      <c r="I208" s="337"/>
      <c r="J208" s="183">
        <f>SUM(J25:J200)</f>
        <v>79726.039999999994</v>
      </c>
      <c r="K208" s="183">
        <f>SUM(K25:K200)</f>
        <v>83542.03</v>
      </c>
      <c r="M208" s="364">
        <f>G208/G$228</f>
        <v>184.92049754449485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490">
        <f>'[66]Sch C'!D221</f>
        <v>3056041.85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490">
        <f>C208-C211</f>
        <v>0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619"/>
      <c r="D213" s="232"/>
      <c r="E213" s="232"/>
      <c r="F213" s="426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42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490">
        <f>C21-C208</f>
        <v>-35288.520000000484</v>
      </c>
      <c r="D215" s="490">
        <f>D21-D208</f>
        <v>110363.39496395523</v>
      </c>
      <c r="E215" s="171">
        <f t="shared" ref="E215:F215" si="56">E21-E208</f>
        <v>75074.874963955954</v>
      </c>
      <c r="F215" s="171">
        <f t="shared" si="56"/>
        <v>11360</v>
      </c>
      <c r="G215" s="171">
        <f>G21-G208</f>
        <v>86434.874963955954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422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422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42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491">
        <f>'[66]Sch D'!C9</f>
        <v>9905</v>
      </c>
      <c r="D219" s="491"/>
      <c r="E219" s="235">
        <f t="shared" ref="E219:G227" si="57">C219+D219</f>
        <v>9905</v>
      </c>
      <c r="F219" s="427"/>
      <c r="G219" s="235">
        <f t="shared" si="57"/>
        <v>9905</v>
      </c>
      <c r="H219" s="172">
        <f t="shared" ref="H219:H228" si="58">IF($G$228=0,0,G219/$G$228)</f>
        <v>0.6242122510713386</v>
      </c>
      <c r="I219" s="337"/>
      <c r="J219" s="168"/>
      <c r="K219" s="168"/>
    </row>
    <row r="220" spans="1:14">
      <c r="A220" s="163"/>
      <c r="B220" s="170" t="s">
        <v>217</v>
      </c>
      <c r="C220" s="491">
        <f>'[66]Sch D'!D9</f>
        <v>0</v>
      </c>
      <c r="D220" s="491"/>
      <c r="E220" s="235">
        <f t="shared" ref="E220:E227" si="59">C220+D220</f>
        <v>0</v>
      </c>
      <c r="F220" s="427"/>
      <c r="G220" s="235">
        <f t="shared" si="57"/>
        <v>0</v>
      </c>
      <c r="H220" s="172">
        <f t="shared" si="58"/>
        <v>0</v>
      </c>
      <c r="I220" s="337"/>
      <c r="J220" s="168"/>
      <c r="K220" s="168"/>
    </row>
    <row r="221" spans="1:14">
      <c r="A221" s="163"/>
      <c r="B221" s="170" t="s">
        <v>72</v>
      </c>
      <c r="C221" s="491">
        <f>'[66]Sch D'!E9</f>
        <v>1839</v>
      </c>
      <c r="D221" s="491"/>
      <c r="E221" s="235">
        <f t="shared" si="59"/>
        <v>1839</v>
      </c>
      <c r="F221" s="427"/>
      <c r="G221" s="235">
        <f t="shared" si="57"/>
        <v>1839</v>
      </c>
      <c r="H221" s="172">
        <f t="shared" si="58"/>
        <v>0.11589362238467356</v>
      </c>
      <c r="I221" s="337"/>
      <c r="J221" s="168"/>
      <c r="K221" s="168"/>
    </row>
    <row r="222" spans="1:14">
      <c r="A222" s="163"/>
      <c r="B222" s="202" t="s">
        <v>334</v>
      </c>
      <c r="C222" s="491">
        <f>'[66]Sch D'!F9</f>
        <v>24</v>
      </c>
      <c r="D222" s="491"/>
      <c r="E222" s="235">
        <f>C222+D222</f>
        <v>24</v>
      </c>
      <c r="F222" s="427"/>
      <c r="G222" s="235">
        <f>E222+F222</f>
        <v>24</v>
      </c>
      <c r="H222" s="172">
        <f t="shared" si="58"/>
        <v>1.5124779430299975E-3</v>
      </c>
      <c r="I222" s="337"/>
      <c r="J222" s="168"/>
      <c r="K222" s="168"/>
    </row>
    <row r="223" spans="1:14">
      <c r="A223" s="163"/>
      <c r="B223" s="170" t="s">
        <v>73</v>
      </c>
      <c r="C223" s="491">
        <f>'[66]Sch D'!G9</f>
        <v>0</v>
      </c>
      <c r="D223" s="491"/>
      <c r="E223" s="235">
        <f t="shared" si="59"/>
        <v>0</v>
      </c>
      <c r="F223" s="427"/>
      <c r="G223" s="235">
        <f t="shared" si="57"/>
        <v>0</v>
      </c>
      <c r="H223" s="172">
        <f t="shared" si="58"/>
        <v>0</v>
      </c>
      <c r="I223" s="337"/>
      <c r="J223" s="168"/>
      <c r="K223" s="168"/>
    </row>
    <row r="224" spans="1:14">
      <c r="A224" s="163"/>
      <c r="B224" s="170" t="s">
        <v>74</v>
      </c>
      <c r="C224" s="491">
        <f>'[66]Sch D'!H9</f>
        <v>2084</v>
      </c>
      <c r="D224" s="491"/>
      <c r="E224" s="235">
        <f t="shared" si="59"/>
        <v>2084</v>
      </c>
      <c r="F224" s="427"/>
      <c r="G224" s="235">
        <f t="shared" si="57"/>
        <v>2084</v>
      </c>
      <c r="H224" s="172">
        <f t="shared" si="58"/>
        <v>0.13133350138643812</v>
      </c>
      <c r="I224" s="337"/>
      <c r="J224" s="168"/>
      <c r="K224" s="168"/>
    </row>
    <row r="225" spans="1:11">
      <c r="A225" s="163"/>
      <c r="B225" s="170" t="s">
        <v>236</v>
      </c>
      <c r="C225" s="491">
        <f>'[66]Sch D'!I9</f>
        <v>914</v>
      </c>
      <c r="D225" s="491"/>
      <c r="E225" s="235">
        <f t="shared" si="59"/>
        <v>914</v>
      </c>
      <c r="F225" s="427"/>
      <c r="G225" s="235">
        <f t="shared" si="57"/>
        <v>914</v>
      </c>
      <c r="H225" s="172">
        <f t="shared" si="58"/>
        <v>5.7600201663725738E-2</v>
      </c>
      <c r="I225" s="337"/>
      <c r="J225" s="168"/>
      <c r="K225" s="168"/>
    </row>
    <row r="226" spans="1:11">
      <c r="A226" s="163"/>
      <c r="B226" s="170" t="s">
        <v>235</v>
      </c>
      <c r="C226" s="491">
        <f>'[66]Sch D'!J9</f>
        <v>1102</v>
      </c>
      <c r="D226" s="491"/>
      <c r="E226" s="235">
        <f>C226+D226</f>
        <v>1102</v>
      </c>
      <c r="F226" s="427"/>
      <c r="G226" s="235">
        <f>E226+F226</f>
        <v>1102</v>
      </c>
      <c r="H226" s="172">
        <f t="shared" si="58"/>
        <v>6.9447945550794046E-2</v>
      </c>
      <c r="I226" s="337"/>
      <c r="J226" s="168"/>
      <c r="K226" s="168"/>
    </row>
    <row r="227" spans="1:11">
      <c r="A227" s="163"/>
      <c r="B227" s="170" t="s">
        <v>179</v>
      </c>
      <c r="C227" s="491">
        <f>'[66]Sch D'!K9</f>
        <v>0</v>
      </c>
      <c r="D227" s="491"/>
      <c r="E227" s="235">
        <f t="shared" si="59"/>
        <v>0</v>
      </c>
      <c r="F227" s="427"/>
      <c r="G227" s="235">
        <f t="shared" si="57"/>
        <v>0</v>
      </c>
      <c r="H227" s="172">
        <f t="shared" si="58"/>
        <v>0</v>
      </c>
      <c r="I227" s="337"/>
      <c r="J227" s="168"/>
      <c r="K227" s="168"/>
    </row>
    <row r="228" spans="1:11" ht="13.5" thickBot="1">
      <c r="A228" s="163"/>
      <c r="B228" s="236" t="s">
        <v>75</v>
      </c>
      <c r="C228" s="491">
        <f>SUM(C219:C227)</f>
        <v>15868</v>
      </c>
      <c r="D228" s="491">
        <f>SUM(D219:D227)</f>
        <v>0</v>
      </c>
      <c r="E228" s="237">
        <f>SUM(E219:E227)</f>
        <v>15868</v>
      </c>
      <c r="F228" s="428">
        <f>SUM(F219:F227)</f>
        <v>0</v>
      </c>
      <c r="G228" s="237">
        <f>SUM(G219:G227)</f>
        <v>15868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620"/>
      <c r="D229" s="239"/>
      <c r="E229" s="232"/>
      <c r="F229" s="431"/>
      <c r="G229" s="232"/>
      <c r="H229" s="167"/>
      <c r="J229" s="168"/>
      <c r="K229" s="168"/>
    </row>
    <row r="230" spans="1:11">
      <c r="A230" s="163"/>
      <c r="B230" s="233" t="s">
        <v>160</v>
      </c>
      <c r="C230" s="619"/>
      <c r="D230" s="232"/>
      <c r="E230" s="232"/>
      <c r="F230" s="426"/>
      <c r="G230" s="232"/>
      <c r="H230" s="167"/>
      <c r="J230" s="168"/>
      <c r="K230" s="168"/>
    </row>
    <row r="231" spans="1:11">
      <c r="A231" s="163"/>
      <c r="B231" s="202" t="s">
        <v>219</v>
      </c>
      <c r="C231" s="492">
        <f>'[66]Sch D'!N22</f>
        <v>53</v>
      </c>
      <c r="D231" s="526"/>
      <c r="E231" s="235">
        <f>C231+D231</f>
        <v>53</v>
      </c>
      <c r="F231" s="432"/>
      <c r="G231" s="235">
        <f>E231+F231</f>
        <v>53</v>
      </c>
      <c r="H231" s="167"/>
      <c r="J231" s="168"/>
      <c r="K231" s="168"/>
    </row>
    <row r="232" spans="1:11">
      <c r="A232" s="163"/>
      <c r="B232" s="202" t="s">
        <v>290</v>
      </c>
      <c r="C232" s="492">
        <f>'[66]Sch D'!N24</f>
        <v>53</v>
      </c>
      <c r="D232" s="526"/>
      <c r="E232" s="235">
        <f>C232+D232</f>
        <v>53</v>
      </c>
      <c r="F232" s="432"/>
      <c r="G232" s="235">
        <f>E232+F232</f>
        <v>53</v>
      </c>
      <c r="H232" s="167"/>
      <c r="J232" s="168"/>
      <c r="K232" s="168"/>
    </row>
    <row r="233" spans="1:11">
      <c r="A233" s="163"/>
      <c r="B233" s="202" t="s">
        <v>76</v>
      </c>
      <c r="C233" s="492">
        <f>$C$4-$C$3+1</f>
        <v>365</v>
      </c>
      <c r="D233" s="489"/>
      <c r="E233" s="235">
        <f>C233+D233</f>
        <v>365</v>
      </c>
      <c r="F233" s="429"/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621"/>
      <c r="D234" s="240"/>
      <c r="E234" s="243"/>
      <c r="F234" s="429"/>
      <c r="G234" s="243"/>
      <c r="H234" s="167"/>
      <c r="J234" s="168"/>
      <c r="K234" s="168"/>
    </row>
    <row r="235" spans="1:11" ht="26">
      <c r="A235" s="163"/>
      <c r="B235" s="244" t="s">
        <v>335</v>
      </c>
      <c r="C235" s="492">
        <f>'[66]Sch D'!N28</f>
        <v>19345</v>
      </c>
      <c r="D235" s="489"/>
      <c r="E235" s="234">
        <f>E231*E233</f>
        <v>19345</v>
      </c>
      <c r="F235" s="429"/>
      <c r="G235" s="234">
        <f>G231*G233</f>
        <v>19345</v>
      </c>
      <c r="H235" s="167"/>
      <c r="J235" s="168"/>
      <c r="K235" s="168"/>
    </row>
    <row r="236" spans="1:11" ht="26">
      <c r="A236" s="163"/>
      <c r="B236" s="244" t="s">
        <v>336</v>
      </c>
      <c r="C236" s="493">
        <f>'[66]Sch D'!N30</f>
        <v>0.82026363401395708</v>
      </c>
      <c r="D236" s="240"/>
      <c r="E236" s="245">
        <f>E228/E235</f>
        <v>0.82026363401395708</v>
      </c>
      <c r="F236" s="433"/>
      <c r="G236" s="245">
        <f>G228/G235</f>
        <v>0.82026363401395708</v>
      </c>
      <c r="H236" s="167"/>
      <c r="J236" s="168"/>
      <c r="K236" s="168"/>
    </row>
    <row r="237" spans="1:11" ht="26">
      <c r="A237" s="163"/>
      <c r="B237" s="244" t="s">
        <v>337</v>
      </c>
      <c r="C237" s="493">
        <f>'[66]Sch D'!N32</f>
        <v>0.5120186094598087</v>
      </c>
      <c r="D237" s="240"/>
      <c r="E237" s="245">
        <f>(E219+E220)/E235</f>
        <v>0.5120186094598087</v>
      </c>
      <c r="F237" s="433"/>
      <c r="G237" s="245">
        <f>(G219+G220)/G235</f>
        <v>0.5120186094598087</v>
      </c>
      <c r="H237" s="167"/>
      <c r="J237" s="168"/>
      <c r="K237" s="168"/>
    </row>
    <row r="238" spans="1:11" ht="26">
      <c r="A238" s="163"/>
      <c r="B238" s="244" t="s">
        <v>338</v>
      </c>
      <c r="C238" s="493">
        <f>'[66]Sch D'!N34</f>
        <v>0.62421225107133849</v>
      </c>
      <c r="D238" s="240"/>
      <c r="E238" s="245">
        <f>(E237/E236)</f>
        <v>0.62421225107133849</v>
      </c>
      <c r="F238" s="433"/>
      <c r="G238" s="245">
        <f>(G237/G236)</f>
        <v>0.62421225107133849</v>
      </c>
      <c r="H238" s="167"/>
      <c r="J238" s="168"/>
      <c r="K238" s="168"/>
    </row>
    <row r="241" spans="2:7">
      <c r="B241" s="148" t="s">
        <v>339</v>
      </c>
      <c r="F241" s="412" t="s">
        <v>340</v>
      </c>
      <c r="G241" s="490">
        <f>'[66]Sch B'!C85</f>
        <v>143.8109756097561</v>
      </c>
    </row>
    <row r="242" spans="2:7">
      <c r="F242" s="412" t="s">
        <v>341</v>
      </c>
      <c r="G242" s="490">
        <f>'[66]Sch B'!E85</f>
        <v>125.57829931972789</v>
      </c>
    </row>
    <row r="243" spans="2:7">
      <c r="B243" s="465"/>
      <c r="F243" s="412" t="s">
        <v>342</v>
      </c>
      <c r="G243" s="490">
        <f>'[66]Sch B'!G85</f>
        <v>201.44234408602148</v>
      </c>
    </row>
    <row r="244" spans="2:7" ht="15.5">
      <c r="B244" s="542"/>
      <c r="F244" s="412" t="s">
        <v>343</v>
      </c>
      <c r="G244" s="490">
        <f>'[66]Sch B'!I85</f>
        <v>188.67303529411762</v>
      </c>
    </row>
    <row r="245" spans="2:7" ht="15.5">
      <c r="B245" s="543"/>
      <c r="F245" s="412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80">
    <tabColor rgb="FFE28CAB"/>
    <pageSetUpPr fitToPage="1"/>
  </sheetPr>
  <dimension ref="A1:Q245"/>
  <sheetViews>
    <sheetView showGridLines="0" zoomScale="90" zoomScaleNormal="90" workbookViewId="0">
      <selection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41.4" customHeight="1">
      <c r="A1" s="138" t="str">
        <f>'ALPINE VALLEY'!A1</f>
        <v>schedules revised 7/9/15</v>
      </c>
      <c r="B1" s="139" t="s">
        <v>304</v>
      </c>
      <c r="C1" s="523" t="s">
        <v>676</v>
      </c>
      <c r="D1" s="478"/>
      <c r="E1" s="478"/>
      <c r="F1" s="661" t="s">
        <v>675</v>
      </c>
      <c r="G1" s="478"/>
      <c r="H1" s="478"/>
      <c r="I1" s="479"/>
    </row>
    <row r="2" spans="1:14" ht="23">
      <c r="B2" s="143" t="s">
        <v>189</v>
      </c>
      <c r="C2" s="247" t="s">
        <v>393</v>
      </c>
      <c r="D2" s="247"/>
      <c r="E2" s="144"/>
      <c r="F2" s="140" t="s">
        <v>670</v>
      </c>
    </row>
    <row r="3" spans="1:14">
      <c r="A3" s="145"/>
      <c r="B3" s="140" t="s">
        <v>79</v>
      </c>
      <c r="C3" s="495">
        <v>41821</v>
      </c>
      <c r="D3" s="144"/>
      <c r="E3" s="147"/>
      <c r="F3" s="140" t="s">
        <v>671</v>
      </c>
    </row>
    <row r="4" spans="1:14">
      <c r="A4" s="145"/>
      <c r="B4" s="148" t="s">
        <v>80</v>
      </c>
      <c r="C4" s="495">
        <v>42185</v>
      </c>
      <c r="D4" s="144"/>
      <c r="E4" s="149"/>
      <c r="G4" s="150"/>
    </row>
    <row r="5" spans="1:14">
      <c r="A5" s="145"/>
      <c r="B5" s="148"/>
      <c r="C5" s="151"/>
      <c r="D5" s="144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144"/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573">
        <f>'[67]Sch B'!E10</f>
        <v>11930118</v>
      </c>
      <c r="D11" s="573">
        <f>'[67]Sch B'!G10</f>
        <v>-607011</v>
      </c>
      <c r="E11" s="171">
        <f>C11+D11</f>
        <v>11323107</v>
      </c>
      <c r="F11" s="171"/>
      <c r="G11" s="171">
        <f t="shared" ref="G11:G20" si="0">E11+F11</f>
        <v>11323107</v>
      </c>
      <c r="H11" s="172">
        <f t="shared" ref="H11:H21" si="1">IF($G$21=0,0,G11/$G$21)</f>
        <v>0.55980716474218184</v>
      </c>
      <c r="J11" s="368" t="s">
        <v>344</v>
      </c>
      <c r="K11" s="369">
        <f>G21</f>
        <v>20226799</v>
      </c>
      <c r="M11" s="359">
        <f>IFERROR(G11/G219,0)</f>
        <v>431.27430965530374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573">
        <f>'[67]Sch B'!E15</f>
        <v>0</v>
      </c>
      <c r="D12" s="573">
        <f>'[67]Sch B'!G15</f>
        <v>607011</v>
      </c>
      <c r="E12" s="171">
        <f t="shared" ref="E12:E20" si="2">C12+D12</f>
        <v>607011</v>
      </c>
      <c r="F12" s="171"/>
      <c r="G12" s="171">
        <f>E12+F12</f>
        <v>607011</v>
      </c>
      <c r="H12" s="172">
        <f t="shared" si="1"/>
        <v>3.0010235430727325E-2</v>
      </c>
      <c r="J12" s="370" t="s">
        <v>345</v>
      </c>
      <c r="K12" s="371">
        <f>G208</f>
        <v>21618531.23</v>
      </c>
      <c r="M12" s="359">
        <f t="shared" ref="M12:M19" si="3">IFERROR(G12/G220,0)</f>
        <v>522.83462532299745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573">
        <f>'[67]Sch B'!E21</f>
        <v>4276667</v>
      </c>
      <c r="D13" s="573">
        <f>'[67]Sch B'!G21</f>
        <v>0</v>
      </c>
      <c r="E13" s="171">
        <f t="shared" si="2"/>
        <v>4276667</v>
      </c>
      <c r="F13" s="171"/>
      <c r="G13" s="171">
        <f t="shared" si="0"/>
        <v>4276667</v>
      </c>
      <c r="H13" s="172">
        <f t="shared" si="1"/>
        <v>0.21143567996102597</v>
      </c>
      <c r="J13" s="370" t="s">
        <v>346</v>
      </c>
      <c r="K13" s="371">
        <f>G228</f>
        <v>46782</v>
      </c>
      <c r="M13" s="359">
        <f t="shared" si="3"/>
        <v>426.72789862302932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573">
        <f>'[67]Sch B'!E27</f>
        <v>0</v>
      </c>
      <c r="D14" s="573">
        <f>'[67]Sch B'!G27</f>
        <v>2217891</v>
      </c>
      <c r="E14" s="171">
        <f t="shared" si="2"/>
        <v>2217891</v>
      </c>
      <c r="F14" s="175"/>
      <c r="G14" s="175">
        <f>E14+F14</f>
        <v>2217891</v>
      </c>
      <c r="H14" s="176">
        <f t="shared" si="1"/>
        <v>0.1096511118739055</v>
      </c>
      <c r="J14" s="370" t="s">
        <v>347</v>
      </c>
      <c r="K14" s="371">
        <f>G231</f>
        <v>160</v>
      </c>
      <c r="M14" s="359">
        <f t="shared" si="3"/>
        <v>423.01945451077626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573">
        <f>'[67]Sch B'!E32</f>
        <v>0</v>
      </c>
      <c r="D15" s="573">
        <f>'[67]Sch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J15" s="370" t="s">
        <v>348</v>
      </c>
      <c r="K15" s="371">
        <f>G235</f>
        <v>58400</v>
      </c>
      <c r="M15" s="359">
        <f t="shared" si="3"/>
        <v>0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573">
        <f>'[67]Sch B'!E37</f>
        <v>3901312</v>
      </c>
      <c r="D16" s="573">
        <f>'[67]Sch B'!G37</f>
        <v>-2217891</v>
      </c>
      <c r="E16" s="171">
        <f t="shared" si="2"/>
        <v>1683421</v>
      </c>
      <c r="F16" s="171"/>
      <c r="G16" s="171">
        <f t="shared" si="0"/>
        <v>1683421</v>
      </c>
      <c r="H16" s="172">
        <f t="shared" si="1"/>
        <v>8.3227257066231783E-2</v>
      </c>
      <c r="J16" s="372"/>
      <c r="K16" s="371"/>
      <c r="M16" s="359">
        <f t="shared" si="3"/>
        <v>418.55320735952262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573">
        <f>'[67]Sch B'!E42</f>
        <v>0</v>
      </c>
      <c r="D17" s="573">
        <f>'[67]Sch B'!G42</f>
        <v>14347</v>
      </c>
      <c r="E17" s="171">
        <f t="shared" si="2"/>
        <v>14347</v>
      </c>
      <c r="F17" s="171"/>
      <c r="G17" s="171">
        <f>E17+F17</f>
        <v>14347</v>
      </c>
      <c r="H17" s="172">
        <f t="shared" si="1"/>
        <v>7.0930649975806852E-4</v>
      </c>
      <c r="J17" s="370" t="s">
        <v>156</v>
      </c>
      <c r="K17" s="371">
        <f>J208</f>
        <v>526493</v>
      </c>
      <c r="M17" s="359">
        <f t="shared" si="3"/>
        <v>181.60759493670886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573">
        <f>'[67]Sch B'!E47</f>
        <v>0</v>
      </c>
      <c r="D18" s="573">
        <f>'[67]Sch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J18" s="373" t="s">
        <v>252</v>
      </c>
      <c r="K18" s="374">
        <f>K208</f>
        <v>564102</v>
      </c>
      <c r="M18" s="359">
        <f t="shared" si="3"/>
        <v>0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573">
        <f>'[67]Sch B'!E52</f>
        <v>0</v>
      </c>
      <c r="D19" s="573">
        <f>'[67]Sch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J19" s="168"/>
      <c r="K19" s="168"/>
      <c r="M19" s="359">
        <f t="shared" si="3"/>
        <v>0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573">
        <f>'[67]Sch B'!E67</f>
        <v>-27240</v>
      </c>
      <c r="D20" s="573">
        <f>'[67]Sch B'!G67</f>
        <v>0</v>
      </c>
      <c r="E20" s="171">
        <f t="shared" si="2"/>
        <v>-27240</v>
      </c>
      <c r="F20" s="171">
        <v>131595</v>
      </c>
      <c r="G20" s="171">
        <f t="shared" si="0"/>
        <v>104355</v>
      </c>
      <c r="H20" s="172">
        <f t="shared" si="1"/>
        <v>5.1592444261694594E-3</v>
      </c>
      <c r="I20" s="522" t="s">
        <v>672</v>
      </c>
      <c r="J20" s="168" t="s">
        <v>673</v>
      </c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573">
        <f>SUM(C11:C20)</f>
        <v>20080857</v>
      </c>
      <c r="D21" s="573">
        <f>SUM(D11:D20)</f>
        <v>14347</v>
      </c>
      <c r="E21" s="171">
        <f>SUM(E11:E20)</f>
        <v>20095204</v>
      </c>
      <c r="F21" s="171">
        <f>SUM(F11:F20)</f>
        <v>131595</v>
      </c>
      <c r="G21" s="171">
        <f>SUM(G11:G20)</f>
        <v>20226799</v>
      </c>
      <c r="H21" s="172">
        <f t="shared" si="1"/>
        <v>1</v>
      </c>
      <c r="J21" s="168"/>
      <c r="K21" s="168"/>
      <c r="M21" s="359">
        <f>IFERROR(G21/G228,0)</f>
        <v>432.3628532341499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144"/>
      <c r="G22" s="144"/>
      <c r="I22" s="140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144"/>
      <c r="G23" s="144"/>
      <c r="I23" s="140"/>
      <c r="M23" s="363"/>
      <c r="N23" s="363"/>
    </row>
    <row r="24" spans="1:14">
      <c r="A24" s="181" t="s">
        <v>161</v>
      </c>
      <c r="B24" s="148" t="s">
        <v>12</v>
      </c>
      <c r="I24" s="140"/>
      <c r="M24" s="363"/>
      <c r="N24" s="363"/>
    </row>
    <row r="25" spans="1:14" s="167" customFormat="1">
      <c r="A25" s="169" t="s">
        <v>83</v>
      </c>
      <c r="B25" s="170" t="s">
        <v>14</v>
      </c>
      <c r="C25" s="573">
        <f>'[67]Sch C'!D10</f>
        <v>0</v>
      </c>
      <c r="D25" s="573">
        <f>'[67]Sch C'!F10</f>
        <v>224387</v>
      </c>
      <c r="E25" s="171">
        <f t="shared" ref="E25:E60" si="4">C25+D25</f>
        <v>224387</v>
      </c>
      <c r="F25" s="171"/>
      <c r="G25" s="182">
        <f>E25+F25</f>
        <v>224387</v>
      </c>
      <c r="H25" s="172">
        <f>IF($G$208=0,0,G25/$G$208)</f>
        <v>1.0379382281466861E-2</v>
      </c>
      <c r="J25" s="183">
        <v>1143</v>
      </c>
      <c r="K25" s="183">
        <v>1201</v>
      </c>
      <c r="M25" s="359">
        <f>G25/G$228</f>
        <v>4.7964388012483434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573">
        <f>'[67]Sch C'!D11</f>
        <v>0</v>
      </c>
      <c r="D26" s="573">
        <f>'[67]Sch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573">
        <f>'[67]Sch C'!D12</f>
        <v>1161796</v>
      </c>
      <c r="D27" s="573">
        <f>'[67]Sch C'!F12</f>
        <v>-224387</v>
      </c>
      <c r="E27" s="171">
        <f t="shared" si="4"/>
        <v>937409</v>
      </c>
      <c r="F27" s="171"/>
      <c r="G27" s="171">
        <f t="shared" si="5"/>
        <v>937409</v>
      </c>
      <c r="H27" s="172">
        <f t="shared" si="6"/>
        <v>4.3361363916303394E-2</v>
      </c>
      <c r="J27" s="185">
        <v>29478</v>
      </c>
      <c r="K27" s="185">
        <v>32152</v>
      </c>
      <c r="M27" s="359">
        <f t="shared" si="7"/>
        <v>20.037813689025693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573">
        <f>'[67]Sch C'!D13</f>
        <v>187873</v>
      </c>
      <c r="D28" s="573">
        <f>'[67]Sch C'!F13</f>
        <v>0</v>
      </c>
      <c r="E28" s="171">
        <f t="shared" si="4"/>
        <v>187873</v>
      </c>
      <c r="F28" s="171"/>
      <c r="G28" s="171">
        <f t="shared" si="5"/>
        <v>187873</v>
      </c>
      <c r="H28" s="172">
        <f t="shared" si="6"/>
        <v>8.6903683696739273E-3</v>
      </c>
      <c r="J28" s="168"/>
      <c r="K28" s="168"/>
      <c r="M28" s="359">
        <f t="shared" si="7"/>
        <v>4.0159249283912617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573">
        <f>'[67]Sch C'!D14</f>
        <v>1027</v>
      </c>
      <c r="D29" s="573">
        <f>'[67]Sch C'!F14</f>
        <v>0</v>
      </c>
      <c r="E29" s="171">
        <f t="shared" si="4"/>
        <v>1027</v>
      </c>
      <c r="F29" s="171"/>
      <c r="G29" s="171">
        <f t="shared" si="5"/>
        <v>1027</v>
      </c>
      <c r="H29" s="172">
        <f t="shared" si="6"/>
        <v>4.7505539995928757E-5</v>
      </c>
      <c r="J29" s="168"/>
      <c r="K29" s="168"/>
      <c r="M29" s="359">
        <f t="shared" si="7"/>
        <v>2.1952887862853234E-2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573">
        <f>'[67]Sch C'!D15</f>
        <v>0</v>
      </c>
      <c r="D30" s="573">
        <f>'[67]Sch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J30" s="168"/>
      <c r="K30" s="168"/>
      <c r="M30" s="359">
        <f t="shared" si="7"/>
        <v>0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573">
        <f>'[67]Sch C'!D16</f>
        <v>0</v>
      </c>
      <c r="D31" s="573">
        <f>'[67]Sch C'!F16</f>
        <v>0</v>
      </c>
      <c r="E31" s="171">
        <f t="shared" si="4"/>
        <v>0</v>
      </c>
      <c r="F31" s="171"/>
      <c r="G31" s="171">
        <f t="shared" si="5"/>
        <v>0</v>
      </c>
      <c r="H31" s="172">
        <f t="shared" si="6"/>
        <v>0</v>
      </c>
      <c r="J31" s="168"/>
      <c r="K31" s="168"/>
      <c r="M31" s="359">
        <f t="shared" si="7"/>
        <v>0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573">
        <f>'[67]Sch C'!D17</f>
        <v>77770</v>
      </c>
      <c r="D32" s="573">
        <f>'[67]Sch C'!F17</f>
        <v>0</v>
      </c>
      <c r="E32" s="171">
        <f t="shared" si="4"/>
        <v>77770</v>
      </c>
      <c r="F32" s="171">
        <f>-5345-63625</f>
        <v>-68970</v>
      </c>
      <c r="G32" s="171">
        <f t="shared" si="5"/>
        <v>8800</v>
      </c>
      <c r="H32" s="172">
        <f t="shared" si="6"/>
        <v>4.0705818107514421E-4</v>
      </c>
      <c r="J32" s="168"/>
      <c r="K32" s="168"/>
      <c r="M32" s="359">
        <f t="shared" si="7"/>
        <v>0.18810653670215041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573">
        <f>'[67]Sch C'!D18</f>
        <v>70370</v>
      </c>
      <c r="D33" s="573">
        <f>'[67]Sch C'!F18</f>
        <v>0</v>
      </c>
      <c r="E33" s="171">
        <f t="shared" si="4"/>
        <v>70370</v>
      </c>
      <c r="F33" s="171"/>
      <c r="G33" s="171">
        <f t="shared" si="5"/>
        <v>70370</v>
      </c>
      <c r="H33" s="172">
        <f t="shared" si="6"/>
        <v>3.2550777502565794E-3</v>
      </c>
      <c r="J33" s="168"/>
      <c r="K33" s="168"/>
      <c r="M33" s="359">
        <f t="shared" si="7"/>
        <v>1.5042110213329913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573">
        <f>'[67]Sch C'!D19</f>
        <v>28609</v>
      </c>
      <c r="D34" s="573">
        <f>'[67]Sch C'!F19</f>
        <v>0</v>
      </c>
      <c r="E34" s="171">
        <f t="shared" si="4"/>
        <v>28609</v>
      </c>
      <c r="F34" s="171">
        <f>9310+386</f>
        <v>9696</v>
      </c>
      <c r="G34" s="171">
        <f t="shared" si="5"/>
        <v>38305</v>
      </c>
      <c r="H34" s="172">
        <f t="shared" si="6"/>
        <v>1.7718595029640226E-3</v>
      </c>
      <c r="J34" s="168"/>
      <c r="K34" s="168"/>
      <c r="M34" s="359">
        <f t="shared" si="7"/>
        <v>0.81879782822453084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573">
        <f>'[67]Sch C'!D20</f>
        <v>86262</v>
      </c>
      <c r="D35" s="573">
        <f>'[67]Sch C'!F20</f>
        <v>0</v>
      </c>
      <c r="E35" s="171">
        <f t="shared" si="4"/>
        <v>86262</v>
      </c>
      <c r="F35" s="171"/>
      <c r="G35" s="171">
        <f t="shared" si="5"/>
        <v>86262</v>
      </c>
      <c r="H35" s="172">
        <f t="shared" si="6"/>
        <v>3.990187819989101E-3</v>
      </c>
      <c r="J35" s="168"/>
      <c r="K35" s="168"/>
      <c r="M35" s="359">
        <f t="shared" si="7"/>
        <v>1.8439143260228292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573">
        <f>'[67]Sch C'!D21</f>
        <v>95478</v>
      </c>
      <c r="D36" s="573">
        <f>'[67]Sch C'!F21</f>
        <v>11020</v>
      </c>
      <c r="E36" s="171">
        <f t="shared" si="4"/>
        <v>106498</v>
      </c>
      <c r="F36" s="171">
        <v>-92593</v>
      </c>
      <c r="G36" s="171">
        <f t="shared" si="5"/>
        <v>13905</v>
      </c>
      <c r="H36" s="172">
        <f t="shared" si="6"/>
        <v>6.4319818271021359E-4</v>
      </c>
      <c r="J36" s="168"/>
      <c r="K36" s="168"/>
      <c r="M36" s="359">
        <f t="shared" si="7"/>
        <v>0.2972297037322047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573">
        <f>'[67]Sch C'!D22</f>
        <v>0</v>
      </c>
      <c r="D37" s="573">
        <f>'[67]Sch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573">
        <f>'[67]Sch C'!D23</f>
        <v>45254</v>
      </c>
      <c r="D38" s="573">
        <f>'[67]Sch C'!F23</f>
        <v>0</v>
      </c>
      <c r="E38" s="171">
        <f t="shared" si="4"/>
        <v>45254</v>
      </c>
      <c r="F38" s="171">
        <f>1324+13231+3945</f>
        <v>18500</v>
      </c>
      <c r="G38" s="171">
        <f t="shared" si="5"/>
        <v>63754</v>
      </c>
      <c r="H38" s="172">
        <f t="shared" si="6"/>
        <v>2.9490440086664483E-3</v>
      </c>
      <c r="J38" s="168"/>
      <c r="K38" s="168"/>
      <c r="M38" s="359">
        <f t="shared" si="7"/>
        <v>1.3627891069214655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573">
        <f>'[67]Sch C'!D24</f>
        <v>0</v>
      </c>
      <c r="D39" s="573">
        <f>'[67]Sch C'!F24</f>
        <v>0</v>
      </c>
      <c r="E39" s="171">
        <f t="shared" si="4"/>
        <v>0</v>
      </c>
      <c r="F39" s="171"/>
      <c r="G39" s="171">
        <f t="shared" si="5"/>
        <v>0</v>
      </c>
      <c r="H39" s="172">
        <f t="shared" si="6"/>
        <v>0</v>
      </c>
      <c r="J39" s="168"/>
      <c r="K39" s="168"/>
      <c r="M39" s="359">
        <f t="shared" si="7"/>
        <v>0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573">
        <f>'[67]Sch C'!D25</f>
        <v>0</v>
      </c>
      <c r="D40" s="573">
        <f>'[67]Sch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J40" s="168"/>
      <c r="K40" s="168"/>
      <c r="M40" s="359">
        <f t="shared" si="7"/>
        <v>0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573">
        <f>'[67]Sch C'!D26</f>
        <v>512597</v>
      </c>
      <c r="D41" s="573">
        <f>'[67]Sch C'!F26</f>
        <v>0</v>
      </c>
      <c r="E41" s="171">
        <f t="shared" si="4"/>
        <v>512597</v>
      </c>
      <c r="F41" s="171"/>
      <c r="G41" s="171">
        <f t="shared" si="5"/>
        <v>512597</v>
      </c>
      <c r="H41" s="172">
        <f t="shared" si="6"/>
        <v>2.3711000277792691E-2</v>
      </c>
      <c r="J41" s="168"/>
      <c r="K41" s="168"/>
      <c r="M41" s="359">
        <f t="shared" si="7"/>
        <v>10.957141635671839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573">
        <f>'[67]Sch C'!D27</f>
        <v>9614</v>
      </c>
      <c r="D42" s="573">
        <f>'[67]Sch C'!F27</f>
        <v>-3634</v>
      </c>
      <c r="E42" s="171">
        <f t="shared" si="4"/>
        <v>5980</v>
      </c>
      <c r="F42" s="171"/>
      <c r="G42" s="171">
        <f t="shared" si="5"/>
        <v>5980</v>
      </c>
      <c r="H42" s="172">
        <f t="shared" si="6"/>
        <v>2.7661453668515482E-4</v>
      </c>
      <c r="J42" s="168"/>
      <c r="K42" s="168"/>
      <c r="M42" s="359">
        <f t="shared" si="7"/>
        <v>0.12782694198623401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573">
        <f>'[67]Sch C'!D28</f>
        <v>0</v>
      </c>
      <c r="D43" s="573">
        <f>'[67]Sch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573">
        <f>'[67]Sch C'!D29</f>
        <v>184317</v>
      </c>
      <c r="D44" s="573">
        <f>'[67]Sch C'!F29</f>
        <v>-184317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573">
        <f>'[67]Sch C'!D30</f>
        <v>0</v>
      </c>
      <c r="D45" s="573">
        <f>'[67]Sch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573">
        <f>'[67]Sch C'!D31</f>
        <v>108763</v>
      </c>
      <c r="D46" s="573">
        <f>'[67]Sch C'!F31</f>
        <v>0</v>
      </c>
      <c r="E46" s="171">
        <f t="shared" si="4"/>
        <v>108763</v>
      </c>
      <c r="F46" s="171"/>
      <c r="G46" s="171">
        <f t="shared" si="5"/>
        <v>108763</v>
      </c>
      <c r="H46" s="172">
        <f t="shared" si="6"/>
        <v>5.0310078350313536E-3</v>
      </c>
      <c r="J46" s="168"/>
      <c r="K46" s="168"/>
      <c r="M46" s="359">
        <f t="shared" si="7"/>
        <v>2.3248899149245434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573">
        <f>'[67]Sch C'!D32</f>
        <v>105714</v>
      </c>
      <c r="D47" s="573">
        <f>'[67]Sch C'!F32</f>
        <v>0</v>
      </c>
      <c r="E47" s="171">
        <f t="shared" si="4"/>
        <v>105714</v>
      </c>
      <c r="F47" s="171"/>
      <c r="G47" s="171">
        <f t="shared" si="5"/>
        <v>105714</v>
      </c>
      <c r="H47" s="172">
        <f t="shared" si="6"/>
        <v>4.8899714266111127E-3</v>
      </c>
      <c r="J47" s="168"/>
      <c r="K47" s="168"/>
      <c r="M47" s="359">
        <f t="shared" si="7"/>
        <v>2.2597152751058101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573">
        <f>'[67]Sch C'!D33</f>
        <v>0</v>
      </c>
      <c r="D48" s="573">
        <f>'[67]Sch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573">
        <f>'[67]Sch C'!D34</f>
        <v>0</v>
      </c>
      <c r="D49" s="573">
        <f>'[67]Sch C'!F34</f>
        <v>0</v>
      </c>
      <c r="E49" s="171">
        <f t="shared" si="4"/>
        <v>0</v>
      </c>
      <c r="F49" s="171"/>
      <c r="G49" s="171">
        <f t="shared" si="5"/>
        <v>0</v>
      </c>
      <c r="H49" s="172">
        <f t="shared" si="6"/>
        <v>0</v>
      </c>
      <c r="J49" s="168"/>
      <c r="K49" s="168"/>
      <c r="M49" s="359">
        <f t="shared" si="7"/>
        <v>0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573">
        <f>'[67]Sch C'!D35</f>
        <v>0</v>
      </c>
      <c r="D50" s="573">
        <f>'[67]Sch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573">
        <f>'[67]Sch C'!D36</f>
        <v>121568</v>
      </c>
      <c r="D51" s="573">
        <f>'[67]Sch C'!F36</f>
        <v>0</v>
      </c>
      <c r="E51" s="171">
        <f t="shared" si="4"/>
        <v>121568</v>
      </c>
      <c r="F51" s="171"/>
      <c r="G51" s="171">
        <f t="shared" si="5"/>
        <v>121568</v>
      </c>
      <c r="H51" s="172">
        <f t="shared" si="6"/>
        <v>5.6233237451071743E-3</v>
      </c>
      <c r="J51" s="183">
        <v>6471</v>
      </c>
      <c r="K51" s="183">
        <v>6851</v>
      </c>
      <c r="M51" s="359">
        <f t="shared" si="7"/>
        <v>2.5986063015689793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573">
        <f>'[67]Sch C'!D37</f>
        <v>19659</v>
      </c>
      <c r="D52" s="573">
        <f>'[67]Sch C'!F37</f>
        <v>0</v>
      </c>
      <c r="E52" s="171">
        <f t="shared" si="4"/>
        <v>19659</v>
      </c>
      <c r="F52" s="171"/>
      <c r="G52" s="171">
        <f t="shared" si="5"/>
        <v>19659</v>
      </c>
      <c r="H52" s="172">
        <f t="shared" si="6"/>
        <v>9.0935872519957496E-4</v>
      </c>
      <c r="J52" s="168"/>
      <c r="K52" s="168"/>
      <c r="M52" s="359">
        <f t="shared" si="7"/>
        <v>0.42022572784404261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573">
        <f>'[67]Sch C'!D38</f>
        <v>0</v>
      </c>
      <c r="D53" s="573">
        <f>'[67]Sch C'!F38</f>
        <v>0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J53" s="168"/>
      <c r="K53" s="168"/>
      <c r="M53" s="359">
        <f t="shared" si="7"/>
        <v>0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573">
        <f>'[67]Sch C'!D39</f>
        <v>6322</v>
      </c>
      <c r="D54" s="573">
        <f>'[67]Sch C'!F39</f>
        <v>0</v>
      </c>
      <c r="E54" s="171">
        <f t="shared" si="4"/>
        <v>6322</v>
      </c>
      <c r="F54" s="171"/>
      <c r="G54" s="171">
        <f t="shared" si="5"/>
        <v>6322</v>
      </c>
      <c r="H54" s="172">
        <f t="shared" si="6"/>
        <v>2.9243429781330245E-4</v>
      </c>
      <c r="J54" s="168"/>
      <c r="K54" s="168"/>
      <c r="M54" s="359">
        <f t="shared" si="7"/>
        <v>0.13513744602624941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573">
        <f>'[67]Sch C'!D40</f>
        <v>0</v>
      </c>
      <c r="D55" s="573">
        <f>'[67]Sch C'!F40</f>
        <v>0</v>
      </c>
      <c r="E55" s="171">
        <f t="shared" si="4"/>
        <v>0</v>
      </c>
      <c r="F55" s="171"/>
      <c r="G55" s="171">
        <f t="shared" si="5"/>
        <v>0</v>
      </c>
      <c r="H55" s="172">
        <f t="shared" si="6"/>
        <v>0</v>
      </c>
      <c r="J55" s="168"/>
      <c r="K55" s="168"/>
      <c r="M55" s="359">
        <f t="shared" si="7"/>
        <v>0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573">
        <f>'[67]Sch C'!D41</f>
        <v>71451</v>
      </c>
      <c r="D56" s="573">
        <f>'[67]Sch C'!F41</f>
        <v>0</v>
      </c>
      <c r="E56" s="171">
        <f t="shared" si="4"/>
        <v>71451</v>
      </c>
      <c r="F56" s="171">
        <v>5345</v>
      </c>
      <c r="G56" s="171">
        <f t="shared" si="5"/>
        <v>76796</v>
      </c>
      <c r="H56" s="172">
        <f t="shared" si="6"/>
        <v>3.5523227356644062E-3</v>
      </c>
      <c r="J56" s="168"/>
      <c r="K56" s="168"/>
      <c r="M56" s="359">
        <f t="shared" si="7"/>
        <v>1.6415715446111752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573">
        <f>'[67]Sch C'!D42</f>
        <v>22849</v>
      </c>
      <c r="D57" s="573">
        <f>'[67]Sch C'!F42</f>
        <v>0</v>
      </c>
      <c r="E57" s="171">
        <f t="shared" si="4"/>
        <v>22849</v>
      </c>
      <c r="F57" s="171"/>
      <c r="G57" s="171">
        <f t="shared" si="5"/>
        <v>22849</v>
      </c>
      <c r="H57" s="172">
        <f t="shared" si="6"/>
        <v>1.0569173158393147E-3</v>
      </c>
      <c r="J57" s="168"/>
      <c r="K57" s="168"/>
      <c r="M57" s="359">
        <f t="shared" si="7"/>
        <v>0.48841434739857209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573">
        <f>'[67]Sch C'!D43</f>
        <v>0</v>
      </c>
      <c r="D58" s="573">
        <f>'[67]Sch C'!F43</f>
        <v>0</v>
      </c>
      <c r="E58" s="171">
        <f t="shared" si="4"/>
        <v>0</v>
      </c>
      <c r="F58" s="171"/>
      <c r="G58" s="171">
        <f t="shared" si="5"/>
        <v>0</v>
      </c>
      <c r="H58" s="172">
        <f t="shared" si="6"/>
        <v>0</v>
      </c>
      <c r="J58" s="168"/>
      <c r="K58" s="168"/>
      <c r="M58" s="359">
        <f t="shared" si="7"/>
        <v>0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573">
        <f>'[67]Sch C'!D44</f>
        <v>0</v>
      </c>
      <c r="D59" s="573">
        <f>'[67]Sch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J59" s="168"/>
      <c r="K59" s="168"/>
      <c r="M59" s="359">
        <f t="shared" si="7"/>
        <v>0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573">
        <f>'[67]Sch C'!D45</f>
        <v>-87049</v>
      </c>
      <c r="D60" s="573">
        <f>'[67]Sch C'!F45</f>
        <v>119716</v>
      </c>
      <c r="E60" s="171">
        <f t="shared" si="4"/>
        <v>32667</v>
      </c>
      <c r="F60" s="171">
        <v>-131594.76999999999</v>
      </c>
      <c r="G60" s="171">
        <f t="shared" si="5"/>
        <v>-98927.76999999999</v>
      </c>
      <c r="H60" s="172">
        <f t="shared" si="6"/>
        <v>-4.5760634220477518E-3</v>
      </c>
      <c r="I60" s="522" t="s">
        <v>672</v>
      </c>
      <c r="J60" s="168"/>
      <c r="K60" s="168"/>
      <c r="M60" s="359">
        <f t="shared" si="7"/>
        <v>-2.1146545679962379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573">
        <f>SUM(C25:C60)</f>
        <v>2830244</v>
      </c>
      <c r="D61" s="573">
        <f>SUM(D25:D60)</f>
        <v>-57215</v>
      </c>
      <c r="E61" s="171">
        <f t="shared" ref="E61" si="8">SUM(E25:E60)</f>
        <v>2773029</v>
      </c>
      <c r="F61" s="171">
        <f>SUM(F25:F60)</f>
        <v>-259616.77</v>
      </c>
      <c r="G61" s="171">
        <f>SUM(G25:G60)</f>
        <v>2513412.23</v>
      </c>
      <c r="H61" s="186">
        <f t="shared" si="6"/>
        <v>0.11626193302679795</v>
      </c>
      <c r="J61" s="168"/>
      <c r="K61" s="168"/>
      <c r="M61" s="364">
        <f>G61/G$228</f>
        <v>53.726053396605529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573">
        <f>'[67]Sch C'!D57</f>
        <v>355200</v>
      </c>
      <c r="D64" s="573">
        <f>'[67]Sch C'!F57</f>
        <v>-355200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J64" s="190"/>
      <c r="K64" s="168"/>
      <c r="M64" s="359">
        <f t="shared" ref="M64:M79" si="12">G64/G$228</f>
        <v>0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573">
        <f>'[67]Sch C'!D58</f>
        <v>175766</v>
      </c>
      <c r="D65" s="573">
        <f>'[67]Sch C'!F58</f>
        <v>118749</v>
      </c>
      <c r="E65" s="171">
        <f t="shared" si="9"/>
        <v>294515</v>
      </c>
      <c r="F65" s="171"/>
      <c r="G65" s="171">
        <f t="shared" si="10"/>
        <v>294515</v>
      </c>
      <c r="H65" s="172">
        <f t="shared" si="11"/>
        <v>1.3623265931743874E-2</v>
      </c>
      <c r="J65" s="190"/>
      <c r="K65" s="168"/>
      <c r="M65" s="359">
        <f t="shared" si="12"/>
        <v>6.2954768928220259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573">
        <f>'[67]Sch C'!D59</f>
        <v>366215</v>
      </c>
      <c r="D66" s="573">
        <f>'[67]Sch C'!F59</f>
        <v>253055</v>
      </c>
      <c r="E66" s="171">
        <f t="shared" si="9"/>
        <v>619270</v>
      </c>
      <c r="F66" s="171"/>
      <c r="G66" s="171">
        <f t="shared" si="10"/>
        <v>619270</v>
      </c>
      <c r="H66" s="172">
        <f t="shared" si="11"/>
        <v>2.86453317948187E-2</v>
      </c>
      <c r="J66" s="190"/>
      <c r="K66" s="168"/>
      <c r="M66" s="359">
        <f t="shared" si="12"/>
        <v>13.237356248129622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573">
        <f>'[67]Sch C'!D60</f>
        <v>152</v>
      </c>
      <c r="D67" s="573">
        <f>'[67]Sch C'!F60</f>
        <v>0</v>
      </c>
      <c r="E67" s="171">
        <f t="shared" si="9"/>
        <v>152</v>
      </c>
      <c r="F67" s="171"/>
      <c r="G67" s="171">
        <f t="shared" si="10"/>
        <v>152</v>
      </c>
      <c r="H67" s="172">
        <f t="shared" si="11"/>
        <v>7.0310049458433998E-6</v>
      </c>
      <c r="J67" s="193"/>
      <c r="K67" s="168"/>
      <c r="M67" s="359">
        <f t="shared" si="12"/>
        <v>3.2491129066735069E-3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573">
        <f>'[67]Sch C'!D61</f>
        <v>39681</v>
      </c>
      <c r="D68" s="573">
        <f>'[67]Sch C'!F61</f>
        <v>9235</v>
      </c>
      <c r="E68" s="171">
        <f t="shared" si="9"/>
        <v>48916</v>
      </c>
      <c r="F68" s="171"/>
      <c r="G68" s="171">
        <f t="shared" si="10"/>
        <v>48916</v>
      </c>
      <c r="H68" s="172">
        <f t="shared" si="11"/>
        <v>2.2626884074399721E-3</v>
      </c>
      <c r="J68" s="193"/>
      <c r="K68" s="168"/>
      <c r="M68" s="359">
        <f t="shared" si="12"/>
        <v>1.0456158351502716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573">
        <f>'[67]Sch C'!D62</f>
        <v>0</v>
      </c>
      <c r="D69" s="573">
        <f>'[67]Sch C'!F62</f>
        <v>0</v>
      </c>
      <c r="E69" s="171">
        <f t="shared" si="9"/>
        <v>0</v>
      </c>
      <c r="F69" s="171"/>
      <c r="G69" s="171">
        <f t="shared" si="10"/>
        <v>0</v>
      </c>
      <c r="H69" s="172">
        <f t="shared" si="11"/>
        <v>0</v>
      </c>
      <c r="J69" s="195"/>
      <c r="K69" s="168"/>
      <c r="M69" s="359">
        <f t="shared" si="12"/>
        <v>0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573">
        <f>'[67]Sch C'!D63</f>
        <v>0</v>
      </c>
      <c r="D70" s="573">
        <f>'[67]Sch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573">
        <f>'[67]Sch C'!D64</f>
        <v>0</v>
      </c>
      <c r="D71" s="573">
        <f>'[67]Sch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573">
        <f>'[67]Sch C'!D65</f>
        <v>0</v>
      </c>
      <c r="D72" s="573">
        <f>'[67]Sch C'!F65</f>
        <v>0</v>
      </c>
      <c r="E72" s="171">
        <f t="shared" si="9"/>
        <v>0</v>
      </c>
      <c r="F72" s="171"/>
      <c r="G72" s="171">
        <f t="shared" si="10"/>
        <v>0</v>
      </c>
      <c r="H72" s="172">
        <f t="shared" si="11"/>
        <v>0</v>
      </c>
      <c r="J72" s="195"/>
      <c r="K72" s="168"/>
      <c r="M72" s="359">
        <f t="shared" si="12"/>
        <v>0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573">
        <f>'[67]Sch C'!D66</f>
        <v>59934</v>
      </c>
      <c r="D73" s="573">
        <f>'[67]Sch C'!F66</f>
        <v>0</v>
      </c>
      <c r="E73" s="171">
        <f t="shared" si="9"/>
        <v>59934</v>
      </c>
      <c r="F73" s="171"/>
      <c r="G73" s="171">
        <f t="shared" si="10"/>
        <v>59934</v>
      </c>
      <c r="H73" s="172">
        <f t="shared" si="11"/>
        <v>2.7723437527906467E-3</v>
      </c>
      <c r="J73" s="195"/>
      <c r="K73" s="168"/>
      <c r="M73" s="359">
        <f t="shared" si="12"/>
        <v>1.2811337693984866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573">
        <f>'[67]Sch C'!D67</f>
        <v>278444</v>
      </c>
      <c r="D74" s="573">
        <f>'[67]Sch C'!F67</f>
        <v>0</v>
      </c>
      <c r="E74" s="171">
        <f t="shared" si="9"/>
        <v>278444</v>
      </c>
      <c r="F74" s="171"/>
      <c r="G74" s="171">
        <f t="shared" si="10"/>
        <v>278444</v>
      </c>
      <c r="H74" s="172">
        <f t="shared" si="11"/>
        <v>1.2879875928555393E-2</v>
      </c>
      <c r="J74" s="195"/>
      <c r="K74" s="168"/>
      <c r="M74" s="359">
        <f t="shared" si="12"/>
        <v>5.9519473301697232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573">
        <f>'[67]Sch C'!D68</f>
        <v>0</v>
      </c>
      <c r="D75" s="573">
        <f>'[67]Sch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573">
        <f>'[67]Sch C'!D69</f>
        <v>0</v>
      </c>
      <c r="D76" s="573">
        <f>'[67]Sch C'!F69</f>
        <v>0</v>
      </c>
      <c r="E76" s="171">
        <f t="shared" si="9"/>
        <v>0</v>
      </c>
      <c r="F76" s="171"/>
      <c r="G76" s="171">
        <f t="shared" si="10"/>
        <v>0</v>
      </c>
      <c r="H76" s="172">
        <f t="shared" si="11"/>
        <v>0</v>
      </c>
      <c r="J76" s="195"/>
      <c r="K76" s="168"/>
      <c r="M76" s="359">
        <f t="shared" si="12"/>
        <v>0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573">
        <f>'[67]Sch C'!D70</f>
        <v>0</v>
      </c>
      <c r="D77" s="573">
        <f>'[67]Sch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573">
        <f>'[67]Sch C'!D71</f>
        <v>0</v>
      </c>
      <c r="D78" s="573">
        <f>'[67]Sch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573">
        <f>SUM(C64:C78)</f>
        <v>1275392</v>
      </c>
      <c r="D79" s="573">
        <f>SUM(D64:D78)</f>
        <v>25839</v>
      </c>
      <c r="E79" s="171">
        <f t="shared" ref="E79" si="13">SUM(E64:E78)</f>
        <v>1301231</v>
      </c>
      <c r="F79" s="171">
        <f>SUM(F64:F78)</f>
        <v>0</v>
      </c>
      <c r="G79" s="171">
        <f>SUM(G64:G78)</f>
        <v>1301231</v>
      </c>
      <c r="H79" s="172">
        <f t="shared" si="11"/>
        <v>6.0190536820294425E-2</v>
      </c>
      <c r="J79" s="195"/>
      <c r="K79" s="168"/>
      <c r="M79" s="359">
        <f t="shared" si="12"/>
        <v>27.814779188576804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573">
        <f>'[67]Sch C'!D75</f>
        <v>163932</v>
      </c>
      <c r="D82" s="573">
        <f>'[67]Sch C'!F75</f>
        <v>0</v>
      </c>
      <c r="E82" s="171">
        <f t="shared" ref="E82:E92" si="14">C82+D82</f>
        <v>163932</v>
      </c>
      <c r="F82" s="171"/>
      <c r="G82" s="171">
        <f t="shared" ref="G82:G92" si="15">E82+F82</f>
        <v>163932</v>
      </c>
      <c r="H82" s="172">
        <f t="shared" ref="H82:H93" si="16">IF($G$208=0,0,G82/$G$208)</f>
        <v>7.582938834092107E-3</v>
      </c>
      <c r="J82" s="183">
        <v>7498</v>
      </c>
      <c r="K82" s="183">
        <v>8485</v>
      </c>
      <c r="M82" s="359">
        <f t="shared" ref="M82:M92" si="17">G82/G$228</f>
        <v>3.5041682698473773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573">
        <f>'[67]Sch C'!D76</f>
        <v>26509</v>
      </c>
      <c r="D83" s="573">
        <f>'[67]Sch C'!F76</f>
        <v>0</v>
      </c>
      <c r="E83" s="171">
        <f t="shared" si="14"/>
        <v>26509</v>
      </c>
      <c r="F83" s="171"/>
      <c r="G83" s="171">
        <f t="shared" si="15"/>
        <v>26509</v>
      </c>
      <c r="H83" s="172">
        <f t="shared" si="16"/>
        <v>1.226216513877386E-3</v>
      </c>
      <c r="J83" s="168"/>
      <c r="K83" s="168"/>
      <c r="M83" s="359">
        <f t="shared" si="17"/>
        <v>0.56664956607242101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573">
        <f>'[67]Sch C'!D77</f>
        <v>70926</v>
      </c>
      <c r="D84" s="573">
        <f>'[67]Sch C'!F77</f>
        <v>0</v>
      </c>
      <c r="E84" s="171">
        <f t="shared" si="14"/>
        <v>70926</v>
      </c>
      <c r="F84" s="171"/>
      <c r="G84" s="171">
        <f t="shared" si="15"/>
        <v>70926</v>
      </c>
      <c r="H84" s="172">
        <f t="shared" si="16"/>
        <v>3.2807964262426908E-3</v>
      </c>
      <c r="J84" s="168"/>
      <c r="K84" s="168"/>
      <c r="M84" s="359">
        <f t="shared" si="17"/>
        <v>1.5160959343337181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573">
        <f>'[67]Sch C'!D78</f>
        <v>26872</v>
      </c>
      <c r="D85" s="573">
        <f>'[67]Sch C'!F78</f>
        <v>0</v>
      </c>
      <c r="E85" s="171">
        <f t="shared" si="14"/>
        <v>26872</v>
      </c>
      <c r="F85" s="171">
        <v>186985</v>
      </c>
      <c r="G85" s="171">
        <f t="shared" si="15"/>
        <v>213857</v>
      </c>
      <c r="H85" s="172">
        <f t="shared" si="16"/>
        <v>9.8923001625212635E-3</v>
      </c>
      <c r="J85" s="168"/>
      <c r="K85" s="168"/>
      <c r="M85" s="359">
        <f t="shared" si="17"/>
        <v>4.5713522294899747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573">
        <f>'[67]Sch C'!D79</f>
        <v>33707</v>
      </c>
      <c r="D86" s="573">
        <f>'[67]Sch C'!F79</f>
        <v>0</v>
      </c>
      <c r="E86" s="171">
        <f t="shared" si="14"/>
        <v>33707</v>
      </c>
      <c r="F86" s="171"/>
      <c r="G86" s="171">
        <f>E86+F86</f>
        <v>33707</v>
      </c>
      <c r="H86" s="172">
        <f t="shared" si="16"/>
        <v>1.5591716033522597E-3</v>
      </c>
      <c r="J86" s="168"/>
      <c r="K86" s="168"/>
      <c r="M86" s="359">
        <f t="shared" si="17"/>
        <v>0.72051216279765717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573">
        <f>'[67]Sch C'!D80</f>
        <v>92088</v>
      </c>
      <c r="D87" s="573">
        <f>'[67]Sch C'!F80</f>
        <v>0</v>
      </c>
      <c r="E87" s="171">
        <f t="shared" si="14"/>
        <v>92088</v>
      </c>
      <c r="F87" s="171">
        <v>-3884</v>
      </c>
      <c r="G87" s="171">
        <f t="shared" si="15"/>
        <v>88204</v>
      </c>
      <c r="H87" s="172">
        <f t="shared" si="16"/>
        <v>4.0800181594945473E-3</v>
      </c>
      <c r="J87" s="168"/>
      <c r="K87" s="168"/>
      <c r="M87" s="359">
        <f t="shared" si="17"/>
        <v>1.8854260185541447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573">
        <f>'[67]Sch C'!D81</f>
        <v>30740</v>
      </c>
      <c r="D88" s="573">
        <f>'[67]Sch C'!F81</f>
        <v>5358</v>
      </c>
      <c r="E88" s="171">
        <f t="shared" si="14"/>
        <v>36098</v>
      </c>
      <c r="F88" s="171">
        <v>690</v>
      </c>
      <c r="G88" s="171">
        <f t="shared" si="15"/>
        <v>36788</v>
      </c>
      <c r="H88" s="172">
        <f t="shared" si="16"/>
        <v>1.7016882233400459E-3</v>
      </c>
      <c r="J88" s="168"/>
      <c r="K88" s="168"/>
      <c r="M88" s="359">
        <f t="shared" si="17"/>
        <v>0.78637082638621691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573">
        <f>'[67]Sch C'!D82</f>
        <v>97436</v>
      </c>
      <c r="D89" s="573">
        <f>'[67]Sch C'!F82</f>
        <v>0</v>
      </c>
      <c r="E89" s="171">
        <f t="shared" si="14"/>
        <v>97436</v>
      </c>
      <c r="F89" s="171"/>
      <c r="G89" s="171">
        <f t="shared" si="15"/>
        <v>97436</v>
      </c>
      <c r="H89" s="172">
        <f t="shared" si="16"/>
        <v>4.5070591967315624E-3</v>
      </c>
      <c r="J89" s="168"/>
      <c r="K89" s="168"/>
      <c r="M89" s="359">
        <f t="shared" si="17"/>
        <v>2.0827668761489462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573">
        <f>'[67]Sch C'!D83</f>
        <v>21448</v>
      </c>
      <c r="D90" s="573">
        <f>'[67]Sch C'!F83</f>
        <v>0</v>
      </c>
      <c r="E90" s="171">
        <f t="shared" si="14"/>
        <v>21448</v>
      </c>
      <c r="F90" s="171"/>
      <c r="G90" s="171">
        <f t="shared" si="15"/>
        <v>21448</v>
      </c>
      <c r="H90" s="172">
        <f t="shared" si="16"/>
        <v>9.921118031476924E-4</v>
      </c>
      <c r="J90" s="168"/>
      <c r="K90" s="168"/>
      <c r="M90" s="359">
        <f t="shared" si="17"/>
        <v>0.45846693172587749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573">
        <f>'[67]Sch C'!D84</f>
        <v>281396</v>
      </c>
      <c r="D91" s="573">
        <f>'[67]Sch C'!F84</f>
        <v>0</v>
      </c>
      <c r="E91" s="171">
        <f t="shared" si="14"/>
        <v>281396</v>
      </c>
      <c r="F91" s="171"/>
      <c r="G91" s="171">
        <f t="shared" si="15"/>
        <v>281396</v>
      </c>
      <c r="H91" s="172">
        <f t="shared" si="16"/>
        <v>1.3016425445661509E-2</v>
      </c>
      <c r="J91" s="168"/>
      <c r="K91" s="168"/>
      <c r="M91" s="359">
        <f t="shared" si="17"/>
        <v>6.0150485229361719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573">
        <f>'[67]Sch C'!D85</f>
        <v>11601</v>
      </c>
      <c r="D92" s="573">
        <f>'[67]Sch C'!F85</f>
        <v>0</v>
      </c>
      <c r="E92" s="171">
        <f t="shared" si="14"/>
        <v>11601</v>
      </c>
      <c r="F92" s="171">
        <v>-2014</v>
      </c>
      <c r="G92" s="171">
        <f t="shared" si="15"/>
        <v>9587</v>
      </c>
      <c r="H92" s="172">
        <f t="shared" si="16"/>
        <v>4.434621343144781E-4</v>
      </c>
      <c r="J92" s="168"/>
      <c r="K92" s="168"/>
      <c r="M92" s="359">
        <f t="shared" si="17"/>
        <v>0.20492924629130863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573">
        <f>SUM(C82:C92)</f>
        <v>856655</v>
      </c>
      <c r="D93" s="573">
        <f>SUM(D82:D92)</f>
        <v>5358</v>
      </c>
      <c r="E93" s="171">
        <f t="shared" ref="E93" si="18">SUM(E82:E92)</f>
        <v>862013</v>
      </c>
      <c r="F93" s="171">
        <f>SUM(F82:F92)</f>
        <v>181777</v>
      </c>
      <c r="G93" s="171">
        <f>SUM(G82:G92)</f>
        <v>1043790</v>
      </c>
      <c r="H93" s="172">
        <f t="shared" si="16"/>
        <v>4.828218850277554E-2</v>
      </c>
      <c r="J93" s="168"/>
      <c r="K93" s="168"/>
      <c r="M93" s="364">
        <f>G93/G$228</f>
        <v>22.311786584583814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573">
        <f>'[67]Sch C'!D89</f>
        <v>497660</v>
      </c>
      <c r="D96" s="573">
        <f>'[67]Sch C'!F89</f>
        <v>0</v>
      </c>
      <c r="E96" s="171">
        <f t="shared" ref="E96:E101" si="19">C96+D96</f>
        <v>497660</v>
      </c>
      <c r="F96" s="171"/>
      <c r="G96" s="171">
        <f t="shared" ref="G96:G101" si="20">E96+F96</f>
        <v>497660</v>
      </c>
      <c r="H96" s="172">
        <f t="shared" ref="H96:H102" si="21">IF($G$208=0,0,G96/$G$208)</f>
        <v>2.3020065272029121E-2</v>
      </c>
      <c r="J96" s="183">
        <v>43361</v>
      </c>
      <c r="K96" s="183">
        <v>45489</v>
      </c>
      <c r="M96" s="364">
        <f t="shared" ref="M96:M101" si="22">G96/G$228</f>
        <v>10.637852165362746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573">
        <f>'[67]Sch C'!D90</f>
        <v>80476</v>
      </c>
      <c r="D97" s="573">
        <f>'[67]Sch C'!F90</f>
        <v>0</v>
      </c>
      <c r="E97" s="171">
        <f t="shared" si="19"/>
        <v>80476</v>
      </c>
      <c r="F97" s="171"/>
      <c r="G97" s="171">
        <f t="shared" si="20"/>
        <v>80476</v>
      </c>
      <c r="H97" s="172">
        <f t="shared" si="21"/>
        <v>3.7225470659321938E-3</v>
      </c>
      <c r="J97" s="168"/>
      <c r="K97" s="168"/>
      <c r="M97" s="364">
        <f t="shared" si="22"/>
        <v>1.7202342781411655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573">
        <f>'[67]Sch C'!D91</f>
        <v>0</v>
      </c>
      <c r="D98" s="573">
        <f>'[67]Sch C'!F91</f>
        <v>0</v>
      </c>
      <c r="E98" s="171">
        <f t="shared" si="19"/>
        <v>0</v>
      </c>
      <c r="F98" s="171"/>
      <c r="G98" s="171">
        <f t="shared" si="20"/>
        <v>0</v>
      </c>
      <c r="H98" s="172">
        <f t="shared" si="21"/>
        <v>0</v>
      </c>
      <c r="J98" s="168"/>
      <c r="K98" s="168"/>
      <c r="M98" s="364">
        <f t="shared" si="22"/>
        <v>0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573">
        <f>'[67]Sch C'!D92</f>
        <v>463388</v>
      </c>
      <c r="D99" s="573">
        <f>'[67]Sch C'!F92</f>
        <v>-83765</v>
      </c>
      <c r="E99" s="171">
        <f t="shared" si="19"/>
        <v>379623</v>
      </c>
      <c r="F99" s="171"/>
      <c r="G99" s="171">
        <f t="shared" si="20"/>
        <v>379623</v>
      </c>
      <c r="H99" s="172">
        <f t="shared" si="21"/>
        <v>1.756007362207835E-2</v>
      </c>
      <c r="J99" s="168"/>
      <c r="K99" s="168"/>
      <c r="M99" s="364">
        <f t="shared" si="22"/>
        <v>8.1147236116455055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573">
        <f>'[67]Sch C'!D93</f>
        <v>52446</v>
      </c>
      <c r="D100" s="573">
        <f>'[67]Sch C'!F93</f>
        <v>0</v>
      </c>
      <c r="E100" s="171">
        <f t="shared" si="19"/>
        <v>52446</v>
      </c>
      <c r="F100" s="171"/>
      <c r="G100" s="171">
        <f t="shared" si="20"/>
        <v>52446</v>
      </c>
      <c r="H100" s="172">
        <f t="shared" si="21"/>
        <v>2.4259742459848879E-3</v>
      </c>
      <c r="J100" s="168"/>
      <c r="K100" s="168"/>
      <c r="M100" s="364">
        <f t="shared" si="22"/>
        <v>1.1210722072592023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573">
        <f>'[67]Sch C'!D94</f>
        <v>0</v>
      </c>
      <c r="D101" s="573">
        <f>'[67]Sch C'!F94</f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J101" s="168"/>
      <c r="K101" s="168"/>
      <c r="M101" s="364">
        <f t="shared" si="22"/>
        <v>0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573">
        <f>SUM(C96:C101)</f>
        <v>1093970</v>
      </c>
      <c r="D102" s="573">
        <f>SUM(D96:D101)</f>
        <v>-83765</v>
      </c>
      <c r="E102" s="171">
        <f t="shared" ref="E102" si="23">SUM(E96:E101)</f>
        <v>1010205</v>
      </c>
      <c r="F102" s="171">
        <f>SUM(F96:F101)</f>
        <v>0</v>
      </c>
      <c r="G102" s="171">
        <f>SUM(G96:G101)</f>
        <v>1010205</v>
      </c>
      <c r="H102" s="172">
        <f t="shared" si="21"/>
        <v>4.672866020602455E-2</v>
      </c>
      <c r="J102" s="168"/>
      <c r="K102" s="168"/>
      <c r="M102" s="364">
        <f>G102/G$228</f>
        <v>21.59388226240862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573">
        <f>'[67]Sch C'!D98</f>
        <v>104670</v>
      </c>
      <c r="D105" s="573">
        <f>'[67]Sch C'!F98</f>
        <v>0</v>
      </c>
      <c r="E105" s="171">
        <f t="shared" ref="E105:E110" si="24">C105+D105</f>
        <v>104670</v>
      </c>
      <c r="F105" s="171"/>
      <c r="G105" s="171">
        <f t="shared" ref="G105:G110" si="25">E105+F105</f>
        <v>104670</v>
      </c>
      <c r="H105" s="172">
        <f t="shared" ref="H105:H111" si="26">IF($G$208=0,0,G105/$G$208)</f>
        <v>4.8416795242199251E-3</v>
      </c>
      <c r="J105" s="183">
        <v>9285</v>
      </c>
      <c r="K105" s="183">
        <v>10137</v>
      </c>
      <c r="M105" s="364">
        <f t="shared" ref="M105:M110" si="27">G105/G$228</f>
        <v>2.2373989996152366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573">
        <f>'[67]Sch C'!D99</f>
        <v>16926</v>
      </c>
      <c r="D106" s="573">
        <f>'[67]Sch C'!F99</f>
        <v>0</v>
      </c>
      <c r="E106" s="171">
        <f t="shared" si="24"/>
        <v>16926</v>
      </c>
      <c r="F106" s="171"/>
      <c r="G106" s="171">
        <f t="shared" si="25"/>
        <v>16926</v>
      </c>
      <c r="H106" s="172">
        <f t="shared" si="26"/>
        <v>7.8293940600885118E-4</v>
      </c>
      <c r="J106" s="168"/>
      <c r="K106" s="168"/>
      <c r="M106" s="364">
        <f t="shared" si="27"/>
        <v>0.36180582275234063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573">
        <f>'[67]Sch C'!D100</f>
        <v>14198</v>
      </c>
      <c r="D107" s="573">
        <f>'[67]Sch C'!F100</f>
        <v>0</v>
      </c>
      <c r="E107" s="171">
        <f t="shared" si="24"/>
        <v>14198</v>
      </c>
      <c r="F107" s="171"/>
      <c r="G107" s="171">
        <f t="shared" si="25"/>
        <v>14198</v>
      </c>
      <c r="H107" s="172">
        <f t="shared" si="26"/>
        <v>6.5675136987555652E-4</v>
      </c>
      <c r="J107" s="168"/>
      <c r="K107" s="168"/>
      <c r="M107" s="364">
        <f t="shared" si="27"/>
        <v>0.30349279637467402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573">
        <f>'[67]Sch C'!D101</f>
        <v>0</v>
      </c>
      <c r="D108" s="573">
        <f>'[67]Sch C'!F101</f>
        <v>0</v>
      </c>
      <c r="E108" s="171">
        <f t="shared" si="24"/>
        <v>0</v>
      </c>
      <c r="F108" s="171"/>
      <c r="G108" s="171">
        <f t="shared" si="25"/>
        <v>0</v>
      </c>
      <c r="H108" s="172">
        <f t="shared" si="26"/>
        <v>0</v>
      </c>
      <c r="J108" s="168"/>
      <c r="K108" s="168"/>
      <c r="M108" s="364">
        <f t="shared" si="27"/>
        <v>0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573">
        <f>'[67]Sch C'!D102</f>
        <v>19298</v>
      </c>
      <c r="D109" s="573">
        <f>'[67]Sch C'!F102</f>
        <v>0</v>
      </c>
      <c r="E109" s="171">
        <f t="shared" si="24"/>
        <v>19298</v>
      </c>
      <c r="F109" s="171"/>
      <c r="G109" s="171">
        <f t="shared" si="25"/>
        <v>19298</v>
      </c>
      <c r="H109" s="172">
        <f t="shared" si="26"/>
        <v>8.926600884531969E-4</v>
      </c>
      <c r="J109" s="168"/>
      <c r="K109" s="168"/>
      <c r="M109" s="364">
        <f t="shared" si="27"/>
        <v>0.41250908469069303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573">
        <f>'[67]Sch C'!D103</f>
        <v>0</v>
      </c>
      <c r="D110" s="573">
        <f>'[67]Sch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J110" s="168"/>
      <c r="K110" s="168"/>
      <c r="M110" s="364">
        <f t="shared" si="27"/>
        <v>0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573">
        <f>SUM(C105:C110)</f>
        <v>155092</v>
      </c>
      <c r="D111" s="573">
        <f>SUM(D105:D110)</f>
        <v>0</v>
      </c>
      <c r="E111" s="171">
        <f t="shared" ref="E111" si="28">SUM(E105:E110)</f>
        <v>155092</v>
      </c>
      <c r="F111" s="171">
        <f>SUM(F105:F110)</f>
        <v>0</v>
      </c>
      <c r="G111" s="171">
        <f>SUM(G105:G110)</f>
        <v>155092</v>
      </c>
      <c r="H111" s="172">
        <f t="shared" si="26"/>
        <v>7.1740303885575304E-3</v>
      </c>
      <c r="J111" s="168"/>
      <c r="K111" s="168"/>
      <c r="M111" s="364">
        <f>G111/G$228</f>
        <v>3.3152067034329442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573">
        <f>'[67]Sch C'!D115</f>
        <v>285648</v>
      </c>
      <c r="D114" s="573">
        <f>'[67]Sch C'!F115</f>
        <v>0</v>
      </c>
      <c r="E114" s="171">
        <f t="shared" ref="E114:E118" si="29">C114+D114</f>
        <v>285648</v>
      </c>
      <c r="F114" s="171"/>
      <c r="G114" s="171">
        <f>E114+F114</f>
        <v>285648</v>
      </c>
      <c r="H114" s="172">
        <f t="shared" ref="H114:H119" si="30">IF($G$208=0,0,G114/$G$208)</f>
        <v>1.3213108557699181E-2</v>
      </c>
      <c r="J114" s="183">
        <v>29117</v>
      </c>
      <c r="K114" s="183">
        <v>30858</v>
      </c>
      <c r="M114" s="364">
        <f t="shared" ref="M114:M119" si="31">G114/G$228</f>
        <v>6.1059381813518021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573">
        <f>'[67]Sch C'!D116</f>
        <v>46192</v>
      </c>
      <c r="D115" s="573">
        <f>'[67]Sch C'!F116</f>
        <v>0</v>
      </c>
      <c r="E115" s="171">
        <f t="shared" si="29"/>
        <v>46192</v>
      </c>
      <c r="F115" s="171"/>
      <c r="G115" s="171">
        <f>E115+F115</f>
        <v>46192</v>
      </c>
      <c r="H115" s="172">
        <f t="shared" si="30"/>
        <v>2.1366853977526205E-3</v>
      </c>
      <c r="J115" s="168"/>
      <c r="K115" s="168"/>
      <c r="M115" s="364">
        <f t="shared" si="31"/>
        <v>0.98738831174383312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573">
        <f>'[67]Sch C'!D117</f>
        <v>92511</v>
      </c>
      <c r="D116" s="573">
        <f>'[67]Sch C'!F117</f>
        <v>0</v>
      </c>
      <c r="E116" s="171">
        <f t="shared" si="29"/>
        <v>92511</v>
      </c>
      <c r="F116" s="171"/>
      <c r="G116" s="171">
        <f>E116+F116</f>
        <v>92511</v>
      </c>
      <c r="H116" s="172">
        <f t="shared" si="30"/>
        <v>4.279245385163939E-3</v>
      </c>
      <c r="J116" s="168"/>
      <c r="K116" s="168"/>
      <c r="M116" s="364">
        <f t="shared" si="31"/>
        <v>1.9774913428241632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573">
        <f>'[67]Sch C'!D118</f>
        <v>7712</v>
      </c>
      <c r="D117" s="573">
        <f>'[67]Sch C'!F118</f>
        <v>0</v>
      </c>
      <c r="E117" s="171">
        <f t="shared" si="29"/>
        <v>7712</v>
      </c>
      <c r="F117" s="171"/>
      <c r="G117" s="171">
        <f>E117+F117</f>
        <v>7712</v>
      </c>
      <c r="H117" s="172">
        <f t="shared" si="30"/>
        <v>3.5673098777858092E-4</v>
      </c>
      <c r="J117" s="168"/>
      <c r="K117" s="168"/>
      <c r="M117" s="364">
        <f t="shared" si="31"/>
        <v>0.16484972852806634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573">
        <f>'[67]Sch C'!D119</f>
        <v>0</v>
      </c>
      <c r="D118" s="573">
        <f>'[67]Sch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J118" s="168"/>
      <c r="K118" s="168"/>
      <c r="M118" s="364">
        <f t="shared" si="31"/>
        <v>0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573">
        <f>SUM(C114:C118)</f>
        <v>432063</v>
      </c>
      <c r="D119" s="573">
        <f>SUM(D114:D118)</f>
        <v>0</v>
      </c>
      <c r="E119" s="171">
        <f t="shared" ref="E119" si="32">SUM(E114:E118)</f>
        <v>432063</v>
      </c>
      <c r="F119" s="171">
        <f>SUM(F114:F118)</f>
        <v>0</v>
      </c>
      <c r="G119" s="171">
        <f>SUM(G114:G118)</f>
        <v>432063</v>
      </c>
      <c r="H119" s="172">
        <f t="shared" si="30"/>
        <v>1.9985770328394322E-2</v>
      </c>
      <c r="J119" s="168"/>
      <c r="K119" s="168"/>
      <c r="M119" s="364">
        <f t="shared" si="31"/>
        <v>9.2356675644478639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J122" s="204"/>
      <c r="K122" s="204"/>
      <c r="M122" s="359"/>
      <c r="N122" s="359"/>
    </row>
    <row r="123" spans="1:14" s="167" customFormat="1">
      <c r="B123" s="163" t="s">
        <v>232</v>
      </c>
      <c r="C123" s="573">
        <f>'[67]Sch C'!D124</f>
        <v>0</v>
      </c>
      <c r="D123" s="573">
        <f>'[67]Sch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0.77002560279620991</v>
      </c>
    </row>
    <row r="124" spans="1:14" s="167" customFormat="1">
      <c r="B124" s="163" t="s">
        <v>194</v>
      </c>
      <c r="C124" s="573">
        <f>'[67]Sch C'!D125</f>
        <v>727755</v>
      </c>
      <c r="D124" s="573">
        <f>'[67]Sch C'!F125</f>
        <v>0</v>
      </c>
      <c r="E124" s="171">
        <f t="shared" si="33"/>
        <v>727755</v>
      </c>
      <c r="F124" s="171"/>
      <c r="G124" s="171">
        <f>E124+F124</f>
        <v>727755</v>
      </c>
      <c r="H124" s="172">
        <f>IF($G$208=0,0,G124/$G$208)</f>
        <v>3.3663480291856999E-2</v>
      </c>
      <c r="J124" s="183">
        <v>16503</v>
      </c>
      <c r="K124" s="183">
        <v>18416</v>
      </c>
      <c r="M124" s="364">
        <f t="shared" si="34"/>
        <v>15.556303706553802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573">
        <f>'[67]Sch C'!D126</f>
        <v>0</v>
      </c>
      <c r="D125" s="573">
        <f>'[67]Sch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J125" s="183">
        <v>0</v>
      </c>
      <c r="K125" s="183">
        <v>0</v>
      </c>
      <c r="M125" s="364">
        <f t="shared" si="34"/>
        <v>0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573">
        <f>'[67]Sch C'!D127</f>
        <v>0</v>
      </c>
      <c r="D126" s="573">
        <f>'[67]Sch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573">
        <f>'[67]Sch C'!D128</f>
        <v>539049</v>
      </c>
      <c r="D127" s="573">
        <f>'[67]Sch C'!F128</f>
        <v>0</v>
      </c>
      <c r="E127" s="171">
        <f t="shared" si="33"/>
        <v>539049</v>
      </c>
      <c r="F127" s="171"/>
      <c r="G127" s="171">
        <f>E127+F127</f>
        <v>539049</v>
      </c>
      <c r="H127" s="172">
        <f>IF($G$208=0,0,G127/$G$208)</f>
        <v>2.4934580164815388E-2</v>
      </c>
      <c r="J127" s="183">
        <v>35638</v>
      </c>
      <c r="K127" s="183">
        <v>38534</v>
      </c>
      <c r="M127" s="364">
        <f t="shared" si="34"/>
        <v>11.522572784404257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205"/>
      <c r="G128" s="205"/>
      <c r="H128" s="206"/>
      <c r="I128" s="407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573">
        <f>'[67]Sch C'!D130</f>
        <v>0</v>
      </c>
      <c r="D129" s="573">
        <f>'[67]Sch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J129" s="204"/>
      <c r="K129" s="204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573">
        <f>'[67]Sch C'!D131</f>
        <v>117685</v>
      </c>
      <c r="D130" s="573">
        <f>'[67]Sch C'!F131</f>
        <v>0</v>
      </c>
      <c r="E130" s="171">
        <f t="shared" si="35"/>
        <v>117685</v>
      </c>
      <c r="F130" s="171"/>
      <c r="G130" s="171">
        <f>E130+F130</f>
        <v>117685</v>
      </c>
      <c r="H130" s="172">
        <f>IF($G$208=0,0,G130/$G$208)</f>
        <v>5.4437093227077665E-3</v>
      </c>
      <c r="J130" s="204"/>
      <c r="K130" s="204"/>
      <c r="M130" s="364">
        <f t="shared" si="34"/>
        <v>2.5156042922491557</v>
      </c>
      <c r="N130" s="359">
        <f>SUMMARY!J133</f>
        <v>1.0792348507966931</v>
      </c>
    </row>
    <row r="131" spans="1:14" s="167" customFormat="1">
      <c r="B131" s="163" t="s">
        <v>195</v>
      </c>
      <c r="C131" s="573">
        <f>'[67]Sch C'!D132</f>
        <v>0</v>
      </c>
      <c r="D131" s="573">
        <f>'[67]Sch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J131" s="168"/>
      <c r="K131" s="168"/>
      <c r="M131" s="364">
        <f t="shared" si="34"/>
        <v>0</v>
      </c>
      <c r="N131" s="359">
        <f>SUMMARY!J134</f>
        <v>8.2765628075518377E-2</v>
      </c>
    </row>
    <row r="132" spans="1:14" s="167" customFormat="1">
      <c r="B132" s="163" t="s">
        <v>196</v>
      </c>
      <c r="C132" s="573">
        <f>'[67]Sch C'!D133</f>
        <v>0</v>
      </c>
      <c r="D132" s="573">
        <f>'[67]Sch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573">
        <f>'[67]Sch C'!D134</f>
        <v>87169</v>
      </c>
      <c r="D133" s="573">
        <f>'[67]Sch C'!F134</f>
        <v>0</v>
      </c>
      <c r="E133" s="171">
        <f t="shared" si="35"/>
        <v>87169</v>
      </c>
      <c r="F133" s="171"/>
      <c r="G133" s="171">
        <f>E133+F133</f>
        <v>87169</v>
      </c>
      <c r="H133" s="172">
        <f>IF($G$208=0,0,G133/$G$208)</f>
        <v>4.0321425666067327E-3</v>
      </c>
      <c r="J133" s="168"/>
      <c r="K133" s="168"/>
      <c r="M133" s="364">
        <f t="shared" si="34"/>
        <v>1.8633021247488351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08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573">
        <f>'[67]Sch C'!D136</f>
        <v>2879089</v>
      </c>
      <c r="D135" s="573">
        <f>'[67]Sch C'!F136</f>
        <v>0</v>
      </c>
      <c r="E135" s="171">
        <f t="shared" ref="E135:E138" si="36">C135+D135</f>
        <v>2879089</v>
      </c>
      <c r="F135" s="171"/>
      <c r="G135" s="171">
        <f>E135+F135</f>
        <v>2879089</v>
      </c>
      <c r="H135" s="172">
        <f>IF($G$208=0,0,G135/$G$208)</f>
        <v>0.13317690130607451</v>
      </c>
      <c r="J135" s="183">
        <v>92537</v>
      </c>
      <c r="K135" s="183">
        <v>100229</v>
      </c>
      <c r="M135" s="364">
        <f t="shared" si="34"/>
        <v>61.542665982642895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573">
        <f>'[67]Sch C'!D137</f>
        <v>485014</v>
      </c>
      <c r="D136" s="573">
        <f>'[67]Sch C'!F137</f>
        <v>0</v>
      </c>
      <c r="E136" s="171">
        <f t="shared" si="36"/>
        <v>485014</v>
      </c>
      <c r="F136" s="171"/>
      <c r="G136" s="171">
        <f>E136+F136</f>
        <v>485014</v>
      </c>
      <c r="H136" s="172">
        <f>IF($G$208=0,0,G136/$G$208)</f>
        <v>2.2435104163179544E-2</v>
      </c>
      <c r="J136" s="183">
        <v>21109</v>
      </c>
      <c r="K136" s="183">
        <v>22021</v>
      </c>
      <c r="M136" s="364">
        <f t="shared" si="34"/>
        <v>10.367534521824634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573">
        <f>'[67]Sch C'!D138</f>
        <v>1989136</v>
      </c>
      <c r="D137" s="573">
        <f>'[67]Sch C'!F138</f>
        <v>0</v>
      </c>
      <c r="E137" s="171">
        <f t="shared" si="36"/>
        <v>1989136</v>
      </c>
      <c r="F137" s="171"/>
      <c r="G137" s="171">
        <f>E137+F137</f>
        <v>1989136</v>
      </c>
      <c r="H137" s="172">
        <f>IF($G$208=0,0,G137/$G$208)</f>
        <v>9.2010691144441825E-2</v>
      </c>
      <c r="J137" s="183">
        <v>155862</v>
      </c>
      <c r="K137" s="183">
        <v>163838</v>
      </c>
      <c r="M137" s="364">
        <f t="shared" si="34"/>
        <v>42.519259544269161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573">
        <f>'[67]Sch C'!D139</f>
        <v>1651292</v>
      </c>
      <c r="D138" s="573">
        <f>'[67]Sch C'!F139</f>
        <v>0</v>
      </c>
      <c r="E138" s="171">
        <f t="shared" si="36"/>
        <v>1651292</v>
      </c>
      <c r="F138" s="171"/>
      <c r="G138" s="171">
        <f>E138+F138</f>
        <v>1651292</v>
      </c>
      <c r="H138" s="172">
        <f>IF($G$208=0,0,G138/$G$208)</f>
        <v>7.6383172493629206E-2</v>
      </c>
      <c r="J138" s="183">
        <v>59694</v>
      </c>
      <c r="K138" s="183">
        <v>65158</v>
      </c>
      <c r="M138" s="364">
        <f t="shared" si="34"/>
        <v>35.297593091359921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08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573">
        <f>'[67]Sch C'!D141</f>
        <v>465576</v>
      </c>
      <c r="D140" s="573">
        <f>'[67]Sch C'!F141</f>
        <v>0</v>
      </c>
      <c r="E140" s="171">
        <f t="shared" ref="E140:E143" si="37">C140+D140</f>
        <v>465576</v>
      </c>
      <c r="F140" s="171"/>
      <c r="G140" s="171">
        <f>E140+F140</f>
        <v>465576</v>
      </c>
      <c r="H140" s="172">
        <f>IF($G$208=0,0,G140/$G$208)</f>
        <v>2.1535968149118335E-2</v>
      </c>
      <c r="J140" s="168"/>
      <c r="K140" s="168"/>
      <c r="M140" s="364">
        <f t="shared" si="34"/>
        <v>9.9520328331409509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573">
        <f>'[67]Sch C'!D142</f>
        <v>78431</v>
      </c>
      <c r="D141" s="573">
        <f>'[67]Sch C'!F142</f>
        <v>0</v>
      </c>
      <c r="E141" s="171">
        <f t="shared" si="37"/>
        <v>78431</v>
      </c>
      <c r="F141" s="171"/>
      <c r="G141" s="171">
        <f>E141+F141</f>
        <v>78431</v>
      </c>
      <c r="H141" s="172">
        <f>IF($G$208=0,0,G141/$G$208)</f>
        <v>3.6279522954437084E-3</v>
      </c>
      <c r="J141" s="168"/>
      <c r="K141" s="168"/>
      <c r="M141" s="364">
        <f t="shared" si="34"/>
        <v>1.6765208841007224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573">
        <f>'[67]Sch C'!D143</f>
        <v>321662</v>
      </c>
      <c r="D142" s="573">
        <f>'[67]Sch C'!F143</f>
        <v>0</v>
      </c>
      <c r="E142" s="171">
        <f t="shared" si="37"/>
        <v>321662</v>
      </c>
      <c r="F142" s="171"/>
      <c r="G142" s="171">
        <f>E142+F142</f>
        <v>321662</v>
      </c>
      <c r="H142" s="172">
        <f>IF($G$208=0,0,G142/$G$208)</f>
        <v>1.4878994163749208E-2</v>
      </c>
      <c r="J142" s="168"/>
      <c r="K142" s="168"/>
      <c r="M142" s="364">
        <f t="shared" si="34"/>
        <v>6.8757641828053524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573">
        <f>'[67]Sch C'!D144</f>
        <v>267030</v>
      </c>
      <c r="D143" s="573">
        <f>'[67]Sch C'!F144</f>
        <v>0</v>
      </c>
      <c r="E143" s="171">
        <f t="shared" si="37"/>
        <v>267030</v>
      </c>
      <c r="F143" s="171"/>
      <c r="G143" s="171">
        <f>E143+F143</f>
        <v>267030</v>
      </c>
      <c r="H143" s="172">
        <f>IF($G$208=0,0,G143/$G$208)</f>
        <v>1.2351902965056337E-2</v>
      </c>
      <c r="J143" s="168"/>
      <c r="K143" s="168"/>
      <c r="M143" s="364">
        <f t="shared" si="34"/>
        <v>5.7079646017699117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08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573">
        <f>'[67]Sch C'!D146</f>
        <v>80453</v>
      </c>
      <c r="D145" s="573">
        <f>'[67]Sch C'!F146</f>
        <v>0</v>
      </c>
      <c r="E145" s="171">
        <f t="shared" ref="E145:E153" si="38">C145+D145</f>
        <v>80453</v>
      </c>
      <c r="F145" s="171"/>
      <c r="G145" s="171">
        <f t="shared" ref="G145:G153" si="39">E145+F145</f>
        <v>80453</v>
      </c>
      <c r="H145" s="172">
        <f t="shared" ref="H145:H153" si="40">IF($G$208=0,0,G145/$G$208)</f>
        <v>3.7214831638680201E-3</v>
      </c>
      <c r="J145" s="183">
        <v>0</v>
      </c>
      <c r="K145" s="183">
        <v>0</v>
      </c>
      <c r="M145" s="364">
        <f t="shared" si="34"/>
        <v>1.719742636056603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573">
        <f>'[67]Sch C'!D147</f>
        <v>45432</v>
      </c>
      <c r="D146" s="573">
        <f>'[67]Sch C'!F147</f>
        <v>0</v>
      </c>
      <c r="E146" s="171">
        <f t="shared" si="38"/>
        <v>45432</v>
      </c>
      <c r="F146" s="171"/>
      <c r="G146" s="171">
        <f t="shared" si="39"/>
        <v>45432</v>
      </c>
      <c r="H146" s="172">
        <f t="shared" si="40"/>
        <v>2.1015303730234037E-3</v>
      </c>
      <c r="J146" s="183">
        <v>0</v>
      </c>
      <c r="K146" s="183">
        <v>0</v>
      </c>
      <c r="M146" s="364">
        <f t="shared" si="34"/>
        <v>0.97114274721046556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573">
        <f>'[67]Sch C'!D148</f>
        <v>0</v>
      </c>
      <c r="D147" s="573">
        <f>'[67]Sch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573">
        <f>'[67]Sch C'!D149</f>
        <v>0</v>
      </c>
      <c r="D148" s="573">
        <f>'[67]Sch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J148" s="183">
        <v>0</v>
      </c>
      <c r="K148" s="183">
        <v>0</v>
      </c>
      <c r="M148" s="364">
        <f t="shared" si="34"/>
        <v>0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573">
        <f>'[67]Sch C'!D150</f>
        <v>27549</v>
      </c>
      <c r="D149" s="573">
        <f>'[67]Sch C'!F150</f>
        <v>0</v>
      </c>
      <c r="E149" s="171">
        <f t="shared" si="38"/>
        <v>27549</v>
      </c>
      <c r="F149" s="171"/>
      <c r="G149" s="171">
        <f t="shared" si="39"/>
        <v>27549</v>
      </c>
      <c r="H149" s="172">
        <f t="shared" si="40"/>
        <v>1.2743233898226305E-3</v>
      </c>
      <c r="J149" s="183">
        <v>0</v>
      </c>
      <c r="K149" s="183">
        <v>0</v>
      </c>
      <c r="M149" s="364">
        <f t="shared" si="34"/>
        <v>0.58888033859176603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573">
        <f>'[67]Sch C'!D151</f>
        <v>1476910</v>
      </c>
      <c r="D150" s="573">
        <f>'[67]Sch C'!F151</f>
        <v>0</v>
      </c>
      <c r="E150" s="171">
        <f t="shared" si="38"/>
        <v>1476910</v>
      </c>
      <c r="F150" s="171"/>
      <c r="G150" s="171">
        <f t="shared" si="39"/>
        <v>1476910</v>
      </c>
      <c r="H150" s="172">
        <f t="shared" si="40"/>
        <v>6.8316852069510367E-2</v>
      </c>
      <c r="J150" s="168"/>
      <c r="K150" s="168"/>
      <c r="M150" s="364">
        <f t="shared" si="34"/>
        <v>31.570048309178745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573">
        <f>'[67]Sch C'!D152</f>
        <v>68125</v>
      </c>
      <c r="D151" s="573">
        <f>'[67]Sch C'!F152</f>
        <v>0</v>
      </c>
      <c r="E151" s="171">
        <f t="shared" si="38"/>
        <v>68125</v>
      </c>
      <c r="F151" s="171"/>
      <c r="G151" s="171">
        <f t="shared" si="39"/>
        <v>68125</v>
      </c>
      <c r="H151" s="172">
        <f t="shared" si="40"/>
        <v>3.1512316574709319E-3</v>
      </c>
      <c r="J151" s="168"/>
      <c r="K151" s="168"/>
      <c r="M151" s="364">
        <f t="shared" si="34"/>
        <v>1.456222478731136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573">
        <f>'[67]Sch C'!D153</f>
        <v>172897</v>
      </c>
      <c r="D152" s="573">
        <f>'[67]Sch C'!F153</f>
        <v>0</v>
      </c>
      <c r="E152" s="171">
        <f t="shared" si="38"/>
        <v>172897</v>
      </c>
      <c r="F152" s="171"/>
      <c r="G152" s="171">
        <f t="shared" si="39"/>
        <v>172897</v>
      </c>
      <c r="H152" s="172">
        <f t="shared" si="40"/>
        <v>7.9976293560624096E-3</v>
      </c>
      <c r="J152" s="168"/>
      <c r="K152" s="168"/>
      <c r="M152" s="364">
        <f t="shared" si="34"/>
        <v>3.6958018041126928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573">
        <f>'[67]Sch C'!D154</f>
        <v>0</v>
      </c>
      <c r="D153" s="573">
        <f>'[67]Sch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210"/>
      <c r="G154" s="210"/>
      <c r="H154" s="211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573">
        <f>'[67]Sch C'!D156</f>
        <v>0</v>
      </c>
      <c r="D155" s="573">
        <f>'[67]Sch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573">
        <f>'[67]Sch C'!D157</f>
        <v>0</v>
      </c>
      <c r="D156" s="573">
        <f>'[67]Sch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J156" s="168"/>
      <c r="K156" s="168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573">
        <f>'[67]Sch C'!D158</f>
        <v>0</v>
      </c>
      <c r="D157" s="573">
        <f>'[67]Sch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J157" s="168"/>
      <c r="K157" s="168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573">
        <f>'[67]Sch C'!D159</f>
        <v>0</v>
      </c>
      <c r="D158" s="573">
        <f>'[67]Sch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573">
        <f>'[67]Sch C'!D160</f>
        <v>0</v>
      </c>
      <c r="D159" s="573">
        <f>'[67]Sch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573">
        <f>'[67]Sch C'!D161</f>
        <v>211354</v>
      </c>
      <c r="D160" s="573">
        <f>'[67]Sch C'!F161</f>
        <v>0</v>
      </c>
      <c r="E160" s="171">
        <f t="shared" si="41"/>
        <v>211354</v>
      </c>
      <c r="F160" s="171">
        <v>-209526</v>
      </c>
      <c r="G160" s="171">
        <f t="shared" si="42"/>
        <v>1828</v>
      </c>
      <c r="H160" s="172">
        <f t="shared" si="43"/>
        <v>8.4557085796064044E-5</v>
      </c>
      <c r="J160" s="168"/>
      <c r="K160" s="168"/>
      <c r="M160" s="364">
        <f t="shared" si="34"/>
        <v>3.9074857851310332E-2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573">
        <f>SUM(C123:C160)</f>
        <v>11691608</v>
      </c>
      <c r="D161" s="573">
        <f>SUM(D123:D160)</f>
        <v>0</v>
      </c>
      <c r="E161" s="171">
        <f t="shared" ref="E161" si="44">SUM(E123:E160)</f>
        <v>11691608</v>
      </c>
      <c r="F161" s="171">
        <f>SUM(F123:F160)</f>
        <v>-209526</v>
      </c>
      <c r="G161" s="171">
        <f>SUM(G123:G160)</f>
        <v>11482082</v>
      </c>
      <c r="H161" s="172">
        <f t="shared" si="43"/>
        <v>0.53112220612223338</v>
      </c>
      <c r="J161" s="168"/>
      <c r="K161" s="168"/>
      <c r="M161" s="364">
        <f>G161/G$228</f>
        <v>245.43803172160233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573">
        <f>'[67]Sch C'!D175</f>
        <v>0</v>
      </c>
      <c r="D164" s="573">
        <f>'[67]Sch C'!F175</f>
        <v>0</v>
      </c>
      <c r="E164" s="171">
        <f t="shared" ref="E164:E196" si="45">C164+D164</f>
        <v>0</v>
      </c>
      <c r="F164" s="665"/>
      <c r="G164" s="171">
        <f t="shared" ref="G164:G196" si="46">E164+F164</f>
        <v>0</v>
      </c>
      <c r="H164" s="172">
        <f t="shared" ref="H164:H196" si="47">IF($G$208=0,0,G164/$G$208)</f>
        <v>0</v>
      </c>
      <c r="I164" s="409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573">
        <f>'[67]Sch C'!D176</f>
        <v>0</v>
      </c>
      <c r="D165" s="573">
        <f>'[67]Sch C'!F176</f>
        <v>0</v>
      </c>
      <c r="E165" s="171">
        <f t="shared" si="45"/>
        <v>0</v>
      </c>
      <c r="F165" s="665"/>
      <c r="G165" s="171">
        <f t="shared" si="46"/>
        <v>0</v>
      </c>
      <c r="H165" s="172">
        <f t="shared" si="47"/>
        <v>0</v>
      </c>
      <c r="I165" s="410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573">
        <f>'[67]Sch C'!D177</f>
        <v>0</v>
      </c>
      <c r="D166" s="573">
        <f>'[67]Sch C'!F177</f>
        <v>0</v>
      </c>
      <c r="E166" s="171">
        <f t="shared" si="45"/>
        <v>0</v>
      </c>
      <c r="F166" s="665"/>
      <c r="G166" s="171">
        <f t="shared" si="46"/>
        <v>0</v>
      </c>
      <c r="H166" s="172">
        <f t="shared" si="47"/>
        <v>0</v>
      </c>
      <c r="I166" s="409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573">
        <f>'[67]Sch C'!D178</f>
        <v>0</v>
      </c>
      <c r="D167" s="573">
        <f>'[67]Sch C'!F178</f>
        <v>0</v>
      </c>
      <c r="E167" s="171">
        <f t="shared" si="45"/>
        <v>0</v>
      </c>
      <c r="F167" s="665"/>
      <c r="G167" s="171">
        <f t="shared" si="46"/>
        <v>0</v>
      </c>
      <c r="H167" s="172">
        <f t="shared" si="47"/>
        <v>0</v>
      </c>
      <c r="I167" s="410"/>
      <c r="J167" s="222"/>
      <c r="K167" s="222"/>
      <c r="L167" s="218"/>
      <c r="M167" s="364">
        <f t="shared" si="48"/>
        <v>0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573">
        <f>'[67]Sch C'!D179</f>
        <v>0</v>
      </c>
      <c r="D168" s="573">
        <f>'[67]Sch C'!F179</f>
        <v>0</v>
      </c>
      <c r="E168" s="171">
        <f t="shared" si="45"/>
        <v>0</v>
      </c>
      <c r="F168" s="665"/>
      <c r="G168" s="171">
        <f t="shared" si="46"/>
        <v>0</v>
      </c>
      <c r="H168" s="172">
        <f t="shared" si="47"/>
        <v>0</v>
      </c>
      <c r="I168" s="409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573">
        <f>'[67]Sch C'!D180</f>
        <v>0</v>
      </c>
      <c r="D169" s="573">
        <f>'[67]Sch C'!F180</f>
        <v>0</v>
      </c>
      <c r="E169" s="171">
        <f t="shared" si="45"/>
        <v>0</v>
      </c>
      <c r="F169" s="665"/>
      <c r="G169" s="171">
        <f t="shared" si="46"/>
        <v>0</v>
      </c>
      <c r="H169" s="172">
        <f t="shared" si="47"/>
        <v>0</v>
      </c>
      <c r="I169" s="410"/>
      <c r="J169" s="222"/>
      <c r="K169" s="222"/>
      <c r="L169" s="218"/>
      <c r="M169" s="364">
        <f t="shared" si="48"/>
        <v>0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573">
        <f>'[67]Sch C'!D181</f>
        <v>0</v>
      </c>
      <c r="D170" s="573">
        <f>'[67]Sch C'!F181</f>
        <v>0</v>
      </c>
      <c r="E170" s="171">
        <f t="shared" si="45"/>
        <v>0</v>
      </c>
      <c r="F170" s="665"/>
      <c r="G170" s="171">
        <f t="shared" si="46"/>
        <v>0</v>
      </c>
      <c r="H170" s="172">
        <f t="shared" si="47"/>
        <v>0</v>
      </c>
      <c r="I170" s="409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573">
        <f>'[67]Sch C'!D182</f>
        <v>0</v>
      </c>
      <c r="D171" s="573">
        <f>'[67]Sch C'!F182</f>
        <v>0</v>
      </c>
      <c r="E171" s="171">
        <f t="shared" si="45"/>
        <v>0</v>
      </c>
      <c r="F171" s="665"/>
      <c r="G171" s="171">
        <f t="shared" si="46"/>
        <v>0</v>
      </c>
      <c r="H171" s="172">
        <f t="shared" si="47"/>
        <v>0</v>
      </c>
      <c r="I171" s="410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573">
        <f>'[67]Sch C'!D183</f>
        <v>0</v>
      </c>
      <c r="D172" s="573">
        <f>'[67]Sch C'!F183</f>
        <v>0</v>
      </c>
      <c r="E172" s="171">
        <f t="shared" si="45"/>
        <v>0</v>
      </c>
      <c r="F172" s="665"/>
      <c r="G172" s="171">
        <f t="shared" si="46"/>
        <v>0</v>
      </c>
      <c r="H172" s="172">
        <f t="shared" si="47"/>
        <v>0</v>
      </c>
      <c r="I172" s="409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573">
        <f>'[67]Sch C'!D184</f>
        <v>0</v>
      </c>
      <c r="D173" s="573">
        <f>'[67]Sch C'!F184</f>
        <v>0</v>
      </c>
      <c r="E173" s="171">
        <f t="shared" si="45"/>
        <v>0</v>
      </c>
      <c r="F173" s="665"/>
      <c r="G173" s="171">
        <f t="shared" si="46"/>
        <v>0</v>
      </c>
      <c r="H173" s="172">
        <f t="shared" si="47"/>
        <v>0</v>
      </c>
      <c r="I173" s="410"/>
      <c r="J173" s="222"/>
      <c r="K173" s="222"/>
      <c r="L173" s="218"/>
      <c r="M173" s="364">
        <f t="shared" si="48"/>
        <v>0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573">
        <f>'[67]Sch C'!D185</f>
        <v>0</v>
      </c>
      <c r="D174" s="573">
        <f>'[67]Sch C'!F185</f>
        <v>0</v>
      </c>
      <c r="E174" s="171">
        <f t="shared" si="45"/>
        <v>0</v>
      </c>
      <c r="F174" s="665"/>
      <c r="G174" s="171">
        <f t="shared" si="46"/>
        <v>0</v>
      </c>
      <c r="H174" s="172">
        <f t="shared" si="47"/>
        <v>0</v>
      </c>
      <c r="I174" s="409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573">
        <f>'[67]Sch C'!D186</f>
        <v>0</v>
      </c>
      <c r="D175" s="573">
        <f>'[67]Sch C'!F186</f>
        <v>0</v>
      </c>
      <c r="E175" s="171">
        <f t="shared" si="45"/>
        <v>0</v>
      </c>
      <c r="F175" s="665"/>
      <c r="G175" s="171">
        <f t="shared" si="46"/>
        <v>0</v>
      </c>
      <c r="H175" s="172">
        <f t="shared" si="47"/>
        <v>0</v>
      </c>
      <c r="I175" s="223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573">
        <f>'[67]Sch C'!D187</f>
        <v>0</v>
      </c>
      <c r="D176" s="573">
        <f>'[67]Sch C'!F187</f>
        <v>0</v>
      </c>
      <c r="E176" s="171">
        <f t="shared" si="45"/>
        <v>0</v>
      </c>
      <c r="F176" s="665"/>
      <c r="G176" s="171">
        <f t="shared" si="46"/>
        <v>0</v>
      </c>
      <c r="H176" s="172">
        <f t="shared" si="47"/>
        <v>0</v>
      </c>
      <c r="I176" s="223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573">
        <f>'[67]Sch C'!D188</f>
        <v>0</v>
      </c>
      <c r="D177" s="573">
        <f>'[67]Sch C'!F188</f>
        <v>0</v>
      </c>
      <c r="E177" s="171">
        <f t="shared" si="45"/>
        <v>0</v>
      </c>
      <c r="F177" s="665"/>
      <c r="G177" s="171">
        <f t="shared" si="46"/>
        <v>0</v>
      </c>
      <c r="H177" s="172">
        <f t="shared" si="47"/>
        <v>0</v>
      </c>
      <c r="I177" s="223"/>
      <c r="J177" s="223"/>
      <c r="K177" s="218"/>
      <c r="L177" s="220"/>
      <c r="M177" s="364">
        <f t="shared" si="48"/>
        <v>0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573">
        <f>'[67]Sch C'!D189</f>
        <v>0</v>
      </c>
      <c r="D178" s="573">
        <f>'[67]Sch C'!F189</f>
        <v>0</v>
      </c>
      <c r="E178" s="171">
        <f t="shared" si="45"/>
        <v>0</v>
      </c>
      <c r="F178" s="665"/>
      <c r="G178" s="171">
        <f t="shared" si="46"/>
        <v>0</v>
      </c>
      <c r="H178" s="172">
        <f t="shared" si="47"/>
        <v>0</v>
      </c>
      <c r="I178" s="223"/>
      <c r="J178" s="223"/>
      <c r="K178" s="218"/>
      <c r="L178" s="220"/>
      <c r="M178" s="364">
        <f t="shared" si="48"/>
        <v>0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573">
        <f>'[67]Sch C'!D190</f>
        <v>0</v>
      </c>
      <c r="D179" s="573">
        <f>'[67]Sch C'!F190</f>
        <v>0</v>
      </c>
      <c r="E179" s="171">
        <f t="shared" si="45"/>
        <v>0</v>
      </c>
      <c r="F179" s="665"/>
      <c r="G179" s="171">
        <f t="shared" si="46"/>
        <v>0</v>
      </c>
      <c r="H179" s="172">
        <f t="shared" si="47"/>
        <v>0</v>
      </c>
      <c r="I179" s="223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573">
        <f>'[67]Sch C'!D191</f>
        <v>0</v>
      </c>
      <c r="D180" s="573">
        <f>'[67]Sch C'!F191</f>
        <v>0</v>
      </c>
      <c r="E180" s="171">
        <f t="shared" si="45"/>
        <v>0</v>
      </c>
      <c r="F180" s="665"/>
      <c r="G180" s="171">
        <f t="shared" si="46"/>
        <v>0</v>
      </c>
      <c r="H180" s="172">
        <f t="shared" si="47"/>
        <v>0</v>
      </c>
      <c r="I180" s="223"/>
      <c r="J180" s="223"/>
      <c r="K180" s="218"/>
      <c r="L180" s="220"/>
      <c r="M180" s="364">
        <f t="shared" si="48"/>
        <v>0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573">
        <f>'[67]Sch C'!D192</f>
        <v>0</v>
      </c>
      <c r="D181" s="573">
        <f>'[67]Sch C'!F192</f>
        <v>0</v>
      </c>
      <c r="E181" s="171">
        <f t="shared" si="45"/>
        <v>0</v>
      </c>
      <c r="F181" s="665"/>
      <c r="G181" s="171">
        <f t="shared" si="46"/>
        <v>0</v>
      </c>
      <c r="H181" s="172">
        <f t="shared" si="47"/>
        <v>0</v>
      </c>
      <c r="I181" s="223"/>
      <c r="J181" s="223"/>
      <c r="K181" s="218"/>
      <c r="L181" s="220"/>
      <c r="M181" s="364">
        <f t="shared" si="48"/>
        <v>0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573">
        <f>'[67]Sch C'!D193</f>
        <v>0</v>
      </c>
      <c r="D182" s="573">
        <f>'[67]Sch C'!F193</f>
        <v>0</v>
      </c>
      <c r="E182" s="171">
        <f t="shared" si="45"/>
        <v>0</v>
      </c>
      <c r="F182" s="665"/>
      <c r="G182" s="171">
        <f t="shared" si="46"/>
        <v>0</v>
      </c>
      <c r="H182" s="172">
        <f t="shared" si="47"/>
        <v>0</v>
      </c>
      <c r="I182" s="223"/>
      <c r="J182" s="223"/>
      <c r="K182" s="218"/>
      <c r="L182" s="220"/>
      <c r="M182" s="364">
        <f t="shared" si="48"/>
        <v>0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573">
        <f>'[67]Sch C'!D194</f>
        <v>979581</v>
      </c>
      <c r="D183" s="573">
        <f>'[67]Sch C'!F194</f>
        <v>0</v>
      </c>
      <c r="E183" s="171">
        <f t="shared" si="45"/>
        <v>979581</v>
      </c>
      <c r="F183" s="665"/>
      <c r="G183" s="171">
        <f t="shared" si="46"/>
        <v>979581</v>
      </c>
      <c r="H183" s="172">
        <f t="shared" si="47"/>
        <v>4.5312097735883052E-2</v>
      </c>
      <c r="I183" s="223"/>
      <c r="J183" s="223"/>
      <c r="K183" s="218"/>
      <c r="M183" s="364">
        <f t="shared" si="48"/>
        <v>20.939271514685135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573">
        <f>'[67]Sch C'!D195</f>
        <v>146673</v>
      </c>
      <c r="D184" s="573">
        <f>'[67]Sch C'!F195</f>
        <v>0</v>
      </c>
      <c r="E184" s="171">
        <f t="shared" si="45"/>
        <v>146673</v>
      </c>
      <c r="F184" s="665"/>
      <c r="G184" s="171">
        <f t="shared" si="46"/>
        <v>146673</v>
      </c>
      <c r="H184" s="172">
        <f t="shared" si="47"/>
        <v>6.7845959764584801E-3</v>
      </c>
      <c r="I184" s="223"/>
      <c r="J184" s="223"/>
      <c r="K184" s="218"/>
      <c r="M184" s="364">
        <f t="shared" si="48"/>
        <v>3.1352443247402846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573">
        <f>'[67]Sch C'!D196</f>
        <v>0</v>
      </c>
      <c r="D185" s="573">
        <f>'[67]Sch C'!F196</f>
        <v>0</v>
      </c>
      <c r="E185" s="171">
        <f t="shared" si="45"/>
        <v>0</v>
      </c>
      <c r="F185" s="665"/>
      <c r="G185" s="171">
        <f t="shared" si="46"/>
        <v>0</v>
      </c>
      <c r="H185" s="172">
        <f t="shared" si="47"/>
        <v>0</v>
      </c>
      <c r="I185" s="223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573">
        <f>'[67]Sch C'!D197</f>
        <v>644703</v>
      </c>
      <c r="D186" s="573">
        <f>'[67]Sch C'!F197</f>
        <v>0</v>
      </c>
      <c r="E186" s="171">
        <f t="shared" si="45"/>
        <v>644703</v>
      </c>
      <c r="F186" s="665"/>
      <c r="G186" s="171">
        <f t="shared" si="46"/>
        <v>644703</v>
      </c>
      <c r="H186" s="172">
        <f t="shared" si="47"/>
        <v>2.9821776194737352E-2</v>
      </c>
      <c r="I186" s="223"/>
      <c r="J186" s="223"/>
      <c r="K186" s="218"/>
      <c r="M186" s="364">
        <f t="shared" si="48"/>
        <v>13.781005514941643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573">
        <f>'[67]Sch C'!D198</f>
        <v>213933</v>
      </c>
      <c r="D187" s="573">
        <f>'[67]Sch C'!F198</f>
        <v>0</v>
      </c>
      <c r="E187" s="171">
        <f t="shared" si="45"/>
        <v>213933</v>
      </c>
      <c r="F187" s="665"/>
      <c r="G187" s="171">
        <f t="shared" si="46"/>
        <v>213933</v>
      </c>
      <c r="H187" s="172">
        <f t="shared" si="47"/>
        <v>9.8958156649941852E-3</v>
      </c>
      <c r="I187" s="223"/>
      <c r="J187" s="223"/>
      <c r="K187" s="218"/>
      <c r="M187" s="364">
        <f t="shared" si="48"/>
        <v>4.5729767859433119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573">
        <f>'[67]Sch C'!D199</f>
        <v>0</v>
      </c>
      <c r="D188" s="573">
        <f>'[67]Sch C'!F199</f>
        <v>0</v>
      </c>
      <c r="E188" s="171">
        <f t="shared" si="45"/>
        <v>0</v>
      </c>
      <c r="F188" s="665"/>
      <c r="G188" s="171">
        <f t="shared" si="46"/>
        <v>0</v>
      </c>
      <c r="H188" s="172">
        <f t="shared" si="47"/>
        <v>0</v>
      </c>
      <c r="I188" s="223"/>
      <c r="J188" s="223"/>
      <c r="K188" s="218"/>
      <c r="M188" s="364">
        <f t="shared" si="48"/>
        <v>0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573">
        <f>'[67]Sch C'!D200</f>
        <v>0</v>
      </c>
      <c r="D189" s="573">
        <f>'[67]Sch C'!F200</f>
        <v>0</v>
      </c>
      <c r="E189" s="171">
        <f t="shared" si="45"/>
        <v>0</v>
      </c>
      <c r="F189" s="665"/>
      <c r="G189" s="171">
        <f t="shared" si="46"/>
        <v>0</v>
      </c>
      <c r="H189" s="172">
        <f t="shared" si="47"/>
        <v>0</v>
      </c>
      <c r="I189" s="223"/>
      <c r="J189" s="223"/>
      <c r="K189" s="218"/>
      <c r="M189" s="364">
        <f t="shared" si="48"/>
        <v>0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573">
        <f>'[67]Sch C'!D201</f>
        <v>0</v>
      </c>
      <c r="D190" s="573">
        <f>'[67]Sch C'!F201</f>
        <v>0</v>
      </c>
      <c r="E190" s="171">
        <f t="shared" si="45"/>
        <v>0</v>
      </c>
      <c r="F190" s="665"/>
      <c r="G190" s="171">
        <f t="shared" si="46"/>
        <v>0</v>
      </c>
      <c r="H190" s="172">
        <f t="shared" si="47"/>
        <v>0</v>
      </c>
      <c r="I190" s="223"/>
      <c r="J190" s="223"/>
      <c r="K190" s="218"/>
      <c r="M190" s="364">
        <f t="shared" si="48"/>
        <v>0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573">
        <f>'[67]Sch C'!D202</f>
        <v>0</v>
      </c>
      <c r="D191" s="573">
        <f>'[67]Sch C'!F202</f>
        <v>0</v>
      </c>
      <c r="E191" s="171">
        <f t="shared" si="45"/>
        <v>0</v>
      </c>
      <c r="F191" s="665"/>
      <c r="G191" s="171">
        <f t="shared" si="46"/>
        <v>0</v>
      </c>
      <c r="H191" s="172">
        <f t="shared" si="47"/>
        <v>0</v>
      </c>
      <c r="I191" s="223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573">
        <f>'[67]Sch C'!D203</f>
        <v>0</v>
      </c>
      <c r="D192" s="573">
        <f>'[67]Sch C'!F203</f>
        <v>0</v>
      </c>
      <c r="E192" s="171">
        <f t="shared" si="45"/>
        <v>0</v>
      </c>
      <c r="F192" s="665"/>
      <c r="G192" s="171">
        <f t="shared" si="46"/>
        <v>0</v>
      </c>
      <c r="H192" s="172">
        <f t="shared" si="47"/>
        <v>0</v>
      </c>
      <c r="I192" s="223"/>
      <c r="J192" s="223"/>
      <c r="K192" s="218"/>
      <c r="M192" s="364">
        <f t="shared" si="48"/>
        <v>0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573">
        <f>'[67]Sch C'!D204</f>
        <v>0</v>
      </c>
      <c r="D193" s="573">
        <f>'[67]Sch C'!F204</f>
        <v>0</v>
      </c>
      <c r="E193" s="171">
        <f t="shared" si="45"/>
        <v>0</v>
      </c>
      <c r="F193" s="665"/>
      <c r="G193" s="171">
        <f t="shared" si="46"/>
        <v>0</v>
      </c>
      <c r="H193" s="172">
        <f t="shared" si="47"/>
        <v>0</v>
      </c>
      <c r="I193" s="223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573">
        <f>'[67]Sch C'!D205</f>
        <v>1181376</v>
      </c>
      <c r="D194" s="573">
        <f>'[67]Sch C'!F205</f>
        <v>0</v>
      </c>
      <c r="E194" s="171">
        <f t="shared" si="45"/>
        <v>1181376</v>
      </c>
      <c r="F194" s="665"/>
      <c r="G194" s="171">
        <f t="shared" si="46"/>
        <v>1181376</v>
      </c>
      <c r="H194" s="172">
        <f t="shared" si="47"/>
        <v>5.4646450650662447E-2</v>
      </c>
      <c r="I194" s="223"/>
      <c r="J194" s="223"/>
      <c r="K194" s="218"/>
      <c r="M194" s="364">
        <f t="shared" si="48"/>
        <v>25.252789534436321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573">
        <f>'[67]Sch C'!D206</f>
        <v>59684</v>
      </c>
      <c r="D195" s="573">
        <f>'[67]Sch C'!F206</f>
        <v>0</v>
      </c>
      <c r="E195" s="171">
        <f t="shared" si="45"/>
        <v>59684</v>
      </c>
      <c r="F195" s="665"/>
      <c r="G195" s="171">
        <f t="shared" si="46"/>
        <v>59684</v>
      </c>
      <c r="H195" s="172">
        <f t="shared" si="47"/>
        <v>2.7607795999191938E-3</v>
      </c>
      <c r="I195" s="223"/>
      <c r="J195" s="223"/>
      <c r="K195" s="218"/>
      <c r="M195" s="364">
        <f t="shared" si="48"/>
        <v>1.2757898336967211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573">
        <f>'[67]Sch C'!D207</f>
        <v>0</v>
      </c>
      <c r="D196" s="573">
        <f>'[67]Sch C'!F207</f>
        <v>0</v>
      </c>
      <c r="E196" s="171">
        <f t="shared" si="45"/>
        <v>0</v>
      </c>
      <c r="F196" s="665"/>
      <c r="G196" s="171">
        <f t="shared" si="46"/>
        <v>0</v>
      </c>
      <c r="H196" s="172">
        <f t="shared" si="47"/>
        <v>0</v>
      </c>
      <c r="I196" s="223"/>
      <c r="J196" s="223"/>
      <c r="K196" s="218"/>
      <c r="M196" s="364">
        <f t="shared" si="48"/>
        <v>0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573">
        <f>SUM(C164:C196)</f>
        <v>3225950</v>
      </c>
      <c r="D197" s="573">
        <f>SUM(D164:D196)</f>
        <v>0</v>
      </c>
      <c r="E197" s="171">
        <f t="shared" ref="E197" si="49">SUM(E164:E196)</f>
        <v>3225950</v>
      </c>
      <c r="F197" s="171">
        <f>SUM(F164:F196)</f>
        <v>0</v>
      </c>
      <c r="G197" s="171">
        <f>SUM(G164:G196)</f>
        <v>3225950</v>
      </c>
      <c r="H197" s="172">
        <f>IF($G$208=0,0,G197/$G$208)</f>
        <v>0.14922151582265472</v>
      </c>
      <c r="J197" s="168"/>
      <c r="K197" s="168"/>
      <c r="M197" s="364">
        <f>G197/G$228</f>
        <v>68.957077508443419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165"/>
      <c r="G198" s="165"/>
      <c r="H198" s="198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573">
        <f>'[67]Sch C'!D211</f>
        <v>377494</v>
      </c>
      <c r="D200" s="573">
        <f>'[67]Sch C'!F211</f>
        <v>0</v>
      </c>
      <c r="E200" s="171">
        <f t="shared" ref="E200:E205" si="50">C200+D200</f>
        <v>377494</v>
      </c>
      <c r="F200" s="171"/>
      <c r="G200" s="171">
        <f t="shared" ref="G200:G205" si="51">E200+F200</f>
        <v>377494</v>
      </c>
      <c r="H200" s="172">
        <f t="shared" ref="H200:H206" si="52">IF($G$208=0,0,G200/$G$208)</f>
        <v>1.7461593296225056E-2</v>
      </c>
      <c r="J200" s="183">
        <v>18797</v>
      </c>
      <c r="K200" s="183">
        <v>20733</v>
      </c>
      <c r="M200" s="364">
        <f t="shared" ref="M200:M205" si="53">G200/G$228</f>
        <v>8.0692146552092687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573">
        <f>'[67]Sch C'!D212</f>
        <v>61044</v>
      </c>
      <c r="D201" s="573">
        <f>'[67]Sch C'!F212</f>
        <v>0</v>
      </c>
      <c r="E201" s="171">
        <f t="shared" si="50"/>
        <v>61044</v>
      </c>
      <c r="F201" s="171"/>
      <c r="G201" s="171">
        <f t="shared" si="51"/>
        <v>61044</v>
      </c>
      <c r="H201" s="172">
        <f t="shared" si="52"/>
        <v>2.8236885915398982E-3</v>
      </c>
      <c r="J201" s="168"/>
      <c r="K201" s="168"/>
      <c r="M201" s="364">
        <f t="shared" si="53"/>
        <v>1.3048608439143261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573">
        <f>'[67]Sch C'!D213</f>
        <v>4331</v>
      </c>
      <c r="D202" s="573">
        <f>'[67]Sch C'!F213</f>
        <v>0</v>
      </c>
      <c r="E202" s="171">
        <f t="shared" si="50"/>
        <v>4331</v>
      </c>
      <c r="F202" s="171"/>
      <c r="G202" s="171">
        <f t="shared" si="51"/>
        <v>4331</v>
      </c>
      <c r="H202" s="172">
        <f t="shared" si="52"/>
        <v>2.0033738434505107E-4</v>
      </c>
      <c r="J202" s="168"/>
      <c r="K202" s="168"/>
      <c r="M202" s="364">
        <f t="shared" si="53"/>
        <v>9.2578342097387883E-2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573">
        <f>'[67]Sch C'!D214</f>
        <v>0</v>
      </c>
      <c r="D203" s="573">
        <f>'[67]Sch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J203" s="168"/>
      <c r="K203" s="168"/>
      <c r="M203" s="364">
        <f t="shared" si="53"/>
        <v>0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573">
        <f>'[67]Sch C'!D215</f>
        <v>0</v>
      </c>
      <c r="D204" s="573">
        <f>'[67]Sch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573">
        <f>'[67]Sch C'!D216</f>
        <v>16168</v>
      </c>
      <c r="D205" s="573">
        <f>'[67]Sch C'!F216</f>
        <v>0</v>
      </c>
      <c r="E205" s="171">
        <f t="shared" si="50"/>
        <v>16168</v>
      </c>
      <c r="F205" s="171">
        <v>-4331</v>
      </c>
      <c r="G205" s="171">
        <f t="shared" si="51"/>
        <v>11837</v>
      </c>
      <c r="H205" s="172">
        <f t="shared" si="52"/>
        <v>5.4753951015755475E-4</v>
      </c>
      <c r="J205" s="168"/>
      <c r="K205" s="168"/>
      <c r="M205" s="364">
        <f t="shared" si="53"/>
        <v>0.25302466760719933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573">
        <f>SUM(C200:C205)</f>
        <v>459037</v>
      </c>
      <c r="D206" s="573">
        <f>SUM(D200:D205)</f>
        <v>0</v>
      </c>
      <c r="E206" s="171">
        <f t="shared" ref="E206" si="54">SUM(E200:E205)</f>
        <v>459037</v>
      </c>
      <c r="F206" s="171">
        <f>SUM(F200:F205)</f>
        <v>-4331</v>
      </c>
      <c r="G206" s="171">
        <f>SUM(G200:G205)</f>
        <v>454706</v>
      </c>
      <c r="H206" s="172">
        <f t="shared" si="52"/>
        <v>2.1033158782267559E-2</v>
      </c>
      <c r="J206" s="168"/>
      <c r="K206" s="168"/>
      <c r="M206" s="364">
        <f>G206/G$228</f>
        <v>9.7196785088281814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573">
        <f>SUM(C25:C206)/2</f>
        <v>22020011</v>
      </c>
      <c r="D208" s="573">
        <f>SUM(D25:D206)/2</f>
        <v>-109783</v>
      </c>
      <c r="E208" s="171">
        <f t="shared" ref="E208:F208" si="55">SUM(E25:E206)/2</f>
        <v>21910228</v>
      </c>
      <c r="F208" s="171">
        <f t="shared" si="55"/>
        <v>-291696.77</v>
      </c>
      <c r="G208" s="171">
        <f>SUM(G25:G206)/2</f>
        <v>21618531.23</v>
      </c>
      <c r="H208" s="172">
        <f>IF($G$208=0,0,G208/$G$208)</f>
        <v>1</v>
      </c>
      <c r="I208" s="337"/>
      <c r="J208" s="183">
        <f>SUM(J25:J200)</f>
        <v>526493</v>
      </c>
      <c r="K208" s="183">
        <f>SUM(K25:K200)</f>
        <v>564102</v>
      </c>
      <c r="M208" s="364">
        <f>G208/G$228</f>
        <v>462.11216343892949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573">
        <f>'[67]Sch C'!D221</f>
        <v>22020011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573">
        <f>C208-C211</f>
        <v>0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619"/>
      <c r="D213" s="232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573">
        <f>C21-C208</f>
        <v>-1939154</v>
      </c>
      <c r="D215" s="573">
        <f>D21-D208</f>
        <v>124130</v>
      </c>
      <c r="E215" s="171">
        <f t="shared" ref="E215:F215" si="56">E21-E208</f>
        <v>-1815024</v>
      </c>
      <c r="F215" s="171">
        <f t="shared" si="56"/>
        <v>423291.77</v>
      </c>
      <c r="G215" s="171">
        <f>G21-G208</f>
        <v>-1391732.2300000004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653">
        <f>'[67]Sch D'!C9</f>
        <v>26255</v>
      </c>
      <c r="D219" s="653"/>
      <c r="E219" s="235">
        <f t="shared" ref="E219:G227" si="57">C219+D219</f>
        <v>26255</v>
      </c>
      <c r="F219" s="234"/>
      <c r="G219" s="235">
        <f t="shared" si="57"/>
        <v>26255</v>
      </c>
      <c r="H219" s="172">
        <f t="shared" ref="H219:H228" si="58">IF($G$228=0,0,G219/$G$228)</f>
        <v>0.56122012739942717</v>
      </c>
      <c r="I219" s="337"/>
      <c r="J219" s="168"/>
      <c r="K219" s="168"/>
    </row>
    <row r="220" spans="1:14">
      <c r="A220" s="163"/>
      <c r="B220" s="170" t="s">
        <v>217</v>
      </c>
      <c r="C220" s="653">
        <f>'[67]Sch D'!D9</f>
        <v>1161</v>
      </c>
      <c r="D220" s="653"/>
      <c r="E220" s="235">
        <f t="shared" ref="E220:E227" si="59">C220+D220</f>
        <v>1161</v>
      </c>
      <c r="F220" s="234"/>
      <c r="G220" s="235">
        <f t="shared" si="57"/>
        <v>1161</v>
      </c>
      <c r="H220" s="172">
        <f t="shared" si="58"/>
        <v>2.4817237398999614E-2</v>
      </c>
      <c r="I220" s="337"/>
      <c r="J220" s="168"/>
      <c r="K220" s="168"/>
    </row>
    <row r="221" spans="1:14">
      <c r="A221" s="163"/>
      <c r="B221" s="170" t="s">
        <v>72</v>
      </c>
      <c r="C221" s="653">
        <f>'[67]Sch D'!E9</f>
        <v>10022</v>
      </c>
      <c r="D221" s="653"/>
      <c r="E221" s="235">
        <f t="shared" si="59"/>
        <v>10022</v>
      </c>
      <c r="F221" s="234"/>
      <c r="G221" s="235">
        <f t="shared" si="57"/>
        <v>10022</v>
      </c>
      <c r="H221" s="172">
        <f t="shared" si="58"/>
        <v>0.21422769441238082</v>
      </c>
      <c r="I221" s="337"/>
      <c r="J221" s="168"/>
      <c r="K221" s="168"/>
    </row>
    <row r="222" spans="1:14">
      <c r="A222" s="163"/>
      <c r="B222" s="202" t="s">
        <v>334</v>
      </c>
      <c r="C222" s="653">
        <f>'[67]Sch D'!F9</f>
        <v>5243</v>
      </c>
      <c r="D222" s="653"/>
      <c r="E222" s="235">
        <f>C222+D222</f>
        <v>5243</v>
      </c>
      <c r="F222" s="234"/>
      <c r="G222" s="235">
        <f>E222+F222</f>
        <v>5243</v>
      </c>
      <c r="H222" s="172">
        <f t="shared" si="58"/>
        <v>0.11207301953742893</v>
      </c>
      <c r="I222" s="337"/>
      <c r="J222" s="168"/>
      <c r="K222" s="168"/>
    </row>
    <row r="223" spans="1:14">
      <c r="A223" s="163"/>
      <c r="B223" s="170" t="s">
        <v>73</v>
      </c>
      <c r="C223" s="653">
        <f>'[67]Sch D'!G9</f>
        <v>0</v>
      </c>
      <c r="D223" s="653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7"/>
      <c r="J223" s="168"/>
      <c r="K223" s="168"/>
    </row>
    <row r="224" spans="1:14">
      <c r="A224" s="163"/>
      <c r="B224" s="170" t="s">
        <v>74</v>
      </c>
      <c r="C224" s="653">
        <f>'[67]Sch D'!H9</f>
        <v>4022</v>
      </c>
      <c r="D224" s="653"/>
      <c r="E224" s="235">
        <f t="shared" si="59"/>
        <v>4022</v>
      </c>
      <c r="F224" s="234"/>
      <c r="G224" s="235">
        <f t="shared" si="57"/>
        <v>4022</v>
      </c>
      <c r="H224" s="172">
        <f t="shared" si="58"/>
        <v>8.5973237570005565E-2</v>
      </c>
      <c r="I224" s="337"/>
      <c r="J224" s="168"/>
      <c r="K224" s="168"/>
    </row>
    <row r="225" spans="1:11">
      <c r="A225" s="163"/>
      <c r="B225" s="170" t="s">
        <v>236</v>
      </c>
      <c r="C225" s="653">
        <f>'[67]Sch D'!I9</f>
        <v>79</v>
      </c>
      <c r="D225" s="653"/>
      <c r="E225" s="235">
        <f t="shared" si="59"/>
        <v>79</v>
      </c>
      <c r="F225" s="234"/>
      <c r="G225" s="235">
        <f t="shared" si="57"/>
        <v>79</v>
      </c>
      <c r="H225" s="172">
        <f t="shared" si="58"/>
        <v>1.6886836817579412E-3</v>
      </c>
      <c r="I225" s="337"/>
      <c r="J225" s="168"/>
      <c r="K225" s="168"/>
    </row>
    <row r="226" spans="1:11">
      <c r="A226" s="163"/>
      <c r="B226" s="170" t="s">
        <v>235</v>
      </c>
      <c r="C226" s="653">
        <f>'[67]Sch D'!J9</f>
        <v>0</v>
      </c>
      <c r="D226" s="653"/>
      <c r="E226" s="235">
        <f>C226+D226</f>
        <v>0</v>
      </c>
      <c r="F226" s="234"/>
      <c r="G226" s="235">
        <f>E226+F226</f>
        <v>0</v>
      </c>
      <c r="H226" s="172">
        <f t="shared" si="58"/>
        <v>0</v>
      </c>
      <c r="I226" s="337"/>
      <c r="J226" s="168"/>
      <c r="K226" s="168"/>
    </row>
    <row r="227" spans="1:11">
      <c r="A227" s="163"/>
      <c r="B227" s="170" t="s">
        <v>179</v>
      </c>
      <c r="C227" s="653">
        <f>'[67]Sch D'!K9</f>
        <v>0</v>
      </c>
      <c r="D227" s="653"/>
      <c r="E227" s="235">
        <f t="shared" si="59"/>
        <v>0</v>
      </c>
      <c r="F227" s="234"/>
      <c r="G227" s="235">
        <f t="shared" si="57"/>
        <v>0</v>
      </c>
      <c r="H227" s="172">
        <f t="shared" si="58"/>
        <v>0</v>
      </c>
      <c r="I227" s="337"/>
      <c r="J227" s="168"/>
      <c r="K227" s="168"/>
    </row>
    <row r="228" spans="1:11" ht="13.5" thickBot="1">
      <c r="A228" s="163"/>
      <c r="B228" s="236" t="s">
        <v>75</v>
      </c>
      <c r="C228" s="653">
        <f>SUM(C219:C227)</f>
        <v>46782</v>
      </c>
      <c r="D228" s="653">
        <f>SUM(D219:D227)</f>
        <v>0</v>
      </c>
      <c r="E228" s="237">
        <f>SUM(E219:E227)</f>
        <v>46782</v>
      </c>
      <c r="F228" s="237">
        <f>SUM(F219:F227)</f>
        <v>0</v>
      </c>
      <c r="G228" s="237">
        <f>SUM(G219:G227)</f>
        <v>46782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620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619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654">
        <f>'[67]Sch D'!N22</f>
        <v>160</v>
      </c>
      <c r="D231" s="574"/>
      <c r="E231" s="235">
        <f>C231+D231</f>
        <v>160</v>
      </c>
      <c r="F231" s="235"/>
      <c r="G231" s="235">
        <f>E231+F231</f>
        <v>160</v>
      </c>
      <c r="H231" s="167"/>
      <c r="J231" s="168"/>
      <c r="K231" s="168"/>
    </row>
    <row r="232" spans="1:11">
      <c r="A232" s="163"/>
      <c r="B232" s="202" t="s">
        <v>290</v>
      </c>
      <c r="C232" s="654">
        <f>'[67]Sch D'!N24</f>
        <v>160</v>
      </c>
      <c r="D232" s="574"/>
      <c r="E232" s="235">
        <f>C232+D232</f>
        <v>160</v>
      </c>
      <c r="F232" s="235"/>
      <c r="G232" s="235">
        <f>E232+F232</f>
        <v>160</v>
      </c>
      <c r="H232" s="167"/>
      <c r="J232" s="168"/>
      <c r="K232" s="168"/>
    </row>
    <row r="233" spans="1:11">
      <c r="A233" s="163"/>
      <c r="B233" s="202" t="s">
        <v>76</v>
      </c>
      <c r="C233" s="654">
        <f>$C$4-$C$3+1</f>
        <v>365</v>
      </c>
      <c r="D233" s="489"/>
      <c r="E233" s="235">
        <f>C233+D233</f>
        <v>365</v>
      </c>
      <c r="F233" s="240"/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621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654">
        <f>'[67]Sch D'!N28</f>
        <v>58400</v>
      </c>
      <c r="D235" s="489"/>
      <c r="E235" s="234">
        <f>E231*E233</f>
        <v>58400</v>
      </c>
      <c r="F235" s="240"/>
      <c r="G235" s="234">
        <f>G231*G233</f>
        <v>58400</v>
      </c>
      <c r="H235" s="167"/>
      <c r="J235" s="168"/>
      <c r="K235" s="168"/>
    </row>
    <row r="236" spans="1:11" ht="26">
      <c r="A236" s="163"/>
      <c r="B236" s="244" t="s">
        <v>336</v>
      </c>
      <c r="C236" s="655">
        <f>'[67]Sch D'!N30</f>
        <v>0.8010616438356164</v>
      </c>
      <c r="D236" s="240"/>
      <c r="E236" s="245">
        <f>E228/E235</f>
        <v>0.8010616438356164</v>
      </c>
      <c r="F236" s="246"/>
      <c r="G236" s="245">
        <f>G228/G235</f>
        <v>0.8010616438356164</v>
      </c>
      <c r="H236" s="167"/>
      <c r="J236" s="168"/>
      <c r="K236" s="168"/>
    </row>
    <row r="237" spans="1:11" ht="26">
      <c r="A237" s="163"/>
      <c r="B237" s="244" t="s">
        <v>337</v>
      </c>
      <c r="C237" s="655">
        <f>'[67]Sch D'!N32</f>
        <v>0.46945205479452057</v>
      </c>
      <c r="D237" s="240"/>
      <c r="E237" s="245">
        <f>(E219+E220)/E235</f>
        <v>0.46945205479452057</v>
      </c>
      <c r="F237" s="246"/>
      <c r="G237" s="245">
        <f>(G219+G220)/G235</f>
        <v>0.46945205479452057</v>
      </c>
      <c r="H237" s="167"/>
      <c r="J237" s="168"/>
      <c r="K237" s="168"/>
    </row>
    <row r="238" spans="1:11" ht="26">
      <c r="A238" s="163"/>
      <c r="B238" s="244" t="s">
        <v>338</v>
      </c>
      <c r="C238" s="655">
        <f>'[67]Sch D'!N34</f>
        <v>0.58603736479842683</v>
      </c>
      <c r="D238" s="240"/>
      <c r="E238" s="245">
        <f>(E237/E236)</f>
        <v>0.58603736479842683</v>
      </c>
      <c r="F238" s="246"/>
      <c r="G238" s="245">
        <f>(G237/G236)</f>
        <v>0.58603736479842683</v>
      </c>
      <c r="H238" s="167"/>
      <c r="J238" s="168"/>
      <c r="K238" s="168"/>
    </row>
    <row r="241" spans="2:8">
      <c r="B241" s="148" t="s">
        <v>339</v>
      </c>
      <c r="F241" s="142" t="s">
        <v>340</v>
      </c>
      <c r="G241" s="490">
        <v>530.03232533889468</v>
      </c>
      <c r="H241" s="250" t="s">
        <v>674</v>
      </c>
    </row>
    <row r="242" spans="2:8">
      <c r="F242" s="142" t="s">
        <v>341</v>
      </c>
      <c r="G242" s="490">
        <v>382.00491803278686</v>
      </c>
    </row>
    <row r="243" spans="2:8">
      <c r="F243" s="142" t="s">
        <v>342</v>
      </c>
      <c r="G243" s="490">
        <v>389.74232456140351</v>
      </c>
    </row>
    <row r="244" spans="2:8">
      <c r="F244" s="142" t="s">
        <v>343</v>
      </c>
      <c r="G244" s="490">
        <v>379.83780880773361</v>
      </c>
    </row>
    <row r="245" spans="2:8">
      <c r="F245" s="142"/>
    </row>
  </sheetData>
  <phoneticPr fontId="0" type="noConversion"/>
  <printOptions horizontalCentered="1"/>
  <pageMargins left="0.75" right="0.75" top="1" bottom="1" header="0.5" footer="0.5"/>
  <pageSetup scale="37" fitToHeight="4" orientation="landscape" horizontalDpi="300" verticalDpi="300" r:id="rId1"/>
  <headerFooter alignWithMargins="0">
    <oddFooter>&amp;RLVT
&amp;D
&amp;T
&amp;F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rgb="FFE28CAB"/>
    <pageSetUpPr fitToPage="1"/>
  </sheetPr>
  <dimension ref="A1:Q245"/>
  <sheetViews>
    <sheetView showGridLines="0" zoomScale="90" zoomScaleNormal="90" workbookViewId="0">
      <selection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478"/>
      <c r="E1" s="478"/>
      <c r="F1" s="478"/>
      <c r="G1" s="478"/>
      <c r="H1" s="478"/>
      <c r="I1" s="479"/>
    </row>
    <row r="2" spans="1:14" ht="23">
      <c r="B2" s="143" t="s">
        <v>189</v>
      </c>
      <c r="C2" s="247" t="s">
        <v>461</v>
      </c>
      <c r="D2" s="247"/>
      <c r="E2" s="144"/>
      <c r="F2" s="140" t="s">
        <v>462</v>
      </c>
    </row>
    <row r="3" spans="1:14">
      <c r="A3" s="145"/>
      <c r="B3" s="140" t="s">
        <v>79</v>
      </c>
      <c r="C3" s="495">
        <v>41821</v>
      </c>
      <c r="D3" s="144"/>
      <c r="E3" s="147"/>
    </row>
    <row r="4" spans="1:14">
      <c r="A4" s="145"/>
      <c r="B4" s="148" t="s">
        <v>80</v>
      </c>
      <c r="C4" s="495">
        <v>42185</v>
      </c>
      <c r="D4" s="144"/>
      <c r="E4" s="149"/>
      <c r="F4" s="465" t="s">
        <v>690</v>
      </c>
      <c r="G4" s="150"/>
    </row>
    <row r="5" spans="1:14">
      <c r="A5" s="145"/>
      <c r="B5" s="148"/>
      <c r="C5" s="151"/>
      <c r="D5" s="144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144"/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490">
        <f>'[68]Sch B'!E10</f>
        <v>428195</v>
      </c>
      <c r="D11" s="490">
        <f>'[68]Sch B'!G10</f>
        <v>0</v>
      </c>
      <c r="E11" s="171">
        <f>C11+D11</f>
        <v>428195</v>
      </c>
      <c r="F11" s="171"/>
      <c r="G11" s="171">
        <f t="shared" ref="G11:G20" si="0">E11+F11</f>
        <v>428195</v>
      </c>
      <c r="H11" s="172">
        <f t="shared" ref="H11:H21" si="1">IF($G$21=0,0,G11/$G$21)</f>
        <v>4.4521716599432749E-2</v>
      </c>
      <c r="J11" s="368" t="s">
        <v>344</v>
      </c>
      <c r="K11" s="369">
        <f>G21</f>
        <v>9617666</v>
      </c>
      <c r="M11" s="359">
        <f>IFERROR(G11/G219,0)</f>
        <v>202.93601895734596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490">
        <f>'[68]Sch B'!E15</f>
        <v>0</v>
      </c>
      <c r="D12" s="490">
        <f>'[68]Sch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J12" s="370" t="s">
        <v>345</v>
      </c>
      <c r="K12" s="371">
        <f>G208</f>
        <v>8357358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490">
        <f>'[68]Sch B'!E21</f>
        <v>2042748</v>
      </c>
      <c r="D13" s="490">
        <f>'[68]Sch B'!G21</f>
        <v>0</v>
      </c>
      <c r="E13" s="171">
        <f t="shared" si="2"/>
        <v>2042748</v>
      </c>
      <c r="F13" s="171"/>
      <c r="G13" s="171">
        <f t="shared" si="0"/>
        <v>2042748</v>
      </c>
      <c r="H13" s="172">
        <f t="shared" si="1"/>
        <v>0.21239539821823714</v>
      </c>
      <c r="J13" s="370" t="s">
        <v>346</v>
      </c>
      <c r="K13" s="371">
        <f>G228</f>
        <v>36093</v>
      </c>
      <c r="M13" s="359">
        <f t="shared" si="3"/>
        <v>505.5055679287305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490">
        <f>'[68]Sch B'!E27</f>
        <v>148509</v>
      </c>
      <c r="D14" s="490">
        <f>'[68]Sch B'!G27</f>
        <v>0</v>
      </c>
      <c r="E14" s="171">
        <f t="shared" si="2"/>
        <v>148509</v>
      </c>
      <c r="F14" s="175"/>
      <c r="G14" s="175">
        <f>E14+F14</f>
        <v>148509</v>
      </c>
      <c r="H14" s="176">
        <f t="shared" si="1"/>
        <v>1.5441272341959057E-2</v>
      </c>
      <c r="J14" s="370" t="s">
        <v>347</v>
      </c>
      <c r="K14" s="371">
        <f>G231</f>
        <v>108</v>
      </c>
      <c r="M14" s="359">
        <f t="shared" si="3"/>
        <v>577.85603112840465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490">
        <f>'[68]Sch B'!E32</f>
        <v>4517657</v>
      </c>
      <c r="D15" s="490">
        <f>'[68]Sch B'!G32</f>
        <v>-2809860</v>
      </c>
      <c r="E15" s="171">
        <f t="shared" si="2"/>
        <v>1707797</v>
      </c>
      <c r="F15" s="171"/>
      <c r="G15" s="171">
        <f t="shared" si="0"/>
        <v>1707797</v>
      </c>
      <c r="H15" s="172">
        <f t="shared" si="1"/>
        <v>0.17756875732636171</v>
      </c>
      <c r="J15" s="370" t="s">
        <v>348</v>
      </c>
      <c r="K15" s="371">
        <f>G235</f>
        <v>39420</v>
      </c>
      <c r="M15" s="359">
        <f t="shared" si="3"/>
        <v>388.40050034114171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490">
        <f>'[68]Sch B'!E37</f>
        <v>2408466</v>
      </c>
      <c r="D16" s="490">
        <f>'[68]Sch B'!G37</f>
        <v>2805276</v>
      </c>
      <c r="E16" s="171">
        <f t="shared" si="2"/>
        <v>5213742</v>
      </c>
      <c r="F16" s="171"/>
      <c r="G16" s="171">
        <f t="shared" si="0"/>
        <v>5213742</v>
      </c>
      <c r="H16" s="172">
        <f t="shared" si="1"/>
        <v>0.54210054705580335</v>
      </c>
      <c r="J16" s="372"/>
      <c r="K16" s="371"/>
      <c r="M16" s="359">
        <f t="shared" si="3"/>
        <v>207.19874418789493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490">
        <f>'[68]Sch B'!E42</f>
        <v>25207</v>
      </c>
      <c r="D17" s="490">
        <f>'[68]Sch B'!G42</f>
        <v>0</v>
      </c>
      <c r="E17" s="171">
        <f t="shared" si="2"/>
        <v>25207</v>
      </c>
      <c r="F17" s="171"/>
      <c r="G17" s="171">
        <f>E17+F17</f>
        <v>25207</v>
      </c>
      <c r="H17" s="172">
        <f t="shared" si="1"/>
        <v>2.6209061533224382E-3</v>
      </c>
      <c r="J17" s="370" t="s">
        <v>156</v>
      </c>
      <c r="K17" s="371">
        <f>J208</f>
        <v>296642</v>
      </c>
      <c r="M17" s="359">
        <f t="shared" si="3"/>
        <v>201.65600000000001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490">
        <f>'[68]Sch B'!E47</f>
        <v>0</v>
      </c>
      <c r="D18" s="490">
        <f>'[68]Sch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J18" s="373" t="s">
        <v>252</v>
      </c>
      <c r="K18" s="374">
        <f>K208</f>
        <v>324285</v>
      </c>
      <c r="M18" s="359">
        <f t="shared" si="3"/>
        <v>0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490">
        <f>'[68]Sch B'!E52</f>
        <v>-4584</v>
      </c>
      <c r="D19" s="490">
        <f>'[68]Sch B'!G52</f>
        <v>4584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J19" s="168"/>
      <c r="K19" s="168"/>
      <c r="M19" s="359">
        <f t="shared" si="3"/>
        <v>0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490">
        <f>'[68]Sch B'!E67</f>
        <v>64750</v>
      </c>
      <c r="D20" s="490">
        <f>'[68]Sch B'!G67</f>
        <v>-13282</v>
      </c>
      <c r="E20" s="171">
        <f t="shared" si="2"/>
        <v>51468</v>
      </c>
      <c r="F20" s="171"/>
      <c r="G20" s="171">
        <f t="shared" si="0"/>
        <v>51468</v>
      </c>
      <c r="H20" s="172">
        <f t="shared" si="1"/>
        <v>5.3514023048835341E-3</v>
      </c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490">
        <f>SUM(C11:C20)</f>
        <v>9630948</v>
      </c>
      <c r="D21" s="490">
        <f>SUM(D11:D20)</f>
        <v>-13282</v>
      </c>
      <c r="E21" s="171">
        <f>SUM(E11:E20)</f>
        <v>9617666</v>
      </c>
      <c r="F21" s="171">
        <f>SUM(F11:F20)</f>
        <v>0</v>
      </c>
      <c r="G21" s="171">
        <f>SUM(G11:G20)</f>
        <v>9617666</v>
      </c>
      <c r="H21" s="172">
        <f t="shared" si="1"/>
        <v>1</v>
      </c>
      <c r="J21" s="168"/>
      <c r="K21" s="168"/>
      <c r="M21" s="359">
        <f>IFERROR(G21/G228,0)</f>
        <v>266.46901061147594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144"/>
      <c r="G22" s="144"/>
      <c r="I22" s="140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144"/>
      <c r="G23" s="144"/>
      <c r="I23" s="140"/>
      <c r="M23" s="363"/>
      <c r="N23" s="363"/>
    </row>
    <row r="24" spans="1:14">
      <c r="A24" s="181" t="s">
        <v>161</v>
      </c>
      <c r="B24" s="148" t="s">
        <v>12</v>
      </c>
      <c r="I24" s="140"/>
      <c r="M24" s="363"/>
      <c r="N24" s="363"/>
    </row>
    <row r="25" spans="1:14" s="167" customFormat="1">
      <c r="A25" s="169" t="s">
        <v>83</v>
      </c>
      <c r="B25" s="170" t="s">
        <v>14</v>
      </c>
      <c r="C25" s="490">
        <f>'[68]Sch C'!D10</f>
        <v>0</v>
      </c>
      <c r="D25" s="490">
        <f>'[68]Sch C'!F10</f>
        <v>135798</v>
      </c>
      <c r="E25" s="171">
        <f t="shared" ref="E25:E60" si="4">C25+D25</f>
        <v>135798</v>
      </c>
      <c r="F25" s="171"/>
      <c r="G25" s="182">
        <f>E25+F25</f>
        <v>135798</v>
      </c>
      <c r="H25" s="172">
        <f>IF($G$208=0,0,G25/$G$208)</f>
        <v>1.6248915027931077E-2</v>
      </c>
      <c r="J25" s="183">
        <v>2016</v>
      </c>
      <c r="K25" s="183">
        <v>2152</v>
      </c>
      <c r="M25" s="359">
        <f>G25/G$228</f>
        <v>3.7624470118859614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490">
        <f>'[68]Sch C'!D11</f>
        <v>0</v>
      </c>
      <c r="D26" s="490">
        <f>'[68]Sch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490">
        <f>'[68]Sch C'!D12</f>
        <v>353802</v>
      </c>
      <c r="D27" s="490">
        <f>'[68]Sch C'!F12</f>
        <v>-135798</v>
      </c>
      <c r="E27" s="171">
        <f t="shared" si="4"/>
        <v>218004</v>
      </c>
      <c r="F27" s="171"/>
      <c r="G27" s="171">
        <f t="shared" si="5"/>
        <v>218004</v>
      </c>
      <c r="H27" s="172">
        <f t="shared" si="6"/>
        <v>2.6085277189274409E-2</v>
      </c>
      <c r="J27" s="185">
        <v>11570</v>
      </c>
      <c r="K27" s="185">
        <v>12265</v>
      </c>
      <c r="M27" s="359">
        <f t="shared" si="7"/>
        <v>6.040063170143795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490">
        <f>'[68]Sch C'!D13</f>
        <v>93521</v>
      </c>
      <c r="D28" s="490">
        <f>'[68]Sch C'!F13</f>
        <v>0</v>
      </c>
      <c r="E28" s="171">
        <f t="shared" si="4"/>
        <v>93521</v>
      </c>
      <c r="F28" s="171"/>
      <c r="G28" s="171">
        <f t="shared" si="5"/>
        <v>93521</v>
      </c>
      <c r="H28" s="172">
        <f t="shared" si="6"/>
        <v>1.1190258931111962E-2</v>
      </c>
      <c r="J28" s="168"/>
      <c r="K28" s="168"/>
      <c r="M28" s="359">
        <f t="shared" si="7"/>
        <v>2.5911118499432022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490">
        <f>'[68]Sch C'!D14</f>
        <v>0</v>
      </c>
      <c r="D29" s="490">
        <f>'[68]Sch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490">
        <f>'[68]Sch C'!D15</f>
        <v>0</v>
      </c>
      <c r="D30" s="490">
        <f>'[68]Sch C'!F15</f>
        <v>481522</v>
      </c>
      <c r="E30" s="171">
        <f t="shared" si="4"/>
        <v>481522</v>
      </c>
      <c r="F30" s="171"/>
      <c r="G30" s="171">
        <f t="shared" si="5"/>
        <v>481522</v>
      </c>
      <c r="H30" s="172">
        <f t="shared" si="6"/>
        <v>5.761653383760753E-2</v>
      </c>
      <c r="J30" s="168"/>
      <c r="K30" s="168"/>
      <c r="M30" s="359">
        <f t="shared" si="7"/>
        <v>13.341146482697477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490">
        <f>'[68]Sch C'!D16</f>
        <v>481522</v>
      </c>
      <c r="D31" s="490">
        <f>'[68]Sch C'!F16</f>
        <v>-481522</v>
      </c>
      <c r="E31" s="171">
        <f t="shared" si="4"/>
        <v>0</v>
      </c>
      <c r="F31" s="171"/>
      <c r="G31" s="171">
        <f t="shared" si="5"/>
        <v>0</v>
      </c>
      <c r="H31" s="172">
        <f t="shared" si="6"/>
        <v>0</v>
      </c>
      <c r="J31" s="168"/>
      <c r="K31" s="168"/>
      <c r="M31" s="359">
        <f t="shared" si="7"/>
        <v>0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490">
        <f>'[68]Sch C'!D17</f>
        <v>5546</v>
      </c>
      <c r="D32" s="490">
        <f>'[68]Sch C'!F17</f>
        <v>-5546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J32" s="168"/>
      <c r="K32" s="168"/>
      <c r="M32" s="359">
        <f t="shared" si="7"/>
        <v>0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490">
        <f>'[68]Sch C'!D18</f>
        <v>76227</v>
      </c>
      <c r="D33" s="490">
        <f>'[68]Sch C'!F18</f>
        <v>0</v>
      </c>
      <c r="E33" s="171">
        <f t="shared" si="4"/>
        <v>76227</v>
      </c>
      <c r="F33" s="171"/>
      <c r="G33" s="171">
        <f t="shared" si="5"/>
        <v>76227</v>
      </c>
      <c r="H33" s="172">
        <f t="shared" si="6"/>
        <v>9.120944681321538E-3</v>
      </c>
      <c r="J33" s="168"/>
      <c r="K33" s="168"/>
      <c r="M33" s="359">
        <f t="shared" si="7"/>
        <v>2.1119607680159587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490">
        <f>'[68]Sch C'!D19</f>
        <v>8574</v>
      </c>
      <c r="D34" s="490">
        <f>'[68]Sch C'!F19</f>
        <v>0</v>
      </c>
      <c r="E34" s="171">
        <f t="shared" si="4"/>
        <v>8574</v>
      </c>
      <c r="F34" s="171"/>
      <c r="G34" s="171">
        <f t="shared" si="5"/>
        <v>8574</v>
      </c>
      <c r="H34" s="172">
        <f t="shared" si="6"/>
        <v>1.0259223070257372E-3</v>
      </c>
      <c r="J34" s="168"/>
      <c r="K34" s="168"/>
      <c r="M34" s="359">
        <f t="shared" si="7"/>
        <v>0.23755298811403874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490">
        <f>'[68]Sch C'!D20</f>
        <v>37740</v>
      </c>
      <c r="D35" s="490">
        <f>'[68]Sch C'!F20</f>
        <v>0</v>
      </c>
      <c r="E35" s="171">
        <f t="shared" si="4"/>
        <v>37740</v>
      </c>
      <c r="F35" s="171"/>
      <c r="G35" s="171">
        <f t="shared" si="5"/>
        <v>37740</v>
      </c>
      <c r="H35" s="172">
        <f t="shared" si="6"/>
        <v>4.5157811834792769E-3</v>
      </c>
      <c r="J35" s="168"/>
      <c r="K35" s="168"/>
      <c r="M35" s="359">
        <f t="shared" si="7"/>
        <v>1.0456321170310032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490">
        <f>'[68]Sch C'!D21</f>
        <v>5146</v>
      </c>
      <c r="D36" s="490">
        <f>'[68]Sch C'!F21</f>
        <v>0</v>
      </c>
      <c r="E36" s="171">
        <f t="shared" si="4"/>
        <v>5146</v>
      </c>
      <c r="F36" s="171"/>
      <c r="G36" s="171">
        <f t="shared" si="5"/>
        <v>5146</v>
      </c>
      <c r="H36" s="172">
        <f t="shared" si="6"/>
        <v>6.1574483227833489E-4</v>
      </c>
      <c r="J36" s="168"/>
      <c r="K36" s="168"/>
      <c r="M36" s="359">
        <f t="shared" si="7"/>
        <v>0.14257612279389356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490">
        <f>'[68]Sch C'!D22</f>
        <v>0</v>
      </c>
      <c r="D37" s="490">
        <f>'[68]Sch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490">
        <f>'[68]Sch C'!D23</f>
        <v>15919</v>
      </c>
      <c r="D38" s="490">
        <f>'[68]Sch C'!F23</f>
        <v>0</v>
      </c>
      <c r="E38" s="171">
        <f t="shared" si="4"/>
        <v>15919</v>
      </c>
      <c r="F38" s="171"/>
      <c r="G38" s="171">
        <f t="shared" si="5"/>
        <v>15919</v>
      </c>
      <c r="H38" s="172">
        <f t="shared" si="6"/>
        <v>1.9047885707420933E-3</v>
      </c>
      <c r="J38" s="168"/>
      <c r="K38" s="168"/>
      <c r="M38" s="359">
        <f t="shared" si="7"/>
        <v>0.44105505222619346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490">
        <f>'[68]Sch C'!D24</f>
        <v>5654</v>
      </c>
      <c r="D39" s="490">
        <f>'[68]Sch C'!F24</f>
        <v>0</v>
      </c>
      <c r="E39" s="171">
        <f t="shared" si="4"/>
        <v>5654</v>
      </c>
      <c r="F39" s="171"/>
      <c r="G39" s="171">
        <f t="shared" si="5"/>
        <v>5654</v>
      </c>
      <c r="H39" s="172">
        <f t="shared" si="6"/>
        <v>6.7652959224673639E-4</v>
      </c>
      <c r="J39" s="168"/>
      <c r="K39" s="168"/>
      <c r="M39" s="359">
        <f t="shared" si="7"/>
        <v>0.15665087413071788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490">
        <f>'[68]Sch C'!D25</f>
        <v>0</v>
      </c>
      <c r="D40" s="490">
        <f>'[68]Sch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J40" s="168"/>
      <c r="K40" s="168"/>
      <c r="M40" s="359">
        <f t="shared" si="7"/>
        <v>0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490">
        <f>'[68]Sch C'!D26</f>
        <v>0</v>
      </c>
      <c r="D41" s="490">
        <f>'[68]Sch C'!F26</f>
        <v>0</v>
      </c>
      <c r="E41" s="171">
        <f t="shared" si="4"/>
        <v>0</v>
      </c>
      <c r="F41" s="171"/>
      <c r="G41" s="171">
        <f t="shared" si="5"/>
        <v>0</v>
      </c>
      <c r="H41" s="172">
        <f t="shared" si="6"/>
        <v>0</v>
      </c>
      <c r="J41" s="168"/>
      <c r="K41" s="168"/>
      <c r="M41" s="359">
        <f t="shared" si="7"/>
        <v>0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490">
        <f>'[68]Sch C'!D27</f>
        <v>826</v>
      </c>
      <c r="D42" s="490">
        <f>'[68]Sch C'!F27</f>
        <v>0</v>
      </c>
      <c r="E42" s="171">
        <f t="shared" si="4"/>
        <v>826</v>
      </c>
      <c r="F42" s="171"/>
      <c r="G42" s="171">
        <f t="shared" si="5"/>
        <v>826</v>
      </c>
      <c r="H42" s="172">
        <f t="shared" si="6"/>
        <v>9.8835062468306378E-5</v>
      </c>
      <c r="J42" s="168"/>
      <c r="K42" s="168"/>
      <c r="M42" s="359">
        <f t="shared" si="7"/>
        <v>2.2885324024048984E-2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490">
        <f>'[68]Sch C'!D28</f>
        <v>0</v>
      </c>
      <c r="D43" s="490">
        <f>'[68]Sch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490">
        <f>'[68]Sch C'!D29</f>
        <v>43527</v>
      </c>
      <c r="D44" s="490">
        <f>'[68]Sch C'!F29</f>
        <v>-43527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490">
        <f>'[68]Sch C'!D30</f>
        <v>375</v>
      </c>
      <c r="D45" s="490">
        <f>'[68]Sch C'!F30</f>
        <v>-375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490">
        <f>'[68]Sch C'!D31</f>
        <v>0</v>
      </c>
      <c r="D46" s="490">
        <f>'[68]Sch C'!F31</f>
        <v>0</v>
      </c>
      <c r="E46" s="171">
        <f t="shared" si="4"/>
        <v>0</v>
      </c>
      <c r="F46" s="171"/>
      <c r="G46" s="171">
        <f t="shared" si="5"/>
        <v>0</v>
      </c>
      <c r="H46" s="172">
        <f t="shared" si="6"/>
        <v>0</v>
      </c>
      <c r="J46" s="168"/>
      <c r="K46" s="168"/>
      <c r="M46" s="359">
        <f t="shared" si="7"/>
        <v>0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490">
        <f>'[68]Sch C'!D32</f>
        <v>83213</v>
      </c>
      <c r="D47" s="490">
        <f>'[68]Sch C'!F32</f>
        <v>0</v>
      </c>
      <c r="E47" s="171">
        <f t="shared" si="4"/>
        <v>83213</v>
      </c>
      <c r="F47" s="171"/>
      <c r="G47" s="171">
        <f t="shared" si="5"/>
        <v>83213</v>
      </c>
      <c r="H47" s="172">
        <f t="shared" si="6"/>
        <v>9.956854785926365E-3</v>
      </c>
      <c r="J47" s="168"/>
      <c r="K47" s="168"/>
      <c r="M47" s="359">
        <f t="shared" si="7"/>
        <v>2.3055163051007121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490">
        <f>'[68]Sch C'!D33</f>
        <v>0</v>
      </c>
      <c r="D48" s="490">
        <f>'[68]Sch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490">
        <f>'[68]Sch C'!D34</f>
        <v>83</v>
      </c>
      <c r="D49" s="490">
        <f>'[68]Sch C'!F34</f>
        <v>0</v>
      </c>
      <c r="E49" s="171">
        <f t="shared" si="4"/>
        <v>83</v>
      </c>
      <c r="F49" s="171"/>
      <c r="G49" s="171">
        <f t="shared" si="5"/>
        <v>83</v>
      </c>
      <c r="H49" s="172">
        <f t="shared" si="6"/>
        <v>9.9313682625537882E-6</v>
      </c>
      <c r="J49" s="168"/>
      <c r="K49" s="168"/>
      <c r="M49" s="359">
        <f t="shared" si="7"/>
        <v>2.2996148837724768E-3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490">
        <f>'[68]Sch C'!D35</f>
        <v>0</v>
      </c>
      <c r="D50" s="490">
        <f>'[68]Sch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490">
        <f>'[68]Sch C'!D36</f>
        <v>70294</v>
      </c>
      <c r="D51" s="490">
        <f>'[68]Sch C'!F36</f>
        <v>0</v>
      </c>
      <c r="E51" s="171">
        <f t="shared" si="4"/>
        <v>70294</v>
      </c>
      <c r="F51" s="171"/>
      <c r="G51" s="171">
        <f t="shared" si="5"/>
        <v>70294</v>
      </c>
      <c r="H51" s="172">
        <f t="shared" si="6"/>
        <v>8.4110313331079035E-3</v>
      </c>
      <c r="J51" s="183">
        <v>5705</v>
      </c>
      <c r="K51" s="183">
        <v>6195</v>
      </c>
      <c r="M51" s="359">
        <f t="shared" si="7"/>
        <v>1.947579863131355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490">
        <f>'[68]Sch C'!D37</f>
        <v>8593</v>
      </c>
      <c r="D52" s="490">
        <f>'[68]Sch C'!F37</f>
        <v>0</v>
      </c>
      <c r="E52" s="171">
        <f t="shared" si="4"/>
        <v>8593</v>
      </c>
      <c r="F52" s="171"/>
      <c r="G52" s="171">
        <f t="shared" si="5"/>
        <v>8593</v>
      </c>
      <c r="H52" s="172">
        <f t="shared" si="6"/>
        <v>1.0281957527725866E-3</v>
      </c>
      <c r="J52" s="168"/>
      <c r="K52" s="168"/>
      <c r="M52" s="359">
        <f t="shared" si="7"/>
        <v>0.23807940597899871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490">
        <f>'[68]Sch C'!D38</f>
        <v>2629</v>
      </c>
      <c r="D53" s="490">
        <f>'[68]Sch C'!F38</f>
        <v>-2629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J53" s="168"/>
      <c r="K53" s="168"/>
      <c r="M53" s="359">
        <f t="shared" si="7"/>
        <v>0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490">
        <f>'[68]Sch C'!D39</f>
        <v>8226</v>
      </c>
      <c r="D54" s="490">
        <f>'[68]Sch C'!F39</f>
        <v>0</v>
      </c>
      <c r="E54" s="171">
        <f t="shared" si="4"/>
        <v>8226</v>
      </c>
      <c r="F54" s="171"/>
      <c r="G54" s="171">
        <f t="shared" si="5"/>
        <v>8226</v>
      </c>
      <c r="H54" s="172">
        <f t="shared" si="6"/>
        <v>9.8428235334659586E-4</v>
      </c>
      <c r="J54" s="168"/>
      <c r="K54" s="168"/>
      <c r="M54" s="359">
        <f t="shared" si="7"/>
        <v>0.22791122932424571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490">
        <f>'[68]Sch C'!D40</f>
        <v>28731</v>
      </c>
      <c r="D55" s="490">
        <f>'[68]Sch C'!F40</f>
        <v>-28731</v>
      </c>
      <c r="E55" s="171">
        <f t="shared" si="4"/>
        <v>0</v>
      </c>
      <c r="F55" s="171"/>
      <c r="G55" s="171">
        <f t="shared" si="5"/>
        <v>0</v>
      </c>
      <c r="H55" s="172">
        <f t="shared" si="6"/>
        <v>0</v>
      </c>
      <c r="J55" s="168"/>
      <c r="K55" s="168"/>
      <c r="M55" s="359">
        <f t="shared" si="7"/>
        <v>0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490">
        <f>'[68]Sch C'!D41</f>
        <v>72665</v>
      </c>
      <c r="D56" s="490">
        <f>'[68]Sch C'!F41</f>
        <v>0</v>
      </c>
      <c r="E56" s="171">
        <f t="shared" si="4"/>
        <v>72665</v>
      </c>
      <c r="F56" s="171"/>
      <c r="G56" s="171">
        <f t="shared" si="5"/>
        <v>72665</v>
      </c>
      <c r="H56" s="172">
        <f t="shared" si="6"/>
        <v>8.6947334313068787E-3</v>
      </c>
      <c r="J56" s="168"/>
      <c r="K56" s="168"/>
      <c r="M56" s="359">
        <f t="shared" si="7"/>
        <v>2.013271271437675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490">
        <f>'[68]Sch C'!D42</f>
        <v>1622</v>
      </c>
      <c r="D57" s="490">
        <f>'[68]Sch C'!F42</f>
        <v>0</v>
      </c>
      <c r="E57" s="171">
        <f t="shared" si="4"/>
        <v>1622</v>
      </c>
      <c r="F57" s="171"/>
      <c r="G57" s="171">
        <f t="shared" si="5"/>
        <v>1622</v>
      </c>
      <c r="H57" s="172">
        <f t="shared" si="6"/>
        <v>1.9408047375737644E-4</v>
      </c>
      <c r="J57" s="168"/>
      <c r="K57" s="168"/>
      <c r="M57" s="359">
        <f t="shared" si="7"/>
        <v>4.4939461945529606E-2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490">
        <f>'[68]Sch C'!D43</f>
        <v>1884</v>
      </c>
      <c r="D58" s="490">
        <f>'[68]Sch C'!F43</f>
        <v>-1884</v>
      </c>
      <c r="E58" s="171">
        <f t="shared" si="4"/>
        <v>0</v>
      </c>
      <c r="F58" s="171"/>
      <c r="G58" s="171">
        <f t="shared" si="5"/>
        <v>0</v>
      </c>
      <c r="H58" s="172">
        <f t="shared" si="6"/>
        <v>0</v>
      </c>
      <c r="J58" s="168"/>
      <c r="K58" s="168"/>
      <c r="M58" s="359">
        <f t="shared" si="7"/>
        <v>0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490">
        <f>'[68]Sch C'!D44</f>
        <v>0</v>
      </c>
      <c r="D59" s="490">
        <f>'[68]Sch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J59" s="168"/>
      <c r="K59" s="168"/>
      <c r="M59" s="359">
        <f t="shared" si="7"/>
        <v>0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490">
        <f>'[68]Sch C'!D45</f>
        <v>426885</v>
      </c>
      <c r="D60" s="490">
        <f>'[68]Sch C'!F45</f>
        <v>-375419</v>
      </c>
      <c r="E60" s="171">
        <f t="shared" si="4"/>
        <v>51466</v>
      </c>
      <c r="F60" s="171"/>
      <c r="G60" s="171">
        <f t="shared" si="5"/>
        <v>51466</v>
      </c>
      <c r="H60" s="172">
        <f t="shared" si="6"/>
        <v>6.1581662530191955E-3</v>
      </c>
      <c r="J60" s="168"/>
      <c r="K60" s="168"/>
      <c r="M60" s="359">
        <f t="shared" si="7"/>
        <v>1.4259274651594491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490">
        <f>SUM(C25:C60)</f>
        <v>1833204</v>
      </c>
      <c r="D61" s="490">
        <f>SUM(D25:D60)</f>
        <v>-458111</v>
      </c>
      <c r="E61" s="171">
        <f t="shared" ref="E61:F61" si="8">SUM(E25:E60)</f>
        <v>1375093</v>
      </c>
      <c r="F61" s="171">
        <f t="shared" si="8"/>
        <v>0</v>
      </c>
      <c r="G61" s="171">
        <f>SUM(G25:G60)</f>
        <v>1375093</v>
      </c>
      <c r="H61" s="186">
        <f t="shared" si="6"/>
        <v>0.16453680696698644</v>
      </c>
      <c r="J61" s="168"/>
      <c r="K61" s="168"/>
      <c r="M61" s="364">
        <f>G61/G$228</f>
        <v>38.098606377968025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490">
        <f>'[68]Sch C'!D57</f>
        <v>0</v>
      </c>
      <c r="D64" s="490">
        <f>'[68]Sch C'!F57</f>
        <v>0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J64" s="190"/>
      <c r="K64" s="168"/>
      <c r="M64" s="359">
        <f t="shared" ref="M64:M79" si="12">G64/G$228</f>
        <v>0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490">
        <f>'[68]Sch C'!D58</f>
        <v>546</v>
      </c>
      <c r="D65" s="490">
        <f>'[68]Sch C'!F58</f>
        <v>0</v>
      </c>
      <c r="E65" s="171">
        <f t="shared" si="9"/>
        <v>546</v>
      </c>
      <c r="F65" s="171"/>
      <c r="G65" s="171">
        <f t="shared" si="10"/>
        <v>546</v>
      </c>
      <c r="H65" s="172">
        <f t="shared" si="11"/>
        <v>6.5331651462100819E-5</v>
      </c>
      <c r="J65" s="190"/>
      <c r="K65" s="168"/>
      <c r="M65" s="359">
        <f t="shared" si="12"/>
        <v>1.5127587066744243E-2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490">
        <f>'[68]Sch C'!D59</f>
        <v>0</v>
      </c>
      <c r="D66" s="490">
        <f>'[68]Sch C'!F59</f>
        <v>0</v>
      </c>
      <c r="E66" s="171">
        <f t="shared" si="9"/>
        <v>0</v>
      </c>
      <c r="F66" s="171"/>
      <c r="G66" s="171">
        <f t="shared" si="10"/>
        <v>0</v>
      </c>
      <c r="H66" s="172">
        <f t="shared" si="11"/>
        <v>0</v>
      </c>
      <c r="J66" s="190"/>
      <c r="K66" s="168"/>
      <c r="M66" s="359">
        <f t="shared" si="12"/>
        <v>0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490">
        <f>'[68]Sch C'!D60</f>
        <v>0</v>
      </c>
      <c r="D67" s="490">
        <f>'[68]Sch C'!F60</f>
        <v>0</v>
      </c>
      <c r="E67" s="171">
        <f t="shared" si="9"/>
        <v>0</v>
      </c>
      <c r="F67" s="171"/>
      <c r="G67" s="171">
        <f t="shared" si="10"/>
        <v>0</v>
      </c>
      <c r="H67" s="172">
        <f t="shared" si="11"/>
        <v>0</v>
      </c>
      <c r="J67" s="193"/>
      <c r="K67" s="168"/>
      <c r="M67" s="359">
        <f t="shared" si="12"/>
        <v>0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490">
        <f>'[68]Sch C'!D61</f>
        <v>20013</v>
      </c>
      <c r="D68" s="490">
        <f>'[68]Sch C'!F61</f>
        <v>0</v>
      </c>
      <c r="E68" s="171">
        <f t="shared" si="9"/>
        <v>20013</v>
      </c>
      <c r="F68" s="171"/>
      <c r="G68" s="171">
        <f t="shared" si="10"/>
        <v>20013</v>
      </c>
      <c r="H68" s="172">
        <f t="shared" si="11"/>
        <v>2.3946563016685415E-3</v>
      </c>
      <c r="J68" s="193"/>
      <c r="K68" s="168"/>
      <c r="M68" s="359">
        <f t="shared" si="12"/>
        <v>0.55448424902335636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490">
        <f>'[68]Sch C'!D62</f>
        <v>805</v>
      </c>
      <c r="D69" s="490">
        <f>'[68]Sch C'!F62</f>
        <v>0</v>
      </c>
      <c r="E69" s="171">
        <f t="shared" si="9"/>
        <v>805</v>
      </c>
      <c r="F69" s="171"/>
      <c r="G69" s="171">
        <f t="shared" si="10"/>
        <v>805</v>
      </c>
      <c r="H69" s="172">
        <f t="shared" si="11"/>
        <v>9.6322306642840952E-5</v>
      </c>
      <c r="J69" s="195"/>
      <c r="K69" s="168"/>
      <c r="M69" s="359">
        <f t="shared" si="12"/>
        <v>2.230349375225113E-2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490">
        <f>'[68]Sch C'!D63</f>
        <v>0</v>
      </c>
      <c r="D70" s="490">
        <f>'[68]Sch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490">
        <f>'[68]Sch C'!D64</f>
        <v>0</v>
      </c>
      <c r="D71" s="490">
        <f>'[68]Sch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490">
        <f>'[68]Sch C'!D65</f>
        <v>1707</v>
      </c>
      <c r="D72" s="490">
        <f>'[68]Sch C'!F65</f>
        <v>0</v>
      </c>
      <c r="E72" s="171">
        <f t="shared" si="9"/>
        <v>1707</v>
      </c>
      <c r="F72" s="171"/>
      <c r="G72" s="171">
        <f t="shared" si="10"/>
        <v>1707</v>
      </c>
      <c r="H72" s="172">
        <f t="shared" si="11"/>
        <v>2.0425115209854596E-4</v>
      </c>
      <c r="J72" s="195"/>
      <c r="K72" s="168"/>
      <c r="M72" s="359">
        <f t="shared" si="12"/>
        <v>4.7294489236139971E-2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490">
        <f>'[68]Sch C'!D66</f>
        <v>21619</v>
      </c>
      <c r="D73" s="490">
        <f>'[68]Sch C'!F66</f>
        <v>0</v>
      </c>
      <c r="E73" s="171">
        <f t="shared" si="9"/>
        <v>21619</v>
      </c>
      <c r="F73" s="171"/>
      <c r="G73" s="171">
        <f t="shared" si="10"/>
        <v>21619</v>
      </c>
      <c r="H73" s="172">
        <f t="shared" si="11"/>
        <v>2.5868222947969923E-3</v>
      </c>
      <c r="J73" s="195"/>
      <c r="K73" s="168"/>
      <c r="M73" s="359">
        <f t="shared" si="12"/>
        <v>0.59898041171418281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490">
        <f>'[68]Sch C'!D67</f>
        <v>16727</v>
      </c>
      <c r="D74" s="490">
        <f>'[68]Sch C'!F67</f>
        <v>0</v>
      </c>
      <c r="E74" s="171">
        <f t="shared" si="9"/>
        <v>16727</v>
      </c>
      <c r="F74" s="171"/>
      <c r="G74" s="171">
        <f t="shared" si="10"/>
        <v>16727</v>
      </c>
      <c r="H74" s="172">
        <f t="shared" si="11"/>
        <v>2.0014698425028579E-3</v>
      </c>
      <c r="J74" s="195"/>
      <c r="K74" s="168"/>
      <c r="M74" s="359">
        <f t="shared" si="12"/>
        <v>0.4634416645887014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490">
        <f>'[68]Sch C'!D68</f>
        <v>0</v>
      </c>
      <c r="D75" s="490">
        <f>'[68]Sch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490">
        <f>'[68]Sch C'!D69</f>
        <v>911</v>
      </c>
      <c r="D76" s="490">
        <f>'[68]Sch C'!F69</f>
        <v>0</v>
      </c>
      <c r="E76" s="171">
        <f t="shared" si="9"/>
        <v>911</v>
      </c>
      <c r="F76" s="171"/>
      <c r="G76" s="171">
        <f t="shared" si="10"/>
        <v>911</v>
      </c>
      <c r="H76" s="172">
        <f t="shared" si="11"/>
        <v>1.0900574080947591E-4</v>
      </c>
      <c r="J76" s="195"/>
      <c r="K76" s="168"/>
      <c r="M76" s="359">
        <f t="shared" si="12"/>
        <v>2.5240351314659352E-2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490">
        <f>'[68]Sch C'!D70</f>
        <v>0</v>
      </c>
      <c r="D77" s="490">
        <f>'[68]Sch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490">
        <f>'[68]Sch C'!D71</f>
        <v>0</v>
      </c>
      <c r="D78" s="490">
        <f>'[68]Sch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490">
        <f>SUM(C64:C78)</f>
        <v>62328</v>
      </c>
      <c r="D79" s="490">
        <f>SUM(D64:D78)</f>
        <v>0</v>
      </c>
      <c r="E79" s="171">
        <f t="shared" ref="E79:F79" si="13">SUM(E64:E78)</f>
        <v>62328</v>
      </c>
      <c r="F79" s="171">
        <f t="shared" si="13"/>
        <v>0</v>
      </c>
      <c r="G79" s="171">
        <f>SUM(G64:G78)</f>
        <v>62328</v>
      </c>
      <c r="H79" s="172">
        <f t="shared" si="11"/>
        <v>7.4578592899813556E-3</v>
      </c>
      <c r="J79" s="195"/>
      <c r="K79" s="168"/>
      <c r="M79" s="359">
        <f t="shared" si="12"/>
        <v>1.7268722466960353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490">
        <f>'[68]Sch C'!D75</f>
        <v>65752</v>
      </c>
      <c r="D82" s="490">
        <f>'[68]Sch C'!F75</f>
        <v>0</v>
      </c>
      <c r="E82" s="171">
        <f t="shared" ref="E82:E92" si="14">C82+D82</f>
        <v>65752</v>
      </c>
      <c r="F82" s="171"/>
      <c r="G82" s="171">
        <f t="shared" ref="G82:G92" si="15">E82+F82</f>
        <v>65752</v>
      </c>
      <c r="H82" s="172">
        <f t="shared" ref="H82:H93" si="16">IF($G$208=0,0,G82/$G$208)</f>
        <v>7.8675581445715268E-3</v>
      </c>
      <c r="J82" s="183">
        <v>3788</v>
      </c>
      <c r="K82" s="183">
        <v>4029</v>
      </c>
      <c r="M82" s="359">
        <f t="shared" ref="M82:M92" si="17">G82/G$228</f>
        <v>1.8217382872025047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490">
        <f>'[68]Sch C'!D76</f>
        <v>24637</v>
      </c>
      <c r="D83" s="490">
        <f>'[68]Sch C'!F76</f>
        <v>0</v>
      </c>
      <c r="E83" s="171">
        <f t="shared" si="14"/>
        <v>24637</v>
      </c>
      <c r="F83" s="171"/>
      <c r="G83" s="171">
        <f t="shared" si="15"/>
        <v>24637</v>
      </c>
      <c r="H83" s="172">
        <f t="shared" si="16"/>
        <v>2.9479412034281649E-3</v>
      </c>
      <c r="J83" s="168"/>
      <c r="K83" s="168"/>
      <c r="M83" s="359">
        <f t="shared" si="17"/>
        <v>0.68259773363256038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490">
        <f>'[68]Sch C'!D77</f>
        <v>17140</v>
      </c>
      <c r="D84" s="490">
        <f>'[68]Sch C'!F77</f>
        <v>0</v>
      </c>
      <c r="E84" s="171">
        <f t="shared" si="14"/>
        <v>17140</v>
      </c>
      <c r="F84" s="171"/>
      <c r="G84" s="171">
        <f t="shared" si="15"/>
        <v>17140</v>
      </c>
      <c r="H84" s="172">
        <f t="shared" si="16"/>
        <v>2.0508873737370113E-3</v>
      </c>
      <c r="J84" s="168"/>
      <c r="K84" s="168"/>
      <c r="M84" s="359">
        <f t="shared" si="17"/>
        <v>0.47488432660072588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490">
        <f>'[68]Sch C'!D78</f>
        <v>0</v>
      </c>
      <c r="D85" s="490">
        <f>'[68]Sch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J85" s="168"/>
      <c r="K85" s="168"/>
      <c r="M85" s="359">
        <f t="shared" si="17"/>
        <v>0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490">
        <f>'[68]Sch C'!D79</f>
        <v>6685</v>
      </c>
      <c r="D86" s="490">
        <f>'[68]Sch C'!F79</f>
        <v>0</v>
      </c>
      <c r="E86" s="171">
        <f t="shared" si="14"/>
        <v>6685</v>
      </c>
      <c r="F86" s="171"/>
      <c r="G86" s="171">
        <f>E86+F86</f>
        <v>6685</v>
      </c>
      <c r="H86" s="172">
        <f t="shared" si="16"/>
        <v>7.998939377731575E-4</v>
      </c>
      <c r="J86" s="168"/>
      <c r="K86" s="168"/>
      <c r="M86" s="359">
        <f t="shared" si="17"/>
        <v>0.18521596985565067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490">
        <f>'[68]Sch C'!D80</f>
        <v>23139</v>
      </c>
      <c r="D87" s="490">
        <f>'[68]Sch C'!F80</f>
        <v>0</v>
      </c>
      <c r="E87" s="171">
        <f t="shared" si="14"/>
        <v>23139</v>
      </c>
      <c r="F87" s="171"/>
      <c r="G87" s="171">
        <f t="shared" si="15"/>
        <v>23139</v>
      </c>
      <c r="H87" s="172">
        <f t="shared" si="16"/>
        <v>2.7686979545449649E-3</v>
      </c>
      <c r="J87" s="168"/>
      <c r="K87" s="168"/>
      <c r="M87" s="359">
        <f t="shared" si="17"/>
        <v>0.64109384091097998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490">
        <f>'[68]Sch C'!D81</f>
        <v>27691</v>
      </c>
      <c r="D88" s="490">
        <f>'[68]Sch C'!F81</f>
        <v>0</v>
      </c>
      <c r="E88" s="171">
        <f t="shared" si="14"/>
        <v>27691</v>
      </c>
      <c r="F88" s="171"/>
      <c r="G88" s="171">
        <f t="shared" si="15"/>
        <v>27691</v>
      </c>
      <c r="H88" s="172">
        <f t="shared" si="16"/>
        <v>3.3133676934744209E-3</v>
      </c>
      <c r="J88" s="168"/>
      <c r="K88" s="168"/>
      <c r="M88" s="359">
        <f t="shared" si="17"/>
        <v>0.76721247887401989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490">
        <f>'[68]Sch C'!D82</f>
        <v>18388</v>
      </c>
      <c r="D89" s="490">
        <f>'[68]Sch C'!F82</f>
        <v>0</v>
      </c>
      <c r="E89" s="171">
        <f t="shared" si="14"/>
        <v>18388</v>
      </c>
      <c r="F89" s="171"/>
      <c r="G89" s="171">
        <f t="shared" si="15"/>
        <v>18388</v>
      </c>
      <c r="H89" s="172">
        <f t="shared" si="16"/>
        <v>2.2002168627932414E-3</v>
      </c>
      <c r="J89" s="168"/>
      <c r="K89" s="168"/>
      <c r="M89" s="359">
        <f t="shared" si="17"/>
        <v>0.50946166846756991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490">
        <f>'[68]Sch C'!D83</f>
        <v>30014</v>
      </c>
      <c r="D90" s="490">
        <f>'[68]Sch C'!F83</f>
        <v>0</v>
      </c>
      <c r="E90" s="171">
        <f t="shared" si="14"/>
        <v>30014</v>
      </c>
      <c r="F90" s="171"/>
      <c r="G90" s="171">
        <f t="shared" si="15"/>
        <v>30014</v>
      </c>
      <c r="H90" s="172">
        <f t="shared" si="16"/>
        <v>3.5913263497866191E-3</v>
      </c>
      <c r="J90" s="168"/>
      <c r="K90" s="168"/>
      <c r="M90" s="359">
        <f t="shared" si="17"/>
        <v>0.83157398941623029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490">
        <f>'[68]Sch C'!D84</f>
        <v>212314</v>
      </c>
      <c r="D91" s="490">
        <f>'[68]Sch C'!F84</f>
        <v>0</v>
      </c>
      <c r="E91" s="171">
        <f t="shared" si="14"/>
        <v>212314</v>
      </c>
      <c r="F91" s="171"/>
      <c r="G91" s="171">
        <f t="shared" si="15"/>
        <v>212314</v>
      </c>
      <c r="H91" s="172">
        <f t="shared" si="16"/>
        <v>2.5404440015612588E-2</v>
      </c>
      <c r="J91" s="168"/>
      <c r="K91" s="168"/>
      <c r="M91" s="359">
        <f t="shared" si="17"/>
        <v>5.8824148726899956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490">
        <f>'[68]Sch C'!D85</f>
        <v>332</v>
      </c>
      <c r="D92" s="490">
        <f>'[68]Sch C'!F85</f>
        <v>0</v>
      </c>
      <c r="E92" s="171">
        <f t="shared" si="14"/>
        <v>332</v>
      </c>
      <c r="F92" s="171"/>
      <c r="G92" s="171">
        <f t="shared" si="15"/>
        <v>332</v>
      </c>
      <c r="H92" s="172">
        <f t="shared" si="16"/>
        <v>3.9725473050215153E-5</v>
      </c>
      <c r="J92" s="168"/>
      <c r="K92" s="168"/>
      <c r="M92" s="359">
        <f t="shared" si="17"/>
        <v>9.1984595350899073E-3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490">
        <f>SUM(C82:C92)</f>
        <v>426092</v>
      </c>
      <c r="D93" s="490">
        <f>SUM(D82:D92)</f>
        <v>0</v>
      </c>
      <c r="E93" s="171">
        <f t="shared" ref="E93:F93" si="18">SUM(E82:E92)</f>
        <v>426092</v>
      </c>
      <c r="F93" s="171">
        <f t="shared" si="18"/>
        <v>0</v>
      </c>
      <c r="G93" s="171">
        <f>SUM(G82:G92)</f>
        <v>426092</v>
      </c>
      <c r="H93" s="172">
        <f t="shared" si="16"/>
        <v>5.0984055008771914E-2</v>
      </c>
      <c r="J93" s="168"/>
      <c r="K93" s="168"/>
      <c r="M93" s="364">
        <f>G93/G$228</f>
        <v>11.805391627185326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490">
        <f>'[68]Sch C'!D89</f>
        <v>417992</v>
      </c>
      <c r="D96" s="490">
        <f>'[68]Sch C'!F89</f>
        <v>0</v>
      </c>
      <c r="E96" s="171">
        <f t="shared" ref="E96:E101" si="19">C96+D96</f>
        <v>417992</v>
      </c>
      <c r="F96" s="171"/>
      <c r="G96" s="171">
        <f t="shared" ref="G96:G101" si="20">E96+F96</f>
        <v>417992</v>
      </c>
      <c r="H96" s="172">
        <f t="shared" ref="H96:H102" si="21">IF($G$208=0,0,G96/$G$208)</f>
        <v>5.0014849190378109E-2</v>
      </c>
      <c r="J96" s="183">
        <v>38339</v>
      </c>
      <c r="K96" s="183">
        <v>39598</v>
      </c>
      <c r="M96" s="364">
        <f t="shared" ref="M96:M101" si="22">G96/G$228</f>
        <v>11.580971379491869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490">
        <f>'[68]Sch C'!D90</f>
        <v>83232</v>
      </c>
      <c r="D97" s="490">
        <f>'[68]Sch C'!F90</f>
        <v>0</v>
      </c>
      <c r="E97" s="171">
        <f t="shared" si="19"/>
        <v>83232</v>
      </c>
      <c r="F97" s="171"/>
      <c r="G97" s="171">
        <f t="shared" si="20"/>
        <v>83232</v>
      </c>
      <c r="H97" s="172">
        <f t="shared" si="21"/>
        <v>9.9591282316732147E-3</v>
      </c>
      <c r="J97" s="168"/>
      <c r="K97" s="168"/>
      <c r="M97" s="364">
        <f t="shared" si="22"/>
        <v>2.3060427229656719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490">
        <f>'[68]Sch C'!D91</f>
        <v>19741</v>
      </c>
      <c r="D98" s="490">
        <f>'[68]Sch C'!F91</f>
        <v>0</v>
      </c>
      <c r="E98" s="171">
        <f t="shared" si="19"/>
        <v>19741</v>
      </c>
      <c r="F98" s="171"/>
      <c r="G98" s="171">
        <f t="shared" si="20"/>
        <v>19741</v>
      </c>
      <c r="H98" s="172">
        <f t="shared" si="21"/>
        <v>2.362110130976799E-3</v>
      </c>
      <c r="J98" s="168"/>
      <c r="K98" s="168"/>
      <c r="M98" s="364">
        <f t="shared" si="22"/>
        <v>0.5469481616934031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490">
        <f>'[68]Sch C'!D92</f>
        <v>339531</v>
      </c>
      <c r="D99" s="490">
        <f>'[68]Sch C'!F92</f>
        <v>3877</v>
      </c>
      <c r="E99" s="171">
        <f t="shared" si="19"/>
        <v>343408</v>
      </c>
      <c r="F99" s="171"/>
      <c r="G99" s="171">
        <f t="shared" si="20"/>
        <v>343408</v>
      </c>
      <c r="H99" s="172">
        <f t="shared" si="21"/>
        <v>4.109049773863941E-2</v>
      </c>
      <c r="J99" s="168"/>
      <c r="K99" s="168"/>
      <c r="M99" s="364">
        <f t="shared" si="22"/>
        <v>9.5145319036932374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490">
        <f>'[68]Sch C'!D93</f>
        <v>24428</v>
      </c>
      <c r="D100" s="490">
        <f>'[68]Sch C'!F93</f>
        <v>0</v>
      </c>
      <c r="E100" s="171">
        <f t="shared" si="19"/>
        <v>24428</v>
      </c>
      <c r="F100" s="171"/>
      <c r="G100" s="171">
        <f t="shared" si="20"/>
        <v>24428</v>
      </c>
      <c r="H100" s="172">
        <f t="shared" si="21"/>
        <v>2.9229333002128185E-3</v>
      </c>
      <c r="J100" s="168"/>
      <c r="K100" s="168"/>
      <c r="M100" s="364">
        <f t="shared" si="22"/>
        <v>0.67680713711800067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490">
        <f>'[68]Sch C'!D94</f>
        <v>0</v>
      </c>
      <c r="D101" s="490">
        <f>'[68]Sch C'!F94</f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J101" s="168"/>
      <c r="K101" s="168"/>
      <c r="M101" s="364">
        <f t="shared" si="22"/>
        <v>0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490">
        <f>SUM(C96:C101)</f>
        <v>884924</v>
      </c>
      <c r="D102" s="490">
        <f>SUM(D96:D101)</f>
        <v>3877</v>
      </c>
      <c r="E102" s="171">
        <f t="shared" ref="E102:F102" si="23">SUM(E96:E101)</f>
        <v>888801</v>
      </c>
      <c r="F102" s="171">
        <f t="shared" si="23"/>
        <v>0</v>
      </c>
      <c r="G102" s="171">
        <f>SUM(G96:G101)</f>
        <v>888801</v>
      </c>
      <c r="H102" s="172">
        <f t="shared" si="21"/>
        <v>0.10634951859188035</v>
      </c>
      <c r="J102" s="168"/>
      <c r="K102" s="168"/>
      <c r="M102" s="364">
        <f>G102/G$228</f>
        <v>24.625301304962182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490">
        <f>'[68]Sch C'!D98</f>
        <v>60939</v>
      </c>
      <c r="D105" s="490">
        <f>'[68]Sch C'!F98</f>
        <v>0</v>
      </c>
      <c r="E105" s="171">
        <f t="shared" ref="E105:E110" si="24">C105+D105</f>
        <v>60939</v>
      </c>
      <c r="F105" s="171"/>
      <c r="G105" s="171">
        <f t="shared" ref="G105:G110" si="25">E105+F105</f>
        <v>60939</v>
      </c>
      <c r="H105" s="172">
        <f t="shared" ref="H105:H111" si="26">IF($G$208=0,0,G105/$G$208)</f>
        <v>7.2916584403827141E-3</v>
      </c>
      <c r="J105" s="183">
        <v>6772</v>
      </c>
      <c r="K105" s="183">
        <v>7017</v>
      </c>
      <c r="M105" s="364">
        <f t="shared" ref="M105:M110" si="27">G105/G$228</f>
        <v>1.6883883301471199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490">
        <f>'[68]Sch C'!D99</f>
        <v>10939</v>
      </c>
      <c r="D106" s="490">
        <f>'[68]Sch C'!F99</f>
        <v>0</v>
      </c>
      <c r="E106" s="171">
        <f t="shared" si="24"/>
        <v>10939</v>
      </c>
      <c r="F106" s="171"/>
      <c r="G106" s="171">
        <f t="shared" si="25"/>
        <v>10939</v>
      </c>
      <c r="H106" s="172">
        <f t="shared" si="26"/>
        <v>1.308906474988866E-3</v>
      </c>
      <c r="J106" s="168"/>
      <c r="K106" s="168"/>
      <c r="M106" s="364">
        <f t="shared" si="27"/>
        <v>0.30307815919984482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490">
        <f>'[68]Sch C'!D100</f>
        <v>6010</v>
      </c>
      <c r="D107" s="490">
        <f>'[68]Sch C'!F100</f>
        <v>0</v>
      </c>
      <c r="E107" s="171">
        <f t="shared" si="24"/>
        <v>6010</v>
      </c>
      <c r="F107" s="171"/>
      <c r="G107" s="171">
        <f t="shared" si="25"/>
        <v>6010</v>
      </c>
      <c r="H107" s="172">
        <f t="shared" si="26"/>
        <v>7.1912678624034057E-4</v>
      </c>
      <c r="J107" s="168"/>
      <c r="K107" s="168"/>
      <c r="M107" s="364">
        <f t="shared" si="27"/>
        <v>0.16651428254786246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490">
        <f>'[68]Sch C'!D101</f>
        <v>33</v>
      </c>
      <c r="D108" s="490">
        <f>'[68]Sch C'!F101</f>
        <v>0</v>
      </c>
      <c r="E108" s="171">
        <f t="shared" si="24"/>
        <v>33</v>
      </c>
      <c r="F108" s="171"/>
      <c r="G108" s="171">
        <f t="shared" si="25"/>
        <v>33</v>
      </c>
      <c r="H108" s="172">
        <f t="shared" si="26"/>
        <v>3.9486162971599401E-6</v>
      </c>
      <c r="J108" s="168"/>
      <c r="K108" s="168"/>
      <c r="M108" s="364">
        <f t="shared" si="27"/>
        <v>9.1430471282520154E-4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490">
        <f>'[68]Sch C'!D102</f>
        <v>12520</v>
      </c>
      <c r="D109" s="490">
        <f>'[68]Sch C'!F102</f>
        <v>0</v>
      </c>
      <c r="E109" s="171">
        <f t="shared" si="24"/>
        <v>12520</v>
      </c>
      <c r="F109" s="171"/>
      <c r="G109" s="171">
        <f t="shared" si="25"/>
        <v>12520</v>
      </c>
      <c r="H109" s="172">
        <f t="shared" si="26"/>
        <v>1.4980810921346197E-3</v>
      </c>
      <c r="J109" s="168"/>
      <c r="K109" s="168"/>
      <c r="M109" s="364">
        <f t="shared" si="27"/>
        <v>0.34688166680519766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490">
        <f>'[68]Sch C'!D103</f>
        <v>0</v>
      </c>
      <c r="D110" s="490">
        <f>'[68]Sch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J110" s="168"/>
      <c r="K110" s="168"/>
      <c r="M110" s="364">
        <f t="shared" si="27"/>
        <v>0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490">
        <f>SUM(C105:C110)</f>
        <v>90441</v>
      </c>
      <c r="D111" s="490">
        <f>SUM(D105:D110)</f>
        <v>0</v>
      </c>
      <c r="E111" s="171">
        <f t="shared" ref="E111:F111" si="28">SUM(E105:E110)</f>
        <v>90441</v>
      </c>
      <c r="F111" s="171">
        <f t="shared" si="28"/>
        <v>0</v>
      </c>
      <c r="G111" s="171">
        <f>SUM(G105:G110)</f>
        <v>90441</v>
      </c>
      <c r="H111" s="172">
        <f t="shared" si="26"/>
        <v>1.08217214100437E-2</v>
      </c>
      <c r="J111" s="168"/>
      <c r="K111" s="168"/>
      <c r="M111" s="364">
        <f>G111/G$228</f>
        <v>2.5057767434128499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490">
        <f>'[68]Sch C'!D115</f>
        <v>140618</v>
      </c>
      <c r="D114" s="490">
        <f>'[68]Sch C'!F115</f>
        <v>0</v>
      </c>
      <c r="E114" s="171">
        <f t="shared" ref="E114:E118" si="29">C114+D114</f>
        <v>140618</v>
      </c>
      <c r="F114" s="171"/>
      <c r="G114" s="171">
        <f>E114+F114</f>
        <v>140618</v>
      </c>
      <c r="H114" s="172">
        <f t="shared" ref="H114:H119" si="30">IF($G$208=0,0,G114/$G$208)</f>
        <v>1.6825652317395044E-2</v>
      </c>
      <c r="J114" s="183">
        <v>15105</v>
      </c>
      <c r="K114" s="183">
        <v>15581</v>
      </c>
      <c r="M114" s="364">
        <f t="shared" ref="M114:M119" si="31">G114/G$228</f>
        <v>3.8959909123652787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490">
        <f>'[68]Sch C'!D116</f>
        <v>32654</v>
      </c>
      <c r="D115" s="490">
        <f>'[68]Sch C'!F116</f>
        <v>0</v>
      </c>
      <c r="E115" s="171">
        <f t="shared" si="29"/>
        <v>32654</v>
      </c>
      <c r="F115" s="171"/>
      <c r="G115" s="171">
        <f>E115+F115</f>
        <v>32654</v>
      </c>
      <c r="H115" s="172">
        <f t="shared" si="30"/>
        <v>3.9072156535594144E-3</v>
      </c>
      <c r="J115" s="168"/>
      <c r="K115" s="168"/>
      <c r="M115" s="364">
        <f t="shared" si="31"/>
        <v>0.90471836644224646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490">
        <f>'[68]Sch C'!D117</f>
        <v>45936</v>
      </c>
      <c r="D116" s="490">
        <f>'[68]Sch C'!F117</f>
        <v>0</v>
      </c>
      <c r="E116" s="171">
        <f t="shared" si="29"/>
        <v>45936</v>
      </c>
      <c r="F116" s="171"/>
      <c r="G116" s="171">
        <f>E116+F116</f>
        <v>45936</v>
      </c>
      <c r="H116" s="172">
        <f t="shared" si="30"/>
        <v>5.4964738856466359E-3</v>
      </c>
      <c r="J116" s="168"/>
      <c r="K116" s="168"/>
      <c r="M116" s="364">
        <f t="shared" si="31"/>
        <v>1.2727121602526805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490">
        <f>'[68]Sch C'!D118</f>
        <v>508</v>
      </c>
      <c r="D117" s="490">
        <f>'[68]Sch C'!F118</f>
        <v>0</v>
      </c>
      <c r="E117" s="171">
        <f t="shared" si="29"/>
        <v>508</v>
      </c>
      <c r="F117" s="171"/>
      <c r="G117" s="171">
        <f>E117+F117</f>
        <v>508</v>
      </c>
      <c r="H117" s="172">
        <f t="shared" si="30"/>
        <v>6.0784759968401495E-5</v>
      </c>
      <c r="J117" s="168"/>
      <c r="K117" s="168"/>
      <c r="M117" s="364">
        <f t="shared" si="31"/>
        <v>1.4074751336824315E-2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490">
        <f>'[68]Sch C'!D119</f>
        <v>10232</v>
      </c>
      <c r="D118" s="490">
        <f>'[68]Sch C'!F119</f>
        <v>0</v>
      </c>
      <c r="E118" s="171">
        <f t="shared" si="29"/>
        <v>10232</v>
      </c>
      <c r="F118" s="171"/>
      <c r="G118" s="171">
        <f>E118+F118</f>
        <v>10232</v>
      </c>
      <c r="H118" s="172">
        <f t="shared" si="30"/>
        <v>1.2243103621981972E-3</v>
      </c>
      <c r="J118" s="168"/>
      <c r="K118" s="168"/>
      <c r="M118" s="364">
        <f t="shared" si="31"/>
        <v>0.28348987338265036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490">
        <f>SUM(C114:C118)</f>
        <v>229948</v>
      </c>
      <c r="D119" s="490">
        <f>SUM(D114:D118)</f>
        <v>0</v>
      </c>
      <c r="E119" s="171">
        <f t="shared" ref="E119:F119" si="32">SUM(E114:E118)</f>
        <v>229948</v>
      </c>
      <c r="F119" s="171">
        <f t="shared" si="32"/>
        <v>0</v>
      </c>
      <c r="G119" s="171">
        <f>SUM(G114:G118)</f>
        <v>229948</v>
      </c>
      <c r="H119" s="172">
        <f t="shared" si="30"/>
        <v>2.7514436978767692E-2</v>
      </c>
      <c r="J119" s="168"/>
      <c r="K119" s="168"/>
      <c r="M119" s="364">
        <f t="shared" si="31"/>
        <v>6.3709860637796805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J122" s="204"/>
      <c r="K122" s="204"/>
      <c r="M122" s="359"/>
      <c r="N122" s="359"/>
    </row>
    <row r="123" spans="1:14" s="167" customFormat="1">
      <c r="B123" s="163" t="s">
        <v>232</v>
      </c>
      <c r="C123" s="490">
        <f>'[68]Sch C'!D124</f>
        <v>0</v>
      </c>
      <c r="D123" s="490">
        <f>'[68]Sch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0.77002560279620991</v>
      </c>
    </row>
    <row r="124" spans="1:14" s="167" customFormat="1">
      <c r="B124" s="163" t="s">
        <v>194</v>
      </c>
      <c r="C124" s="490">
        <f>'[68]Sch C'!D125</f>
        <v>404698</v>
      </c>
      <c r="D124" s="490">
        <f>'[68]Sch C'!F125</f>
        <v>0</v>
      </c>
      <c r="E124" s="171">
        <f t="shared" si="33"/>
        <v>404698</v>
      </c>
      <c r="F124" s="171"/>
      <c r="G124" s="171">
        <f>E124+F124</f>
        <v>404698</v>
      </c>
      <c r="H124" s="172">
        <f>IF($G$208=0,0,G124/$G$208)</f>
        <v>4.8424155097819194E-2</v>
      </c>
      <c r="J124" s="183">
        <v>13686</v>
      </c>
      <c r="K124" s="183">
        <v>14525</v>
      </c>
      <c r="M124" s="364">
        <f t="shared" si="34"/>
        <v>11.212645111240407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490">
        <f>'[68]Sch C'!D126</f>
        <v>0</v>
      </c>
      <c r="D125" s="490">
        <f>'[68]Sch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J125" s="183">
        <v>0</v>
      </c>
      <c r="K125" s="183">
        <v>0</v>
      </c>
      <c r="M125" s="364">
        <f t="shared" si="34"/>
        <v>0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490">
        <f>'[68]Sch C'!D127</f>
        <v>0</v>
      </c>
      <c r="D126" s="490">
        <f>'[68]Sch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490">
        <f>'[68]Sch C'!D128</f>
        <v>59517</v>
      </c>
      <c r="D127" s="490">
        <f>'[68]Sch C'!F128</f>
        <v>0</v>
      </c>
      <c r="E127" s="171">
        <f t="shared" si="33"/>
        <v>59517</v>
      </c>
      <c r="F127" s="171"/>
      <c r="G127" s="171">
        <f>E127+F127</f>
        <v>59517</v>
      </c>
      <c r="H127" s="172">
        <f>IF($G$208=0,0,G127/$G$208)</f>
        <v>7.1215089744869134E-3</v>
      </c>
      <c r="J127" s="183">
        <v>4089</v>
      </c>
      <c r="K127" s="183">
        <v>4715</v>
      </c>
      <c r="M127" s="364">
        <f t="shared" si="34"/>
        <v>1.6489901088853793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205"/>
      <c r="G128" s="205"/>
      <c r="H128" s="206"/>
      <c r="I128" s="407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490">
        <f>'[68]Sch C'!D130</f>
        <v>0</v>
      </c>
      <c r="D129" s="490">
        <f>'[68]Sch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J129" s="204"/>
      <c r="K129" s="204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490">
        <f>'[68]Sch C'!D131</f>
        <v>49954</v>
      </c>
      <c r="D130" s="490">
        <f>'[68]Sch C'!F131</f>
        <v>0</v>
      </c>
      <c r="E130" s="171">
        <f t="shared" si="35"/>
        <v>49954</v>
      </c>
      <c r="F130" s="171"/>
      <c r="G130" s="171">
        <f>E130+F130</f>
        <v>49954</v>
      </c>
      <c r="H130" s="172">
        <f>IF($G$208=0,0,G130/$G$208)</f>
        <v>5.9772478335856855E-3</v>
      </c>
      <c r="J130" s="204"/>
      <c r="K130" s="204"/>
      <c r="M130" s="364">
        <f t="shared" si="34"/>
        <v>1.3840356855900036</v>
      </c>
      <c r="N130" s="359">
        <f>SUMMARY!J133</f>
        <v>1.0792348507966931</v>
      </c>
    </row>
    <row r="131" spans="1:14" s="167" customFormat="1">
      <c r="B131" s="163" t="s">
        <v>195</v>
      </c>
      <c r="C131" s="490">
        <f>'[68]Sch C'!D132</f>
        <v>0</v>
      </c>
      <c r="D131" s="490">
        <f>'[68]Sch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J131" s="168"/>
      <c r="K131" s="168"/>
      <c r="M131" s="364">
        <f t="shared" si="34"/>
        <v>0</v>
      </c>
      <c r="N131" s="359">
        <f>SUMMARY!J134</f>
        <v>8.2765628075518377E-2</v>
      </c>
    </row>
    <row r="132" spans="1:14" s="167" customFormat="1">
      <c r="B132" s="163" t="s">
        <v>196</v>
      </c>
      <c r="C132" s="490">
        <f>'[68]Sch C'!D133</f>
        <v>0</v>
      </c>
      <c r="D132" s="490">
        <f>'[68]Sch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490">
        <f>'[68]Sch C'!D134</f>
        <v>16131</v>
      </c>
      <c r="D133" s="490">
        <f>'[68]Sch C'!F134</f>
        <v>0</v>
      </c>
      <c r="E133" s="171">
        <f t="shared" si="35"/>
        <v>16131</v>
      </c>
      <c r="F133" s="171"/>
      <c r="G133" s="171">
        <f>E133+F133</f>
        <v>16131</v>
      </c>
      <c r="H133" s="172">
        <f>IF($G$208=0,0,G133/$G$208)</f>
        <v>1.9301554390753633E-3</v>
      </c>
      <c r="J133" s="168"/>
      <c r="K133" s="168"/>
      <c r="M133" s="364">
        <f t="shared" si="34"/>
        <v>0.44692876735100989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08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490">
        <f>'[68]Sch C'!D136</f>
        <v>1010886</v>
      </c>
      <c r="D135" s="490">
        <f>'[68]Sch C'!F136</f>
        <v>0</v>
      </c>
      <c r="E135" s="171">
        <f t="shared" ref="E135:E138" si="36">C135+D135</f>
        <v>1010886</v>
      </c>
      <c r="F135" s="171"/>
      <c r="G135" s="171">
        <f>E135+F135</f>
        <v>1010886</v>
      </c>
      <c r="H135" s="172">
        <f>IF($G$208=0,0,G135/$G$208)</f>
        <v>0.12095760406578251</v>
      </c>
      <c r="J135" s="183">
        <v>37309</v>
      </c>
      <c r="K135" s="183">
        <v>41570</v>
      </c>
      <c r="M135" s="364">
        <f t="shared" si="34"/>
        <v>28.007813149364143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490">
        <f>'[68]Sch C'!D137</f>
        <v>311324</v>
      </c>
      <c r="D136" s="490">
        <f>'[68]Sch C'!F137</f>
        <v>0</v>
      </c>
      <c r="E136" s="171">
        <f t="shared" si="36"/>
        <v>311324</v>
      </c>
      <c r="F136" s="171"/>
      <c r="G136" s="171">
        <f>E136+F136</f>
        <v>311324</v>
      </c>
      <c r="H136" s="172">
        <f>IF($G$208=0,0,G136/$G$208)</f>
        <v>3.7251485457485488E-2</v>
      </c>
      <c r="J136" s="183">
        <v>15543</v>
      </c>
      <c r="K136" s="183">
        <v>17356</v>
      </c>
      <c r="M136" s="364">
        <f t="shared" si="34"/>
        <v>8.6256060731997888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490">
        <f>'[68]Sch C'!D138</f>
        <v>1369684</v>
      </c>
      <c r="D137" s="490">
        <f>'[68]Sch C'!F138</f>
        <v>68506</v>
      </c>
      <c r="E137" s="171">
        <f t="shared" si="36"/>
        <v>1438190</v>
      </c>
      <c r="F137" s="171"/>
      <c r="G137" s="171">
        <f>E137+F137</f>
        <v>1438190</v>
      </c>
      <c r="H137" s="172">
        <f>IF($G$208=0,0,G137/$G$208)</f>
        <v>0.17208668098219557</v>
      </c>
      <c r="J137" s="183">
        <v>127558</v>
      </c>
      <c r="K137" s="183">
        <v>143285</v>
      </c>
      <c r="M137" s="364">
        <f t="shared" si="34"/>
        <v>39.846784695093234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490">
        <f>'[68]Sch C'!D139</f>
        <v>68506</v>
      </c>
      <c r="D138" s="490">
        <f>'[68]Sch C'!F139</f>
        <v>-68506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J138" s="183">
        <v>0</v>
      </c>
      <c r="K138" s="183">
        <v>0</v>
      </c>
      <c r="M138" s="364">
        <f t="shared" si="34"/>
        <v>0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08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490">
        <f>'[68]Sch C'!D141</f>
        <v>580741</v>
      </c>
      <c r="D140" s="490">
        <f>'[68]Sch C'!F141</f>
        <v>-368068</v>
      </c>
      <c r="E140" s="171">
        <f t="shared" ref="E140:E143" si="37">C140+D140</f>
        <v>212673</v>
      </c>
      <c r="F140" s="171"/>
      <c r="G140" s="171">
        <f>E140+F140</f>
        <v>212673</v>
      </c>
      <c r="H140" s="172">
        <f>IF($G$208=0,0,G140/$G$208)</f>
        <v>2.5447396174724118E-2</v>
      </c>
      <c r="J140" s="168"/>
      <c r="K140" s="168"/>
      <c r="M140" s="364">
        <f t="shared" si="34"/>
        <v>5.8923613997173971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490">
        <f>'[68]Sch C'!D142</f>
        <v>0</v>
      </c>
      <c r="D141" s="490">
        <f>'[68]Sch C'!F142</f>
        <v>65497</v>
      </c>
      <c r="E141" s="171">
        <f t="shared" si="37"/>
        <v>65497</v>
      </c>
      <c r="F141" s="171"/>
      <c r="G141" s="171">
        <f>E141+F141</f>
        <v>65497</v>
      </c>
      <c r="H141" s="172">
        <f>IF($G$208=0,0,G141/$G$208)</f>
        <v>7.8370461095480168E-3</v>
      </c>
      <c r="J141" s="168"/>
      <c r="K141" s="168"/>
      <c r="M141" s="364">
        <f t="shared" si="34"/>
        <v>1.8146732053306736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490">
        <f>'[68]Sch C'!D143</f>
        <v>0</v>
      </c>
      <c r="D142" s="490">
        <f>'[68]Sch C'!F143</f>
        <v>302571</v>
      </c>
      <c r="E142" s="171">
        <f t="shared" si="37"/>
        <v>302571</v>
      </c>
      <c r="F142" s="171"/>
      <c r="G142" s="171">
        <f>E142+F142</f>
        <v>302571</v>
      </c>
      <c r="H142" s="172">
        <f>IF($G$208=0,0,G142/$G$208)</f>
        <v>3.6204144898423642E-2</v>
      </c>
      <c r="J142" s="168"/>
      <c r="K142" s="168"/>
      <c r="M142" s="364">
        <f t="shared" si="34"/>
        <v>8.3830936746737592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490">
        <f>'[68]Sch C'!D144</f>
        <v>0</v>
      </c>
      <c r="D143" s="490">
        <f>'[68]Sch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J143" s="168"/>
      <c r="K143" s="168"/>
      <c r="M143" s="364">
        <f t="shared" si="34"/>
        <v>0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08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490">
        <f>'[68]Sch C'!D146</f>
        <v>42975</v>
      </c>
      <c r="D145" s="490">
        <f>'[68]Sch C'!F146</f>
        <v>0</v>
      </c>
      <c r="E145" s="171">
        <f t="shared" ref="E145:E153" si="38">C145+D145</f>
        <v>42975</v>
      </c>
      <c r="F145" s="171"/>
      <c r="G145" s="171">
        <f t="shared" ref="G145:G153" si="39">E145+F145</f>
        <v>42975</v>
      </c>
      <c r="H145" s="172">
        <f t="shared" ref="H145:H153" si="40">IF($G$208=0,0,G145/$G$208)</f>
        <v>5.1421753142560124E-3</v>
      </c>
      <c r="J145" s="183">
        <v>271</v>
      </c>
      <c r="K145" s="183">
        <v>271</v>
      </c>
      <c r="M145" s="364">
        <f t="shared" si="34"/>
        <v>1.1906740919291829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490">
        <f>'[68]Sch C'!D147</f>
        <v>0</v>
      </c>
      <c r="D146" s="490">
        <f>'[68]Sch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J146" s="183">
        <v>0</v>
      </c>
      <c r="K146" s="183">
        <v>0</v>
      </c>
      <c r="M146" s="364">
        <f t="shared" si="34"/>
        <v>0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490">
        <f>'[68]Sch C'!D148</f>
        <v>0</v>
      </c>
      <c r="D147" s="490">
        <f>'[68]Sch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490">
        <f>'[68]Sch C'!D149</f>
        <v>0</v>
      </c>
      <c r="D148" s="490">
        <f>'[68]Sch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J148" s="183">
        <v>0</v>
      </c>
      <c r="K148" s="183">
        <v>0</v>
      </c>
      <c r="M148" s="364">
        <f t="shared" si="34"/>
        <v>0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490">
        <f>'[68]Sch C'!D150</f>
        <v>469</v>
      </c>
      <c r="D149" s="490">
        <f>'[68]Sch C'!F150</f>
        <v>0</v>
      </c>
      <c r="E149" s="171">
        <f t="shared" si="38"/>
        <v>469</v>
      </c>
      <c r="F149" s="171"/>
      <c r="G149" s="171">
        <f t="shared" si="39"/>
        <v>469</v>
      </c>
      <c r="H149" s="172">
        <f t="shared" si="40"/>
        <v>5.6118213435394298E-5</v>
      </c>
      <c r="J149" s="183">
        <v>0</v>
      </c>
      <c r="K149" s="183">
        <v>0</v>
      </c>
      <c r="M149" s="364">
        <f t="shared" si="34"/>
        <v>1.2994209403485441E-2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490">
        <f>'[68]Sch C'!D151</f>
        <v>139660</v>
      </c>
      <c r="D150" s="490">
        <f>'[68]Sch C'!F151</f>
        <v>0</v>
      </c>
      <c r="E150" s="171">
        <f t="shared" si="38"/>
        <v>139660</v>
      </c>
      <c r="F150" s="171"/>
      <c r="G150" s="171">
        <f t="shared" si="39"/>
        <v>139660</v>
      </c>
      <c r="H150" s="172">
        <f t="shared" si="40"/>
        <v>1.6711022789738097E-2</v>
      </c>
      <c r="J150" s="168"/>
      <c r="K150" s="168"/>
      <c r="M150" s="364">
        <f t="shared" si="34"/>
        <v>3.8694483694899287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490">
        <f>'[68]Sch C'!D152</f>
        <v>20034</v>
      </c>
      <c r="D151" s="490">
        <f>'[68]Sch C'!F152</f>
        <v>0</v>
      </c>
      <c r="E151" s="171">
        <f t="shared" si="38"/>
        <v>20034</v>
      </c>
      <c r="F151" s="171"/>
      <c r="G151" s="171">
        <f t="shared" si="39"/>
        <v>20034</v>
      </c>
      <c r="H151" s="172">
        <f t="shared" si="40"/>
        <v>2.3971690574940072E-3</v>
      </c>
      <c r="J151" s="168"/>
      <c r="K151" s="168"/>
      <c r="M151" s="364">
        <f t="shared" si="34"/>
        <v>0.55506607929515417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490">
        <f>'[68]Sch C'!D153</f>
        <v>0</v>
      </c>
      <c r="D152" s="490">
        <f>'[68]Sch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J152" s="168"/>
      <c r="K152" s="168"/>
      <c r="M152" s="364">
        <f t="shared" si="34"/>
        <v>0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490">
        <f>'[68]Sch C'!D154</f>
        <v>0</v>
      </c>
      <c r="D153" s="490">
        <f>'[68]Sch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210"/>
      <c r="G154" s="210"/>
      <c r="H154" s="211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490">
        <f>'[68]Sch C'!D156</f>
        <v>0</v>
      </c>
      <c r="D155" s="490">
        <f>'[68]Sch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490">
        <f>'[68]Sch C'!D157</f>
        <v>0</v>
      </c>
      <c r="D156" s="490">
        <f>'[68]Sch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J156" s="168"/>
      <c r="K156" s="168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490">
        <f>'[68]Sch C'!D158</f>
        <v>0</v>
      </c>
      <c r="D157" s="490">
        <f>'[68]Sch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J157" s="168"/>
      <c r="K157" s="168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490">
        <f>'[68]Sch C'!D159</f>
        <v>0</v>
      </c>
      <c r="D158" s="490">
        <f>'[68]Sch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490">
        <f>'[68]Sch C'!D160</f>
        <v>0</v>
      </c>
      <c r="D159" s="490">
        <f>'[68]Sch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490">
        <f>'[68]Sch C'!D161</f>
        <v>66755</v>
      </c>
      <c r="D160" s="490">
        <f>'[68]Sch C'!F161</f>
        <v>0</v>
      </c>
      <c r="E160" s="171">
        <f t="shared" si="41"/>
        <v>66755</v>
      </c>
      <c r="F160" s="171"/>
      <c r="G160" s="171">
        <f t="shared" si="42"/>
        <v>66755</v>
      </c>
      <c r="H160" s="172">
        <f t="shared" si="43"/>
        <v>7.9875721489973267E-3</v>
      </c>
      <c r="J160" s="168"/>
      <c r="K160" s="168"/>
      <c r="M160" s="364">
        <f t="shared" si="34"/>
        <v>1.849527609231707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490">
        <f>SUM(C123:C160)</f>
        <v>4141334</v>
      </c>
      <c r="D161" s="490">
        <f>SUM(D123:D160)</f>
        <v>0</v>
      </c>
      <c r="E161" s="171">
        <f t="shared" ref="E161:F161" si="44">SUM(E123:E160)</f>
        <v>4141334</v>
      </c>
      <c r="F161" s="171">
        <f t="shared" si="44"/>
        <v>0</v>
      </c>
      <c r="G161" s="171">
        <f>SUM(G123:G160)</f>
        <v>4141334</v>
      </c>
      <c r="H161" s="172">
        <f t="shared" si="43"/>
        <v>0.49553148255704732</v>
      </c>
      <c r="J161" s="168"/>
      <c r="K161" s="168"/>
      <c r="M161" s="364">
        <f>G161/G$228</f>
        <v>114.74064222979526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490">
        <f>'[68]Sch C'!D175</f>
        <v>0</v>
      </c>
      <c r="D164" s="490">
        <f>'[68]Sch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409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490">
        <f>'[68]Sch C'!D176</f>
        <v>0</v>
      </c>
      <c r="D165" s="490">
        <f>'[68]Sch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410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490">
        <f>'[68]Sch C'!D177</f>
        <v>0</v>
      </c>
      <c r="D166" s="490">
        <f>'[68]Sch C'!F177</f>
        <v>0</v>
      </c>
      <c r="E166" s="171">
        <f t="shared" si="45"/>
        <v>0</v>
      </c>
      <c r="F166" s="216"/>
      <c r="G166" s="171">
        <f t="shared" si="46"/>
        <v>0</v>
      </c>
      <c r="H166" s="172">
        <f t="shared" si="47"/>
        <v>0</v>
      </c>
      <c r="I166" s="409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490">
        <f>'[68]Sch C'!D178</f>
        <v>0</v>
      </c>
      <c r="D167" s="490">
        <f>'[68]Sch C'!F178</f>
        <v>0</v>
      </c>
      <c r="E167" s="171">
        <f t="shared" si="45"/>
        <v>0</v>
      </c>
      <c r="F167" s="216"/>
      <c r="G167" s="171">
        <f t="shared" si="46"/>
        <v>0</v>
      </c>
      <c r="H167" s="172">
        <f t="shared" si="47"/>
        <v>0</v>
      </c>
      <c r="I167" s="410"/>
      <c r="J167" s="222"/>
      <c r="K167" s="222"/>
      <c r="L167" s="218"/>
      <c r="M167" s="364">
        <f t="shared" si="48"/>
        <v>0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490">
        <f>'[68]Sch C'!D179</f>
        <v>0</v>
      </c>
      <c r="D168" s="490">
        <f>'[68]Sch C'!F179</f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409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490">
        <f>'[68]Sch C'!D180</f>
        <v>0</v>
      </c>
      <c r="D169" s="490">
        <f>'[68]Sch C'!F180</f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410"/>
      <c r="J169" s="222"/>
      <c r="K169" s="222"/>
      <c r="L169" s="218"/>
      <c r="M169" s="364">
        <f t="shared" si="48"/>
        <v>0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490">
        <f>'[68]Sch C'!D181</f>
        <v>0</v>
      </c>
      <c r="D170" s="490">
        <f>'[68]Sch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409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490">
        <f>'[68]Sch C'!D182</f>
        <v>0</v>
      </c>
      <c r="D171" s="490">
        <f>'[68]Sch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410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490">
        <f>'[68]Sch C'!D183</f>
        <v>0</v>
      </c>
      <c r="D172" s="490">
        <f>'[68]Sch C'!F183</f>
        <v>0</v>
      </c>
      <c r="E172" s="171">
        <f t="shared" si="45"/>
        <v>0</v>
      </c>
      <c r="F172" s="216"/>
      <c r="G172" s="171">
        <f t="shared" si="46"/>
        <v>0</v>
      </c>
      <c r="H172" s="172">
        <f t="shared" si="47"/>
        <v>0</v>
      </c>
      <c r="I172" s="409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490">
        <f>'[68]Sch C'!D184</f>
        <v>0</v>
      </c>
      <c r="D173" s="490">
        <f>'[68]Sch C'!F184</f>
        <v>0</v>
      </c>
      <c r="E173" s="171">
        <f t="shared" si="45"/>
        <v>0</v>
      </c>
      <c r="F173" s="216"/>
      <c r="G173" s="171">
        <f t="shared" si="46"/>
        <v>0</v>
      </c>
      <c r="H173" s="172">
        <f t="shared" si="47"/>
        <v>0</v>
      </c>
      <c r="I173" s="410"/>
      <c r="J173" s="222"/>
      <c r="K173" s="222"/>
      <c r="L173" s="218"/>
      <c r="M173" s="364">
        <f t="shared" si="48"/>
        <v>0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490">
        <f>'[68]Sch C'!D185</f>
        <v>0</v>
      </c>
      <c r="D174" s="490">
        <f>'[68]Sch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409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490">
        <f>'[68]Sch C'!D186</f>
        <v>0</v>
      </c>
      <c r="D175" s="490">
        <f>'[68]Sch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223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490">
        <f>'[68]Sch C'!D187</f>
        <v>0</v>
      </c>
      <c r="D176" s="490">
        <f>'[68]Sch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223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490">
        <f>'[68]Sch C'!D188</f>
        <v>178</v>
      </c>
      <c r="D177" s="490">
        <f>'[68]Sch C'!F188</f>
        <v>0</v>
      </c>
      <c r="E177" s="171">
        <f t="shared" si="45"/>
        <v>178</v>
      </c>
      <c r="F177" s="216"/>
      <c r="G177" s="171">
        <f t="shared" si="46"/>
        <v>178</v>
      </c>
      <c r="H177" s="172">
        <f t="shared" si="47"/>
        <v>2.12985969968021E-5</v>
      </c>
      <c r="I177" s="223"/>
      <c r="J177" s="223"/>
      <c r="K177" s="218"/>
      <c r="L177" s="220"/>
      <c r="M177" s="364">
        <f t="shared" si="48"/>
        <v>4.9317042085722995E-3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490">
        <f>'[68]Sch C'!D189</f>
        <v>1714</v>
      </c>
      <c r="D178" s="490">
        <f>'[68]Sch C'!F189</f>
        <v>0</v>
      </c>
      <c r="E178" s="171">
        <f t="shared" si="45"/>
        <v>1714</v>
      </c>
      <c r="F178" s="216"/>
      <c r="G178" s="171">
        <f t="shared" si="46"/>
        <v>1714</v>
      </c>
      <c r="H178" s="172">
        <f t="shared" si="47"/>
        <v>2.0508873737370111E-4</v>
      </c>
      <c r="I178" s="223"/>
      <c r="J178" s="223"/>
      <c r="K178" s="218"/>
      <c r="L178" s="220"/>
      <c r="M178" s="364">
        <f t="shared" si="48"/>
        <v>4.7488432660072591E-2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490">
        <f>'[68]Sch C'!D190</f>
        <v>0</v>
      </c>
      <c r="D179" s="490">
        <f>'[68]Sch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223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490">
        <f>'[68]Sch C'!D191</f>
        <v>1442</v>
      </c>
      <c r="D180" s="490">
        <f>'[68]Sch C'!F191</f>
        <v>0</v>
      </c>
      <c r="E180" s="171">
        <f t="shared" si="45"/>
        <v>1442</v>
      </c>
      <c r="F180" s="216"/>
      <c r="G180" s="171">
        <f t="shared" si="46"/>
        <v>1442</v>
      </c>
      <c r="H180" s="172">
        <f t="shared" si="47"/>
        <v>1.7254256668195858E-4</v>
      </c>
      <c r="I180" s="223"/>
      <c r="J180" s="223"/>
      <c r="K180" s="218"/>
      <c r="L180" s="220"/>
      <c r="M180" s="364">
        <f t="shared" si="48"/>
        <v>3.9952345330119411E-2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490">
        <f>'[68]Sch C'!D192</f>
        <v>0</v>
      </c>
      <c r="D181" s="490">
        <f>'[68]Sch C'!F192</f>
        <v>0</v>
      </c>
      <c r="E181" s="171">
        <f t="shared" si="45"/>
        <v>0</v>
      </c>
      <c r="F181" s="216"/>
      <c r="G181" s="171">
        <f t="shared" si="46"/>
        <v>0</v>
      </c>
      <c r="H181" s="172">
        <f t="shared" si="47"/>
        <v>0</v>
      </c>
      <c r="I181" s="223"/>
      <c r="J181" s="223"/>
      <c r="K181" s="218"/>
      <c r="L181" s="220"/>
      <c r="M181" s="364">
        <f t="shared" si="48"/>
        <v>0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490">
        <f>'[68]Sch C'!D193</f>
        <v>9160</v>
      </c>
      <c r="D182" s="490">
        <f>'[68]Sch C'!F193</f>
        <v>0</v>
      </c>
      <c r="E182" s="171">
        <f t="shared" si="45"/>
        <v>9160</v>
      </c>
      <c r="F182" s="216"/>
      <c r="G182" s="171">
        <f t="shared" si="46"/>
        <v>9160</v>
      </c>
      <c r="H182" s="172">
        <f t="shared" si="47"/>
        <v>1.096040160060153E-3</v>
      </c>
      <c r="I182" s="223"/>
      <c r="J182" s="223"/>
      <c r="K182" s="218"/>
      <c r="L182" s="220"/>
      <c r="M182" s="364">
        <f t="shared" si="48"/>
        <v>0.25378882331754082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490">
        <f>'[68]Sch C'!D194</f>
        <v>310429</v>
      </c>
      <c r="D183" s="490">
        <f>'[68]Sch C'!F194</f>
        <v>0</v>
      </c>
      <c r="E183" s="171">
        <f t="shared" si="45"/>
        <v>310429</v>
      </c>
      <c r="F183" s="216"/>
      <c r="G183" s="171">
        <f t="shared" si="46"/>
        <v>310429</v>
      </c>
      <c r="H183" s="172">
        <f t="shared" si="47"/>
        <v>3.714439419730494E-2</v>
      </c>
      <c r="I183" s="223"/>
      <c r="J183" s="223"/>
      <c r="K183" s="218"/>
      <c r="M183" s="364">
        <f t="shared" si="48"/>
        <v>8.6008090211398329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490">
        <f>'[68]Sch C'!D195</f>
        <v>61028</v>
      </c>
      <c r="D184" s="490">
        <f>'[68]Sch C'!F195</f>
        <v>0</v>
      </c>
      <c r="E184" s="171">
        <f t="shared" si="45"/>
        <v>61028</v>
      </c>
      <c r="F184" s="216"/>
      <c r="G184" s="171">
        <f t="shared" si="46"/>
        <v>61028</v>
      </c>
      <c r="H184" s="172">
        <f t="shared" si="47"/>
        <v>7.3023077388811152E-3</v>
      </c>
      <c r="I184" s="223"/>
      <c r="J184" s="223"/>
      <c r="K184" s="218"/>
      <c r="M184" s="364">
        <f t="shared" si="48"/>
        <v>1.690854182251406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490">
        <f>'[68]Sch C'!D196</f>
        <v>0</v>
      </c>
      <c r="D185" s="490">
        <f>'[68]Sch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223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490">
        <f>'[68]Sch C'!D197</f>
        <v>165893</v>
      </c>
      <c r="D186" s="490">
        <f>'[68]Sch C'!F197</f>
        <v>0</v>
      </c>
      <c r="E186" s="171">
        <f t="shared" si="45"/>
        <v>165893</v>
      </c>
      <c r="F186" s="216"/>
      <c r="G186" s="171">
        <f t="shared" si="46"/>
        <v>165893</v>
      </c>
      <c r="H186" s="172">
        <f t="shared" si="47"/>
        <v>1.9849933435901634E-2</v>
      </c>
      <c r="I186" s="223"/>
      <c r="J186" s="223"/>
      <c r="K186" s="218"/>
      <c r="M186" s="364">
        <f t="shared" si="48"/>
        <v>4.5962652037791258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490">
        <f>'[68]Sch C'!D198</f>
        <v>40293</v>
      </c>
      <c r="D187" s="490">
        <f>'[68]Sch C'!F198</f>
        <v>0</v>
      </c>
      <c r="E187" s="171">
        <f t="shared" si="45"/>
        <v>40293</v>
      </c>
      <c r="F187" s="216"/>
      <c r="G187" s="171">
        <f t="shared" si="46"/>
        <v>40293</v>
      </c>
      <c r="H187" s="172">
        <f t="shared" si="47"/>
        <v>4.8212604988322862E-3</v>
      </c>
      <c r="I187" s="223"/>
      <c r="J187" s="223"/>
      <c r="K187" s="218"/>
      <c r="M187" s="364">
        <f t="shared" si="48"/>
        <v>1.116366054359571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490">
        <f>'[68]Sch C'!D199</f>
        <v>0</v>
      </c>
      <c r="D188" s="490">
        <f>'[68]Sch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223"/>
      <c r="J188" s="223"/>
      <c r="K188" s="218"/>
      <c r="M188" s="364">
        <f t="shared" si="48"/>
        <v>0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490">
        <f>'[68]Sch C'!D200</f>
        <v>0</v>
      </c>
      <c r="D189" s="490">
        <f>'[68]Sch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223"/>
      <c r="J189" s="223"/>
      <c r="K189" s="218"/>
      <c r="M189" s="364">
        <f t="shared" si="48"/>
        <v>0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490">
        <f>'[68]Sch C'!D201</f>
        <v>0</v>
      </c>
      <c r="D190" s="490">
        <f>'[68]Sch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223"/>
      <c r="J190" s="223"/>
      <c r="K190" s="218"/>
      <c r="M190" s="364">
        <f t="shared" si="48"/>
        <v>0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490">
        <f>'[68]Sch C'!D202</f>
        <v>0</v>
      </c>
      <c r="D191" s="490">
        <f>'[68]Sch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223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490">
        <f>'[68]Sch C'!D203</f>
        <v>0</v>
      </c>
      <c r="D192" s="490">
        <f>'[68]Sch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223"/>
      <c r="J192" s="223"/>
      <c r="K192" s="218"/>
      <c r="M192" s="364">
        <f t="shared" si="48"/>
        <v>0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490">
        <f>'[68]Sch C'!D204</f>
        <v>0</v>
      </c>
      <c r="D193" s="490">
        <f>'[68]Sch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223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490">
        <f>'[68]Sch C'!D205</f>
        <v>223230</v>
      </c>
      <c r="D194" s="490">
        <f>'[68]Sch C'!F205</f>
        <v>0</v>
      </c>
      <c r="E194" s="171">
        <f t="shared" si="45"/>
        <v>223230</v>
      </c>
      <c r="F194" s="216"/>
      <c r="G194" s="171">
        <f t="shared" si="46"/>
        <v>223230</v>
      </c>
      <c r="H194" s="172">
        <f t="shared" si="47"/>
        <v>2.6710594424697375E-2</v>
      </c>
      <c r="I194" s="223"/>
      <c r="J194" s="223"/>
      <c r="K194" s="218"/>
      <c r="M194" s="364">
        <f t="shared" si="48"/>
        <v>6.1848557892112046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490">
        <f>'[68]Sch C'!D206</f>
        <v>8551</v>
      </c>
      <c r="D195" s="490">
        <f>'[68]Sch C'!F206</f>
        <v>0</v>
      </c>
      <c r="E195" s="171">
        <f t="shared" si="45"/>
        <v>8551</v>
      </c>
      <c r="F195" s="216"/>
      <c r="G195" s="171">
        <f t="shared" si="46"/>
        <v>8551</v>
      </c>
      <c r="H195" s="172">
        <f t="shared" si="47"/>
        <v>1.023170241121656E-3</v>
      </c>
      <c r="I195" s="223"/>
      <c r="J195" s="223"/>
      <c r="K195" s="218"/>
      <c r="M195" s="364">
        <f t="shared" si="48"/>
        <v>0.23691574543540297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490">
        <f>'[68]Sch C'!D207</f>
        <v>4834</v>
      </c>
      <c r="D196" s="490">
        <f>'[68]Sch C'!F207</f>
        <v>0</v>
      </c>
      <c r="E196" s="171">
        <f t="shared" si="45"/>
        <v>4834</v>
      </c>
      <c r="F196" s="216"/>
      <c r="G196" s="171">
        <f t="shared" si="46"/>
        <v>4834</v>
      </c>
      <c r="H196" s="172">
        <f t="shared" si="47"/>
        <v>5.7841246001427726E-4</v>
      </c>
      <c r="I196" s="223"/>
      <c r="J196" s="223"/>
      <c r="K196" s="218"/>
      <c r="M196" s="364">
        <f t="shared" si="48"/>
        <v>0.13393178732718256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490">
        <f>SUM(C164:C196)</f>
        <v>826752</v>
      </c>
      <c r="D197" s="490">
        <f>SUM(D164:D196)</f>
        <v>0</v>
      </c>
      <c r="E197" s="171">
        <f t="shared" ref="E197:F197" si="49">SUM(E164:E196)</f>
        <v>826752</v>
      </c>
      <c r="F197" s="171">
        <f t="shared" si="49"/>
        <v>0</v>
      </c>
      <c r="G197" s="171">
        <f>SUM(G164:G196)</f>
        <v>826752</v>
      </c>
      <c r="H197" s="172">
        <f>IF($G$208=0,0,G197/$G$208)</f>
        <v>9.8925043057865897E-2</v>
      </c>
      <c r="J197" s="168"/>
      <c r="K197" s="168"/>
      <c r="M197" s="364">
        <f>G197/G$228</f>
        <v>22.906159089020033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165"/>
      <c r="G198" s="165"/>
      <c r="H198" s="198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490">
        <f>'[68]Sch C'!D211</f>
        <v>234690</v>
      </c>
      <c r="D200" s="490">
        <f>'[68]Sch C'!F211</f>
        <v>0</v>
      </c>
      <c r="E200" s="171">
        <f t="shared" ref="E200:E205" si="50">C200+D200</f>
        <v>234690</v>
      </c>
      <c r="F200" s="171"/>
      <c r="G200" s="171">
        <f t="shared" ref="G200:G205" si="51">E200+F200</f>
        <v>234690</v>
      </c>
      <c r="H200" s="172">
        <f t="shared" ref="H200:H206" si="52">IF($G$208=0,0,G200/$G$208)</f>
        <v>2.8081841175165646E-2</v>
      </c>
      <c r="J200" s="183">
        <v>14891</v>
      </c>
      <c r="K200" s="183">
        <v>15726</v>
      </c>
      <c r="M200" s="364">
        <f t="shared" ref="M200:M205" si="53">G200/G$228</f>
        <v>6.5023688803923196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490">
        <f>'[68]Sch C'!D212</f>
        <v>64029</v>
      </c>
      <c r="D201" s="490">
        <f>'[68]Sch C'!F212</f>
        <v>0</v>
      </c>
      <c r="E201" s="171">
        <f t="shared" si="50"/>
        <v>64029</v>
      </c>
      <c r="F201" s="171"/>
      <c r="G201" s="171">
        <f t="shared" si="51"/>
        <v>64029</v>
      </c>
      <c r="H201" s="172">
        <f t="shared" si="52"/>
        <v>7.6613925118440545E-3</v>
      </c>
      <c r="J201" s="168"/>
      <c r="K201" s="168"/>
      <c r="M201" s="364">
        <f t="shared" si="53"/>
        <v>1.7740004987116615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490">
        <f>'[68]Sch C'!D213</f>
        <v>6164</v>
      </c>
      <c r="D202" s="490">
        <f>'[68]Sch C'!F213</f>
        <v>0</v>
      </c>
      <c r="E202" s="171">
        <f t="shared" si="50"/>
        <v>6164</v>
      </c>
      <c r="F202" s="171"/>
      <c r="G202" s="171">
        <f t="shared" si="51"/>
        <v>6164</v>
      </c>
      <c r="H202" s="172">
        <f t="shared" si="52"/>
        <v>7.3755366229375364E-4</v>
      </c>
      <c r="J202" s="168"/>
      <c r="K202" s="168"/>
      <c r="M202" s="364">
        <f t="shared" si="53"/>
        <v>0.17078103787438007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490">
        <f>'[68]Sch C'!D214</f>
        <v>0</v>
      </c>
      <c r="D203" s="490">
        <f>'[68]Sch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J203" s="168"/>
      <c r="K203" s="168"/>
      <c r="M203" s="364">
        <f t="shared" si="53"/>
        <v>0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490">
        <f>'[68]Sch C'!D215</f>
        <v>0</v>
      </c>
      <c r="D204" s="490">
        <f>'[68]Sch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490">
        <f>'[68]Sch C'!D216</f>
        <v>11686</v>
      </c>
      <c r="D205" s="490">
        <f>'[68]Sch C'!F216</f>
        <v>0</v>
      </c>
      <c r="E205" s="171">
        <f t="shared" si="50"/>
        <v>11686</v>
      </c>
      <c r="F205" s="171"/>
      <c r="G205" s="171">
        <f t="shared" si="51"/>
        <v>11686</v>
      </c>
      <c r="H205" s="172">
        <f t="shared" si="52"/>
        <v>1.3982887893518503E-3</v>
      </c>
      <c r="J205" s="168"/>
      <c r="K205" s="168"/>
      <c r="M205" s="364">
        <f t="shared" si="53"/>
        <v>0.32377469315379714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490">
        <f>SUM(C200:C205)</f>
        <v>316569</v>
      </c>
      <c r="D206" s="490">
        <f>SUM(D200:D205)</f>
        <v>0</v>
      </c>
      <c r="E206" s="171">
        <f t="shared" ref="E206:F206" si="54">SUM(E200:E205)</f>
        <v>316569</v>
      </c>
      <c r="F206" s="171">
        <f t="shared" si="54"/>
        <v>0</v>
      </c>
      <c r="G206" s="171">
        <f>SUM(G200:G205)</f>
        <v>316569</v>
      </c>
      <c r="H206" s="172">
        <f t="shared" si="52"/>
        <v>3.78790761386553E-2</v>
      </c>
      <c r="J206" s="168"/>
      <c r="K206" s="168"/>
      <c r="M206" s="364">
        <f>G206/G$228</f>
        <v>8.7709251101321595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490">
        <f>SUM(C25:C206)/2</f>
        <v>8811592</v>
      </c>
      <c r="D208" s="490">
        <f>SUM(D25:D206)/2</f>
        <v>-454234</v>
      </c>
      <c r="E208" s="171">
        <f t="shared" ref="E208:F208" si="55">SUM(E25:E206)/2</f>
        <v>8357358</v>
      </c>
      <c r="F208" s="171">
        <f t="shared" si="55"/>
        <v>0</v>
      </c>
      <c r="G208" s="171">
        <f>SUM(G25:G206)/2</f>
        <v>8357358</v>
      </c>
      <c r="H208" s="172">
        <f>IF($G$208=0,0,G208/$G$208)</f>
        <v>1</v>
      </c>
      <c r="I208" s="337"/>
      <c r="J208" s="183">
        <f>SUM(J25:J200)</f>
        <v>296642</v>
      </c>
      <c r="K208" s="183">
        <f>SUM(K25:K200)</f>
        <v>324285</v>
      </c>
      <c r="M208" s="364">
        <f>G208/G$228</f>
        <v>231.55066079295153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490">
        <f>'[68]Sch C'!D221</f>
        <v>8811592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490">
        <f>C208-C211</f>
        <v>0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619"/>
      <c r="D213" s="232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490">
        <f>C21-C208</f>
        <v>819356</v>
      </c>
      <c r="D215" s="490">
        <f>D21-D208</f>
        <v>440952</v>
      </c>
      <c r="E215" s="171">
        <f t="shared" ref="E215:F215" si="56">E21-E208</f>
        <v>1260308</v>
      </c>
      <c r="F215" s="171">
        <f t="shared" si="56"/>
        <v>0</v>
      </c>
      <c r="G215" s="171">
        <f>G21-G208</f>
        <v>1260308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491">
        <f>'[68]Sch D'!C9</f>
        <v>2110</v>
      </c>
      <c r="D219" s="491"/>
      <c r="E219" s="235">
        <f t="shared" ref="E219:G227" si="57">C219+D219</f>
        <v>2110</v>
      </c>
      <c r="F219" s="234"/>
      <c r="G219" s="235">
        <f t="shared" si="57"/>
        <v>2110</v>
      </c>
      <c r="H219" s="172">
        <f t="shared" ref="H219:H228" si="58">IF($G$228=0,0,G219/$G$228)</f>
        <v>5.8460089213975011E-2</v>
      </c>
      <c r="I219" s="337"/>
      <c r="J219" s="168"/>
      <c r="K219" s="168"/>
    </row>
    <row r="220" spans="1:14">
      <c r="A220" s="163"/>
      <c r="B220" s="170" t="s">
        <v>217</v>
      </c>
      <c r="C220" s="491">
        <f>'[68]Sch D'!D9</f>
        <v>0</v>
      </c>
      <c r="D220" s="491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7"/>
      <c r="J220" s="168"/>
      <c r="K220" s="168"/>
    </row>
    <row r="221" spans="1:14">
      <c r="A221" s="163"/>
      <c r="B221" s="170" t="s">
        <v>72</v>
      </c>
      <c r="C221" s="491">
        <f>'[68]Sch D'!E9</f>
        <v>4041</v>
      </c>
      <c r="D221" s="491"/>
      <c r="E221" s="235">
        <f t="shared" si="59"/>
        <v>4041</v>
      </c>
      <c r="F221" s="234"/>
      <c r="G221" s="235">
        <f t="shared" si="57"/>
        <v>4041</v>
      </c>
      <c r="H221" s="172">
        <f t="shared" si="58"/>
        <v>0.11196076801595878</v>
      </c>
      <c r="I221" s="337"/>
      <c r="J221" s="168"/>
      <c r="K221" s="168"/>
    </row>
    <row r="222" spans="1:14">
      <c r="A222" s="163"/>
      <c r="B222" s="202" t="s">
        <v>334</v>
      </c>
      <c r="C222" s="491">
        <f>'[68]Sch D'!F9</f>
        <v>257</v>
      </c>
      <c r="D222" s="491"/>
      <c r="E222" s="235">
        <f>C222+D222</f>
        <v>257</v>
      </c>
      <c r="F222" s="234"/>
      <c r="G222" s="235">
        <f>E222+F222</f>
        <v>257</v>
      </c>
      <c r="H222" s="172">
        <f t="shared" si="58"/>
        <v>7.1204942786689939E-3</v>
      </c>
      <c r="I222" s="337"/>
      <c r="J222" s="168"/>
      <c r="K222" s="168"/>
    </row>
    <row r="223" spans="1:14">
      <c r="A223" s="163"/>
      <c r="B223" s="170" t="s">
        <v>73</v>
      </c>
      <c r="C223" s="491">
        <f>'[68]Sch D'!G9</f>
        <v>4397</v>
      </c>
      <c r="D223" s="491"/>
      <c r="E223" s="235">
        <f t="shared" si="59"/>
        <v>4397</v>
      </c>
      <c r="F223" s="234"/>
      <c r="G223" s="235">
        <f t="shared" si="57"/>
        <v>4397</v>
      </c>
      <c r="H223" s="172">
        <f t="shared" si="58"/>
        <v>0.12182417643310336</v>
      </c>
      <c r="I223" s="337"/>
      <c r="J223" s="168"/>
      <c r="K223" s="168"/>
    </row>
    <row r="224" spans="1:14">
      <c r="A224" s="163"/>
      <c r="B224" s="170" t="s">
        <v>74</v>
      </c>
      <c r="C224" s="491">
        <f>'[68]Sch D'!H9</f>
        <v>25163</v>
      </c>
      <c r="D224" s="491"/>
      <c r="E224" s="235">
        <f t="shared" si="59"/>
        <v>25163</v>
      </c>
      <c r="F224" s="234"/>
      <c r="G224" s="235">
        <f t="shared" si="57"/>
        <v>25163</v>
      </c>
      <c r="H224" s="172">
        <f t="shared" si="58"/>
        <v>0.69717119663092564</v>
      </c>
      <c r="I224" s="337"/>
      <c r="J224" s="168"/>
      <c r="K224" s="168"/>
    </row>
    <row r="225" spans="1:11">
      <c r="A225" s="163"/>
      <c r="B225" s="170" t="s">
        <v>236</v>
      </c>
      <c r="C225" s="491">
        <f>'[68]Sch D'!I9</f>
        <v>125</v>
      </c>
      <c r="D225" s="491"/>
      <c r="E225" s="235">
        <f t="shared" si="59"/>
        <v>125</v>
      </c>
      <c r="F225" s="234"/>
      <c r="G225" s="235">
        <f t="shared" si="57"/>
        <v>125</v>
      </c>
      <c r="H225" s="172">
        <f t="shared" si="58"/>
        <v>3.4632754273681877E-3</v>
      </c>
      <c r="I225" s="337"/>
      <c r="J225" s="168"/>
      <c r="K225" s="168"/>
    </row>
    <row r="226" spans="1:11">
      <c r="A226" s="163"/>
      <c r="B226" s="170" t="s">
        <v>235</v>
      </c>
      <c r="C226" s="491">
        <f>'[68]Sch D'!J9</f>
        <v>0</v>
      </c>
      <c r="D226" s="491"/>
      <c r="E226" s="235">
        <f>C226+D226</f>
        <v>0</v>
      </c>
      <c r="F226" s="234"/>
      <c r="G226" s="235">
        <f>E226+F226</f>
        <v>0</v>
      </c>
      <c r="H226" s="172">
        <f t="shared" si="58"/>
        <v>0</v>
      </c>
      <c r="I226" s="337"/>
      <c r="J226" s="168"/>
      <c r="K226" s="168"/>
    </row>
    <row r="227" spans="1:11">
      <c r="A227" s="163"/>
      <c r="B227" s="170" t="s">
        <v>179</v>
      </c>
      <c r="C227" s="491">
        <f>'[68]Sch D'!K9</f>
        <v>0</v>
      </c>
      <c r="D227" s="491"/>
      <c r="E227" s="235">
        <f t="shared" si="59"/>
        <v>0</v>
      </c>
      <c r="F227" s="234"/>
      <c r="G227" s="235">
        <f t="shared" si="57"/>
        <v>0</v>
      </c>
      <c r="H227" s="172">
        <f t="shared" si="58"/>
        <v>0</v>
      </c>
      <c r="I227" s="337"/>
      <c r="J227" s="168"/>
      <c r="K227" s="168"/>
    </row>
    <row r="228" spans="1:11" ht="13.5" thickBot="1">
      <c r="A228" s="163"/>
      <c r="B228" s="236" t="s">
        <v>75</v>
      </c>
      <c r="C228" s="491">
        <f>SUM(C219:C227)</f>
        <v>36093</v>
      </c>
      <c r="D228" s="491">
        <f>SUM(D219:D227)</f>
        <v>0</v>
      </c>
      <c r="E228" s="237">
        <f>SUM(E219:E227)</f>
        <v>36093</v>
      </c>
      <c r="F228" s="237">
        <f>SUM(F219:F227)</f>
        <v>0</v>
      </c>
      <c r="G228" s="237">
        <f>SUM(G219:G227)</f>
        <v>36093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620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619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492">
        <f>'[68]Sch D'!N22</f>
        <v>108</v>
      </c>
      <c r="D231" s="526"/>
      <c r="E231" s="235">
        <f>C231+D231</f>
        <v>108</v>
      </c>
      <c r="F231" s="235"/>
      <c r="G231" s="235">
        <f>E231+F231</f>
        <v>108</v>
      </c>
      <c r="J231" s="168"/>
      <c r="K231" s="168"/>
    </row>
    <row r="232" spans="1:11">
      <c r="A232" s="163"/>
      <c r="B232" s="202" t="s">
        <v>290</v>
      </c>
      <c r="C232" s="492">
        <f>'[68]Sch D'!N24</f>
        <v>108</v>
      </c>
      <c r="D232" s="526"/>
      <c r="E232" s="235">
        <f>C232+D232</f>
        <v>108</v>
      </c>
      <c r="F232" s="235">
        <v>-98</v>
      </c>
      <c r="G232" s="235">
        <f>E232+F232</f>
        <v>10</v>
      </c>
      <c r="H232" s="522" t="s">
        <v>691</v>
      </c>
      <c r="J232" s="168"/>
      <c r="K232" s="168"/>
    </row>
    <row r="233" spans="1:11">
      <c r="A233" s="163"/>
      <c r="B233" s="202" t="s">
        <v>76</v>
      </c>
      <c r="C233" s="492">
        <f>$C$4-$C$3+1</f>
        <v>365</v>
      </c>
      <c r="D233" s="489"/>
      <c r="E233" s="235">
        <f>C233+D233</f>
        <v>365</v>
      </c>
      <c r="F233" s="240"/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621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492">
        <f>'[68]Sch D'!N28</f>
        <v>39420</v>
      </c>
      <c r="D235" s="489"/>
      <c r="E235" s="234">
        <f>E231*E233</f>
        <v>39420</v>
      </c>
      <c r="F235" s="240"/>
      <c r="G235" s="234">
        <f>G231*G233</f>
        <v>39420</v>
      </c>
      <c r="H235" s="167"/>
      <c r="J235" s="168"/>
      <c r="K235" s="168"/>
    </row>
    <row r="236" spans="1:11" ht="26">
      <c r="A236" s="163"/>
      <c r="B236" s="244" t="s">
        <v>336</v>
      </c>
      <c r="C236" s="493">
        <f>'[68]Sch D'!N30</f>
        <v>0.91560121765601221</v>
      </c>
      <c r="D236" s="240"/>
      <c r="E236" s="245">
        <f>E228/E235</f>
        <v>0.91560121765601221</v>
      </c>
      <c r="F236" s="246"/>
      <c r="G236" s="245">
        <f>G228/G235</f>
        <v>0.91560121765601221</v>
      </c>
      <c r="H236" s="167"/>
      <c r="J236" s="168"/>
      <c r="K236" s="168"/>
    </row>
    <row r="237" spans="1:11" ht="26">
      <c r="A237" s="163"/>
      <c r="B237" s="244" t="s">
        <v>337</v>
      </c>
      <c r="C237" s="493">
        <f>'[68]Sch D'!N32</f>
        <v>5.3526128868594619E-2</v>
      </c>
      <c r="D237" s="240"/>
      <c r="E237" s="245">
        <f>(E219+E220)/E235</f>
        <v>5.3526128868594619E-2</v>
      </c>
      <c r="F237" s="246"/>
      <c r="G237" s="245">
        <f>(G219+G220)/G235</f>
        <v>5.3526128868594619E-2</v>
      </c>
      <c r="H237" s="167"/>
      <c r="J237" s="168"/>
      <c r="K237" s="168"/>
    </row>
    <row r="238" spans="1:11" ht="26">
      <c r="A238" s="163"/>
      <c r="B238" s="244" t="s">
        <v>338</v>
      </c>
      <c r="C238" s="493">
        <f>'[68]Sch D'!N34</f>
        <v>5.8460089213975004E-2</v>
      </c>
      <c r="D238" s="240"/>
      <c r="E238" s="245">
        <f>(E237/E236)</f>
        <v>5.8460089213975004E-2</v>
      </c>
      <c r="F238" s="246"/>
      <c r="G238" s="245">
        <f>(G237/G236)</f>
        <v>5.8460089213975004E-2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490">
        <f>'[68]Sch B'!C85</f>
        <v>207.19871813075031</v>
      </c>
    </row>
    <row r="242" spans="2:7">
      <c r="F242" s="142" t="s">
        <v>341</v>
      </c>
      <c r="G242" s="490">
        <f>'[68]Sch B'!E85</f>
        <v>207.19867355269676</v>
      </c>
    </row>
    <row r="243" spans="2:7">
      <c r="F243" s="142" t="s">
        <v>342</v>
      </c>
      <c r="G243" s="490">
        <f>'[68]Sch B'!G85</f>
        <v>207.19873246344537</v>
      </c>
    </row>
    <row r="244" spans="2:7">
      <c r="F244" s="142" t="s">
        <v>343</v>
      </c>
      <c r="G244" s="490">
        <f>'[68]Sch B'!I85</f>
        <v>207.19885163640672</v>
      </c>
    </row>
    <row r="245" spans="2:7">
      <c r="F245" s="142"/>
    </row>
  </sheetData>
  <printOptions horizontalCentered="1"/>
  <pageMargins left="0.75" right="0.75" top="1" bottom="1" header="0.5" footer="0.5"/>
  <pageSetup scale="37" fitToHeight="4" orientation="landscape" horizontalDpi="300" verticalDpi="300" r:id="rId1"/>
  <headerFooter alignWithMargins="0">
    <oddFooter>&amp;RLVT
&amp;D
&amp;T
&amp;F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6">
    <tabColor rgb="FFE28CAB"/>
  </sheetPr>
  <dimension ref="A1:Q245"/>
  <sheetViews>
    <sheetView showGridLines="0" zoomScale="99" zoomScaleNormal="99" workbookViewId="0">
      <pane xSplit="2" topLeftCell="C1" activePane="topRight" state="frozen"/>
      <selection activeCell="N1" sqref="N1"/>
      <selection pane="topRight"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384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478"/>
      <c r="E1" s="478"/>
      <c r="F1" s="481"/>
      <c r="G1" s="481"/>
      <c r="H1" s="481"/>
      <c r="I1" s="479"/>
    </row>
    <row r="2" spans="1:14" ht="23">
      <c r="B2" s="143" t="s">
        <v>189</v>
      </c>
      <c r="C2" s="247" t="s">
        <v>394</v>
      </c>
      <c r="D2" s="247"/>
      <c r="E2"/>
      <c r="F2"/>
      <c r="G2"/>
      <c r="H2"/>
    </row>
    <row r="3" spans="1:14" ht="15.5">
      <c r="A3" s="145"/>
      <c r="B3" s="140" t="s">
        <v>79</v>
      </c>
      <c r="C3" s="495">
        <v>41821</v>
      </c>
      <c r="D3" s="377"/>
      <c r="E3" s="147"/>
      <c r="F3"/>
      <c r="G3"/>
      <c r="H3"/>
    </row>
    <row r="4" spans="1:14" ht="15.5">
      <c r="A4" s="145"/>
      <c r="B4" s="148" t="s">
        <v>80</v>
      </c>
      <c r="C4" s="495">
        <v>42185</v>
      </c>
      <c r="D4" s="377"/>
      <c r="E4" s="149"/>
      <c r="F4"/>
      <c r="G4"/>
      <c r="H4"/>
    </row>
    <row r="5" spans="1:14" ht="15.5">
      <c r="A5" s="145"/>
      <c r="B5" s="148"/>
      <c r="C5" s="151"/>
      <c r="D5" s="144"/>
      <c r="F5"/>
      <c r="G5"/>
      <c r="H5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378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379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38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381"/>
      <c r="G9" s="144"/>
    </row>
    <row r="10" spans="1:14" s="167" customFormat="1" ht="13.5" thickBot="1">
      <c r="A10" s="163" t="s">
        <v>245</v>
      </c>
      <c r="B10" s="164" t="s">
        <v>246</v>
      </c>
      <c r="C10" s="503"/>
      <c r="D10" s="503"/>
      <c r="E10" s="165"/>
      <c r="F10" s="382"/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490">
        <f>'[69]Sch B'!E10</f>
        <v>1523619</v>
      </c>
      <c r="D11" s="490">
        <f>'[69]Sch B'!G10</f>
        <v>0</v>
      </c>
      <c r="E11" s="171">
        <f>C11+D11</f>
        <v>1523619</v>
      </c>
      <c r="F11" s="383"/>
      <c r="G11" s="171">
        <f t="shared" ref="G11:G20" si="0">E11+F11</f>
        <v>1523619</v>
      </c>
      <c r="H11" s="172">
        <f t="shared" ref="H11:H21" si="1">IF($G$21=0,0,G11/$G$21)</f>
        <v>0.83385270610178175</v>
      </c>
      <c r="I11" s="337"/>
      <c r="J11" s="368" t="s">
        <v>344</v>
      </c>
      <c r="K11" s="369">
        <f>G21</f>
        <v>1827204</v>
      </c>
      <c r="M11" s="359">
        <f>IFERROR(G11/G219,0)</f>
        <v>174.88739669421489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490">
        <f>'[69]Sch B'!E15</f>
        <v>0</v>
      </c>
      <c r="D12" s="490">
        <f>'[69]Sch B'!G15</f>
        <v>0</v>
      </c>
      <c r="E12" s="171">
        <f t="shared" ref="E12:E20" si="2">C12+D12</f>
        <v>0</v>
      </c>
      <c r="F12" s="383"/>
      <c r="G12" s="171">
        <f>E12+F12</f>
        <v>0</v>
      </c>
      <c r="H12" s="172">
        <f t="shared" si="1"/>
        <v>0</v>
      </c>
      <c r="I12" s="337"/>
      <c r="J12" s="370" t="s">
        <v>345</v>
      </c>
      <c r="K12" s="371">
        <f>G208</f>
        <v>1762631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490">
        <f>'[69]Sch B'!E21</f>
        <v>127877</v>
      </c>
      <c r="D13" s="490">
        <f>'[69]Sch B'!G21</f>
        <v>0</v>
      </c>
      <c r="E13" s="171">
        <f t="shared" si="2"/>
        <v>127877</v>
      </c>
      <c r="F13" s="383"/>
      <c r="G13" s="171">
        <f t="shared" si="0"/>
        <v>127877</v>
      </c>
      <c r="H13" s="172">
        <f t="shared" si="1"/>
        <v>6.9985070085223103E-2</v>
      </c>
      <c r="I13" s="337"/>
      <c r="J13" s="370" t="s">
        <v>346</v>
      </c>
      <c r="K13" s="371">
        <f>G228</f>
        <v>9711</v>
      </c>
      <c r="M13" s="359">
        <f t="shared" si="3"/>
        <v>437.9349315068493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490">
        <f>'[69]Sch B'!E27</f>
        <v>0</v>
      </c>
      <c r="D14" s="490">
        <f>'[69]Sch B'!G27</f>
        <v>0</v>
      </c>
      <c r="E14" s="171">
        <f t="shared" si="2"/>
        <v>0</v>
      </c>
      <c r="F14" s="383"/>
      <c r="G14" s="175">
        <f>E14+F14</f>
        <v>0</v>
      </c>
      <c r="H14" s="176">
        <f t="shared" si="1"/>
        <v>0</v>
      </c>
      <c r="I14" s="338"/>
      <c r="J14" s="370" t="s">
        <v>347</v>
      </c>
      <c r="K14" s="371">
        <f>G231</f>
        <v>31</v>
      </c>
      <c r="M14" s="359">
        <f t="shared" si="3"/>
        <v>0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490">
        <f>'[69]Sch B'!E32</f>
        <v>0</v>
      </c>
      <c r="D15" s="490">
        <f>'[69]Sch B'!G32</f>
        <v>0</v>
      </c>
      <c r="E15" s="171">
        <f t="shared" si="2"/>
        <v>0</v>
      </c>
      <c r="F15" s="383"/>
      <c r="G15" s="171">
        <f t="shared" si="0"/>
        <v>0</v>
      </c>
      <c r="H15" s="172">
        <f t="shared" si="1"/>
        <v>0</v>
      </c>
      <c r="I15" s="337"/>
      <c r="J15" s="370" t="s">
        <v>348</v>
      </c>
      <c r="K15" s="371">
        <f>G235</f>
        <v>11315</v>
      </c>
      <c r="M15" s="359">
        <f t="shared" si="3"/>
        <v>0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490">
        <f>'[69]Sch B'!E37</f>
        <v>98972</v>
      </c>
      <c r="D16" s="490">
        <f>'[69]Sch B'!G37</f>
        <v>0</v>
      </c>
      <c r="E16" s="171">
        <f t="shared" si="2"/>
        <v>98972</v>
      </c>
      <c r="F16" s="383"/>
      <c r="G16" s="171">
        <f t="shared" si="0"/>
        <v>98972</v>
      </c>
      <c r="H16" s="172">
        <f t="shared" si="1"/>
        <v>5.4165818376054345E-2</v>
      </c>
      <c r="I16" s="337"/>
      <c r="J16" s="372"/>
      <c r="K16" s="371"/>
      <c r="M16" s="359">
        <f t="shared" si="3"/>
        <v>176.42067736185382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490">
        <f>'[69]Sch B'!E42</f>
        <v>27217</v>
      </c>
      <c r="D17" s="490">
        <f>'[69]Sch B'!G42</f>
        <v>0</v>
      </c>
      <c r="E17" s="171">
        <f t="shared" si="2"/>
        <v>27217</v>
      </c>
      <c r="F17" s="383"/>
      <c r="G17" s="171">
        <f>E17+F17</f>
        <v>27217</v>
      </c>
      <c r="H17" s="172">
        <f t="shared" si="1"/>
        <v>1.489543586813514E-2</v>
      </c>
      <c r="I17" s="337"/>
      <c r="J17" s="370" t="s">
        <v>156</v>
      </c>
      <c r="K17" s="371">
        <f>J208</f>
        <v>46850.53</v>
      </c>
      <c r="M17" s="359">
        <f t="shared" si="3"/>
        <v>186.41780821917808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490">
        <f>'[69]Sch B'!E47</f>
        <v>0</v>
      </c>
      <c r="D18" s="490">
        <f>'[69]Sch B'!G47</f>
        <v>0</v>
      </c>
      <c r="E18" s="171">
        <f t="shared" si="2"/>
        <v>0</v>
      </c>
      <c r="F18" s="383"/>
      <c r="G18" s="171">
        <f>E18+F18</f>
        <v>0</v>
      </c>
      <c r="H18" s="172">
        <f t="shared" si="1"/>
        <v>0</v>
      </c>
      <c r="I18" s="337"/>
      <c r="J18" s="373" t="s">
        <v>252</v>
      </c>
      <c r="K18" s="374">
        <f>K208</f>
        <v>47054.02</v>
      </c>
      <c r="M18" s="359">
        <f t="shared" si="3"/>
        <v>0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490">
        <f>'[69]Sch B'!E52</f>
        <v>0</v>
      </c>
      <c r="D19" s="490">
        <f>'[69]Sch B'!G52</f>
        <v>0</v>
      </c>
      <c r="E19" s="171">
        <f t="shared" si="2"/>
        <v>0</v>
      </c>
      <c r="F19" s="383"/>
      <c r="G19" s="171">
        <f t="shared" si="0"/>
        <v>0</v>
      </c>
      <c r="H19" s="172">
        <f t="shared" si="1"/>
        <v>0</v>
      </c>
      <c r="I19" s="337"/>
      <c r="J19" s="168"/>
      <c r="K19" s="168"/>
      <c r="M19" s="359">
        <f t="shared" si="3"/>
        <v>0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490">
        <f>'[69]Sch B'!E67</f>
        <v>49519</v>
      </c>
      <c r="D20" s="490">
        <f>'[69]Sch B'!G67</f>
        <v>0</v>
      </c>
      <c r="E20" s="171">
        <f t="shared" si="2"/>
        <v>49519</v>
      </c>
      <c r="F20" s="383"/>
      <c r="G20" s="171">
        <f t="shared" si="0"/>
        <v>49519</v>
      </c>
      <c r="H20" s="172">
        <f t="shared" si="1"/>
        <v>2.7100969568805672E-2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490">
        <f>SUM(C11:C20)</f>
        <v>1827204</v>
      </c>
      <c r="D21" s="490">
        <f>SUM(D11:D20)</f>
        <v>0</v>
      </c>
      <c r="E21" s="171">
        <f>SUM(E11:E20)</f>
        <v>1827204</v>
      </c>
      <c r="F21" s="383">
        <f>SUM(F11:F20)</f>
        <v>0</v>
      </c>
      <c r="G21" s="171">
        <f>SUM(G11:G20)</f>
        <v>1827204</v>
      </c>
      <c r="H21" s="172">
        <f t="shared" si="1"/>
        <v>1</v>
      </c>
      <c r="I21" s="337"/>
      <c r="J21" s="168"/>
      <c r="K21" s="168"/>
      <c r="M21" s="359">
        <f>IFERROR(G21/G228,0)</f>
        <v>188.15817114612295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381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381"/>
      <c r="G23" s="144"/>
      <c r="M23" s="363"/>
      <c r="N23" s="363"/>
    </row>
    <row r="24" spans="1:14">
      <c r="A24" s="181" t="s">
        <v>161</v>
      </c>
      <c r="B24" s="148" t="s">
        <v>12</v>
      </c>
      <c r="M24" s="363"/>
      <c r="N24" s="363"/>
    </row>
    <row r="25" spans="1:14" s="167" customFormat="1">
      <c r="A25" s="169" t="s">
        <v>83</v>
      </c>
      <c r="B25" s="170" t="s">
        <v>14</v>
      </c>
      <c r="C25" s="490">
        <f>'[69]Sch C'!D10</f>
        <v>107485</v>
      </c>
      <c r="D25" s="490">
        <f>'[69]Sch C'!F10</f>
        <v>0</v>
      </c>
      <c r="E25" s="171">
        <f t="shared" ref="E25:E60" si="4">C25+D25</f>
        <v>107485</v>
      </c>
      <c r="F25" s="383"/>
      <c r="G25" s="182">
        <f>E25+F25</f>
        <v>107485</v>
      </c>
      <c r="H25" s="172">
        <f>IF($G$208=0,0,G25/$G$208)</f>
        <v>6.0979864758988124E-2</v>
      </c>
      <c r="I25" s="337"/>
      <c r="J25" s="183">
        <v>2085.6</v>
      </c>
      <c r="K25" s="183">
        <v>2085.6</v>
      </c>
      <c r="M25" s="359">
        <f>G25/G$228</f>
        <v>11.068376068376068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490">
        <f>'[69]Sch C'!D11</f>
        <v>0</v>
      </c>
      <c r="D26" s="490">
        <f>'[69]Sch C'!F11</f>
        <v>0</v>
      </c>
      <c r="E26" s="171">
        <f t="shared" si="4"/>
        <v>0</v>
      </c>
      <c r="F26" s="383"/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490">
        <f>'[69]Sch C'!D12</f>
        <v>26200</v>
      </c>
      <c r="D27" s="490">
        <f>'[69]Sch C'!F12</f>
        <v>-347</v>
      </c>
      <c r="E27" s="171">
        <f t="shared" si="4"/>
        <v>25853</v>
      </c>
      <c r="F27" s="383"/>
      <c r="G27" s="171">
        <f t="shared" si="5"/>
        <v>25853</v>
      </c>
      <c r="H27" s="172">
        <f t="shared" si="6"/>
        <v>1.466727863063795E-2</v>
      </c>
      <c r="I27" s="337"/>
      <c r="J27" s="185">
        <v>834.24</v>
      </c>
      <c r="K27" s="185">
        <v>834.24</v>
      </c>
      <c r="M27" s="359">
        <f t="shared" si="7"/>
        <v>2.6622386983832769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490">
        <f>'[69]Sch C'!D13</f>
        <v>10524</v>
      </c>
      <c r="D28" s="490">
        <f>'[69]Sch C'!F13</f>
        <v>0</v>
      </c>
      <c r="E28" s="171">
        <f t="shared" si="4"/>
        <v>10524</v>
      </c>
      <c r="F28" s="383"/>
      <c r="G28" s="171">
        <f t="shared" si="5"/>
        <v>10524</v>
      </c>
      <c r="H28" s="172">
        <f t="shared" si="6"/>
        <v>5.9706200560412249E-3</v>
      </c>
      <c r="I28" s="337"/>
      <c r="J28" s="168"/>
      <c r="K28" s="168"/>
      <c r="M28" s="359">
        <f t="shared" si="7"/>
        <v>1.0837194933580476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490">
        <f>'[69]Sch C'!D14</f>
        <v>0</v>
      </c>
      <c r="D29" s="490">
        <f>'[69]Sch C'!F14</f>
        <v>0</v>
      </c>
      <c r="E29" s="171">
        <f t="shared" si="4"/>
        <v>0</v>
      </c>
      <c r="F29" s="383"/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490">
        <f>'[69]Sch C'!D15</f>
        <v>0</v>
      </c>
      <c r="D30" s="490">
        <f>'[69]Sch C'!F15</f>
        <v>0</v>
      </c>
      <c r="E30" s="171">
        <f t="shared" si="4"/>
        <v>0</v>
      </c>
      <c r="F30" s="383"/>
      <c r="G30" s="171">
        <f t="shared" si="5"/>
        <v>0</v>
      </c>
      <c r="H30" s="172">
        <f t="shared" si="6"/>
        <v>0</v>
      </c>
      <c r="I30" s="337"/>
      <c r="J30" s="168"/>
      <c r="K30" s="168"/>
      <c r="M30" s="359">
        <f t="shared" si="7"/>
        <v>0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490">
        <f>'[69]Sch C'!D16</f>
        <v>0</v>
      </c>
      <c r="D31" s="490">
        <f>'[69]Sch C'!F16</f>
        <v>0</v>
      </c>
      <c r="E31" s="171">
        <f t="shared" si="4"/>
        <v>0</v>
      </c>
      <c r="F31" s="383"/>
      <c r="G31" s="171">
        <f t="shared" si="5"/>
        <v>0</v>
      </c>
      <c r="H31" s="172">
        <f t="shared" si="6"/>
        <v>0</v>
      </c>
      <c r="I31" s="337"/>
      <c r="J31" s="168"/>
      <c r="K31" s="168"/>
      <c r="M31" s="359">
        <f t="shared" si="7"/>
        <v>0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490">
        <f>'[69]Sch C'!D17</f>
        <v>550</v>
      </c>
      <c r="D32" s="490">
        <f>'[69]Sch C'!F17</f>
        <v>0</v>
      </c>
      <c r="E32" s="171">
        <f t="shared" si="4"/>
        <v>550</v>
      </c>
      <c r="F32" s="383"/>
      <c r="G32" s="171">
        <f t="shared" si="5"/>
        <v>550</v>
      </c>
      <c r="H32" s="172">
        <f t="shared" si="6"/>
        <v>3.1203354530812176E-4</v>
      </c>
      <c r="I32" s="337"/>
      <c r="J32" s="168"/>
      <c r="K32" s="168"/>
      <c r="M32" s="359">
        <f t="shared" si="7"/>
        <v>5.6636803624755434E-2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490">
        <f>'[69]Sch C'!D18</f>
        <v>3244</v>
      </c>
      <c r="D33" s="490">
        <f>'[69]Sch C'!F18</f>
        <v>0</v>
      </c>
      <c r="E33" s="171">
        <f t="shared" si="4"/>
        <v>3244</v>
      </c>
      <c r="F33" s="383"/>
      <c r="G33" s="171">
        <f t="shared" si="5"/>
        <v>3244</v>
      </c>
      <c r="H33" s="172">
        <f t="shared" si="6"/>
        <v>1.8404305835991765E-3</v>
      </c>
      <c r="I33" s="337"/>
      <c r="J33" s="168"/>
      <c r="K33" s="168"/>
      <c r="M33" s="359">
        <f t="shared" si="7"/>
        <v>0.33405416537946658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490">
        <f>'[69]Sch C'!D19</f>
        <v>8604</v>
      </c>
      <c r="D34" s="490">
        <f>'[69]Sch C'!F19</f>
        <v>0</v>
      </c>
      <c r="E34" s="171">
        <f t="shared" si="4"/>
        <v>8604</v>
      </c>
      <c r="F34" s="383"/>
      <c r="G34" s="171">
        <f t="shared" si="5"/>
        <v>8604</v>
      </c>
      <c r="H34" s="172">
        <f t="shared" si="6"/>
        <v>4.8813393160565084E-3</v>
      </c>
      <c r="I34" s="337"/>
      <c r="J34" s="168"/>
      <c r="K34" s="168"/>
      <c r="M34" s="359">
        <f t="shared" si="7"/>
        <v>0.88600556070435588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490">
        <f>'[69]Sch C'!D20</f>
        <v>5491</v>
      </c>
      <c r="D35" s="490">
        <f>'[69]Sch C'!F20</f>
        <v>0</v>
      </c>
      <c r="E35" s="171">
        <f t="shared" si="4"/>
        <v>5491</v>
      </c>
      <c r="F35" s="383"/>
      <c r="G35" s="171">
        <f t="shared" si="5"/>
        <v>5491</v>
      </c>
      <c r="H35" s="172">
        <f t="shared" si="6"/>
        <v>3.1152294496125396E-3</v>
      </c>
      <c r="I35" s="337"/>
      <c r="J35" s="168"/>
      <c r="K35" s="168"/>
      <c r="M35" s="359">
        <f t="shared" si="7"/>
        <v>0.56544125218824015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490">
        <f>'[69]Sch C'!D21</f>
        <v>5397</v>
      </c>
      <c r="D36" s="490">
        <f>'[69]Sch C'!F21</f>
        <v>0</v>
      </c>
      <c r="E36" s="171">
        <f t="shared" si="4"/>
        <v>5397</v>
      </c>
      <c r="F36" s="383"/>
      <c r="G36" s="171">
        <f t="shared" si="5"/>
        <v>5397</v>
      </c>
      <c r="H36" s="172">
        <f t="shared" si="6"/>
        <v>3.0619000800507878E-3</v>
      </c>
      <c r="I36" s="337"/>
      <c r="J36" s="168"/>
      <c r="K36" s="168"/>
      <c r="M36" s="359">
        <f t="shared" si="7"/>
        <v>0.55576150756873643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490">
        <f>'[69]Sch C'!D22</f>
        <v>0</v>
      </c>
      <c r="D37" s="490">
        <f>'[69]Sch C'!F22</f>
        <v>0</v>
      </c>
      <c r="E37" s="171">
        <f t="shared" si="4"/>
        <v>0</v>
      </c>
      <c r="F37" s="383"/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490">
        <f>'[69]Sch C'!D23</f>
        <v>2456</v>
      </c>
      <c r="D38" s="490">
        <f>'[69]Sch C'!F23</f>
        <v>0</v>
      </c>
      <c r="E38" s="171">
        <f t="shared" si="4"/>
        <v>2456</v>
      </c>
      <c r="F38" s="383"/>
      <c r="G38" s="171">
        <f t="shared" si="5"/>
        <v>2456</v>
      </c>
      <c r="H38" s="172">
        <f t="shared" si="6"/>
        <v>1.3933716132304493E-3</v>
      </c>
      <c r="I38" s="337"/>
      <c r="J38" s="168"/>
      <c r="K38" s="168"/>
      <c r="M38" s="359">
        <f t="shared" si="7"/>
        <v>0.25290907218618064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490">
        <f>'[69]Sch C'!D24</f>
        <v>5201</v>
      </c>
      <c r="D39" s="490">
        <f>'[69]Sch C'!F24</f>
        <v>0</v>
      </c>
      <c r="E39" s="171">
        <f t="shared" si="4"/>
        <v>5201</v>
      </c>
      <c r="F39" s="383"/>
      <c r="G39" s="171">
        <f t="shared" si="5"/>
        <v>5201</v>
      </c>
      <c r="H39" s="172">
        <f t="shared" si="6"/>
        <v>2.950702671177348E-3</v>
      </c>
      <c r="I39" s="337"/>
      <c r="J39" s="168"/>
      <c r="K39" s="168"/>
      <c r="M39" s="359">
        <f t="shared" si="7"/>
        <v>0.53557821027700547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490">
        <f>'[69]Sch C'!D25</f>
        <v>0</v>
      </c>
      <c r="D40" s="490">
        <f>'[69]Sch C'!F25</f>
        <v>0</v>
      </c>
      <c r="E40" s="171">
        <f t="shared" si="4"/>
        <v>0</v>
      </c>
      <c r="F40" s="383"/>
      <c r="G40" s="171">
        <f t="shared" si="5"/>
        <v>0</v>
      </c>
      <c r="H40" s="172">
        <f t="shared" si="6"/>
        <v>0</v>
      </c>
      <c r="I40" s="337"/>
      <c r="J40" s="168"/>
      <c r="K40" s="168"/>
      <c r="M40" s="359">
        <f t="shared" si="7"/>
        <v>0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490">
        <f>'[69]Sch C'!D26</f>
        <v>144779</v>
      </c>
      <c r="D41" s="490">
        <f>'[69]Sch C'!F26</f>
        <v>0</v>
      </c>
      <c r="E41" s="171">
        <f t="shared" si="4"/>
        <v>144779</v>
      </c>
      <c r="F41" s="383"/>
      <c r="G41" s="171">
        <f t="shared" si="5"/>
        <v>144779</v>
      </c>
      <c r="H41" s="172">
        <f t="shared" si="6"/>
        <v>8.2138008465753753E-2</v>
      </c>
      <c r="I41" s="337"/>
      <c r="J41" s="168"/>
      <c r="K41" s="168"/>
      <c r="M41" s="359">
        <f t="shared" si="7"/>
        <v>14.908763258160848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490">
        <f>'[69]Sch C'!D27</f>
        <v>0</v>
      </c>
      <c r="D42" s="490">
        <f>'[69]Sch C'!F27</f>
        <v>0</v>
      </c>
      <c r="E42" s="171">
        <f t="shared" si="4"/>
        <v>0</v>
      </c>
      <c r="F42" s="383"/>
      <c r="G42" s="171">
        <f t="shared" si="5"/>
        <v>0</v>
      </c>
      <c r="H42" s="172">
        <f t="shared" si="6"/>
        <v>0</v>
      </c>
      <c r="I42" s="337"/>
      <c r="J42" s="168"/>
      <c r="K42" s="168"/>
      <c r="M42" s="359">
        <f t="shared" si="7"/>
        <v>0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490">
        <f>'[69]Sch C'!D28</f>
        <v>0</v>
      </c>
      <c r="D43" s="490">
        <f>'[69]Sch C'!F28</f>
        <v>0</v>
      </c>
      <c r="E43" s="171">
        <f t="shared" si="4"/>
        <v>0</v>
      </c>
      <c r="F43" s="383"/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490">
        <f>'[69]Sch C'!D29</f>
        <v>0</v>
      </c>
      <c r="D44" s="490">
        <f>'[69]Sch C'!F29</f>
        <v>0</v>
      </c>
      <c r="E44" s="171">
        <f t="shared" si="4"/>
        <v>0</v>
      </c>
      <c r="F44" s="383"/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490">
        <f>'[69]Sch C'!D30</f>
        <v>0</v>
      </c>
      <c r="D45" s="490">
        <f>'[69]Sch C'!F30</f>
        <v>0</v>
      </c>
      <c r="E45" s="171">
        <f t="shared" si="4"/>
        <v>0</v>
      </c>
      <c r="F45" s="383"/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490">
        <f>'[69]Sch C'!D31</f>
        <v>11862</v>
      </c>
      <c r="D46" s="490">
        <f>'[69]Sch C'!F31</f>
        <v>0</v>
      </c>
      <c r="E46" s="171">
        <f t="shared" si="4"/>
        <v>11862</v>
      </c>
      <c r="F46" s="383"/>
      <c r="G46" s="171">
        <f t="shared" si="5"/>
        <v>11862</v>
      </c>
      <c r="H46" s="172">
        <f t="shared" si="6"/>
        <v>6.7297125717180736E-3</v>
      </c>
      <c r="I46" s="337"/>
      <c r="J46" s="168"/>
      <c r="K46" s="168"/>
      <c r="M46" s="359">
        <f t="shared" si="7"/>
        <v>1.2215013901760889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490">
        <f>'[69]Sch C'!D32</f>
        <v>22359</v>
      </c>
      <c r="D47" s="490">
        <f>'[69]Sch C'!F32</f>
        <v>0</v>
      </c>
      <c r="E47" s="171">
        <f t="shared" si="4"/>
        <v>22359</v>
      </c>
      <c r="F47" s="383"/>
      <c r="G47" s="171">
        <f t="shared" si="5"/>
        <v>22359</v>
      </c>
      <c r="H47" s="172">
        <f t="shared" si="6"/>
        <v>1.2685014617353264E-2</v>
      </c>
      <c r="I47" s="337"/>
      <c r="J47" s="168"/>
      <c r="K47" s="168"/>
      <c r="M47" s="359">
        <f t="shared" si="7"/>
        <v>2.302440531356194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490">
        <f>'[69]Sch C'!D33</f>
        <v>0</v>
      </c>
      <c r="D48" s="490">
        <f>'[69]Sch C'!F33</f>
        <v>0</v>
      </c>
      <c r="E48" s="171">
        <f t="shared" si="4"/>
        <v>0</v>
      </c>
      <c r="F48" s="383"/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490">
        <f>'[69]Sch C'!D34</f>
        <v>339</v>
      </c>
      <c r="D49" s="490">
        <f>'[69]Sch C'!F34</f>
        <v>0</v>
      </c>
      <c r="E49" s="171">
        <f t="shared" si="4"/>
        <v>339</v>
      </c>
      <c r="F49" s="383"/>
      <c r="G49" s="171">
        <f t="shared" si="5"/>
        <v>339</v>
      </c>
      <c r="H49" s="172">
        <f t="shared" si="6"/>
        <v>1.9232613065355142E-4</v>
      </c>
      <c r="I49" s="337"/>
      <c r="J49" s="168"/>
      <c r="K49" s="168"/>
      <c r="M49" s="359">
        <f t="shared" si="7"/>
        <v>3.4908866234167439E-2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490">
        <f>'[69]Sch C'!D35</f>
        <v>0</v>
      </c>
      <c r="D50" s="490">
        <f>'[69]Sch C'!F35</f>
        <v>0</v>
      </c>
      <c r="E50" s="171">
        <f t="shared" si="4"/>
        <v>0</v>
      </c>
      <c r="F50" s="383"/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490">
        <f>'[69]Sch C'!D36</f>
        <v>0</v>
      </c>
      <c r="D51" s="490">
        <f>'[69]Sch C'!F36</f>
        <v>0</v>
      </c>
      <c r="E51" s="171">
        <f t="shared" si="4"/>
        <v>0</v>
      </c>
      <c r="F51" s="383"/>
      <c r="G51" s="171">
        <f t="shared" si="5"/>
        <v>0</v>
      </c>
      <c r="H51" s="172">
        <f t="shared" si="6"/>
        <v>0</v>
      </c>
      <c r="I51" s="337"/>
      <c r="J51" s="183">
        <v>0</v>
      </c>
      <c r="K51" s="183">
        <v>0</v>
      </c>
      <c r="M51" s="359">
        <f t="shared" si="7"/>
        <v>0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490">
        <f>'[69]Sch C'!D37</f>
        <v>0</v>
      </c>
      <c r="D52" s="490">
        <f>'[69]Sch C'!F37</f>
        <v>0</v>
      </c>
      <c r="E52" s="171">
        <f t="shared" si="4"/>
        <v>0</v>
      </c>
      <c r="F52" s="383"/>
      <c r="G52" s="171">
        <f t="shared" si="5"/>
        <v>0</v>
      </c>
      <c r="H52" s="172">
        <f t="shared" si="6"/>
        <v>0</v>
      </c>
      <c r="I52" s="337"/>
      <c r="J52" s="168"/>
      <c r="K52" s="168"/>
      <c r="M52" s="359">
        <f t="shared" si="7"/>
        <v>0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490">
        <f>'[69]Sch C'!D38</f>
        <v>0</v>
      </c>
      <c r="D53" s="490">
        <f>'[69]Sch C'!F38</f>
        <v>0</v>
      </c>
      <c r="E53" s="171">
        <f t="shared" si="4"/>
        <v>0</v>
      </c>
      <c r="F53" s="383"/>
      <c r="G53" s="171">
        <f t="shared" si="5"/>
        <v>0</v>
      </c>
      <c r="H53" s="172">
        <f t="shared" si="6"/>
        <v>0</v>
      </c>
      <c r="I53" s="337"/>
      <c r="J53" s="168"/>
      <c r="K53" s="168"/>
      <c r="M53" s="359">
        <f t="shared" si="7"/>
        <v>0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490">
        <f>'[69]Sch C'!D39</f>
        <v>5754</v>
      </c>
      <c r="D54" s="490">
        <f>'[69]Sch C'!F39</f>
        <v>0</v>
      </c>
      <c r="E54" s="171">
        <f t="shared" si="4"/>
        <v>5754</v>
      </c>
      <c r="F54" s="383"/>
      <c r="G54" s="171">
        <f t="shared" si="5"/>
        <v>5754</v>
      </c>
      <c r="H54" s="172">
        <f t="shared" si="6"/>
        <v>3.264438217641696E-3</v>
      </c>
      <c r="I54" s="337"/>
      <c r="J54" s="168"/>
      <c r="K54" s="168"/>
      <c r="M54" s="359">
        <f t="shared" si="7"/>
        <v>0.59252394192153224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490">
        <f>'[69]Sch C'!D40</f>
        <v>1919</v>
      </c>
      <c r="D55" s="490">
        <f>'[69]Sch C'!F40</f>
        <v>0</v>
      </c>
      <c r="E55" s="171">
        <f t="shared" si="4"/>
        <v>1919</v>
      </c>
      <c r="F55" s="383"/>
      <c r="G55" s="171">
        <f t="shared" si="5"/>
        <v>1919</v>
      </c>
      <c r="H55" s="172">
        <f t="shared" si="6"/>
        <v>1.088713406265974E-3</v>
      </c>
      <c r="I55" s="337"/>
      <c r="J55" s="168"/>
      <c r="K55" s="168"/>
      <c r="M55" s="359">
        <f t="shared" si="7"/>
        <v>0.19761095664710124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490">
        <f>'[69]Sch C'!D41</f>
        <v>7963</v>
      </c>
      <c r="D56" s="490">
        <f>'[69]Sch C'!F41</f>
        <v>0</v>
      </c>
      <c r="E56" s="171">
        <f t="shared" si="4"/>
        <v>7963</v>
      </c>
      <c r="F56" s="383"/>
      <c r="G56" s="171">
        <f t="shared" si="5"/>
        <v>7963</v>
      </c>
      <c r="H56" s="172">
        <f t="shared" si="6"/>
        <v>4.5176784023428611E-3</v>
      </c>
      <c r="I56" s="337"/>
      <c r="J56" s="168"/>
      <c r="K56" s="168"/>
      <c r="M56" s="359">
        <f t="shared" si="7"/>
        <v>0.81999794047986818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490">
        <f>'[69]Sch C'!D42</f>
        <v>389</v>
      </c>
      <c r="D57" s="490">
        <f>'[69]Sch C'!F42</f>
        <v>0</v>
      </c>
      <c r="E57" s="171">
        <f t="shared" si="4"/>
        <v>389</v>
      </c>
      <c r="F57" s="383"/>
      <c r="G57" s="171">
        <f t="shared" si="5"/>
        <v>389</v>
      </c>
      <c r="H57" s="172">
        <f t="shared" si="6"/>
        <v>2.2069281659065339E-4</v>
      </c>
      <c r="I57" s="337"/>
      <c r="J57" s="168"/>
      <c r="K57" s="168"/>
      <c r="M57" s="359">
        <f t="shared" si="7"/>
        <v>4.0057666563690662E-2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490">
        <f>'[69]Sch C'!D43</f>
        <v>6568</v>
      </c>
      <c r="D58" s="490">
        <f>'[69]Sch C'!F43</f>
        <v>-6568</v>
      </c>
      <c r="E58" s="171">
        <f t="shared" si="4"/>
        <v>0</v>
      </c>
      <c r="F58" s="383"/>
      <c r="G58" s="171">
        <f t="shared" si="5"/>
        <v>0</v>
      </c>
      <c r="H58" s="172">
        <f t="shared" si="6"/>
        <v>0</v>
      </c>
      <c r="I58" s="337"/>
      <c r="J58" s="168"/>
      <c r="K58" s="168"/>
      <c r="M58" s="359">
        <f t="shared" si="7"/>
        <v>0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490">
        <f>'[69]Sch C'!D44</f>
        <v>0</v>
      </c>
      <c r="D59" s="490">
        <f>'[69]Sch C'!F44</f>
        <v>0</v>
      </c>
      <c r="E59" s="171">
        <f t="shared" si="4"/>
        <v>0</v>
      </c>
      <c r="F59" s="383"/>
      <c r="G59" s="171">
        <f t="shared" si="5"/>
        <v>0</v>
      </c>
      <c r="H59" s="172">
        <f t="shared" si="6"/>
        <v>0</v>
      </c>
      <c r="I59" s="337"/>
      <c r="J59" s="168"/>
      <c r="K59" s="168"/>
      <c r="M59" s="359">
        <f t="shared" si="7"/>
        <v>0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490">
        <f>'[69]Sch C'!D45</f>
        <v>33241</v>
      </c>
      <c r="D60" s="490">
        <f>'[69]Sch C'!F45</f>
        <v>-200</v>
      </c>
      <c r="E60" s="171">
        <f t="shared" si="4"/>
        <v>33041</v>
      </c>
      <c r="F60" s="383"/>
      <c r="G60" s="171">
        <f t="shared" si="5"/>
        <v>33041</v>
      </c>
      <c r="H60" s="172">
        <f t="shared" si="6"/>
        <v>1.874527340095573E-2</v>
      </c>
      <c r="I60" s="337"/>
      <c r="J60" s="168"/>
      <c r="K60" s="168"/>
      <c r="M60" s="359">
        <f t="shared" si="7"/>
        <v>3.4024302337555348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490">
        <f>SUM(C25:C60)</f>
        <v>410325</v>
      </c>
      <c r="D61" s="490">
        <f>SUM(D25:D60)</f>
        <v>-7115</v>
      </c>
      <c r="E61" s="171">
        <f t="shared" ref="E61:F61" si="8">SUM(E25:E60)</f>
        <v>403210</v>
      </c>
      <c r="F61" s="171">
        <f t="shared" si="8"/>
        <v>0</v>
      </c>
      <c r="G61" s="171">
        <f>SUM(G25:G60)</f>
        <v>403210</v>
      </c>
      <c r="H61" s="186">
        <f t="shared" si="6"/>
        <v>0.22875462873397778</v>
      </c>
      <c r="I61" s="339"/>
      <c r="J61" s="168"/>
      <c r="K61" s="168"/>
      <c r="M61" s="364">
        <f>G61/G$228</f>
        <v>41.520955617341158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382"/>
      <c r="G62" s="165"/>
      <c r="H62" s="187"/>
      <c r="I62" s="340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382"/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490">
        <f>'[69]Sch C'!D57</f>
        <v>234024</v>
      </c>
      <c r="D64" s="490">
        <f>'[69]Sch C'!F57</f>
        <v>0</v>
      </c>
      <c r="E64" s="171">
        <f t="shared" ref="E64:E78" si="9">C64+D64</f>
        <v>234024</v>
      </c>
      <c r="F64" s="383"/>
      <c r="G64" s="171">
        <f t="shared" ref="G64:G78" si="10">E64+F64</f>
        <v>234024</v>
      </c>
      <c r="H64" s="172">
        <f t="shared" ref="H64:H79" si="11">IF($G$208=0,0,G64/$G$208)</f>
        <v>0.13276970619488707</v>
      </c>
      <c r="I64" s="337"/>
      <c r="J64" s="190"/>
      <c r="K64" s="168"/>
      <c r="M64" s="359">
        <f t="shared" ref="M64:M79" si="12">G64/G$228</f>
        <v>24.098856966326846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490">
        <f>'[69]Sch C'!D58</f>
        <v>0</v>
      </c>
      <c r="D65" s="490">
        <f>'[69]Sch C'!F58</f>
        <v>0</v>
      </c>
      <c r="E65" s="171">
        <f t="shared" si="9"/>
        <v>0</v>
      </c>
      <c r="F65" s="383"/>
      <c r="G65" s="171">
        <f t="shared" si="10"/>
        <v>0</v>
      </c>
      <c r="H65" s="172">
        <f t="shared" si="11"/>
        <v>0</v>
      </c>
      <c r="I65" s="337"/>
      <c r="J65" s="190"/>
      <c r="K65" s="168"/>
      <c r="M65" s="359">
        <f t="shared" si="12"/>
        <v>0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490">
        <f>'[69]Sch C'!D59</f>
        <v>0</v>
      </c>
      <c r="D66" s="490">
        <f>'[69]Sch C'!F59</f>
        <v>0</v>
      </c>
      <c r="E66" s="171">
        <f t="shared" si="9"/>
        <v>0</v>
      </c>
      <c r="F66" s="383"/>
      <c r="G66" s="171">
        <f t="shared" si="10"/>
        <v>0</v>
      </c>
      <c r="H66" s="172">
        <f t="shared" si="11"/>
        <v>0</v>
      </c>
      <c r="I66" s="337"/>
      <c r="J66" s="190"/>
      <c r="K66" s="168"/>
      <c r="M66" s="359">
        <f t="shared" si="12"/>
        <v>0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490">
        <f>'[69]Sch C'!D60</f>
        <v>0</v>
      </c>
      <c r="D67" s="490">
        <f>'[69]Sch C'!F60</f>
        <v>0</v>
      </c>
      <c r="E67" s="171">
        <f t="shared" si="9"/>
        <v>0</v>
      </c>
      <c r="F67" s="383"/>
      <c r="G67" s="171">
        <f t="shared" si="10"/>
        <v>0</v>
      </c>
      <c r="H67" s="172">
        <f t="shared" si="11"/>
        <v>0</v>
      </c>
      <c r="I67" s="337"/>
      <c r="J67" s="193"/>
      <c r="K67" s="168"/>
      <c r="M67" s="359">
        <f t="shared" si="12"/>
        <v>0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490">
        <f>'[69]Sch C'!D61</f>
        <v>0</v>
      </c>
      <c r="D68" s="490">
        <f>'[69]Sch C'!F61</f>
        <v>0</v>
      </c>
      <c r="E68" s="171">
        <f t="shared" si="9"/>
        <v>0</v>
      </c>
      <c r="F68" s="383"/>
      <c r="G68" s="171">
        <f t="shared" si="10"/>
        <v>0</v>
      </c>
      <c r="H68" s="172">
        <f t="shared" si="11"/>
        <v>0</v>
      </c>
      <c r="I68" s="337"/>
      <c r="J68" s="193"/>
      <c r="K68" s="168"/>
      <c r="M68" s="359">
        <f t="shared" si="12"/>
        <v>0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490">
        <f>'[69]Sch C'!D62</f>
        <v>0</v>
      </c>
      <c r="D69" s="490">
        <f>'[69]Sch C'!F62</f>
        <v>0</v>
      </c>
      <c r="E69" s="171">
        <f t="shared" si="9"/>
        <v>0</v>
      </c>
      <c r="F69" s="383"/>
      <c r="G69" s="171">
        <f t="shared" si="10"/>
        <v>0</v>
      </c>
      <c r="H69" s="172">
        <f t="shared" si="11"/>
        <v>0</v>
      </c>
      <c r="I69" s="337"/>
      <c r="J69" s="195"/>
      <c r="K69" s="168"/>
      <c r="M69" s="359">
        <f t="shared" si="12"/>
        <v>0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490">
        <f>'[69]Sch C'!D63</f>
        <v>0</v>
      </c>
      <c r="D70" s="490">
        <f>'[69]Sch C'!F63</f>
        <v>0</v>
      </c>
      <c r="E70" s="171">
        <f t="shared" si="9"/>
        <v>0</v>
      </c>
      <c r="F70" s="383"/>
      <c r="G70" s="171">
        <f t="shared" si="10"/>
        <v>0</v>
      </c>
      <c r="H70" s="172">
        <f t="shared" si="11"/>
        <v>0</v>
      </c>
      <c r="I70" s="337"/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490">
        <f>'[69]Sch C'!D64</f>
        <v>0</v>
      </c>
      <c r="D71" s="490">
        <f>'[69]Sch C'!F64</f>
        <v>0</v>
      </c>
      <c r="E71" s="171">
        <f t="shared" si="9"/>
        <v>0</v>
      </c>
      <c r="F71" s="383"/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490">
        <f>'[69]Sch C'!D65</f>
        <v>746</v>
      </c>
      <c r="D72" s="490">
        <f>'[69]Sch C'!F65</f>
        <v>0</v>
      </c>
      <c r="E72" s="171">
        <f t="shared" si="9"/>
        <v>746</v>
      </c>
      <c r="F72" s="383"/>
      <c r="G72" s="171">
        <f t="shared" si="10"/>
        <v>746</v>
      </c>
      <c r="H72" s="172">
        <f t="shared" si="11"/>
        <v>4.2323095418156153E-4</v>
      </c>
      <c r="I72" s="337"/>
      <c r="J72" s="195"/>
      <c r="K72" s="168"/>
      <c r="M72" s="359">
        <f t="shared" si="12"/>
        <v>7.6820100916486458E-2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490">
        <f>'[69]Sch C'!D66</f>
        <v>0</v>
      </c>
      <c r="D73" s="490">
        <f>'[69]Sch C'!F66</f>
        <v>0</v>
      </c>
      <c r="E73" s="171">
        <f t="shared" si="9"/>
        <v>0</v>
      </c>
      <c r="F73" s="383"/>
      <c r="G73" s="171">
        <f t="shared" si="10"/>
        <v>0</v>
      </c>
      <c r="H73" s="172">
        <f t="shared" si="11"/>
        <v>0</v>
      </c>
      <c r="I73" s="337"/>
      <c r="J73" s="195"/>
      <c r="K73" s="168"/>
      <c r="M73" s="359">
        <f t="shared" si="12"/>
        <v>0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490">
        <f>'[69]Sch C'!D67</f>
        <v>0</v>
      </c>
      <c r="D74" s="490">
        <f>'[69]Sch C'!F67</f>
        <v>0</v>
      </c>
      <c r="E74" s="171">
        <f t="shared" si="9"/>
        <v>0</v>
      </c>
      <c r="F74" s="383"/>
      <c r="G74" s="171">
        <f t="shared" si="10"/>
        <v>0</v>
      </c>
      <c r="H74" s="172">
        <f t="shared" si="11"/>
        <v>0</v>
      </c>
      <c r="I74" s="337"/>
      <c r="J74" s="195"/>
      <c r="K74" s="168"/>
      <c r="M74" s="359">
        <f t="shared" si="12"/>
        <v>0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490">
        <f>'[69]Sch C'!D68</f>
        <v>0</v>
      </c>
      <c r="D75" s="490">
        <f>'[69]Sch C'!F68</f>
        <v>0</v>
      </c>
      <c r="E75" s="171">
        <f t="shared" si="9"/>
        <v>0</v>
      </c>
      <c r="F75" s="383"/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490">
        <f>'[69]Sch C'!D69</f>
        <v>0</v>
      </c>
      <c r="D76" s="490">
        <f>'[69]Sch C'!F69</f>
        <v>0</v>
      </c>
      <c r="E76" s="171">
        <f t="shared" si="9"/>
        <v>0</v>
      </c>
      <c r="F76" s="383"/>
      <c r="G76" s="171">
        <f t="shared" si="10"/>
        <v>0</v>
      </c>
      <c r="H76" s="172">
        <f t="shared" si="11"/>
        <v>0</v>
      </c>
      <c r="I76" s="337"/>
      <c r="J76" s="195"/>
      <c r="K76" s="168"/>
      <c r="M76" s="359">
        <f t="shared" si="12"/>
        <v>0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490">
        <f>'[69]Sch C'!D70</f>
        <v>0</v>
      </c>
      <c r="D77" s="490">
        <f>'[69]Sch C'!F70</f>
        <v>0</v>
      </c>
      <c r="E77" s="171">
        <f t="shared" si="9"/>
        <v>0</v>
      </c>
      <c r="F77" s="383"/>
      <c r="G77" s="171">
        <f t="shared" si="10"/>
        <v>0</v>
      </c>
      <c r="H77" s="172">
        <f t="shared" si="11"/>
        <v>0</v>
      </c>
      <c r="I77" s="337"/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490">
        <f>'[69]Sch C'!D71</f>
        <v>0</v>
      </c>
      <c r="D78" s="490">
        <f>'[69]Sch C'!F71</f>
        <v>0</v>
      </c>
      <c r="E78" s="171">
        <f t="shared" si="9"/>
        <v>0</v>
      </c>
      <c r="F78" s="383"/>
      <c r="G78" s="171">
        <f t="shared" si="10"/>
        <v>0</v>
      </c>
      <c r="H78" s="172">
        <f t="shared" si="11"/>
        <v>0</v>
      </c>
      <c r="I78" s="337"/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490">
        <f>SUM(C64:C78)</f>
        <v>234770</v>
      </c>
      <c r="D79" s="490">
        <f>SUM(D64:D78)</f>
        <v>0</v>
      </c>
      <c r="E79" s="171">
        <f t="shared" ref="E79:F79" si="13">SUM(E64:E78)</f>
        <v>234770</v>
      </c>
      <c r="F79" s="171">
        <f t="shared" si="13"/>
        <v>0</v>
      </c>
      <c r="G79" s="171">
        <f>SUM(G64:G78)</f>
        <v>234770</v>
      </c>
      <c r="H79" s="172">
        <f t="shared" si="11"/>
        <v>0.13319293714906863</v>
      </c>
      <c r="I79" s="337"/>
      <c r="J79" s="195"/>
      <c r="K79" s="168"/>
      <c r="M79" s="359">
        <f t="shared" si="12"/>
        <v>24.175677067243331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385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382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490">
        <f>'[69]Sch C'!D75</f>
        <v>18803</v>
      </c>
      <c r="D82" s="490">
        <f>'[69]Sch C'!F75</f>
        <v>0</v>
      </c>
      <c r="E82" s="171">
        <f t="shared" ref="E82:E92" si="14">C82+D82</f>
        <v>18803</v>
      </c>
      <c r="F82" s="383"/>
      <c r="G82" s="171">
        <f t="shared" ref="G82:G92" si="15">E82+F82</f>
        <v>18803</v>
      </c>
      <c r="H82" s="172">
        <f t="shared" ref="H82:H93" si="16">IF($G$208=0,0,G82/$G$208)</f>
        <v>1.0667575913506571E-2</v>
      </c>
      <c r="I82" s="337"/>
      <c r="J82" s="183">
        <v>1805.5</v>
      </c>
      <c r="K82" s="183">
        <v>1837.5</v>
      </c>
      <c r="M82" s="359">
        <f t="shared" ref="M82:M92" si="17">G82/G$228</f>
        <v>1.9362578519205025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490">
        <f>'[69]Sch C'!D76</f>
        <v>1653</v>
      </c>
      <c r="D83" s="490">
        <f>'[69]Sch C'!F76</f>
        <v>0</v>
      </c>
      <c r="E83" s="171">
        <f t="shared" si="14"/>
        <v>1653</v>
      </c>
      <c r="F83" s="383"/>
      <c r="G83" s="171">
        <f t="shared" si="15"/>
        <v>1653</v>
      </c>
      <c r="H83" s="172">
        <f t="shared" si="16"/>
        <v>9.3780263708059146E-4</v>
      </c>
      <c r="I83" s="337"/>
      <c r="J83" s="168"/>
      <c r="K83" s="168"/>
      <c r="M83" s="359">
        <f t="shared" si="17"/>
        <v>0.1702193388940377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490">
        <f>'[69]Sch C'!D77</f>
        <v>2409</v>
      </c>
      <c r="D84" s="490">
        <f>'[69]Sch C'!F77</f>
        <v>0</v>
      </c>
      <c r="E84" s="171">
        <f t="shared" si="14"/>
        <v>2409</v>
      </c>
      <c r="F84" s="383"/>
      <c r="G84" s="171">
        <f t="shared" si="15"/>
        <v>2409</v>
      </c>
      <c r="H84" s="172">
        <f t="shared" si="16"/>
        <v>1.3667069284495734E-3</v>
      </c>
      <c r="I84" s="337"/>
      <c r="J84" s="168"/>
      <c r="K84" s="168"/>
      <c r="M84" s="359">
        <f t="shared" si="17"/>
        <v>0.24806919987642878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490">
        <f>'[69]Sch C'!D78</f>
        <v>7576</v>
      </c>
      <c r="D85" s="490">
        <f>'[69]Sch C'!F78</f>
        <v>0</v>
      </c>
      <c r="E85" s="171">
        <f t="shared" si="14"/>
        <v>7576</v>
      </c>
      <c r="F85" s="383"/>
      <c r="G85" s="171">
        <f t="shared" si="15"/>
        <v>7576</v>
      </c>
      <c r="H85" s="172">
        <f t="shared" si="16"/>
        <v>4.2981202531896922E-3</v>
      </c>
      <c r="I85" s="337"/>
      <c r="J85" s="168"/>
      <c r="K85" s="168"/>
      <c r="M85" s="359">
        <f t="shared" si="17"/>
        <v>0.78014622592935845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490">
        <f>'[69]Sch C'!D79</f>
        <v>0</v>
      </c>
      <c r="D86" s="490">
        <f>'[69]Sch C'!F79</f>
        <v>0</v>
      </c>
      <c r="E86" s="171">
        <f t="shared" si="14"/>
        <v>0</v>
      </c>
      <c r="F86" s="383"/>
      <c r="G86" s="171">
        <f>E86+F86</f>
        <v>0</v>
      </c>
      <c r="H86" s="172">
        <f t="shared" si="16"/>
        <v>0</v>
      </c>
      <c r="I86" s="337"/>
      <c r="J86" s="168"/>
      <c r="K86" s="168"/>
      <c r="M86" s="359">
        <f t="shared" si="17"/>
        <v>0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490">
        <f>'[69]Sch C'!D80</f>
        <v>23197</v>
      </c>
      <c r="D87" s="490">
        <f>'[69]Sch C'!F80</f>
        <v>0</v>
      </c>
      <c r="E87" s="171">
        <f t="shared" si="14"/>
        <v>23197</v>
      </c>
      <c r="F87" s="383"/>
      <c r="G87" s="171">
        <f t="shared" si="15"/>
        <v>23197</v>
      </c>
      <c r="H87" s="172">
        <f t="shared" si="16"/>
        <v>1.3160440273659093E-2</v>
      </c>
      <c r="I87" s="337"/>
      <c r="J87" s="168"/>
      <c r="K87" s="168"/>
      <c r="M87" s="359">
        <f t="shared" si="17"/>
        <v>2.388734424879003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490">
        <f>'[69]Sch C'!D81</f>
        <v>130254</v>
      </c>
      <c r="D88" s="490">
        <f>'[69]Sch C'!F81</f>
        <v>-130254</v>
      </c>
      <c r="E88" s="171">
        <f t="shared" si="14"/>
        <v>0</v>
      </c>
      <c r="F88" s="383"/>
      <c r="G88" s="171">
        <f t="shared" si="15"/>
        <v>0</v>
      </c>
      <c r="H88" s="172">
        <f t="shared" si="16"/>
        <v>0</v>
      </c>
      <c r="I88" s="337"/>
      <c r="J88" s="168"/>
      <c r="K88" s="168"/>
      <c r="M88" s="359">
        <f t="shared" si="17"/>
        <v>0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490">
        <f>'[69]Sch C'!D82</f>
        <v>7148</v>
      </c>
      <c r="D89" s="490">
        <f>'[69]Sch C'!F82</f>
        <v>0</v>
      </c>
      <c r="E89" s="171">
        <f t="shared" si="14"/>
        <v>7148</v>
      </c>
      <c r="F89" s="383"/>
      <c r="G89" s="171">
        <f t="shared" si="15"/>
        <v>7148</v>
      </c>
      <c r="H89" s="172">
        <f t="shared" si="16"/>
        <v>4.0553014215680989E-3</v>
      </c>
      <c r="I89" s="337"/>
      <c r="J89" s="168"/>
      <c r="K89" s="168"/>
      <c r="M89" s="359">
        <f t="shared" si="17"/>
        <v>0.7360724951086397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490">
        <f>'[69]Sch C'!D83</f>
        <v>0</v>
      </c>
      <c r="D90" s="490">
        <f>'[69]Sch C'!F83</f>
        <v>0</v>
      </c>
      <c r="E90" s="171">
        <f t="shared" si="14"/>
        <v>0</v>
      </c>
      <c r="F90" s="383"/>
      <c r="G90" s="171">
        <f t="shared" si="15"/>
        <v>0</v>
      </c>
      <c r="H90" s="172">
        <f t="shared" si="16"/>
        <v>0</v>
      </c>
      <c r="I90" s="337"/>
      <c r="J90" s="168"/>
      <c r="K90" s="168"/>
      <c r="M90" s="359">
        <f t="shared" si="17"/>
        <v>0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490">
        <f>'[69]Sch C'!D84</f>
        <v>25004</v>
      </c>
      <c r="D91" s="490">
        <f>'[69]Sch C'!F84</f>
        <v>0</v>
      </c>
      <c r="E91" s="171">
        <f t="shared" si="14"/>
        <v>25004</v>
      </c>
      <c r="F91" s="383"/>
      <c r="G91" s="171">
        <f t="shared" si="15"/>
        <v>25004</v>
      </c>
      <c r="H91" s="172">
        <f t="shared" si="16"/>
        <v>1.4185612303425958E-2</v>
      </c>
      <c r="I91" s="337"/>
      <c r="J91" s="168"/>
      <c r="K91" s="168"/>
      <c r="M91" s="359">
        <f t="shared" si="17"/>
        <v>2.5748120687879723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490">
        <f>'[69]Sch C'!D85</f>
        <v>2047</v>
      </c>
      <c r="D92" s="490">
        <f>'[69]Sch C'!F85</f>
        <v>0</v>
      </c>
      <c r="E92" s="171">
        <f t="shared" si="14"/>
        <v>2047</v>
      </c>
      <c r="F92" s="383"/>
      <c r="G92" s="171">
        <f t="shared" si="15"/>
        <v>2047</v>
      </c>
      <c r="H92" s="172">
        <f t="shared" si="16"/>
        <v>1.1613321222649551E-3</v>
      </c>
      <c r="I92" s="337"/>
      <c r="J92" s="168"/>
      <c r="K92" s="168"/>
      <c r="M92" s="359">
        <f t="shared" si="17"/>
        <v>0.21079188549068067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490">
        <f>SUM(C82:C92)</f>
        <v>218091</v>
      </c>
      <c r="D93" s="490">
        <f>SUM(D82:D92)</f>
        <v>-130254</v>
      </c>
      <c r="E93" s="171">
        <f t="shared" ref="E93:F93" si="18">SUM(E82:E92)</f>
        <v>87837</v>
      </c>
      <c r="F93" s="171">
        <f t="shared" si="18"/>
        <v>0</v>
      </c>
      <c r="G93" s="171">
        <f>SUM(G82:G92)</f>
        <v>87837</v>
      </c>
      <c r="H93" s="172">
        <f t="shared" si="16"/>
        <v>4.9832891853144531E-2</v>
      </c>
      <c r="I93" s="337"/>
      <c r="J93" s="168"/>
      <c r="K93" s="168"/>
      <c r="M93" s="364">
        <f>G93/G$228</f>
        <v>9.045103490886623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382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382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490">
        <f>'[69]Sch C'!D89</f>
        <v>62862</v>
      </c>
      <c r="D96" s="490">
        <f>'[69]Sch C'!F89</f>
        <v>0</v>
      </c>
      <c r="E96" s="171">
        <f t="shared" ref="E96:E101" si="19">C96+D96</f>
        <v>62862</v>
      </c>
      <c r="F96" s="383"/>
      <c r="G96" s="171">
        <f t="shared" ref="G96:G101" si="20">E96+F96</f>
        <v>62862</v>
      </c>
      <c r="H96" s="172">
        <f t="shared" ref="H96:H102" si="21">IF($G$208=0,0,G96/$G$208)</f>
        <v>3.5663732227562091E-2</v>
      </c>
      <c r="I96" s="337"/>
      <c r="J96" s="183">
        <v>5009</v>
      </c>
      <c r="K96" s="183">
        <v>5051</v>
      </c>
      <c r="M96" s="364">
        <f t="shared" ref="M96:M101" si="22">G96/G$228</f>
        <v>6.4732777262897745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490">
        <f>'[69]Sch C'!D90</f>
        <v>10317</v>
      </c>
      <c r="D97" s="490">
        <f>'[69]Sch C'!F90</f>
        <v>0</v>
      </c>
      <c r="E97" s="171">
        <f t="shared" si="19"/>
        <v>10317</v>
      </c>
      <c r="F97" s="383"/>
      <c r="G97" s="171">
        <f t="shared" si="20"/>
        <v>10317</v>
      </c>
      <c r="H97" s="172">
        <f t="shared" si="21"/>
        <v>5.8531819762616226E-3</v>
      </c>
      <c r="I97" s="337"/>
      <c r="J97" s="168"/>
      <c r="K97" s="168"/>
      <c r="M97" s="364">
        <f t="shared" si="22"/>
        <v>1.0624034599938215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490">
        <f>'[69]Sch C'!D91</f>
        <v>7294</v>
      </c>
      <c r="D98" s="490">
        <f>'[69]Sch C'!F91</f>
        <v>0</v>
      </c>
      <c r="E98" s="171">
        <f t="shared" si="19"/>
        <v>7294</v>
      </c>
      <c r="F98" s="383"/>
      <c r="G98" s="171">
        <f t="shared" si="20"/>
        <v>7294</v>
      </c>
      <c r="H98" s="172">
        <f t="shared" si="21"/>
        <v>4.1381321445044372E-3</v>
      </c>
      <c r="I98" s="337"/>
      <c r="J98" s="168"/>
      <c r="K98" s="168"/>
      <c r="M98" s="364">
        <f t="shared" si="22"/>
        <v>0.75110699207084752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490">
        <f>'[69]Sch C'!D92</f>
        <v>59304</v>
      </c>
      <c r="D99" s="490">
        <f>'[69]Sch C'!F92</f>
        <v>0</v>
      </c>
      <c r="E99" s="171">
        <f t="shared" si="19"/>
        <v>59304</v>
      </c>
      <c r="F99" s="383"/>
      <c r="G99" s="171">
        <f t="shared" si="20"/>
        <v>59304</v>
      </c>
      <c r="H99" s="172">
        <f t="shared" si="21"/>
        <v>3.3645158856277918E-2</v>
      </c>
      <c r="I99" s="337"/>
      <c r="J99" s="168"/>
      <c r="K99" s="168"/>
      <c r="M99" s="364">
        <f t="shared" si="22"/>
        <v>6.106889094840902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490">
        <f>'[69]Sch C'!D93</f>
        <v>6392</v>
      </c>
      <c r="D100" s="490">
        <f>'[69]Sch C'!F93</f>
        <v>0</v>
      </c>
      <c r="E100" s="171">
        <f t="shared" si="19"/>
        <v>6392</v>
      </c>
      <c r="F100" s="383"/>
      <c r="G100" s="171">
        <f t="shared" si="20"/>
        <v>6392</v>
      </c>
      <c r="H100" s="172">
        <f t="shared" si="21"/>
        <v>3.6263971301991171E-3</v>
      </c>
      <c r="I100" s="337"/>
      <c r="J100" s="168"/>
      <c r="K100" s="168"/>
      <c r="M100" s="364">
        <f t="shared" si="22"/>
        <v>0.6582226341262486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490">
        <f>'[69]Sch C'!D94</f>
        <v>731</v>
      </c>
      <c r="D101" s="490">
        <f>'[69]Sch C'!F94</f>
        <v>0</v>
      </c>
      <c r="E101" s="171">
        <f t="shared" si="19"/>
        <v>731</v>
      </c>
      <c r="F101" s="383"/>
      <c r="G101" s="171">
        <f t="shared" si="20"/>
        <v>731</v>
      </c>
      <c r="H101" s="172">
        <f t="shared" si="21"/>
        <v>4.1472094840043093E-4</v>
      </c>
      <c r="I101" s="337"/>
      <c r="J101" s="168"/>
      <c r="K101" s="168"/>
      <c r="M101" s="364">
        <f t="shared" si="22"/>
        <v>7.5275460817629494E-2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490">
        <f>SUM(C96:C101)</f>
        <v>146900</v>
      </c>
      <c r="D102" s="490">
        <f>SUM(D96:D101)</f>
        <v>0</v>
      </c>
      <c r="E102" s="171">
        <f t="shared" ref="E102:F102" si="23">SUM(E96:E101)</f>
        <v>146900</v>
      </c>
      <c r="F102" s="171">
        <f t="shared" si="23"/>
        <v>0</v>
      </c>
      <c r="G102" s="171">
        <f>SUM(G96:G101)</f>
        <v>146900</v>
      </c>
      <c r="H102" s="172">
        <f t="shared" si="21"/>
        <v>8.3341323283205621E-2</v>
      </c>
      <c r="I102" s="337"/>
      <c r="J102" s="168"/>
      <c r="K102" s="168"/>
      <c r="M102" s="364">
        <f>G102/G$228</f>
        <v>15.127175368139223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382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382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490">
        <f>'[69]Sch C'!D98</f>
        <v>0</v>
      </c>
      <c r="D105" s="490">
        <f>'[69]Sch C'!F98</f>
        <v>8982</v>
      </c>
      <c r="E105" s="171">
        <f t="shared" ref="E105:E110" si="24">C105+D105</f>
        <v>8982</v>
      </c>
      <c r="F105" s="383"/>
      <c r="G105" s="171">
        <f t="shared" ref="G105:G110" si="25">E105+F105</f>
        <v>8982</v>
      </c>
      <c r="H105" s="172">
        <f t="shared" ref="H105:H111" si="26">IF($G$208=0,0,G105/$G$208)</f>
        <v>5.0957914617409993E-3</v>
      </c>
      <c r="I105" s="337"/>
      <c r="J105" s="183">
        <v>731.55</v>
      </c>
      <c r="K105" s="183">
        <v>735.55</v>
      </c>
      <c r="M105" s="364">
        <f t="shared" ref="M105:M110" si="27">G105/G$228</f>
        <v>0.92493049119555149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490">
        <f>'[69]Sch C'!D99</f>
        <v>0</v>
      </c>
      <c r="D106" s="490">
        <f>'[69]Sch C'!F99</f>
        <v>852</v>
      </c>
      <c r="E106" s="171">
        <f t="shared" si="24"/>
        <v>852</v>
      </c>
      <c r="F106" s="383"/>
      <c r="G106" s="171">
        <f t="shared" si="25"/>
        <v>852</v>
      </c>
      <c r="H106" s="172">
        <f t="shared" si="26"/>
        <v>4.8336832836821773E-4</v>
      </c>
      <c r="I106" s="337"/>
      <c r="J106" s="168"/>
      <c r="K106" s="168"/>
      <c r="M106" s="364">
        <f t="shared" si="27"/>
        <v>8.7735557615075691E-2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490">
        <f>'[69]Sch C'!D100</f>
        <v>1689</v>
      </c>
      <c r="D107" s="490">
        <f>'[69]Sch C'!F100</f>
        <v>0</v>
      </c>
      <c r="E107" s="171">
        <f t="shared" si="24"/>
        <v>1689</v>
      </c>
      <c r="F107" s="383"/>
      <c r="G107" s="171">
        <f t="shared" si="25"/>
        <v>1689</v>
      </c>
      <c r="H107" s="172">
        <f t="shared" si="26"/>
        <v>9.5822665095530492E-4</v>
      </c>
      <c r="I107" s="337"/>
      <c r="J107" s="168"/>
      <c r="K107" s="168"/>
      <c r="M107" s="364">
        <f t="shared" si="27"/>
        <v>0.17392647513129442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490">
        <f>'[69]Sch C'!D101</f>
        <v>0</v>
      </c>
      <c r="D108" s="490">
        <f>'[69]Sch C'!F101</f>
        <v>0</v>
      </c>
      <c r="E108" s="171">
        <f t="shared" si="24"/>
        <v>0</v>
      </c>
      <c r="F108" s="383"/>
      <c r="G108" s="171">
        <f t="shared" si="25"/>
        <v>0</v>
      </c>
      <c r="H108" s="172">
        <f t="shared" si="26"/>
        <v>0</v>
      </c>
      <c r="I108" s="337"/>
      <c r="J108" s="168"/>
      <c r="K108" s="168"/>
      <c r="M108" s="364">
        <f t="shared" si="27"/>
        <v>0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490">
        <f>'[69]Sch C'!D102</f>
        <v>0</v>
      </c>
      <c r="D109" s="490">
        <f>'[69]Sch C'!F102</f>
        <v>0</v>
      </c>
      <c r="E109" s="171">
        <f t="shared" si="24"/>
        <v>0</v>
      </c>
      <c r="F109" s="383"/>
      <c r="G109" s="171">
        <f t="shared" si="25"/>
        <v>0</v>
      </c>
      <c r="H109" s="172">
        <f t="shared" si="26"/>
        <v>0</v>
      </c>
      <c r="I109" s="337"/>
      <c r="J109" s="168"/>
      <c r="K109" s="168"/>
      <c r="M109" s="364">
        <f t="shared" si="27"/>
        <v>0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490">
        <f>'[69]Sch C'!D103</f>
        <v>1531</v>
      </c>
      <c r="D110" s="490">
        <f>'[69]Sch C'!F103</f>
        <v>0</v>
      </c>
      <c r="E110" s="171">
        <f t="shared" si="24"/>
        <v>1531</v>
      </c>
      <c r="F110" s="383"/>
      <c r="G110" s="171">
        <f t="shared" si="25"/>
        <v>1531</v>
      </c>
      <c r="H110" s="172">
        <f t="shared" si="26"/>
        <v>8.6858792339406259E-4</v>
      </c>
      <c r="I110" s="337"/>
      <c r="J110" s="168"/>
      <c r="K110" s="168"/>
      <c r="M110" s="364">
        <f t="shared" si="27"/>
        <v>0.15765626609000102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490">
        <f>SUM(C105:C110)</f>
        <v>3220</v>
      </c>
      <c r="D111" s="490">
        <f>SUM(D105:D110)</f>
        <v>9834</v>
      </c>
      <c r="E111" s="171">
        <f t="shared" ref="E111:F111" si="28">SUM(E105:E110)</f>
        <v>13054</v>
      </c>
      <c r="F111" s="171">
        <f t="shared" si="28"/>
        <v>0</v>
      </c>
      <c r="G111" s="171">
        <f>SUM(G105:G110)</f>
        <v>13054</v>
      </c>
      <c r="H111" s="172">
        <f t="shared" si="26"/>
        <v>7.4059743644585849E-3</v>
      </c>
      <c r="I111" s="337"/>
      <c r="J111" s="168"/>
      <c r="K111" s="168"/>
      <c r="M111" s="364">
        <f>G111/G$228</f>
        <v>1.3442487900319227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382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382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490">
        <f>'[69]Sch C'!D115</f>
        <v>35926</v>
      </c>
      <c r="D114" s="490">
        <f>'[69]Sch C'!F115</f>
        <v>-8982</v>
      </c>
      <c r="E114" s="171">
        <f t="shared" ref="E114:E118" si="29">C114+D114</f>
        <v>26944</v>
      </c>
      <c r="F114" s="383"/>
      <c r="G114" s="171">
        <f>E114+F114</f>
        <v>26944</v>
      </c>
      <c r="H114" s="172">
        <f t="shared" ref="H114:H119" si="30">IF($G$208=0,0,G114/$G$208)</f>
        <v>1.5286239717785515E-2</v>
      </c>
      <c r="I114" s="337"/>
      <c r="J114" s="183">
        <v>2194.64</v>
      </c>
      <c r="K114" s="183">
        <v>2207</v>
      </c>
      <c r="M114" s="364">
        <f t="shared" ref="M114:M119" si="31">G114/G$228</f>
        <v>2.7745855215734734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490">
        <f>'[69]Sch C'!D116</f>
        <v>3408</v>
      </c>
      <c r="D115" s="490">
        <f>'[69]Sch C'!F116</f>
        <v>-852</v>
      </c>
      <c r="E115" s="171">
        <f t="shared" si="29"/>
        <v>2556</v>
      </c>
      <c r="F115" s="383"/>
      <c r="G115" s="171">
        <f>E115+F115</f>
        <v>2556</v>
      </c>
      <c r="H115" s="172">
        <f t="shared" si="30"/>
        <v>1.4501049851046533E-3</v>
      </c>
      <c r="I115" s="337"/>
      <c r="J115" s="168"/>
      <c r="K115" s="168"/>
      <c r="M115" s="364">
        <f t="shared" si="31"/>
        <v>0.26320667284522709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490">
        <f>'[69]Sch C'!D117</f>
        <v>8362</v>
      </c>
      <c r="D116" s="490">
        <f>'[69]Sch C'!F117</f>
        <v>0</v>
      </c>
      <c r="E116" s="171">
        <f t="shared" si="29"/>
        <v>8362</v>
      </c>
      <c r="F116" s="383"/>
      <c r="G116" s="171">
        <f>E116+F116</f>
        <v>8362</v>
      </c>
      <c r="H116" s="172">
        <f t="shared" si="30"/>
        <v>4.7440445561209351E-3</v>
      </c>
      <c r="I116" s="337"/>
      <c r="J116" s="168"/>
      <c r="K116" s="168"/>
      <c r="M116" s="364">
        <f t="shared" si="31"/>
        <v>0.86108536710946348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490">
        <f>'[69]Sch C'!D118</f>
        <v>1109</v>
      </c>
      <c r="D117" s="490">
        <f>'[69]Sch C'!F118</f>
        <v>0</v>
      </c>
      <c r="E117" s="171">
        <f t="shared" si="29"/>
        <v>1109</v>
      </c>
      <c r="F117" s="383"/>
      <c r="G117" s="171">
        <f>E117+F117</f>
        <v>1109</v>
      </c>
      <c r="H117" s="172">
        <f t="shared" si="30"/>
        <v>6.2917309408492194E-4</v>
      </c>
      <c r="I117" s="337"/>
      <c r="J117" s="168"/>
      <c r="K117" s="168"/>
      <c r="M117" s="364">
        <f t="shared" si="31"/>
        <v>0.11420039130882505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490">
        <f>'[69]Sch C'!D119</f>
        <v>0</v>
      </c>
      <c r="D118" s="490">
        <f>'[69]Sch C'!F119</f>
        <v>0</v>
      </c>
      <c r="E118" s="171">
        <f t="shared" si="29"/>
        <v>0</v>
      </c>
      <c r="F118" s="383"/>
      <c r="G118" s="171">
        <f>E118+F118</f>
        <v>0</v>
      </c>
      <c r="H118" s="172">
        <f t="shared" si="30"/>
        <v>0</v>
      </c>
      <c r="I118" s="337"/>
      <c r="J118" s="168"/>
      <c r="K118" s="168"/>
      <c r="M118" s="364">
        <f t="shared" si="31"/>
        <v>0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490">
        <f>SUM(C114:C118)</f>
        <v>48805</v>
      </c>
      <c r="D119" s="490">
        <f>SUM(D114:D118)</f>
        <v>-9834</v>
      </c>
      <c r="E119" s="171">
        <f t="shared" ref="E119:F119" si="32">SUM(E114:E118)</f>
        <v>38971</v>
      </c>
      <c r="F119" s="171">
        <f t="shared" si="32"/>
        <v>0</v>
      </c>
      <c r="G119" s="171">
        <f>SUM(G114:G118)</f>
        <v>38971</v>
      </c>
      <c r="H119" s="172">
        <f t="shared" si="30"/>
        <v>2.2109562353096024E-2</v>
      </c>
      <c r="I119" s="337"/>
      <c r="J119" s="168"/>
      <c r="K119" s="168"/>
      <c r="M119" s="364">
        <f t="shared" si="31"/>
        <v>4.0130779528369889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385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382"/>
      <c r="G121" s="165"/>
      <c r="H121" s="198"/>
      <c r="I121" s="341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382"/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490">
        <f>'[69]Sch C'!D124</f>
        <v>0</v>
      </c>
      <c r="D123" s="490">
        <f>'[69]Sch C'!F124</f>
        <v>0</v>
      </c>
      <c r="E123" s="171">
        <f t="shared" ref="E123:E127" si="33">C123+D123</f>
        <v>0</v>
      </c>
      <c r="F123" s="383"/>
      <c r="G123" s="171">
        <f>E123+F123</f>
        <v>0</v>
      </c>
      <c r="H123" s="172">
        <f>IF($G$208=0,0,G123/$G$208)</f>
        <v>0</v>
      </c>
      <c r="I123" s="337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0.77002560279620991</v>
      </c>
    </row>
    <row r="124" spans="1:14" s="167" customFormat="1">
      <c r="B124" s="163" t="s">
        <v>194</v>
      </c>
      <c r="C124" s="490">
        <f>'[69]Sch C'!D125</f>
        <v>79482</v>
      </c>
      <c r="D124" s="490">
        <f>'[69]Sch C'!F125</f>
        <v>0</v>
      </c>
      <c r="E124" s="171">
        <f t="shared" si="33"/>
        <v>79482</v>
      </c>
      <c r="F124" s="383"/>
      <c r="G124" s="171">
        <f>E124+F124</f>
        <v>79482</v>
      </c>
      <c r="H124" s="172">
        <f>IF($G$208=0,0,G124/$G$208)</f>
        <v>4.5092818633054789E-2</v>
      </c>
      <c r="I124" s="337"/>
      <c r="J124" s="183">
        <v>2086</v>
      </c>
      <c r="K124" s="183">
        <v>2086</v>
      </c>
      <c r="M124" s="364">
        <f t="shared" si="34"/>
        <v>8.1847389558232937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490">
        <f>'[69]Sch C'!D126</f>
        <v>0</v>
      </c>
      <c r="D125" s="490">
        <f>'[69]Sch C'!F126</f>
        <v>0</v>
      </c>
      <c r="E125" s="171">
        <f t="shared" si="33"/>
        <v>0</v>
      </c>
      <c r="F125" s="383"/>
      <c r="G125" s="171">
        <f>E125+F125</f>
        <v>0</v>
      </c>
      <c r="H125" s="172">
        <f>IF($G$208=0,0,G125/$G$208)</f>
        <v>0</v>
      </c>
      <c r="I125" s="337"/>
      <c r="J125" s="183">
        <v>0</v>
      </c>
      <c r="K125" s="183">
        <v>0</v>
      </c>
      <c r="M125" s="364">
        <f t="shared" si="34"/>
        <v>0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490">
        <f>'[69]Sch C'!D127</f>
        <v>0</v>
      </c>
      <c r="D126" s="490">
        <f>'[69]Sch C'!F127</f>
        <v>0</v>
      </c>
      <c r="E126" s="171">
        <f t="shared" si="33"/>
        <v>0</v>
      </c>
      <c r="F126" s="383"/>
      <c r="G126" s="171">
        <f>E126+F126</f>
        <v>0</v>
      </c>
      <c r="H126" s="172">
        <f>IF($G$208=0,0,G126/$G$208)</f>
        <v>0</v>
      </c>
      <c r="I126" s="337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490">
        <f>'[69]Sch C'!D128</f>
        <v>0</v>
      </c>
      <c r="D127" s="490">
        <f>'[69]Sch C'!F128</f>
        <v>0</v>
      </c>
      <c r="E127" s="171">
        <f t="shared" si="33"/>
        <v>0</v>
      </c>
      <c r="F127" s="383"/>
      <c r="G127" s="171">
        <f>E127+F127</f>
        <v>0</v>
      </c>
      <c r="H127" s="172">
        <f>IF($G$208=0,0,G127/$G$208)</f>
        <v>0</v>
      </c>
      <c r="I127" s="337"/>
      <c r="J127" s="183">
        <v>0</v>
      </c>
      <c r="K127" s="183">
        <v>0</v>
      </c>
      <c r="M127" s="364">
        <f t="shared" si="34"/>
        <v>0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385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490">
        <f>'[69]Sch C'!D130</f>
        <v>0</v>
      </c>
      <c r="D129" s="490">
        <f>'[69]Sch C'!F130</f>
        <v>0</v>
      </c>
      <c r="E129" s="171">
        <f t="shared" ref="E129:E133" si="35">C129+D129</f>
        <v>0</v>
      </c>
      <c r="F129" s="383"/>
      <c r="G129" s="171">
        <f>E129+F129</f>
        <v>0</v>
      </c>
      <c r="H129" s="172">
        <f>IF($G$208=0,0,G129/$G$208)</f>
        <v>0</v>
      </c>
      <c r="I129" s="337"/>
      <c r="J129" s="204"/>
      <c r="K129" s="204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490">
        <f>'[69]Sch C'!D131</f>
        <v>0</v>
      </c>
      <c r="D130" s="490">
        <f>'[69]Sch C'!F131</f>
        <v>0</v>
      </c>
      <c r="E130" s="171">
        <f t="shared" si="35"/>
        <v>0</v>
      </c>
      <c r="F130" s="383"/>
      <c r="G130" s="171">
        <f>E130+F130</f>
        <v>0</v>
      </c>
      <c r="H130" s="172">
        <f>IF($G$208=0,0,G130/$G$208)</f>
        <v>0</v>
      </c>
      <c r="I130" s="337"/>
      <c r="J130" s="204"/>
      <c r="K130" s="204"/>
      <c r="M130" s="364">
        <f t="shared" si="34"/>
        <v>0</v>
      </c>
      <c r="N130" s="359">
        <f>SUMMARY!J133</f>
        <v>1.0792348507966931</v>
      </c>
    </row>
    <row r="131" spans="1:14" s="167" customFormat="1">
      <c r="B131" s="163" t="s">
        <v>195</v>
      </c>
      <c r="C131" s="490">
        <f>'[69]Sch C'!D132</f>
        <v>0</v>
      </c>
      <c r="D131" s="490">
        <f>'[69]Sch C'!F132</f>
        <v>0</v>
      </c>
      <c r="E131" s="171">
        <f t="shared" si="35"/>
        <v>0</v>
      </c>
      <c r="F131" s="383"/>
      <c r="G131" s="171">
        <f>E131+F131</f>
        <v>0</v>
      </c>
      <c r="H131" s="172">
        <f>IF($G$208=0,0,G131/$G$208)</f>
        <v>0</v>
      </c>
      <c r="I131" s="337"/>
      <c r="J131" s="168"/>
      <c r="K131" s="168"/>
      <c r="M131" s="364">
        <f t="shared" si="34"/>
        <v>0</v>
      </c>
      <c r="N131" s="359">
        <f>SUMMARY!J134</f>
        <v>8.2765628075518377E-2</v>
      </c>
    </row>
    <row r="132" spans="1:14" s="167" customFormat="1">
      <c r="B132" s="163" t="s">
        <v>196</v>
      </c>
      <c r="C132" s="490">
        <f>'[69]Sch C'!D133</f>
        <v>0</v>
      </c>
      <c r="D132" s="490">
        <f>'[69]Sch C'!F133</f>
        <v>0</v>
      </c>
      <c r="E132" s="171">
        <f t="shared" si="35"/>
        <v>0</v>
      </c>
      <c r="F132" s="383"/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490">
        <f>'[69]Sch C'!D134</f>
        <v>0</v>
      </c>
      <c r="D133" s="490">
        <f>'[69]Sch C'!F134</f>
        <v>0</v>
      </c>
      <c r="E133" s="171">
        <f t="shared" si="35"/>
        <v>0</v>
      </c>
      <c r="F133" s="383"/>
      <c r="G133" s="171">
        <f>E133+F133</f>
        <v>0</v>
      </c>
      <c r="H133" s="172">
        <f>IF($G$208=0,0,G133/$G$208)</f>
        <v>0</v>
      </c>
      <c r="I133" s="337"/>
      <c r="J133" s="168"/>
      <c r="K133" s="168"/>
      <c r="M133" s="364">
        <f t="shared" si="34"/>
        <v>0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385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490">
        <f>'[69]Sch C'!D136</f>
        <v>158088</v>
      </c>
      <c r="D135" s="490">
        <f>'[69]Sch C'!F136</f>
        <v>0</v>
      </c>
      <c r="E135" s="171">
        <f t="shared" ref="E135:E138" si="36">C135+D135</f>
        <v>158088</v>
      </c>
      <c r="F135" s="383"/>
      <c r="G135" s="171">
        <f>E135+F135</f>
        <v>158088</v>
      </c>
      <c r="H135" s="172">
        <f>IF($G$208=0,0,G135/$G$208)</f>
        <v>8.9688652928491555E-2</v>
      </c>
      <c r="I135" s="337"/>
      <c r="J135" s="183">
        <v>6802</v>
      </c>
      <c r="K135" s="183">
        <v>6811</v>
      </c>
      <c r="M135" s="364">
        <f t="shared" si="34"/>
        <v>16.279270929873338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490">
        <f>'[69]Sch C'!D137</f>
        <v>98446</v>
      </c>
      <c r="D136" s="490">
        <f>'[69]Sch C'!F137</f>
        <v>0</v>
      </c>
      <c r="E136" s="171">
        <f t="shared" si="36"/>
        <v>98446</v>
      </c>
      <c r="F136" s="383"/>
      <c r="G136" s="171">
        <f>E136+F136</f>
        <v>98446</v>
      </c>
      <c r="H136" s="172">
        <f>IF($G$208=0,0,G136/$G$208)</f>
        <v>5.5851735275278827E-2</v>
      </c>
      <c r="I136" s="337"/>
      <c r="J136" s="183">
        <v>3054.41</v>
      </c>
      <c r="K136" s="183">
        <v>3079.45</v>
      </c>
      <c r="M136" s="364">
        <f t="shared" si="34"/>
        <v>10.13757594480486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490">
        <f>'[69]Sch C'!D138</f>
        <v>232187</v>
      </c>
      <c r="D137" s="490">
        <f>'[69]Sch C'!F138</f>
        <v>0</v>
      </c>
      <c r="E137" s="171">
        <f t="shared" si="36"/>
        <v>232187</v>
      </c>
      <c r="F137" s="383"/>
      <c r="G137" s="171">
        <f>E137+F137</f>
        <v>232187</v>
      </c>
      <c r="H137" s="172">
        <f>IF($G$208=0,0,G137/$G$208)</f>
        <v>0.13172751415355796</v>
      </c>
      <c r="I137" s="337"/>
      <c r="J137" s="183">
        <v>18852.419999999998</v>
      </c>
      <c r="K137" s="183">
        <v>18884.509999999998</v>
      </c>
      <c r="M137" s="364">
        <f t="shared" si="34"/>
        <v>23.909690042220163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490">
        <f>'[69]Sch C'!D139</f>
        <v>0</v>
      </c>
      <c r="D138" s="490">
        <f>'[69]Sch C'!F139</f>
        <v>0</v>
      </c>
      <c r="E138" s="171">
        <f t="shared" si="36"/>
        <v>0</v>
      </c>
      <c r="F138" s="383"/>
      <c r="G138" s="171">
        <f>E138+F138</f>
        <v>0</v>
      </c>
      <c r="H138" s="172">
        <f>IF($G$208=0,0,G138/$G$208)</f>
        <v>0</v>
      </c>
      <c r="I138" s="337"/>
      <c r="J138" s="183">
        <v>0</v>
      </c>
      <c r="K138" s="183">
        <v>0</v>
      </c>
      <c r="M138" s="364">
        <f t="shared" si="34"/>
        <v>0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385"/>
      <c r="G139" s="196"/>
      <c r="H139" s="197"/>
      <c r="I139" s="337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490">
        <f>'[69]Sch C'!D141</f>
        <v>0</v>
      </c>
      <c r="D140" s="490">
        <f>'[69]Sch C'!F141</f>
        <v>0</v>
      </c>
      <c r="E140" s="171">
        <f t="shared" ref="E140:E143" si="37">C140+D140</f>
        <v>0</v>
      </c>
      <c r="F140" s="383"/>
      <c r="G140" s="171">
        <f>E140+F140</f>
        <v>0</v>
      </c>
      <c r="H140" s="172">
        <f>IF($G$208=0,0,G140/$G$208)</f>
        <v>0</v>
      </c>
      <c r="I140" s="337"/>
      <c r="J140" s="168"/>
      <c r="K140" s="168"/>
      <c r="M140" s="364">
        <f t="shared" si="34"/>
        <v>0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490">
        <f>'[69]Sch C'!D142</f>
        <v>29378</v>
      </c>
      <c r="D141" s="490">
        <f>'[69]Sch C'!F142</f>
        <v>0</v>
      </c>
      <c r="E141" s="171">
        <f t="shared" si="37"/>
        <v>29378</v>
      </c>
      <c r="F141" s="383"/>
      <c r="G141" s="171">
        <f>E141+F141</f>
        <v>29378</v>
      </c>
      <c r="H141" s="172">
        <f>IF($G$208=0,0,G141/$G$208)</f>
        <v>1.6667129989203638E-2</v>
      </c>
      <c r="I141" s="337"/>
      <c r="J141" s="168"/>
      <c r="K141" s="168"/>
      <c r="M141" s="364">
        <f t="shared" si="34"/>
        <v>3.0252291216146636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490">
        <f>'[69]Sch C'!D143</f>
        <v>20991</v>
      </c>
      <c r="D142" s="490">
        <f>'[69]Sch C'!F143</f>
        <v>0</v>
      </c>
      <c r="E142" s="171">
        <f t="shared" si="37"/>
        <v>20991</v>
      </c>
      <c r="F142" s="383"/>
      <c r="G142" s="171">
        <f>E142+F142</f>
        <v>20991</v>
      </c>
      <c r="H142" s="172">
        <f>IF($G$208=0,0,G142/$G$208)</f>
        <v>1.1908902090114153E-2</v>
      </c>
      <c r="I142" s="337"/>
      <c r="J142" s="168"/>
      <c r="K142" s="168"/>
      <c r="M142" s="364">
        <f t="shared" si="34"/>
        <v>2.1615693543404388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490">
        <f>'[69]Sch C'!D144</f>
        <v>0</v>
      </c>
      <c r="D143" s="490">
        <f>'[69]Sch C'!F144</f>
        <v>0</v>
      </c>
      <c r="E143" s="171">
        <f t="shared" si="37"/>
        <v>0</v>
      </c>
      <c r="F143" s="383"/>
      <c r="G143" s="171">
        <f>E143+F143</f>
        <v>0</v>
      </c>
      <c r="H143" s="172">
        <f>IF($G$208=0,0,G143/$G$208)</f>
        <v>0</v>
      </c>
      <c r="I143" s="337"/>
      <c r="J143" s="168"/>
      <c r="K143" s="168"/>
      <c r="M143" s="364">
        <f t="shared" si="34"/>
        <v>0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385"/>
      <c r="G144" s="196"/>
      <c r="H144" s="197"/>
      <c r="I144" s="337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490">
        <f>'[69]Sch C'!D146</f>
        <v>12000</v>
      </c>
      <c r="D145" s="490">
        <f>'[69]Sch C'!F146</f>
        <v>0</v>
      </c>
      <c r="E145" s="171">
        <f t="shared" ref="E145:E153" si="38">C145+D145</f>
        <v>12000</v>
      </c>
      <c r="F145" s="383"/>
      <c r="G145" s="171">
        <f t="shared" ref="G145:G153" si="39">E145+F145</f>
        <v>12000</v>
      </c>
      <c r="H145" s="172">
        <f t="shared" ref="H145:H153" si="40">IF($G$208=0,0,G145/$G$208)</f>
        <v>6.8080046249044748E-3</v>
      </c>
      <c r="I145" s="337"/>
      <c r="J145" s="183">
        <v>0</v>
      </c>
      <c r="K145" s="183">
        <v>0</v>
      </c>
      <c r="M145" s="364">
        <f t="shared" si="34"/>
        <v>1.2357120790855731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490">
        <f>'[69]Sch C'!D147</f>
        <v>0</v>
      </c>
      <c r="D146" s="490">
        <f>'[69]Sch C'!F147</f>
        <v>0</v>
      </c>
      <c r="E146" s="171">
        <f t="shared" si="38"/>
        <v>0</v>
      </c>
      <c r="F146" s="383"/>
      <c r="G146" s="171">
        <f t="shared" si="39"/>
        <v>0</v>
      </c>
      <c r="H146" s="172">
        <f t="shared" si="40"/>
        <v>0</v>
      </c>
      <c r="I146" s="337"/>
      <c r="J146" s="183">
        <v>0</v>
      </c>
      <c r="K146" s="183">
        <v>0</v>
      </c>
      <c r="M146" s="364">
        <f t="shared" si="34"/>
        <v>0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490">
        <f>'[69]Sch C'!D148</f>
        <v>0</v>
      </c>
      <c r="D147" s="490">
        <f>'[69]Sch C'!F148</f>
        <v>0</v>
      </c>
      <c r="E147" s="171">
        <f t="shared" si="38"/>
        <v>0</v>
      </c>
      <c r="F147" s="383"/>
      <c r="G147" s="171">
        <f t="shared" si="39"/>
        <v>0</v>
      </c>
      <c r="H147" s="172">
        <f t="shared" si="40"/>
        <v>0</v>
      </c>
      <c r="I147" s="337"/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490">
        <f>'[69]Sch C'!D149</f>
        <v>9786</v>
      </c>
      <c r="D148" s="490">
        <f>'[69]Sch C'!F149</f>
        <v>0</v>
      </c>
      <c r="E148" s="171">
        <f t="shared" si="38"/>
        <v>9786</v>
      </c>
      <c r="F148" s="383"/>
      <c r="G148" s="171">
        <f t="shared" si="39"/>
        <v>9786</v>
      </c>
      <c r="H148" s="172">
        <f t="shared" si="40"/>
        <v>5.5519277716095999E-3</v>
      </c>
      <c r="I148" s="337"/>
      <c r="J148" s="183">
        <v>0</v>
      </c>
      <c r="K148" s="183">
        <v>0</v>
      </c>
      <c r="M148" s="364">
        <f t="shared" si="34"/>
        <v>1.0077232004942849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490">
        <f>'[69]Sch C'!D150</f>
        <v>1676</v>
      </c>
      <c r="D149" s="490">
        <f>'[69]Sch C'!F150</f>
        <v>0</v>
      </c>
      <c r="E149" s="171">
        <f t="shared" si="38"/>
        <v>1676</v>
      </c>
      <c r="F149" s="383"/>
      <c r="G149" s="171">
        <f t="shared" si="39"/>
        <v>1676</v>
      </c>
      <c r="H149" s="172">
        <f t="shared" si="40"/>
        <v>9.5085131261165841E-4</v>
      </c>
      <c r="I149" s="337"/>
      <c r="J149" s="183">
        <v>0</v>
      </c>
      <c r="K149" s="183">
        <v>0</v>
      </c>
      <c r="M149" s="364">
        <f t="shared" si="34"/>
        <v>0.17258778704561836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490">
        <f>'[69]Sch C'!D151</f>
        <v>46022</v>
      </c>
      <c r="D150" s="490">
        <f>'[69]Sch C'!F151</f>
        <v>0</v>
      </c>
      <c r="E150" s="171">
        <f t="shared" si="38"/>
        <v>46022</v>
      </c>
      <c r="F150" s="383"/>
      <c r="G150" s="171">
        <f t="shared" si="39"/>
        <v>46022</v>
      </c>
      <c r="H150" s="172">
        <f t="shared" si="40"/>
        <v>2.6109832403946147E-2</v>
      </c>
      <c r="I150" s="337"/>
      <c r="J150" s="168"/>
      <c r="K150" s="168"/>
      <c r="M150" s="364">
        <f t="shared" si="34"/>
        <v>4.7391617753063535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490">
        <f>'[69]Sch C'!D152</f>
        <v>7103</v>
      </c>
      <c r="D151" s="490">
        <f>'[69]Sch C'!F152</f>
        <v>0</v>
      </c>
      <c r="E151" s="171">
        <f t="shared" si="38"/>
        <v>7103</v>
      </c>
      <c r="F151" s="383"/>
      <c r="G151" s="171">
        <f t="shared" si="39"/>
        <v>7103</v>
      </c>
      <c r="H151" s="172">
        <f t="shared" si="40"/>
        <v>4.0297714042247072E-3</v>
      </c>
      <c r="I151" s="337"/>
      <c r="J151" s="168"/>
      <c r="K151" s="168"/>
      <c r="M151" s="364">
        <f t="shared" si="34"/>
        <v>0.73143857481206875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490">
        <f>'[69]Sch C'!D153</f>
        <v>0</v>
      </c>
      <c r="D152" s="490">
        <f>'[69]Sch C'!F153</f>
        <v>0</v>
      </c>
      <c r="E152" s="171">
        <f t="shared" si="38"/>
        <v>0</v>
      </c>
      <c r="F152" s="383"/>
      <c r="G152" s="171">
        <f t="shared" si="39"/>
        <v>0</v>
      </c>
      <c r="H152" s="172">
        <f t="shared" si="40"/>
        <v>0</v>
      </c>
      <c r="I152" s="337"/>
      <c r="J152" s="168"/>
      <c r="K152" s="168"/>
      <c r="M152" s="364">
        <f t="shared" si="34"/>
        <v>0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490">
        <f>'[69]Sch C'!D154</f>
        <v>0</v>
      </c>
      <c r="D153" s="490">
        <f>'[69]Sch C'!F154</f>
        <v>0</v>
      </c>
      <c r="E153" s="171">
        <f t="shared" si="38"/>
        <v>0</v>
      </c>
      <c r="F153" s="383"/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386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490">
        <f>'[69]Sch C'!D156</f>
        <v>0</v>
      </c>
      <c r="D155" s="490">
        <f>'[69]Sch C'!F156</f>
        <v>0</v>
      </c>
      <c r="E155" s="171">
        <f t="shared" ref="E155:E160" si="41">C155+D155</f>
        <v>0</v>
      </c>
      <c r="F155" s="383"/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490">
        <f>'[69]Sch C'!D157</f>
        <v>0</v>
      </c>
      <c r="D156" s="490">
        <f>'[69]Sch C'!F157</f>
        <v>0</v>
      </c>
      <c r="E156" s="171">
        <f t="shared" si="41"/>
        <v>0</v>
      </c>
      <c r="F156" s="383"/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490">
        <f>'[69]Sch C'!D158</f>
        <v>0</v>
      </c>
      <c r="D157" s="490">
        <f>'[69]Sch C'!F158</f>
        <v>0</v>
      </c>
      <c r="E157" s="171">
        <f t="shared" si="41"/>
        <v>0</v>
      </c>
      <c r="F157" s="383"/>
      <c r="G157" s="171">
        <f t="shared" si="42"/>
        <v>0</v>
      </c>
      <c r="H157" s="172">
        <f t="shared" si="43"/>
        <v>0</v>
      </c>
      <c r="I157" s="337"/>
      <c r="J157" s="168"/>
      <c r="K157" s="168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490">
        <f>'[69]Sch C'!D159</f>
        <v>0</v>
      </c>
      <c r="D158" s="490">
        <f>'[69]Sch C'!F159</f>
        <v>0</v>
      </c>
      <c r="E158" s="171">
        <f t="shared" si="41"/>
        <v>0</v>
      </c>
      <c r="F158" s="383"/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490">
        <f>'[69]Sch C'!D160</f>
        <v>0</v>
      </c>
      <c r="D159" s="490">
        <f>'[69]Sch C'!F160</f>
        <v>0</v>
      </c>
      <c r="E159" s="171">
        <f t="shared" si="41"/>
        <v>0</v>
      </c>
      <c r="F159" s="383"/>
      <c r="G159" s="171">
        <f t="shared" si="42"/>
        <v>0</v>
      </c>
      <c r="H159" s="172">
        <f>IF($G$208=0,0,G159/$G$208)</f>
        <v>0</v>
      </c>
      <c r="I159" s="337"/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490">
        <f>'[69]Sch C'!D161</f>
        <v>7196</v>
      </c>
      <c r="D160" s="490">
        <f>'[69]Sch C'!F161</f>
        <v>0</v>
      </c>
      <c r="E160" s="171">
        <f t="shared" si="41"/>
        <v>7196</v>
      </c>
      <c r="F160" s="383"/>
      <c r="G160" s="171">
        <f t="shared" si="42"/>
        <v>7196</v>
      </c>
      <c r="H160" s="172">
        <f t="shared" si="43"/>
        <v>4.0825334400677168E-3</v>
      </c>
      <c r="I160" s="337"/>
      <c r="J160" s="168"/>
      <c r="K160" s="168"/>
      <c r="M160" s="364">
        <f t="shared" si="34"/>
        <v>0.74101534342498199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490">
        <f>SUM(C123:C160)</f>
        <v>702355</v>
      </c>
      <c r="D161" s="490">
        <f>SUM(D123:D160)</f>
        <v>0</v>
      </c>
      <c r="E161" s="171">
        <f t="shared" ref="E161:F161" si="44">SUM(E123:E160)</f>
        <v>702355</v>
      </c>
      <c r="F161" s="171">
        <f t="shared" si="44"/>
        <v>0</v>
      </c>
      <c r="G161" s="171">
        <f>SUM(G123:G160)</f>
        <v>702355</v>
      </c>
      <c r="H161" s="172">
        <f t="shared" si="43"/>
        <v>0.39846967402706523</v>
      </c>
      <c r="I161" s="337"/>
      <c r="J161" s="168"/>
      <c r="K161" s="168"/>
      <c r="M161" s="364">
        <f>G161/G$228</f>
        <v>72.325713108845633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385"/>
      <c r="G162" s="196"/>
      <c r="H162" s="197"/>
      <c r="I162" s="337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387"/>
      <c r="G163" s="213"/>
      <c r="H163" s="214"/>
      <c r="I163" s="337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490">
        <f>'[69]Sch C'!D175</f>
        <v>0</v>
      </c>
      <c r="D164" s="490">
        <f>'[69]Sch C'!F175</f>
        <v>0</v>
      </c>
      <c r="E164" s="171">
        <f t="shared" ref="E164:E196" si="45">C164+D164</f>
        <v>0</v>
      </c>
      <c r="F164" s="388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490">
        <f>'[69]Sch C'!D176</f>
        <v>0</v>
      </c>
      <c r="D165" s="490">
        <f>'[69]Sch C'!F176</f>
        <v>0</v>
      </c>
      <c r="E165" s="171">
        <f t="shared" si="45"/>
        <v>0</v>
      </c>
      <c r="F165" s="388"/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490">
        <f>'[69]Sch C'!D177</f>
        <v>22875</v>
      </c>
      <c r="D166" s="490">
        <f>'[69]Sch C'!F177</f>
        <v>0</v>
      </c>
      <c r="E166" s="171">
        <f t="shared" si="45"/>
        <v>22875</v>
      </c>
      <c r="F166" s="388"/>
      <c r="G166" s="171">
        <f t="shared" si="46"/>
        <v>22875</v>
      </c>
      <c r="H166" s="172">
        <f t="shared" si="47"/>
        <v>1.2977758816224157E-2</v>
      </c>
      <c r="I166" s="343"/>
      <c r="J166" s="217">
        <v>0</v>
      </c>
      <c r="K166" s="217">
        <v>0</v>
      </c>
      <c r="L166" s="218"/>
      <c r="M166" s="364">
        <f t="shared" si="48"/>
        <v>2.3555761507568738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490">
        <f>'[69]Sch C'!D178</f>
        <v>0</v>
      </c>
      <c r="D167" s="490">
        <f>'[69]Sch C'!F178</f>
        <v>0</v>
      </c>
      <c r="E167" s="171">
        <f t="shared" si="45"/>
        <v>0</v>
      </c>
      <c r="F167" s="388"/>
      <c r="G167" s="171">
        <f t="shared" si="46"/>
        <v>0</v>
      </c>
      <c r="H167" s="172">
        <f t="shared" si="47"/>
        <v>0</v>
      </c>
      <c r="I167" s="344"/>
      <c r="J167" s="222"/>
      <c r="K167" s="222"/>
      <c r="L167" s="218"/>
      <c r="M167" s="364">
        <f t="shared" si="48"/>
        <v>0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490">
        <f>'[69]Sch C'!D179</f>
        <v>7810</v>
      </c>
      <c r="D168" s="490">
        <f>'[69]Sch C'!F179</f>
        <v>0</v>
      </c>
      <c r="E168" s="171">
        <f t="shared" si="45"/>
        <v>7810</v>
      </c>
      <c r="F168" s="388"/>
      <c r="G168" s="171">
        <f t="shared" si="46"/>
        <v>7810</v>
      </c>
      <c r="H168" s="172">
        <f t="shared" si="47"/>
        <v>4.4308763433753293E-3</v>
      </c>
      <c r="I168" s="343"/>
      <c r="J168" s="217">
        <v>0</v>
      </c>
      <c r="K168" s="217">
        <v>0</v>
      </c>
      <c r="L168" s="218"/>
      <c r="M168" s="364">
        <f t="shared" si="48"/>
        <v>0.80424261147152709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490">
        <f>'[69]Sch C'!D180</f>
        <v>0</v>
      </c>
      <c r="D169" s="490">
        <f>'[69]Sch C'!F180</f>
        <v>0</v>
      </c>
      <c r="E169" s="171">
        <f t="shared" si="45"/>
        <v>0</v>
      </c>
      <c r="F169" s="388"/>
      <c r="G169" s="171">
        <f t="shared" si="46"/>
        <v>0</v>
      </c>
      <c r="H169" s="172">
        <f t="shared" si="47"/>
        <v>0</v>
      </c>
      <c r="I169" s="344"/>
      <c r="J169" s="222"/>
      <c r="K169" s="222"/>
      <c r="L169" s="218"/>
      <c r="M169" s="364">
        <f t="shared" si="48"/>
        <v>0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490">
        <f>'[69]Sch C'!D181</f>
        <v>0</v>
      </c>
      <c r="D170" s="490">
        <f>'[69]Sch C'!F181</f>
        <v>0</v>
      </c>
      <c r="E170" s="171">
        <f t="shared" si="45"/>
        <v>0</v>
      </c>
      <c r="F170" s="388"/>
      <c r="G170" s="171">
        <f t="shared" si="46"/>
        <v>0</v>
      </c>
      <c r="H170" s="172">
        <f t="shared" si="47"/>
        <v>0</v>
      </c>
      <c r="I170" s="343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490">
        <f>'[69]Sch C'!D182</f>
        <v>0</v>
      </c>
      <c r="D171" s="490">
        <f>'[69]Sch C'!F182</f>
        <v>0</v>
      </c>
      <c r="E171" s="171">
        <f t="shared" si="45"/>
        <v>0</v>
      </c>
      <c r="F171" s="388"/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490">
        <f>'[69]Sch C'!D183</f>
        <v>14541</v>
      </c>
      <c r="D172" s="490">
        <f>'[69]Sch C'!F183</f>
        <v>0</v>
      </c>
      <c r="E172" s="171">
        <f t="shared" si="45"/>
        <v>14541</v>
      </c>
      <c r="F172" s="388"/>
      <c r="G172" s="171">
        <f t="shared" si="46"/>
        <v>14541</v>
      </c>
      <c r="H172" s="172">
        <f t="shared" si="47"/>
        <v>8.2495996042279973E-3</v>
      </c>
      <c r="I172" s="343"/>
      <c r="J172" s="217">
        <v>0</v>
      </c>
      <c r="K172" s="217">
        <v>0</v>
      </c>
      <c r="L172" s="218"/>
      <c r="M172" s="364">
        <f t="shared" si="48"/>
        <v>1.4973741118319432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490">
        <f>'[69]Sch C'!D184</f>
        <v>0</v>
      </c>
      <c r="D173" s="490">
        <f>'[69]Sch C'!F184</f>
        <v>0</v>
      </c>
      <c r="E173" s="171">
        <f t="shared" si="45"/>
        <v>0</v>
      </c>
      <c r="F173" s="388"/>
      <c r="G173" s="171">
        <f t="shared" si="46"/>
        <v>0</v>
      </c>
      <c r="H173" s="172">
        <f t="shared" si="47"/>
        <v>0</v>
      </c>
      <c r="I173" s="344"/>
      <c r="J173" s="222"/>
      <c r="K173" s="222"/>
      <c r="L173" s="218"/>
      <c r="M173" s="364">
        <f t="shared" si="48"/>
        <v>0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490">
        <f>'[69]Sch C'!D185</f>
        <v>4322</v>
      </c>
      <c r="D174" s="490">
        <f>'[69]Sch C'!F185</f>
        <v>0</v>
      </c>
      <c r="E174" s="171">
        <f t="shared" si="45"/>
        <v>4322</v>
      </c>
      <c r="F174" s="388"/>
      <c r="G174" s="171">
        <f t="shared" si="46"/>
        <v>4322</v>
      </c>
      <c r="H174" s="172">
        <f t="shared" si="47"/>
        <v>2.4520163324030951E-3</v>
      </c>
      <c r="I174" s="343"/>
      <c r="J174" s="217">
        <v>0</v>
      </c>
      <c r="K174" s="217">
        <v>0</v>
      </c>
      <c r="L174" s="218"/>
      <c r="M174" s="364">
        <f t="shared" si="48"/>
        <v>0.44506230048398721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490">
        <f>'[69]Sch C'!D186</f>
        <v>0</v>
      </c>
      <c r="D175" s="490">
        <f>'[69]Sch C'!F186</f>
        <v>0</v>
      </c>
      <c r="E175" s="171">
        <f t="shared" si="45"/>
        <v>0</v>
      </c>
      <c r="F175" s="388"/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490">
        <f>'[69]Sch C'!D187</f>
        <v>0</v>
      </c>
      <c r="D176" s="490">
        <f>'[69]Sch C'!F187</f>
        <v>0</v>
      </c>
      <c r="E176" s="171">
        <f t="shared" si="45"/>
        <v>0</v>
      </c>
      <c r="F176" s="388"/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490">
        <f>'[69]Sch C'!D188</f>
        <v>0</v>
      </c>
      <c r="D177" s="490">
        <f>'[69]Sch C'!F188</f>
        <v>0</v>
      </c>
      <c r="E177" s="171">
        <f t="shared" si="45"/>
        <v>0</v>
      </c>
      <c r="F177" s="388"/>
      <c r="G177" s="171">
        <f t="shared" si="46"/>
        <v>0</v>
      </c>
      <c r="H177" s="172">
        <f t="shared" si="47"/>
        <v>0</v>
      </c>
      <c r="I177" s="337"/>
      <c r="J177" s="223"/>
      <c r="K177" s="218"/>
      <c r="L177" s="220"/>
      <c r="M177" s="364">
        <f t="shared" si="48"/>
        <v>0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490">
        <f>'[69]Sch C'!D189</f>
        <v>0</v>
      </c>
      <c r="D178" s="490">
        <f>'[69]Sch C'!F189</f>
        <v>0</v>
      </c>
      <c r="E178" s="171">
        <f t="shared" si="45"/>
        <v>0</v>
      </c>
      <c r="F178" s="388"/>
      <c r="G178" s="171">
        <f t="shared" si="46"/>
        <v>0</v>
      </c>
      <c r="H178" s="172">
        <f t="shared" si="47"/>
        <v>0</v>
      </c>
      <c r="I178" s="337"/>
      <c r="J178" s="223"/>
      <c r="K178" s="218"/>
      <c r="L178" s="220"/>
      <c r="M178" s="364">
        <f t="shared" si="48"/>
        <v>0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490">
        <f>'[69]Sch C'!D190</f>
        <v>0</v>
      </c>
      <c r="D179" s="490">
        <f>'[69]Sch C'!F190</f>
        <v>0</v>
      </c>
      <c r="E179" s="171">
        <f t="shared" si="45"/>
        <v>0</v>
      </c>
      <c r="F179" s="388"/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490">
        <f>'[69]Sch C'!D191</f>
        <v>0</v>
      </c>
      <c r="D180" s="490">
        <f>'[69]Sch C'!F191</f>
        <v>0</v>
      </c>
      <c r="E180" s="171">
        <f t="shared" si="45"/>
        <v>0</v>
      </c>
      <c r="F180" s="388"/>
      <c r="G180" s="171">
        <f t="shared" si="46"/>
        <v>0</v>
      </c>
      <c r="H180" s="172">
        <f t="shared" si="47"/>
        <v>0</v>
      </c>
      <c r="I180" s="337"/>
      <c r="J180" s="223"/>
      <c r="K180" s="218"/>
      <c r="L180" s="220"/>
      <c r="M180" s="364">
        <f t="shared" si="48"/>
        <v>0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490">
        <f>'[69]Sch C'!D192</f>
        <v>0</v>
      </c>
      <c r="D181" s="490">
        <f>'[69]Sch C'!F192</f>
        <v>0</v>
      </c>
      <c r="E181" s="171">
        <f t="shared" si="45"/>
        <v>0</v>
      </c>
      <c r="F181" s="388"/>
      <c r="G181" s="171">
        <f t="shared" si="46"/>
        <v>0</v>
      </c>
      <c r="H181" s="172">
        <f t="shared" si="47"/>
        <v>0</v>
      </c>
      <c r="I181" s="337"/>
      <c r="J181" s="223"/>
      <c r="K181" s="218"/>
      <c r="L181" s="220"/>
      <c r="M181" s="364">
        <f t="shared" si="48"/>
        <v>0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490">
        <f>'[69]Sch C'!D193</f>
        <v>0</v>
      </c>
      <c r="D182" s="490">
        <f>'[69]Sch C'!F193</f>
        <v>0</v>
      </c>
      <c r="E182" s="171">
        <f t="shared" si="45"/>
        <v>0</v>
      </c>
      <c r="F182" s="388"/>
      <c r="G182" s="171">
        <f t="shared" si="46"/>
        <v>0</v>
      </c>
      <c r="H182" s="172">
        <f t="shared" si="47"/>
        <v>0</v>
      </c>
      <c r="I182" s="337"/>
      <c r="J182" s="223"/>
      <c r="K182" s="218"/>
      <c r="L182" s="220"/>
      <c r="M182" s="364">
        <f t="shared" si="48"/>
        <v>0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490">
        <f>'[69]Sch C'!D194</f>
        <v>0</v>
      </c>
      <c r="D183" s="490">
        <f>'[69]Sch C'!F194</f>
        <v>0</v>
      </c>
      <c r="E183" s="171">
        <f t="shared" si="45"/>
        <v>0</v>
      </c>
      <c r="F183" s="388"/>
      <c r="G183" s="171">
        <f t="shared" si="46"/>
        <v>0</v>
      </c>
      <c r="H183" s="172">
        <f t="shared" si="47"/>
        <v>0</v>
      </c>
      <c r="I183" s="337"/>
      <c r="J183" s="223"/>
      <c r="K183" s="218"/>
      <c r="M183" s="364">
        <f t="shared" si="48"/>
        <v>0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490">
        <f>'[69]Sch C'!D195</f>
        <v>0</v>
      </c>
      <c r="D184" s="490">
        <f>'[69]Sch C'!F195</f>
        <v>0</v>
      </c>
      <c r="E184" s="171">
        <f t="shared" si="45"/>
        <v>0</v>
      </c>
      <c r="F184" s="388"/>
      <c r="G184" s="171">
        <f t="shared" si="46"/>
        <v>0</v>
      </c>
      <c r="H184" s="172">
        <f t="shared" si="47"/>
        <v>0</v>
      </c>
      <c r="I184" s="337"/>
      <c r="J184" s="223"/>
      <c r="K184" s="218"/>
      <c r="M184" s="364">
        <f t="shared" si="48"/>
        <v>0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490">
        <f>'[69]Sch C'!D196</f>
        <v>0</v>
      </c>
      <c r="D185" s="490">
        <f>'[69]Sch C'!F196</f>
        <v>0</v>
      </c>
      <c r="E185" s="171">
        <f t="shared" si="45"/>
        <v>0</v>
      </c>
      <c r="F185" s="388"/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490">
        <f>'[69]Sch C'!D197</f>
        <v>0</v>
      </c>
      <c r="D186" s="490">
        <f>'[69]Sch C'!F197</f>
        <v>0</v>
      </c>
      <c r="E186" s="171">
        <f t="shared" si="45"/>
        <v>0</v>
      </c>
      <c r="F186" s="388"/>
      <c r="G186" s="171">
        <f t="shared" si="46"/>
        <v>0</v>
      </c>
      <c r="H186" s="172">
        <f t="shared" si="47"/>
        <v>0</v>
      </c>
      <c r="I186" s="337"/>
      <c r="J186" s="223"/>
      <c r="K186" s="218"/>
      <c r="M186" s="364">
        <f t="shared" si="48"/>
        <v>0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490">
        <f>'[69]Sch C'!D198</f>
        <v>0</v>
      </c>
      <c r="D187" s="490">
        <f>'[69]Sch C'!F198</f>
        <v>0</v>
      </c>
      <c r="E187" s="171">
        <f t="shared" si="45"/>
        <v>0</v>
      </c>
      <c r="F187" s="388"/>
      <c r="G187" s="171">
        <f t="shared" si="46"/>
        <v>0</v>
      </c>
      <c r="H187" s="172">
        <f t="shared" si="47"/>
        <v>0</v>
      </c>
      <c r="I187" s="337"/>
      <c r="J187" s="223"/>
      <c r="K187" s="218"/>
      <c r="M187" s="364">
        <f t="shared" si="48"/>
        <v>0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490">
        <f>'[69]Sch C'!D199</f>
        <v>0</v>
      </c>
      <c r="D188" s="490">
        <f>'[69]Sch C'!F199</f>
        <v>0</v>
      </c>
      <c r="E188" s="171">
        <f t="shared" si="45"/>
        <v>0</v>
      </c>
      <c r="F188" s="388"/>
      <c r="G188" s="171">
        <f t="shared" si="46"/>
        <v>0</v>
      </c>
      <c r="H188" s="172">
        <f t="shared" si="47"/>
        <v>0</v>
      </c>
      <c r="I188" s="337"/>
      <c r="J188" s="223"/>
      <c r="K188" s="218"/>
      <c r="M188" s="364">
        <f t="shared" si="48"/>
        <v>0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490">
        <f>'[69]Sch C'!D200</f>
        <v>0</v>
      </c>
      <c r="D189" s="490">
        <f>'[69]Sch C'!F200</f>
        <v>0</v>
      </c>
      <c r="E189" s="171">
        <f t="shared" si="45"/>
        <v>0</v>
      </c>
      <c r="F189" s="388"/>
      <c r="G189" s="171">
        <f t="shared" si="46"/>
        <v>0</v>
      </c>
      <c r="H189" s="172">
        <f t="shared" si="47"/>
        <v>0</v>
      </c>
      <c r="I189" s="337"/>
      <c r="J189" s="223"/>
      <c r="K189" s="218"/>
      <c r="M189" s="364">
        <f t="shared" si="48"/>
        <v>0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490">
        <f>'[69]Sch C'!D201</f>
        <v>0</v>
      </c>
      <c r="D190" s="490">
        <f>'[69]Sch C'!F201</f>
        <v>0</v>
      </c>
      <c r="E190" s="171">
        <f t="shared" si="45"/>
        <v>0</v>
      </c>
      <c r="F190" s="388"/>
      <c r="G190" s="171">
        <f t="shared" si="46"/>
        <v>0</v>
      </c>
      <c r="H190" s="172">
        <f t="shared" si="47"/>
        <v>0</v>
      </c>
      <c r="I190" s="337"/>
      <c r="J190" s="223"/>
      <c r="K190" s="218"/>
      <c r="M190" s="364">
        <f t="shared" si="48"/>
        <v>0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490">
        <f>'[69]Sch C'!D202</f>
        <v>0</v>
      </c>
      <c r="D191" s="490">
        <f>'[69]Sch C'!F202</f>
        <v>0</v>
      </c>
      <c r="E191" s="171">
        <f t="shared" si="45"/>
        <v>0</v>
      </c>
      <c r="F191" s="388"/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490">
        <f>'[69]Sch C'!D203</f>
        <v>0</v>
      </c>
      <c r="D192" s="490">
        <f>'[69]Sch C'!F203</f>
        <v>0</v>
      </c>
      <c r="E192" s="171">
        <f t="shared" si="45"/>
        <v>0</v>
      </c>
      <c r="F192" s="388"/>
      <c r="G192" s="171">
        <f t="shared" si="46"/>
        <v>0</v>
      </c>
      <c r="H192" s="172">
        <f t="shared" si="47"/>
        <v>0</v>
      </c>
      <c r="I192" s="337"/>
      <c r="J192" s="223"/>
      <c r="K192" s="218"/>
      <c r="M192" s="364">
        <f t="shared" si="48"/>
        <v>0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490">
        <f>'[69]Sch C'!D204</f>
        <v>0</v>
      </c>
      <c r="D193" s="490">
        <f>'[69]Sch C'!F204</f>
        <v>0</v>
      </c>
      <c r="E193" s="171">
        <f t="shared" si="45"/>
        <v>0</v>
      </c>
      <c r="F193" s="388"/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490">
        <f>'[69]Sch C'!D205</f>
        <v>13977</v>
      </c>
      <c r="D194" s="490">
        <f>'[69]Sch C'!F205</f>
        <v>0</v>
      </c>
      <c r="E194" s="171">
        <f t="shared" si="45"/>
        <v>13977</v>
      </c>
      <c r="F194" s="388"/>
      <c r="G194" s="171">
        <f t="shared" si="46"/>
        <v>13977</v>
      </c>
      <c r="H194" s="172">
        <f t="shared" si="47"/>
        <v>7.9296233868574872E-3</v>
      </c>
      <c r="I194" s="337"/>
      <c r="J194" s="223"/>
      <c r="K194" s="218"/>
      <c r="M194" s="364">
        <f t="shared" si="48"/>
        <v>1.4392956441149212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490">
        <f>'[69]Sch C'!D206</f>
        <v>0</v>
      </c>
      <c r="D195" s="490">
        <f>'[69]Sch C'!F206</f>
        <v>0</v>
      </c>
      <c r="E195" s="171">
        <f t="shared" si="45"/>
        <v>0</v>
      </c>
      <c r="F195" s="388"/>
      <c r="G195" s="171">
        <f t="shared" si="46"/>
        <v>0</v>
      </c>
      <c r="H195" s="172">
        <f t="shared" si="47"/>
        <v>0</v>
      </c>
      <c r="I195" s="337"/>
      <c r="J195" s="223"/>
      <c r="K195" s="218"/>
      <c r="M195" s="364">
        <f t="shared" si="48"/>
        <v>0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490">
        <f>'[69]Sch C'!D207</f>
        <v>0</v>
      </c>
      <c r="D196" s="490">
        <f>'[69]Sch C'!F207</f>
        <v>0</v>
      </c>
      <c r="E196" s="171">
        <f t="shared" si="45"/>
        <v>0</v>
      </c>
      <c r="F196" s="388"/>
      <c r="G196" s="171">
        <f t="shared" si="46"/>
        <v>0</v>
      </c>
      <c r="H196" s="172">
        <f t="shared" si="47"/>
        <v>0</v>
      </c>
      <c r="I196" s="337"/>
      <c r="J196" s="223"/>
      <c r="K196" s="218"/>
      <c r="M196" s="364">
        <f t="shared" si="48"/>
        <v>0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490">
        <f>SUM(C164:C196)</f>
        <v>63525</v>
      </c>
      <c r="D197" s="490">
        <f>SUM(D164:D196)</f>
        <v>0</v>
      </c>
      <c r="E197" s="171">
        <f t="shared" ref="E197:F197" si="49">SUM(E164:E196)</f>
        <v>63525</v>
      </c>
      <c r="F197" s="171">
        <f t="shared" si="49"/>
        <v>0</v>
      </c>
      <c r="G197" s="171">
        <f>SUM(G164:G196)</f>
        <v>63525</v>
      </c>
      <c r="H197" s="172">
        <f>IF($G$208=0,0,G197/$G$208)</f>
        <v>3.6039874483088062E-2</v>
      </c>
      <c r="I197" s="337"/>
      <c r="J197" s="168"/>
      <c r="K197" s="168"/>
      <c r="M197" s="364">
        <f>G197/G$228</f>
        <v>6.5415508186592524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382"/>
      <c r="G198" s="165"/>
      <c r="H198" s="198"/>
      <c r="I198" s="341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382"/>
      <c r="G199" s="165"/>
      <c r="H199" s="198"/>
      <c r="I199" s="341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490">
        <f>'[69]Sch C'!D211</f>
        <v>54865</v>
      </c>
      <c r="D200" s="490">
        <f>'[69]Sch C'!F211</f>
        <v>0</v>
      </c>
      <c r="E200" s="171">
        <f t="shared" ref="E200:E205" si="50">C200+D200</f>
        <v>54865</v>
      </c>
      <c r="F200" s="383"/>
      <c r="G200" s="171">
        <f t="shared" ref="G200:G205" si="51">E200+F200</f>
        <v>54865</v>
      </c>
      <c r="H200" s="172">
        <f t="shared" ref="H200:H206" si="52">IF($G$208=0,0,G200/$G$208)</f>
        <v>3.1126764478782001E-2</v>
      </c>
      <c r="I200" s="337"/>
      <c r="J200" s="183">
        <v>3395.17</v>
      </c>
      <c r="K200" s="183">
        <v>3442.17</v>
      </c>
      <c r="M200" s="364">
        <f t="shared" ref="M200:M205" si="53">G200/G$228</f>
        <v>5.6497786015858305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490">
        <f>'[69]Sch C'!D212</f>
        <v>4886</v>
      </c>
      <c r="D201" s="490">
        <f>'[69]Sch C'!F212</f>
        <v>0</v>
      </c>
      <c r="E201" s="171">
        <f t="shared" si="50"/>
        <v>4886</v>
      </c>
      <c r="F201" s="383"/>
      <c r="G201" s="171">
        <f t="shared" si="51"/>
        <v>4886</v>
      </c>
      <c r="H201" s="172">
        <f t="shared" si="52"/>
        <v>2.7719925497736056E-3</v>
      </c>
      <c r="I201" s="337"/>
      <c r="J201" s="168"/>
      <c r="K201" s="168"/>
      <c r="M201" s="364">
        <f t="shared" si="53"/>
        <v>0.50314076820100917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490">
        <f>'[69]Sch C'!D213</f>
        <v>8939</v>
      </c>
      <c r="D202" s="490">
        <f>'[69]Sch C'!F213</f>
        <v>0</v>
      </c>
      <c r="E202" s="171">
        <f t="shared" si="50"/>
        <v>8939</v>
      </c>
      <c r="F202" s="383"/>
      <c r="G202" s="171">
        <f t="shared" si="51"/>
        <v>8939</v>
      </c>
      <c r="H202" s="172">
        <f t="shared" si="52"/>
        <v>5.0713961118350921E-3</v>
      </c>
      <c r="I202" s="337"/>
      <c r="J202" s="168"/>
      <c r="K202" s="168"/>
      <c r="M202" s="364">
        <f t="shared" si="53"/>
        <v>0.9205025229121615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490">
        <f>'[69]Sch C'!D214</f>
        <v>0</v>
      </c>
      <c r="D203" s="490">
        <f>'[69]Sch C'!F214</f>
        <v>0</v>
      </c>
      <c r="E203" s="171">
        <f t="shared" si="50"/>
        <v>0</v>
      </c>
      <c r="F203" s="383"/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>
        <f t="shared" si="53"/>
        <v>0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490">
        <f>'[69]Sch C'!D215</f>
        <v>0</v>
      </c>
      <c r="D204" s="490">
        <f>'[69]Sch C'!F215</f>
        <v>0</v>
      </c>
      <c r="E204" s="171">
        <f t="shared" si="50"/>
        <v>0</v>
      </c>
      <c r="F204" s="383"/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490">
        <f>'[69]Sch C'!D216</f>
        <v>3319</v>
      </c>
      <c r="D205" s="490">
        <f>'[69]Sch C'!F216</f>
        <v>0</v>
      </c>
      <c r="E205" s="171">
        <f t="shared" si="50"/>
        <v>3319</v>
      </c>
      <c r="F205" s="383"/>
      <c r="G205" s="171">
        <f t="shared" si="51"/>
        <v>3319</v>
      </c>
      <c r="H205" s="172">
        <f t="shared" si="52"/>
        <v>1.8829806125048294E-3</v>
      </c>
      <c r="I205" s="337"/>
      <c r="J205" s="168"/>
      <c r="K205" s="168"/>
      <c r="M205" s="364">
        <f t="shared" si="53"/>
        <v>0.3417773658737514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490">
        <f>SUM(C200:C205)</f>
        <v>72009</v>
      </c>
      <c r="D206" s="490">
        <f>SUM(D200:D205)</f>
        <v>0</v>
      </c>
      <c r="E206" s="171">
        <f t="shared" ref="E206:F206" si="54">SUM(E200:E205)</f>
        <v>72009</v>
      </c>
      <c r="F206" s="171">
        <f t="shared" si="54"/>
        <v>0</v>
      </c>
      <c r="G206" s="171">
        <f>SUM(G200:G205)</f>
        <v>72009</v>
      </c>
      <c r="H206" s="172">
        <f t="shared" si="52"/>
        <v>4.085313375289553E-2</v>
      </c>
      <c r="I206" s="337"/>
      <c r="J206" s="168"/>
      <c r="K206" s="168"/>
      <c r="M206" s="364">
        <f>G206/G$228</f>
        <v>7.4151992585727529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382"/>
      <c r="G207" s="165"/>
      <c r="H207" s="198"/>
      <c r="I207" s="341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490">
        <f>SUM(C25:C206)/2</f>
        <v>1900000</v>
      </c>
      <c r="D208" s="490">
        <f>SUM(D25:D206)/2</f>
        <v>-137369</v>
      </c>
      <c r="E208" s="171">
        <f t="shared" ref="E208:F208" si="55">SUM(E25:E206)/2</f>
        <v>1762631</v>
      </c>
      <c r="F208" s="171">
        <f t="shared" si="55"/>
        <v>0</v>
      </c>
      <c r="G208" s="171">
        <f>SUM(G25:G206)/2</f>
        <v>1762631</v>
      </c>
      <c r="H208" s="172">
        <f>IF($G$208=0,0,G208/$G$208)</f>
        <v>1</v>
      </c>
      <c r="I208" s="337"/>
      <c r="J208" s="183">
        <f>SUM(J25:J200)</f>
        <v>46850.53</v>
      </c>
      <c r="K208" s="183">
        <f>SUM(K25:K200)</f>
        <v>47054.02</v>
      </c>
      <c r="M208" s="364">
        <f>G208/G$228</f>
        <v>181.50870147255691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490">
        <f>'[69]Sch C'!D221</f>
        <v>1900000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490">
        <f>C208-C211</f>
        <v>0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619"/>
      <c r="D213" s="232"/>
      <c r="E213" s="232"/>
      <c r="F213" s="389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382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490">
        <f>C21-C208</f>
        <v>-72796</v>
      </c>
      <c r="D215" s="490">
        <f>D21-D208</f>
        <v>137369</v>
      </c>
      <c r="E215" s="171">
        <f t="shared" ref="E215:F215" si="56">E21-E208</f>
        <v>64573</v>
      </c>
      <c r="F215" s="171">
        <f t="shared" si="56"/>
        <v>0</v>
      </c>
      <c r="G215" s="171">
        <f>G21-G208</f>
        <v>64573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385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385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382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491">
        <f>'[69]Sch D'!C9</f>
        <v>8712</v>
      </c>
      <c r="D219" s="491"/>
      <c r="E219" s="235">
        <f t="shared" ref="E219:G227" si="57">C219+D219</f>
        <v>8712</v>
      </c>
      <c r="F219" s="390"/>
      <c r="G219" s="235">
        <f t="shared" si="57"/>
        <v>8712</v>
      </c>
      <c r="H219" s="172">
        <f t="shared" ref="H219:H228" si="58">IF($G$228=0,0,G219/$G$228)</f>
        <v>0.89712696941612602</v>
      </c>
      <c r="I219" s="337"/>
      <c r="J219" s="168"/>
      <c r="K219" s="168"/>
    </row>
    <row r="220" spans="1:14">
      <c r="A220" s="163"/>
      <c r="B220" s="170" t="s">
        <v>217</v>
      </c>
      <c r="C220" s="491">
        <f>'[69]Sch D'!D9</f>
        <v>0</v>
      </c>
      <c r="D220" s="491"/>
      <c r="E220" s="235">
        <f t="shared" ref="E220:E227" si="59">C220+D220</f>
        <v>0</v>
      </c>
      <c r="F220" s="390"/>
      <c r="G220" s="235">
        <f t="shared" si="57"/>
        <v>0</v>
      </c>
      <c r="H220" s="172">
        <f t="shared" si="58"/>
        <v>0</v>
      </c>
      <c r="I220" s="337"/>
      <c r="J220" s="168"/>
      <c r="K220" s="168"/>
    </row>
    <row r="221" spans="1:14">
      <c r="A221" s="163"/>
      <c r="B221" s="170" t="s">
        <v>72</v>
      </c>
      <c r="C221" s="491">
        <f>'[69]Sch D'!E9</f>
        <v>292</v>
      </c>
      <c r="D221" s="491"/>
      <c r="E221" s="235">
        <f t="shared" si="59"/>
        <v>292</v>
      </c>
      <c r="F221" s="390"/>
      <c r="G221" s="235">
        <f t="shared" si="57"/>
        <v>292</v>
      </c>
      <c r="H221" s="172">
        <f t="shared" si="58"/>
        <v>3.0068993924415612E-2</v>
      </c>
      <c r="I221" s="337"/>
      <c r="J221" s="168"/>
      <c r="K221" s="168"/>
    </row>
    <row r="222" spans="1:14">
      <c r="A222" s="163"/>
      <c r="B222" s="202" t="s">
        <v>334</v>
      </c>
      <c r="C222" s="491">
        <f>'[69]Sch D'!F9</f>
        <v>0</v>
      </c>
      <c r="D222" s="491"/>
      <c r="E222" s="235">
        <f>C222+D222</f>
        <v>0</v>
      </c>
      <c r="F222" s="390"/>
      <c r="G222" s="235">
        <f>E222+F222</f>
        <v>0</v>
      </c>
      <c r="H222" s="172">
        <f t="shared" si="58"/>
        <v>0</v>
      </c>
      <c r="I222" s="337"/>
      <c r="J222" s="168"/>
      <c r="K222" s="168"/>
    </row>
    <row r="223" spans="1:14">
      <c r="A223" s="163"/>
      <c r="B223" s="170" t="s">
        <v>73</v>
      </c>
      <c r="C223" s="491">
        <f>'[69]Sch D'!G9</f>
        <v>0</v>
      </c>
      <c r="D223" s="491"/>
      <c r="E223" s="235">
        <f t="shared" si="59"/>
        <v>0</v>
      </c>
      <c r="F223" s="390"/>
      <c r="G223" s="235">
        <f t="shared" si="57"/>
        <v>0</v>
      </c>
      <c r="H223" s="172">
        <f t="shared" si="58"/>
        <v>0</v>
      </c>
      <c r="I223" s="337"/>
      <c r="J223" s="168"/>
      <c r="K223" s="168"/>
    </row>
    <row r="224" spans="1:14">
      <c r="A224" s="163"/>
      <c r="B224" s="170" t="s">
        <v>74</v>
      </c>
      <c r="C224" s="491">
        <f>'[69]Sch D'!H9</f>
        <v>561</v>
      </c>
      <c r="D224" s="491"/>
      <c r="E224" s="235">
        <f t="shared" si="59"/>
        <v>561</v>
      </c>
      <c r="F224" s="390"/>
      <c r="G224" s="235">
        <f t="shared" si="57"/>
        <v>561</v>
      </c>
      <c r="H224" s="172">
        <f t="shared" si="58"/>
        <v>5.7769539697250544E-2</v>
      </c>
      <c r="I224" s="337"/>
      <c r="J224" s="168"/>
      <c r="K224" s="168"/>
    </row>
    <row r="225" spans="1:11">
      <c r="A225" s="163"/>
      <c r="B225" s="170" t="s">
        <v>236</v>
      </c>
      <c r="C225" s="491">
        <f>'[69]Sch D'!I9</f>
        <v>146</v>
      </c>
      <c r="D225" s="491"/>
      <c r="E225" s="235">
        <f t="shared" si="59"/>
        <v>146</v>
      </c>
      <c r="F225" s="390"/>
      <c r="G225" s="235">
        <f t="shared" si="57"/>
        <v>146</v>
      </c>
      <c r="H225" s="172">
        <f t="shared" si="58"/>
        <v>1.5034496962207806E-2</v>
      </c>
      <c r="I225" s="337"/>
      <c r="J225" s="168"/>
      <c r="K225" s="168"/>
    </row>
    <row r="226" spans="1:11">
      <c r="A226" s="163"/>
      <c r="B226" s="170" t="s">
        <v>235</v>
      </c>
      <c r="C226" s="491">
        <f>'[69]Sch D'!J9</f>
        <v>0</v>
      </c>
      <c r="D226" s="491"/>
      <c r="E226" s="235">
        <f>C226+D226</f>
        <v>0</v>
      </c>
      <c r="F226" s="390"/>
      <c r="G226" s="235">
        <f>E226+F226</f>
        <v>0</v>
      </c>
      <c r="H226" s="172">
        <f t="shared" si="58"/>
        <v>0</v>
      </c>
      <c r="I226" s="337"/>
      <c r="J226" s="168"/>
      <c r="K226" s="168"/>
    </row>
    <row r="227" spans="1:11">
      <c r="A227" s="163"/>
      <c r="B227" s="170" t="s">
        <v>179</v>
      </c>
      <c r="C227" s="491">
        <f>'[69]Sch D'!K9</f>
        <v>0</v>
      </c>
      <c r="D227" s="491"/>
      <c r="E227" s="235">
        <f t="shared" si="59"/>
        <v>0</v>
      </c>
      <c r="F227" s="390"/>
      <c r="G227" s="235">
        <f t="shared" si="57"/>
        <v>0</v>
      </c>
      <c r="H227" s="172">
        <f t="shared" si="58"/>
        <v>0</v>
      </c>
      <c r="I227" s="337"/>
      <c r="J227" s="168"/>
      <c r="K227" s="168"/>
    </row>
    <row r="228" spans="1:11" ht="13.5" thickBot="1">
      <c r="A228" s="163"/>
      <c r="B228" s="236" t="s">
        <v>75</v>
      </c>
      <c r="C228" s="491">
        <f>SUM(C219:C227)</f>
        <v>9711</v>
      </c>
      <c r="D228" s="491">
        <f>SUM(D219:D227)</f>
        <v>0</v>
      </c>
      <c r="E228" s="237">
        <f>SUM(E219:E227)</f>
        <v>9711</v>
      </c>
      <c r="F228" s="391">
        <f>SUM(F219:F227)</f>
        <v>0</v>
      </c>
      <c r="G228" s="237">
        <f>SUM(G219:G227)</f>
        <v>9711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620"/>
      <c r="D229" s="239"/>
      <c r="E229" s="232"/>
      <c r="F229" s="392"/>
      <c r="G229" s="232"/>
      <c r="H229" s="167"/>
      <c r="J229" s="168"/>
      <c r="K229" s="168"/>
    </row>
    <row r="230" spans="1:11">
      <c r="A230" s="163"/>
      <c r="B230" s="233" t="s">
        <v>160</v>
      </c>
      <c r="C230" s="619"/>
      <c r="D230" s="232"/>
      <c r="E230" s="232"/>
      <c r="F230" s="389"/>
      <c r="G230" s="232"/>
      <c r="H230" s="167"/>
      <c r="J230" s="168"/>
      <c r="K230" s="168"/>
    </row>
    <row r="231" spans="1:11">
      <c r="A231" s="163"/>
      <c r="B231" s="202" t="s">
        <v>219</v>
      </c>
      <c r="C231" s="492">
        <f>'[69]Sch D'!N22</f>
        <v>31</v>
      </c>
      <c r="D231" s="526"/>
      <c r="E231" s="235">
        <f>C231+D231</f>
        <v>31</v>
      </c>
      <c r="F231" s="393"/>
      <c r="G231" s="235">
        <f>E231+F231</f>
        <v>31</v>
      </c>
      <c r="H231" s="167"/>
      <c r="J231" s="168"/>
      <c r="K231" s="168"/>
    </row>
    <row r="232" spans="1:11">
      <c r="A232" s="163"/>
      <c r="B232" s="202" t="s">
        <v>290</v>
      </c>
      <c r="C232" s="492">
        <f>'[69]Sch D'!N24</f>
        <v>0</v>
      </c>
      <c r="D232" s="526"/>
      <c r="E232" s="235">
        <f>C232+D232</f>
        <v>0</v>
      </c>
      <c r="F232" s="393"/>
      <c r="G232" s="235">
        <f>E232+F232</f>
        <v>0</v>
      </c>
      <c r="H232" s="167"/>
      <c r="J232" s="168"/>
      <c r="K232" s="168"/>
    </row>
    <row r="233" spans="1:11">
      <c r="A233" s="163"/>
      <c r="B233" s="202" t="s">
        <v>76</v>
      </c>
      <c r="C233" s="492">
        <f>$C$4-$C$3+1</f>
        <v>365</v>
      </c>
      <c r="D233" s="489"/>
      <c r="E233" s="235">
        <f>C233+D233</f>
        <v>365</v>
      </c>
      <c r="F233" s="394"/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621"/>
      <c r="D234" s="240"/>
      <c r="E234" s="243"/>
      <c r="F234" s="394"/>
      <c r="G234" s="243"/>
      <c r="H234" s="167"/>
      <c r="J234" s="168"/>
      <c r="K234" s="168"/>
    </row>
    <row r="235" spans="1:11" ht="26">
      <c r="A235" s="163"/>
      <c r="B235" s="244" t="s">
        <v>335</v>
      </c>
      <c r="C235" s="492">
        <f>'[69]Sch D'!N28</f>
        <v>11315</v>
      </c>
      <c r="D235" s="489"/>
      <c r="E235" s="234">
        <f>E231*E233</f>
        <v>11315</v>
      </c>
      <c r="F235" s="394"/>
      <c r="G235" s="234">
        <f>G231*G233</f>
        <v>11315</v>
      </c>
      <c r="H235" s="167"/>
      <c r="J235" s="168"/>
      <c r="K235" s="168"/>
    </row>
    <row r="236" spans="1:11" ht="26">
      <c r="A236" s="163"/>
      <c r="B236" s="244" t="s">
        <v>336</v>
      </c>
      <c r="C236" s="493">
        <f>'[69]Sch D'!N30</f>
        <v>0.85824127264692884</v>
      </c>
      <c r="D236" s="240"/>
      <c r="E236" s="245">
        <f>E228/E235</f>
        <v>0.85824127264692884</v>
      </c>
      <c r="F236" s="395"/>
      <c r="G236" s="245">
        <f>G228/G235</f>
        <v>0.85824127264692884</v>
      </c>
      <c r="H236" s="167"/>
      <c r="J236" s="168"/>
      <c r="K236" s="168"/>
    </row>
    <row r="237" spans="1:11" ht="26">
      <c r="A237" s="163"/>
      <c r="B237" s="244" t="s">
        <v>337</v>
      </c>
      <c r="C237" s="493">
        <f>'[69]Sch D'!N32</f>
        <v>0.76995139195757845</v>
      </c>
      <c r="D237" s="240"/>
      <c r="E237" s="245">
        <f>(E219+E220)/E235</f>
        <v>0.76995139195757845</v>
      </c>
      <c r="F237" s="395"/>
      <c r="G237" s="245">
        <f>(G219+G220)/G235</f>
        <v>0.76995139195757845</v>
      </c>
      <c r="H237" s="167"/>
      <c r="J237" s="168"/>
      <c r="K237" s="168"/>
    </row>
    <row r="238" spans="1:11" ht="26">
      <c r="A238" s="163"/>
      <c r="B238" s="244" t="s">
        <v>338</v>
      </c>
      <c r="C238" s="493">
        <f>'[69]Sch D'!N34</f>
        <v>0.89712696941612602</v>
      </c>
      <c r="D238" s="240"/>
      <c r="E238" s="245">
        <f>(E237/E236)</f>
        <v>0.89712696941612602</v>
      </c>
      <c r="F238" s="395"/>
      <c r="G238" s="245">
        <f>(G237/G236)</f>
        <v>0.89712696941612602</v>
      </c>
      <c r="H238" s="167"/>
      <c r="J238" s="168"/>
      <c r="K238" s="168"/>
    </row>
    <row r="241" spans="2:7">
      <c r="B241" s="148" t="s">
        <v>339</v>
      </c>
      <c r="F241" s="396" t="s">
        <v>340</v>
      </c>
      <c r="G241" s="490">
        <f>'[69]Sch B'!C85</f>
        <v>158.09160305343511</v>
      </c>
    </row>
    <row r="242" spans="2:7">
      <c r="F242" s="396" t="s">
        <v>341</v>
      </c>
      <c r="G242" s="490">
        <f>'[69]Sch B'!E85</f>
        <v>199.70297029702971</v>
      </c>
    </row>
    <row r="243" spans="2:7">
      <c r="F243" s="396" t="s">
        <v>342</v>
      </c>
      <c r="G243" s="490">
        <f>'[69]Sch B'!G85</f>
        <v>209.375</v>
      </c>
    </row>
    <row r="244" spans="2:7">
      <c r="F244" s="396" t="s">
        <v>343</v>
      </c>
      <c r="G244" s="490">
        <f>'[69]Sch B'!I85</f>
        <v>133.92592592592592</v>
      </c>
    </row>
    <row r="245" spans="2:7">
      <c r="F245" s="396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F17" sqref="F17"/>
      <pageMargins left="0" right="0" top="0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21">
    <tabColor rgb="FFE28CAB"/>
    <pageSetUpPr fitToPage="1"/>
  </sheetPr>
  <dimension ref="A1:N245"/>
  <sheetViews>
    <sheetView showGridLines="0" zoomScale="80" zoomScaleNormal="80" workbookViewId="0">
      <selection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9" style="140" bestFit="1" customWidth="1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478"/>
      <c r="E1" s="478"/>
      <c r="F1" s="478"/>
      <c r="G1" s="478"/>
      <c r="H1" s="478"/>
      <c r="I1" s="479"/>
    </row>
    <row r="2" spans="1:14" ht="23">
      <c r="B2" s="143" t="s">
        <v>189</v>
      </c>
      <c r="C2" s="247" t="s">
        <v>395</v>
      </c>
      <c r="D2" s="247"/>
      <c r="E2" s="144"/>
      <c r="F2" s="456" t="s">
        <v>631</v>
      </c>
    </row>
    <row r="3" spans="1:14" ht="18" customHeight="1">
      <c r="A3" s="145"/>
      <c r="B3" s="140" t="s">
        <v>79</v>
      </c>
      <c r="C3" s="495">
        <v>41821</v>
      </c>
      <c r="D3" s="398"/>
      <c r="E3" s="399"/>
      <c r="F3" s="630"/>
      <c r="G3" s="399"/>
    </row>
    <row r="4" spans="1:14" ht="23.25" customHeight="1">
      <c r="A4" s="145"/>
      <c r="B4" s="148" t="s">
        <v>80</v>
      </c>
      <c r="C4" s="495">
        <v>42185</v>
      </c>
      <c r="D4" s="398"/>
      <c r="E4" s="399"/>
      <c r="F4" s="630" t="s">
        <v>607</v>
      </c>
      <c r="G4" s="399"/>
    </row>
    <row r="5" spans="1:14">
      <c r="A5" s="145"/>
      <c r="B5" s="148"/>
      <c r="C5" s="151"/>
      <c r="D5" s="144"/>
      <c r="F5" s="630" t="s">
        <v>608</v>
      </c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589" t="s">
        <v>603</v>
      </c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598" t="s">
        <v>604</v>
      </c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490">
        <f>'[70]Sch B'!E10</f>
        <v>1322138</v>
      </c>
      <c r="D11" s="490">
        <f>'[70]Sch B'!G10</f>
        <v>0</v>
      </c>
      <c r="E11" s="171">
        <f>C11+D11</f>
        <v>1322138</v>
      </c>
      <c r="F11" s="496">
        <f>1114779+545566</f>
        <v>1660345</v>
      </c>
      <c r="G11" s="171">
        <f t="shared" ref="G11:G20" si="0">E11+F11</f>
        <v>2982483</v>
      </c>
      <c r="H11" s="172">
        <f t="shared" ref="H11:H21" si="1">IF($G$21=0,0,G11/$G$21)</f>
        <v>0.51746365198345423</v>
      </c>
      <c r="I11" s="337"/>
      <c r="J11" s="368" t="s">
        <v>344</v>
      </c>
      <c r="K11" s="369">
        <f>G21</f>
        <v>5763657</v>
      </c>
      <c r="M11" s="359">
        <f>IFERROR(G11/G219,0)</f>
        <v>226.7703010948905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490">
        <f>'[70]Sch B'!E15</f>
        <v>0</v>
      </c>
      <c r="D12" s="490">
        <f>'[70]Sch B'!G15</f>
        <v>0</v>
      </c>
      <c r="E12" s="171">
        <f t="shared" ref="E12:E20" si="2">C12+D12</f>
        <v>0</v>
      </c>
      <c r="F12" s="171">
        <v>0</v>
      </c>
      <c r="G12" s="171">
        <f>E12+F12</f>
        <v>0</v>
      </c>
      <c r="H12" s="172">
        <f t="shared" si="1"/>
        <v>0</v>
      </c>
      <c r="I12" s="337"/>
      <c r="J12" s="370" t="s">
        <v>345</v>
      </c>
      <c r="K12" s="371">
        <f>G208</f>
        <v>6366941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490">
        <f>'[70]Sch B'!E21</f>
        <v>920341</v>
      </c>
      <c r="D13" s="490">
        <f>'[70]Sch B'!G21</f>
        <v>0</v>
      </c>
      <c r="E13" s="171">
        <f t="shared" si="2"/>
        <v>920341</v>
      </c>
      <c r="F13" s="171">
        <v>596614</v>
      </c>
      <c r="G13" s="171">
        <f t="shared" si="0"/>
        <v>1516955</v>
      </c>
      <c r="H13" s="172">
        <f t="shared" si="1"/>
        <v>0.26319314282581352</v>
      </c>
      <c r="I13" s="337"/>
      <c r="J13" s="370" t="s">
        <v>346</v>
      </c>
      <c r="K13" s="371">
        <f>G228</f>
        <v>20441</v>
      </c>
      <c r="M13" s="359">
        <f t="shared" si="3"/>
        <v>522.54736479503958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490">
        <f>'[70]Sch B'!E27</f>
        <v>353317</v>
      </c>
      <c r="D14" s="490">
        <f>'[70]Sch B'!G27</f>
        <v>0</v>
      </c>
      <c r="E14" s="171">
        <f t="shared" si="2"/>
        <v>353317</v>
      </c>
      <c r="F14" s="175">
        <v>244252</v>
      </c>
      <c r="G14" s="175">
        <f>E14+F14</f>
        <v>597569</v>
      </c>
      <c r="H14" s="176">
        <f t="shared" si="1"/>
        <v>0.10367879282198784</v>
      </c>
      <c r="I14" s="338"/>
      <c r="J14" s="370" t="s">
        <v>347</v>
      </c>
      <c r="K14" s="371">
        <f>G231</f>
        <v>100</v>
      </c>
      <c r="M14" s="359">
        <f t="shared" si="3"/>
        <v>403.49020931802835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490">
        <f>'[70]Sch B'!E32</f>
        <v>0</v>
      </c>
      <c r="D15" s="490">
        <f>'[70]Sch B'!G32</f>
        <v>0</v>
      </c>
      <c r="E15" s="171">
        <f t="shared" si="2"/>
        <v>0</v>
      </c>
      <c r="F15" s="171">
        <v>0</v>
      </c>
      <c r="G15" s="171">
        <f t="shared" si="0"/>
        <v>0</v>
      </c>
      <c r="H15" s="172">
        <f t="shared" si="1"/>
        <v>0</v>
      </c>
      <c r="I15" s="337"/>
      <c r="J15" s="370" t="s">
        <v>348</v>
      </c>
      <c r="K15" s="371">
        <f>G235</f>
        <v>36500</v>
      </c>
      <c r="M15" s="359">
        <f t="shared" si="3"/>
        <v>0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490">
        <f>'[70]Sch B'!E37</f>
        <v>306317</v>
      </c>
      <c r="D16" s="490">
        <f>'[70]Sch B'!G37</f>
        <v>0</v>
      </c>
      <c r="E16" s="171">
        <f t="shared" si="2"/>
        <v>306317</v>
      </c>
      <c r="F16" s="171">
        <v>63747</v>
      </c>
      <c r="G16" s="171">
        <f t="shared" si="0"/>
        <v>370064</v>
      </c>
      <c r="H16" s="172">
        <f t="shared" si="1"/>
        <v>6.4206457809685757E-2</v>
      </c>
      <c r="I16" s="337"/>
      <c r="J16" s="372"/>
      <c r="K16" s="371"/>
      <c r="M16" s="359">
        <f t="shared" si="3"/>
        <v>226.33883792048928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490">
        <f>'[70]Sch B'!E42</f>
        <v>145576</v>
      </c>
      <c r="D17" s="490">
        <f>'[70]Sch B'!G42</f>
        <v>0</v>
      </c>
      <c r="E17" s="171">
        <f t="shared" si="2"/>
        <v>145576</v>
      </c>
      <c r="F17" s="171">
        <v>81130</v>
      </c>
      <c r="G17" s="171">
        <f>E17+F17</f>
        <v>226706</v>
      </c>
      <c r="H17" s="172">
        <f t="shared" si="1"/>
        <v>3.9333707748396549E-2</v>
      </c>
      <c r="I17" s="337"/>
      <c r="J17" s="370" t="s">
        <v>156</v>
      </c>
      <c r="K17" s="371">
        <f>J208</f>
        <v>78163</v>
      </c>
      <c r="M17" s="359">
        <f t="shared" si="3"/>
        <v>185.82459016393443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490">
        <f>'[70]Sch B'!E47</f>
        <v>9651</v>
      </c>
      <c r="D18" s="490">
        <f>'[70]Sch B'!G47</f>
        <v>0</v>
      </c>
      <c r="E18" s="171">
        <f t="shared" si="2"/>
        <v>9651</v>
      </c>
      <c r="F18" s="171">
        <v>4925</v>
      </c>
      <c r="G18" s="171">
        <f>E18+F18</f>
        <v>14576</v>
      </c>
      <c r="H18" s="172">
        <f t="shared" si="1"/>
        <v>2.5289499357786212E-3</v>
      </c>
      <c r="I18" s="337"/>
      <c r="J18" s="373" t="s">
        <v>252</v>
      </c>
      <c r="K18" s="374">
        <f>K208</f>
        <v>82224</v>
      </c>
      <c r="M18" s="359">
        <f t="shared" si="3"/>
        <v>291.52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490">
        <f>'[70]Sch B'!E52</f>
        <v>0</v>
      </c>
      <c r="D19" s="490">
        <f>'[70]Sch B'!G52</f>
        <v>0</v>
      </c>
      <c r="E19" s="171">
        <f t="shared" si="2"/>
        <v>0</v>
      </c>
      <c r="F19" s="171">
        <v>0</v>
      </c>
      <c r="G19" s="171">
        <f t="shared" si="0"/>
        <v>0</v>
      </c>
      <c r="H19" s="172">
        <f t="shared" si="1"/>
        <v>0</v>
      </c>
      <c r="I19" s="337"/>
      <c r="J19" s="168"/>
      <c r="K19" s="168"/>
      <c r="M19" s="359">
        <f t="shared" si="3"/>
        <v>0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490">
        <f>'[70]Sch B'!E67</f>
        <v>100</v>
      </c>
      <c r="D20" s="490">
        <f>'[70]Sch B'!G67</f>
        <v>-100</v>
      </c>
      <c r="E20" s="171">
        <f t="shared" si="2"/>
        <v>0</v>
      </c>
      <c r="F20" s="496">
        <f>600860-545556</f>
        <v>55304</v>
      </c>
      <c r="G20" s="171">
        <f t="shared" si="0"/>
        <v>55304</v>
      </c>
      <c r="H20" s="172">
        <f t="shared" si="1"/>
        <v>9.5952968748834293E-3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490">
        <f>SUM(C11:C20)</f>
        <v>3057440</v>
      </c>
      <c r="D21" s="490">
        <f>SUM(D11:D20)</f>
        <v>-100</v>
      </c>
      <c r="E21" s="171">
        <f>SUM(E11:E20)</f>
        <v>3057340</v>
      </c>
      <c r="F21" s="171">
        <f>SUM(F11:F20)</f>
        <v>2706317</v>
      </c>
      <c r="G21" s="171">
        <f>SUM(G11:G20)</f>
        <v>5763657</v>
      </c>
      <c r="H21" s="172">
        <f t="shared" si="1"/>
        <v>1</v>
      </c>
      <c r="I21" s="337"/>
      <c r="J21" s="168"/>
      <c r="K21" s="168"/>
      <c r="M21" s="359">
        <f>IFERROR(G21/G228,0)</f>
        <v>281.9655104936158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589" t="s">
        <v>603</v>
      </c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590" t="s">
        <v>605</v>
      </c>
      <c r="G23" s="144"/>
      <c r="M23" s="363"/>
      <c r="N23" s="363"/>
    </row>
    <row r="24" spans="1:14">
      <c r="A24" s="181" t="s">
        <v>161</v>
      </c>
      <c r="B24" s="148" t="s">
        <v>12</v>
      </c>
      <c r="F24" s="639" t="s">
        <v>606</v>
      </c>
      <c r="M24" s="363"/>
      <c r="N24" s="363"/>
    </row>
    <row r="25" spans="1:14" s="167" customFormat="1">
      <c r="A25" s="169" t="s">
        <v>83</v>
      </c>
      <c r="B25" s="170" t="s">
        <v>14</v>
      </c>
      <c r="C25" s="490">
        <f>'[70]Sch C'!D10</f>
        <v>70065</v>
      </c>
      <c r="D25" s="490">
        <f>'[70]Sch C'!F10</f>
        <v>0</v>
      </c>
      <c r="E25" s="171">
        <f t="shared" ref="E25:E60" si="4">C25+D25</f>
        <v>70065</v>
      </c>
      <c r="F25" s="496">
        <v>50013</v>
      </c>
      <c r="G25" s="182">
        <f>E25+F25</f>
        <v>120078</v>
      </c>
      <c r="H25" s="172">
        <f>IF($G$208=0,0,G25/$G$208)</f>
        <v>1.8859606206496966E-2</v>
      </c>
      <c r="I25" s="337"/>
      <c r="J25" s="183">
        <v>1213</v>
      </c>
      <c r="K25" s="183">
        <v>1213</v>
      </c>
      <c r="M25" s="359">
        <f>G25/G$228</f>
        <v>5.8743701384472384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490">
        <f>'[70]Sch C'!D11</f>
        <v>0</v>
      </c>
      <c r="D26" s="490">
        <f>'[70]Sch C'!F11</f>
        <v>0</v>
      </c>
      <c r="E26" s="171">
        <f t="shared" si="4"/>
        <v>0</v>
      </c>
      <c r="F26" s="171">
        <v>0</v>
      </c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490">
        <f>'[70]Sch C'!D12</f>
        <v>111652</v>
      </c>
      <c r="D27" s="490">
        <f>'[70]Sch C'!F12</f>
        <v>-48386</v>
      </c>
      <c r="E27" s="171">
        <f t="shared" si="4"/>
        <v>63266</v>
      </c>
      <c r="F27" s="496">
        <v>87373</v>
      </c>
      <c r="G27" s="171">
        <f t="shared" si="5"/>
        <v>150639</v>
      </c>
      <c r="H27" s="172">
        <f t="shared" si="6"/>
        <v>2.3659556449478644E-2</v>
      </c>
      <c r="I27" s="337"/>
      <c r="J27" s="185">
        <v>4053</v>
      </c>
      <c r="K27" s="185">
        <v>4366</v>
      </c>
      <c r="M27" s="359">
        <f t="shared" si="7"/>
        <v>7.3694535492392736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490">
        <f>'[70]Sch C'!D13</f>
        <v>52136</v>
      </c>
      <c r="D28" s="490">
        <f>'[70]Sch C'!F13</f>
        <v>0</v>
      </c>
      <c r="E28" s="171">
        <f t="shared" si="4"/>
        <v>52136</v>
      </c>
      <c r="F28" s="496">
        <v>47211</v>
      </c>
      <c r="G28" s="171">
        <f t="shared" si="5"/>
        <v>99347</v>
      </c>
      <c r="H28" s="172">
        <f t="shared" si="6"/>
        <v>1.560356849545174E-2</v>
      </c>
      <c r="I28" s="337"/>
      <c r="J28" s="168"/>
      <c r="K28" s="168"/>
      <c r="M28" s="359">
        <f t="shared" si="7"/>
        <v>4.8601829656083364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490">
        <f>'[70]Sch C'!D14</f>
        <v>0</v>
      </c>
      <c r="D29" s="490">
        <f>'[70]Sch C'!F14</f>
        <v>0</v>
      </c>
      <c r="E29" s="171">
        <f t="shared" si="4"/>
        <v>0</v>
      </c>
      <c r="F29" s="171">
        <v>0</v>
      </c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490">
        <f>'[70]Sch C'!D15</f>
        <v>131140</v>
      </c>
      <c r="D30" s="490">
        <f>'[70]Sch C'!F15</f>
        <v>-131140</v>
      </c>
      <c r="E30" s="171">
        <f t="shared" si="4"/>
        <v>0</v>
      </c>
      <c r="F30" s="496">
        <f>203209-203209</f>
        <v>0</v>
      </c>
      <c r="G30" s="171">
        <f t="shared" si="5"/>
        <v>0</v>
      </c>
      <c r="H30" s="172">
        <f t="shared" si="6"/>
        <v>0</v>
      </c>
      <c r="I30" s="337"/>
      <c r="J30" s="168"/>
      <c r="K30" s="168"/>
      <c r="M30" s="359">
        <f t="shared" si="7"/>
        <v>0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490">
        <f>'[70]Sch C'!D16</f>
        <v>0</v>
      </c>
      <c r="D31" s="490">
        <f>'[70]Sch C'!F16</f>
        <v>415330</v>
      </c>
      <c r="E31" s="171">
        <f t="shared" si="4"/>
        <v>415330</v>
      </c>
      <c r="F31" s="496">
        <v>173054</v>
      </c>
      <c r="G31" s="171">
        <f t="shared" si="5"/>
        <v>588384</v>
      </c>
      <c r="H31" s="172">
        <f t="shared" si="6"/>
        <v>9.2412353122166516E-2</v>
      </c>
      <c r="I31" s="337"/>
      <c r="J31" s="168"/>
      <c r="K31" s="168"/>
      <c r="M31" s="359">
        <f t="shared" si="7"/>
        <v>28.784501736705639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490">
        <f>'[70]Sch C'!D17</f>
        <v>550</v>
      </c>
      <c r="D32" s="490">
        <f>'[70]Sch C'!F17</f>
        <v>0</v>
      </c>
      <c r="E32" s="171">
        <f t="shared" si="4"/>
        <v>550</v>
      </c>
      <c r="F32" s="171">
        <v>0</v>
      </c>
      <c r="G32" s="171">
        <f t="shared" si="5"/>
        <v>550</v>
      </c>
      <c r="H32" s="172">
        <f t="shared" si="6"/>
        <v>8.6383712366739385E-5</v>
      </c>
      <c r="I32" s="337"/>
      <c r="J32" s="168"/>
      <c r="K32" s="168"/>
      <c r="M32" s="359">
        <f t="shared" si="7"/>
        <v>2.6906707108262803E-2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490">
        <f>'[70]Sch C'!D18</f>
        <v>12259</v>
      </c>
      <c r="D33" s="490">
        <f>'[70]Sch C'!F18</f>
        <v>0</v>
      </c>
      <c r="E33" s="171">
        <f t="shared" si="4"/>
        <v>12259</v>
      </c>
      <c r="F33" s="171">
        <v>9984</v>
      </c>
      <c r="G33" s="171">
        <f t="shared" si="5"/>
        <v>22243</v>
      </c>
      <c r="H33" s="172">
        <f t="shared" si="6"/>
        <v>3.4935143894061528E-3</v>
      </c>
      <c r="I33" s="337"/>
      <c r="J33" s="168"/>
      <c r="K33" s="168"/>
      <c r="M33" s="359">
        <f t="shared" si="7"/>
        <v>1.0881561567437992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490">
        <f>'[70]Sch C'!D19</f>
        <v>8008</v>
      </c>
      <c r="D34" s="490">
        <f>'[70]Sch C'!F19</f>
        <v>0</v>
      </c>
      <c r="E34" s="171">
        <f t="shared" si="4"/>
        <v>8008</v>
      </c>
      <c r="F34" s="171">
        <v>9585</v>
      </c>
      <c r="G34" s="171">
        <f t="shared" si="5"/>
        <v>17593</v>
      </c>
      <c r="H34" s="172">
        <f t="shared" si="6"/>
        <v>2.7631793666691743E-3</v>
      </c>
      <c r="I34" s="337"/>
      <c r="J34" s="168"/>
      <c r="K34" s="168"/>
      <c r="M34" s="359">
        <f t="shared" si="7"/>
        <v>0.86067217846485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490">
        <f>'[70]Sch C'!D20</f>
        <v>10191</v>
      </c>
      <c r="D35" s="490">
        <f>'[70]Sch C'!F20</f>
        <v>0</v>
      </c>
      <c r="E35" s="171">
        <f t="shared" si="4"/>
        <v>10191</v>
      </c>
      <c r="F35" s="171">
        <v>5489</v>
      </c>
      <c r="G35" s="171">
        <f t="shared" si="5"/>
        <v>15680</v>
      </c>
      <c r="H35" s="172">
        <f t="shared" si="6"/>
        <v>2.4627211089281336E-3</v>
      </c>
      <c r="I35" s="337"/>
      <c r="J35" s="168"/>
      <c r="K35" s="168"/>
      <c r="M35" s="359">
        <f t="shared" si="7"/>
        <v>0.76708575901374687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490">
        <f>'[70]Sch C'!D21</f>
        <v>0</v>
      </c>
      <c r="D36" s="490">
        <f>'[70]Sch C'!F21</f>
        <v>68405</v>
      </c>
      <c r="E36" s="171">
        <f t="shared" si="4"/>
        <v>68405</v>
      </c>
      <c r="F36" s="496">
        <f>27523-23793</f>
        <v>3730</v>
      </c>
      <c r="G36" s="171">
        <f t="shared" si="5"/>
        <v>72135</v>
      </c>
      <c r="H36" s="172">
        <f t="shared" si="6"/>
        <v>1.1329616530135901E-2</v>
      </c>
      <c r="I36" s="337"/>
      <c r="J36" s="168"/>
      <c r="K36" s="168"/>
      <c r="M36" s="359">
        <f t="shared" si="7"/>
        <v>3.5289369404627955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490">
        <f>'[70]Sch C'!D22</f>
        <v>0</v>
      </c>
      <c r="D37" s="490">
        <f>'[70]Sch C'!F22</f>
        <v>0</v>
      </c>
      <c r="E37" s="171">
        <f t="shared" si="4"/>
        <v>0</v>
      </c>
      <c r="F37" s="171">
        <v>0</v>
      </c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490">
        <f>'[70]Sch C'!D23</f>
        <v>20341</v>
      </c>
      <c r="D38" s="490">
        <f>'[70]Sch C'!F23</f>
        <v>0</v>
      </c>
      <c r="E38" s="171">
        <f t="shared" si="4"/>
        <v>20341</v>
      </c>
      <c r="F38" s="171">
        <v>10287</v>
      </c>
      <c r="G38" s="171">
        <f t="shared" si="5"/>
        <v>30628</v>
      </c>
      <c r="H38" s="172">
        <f t="shared" si="6"/>
        <v>4.8104733497608973E-3</v>
      </c>
      <c r="I38" s="337"/>
      <c r="J38" s="168"/>
      <c r="K38" s="168"/>
      <c r="M38" s="359">
        <f t="shared" si="7"/>
        <v>1.4983611369306786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490">
        <f>'[70]Sch C'!D24</f>
        <v>18433</v>
      </c>
      <c r="D39" s="490">
        <f>'[70]Sch C'!F24</f>
        <v>0</v>
      </c>
      <c r="E39" s="171">
        <f t="shared" si="4"/>
        <v>18433</v>
      </c>
      <c r="F39" s="171">
        <v>13746</v>
      </c>
      <c r="G39" s="171">
        <f t="shared" si="5"/>
        <v>32179</v>
      </c>
      <c r="H39" s="172">
        <f t="shared" si="6"/>
        <v>5.054075418635103E-3</v>
      </c>
      <c r="I39" s="337"/>
      <c r="J39" s="168"/>
      <c r="K39" s="168"/>
      <c r="M39" s="359">
        <f t="shared" si="7"/>
        <v>1.5742380509759797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490">
        <f>'[70]Sch C'!D25</f>
        <v>0</v>
      </c>
      <c r="D40" s="490">
        <f>'[70]Sch C'!F25</f>
        <v>0</v>
      </c>
      <c r="E40" s="171">
        <f t="shared" si="4"/>
        <v>0</v>
      </c>
      <c r="F40" s="171">
        <v>0</v>
      </c>
      <c r="G40" s="171">
        <f t="shared" si="5"/>
        <v>0</v>
      </c>
      <c r="H40" s="172">
        <f t="shared" si="6"/>
        <v>0</v>
      </c>
      <c r="I40" s="337"/>
      <c r="J40" s="168"/>
      <c r="K40" s="168"/>
      <c r="M40" s="359">
        <f t="shared" si="7"/>
        <v>0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490">
        <f>'[70]Sch C'!D26</f>
        <v>143021</v>
      </c>
      <c r="D41" s="490">
        <f>'[70]Sch C'!F26</f>
        <v>0</v>
      </c>
      <c r="E41" s="171">
        <f t="shared" si="4"/>
        <v>143021</v>
      </c>
      <c r="F41" s="171">
        <v>103919</v>
      </c>
      <c r="G41" s="171">
        <f t="shared" si="5"/>
        <v>246940</v>
      </c>
      <c r="H41" s="172">
        <f t="shared" si="6"/>
        <v>3.8784716239713857E-2</v>
      </c>
      <c r="I41" s="337"/>
      <c r="J41" s="168"/>
      <c r="K41" s="168"/>
      <c r="M41" s="359">
        <f t="shared" si="7"/>
        <v>12.080622278753486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490">
        <f>'[70]Sch C'!D27</f>
        <v>4767</v>
      </c>
      <c r="D42" s="490">
        <f>'[70]Sch C'!F27</f>
        <v>8153</v>
      </c>
      <c r="E42" s="171">
        <f t="shared" si="4"/>
        <v>12920</v>
      </c>
      <c r="F42" s="171">
        <v>4763</v>
      </c>
      <c r="G42" s="171">
        <f t="shared" si="5"/>
        <v>17683</v>
      </c>
      <c r="H42" s="172">
        <f t="shared" si="6"/>
        <v>2.7773148832382771E-3</v>
      </c>
      <c r="I42" s="337"/>
      <c r="J42" s="168"/>
      <c r="K42" s="168"/>
      <c r="M42" s="359">
        <f t="shared" si="7"/>
        <v>0.86507509417347483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490">
        <f>'[70]Sch C'!D28</f>
        <v>0</v>
      </c>
      <c r="D43" s="490">
        <f>'[70]Sch C'!F28</f>
        <v>0</v>
      </c>
      <c r="E43" s="171">
        <f t="shared" si="4"/>
        <v>0</v>
      </c>
      <c r="F43" s="171">
        <v>0</v>
      </c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490">
        <f>'[70]Sch C'!D29</f>
        <v>246341</v>
      </c>
      <c r="D44" s="490">
        <f>'[70]Sch C'!F29</f>
        <v>-246341</v>
      </c>
      <c r="E44" s="171">
        <f t="shared" si="4"/>
        <v>0</v>
      </c>
      <c r="F44" s="171">
        <v>0</v>
      </c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490">
        <f>'[70]Sch C'!D30</f>
        <v>-375</v>
      </c>
      <c r="D45" s="490">
        <f>'[70]Sch C'!F30</f>
        <v>375</v>
      </c>
      <c r="E45" s="171">
        <f t="shared" si="4"/>
        <v>0</v>
      </c>
      <c r="F45" s="171">
        <v>0</v>
      </c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490">
        <f>'[70]Sch C'!D31</f>
        <v>0</v>
      </c>
      <c r="D46" s="490">
        <f>'[70]Sch C'!F31</f>
        <v>0</v>
      </c>
      <c r="E46" s="171">
        <f t="shared" si="4"/>
        <v>0</v>
      </c>
      <c r="F46" s="171">
        <v>0</v>
      </c>
      <c r="G46" s="171">
        <f t="shared" si="5"/>
        <v>0</v>
      </c>
      <c r="H46" s="172">
        <f t="shared" si="6"/>
        <v>0</v>
      </c>
      <c r="I46" s="337"/>
      <c r="J46" s="168"/>
      <c r="K46" s="168"/>
      <c r="M46" s="359">
        <f t="shared" si="7"/>
        <v>0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490">
        <f>'[70]Sch C'!D32</f>
        <v>31008</v>
      </c>
      <c r="D47" s="490">
        <f>'[70]Sch C'!F32</f>
        <v>0</v>
      </c>
      <c r="E47" s="171">
        <f t="shared" si="4"/>
        <v>31008</v>
      </c>
      <c r="F47" s="171">
        <v>31260</v>
      </c>
      <c r="G47" s="171">
        <f t="shared" si="5"/>
        <v>62268</v>
      </c>
      <c r="H47" s="172">
        <f t="shared" si="6"/>
        <v>9.7798927302765962E-3</v>
      </c>
      <c r="I47" s="337"/>
      <c r="J47" s="168"/>
      <c r="K47" s="168"/>
      <c r="M47" s="359">
        <f t="shared" si="7"/>
        <v>3.0462306149405607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490">
        <f>'[70]Sch C'!D33</f>
        <v>0</v>
      </c>
      <c r="D48" s="490">
        <f>'[70]Sch C'!F33</f>
        <v>0</v>
      </c>
      <c r="E48" s="171">
        <f t="shared" si="4"/>
        <v>0</v>
      </c>
      <c r="F48" s="171">
        <v>0</v>
      </c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490">
        <f>'[70]Sch C'!D34</f>
        <v>0</v>
      </c>
      <c r="D49" s="490">
        <f>'[70]Sch C'!F34</f>
        <v>0</v>
      </c>
      <c r="E49" s="171">
        <f t="shared" si="4"/>
        <v>0</v>
      </c>
      <c r="F49" s="171">
        <v>0</v>
      </c>
      <c r="G49" s="171">
        <f t="shared" si="5"/>
        <v>0</v>
      </c>
      <c r="H49" s="172">
        <f t="shared" si="6"/>
        <v>0</v>
      </c>
      <c r="I49" s="337"/>
      <c r="J49" s="168"/>
      <c r="K49" s="168"/>
      <c r="M49" s="359">
        <f t="shared" si="7"/>
        <v>0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490">
        <f>'[70]Sch C'!D35</f>
        <v>0</v>
      </c>
      <c r="D50" s="490">
        <f>'[70]Sch C'!F35</f>
        <v>0</v>
      </c>
      <c r="E50" s="171">
        <f t="shared" si="4"/>
        <v>0</v>
      </c>
      <c r="F50" s="171">
        <v>0</v>
      </c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490">
        <f>'[70]Sch C'!D36</f>
        <v>0</v>
      </c>
      <c r="D51" s="490">
        <f>'[70]Sch C'!F36</f>
        <v>0</v>
      </c>
      <c r="E51" s="171">
        <f t="shared" si="4"/>
        <v>0</v>
      </c>
      <c r="F51" s="171">
        <v>0</v>
      </c>
      <c r="G51" s="171">
        <f t="shared" si="5"/>
        <v>0</v>
      </c>
      <c r="H51" s="172">
        <f t="shared" si="6"/>
        <v>0</v>
      </c>
      <c r="I51" s="337"/>
      <c r="J51" s="183">
        <v>0</v>
      </c>
      <c r="K51" s="183">
        <v>0</v>
      </c>
      <c r="M51" s="359">
        <f t="shared" si="7"/>
        <v>0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490">
        <f>'[70]Sch C'!D37</f>
        <v>0</v>
      </c>
      <c r="D52" s="490">
        <f>'[70]Sch C'!F37</f>
        <v>0</v>
      </c>
      <c r="E52" s="171">
        <f t="shared" si="4"/>
        <v>0</v>
      </c>
      <c r="F52" s="171">
        <v>0</v>
      </c>
      <c r="G52" s="171">
        <f t="shared" si="5"/>
        <v>0</v>
      </c>
      <c r="H52" s="172">
        <f t="shared" si="6"/>
        <v>0</v>
      </c>
      <c r="I52" s="337"/>
      <c r="J52" s="168"/>
      <c r="K52" s="168"/>
      <c r="M52" s="359">
        <f t="shared" si="7"/>
        <v>0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490">
        <f>'[70]Sch C'!D38</f>
        <v>0</v>
      </c>
      <c r="D53" s="490">
        <f>'[70]Sch C'!F38</f>
        <v>0</v>
      </c>
      <c r="E53" s="171">
        <f t="shared" si="4"/>
        <v>0</v>
      </c>
      <c r="F53" s="171">
        <v>0</v>
      </c>
      <c r="G53" s="171">
        <f t="shared" si="5"/>
        <v>0</v>
      </c>
      <c r="H53" s="172">
        <f t="shared" si="6"/>
        <v>0</v>
      </c>
      <c r="I53" s="337"/>
      <c r="J53" s="168"/>
      <c r="K53" s="168"/>
      <c r="M53" s="359">
        <f t="shared" si="7"/>
        <v>0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490">
        <f>'[70]Sch C'!D39</f>
        <v>6988</v>
      </c>
      <c r="D54" s="490">
        <f>'[70]Sch C'!F39</f>
        <v>8487</v>
      </c>
      <c r="E54" s="171">
        <f t="shared" si="4"/>
        <v>15475</v>
      </c>
      <c r="F54" s="171">
        <v>7175</v>
      </c>
      <c r="G54" s="171">
        <f t="shared" si="5"/>
        <v>22650</v>
      </c>
      <c r="H54" s="172">
        <f t="shared" si="6"/>
        <v>3.5574383365575401E-3</v>
      </c>
      <c r="I54" s="337"/>
      <c r="J54" s="168"/>
      <c r="K54" s="168"/>
      <c r="M54" s="359">
        <f t="shared" si="7"/>
        <v>1.1080671200039136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490">
        <f>'[70]Sch C'!D40</f>
        <v>11391</v>
      </c>
      <c r="D55" s="490">
        <f>'[70]Sch C'!F40</f>
        <v>-11391</v>
      </c>
      <c r="E55" s="171">
        <f t="shared" si="4"/>
        <v>0</v>
      </c>
      <c r="F55" s="171">
        <v>0</v>
      </c>
      <c r="G55" s="171">
        <f t="shared" si="5"/>
        <v>0</v>
      </c>
      <c r="H55" s="172">
        <f t="shared" si="6"/>
        <v>0</v>
      </c>
      <c r="I55" s="337"/>
      <c r="J55" s="168"/>
      <c r="K55" s="168"/>
      <c r="M55" s="359">
        <f t="shared" si="7"/>
        <v>0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490">
        <f>'[70]Sch C'!D41</f>
        <v>15071</v>
      </c>
      <c r="D56" s="490">
        <f>'[70]Sch C'!F41</f>
        <v>0</v>
      </c>
      <c r="E56" s="171">
        <f t="shared" si="4"/>
        <v>15071</v>
      </c>
      <c r="F56" s="496">
        <f>154749-149351</f>
        <v>5398</v>
      </c>
      <c r="G56" s="171">
        <f t="shared" si="5"/>
        <v>20469</v>
      </c>
      <c r="H56" s="172">
        <f t="shared" si="6"/>
        <v>3.2148876516996153E-3</v>
      </c>
      <c r="I56" s="337"/>
      <c r="J56" s="168"/>
      <c r="K56" s="168"/>
      <c r="M56" s="359">
        <f t="shared" si="7"/>
        <v>1.0013697959982388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490">
        <f>'[70]Sch C'!D42</f>
        <v>2362</v>
      </c>
      <c r="D57" s="490">
        <f>'[70]Sch C'!F42</f>
        <v>0</v>
      </c>
      <c r="E57" s="171">
        <f t="shared" si="4"/>
        <v>2362</v>
      </c>
      <c r="F57" s="171">
        <v>177</v>
      </c>
      <c r="G57" s="171">
        <f t="shared" si="5"/>
        <v>2539</v>
      </c>
      <c r="H57" s="172">
        <f t="shared" si="6"/>
        <v>3.9877862854391144E-4</v>
      </c>
      <c r="I57" s="337"/>
      <c r="J57" s="168"/>
      <c r="K57" s="168"/>
      <c r="M57" s="359">
        <f t="shared" si="7"/>
        <v>0.12421114426887138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490">
        <f>'[70]Sch C'!D43</f>
        <v>0</v>
      </c>
      <c r="D58" s="490">
        <f>'[70]Sch C'!F43</f>
        <v>0</v>
      </c>
      <c r="E58" s="171">
        <f t="shared" si="4"/>
        <v>0</v>
      </c>
      <c r="F58" s="171">
        <v>0</v>
      </c>
      <c r="G58" s="171">
        <f t="shared" si="5"/>
        <v>0</v>
      </c>
      <c r="H58" s="172">
        <f t="shared" si="6"/>
        <v>0</v>
      </c>
      <c r="I58" s="337"/>
      <c r="J58" s="168"/>
      <c r="K58" s="168"/>
      <c r="M58" s="359">
        <f t="shared" si="7"/>
        <v>0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490">
        <f>'[70]Sch C'!D44</f>
        <v>1450</v>
      </c>
      <c r="D59" s="490">
        <f>'[70]Sch C'!F44</f>
        <v>0</v>
      </c>
      <c r="E59" s="171">
        <f t="shared" si="4"/>
        <v>1450</v>
      </c>
      <c r="F59" s="171">
        <v>1460</v>
      </c>
      <c r="G59" s="171">
        <f t="shared" si="5"/>
        <v>2910</v>
      </c>
      <c r="H59" s="172">
        <f t="shared" si="6"/>
        <v>4.5704836906765745E-4</v>
      </c>
      <c r="I59" s="337"/>
      <c r="J59" s="168"/>
      <c r="K59" s="168"/>
      <c r="M59" s="359">
        <f t="shared" si="7"/>
        <v>0.14236094124553594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490">
        <f>'[70]Sch C'!D45</f>
        <v>4317</v>
      </c>
      <c r="D60" s="490">
        <f>'[70]Sch C'!F45</f>
        <v>-233</v>
      </c>
      <c r="E60" s="171">
        <f t="shared" si="4"/>
        <v>4084</v>
      </c>
      <c r="F60" s="171">
        <v>2475</v>
      </c>
      <c r="G60" s="171">
        <f t="shared" si="5"/>
        <v>6559</v>
      </c>
      <c r="H60" s="172">
        <f t="shared" si="6"/>
        <v>1.0301650352971701E-3</v>
      </c>
      <c r="I60" s="337"/>
      <c r="J60" s="168"/>
      <c r="K60" s="168"/>
      <c r="M60" s="359">
        <f t="shared" si="7"/>
        <v>0.32087471258744682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490">
        <f>SUM(C25:C60)</f>
        <v>901116</v>
      </c>
      <c r="D61" s="490">
        <f>SUM(D25:D60)</f>
        <v>63259</v>
      </c>
      <c r="E61" s="171">
        <f t="shared" ref="E61:F61" si="8">SUM(E25:E60)</f>
        <v>964375</v>
      </c>
      <c r="F61" s="171">
        <f t="shared" si="8"/>
        <v>567099</v>
      </c>
      <c r="G61" s="171">
        <f>SUM(G25:G60)</f>
        <v>1531474</v>
      </c>
      <c r="H61" s="186">
        <f t="shared" si="6"/>
        <v>0.2405352900238906</v>
      </c>
      <c r="I61" s="339"/>
      <c r="J61" s="168"/>
      <c r="K61" s="168"/>
      <c r="M61" s="364">
        <f>G61/G$228</f>
        <v>74.921677021672124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I62" s="340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490">
        <f>'[70]Sch C'!D57</f>
        <v>443437</v>
      </c>
      <c r="D64" s="490">
        <f>'[70]Sch C'!F57</f>
        <v>0</v>
      </c>
      <c r="E64" s="171">
        <f t="shared" ref="E64:E78" si="9">C64+D64</f>
        <v>443437</v>
      </c>
      <c r="F64" s="171">
        <v>201510</v>
      </c>
      <c r="G64" s="171">
        <f t="shared" ref="G64:G78" si="10">E64+F64</f>
        <v>644947</v>
      </c>
      <c r="H64" s="172">
        <f t="shared" ref="H64:H79" si="11">IF($G$208=0,0,G64/$G$208)</f>
        <v>0.10129621116325721</v>
      </c>
      <c r="I64" s="337"/>
      <c r="J64" s="190"/>
      <c r="K64" s="168"/>
      <c r="M64" s="359">
        <f t="shared" ref="M64:M79" si="12">G64/G$228</f>
        <v>31.551636417005039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490">
        <f>'[70]Sch C'!D58</f>
        <v>182168</v>
      </c>
      <c r="D65" s="490">
        <f>'[70]Sch C'!F58</f>
        <v>10745</v>
      </c>
      <c r="E65" s="171">
        <f t="shared" si="9"/>
        <v>192913</v>
      </c>
      <c r="F65" s="171">
        <v>113</v>
      </c>
      <c r="G65" s="171">
        <f t="shared" si="10"/>
        <v>193026</v>
      </c>
      <c r="H65" s="172">
        <f t="shared" si="11"/>
        <v>3.0316913569640429E-2</v>
      </c>
      <c r="I65" s="337"/>
      <c r="J65" s="190"/>
      <c r="K65" s="168"/>
      <c r="M65" s="359">
        <f t="shared" si="12"/>
        <v>9.4430800841446114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490">
        <f>'[70]Sch C'!D59</f>
        <v>0</v>
      </c>
      <c r="D66" s="490">
        <f>'[70]Sch C'!F59</f>
        <v>26427</v>
      </c>
      <c r="E66" s="171">
        <f t="shared" si="9"/>
        <v>26427</v>
      </c>
      <c r="F66" s="171">
        <v>0</v>
      </c>
      <c r="G66" s="171">
        <f t="shared" si="10"/>
        <v>26427</v>
      </c>
      <c r="H66" s="172">
        <f t="shared" si="11"/>
        <v>4.1506588485742211E-3</v>
      </c>
      <c r="I66" s="337"/>
      <c r="J66" s="190"/>
      <c r="K66" s="168"/>
      <c r="M66" s="359">
        <f t="shared" si="12"/>
        <v>1.292842815909202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490">
        <f>'[70]Sch C'!D60</f>
        <v>19542</v>
      </c>
      <c r="D67" s="490">
        <f>'[70]Sch C'!F60</f>
        <v>0</v>
      </c>
      <c r="E67" s="171">
        <f t="shared" si="9"/>
        <v>19542</v>
      </c>
      <c r="F67" s="496">
        <f>16683-2183</f>
        <v>14500</v>
      </c>
      <c r="G67" s="171">
        <f t="shared" si="10"/>
        <v>34042</v>
      </c>
      <c r="H67" s="172">
        <f t="shared" si="11"/>
        <v>5.3466806116155311E-3</v>
      </c>
      <c r="I67" s="337"/>
      <c r="J67" s="193"/>
      <c r="K67" s="168"/>
      <c r="M67" s="359">
        <f t="shared" si="12"/>
        <v>1.6653784061445134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490">
        <f>'[70]Sch C'!D61</f>
        <v>7330</v>
      </c>
      <c r="D68" s="490">
        <f>'[70]Sch C'!F61</f>
        <v>597</v>
      </c>
      <c r="E68" s="171">
        <f t="shared" si="9"/>
        <v>7927</v>
      </c>
      <c r="F68" s="171">
        <v>4548</v>
      </c>
      <c r="G68" s="171">
        <f t="shared" si="10"/>
        <v>12475</v>
      </c>
      <c r="H68" s="172">
        <f t="shared" si="11"/>
        <v>1.9593396577728614E-3</v>
      </c>
      <c r="I68" s="337"/>
      <c r="J68" s="193"/>
      <c r="K68" s="168"/>
      <c r="M68" s="359">
        <f t="shared" si="12"/>
        <v>0.61029303850105177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490">
        <f>'[70]Sch C'!D62</f>
        <v>7180</v>
      </c>
      <c r="D69" s="490">
        <f>'[70]Sch C'!F62</f>
        <v>0</v>
      </c>
      <c r="E69" s="171">
        <f t="shared" si="9"/>
        <v>7180</v>
      </c>
      <c r="F69" s="171">
        <v>0</v>
      </c>
      <c r="G69" s="171">
        <f t="shared" si="10"/>
        <v>7180</v>
      </c>
      <c r="H69" s="172">
        <f t="shared" si="11"/>
        <v>1.1277000996239796E-3</v>
      </c>
      <c r="I69" s="337"/>
      <c r="J69" s="195"/>
      <c r="K69" s="168"/>
      <c r="M69" s="359">
        <f t="shared" si="12"/>
        <v>0.35125483097695809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490">
        <f>'[70]Sch C'!D63</f>
        <v>0</v>
      </c>
      <c r="D70" s="490">
        <f>'[70]Sch C'!F63</f>
        <v>0</v>
      </c>
      <c r="E70" s="171">
        <f t="shared" si="9"/>
        <v>0</v>
      </c>
      <c r="F70" s="171">
        <v>0</v>
      </c>
      <c r="G70" s="171">
        <f t="shared" si="10"/>
        <v>0</v>
      </c>
      <c r="H70" s="172">
        <f t="shared" si="11"/>
        <v>0</v>
      </c>
      <c r="I70" s="337"/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490">
        <f>'[70]Sch C'!D64</f>
        <v>0</v>
      </c>
      <c r="D71" s="490">
        <f>'[70]Sch C'!F64</f>
        <v>0</v>
      </c>
      <c r="E71" s="171">
        <f t="shared" si="9"/>
        <v>0</v>
      </c>
      <c r="F71" s="171">
        <v>0</v>
      </c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490">
        <f>'[70]Sch C'!D65</f>
        <v>0</v>
      </c>
      <c r="D72" s="490">
        <f>'[70]Sch C'!F65</f>
        <v>0</v>
      </c>
      <c r="E72" s="171">
        <f t="shared" si="9"/>
        <v>0</v>
      </c>
      <c r="F72" s="171">
        <v>0</v>
      </c>
      <c r="G72" s="171">
        <f t="shared" si="10"/>
        <v>0</v>
      </c>
      <c r="H72" s="172">
        <f t="shared" si="11"/>
        <v>0</v>
      </c>
      <c r="I72" s="337"/>
      <c r="J72" s="195"/>
      <c r="K72" s="168"/>
      <c r="M72" s="359">
        <f t="shared" si="12"/>
        <v>0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490">
        <f>'[70]Sch C'!D66</f>
        <v>0</v>
      </c>
      <c r="D73" s="490">
        <f>'[70]Sch C'!F66</f>
        <v>0</v>
      </c>
      <c r="E73" s="171">
        <f t="shared" si="9"/>
        <v>0</v>
      </c>
      <c r="F73" s="171">
        <v>0</v>
      </c>
      <c r="G73" s="171">
        <f t="shared" si="10"/>
        <v>0</v>
      </c>
      <c r="H73" s="172">
        <f t="shared" si="11"/>
        <v>0</v>
      </c>
      <c r="I73" s="337"/>
      <c r="J73" s="195"/>
      <c r="K73" s="168"/>
      <c r="M73" s="359">
        <f t="shared" si="12"/>
        <v>0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490">
        <f>'[70]Sch C'!D67</f>
        <v>38453</v>
      </c>
      <c r="D74" s="490">
        <f>'[70]Sch C'!F67</f>
        <v>31554</v>
      </c>
      <c r="E74" s="171">
        <f t="shared" si="9"/>
        <v>70007</v>
      </c>
      <c r="F74" s="171">
        <v>635</v>
      </c>
      <c r="G74" s="171">
        <f t="shared" si="10"/>
        <v>70642</v>
      </c>
      <c r="H74" s="172">
        <f t="shared" si="11"/>
        <v>1.1095124016384007E-2</v>
      </c>
      <c r="I74" s="337"/>
      <c r="J74" s="195"/>
      <c r="K74" s="168"/>
      <c r="M74" s="359">
        <f t="shared" si="12"/>
        <v>3.4558974609852746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490">
        <f>'[70]Sch C'!D68</f>
        <v>0</v>
      </c>
      <c r="D75" s="490">
        <f>'[70]Sch C'!F68</f>
        <v>0</v>
      </c>
      <c r="E75" s="171">
        <f t="shared" si="9"/>
        <v>0</v>
      </c>
      <c r="F75" s="171">
        <v>0</v>
      </c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490">
        <f>'[70]Sch C'!D69</f>
        <v>0</v>
      </c>
      <c r="D76" s="490">
        <f>'[70]Sch C'!F69</f>
        <v>0</v>
      </c>
      <c r="E76" s="171">
        <f t="shared" si="9"/>
        <v>0</v>
      </c>
      <c r="F76" s="496">
        <v>2183</v>
      </c>
      <c r="G76" s="171">
        <f t="shared" si="10"/>
        <v>2183</v>
      </c>
      <c r="H76" s="172">
        <f t="shared" si="11"/>
        <v>3.4286480744834919E-4</v>
      </c>
      <c r="I76" s="337"/>
      <c r="J76" s="195"/>
      <c r="K76" s="168"/>
      <c r="M76" s="359">
        <f t="shared" si="12"/>
        <v>0.10679516657697764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490">
        <f>'[70]Sch C'!D70</f>
        <v>0</v>
      </c>
      <c r="D77" s="490">
        <f>'[70]Sch C'!F70</f>
        <v>0</v>
      </c>
      <c r="E77" s="171">
        <f t="shared" si="9"/>
        <v>0</v>
      </c>
      <c r="F77" s="171">
        <v>0</v>
      </c>
      <c r="G77" s="171">
        <f t="shared" si="10"/>
        <v>0</v>
      </c>
      <c r="H77" s="172">
        <f t="shared" si="11"/>
        <v>0</v>
      </c>
      <c r="I77" s="337"/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490">
        <f>'[70]Sch C'!D71</f>
        <v>0</v>
      </c>
      <c r="D78" s="490">
        <f>'[70]Sch C'!F71</f>
        <v>0</v>
      </c>
      <c r="E78" s="171">
        <f t="shared" si="9"/>
        <v>0</v>
      </c>
      <c r="F78" s="171">
        <v>0</v>
      </c>
      <c r="G78" s="171">
        <f t="shared" si="10"/>
        <v>0</v>
      </c>
      <c r="H78" s="172">
        <f t="shared" si="11"/>
        <v>0</v>
      </c>
      <c r="I78" s="337"/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490">
        <f>SUM(C64:C78)</f>
        <v>698110</v>
      </c>
      <c r="D79" s="490">
        <f>SUM(D64:D78)</f>
        <v>69323</v>
      </c>
      <c r="E79" s="171">
        <f t="shared" ref="E79:F79" si="13">SUM(E64:E78)</f>
        <v>767433</v>
      </c>
      <c r="F79" s="171">
        <f t="shared" si="13"/>
        <v>223489</v>
      </c>
      <c r="G79" s="171">
        <f>SUM(G64:G78)</f>
        <v>990922</v>
      </c>
      <c r="H79" s="172">
        <f t="shared" si="11"/>
        <v>0.15563549277431657</v>
      </c>
      <c r="I79" s="337"/>
      <c r="J79" s="195"/>
      <c r="K79" s="168"/>
      <c r="M79" s="359">
        <f t="shared" si="12"/>
        <v>48.47717822024363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490">
        <f>'[70]Sch C'!D75</f>
        <v>24471</v>
      </c>
      <c r="D82" s="490">
        <f>'[70]Sch C'!F75</f>
        <v>0</v>
      </c>
      <c r="E82" s="171">
        <f t="shared" ref="E82:E92" si="14">C82+D82</f>
        <v>24471</v>
      </c>
      <c r="F82" s="496">
        <v>21407</v>
      </c>
      <c r="G82" s="171">
        <f t="shared" ref="G82:G92" si="15">E82+F82</f>
        <v>45878</v>
      </c>
      <c r="H82" s="172">
        <f t="shared" ref="H82:H93" si="16">IF($G$208=0,0,G82/$G$208)</f>
        <v>7.2056581017477623E-3</v>
      </c>
      <c r="I82" s="337"/>
      <c r="J82" s="183">
        <v>2017</v>
      </c>
      <c r="K82" s="183">
        <v>2089</v>
      </c>
      <c r="M82" s="359">
        <f t="shared" ref="M82:M92" si="17">G82/G$228</f>
        <v>2.244410743114329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490">
        <f>'[70]Sch C'!D76</f>
        <v>7993</v>
      </c>
      <c r="D83" s="490">
        <f>'[70]Sch C'!F76</f>
        <v>0</v>
      </c>
      <c r="E83" s="171">
        <f t="shared" si="14"/>
        <v>7993</v>
      </c>
      <c r="F83" s="496">
        <v>6382</v>
      </c>
      <c r="G83" s="171">
        <f t="shared" si="15"/>
        <v>14375</v>
      </c>
      <c r="H83" s="172">
        <f t="shared" si="16"/>
        <v>2.2577561186761428E-3</v>
      </c>
      <c r="I83" s="337"/>
      <c r="J83" s="168"/>
      <c r="K83" s="168"/>
      <c r="M83" s="359">
        <f t="shared" si="17"/>
        <v>0.70324348123868696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490">
        <f>'[70]Sch C'!D77</f>
        <v>1897</v>
      </c>
      <c r="D84" s="490">
        <f>'[70]Sch C'!F77</f>
        <v>0</v>
      </c>
      <c r="E84" s="171">
        <f t="shared" si="14"/>
        <v>1897</v>
      </c>
      <c r="F84" s="171">
        <v>9230</v>
      </c>
      <c r="G84" s="171">
        <f t="shared" si="15"/>
        <v>11127</v>
      </c>
      <c r="H84" s="172">
        <f t="shared" si="16"/>
        <v>1.7476210318267437E-3</v>
      </c>
      <c r="I84" s="337"/>
      <c r="J84" s="168"/>
      <c r="K84" s="168"/>
      <c r="M84" s="359">
        <f t="shared" si="17"/>
        <v>0.54434714544298224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490">
        <f>'[70]Sch C'!D78</f>
        <v>18538</v>
      </c>
      <c r="D85" s="490">
        <f>'[70]Sch C'!F78</f>
        <v>1781</v>
      </c>
      <c r="E85" s="171">
        <f t="shared" si="14"/>
        <v>20319</v>
      </c>
      <c r="F85" s="171">
        <v>11643</v>
      </c>
      <c r="G85" s="171">
        <f t="shared" si="15"/>
        <v>31962</v>
      </c>
      <c r="H85" s="172">
        <f t="shared" si="16"/>
        <v>5.0199931175740438E-3</v>
      </c>
      <c r="I85" s="337"/>
      <c r="J85" s="168"/>
      <c r="K85" s="168"/>
      <c r="M85" s="359">
        <f t="shared" si="17"/>
        <v>1.5636221319896286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490">
        <f>'[70]Sch C'!D79</f>
        <v>8090</v>
      </c>
      <c r="D86" s="490">
        <f>'[70]Sch C'!F79</f>
        <v>0</v>
      </c>
      <c r="E86" s="171">
        <f t="shared" si="14"/>
        <v>8090</v>
      </c>
      <c r="F86" s="171">
        <v>22193</v>
      </c>
      <c r="G86" s="171">
        <f>E86+F86</f>
        <v>30283</v>
      </c>
      <c r="H86" s="172">
        <f t="shared" si="16"/>
        <v>4.7562872029126707E-3</v>
      </c>
      <c r="I86" s="337"/>
      <c r="J86" s="168"/>
      <c r="K86" s="168"/>
      <c r="M86" s="359">
        <f t="shared" si="17"/>
        <v>1.4814832933809501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490">
        <f>'[70]Sch C'!D80</f>
        <v>28688</v>
      </c>
      <c r="D87" s="490">
        <f>'[70]Sch C'!F80</f>
        <v>0</v>
      </c>
      <c r="E87" s="171">
        <f t="shared" si="14"/>
        <v>28688</v>
      </c>
      <c r="F87" s="496">
        <f>39041-30880</f>
        <v>8161</v>
      </c>
      <c r="G87" s="171">
        <f t="shared" si="15"/>
        <v>36849</v>
      </c>
      <c r="H87" s="172">
        <f t="shared" si="16"/>
        <v>5.7875516672763264E-3</v>
      </c>
      <c r="I87" s="337"/>
      <c r="J87" s="168"/>
      <c r="K87" s="168"/>
      <c r="M87" s="359">
        <f t="shared" si="17"/>
        <v>1.8027004549679566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490">
        <f>'[70]Sch C'!D81</f>
        <v>0</v>
      </c>
      <c r="D88" s="490">
        <f>'[70]Sch C'!F81</f>
        <v>0</v>
      </c>
      <c r="E88" s="171">
        <f t="shared" si="14"/>
        <v>0</v>
      </c>
      <c r="F88" s="171">
        <v>0</v>
      </c>
      <c r="G88" s="171">
        <f t="shared" si="15"/>
        <v>0</v>
      </c>
      <c r="H88" s="172">
        <f t="shared" si="16"/>
        <v>0</v>
      </c>
      <c r="I88" s="337"/>
      <c r="J88" s="168"/>
      <c r="K88" s="168"/>
      <c r="M88" s="359">
        <f t="shared" si="17"/>
        <v>0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490">
        <f>'[70]Sch C'!D82</f>
        <v>9158</v>
      </c>
      <c r="D89" s="490">
        <f>'[70]Sch C'!F82</f>
        <v>0</v>
      </c>
      <c r="E89" s="171">
        <f t="shared" si="14"/>
        <v>9158</v>
      </c>
      <c r="F89" s="171">
        <v>4848</v>
      </c>
      <c r="G89" s="171">
        <f t="shared" si="15"/>
        <v>14006</v>
      </c>
      <c r="H89" s="172">
        <f t="shared" si="16"/>
        <v>2.1998005007428214E-3</v>
      </c>
      <c r="I89" s="337"/>
      <c r="J89" s="168"/>
      <c r="K89" s="168"/>
      <c r="M89" s="359">
        <f t="shared" si="17"/>
        <v>0.68519152683332518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490">
        <f>'[70]Sch C'!D83</f>
        <v>0</v>
      </c>
      <c r="D90" s="490">
        <f>'[70]Sch C'!F83</f>
        <v>0</v>
      </c>
      <c r="E90" s="171">
        <f t="shared" si="14"/>
        <v>0</v>
      </c>
      <c r="F90" s="171">
        <v>0</v>
      </c>
      <c r="G90" s="171">
        <f t="shared" si="15"/>
        <v>0</v>
      </c>
      <c r="H90" s="172">
        <f t="shared" si="16"/>
        <v>0</v>
      </c>
      <c r="I90" s="337"/>
      <c r="J90" s="168"/>
      <c r="K90" s="168"/>
      <c r="M90" s="359">
        <f t="shared" si="17"/>
        <v>0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490">
        <f>'[70]Sch C'!D84</f>
        <v>59047</v>
      </c>
      <c r="D91" s="490">
        <f>'[70]Sch C'!F84</f>
        <v>1466</v>
      </c>
      <c r="E91" s="171">
        <f t="shared" si="14"/>
        <v>60513</v>
      </c>
      <c r="F91" s="171">
        <v>40431</v>
      </c>
      <c r="G91" s="171">
        <f t="shared" si="15"/>
        <v>100944</v>
      </c>
      <c r="H91" s="172">
        <f t="shared" si="16"/>
        <v>1.585439538390571E-2</v>
      </c>
      <c r="I91" s="337"/>
      <c r="J91" s="168"/>
      <c r="K91" s="168"/>
      <c r="M91" s="359">
        <f t="shared" si="17"/>
        <v>4.9383102587936012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490">
        <f>'[70]Sch C'!D85</f>
        <v>68</v>
      </c>
      <c r="D92" s="490">
        <f>'[70]Sch C'!F85</f>
        <v>0</v>
      </c>
      <c r="E92" s="171">
        <f t="shared" si="14"/>
        <v>68</v>
      </c>
      <c r="F92" s="171">
        <v>180</v>
      </c>
      <c r="G92" s="171">
        <f t="shared" si="15"/>
        <v>248</v>
      </c>
      <c r="H92" s="172">
        <f t="shared" si="16"/>
        <v>3.895120121263885E-5</v>
      </c>
      <c r="I92" s="337"/>
      <c r="J92" s="168"/>
      <c r="K92" s="168"/>
      <c r="M92" s="359">
        <f t="shared" si="17"/>
        <v>1.2132478841543956E-2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490">
        <f>SUM(C82:C92)</f>
        <v>157950</v>
      </c>
      <c r="D93" s="490">
        <f>SUM(D82:D92)</f>
        <v>3247</v>
      </c>
      <c r="E93" s="171">
        <f t="shared" ref="E93:F93" si="18">SUM(E82:E92)</f>
        <v>161197</v>
      </c>
      <c r="F93" s="171">
        <f t="shared" si="18"/>
        <v>124475</v>
      </c>
      <c r="G93" s="171">
        <f>SUM(G82:G92)</f>
        <v>285672</v>
      </c>
      <c r="H93" s="172">
        <f t="shared" si="16"/>
        <v>4.486801432587486E-2</v>
      </c>
      <c r="I93" s="337"/>
      <c r="J93" s="168"/>
      <c r="K93" s="168"/>
      <c r="M93" s="364">
        <f>G93/G$228</f>
        <v>13.975441514603004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490">
        <f>'[70]Sch C'!D89</f>
        <v>80523</v>
      </c>
      <c r="D96" s="490">
        <f>'[70]Sch C'!F89</f>
        <v>0</v>
      </c>
      <c r="E96" s="171">
        <f t="shared" ref="E96:E101" si="19">C96+D96</f>
        <v>80523</v>
      </c>
      <c r="F96" s="496">
        <v>109234</v>
      </c>
      <c r="G96" s="171">
        <f t="shared" ref="G96:G101" si="20">E96+F96</f>
        <v>189757</v>
      </c>
      <c r="H96" s="172">
        <f t="shared" ref="H96:H102" si="21">IF($G$208=0,0,G96/$G$208)</f>
        <v>2.9803480195591571E-2</v>
      </c>
      <c r="I96" s="337"/>
      <c r="J96" s="183">
        <v>10194</v>
      </c>
      <c r="K96" s="183">
        <v>10902</v>
      </c>
      <c r="M96" s="364">
        <f t="shared" ref="M96:M101" si="22">G96/G$228</f>
        <v>9.2831564013502277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490">
        <f>'[70]Sch C'!D90</f>
        <v>23386</v>
      </c>
      <c r="D97" s="490">
        <f>'[70]Sch C'!F90</f>
        <v>0</v>
      </c>
      <c r="E97" s="171">
        <f t="shared" si="19"/>
        <v>23386</v>
      </c>
      <c r="F97" s="496">
        <v>24999</v>
      </c>
      <c r="G97" s="171">
        <f t="shared" si="20"/>
        <v>48385</v>
      </c>
      <c r="H97" s="172">
        <f t="shared" si="21"/>
        <v>7.5994107688448819E-3</v>
      </c>
      <c r="I97" s="337"/>
      <c r="J97" s="168"/>
      <c r="K97" s="168"/>
      <c r="M97" s="364">
        <f t="shared" si="22"/>
        <v>2.367056406242356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490">
        <f>'[70]Sch C'!D91</f>
        <v>931</v>
      </c>
      <c r="D98" s="490">
        <f>'[70]Sch C'!F91</f>
        <v>0</v>
      </c>
      <c r="E98" s="171">
        <f t="shared" si="19"/>
        <v>931</v>
      </c>
      <c r="F98" s="496">
        <f>128557-127669</f>
        <v>888</v>
      </c>
      <c r="G98" s="171">
        <f t="shared" si="20"/>
        <v>1819</v>
      </c>
      <c r="H98" s="172">
        <f t="shared" si="21"/>
        <v>2.8569449599108899E-4</v>
      </c>
      <c r="I98" s="337"/>
      <c r="J98" s="168"/>
      <c r="K98" s="168"/>
      <c r="M98" s="364">
        <f t="shared" si="22"/>
        <v>8.8987818599872801E-2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490">
        <f>'[70]Sch C'!D92</f>
        <v>78783</v>
      </c>
      <c r="D99" s="490">
        <f>'[70]Sch C'!F92</f>
        <v>0</v>
      </c>
      <c r="E99" s="171">
        <f t="shared" si="19"/>
        <v>78783</v>
      </c>
      <c r="F99" s="171">
        <v>52923</v>
      </c>
      <c r="G99" s="171">
        <f t="shared" si="20"/>
        <v>131706</v>
      </c>
      <c r="H99" s="172">
        <f t="shared" si="21"/>
        <v>2.0685914947225048E-2</v>
      </c>
      <c r="I99" s="337"/>
      <c r="J99" s="168"/>
      <c r="K99" s="168"/>
      <c r="M99" s="364">
        <f t="shared" si="22"/>
        <v>6.4432268480015651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490">
        <f>'[70]Sch C'!D93</f>
        <v>1633</v>
      </c>
      <c r="D100" s="490">
        <f>'[70]Sch C'!F93</f>
        <v>0</v>
      </c>
      <c r="E100" s="171">
        <f t="shared" si="19"/>
        <v>1633</v>
      </c>
      <c r="F100" s="171">
        <v>1605</v>
      </c>
      <c r="G100" s="171">
        <f t="shared" si="20"/>
        <v>3238</v>
      </c>
      <c r="H100" s="172">
        <f t="shared" si="21"/>
        <v>5.0856447389727654E-4</v>
      </c>
      <c r="I100" s="337"/>
      <c r="J100" s="168"/>
      <c r="K100" s="168"/>
      <c r="M100" s="364">
        <f t="shared" si="22"/>
        <v>0.15840712293919085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490">
        <f>'[70]Sch C'!D94</f>
        <v>2985</v>
      </c>
      <c r="D101" s="490">
        <f>'[70]Sch C'!F94</f>
        <v>0</v>
      </c>
      <c r="E101" s="171">
        <f t="shared" si="19"/>
        <v>2985</v>
      </c>
      <c r="F101" s="171">
        <v>1191</v>
      </c>
      <c r="G101" s="171">
        <f t="shared" si="20"/>
        <v>4176</v>
      </c>
      <c r="H101" s="172">
        <f t="shared" si="21"/>
        <v>6.5588796880637027E-4</v>
      </c>
      <c r="I101" s="337"/>
      <c r="J101" s="168"/>
      <c r="K101" s="168"/>
      <c r="M101" s="364">
        <f t="shared" si="22"/>
        <v>0.20429528888019177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490">
        <f>SUM(C96:C101)</f>
        <v>188241</v>
      </c>
      <c r="D102" s="490">
        <f>SUM(D96:D101)</f>
        <v>0</v>
      </c>
      <c r="E102" s="171">
        <f t="shared" ref="E102:F102" si="23">SUM(E96:E101)</f>
        <v>188241</v>
      </c>
      <c r="F102" s="171">
        <f t="shared" si="23"/>
        <v>190840</v>
      </c>
      <c r="G102" s="171">
        <f>SUM(G96:G101)</f>
        <v>379081</v>
      </c>
      <c r="H102" s="172">
        <f t="shared" si="21"/>
        <v>5.9538952850356236E-2</v>
      </c>
      <c r="I102" s="337"/>
      <c r="J102" s="168"/>
      <c r="K102" s="168"/>
      <c r="M102" s="364">
        <f>G102/G$228</f>
        <v>18.545129886013406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490">
        <f>'[70]Sch C'!D98</f>
        <v>11402</v>
      </c>
      <c r="D105" s="490">
        <f>'[70]Sch C'!F98</f>
        <v>0</v>
      </c>
      <c r="E105" s="171">
        <f t="shared" ref="E105:E110" si="24">C105+D105</f>
        <v>11402</v>
      </c>
      <c r="F105" s="496">
        <v>7016</v>
      </c>
      <c r="G105" s="171">
        <f t="shared" ref="G105:G110" si="25">E105+F105</f>
        <v>18418</v>
      </c>
      <c r="H105" s="172">
        <f t="shared" ref="H105:H111" si="26">IF($G$208=0,0,G105/$G$208)</f>
        <v>2.8927549352192835E-3</v>
      </c>
      <c r="I105" s="337"/>
      <c r="J105" s="183">
        <v>1242</v>
      </c>
      <c r="K105" s="183">
        <v>1428</v>
      </c>
      <c r="M105" s="364">
        <f t="shared" ref="M105:M110" si="27">G105/G$228</f>
        <v>0.90103223912724428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490">
        <f>'[70]Sch C'!D99</f>
        <v>1446</v>
      </c>
      <c r="D106" s="490">
        <f>'[70]Sch C'!F99</f>
        <v>0</v>
      </c>
      <c r="E106" s="171">
        <f t="shared" si="24"/>
        <v>1446</v>
      </c>
      <c r="F106" s="496">
        <v>987</v>
      </c>
      <c r="G106" s="171">
        <f t="shared" si="25"/>
        <v>2433</v>
      </c>
      <c r="H106" s="172">
        <f t="shared" si="26"/>
        <v>3.8213013125141257E-4</v>
      </c>
      <c r="I106" s="337"/>
      <c r="J106" s="168"/>
      <c r="K106" s="168"/>
      <c r="M106" s="364">
        <f t="shared" si="27"/>
        <v>0.11902548798982437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490">
        <f>'[70]Sch C'!D100</f>
        <v>2942</v>
      </c>
      <c r="D107" s="490">
        <f>'[70]Sch C'!F100</f>
        <v>0</v>
      </c>
      <c r="E107" s="171">
        <f t="shared" si="24"/>
        <v>2942</v>
      </c>
      <c r="F107" s="171">
        <v>1373</v>
      </c>
      <c r="G107" s="171">
        <f t="shared" si="25"/>
        <v>4315</v>
      </c>
      <c r="H107" s="172">
        <f t="shared" si="26"/>
        <v>6.7771948884087351E-4</v>
      </c>
      <c r="I107" s="337"/>
      <c r="J107" s="168"/>
      <c r="K107" s="168"/>
      <c r="M107" s="364">
        <f t="shared" si="27"/>
        <v>0.21109534758573456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490">
        <f>'[70]Sch C'!D101</f>
        <v>0</v>
      </c>
      <c r="D108" s="490">
        <f>'[70]Sch C'!F101</f>
        <v>0</v>
      </c>
      <c r="E108" s="171">
        <f t="shared" si="24"/>
        <v>0</v>
      </c>
      <c r="F108" s="496">
        <f>7994-7994</f>
        <v>0</v>
      </c>
      <c r="G108" s="171">
        <f t="shared" si="25"/>
        <v>0</v>
      </c>
      <c r="H108" s="172">
        <f t="shared" si="26"/>
        <v>0</v>
      </c>
      <c r="I108" s="337"/>
      <c r="J108" s="168"/>
      <c r="K108" s="168"/>
      <c r="M108" s="364">
        <f t="shared" si="27"/>
        <v>0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490">
        <f>'[70]Sch C'!D102</f>
        <v>1092</v>
      </c>
      <c r="D109" s="490">
        <f>'[70]Sch C'!F102</f>
        <v>0</v>
      </c>
      <c r="E109" s="171">
        <f t="shared" si="24"/>
        <v>1092</v>
      </c>
      <c r="F109" s="171">
        <v>1820</v>
      </c>
      <c r="G109" s="171">
        <f t="shared" si="25"/>
        <v>2912</v>
      </c>
      <c r="H109" s="172">
        <f t="shared" si="26"/>
        <v>4.5736249165808198E-4</v>
      </c>
      <c r="I109" s="337"/>
      <c r="J109" s="168"/>
      <c r="K109" s="168"/>
      <c r="M109" s="364">
        <f t="shared" si="27"/>
        <v>0.14245878381683871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490">
        <f>'[70]Sch C'!D103</f>
        <v>0</v>
      </c>
      <c r="D110" s="490">
        <f>'[70]Sch C'!F103</f>
        <v>0</v>
      </c>
      <c r="E110" s="171">
        <f t="shared" si="24"/>
        <v>0</v>
      </c>
      <c r="F110" s="171">
        <v>73</v>
      </c>
      <c r="G110" s="171">
        <f t="shared" si="25"/>
        <v>73</v>
      </c>
      <c r="H110" s="172">
        <f t="shared" si="26"/>
        <v>1.1465474550494499E-5</v>
      </c>
      <c r="I110" s="337"/>
      <c r="J110" s="168"/>
      <c r="K110" s="168"/>
      <c r="M110" s="364">
        <f t="shared" si="27"/>
        <v>3.5712538525512452E-3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490">
        <f>SUM(C105:C110)</f>
        <v>16882</v>
      </c>
      <c r="D111" s="490">
        <f>SUM(D105:D110)</f>
        <v>0</v>
      </c>
      <c r="E111" s="171">
        <f t="shared" ref="E111:F111" si="28">SUM(E105:E110)</f>
        <v>16882</v>
      </c>
      <c r="F111" s="171">
        <f t="shared" si="28"/>
        <v>11269</v>
      </c>
      <c r="G111" s="171">
        <f>SUM(G105:G110)</f>
        <v>28151</v>
      </c>
      <c r="H111" s="172">
        <f t="shared" si="26"/>
        <v>4.421432521520146E-3</v>
      </c>
      <c r="I111" s="337"/>
      <c r="J111" s="168"/>
      <c r="K111" s="168"/>
      <c r="M111" s="364">
        <f>G111/G$228</f>
        <v>1.3771831123721932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490">
        <f>'[70]Sch C'!D115</f>
        <v>42004</v>
      </c>
      <c r="D114" s="490">
        <f>'[70]Sch C'!F115</f>
        <v>0</v>
      </c>
      <c r="E114" s="171">
        <f t="shared" ref="E114:E118" si="29">C114+D114</f>
        <v>42004</v>
      </c>
      <c r="F114" s="496">
        <v>31659</v>
      </c>
      <c r="G114" s="171">
        <f>E114+F114</f>
        <v>73663</v>
      </c>
      <c r="H114" s="172">
        <f t="shared" ref="H114:H119" si="30">IF($G$208=0,0,G114/$G$208)</f>
        <v>1.1569606189220224E-2</v>
      </c>
      <c r="I114" s="337"/>
      <c r="J114" s="183">
        <v>4982</v>
      </c>
      <c r="K114" s="183">
        <v>5230</v>
      </c>
      <c r="M114" s="364">
        <f t="shared" ref="M114:M119" si="31">G114/G$228</f>
        <v>3.6036886649381148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490">
        <f>'[70]Sch C'!D116</f>
        <v>11491</v>
      </c>
      <c r="D115" s="490">
        <f>'[70]Sch C'!F116</f>
        <v>0</v>
      </c>
      <c r="E115" s="171">
        <f t="shared" si="29"/>
        <v>11491</v>
      </c>
      <c r="F115" s="496">
        <v>8201</v>
      </c>
      <c r="G115" s="171">
        <f>E115+F115</f>
        <v>19692</v>
      </c>
      <c r="H115" s="172">
        <f t="shared" si="30"/>
        <v>3.0928510253196945E-3</v>
      </c>
      <c r="I115" s="337"/>
      <c r="J115" s="168"/>
      <c r="K115" s="168"/>
      <c r="M115" s="364">
        <f t="shared" si="31"/>
        <v>0.96335795704711125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490">
        <f>'[70]Sch C'!D117</f>
        <v>12157</v>
      </c>
      <c r="D116" s="490">
        <f>'[70]Sch C'!F117</f>
        <v>0</v>
      </c>
      <c r="E116" s="171">
        <f t="shared" si="29"/>
        <v>12157</v>
      </c>
      <c r="F116" s="171">
        <v>11622</v>
      </c>
      <c r="G116" s="171">
        <f>E116+F116</f>
        <v>23779</v>
      </c>
      <c r="H116" s="172">
        <f t="shared" si="30"/>
        <v>3.734760538852174E-3</v>
      </c>
      <c r="I116" s="337"/>
      <c r="J116" s="168"/>
      <c r="K116" s="168"/>
      <c r="M116" s="364">
        <f t="shared" si="31"/>
        <v>1.1632992515043294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490">
        <f>'[70]Sch C'!D118</f>
        <v>2018</v>
      </c>
      <c r="D117" s="490">
        <f>'[70]Sch C'!F118</f>
        <v>0</v>
      </c>
      <c r="E117" s="171">
        <f t="shared" si="29"/>
        <v>2018</v>
      </c>
      <c r="F117" s="496">
        <f>41951-39576</f>
        <v>2375</v>
      </c>
      <c r="G117" s="171">
        <f>E117+F117</f>
        <v>4393</v>
      </c>
      <c r="H117" s="172">
        <f t="shared" si="30"/>
        <v>6.8997026986742922E-4</v>
      </c>
      <c r="I117" s="337"/>
      <c r="J117" s="168"/>
      <c r="K117" s="168"/>
      <c r="M117" s="364">
        <f t="shared" si="31"/>
        <v>0.21491120786654272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490">
        <f>'[70]Sch C'!D119</f>
        <v>0</v>
      </c>
      <c r="D118" s="490">
        <f>'[70]Sch C'!F119</f>
        <v>0</v>
      </c>
      <c r="E118" s="171">
        <f t="shared" si="29"/>
        <v>0</v>
      </c>
      <c r="F118" s="171">
        <v>111</v>
      </c>
      <c r="G118" s="171">
        <f>E118+F118</f>
        <v>111</v>
      </c>
      <c r="H118" s="172">
        <f t="shared" si="30"/>
        <v>1.7433803768560129E-5</v>
      </c>
      <c r="I118" s="337"/>
      <c r="J118" s="168"/>
      <c r="K118" s="168"/>
      <c r="M118" s="364">
        <f t="shared" si="31"/>
        <v>5.430262707303948E-3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490">
        <f>SUM(C114:C118)</f>
        <v>67670</v>
      </c>
      <c r="D119" s="490">
        <f>SUM(D114:D118)</f>
        <v>0</v>
      </c>
      <c r="E119" s="171">
        <f t="shared" ref="E119:F119" si="32">SUM(E114:E118)</f>
        <v>67670</v>
      </c>
      <c r="F119" s="171">
        <f t="shared" si="32"/>
        <v>53968</v>
      </c>
      <c r="G119" s="171">
        <f>SUM(G114:G118)</f>
        <v>121638</v>
      </c>
      <c r="H119" s="172">
        <f t="shared" si="30"/>
        <v>1.910462182702808E-2</v>
      </c>
      <c r="I119" s="337"/>
      <c r="J119" s="168"/>
      <c r="K119" s="168"/>
      <c r="M119" s="364">
        <f t="shared" si="31"/>
        <v>5.9506873440634021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1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490">
        <f>'[70]Sch C'!D124</f>
        <v>45569</v>
      </c>
      <c r="D123" s="490">
        <f>'[70]Sch C'!F124</f>
        <v>0</v>
      </c>
      <c r="E123" s="171">
        <f t="shared" ref="E123:E127" si="33">C123+D123</f>
        <v>45569</v>
      </c>
      <c r="F123" s="496">
        <v>33838</v>
      </c>
      <c r="G123" s="171">
        <f>E123+F123</f>
        <v>79407</v>
      </c>
      <c r="H123" s="172">
        <f>IF($G$208=0,0,G123/$G$208)</f>
        <v>1.2471766268919408E-2</v>
      </c>
      <c r="I123" s="337"/>
      <c r="J123" s="183">
        <v>1154</v>
      </c>
      <c r="K123" s="183">
        <v>1270</v>
      </c>
      <c r="M123" s="364">
        <f t="shared" ref="M123:M160" si="34">G123/G$228</f>
        <v>3.8846925297196808</v>
      </c>
      <c r="N123" s="359">
        <f>SUMMARY!J126</f>
        <v>0.77002560279620991</v>
      </c>
    </row>
    <row r="124" spans="1:14" s="167" customFormat="1">
      <c r="B124" s="163" t="s">
        <v>194</v>
      </c>
      <c r="C124" s="490">
        <f>'[70]Sch C'!D125</f>
        <v>43888</v>
      </c>
      <c r="D124" s="490">
        <f>'[70]Sch C'!F125</f>
        <v>0</v>
      </c>
      <c r="E124" s="171">
        <f t="shared" si="33"/>
        <v>43888</v>
      </c>
      <c r="F124" s="171">
        <v>0</v>
      </c>
      <c r="G124" s="171">
        <f>E124+F124</f>
        <v>43888</v>
      </c>
      <c r="H124" s="172">
        <f>IF($G$208=0,0,G124/$G$208)</f>
        <v>6.8931061242753777E-3</v>
      </c>
      <c r="I124" s="337"/>
      <c r="J124" s="183">
        <v>1169</v>
      </c>
      <c r="K124" s="183">
        <v>1241</v>
      </c>
      <c r="M124" s="364">
        <f t="shared" si="34"/>
        <v>2.1470573846680692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490">
        <f>'[70]Sch C'!D126</f>
        <v>0</v>
      </c>
      <c r="D125" s="490">
        <f>'[70]Sch C'!F126</f>
        <v>0</v>
      </c>
      <c r="E125" s="171">
        <f t="shared" si="33"/>
        <v>0</v>
      </c>
      <c r="F125" s="171">
        <v>0</v>
      </c>
      <c r="G125" s="171">
        <f>E125+F125</f>
        <v>0</v>
      </c>
      <c r="H125" s="172">
        <f>IF($G$208=0,0,G125/$G$208)</f>
        <v>0</v>
      </c>
      <c r="I125" s="337"/>
      <c r="J125" s="183">
        <v>0</v>
      </c>
      <c r="K125" s="183">
        <v>0</v>
      </c>
      <c r="M125" s="364">
        <f t="shared" si="34"/>
        <v>0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490">
        <f>'[70]Sch C'!D127</f>
        <v>0</v>
      </c>
      <c r="D126" s="490">
        <f>'[70]Sch C'!F127</f>
        <v>0</v>
      </c>
      <c r="E126" s="171">
        <f t="shared" si="33"/>
        <v>0</v>
      </c>
      <c r="F126" s="171">
        <v>0</v>
      </c>
      <c r="G126" s="171">
        <f>E126+F126</f>
        <v>0</v>
      </c>
      <c r="H126" s="172">
        <f>IF($G$208=0,0,G126/$G$208)</f>
        <v>0</v>
      </c>
      <c r="I126" s="337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490">
        <f>'[70]Sch C'!D128</f>
        <v>21309</v>
      </c>
      <c r="D127" s="490">
        <f>'[70]Sch C'!F128</f>
        <v>0</v>
      </c>
      <c r="E127" s="171">
        <f t="shared" si="33"/>
        <v>21309</v>
      </c>
      <c r="F127" s="496">
        <v>51591</v>
      </c>
      <c r="G127" s="171">
        <f>E127+F127</f>
        <v>72900</v>
      </c>
      <c r="H127" s="172">
        <f>IF($G$208=0,0,G127/$G$208)</f>
        <v>1.1449768420973274E-2</v>
      </c>
      <c r="I127" s="337"/>
      <c r="J127" s="183">
        <v>1171</v>
      </c>
      <c r="K127" s="183">
        <v>1252</v>
      </c>
      <c r="M127" s="364">
        <f t="shared" si="34"/>
        <v>3.5663617239861063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205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490">
        <f>'[70]Sch C'!D130</f>
        <v>13228</v>
      </c>
      <c r="D129" s="490">
        <f>'[70]Sch C'!F130</f>
        <v>0</v>
      </c>
      <c r="E129" s="171">
        <f t="shared" ref="E129:E133" si="35">C129+D129</f>
        <v>13228</v>
      </c>
      <c r="F129" s="496">
        <v>8126</v>
      </c>
      <c r="G129" s="171">
        <f>E129+F129</f>
        <v>21354</v>
      </c>
      <c r="H129" s="172">
        <f>IF($G$208=0,0,G129/$G$208)</f>
        <v>3.3538868979624595E-3</v>
      </c>
      <c r="I129" s="337"/>
      <c r="J129" s="204"/>
      <c r="K129" s="204"/>
      <c r="M129" s="364">
        <f t="shared" si="34"/>
        <v>1.0446651337997162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490">
        <f>'[70]Sch C'!D131</f>
        <v>12684</v>
      </c>
      <c r="D130" s="490">
        <f>'[70]Sch C'!F131</f>
        <v>0</v>
      </c>
      <c r="E130" s="171">
        <f t="shared" si="35"/>
        <v>12684</v>
      </c>
      <c r="F130" s="171">
        <v>0</v>
      </c>
      <c r="G130" s="171">
        <f>E130+F130</f>
        <v>12684</v>
      </c>
      <c r="H130" s="172">
        <f>IF($G$208=0,0,G130/$G$208)</f>
        <v>1.9921654684722226E-3</v>
      </c>
      <c r="I130" s="337"/>
      <c r="J130" s="204"/>
      <c r="K130" s="204"/>
      <c r="M130" s="364">
        <f t="shared" si="34"/>
        <v>0.62051758720219163</v>
      </c>
      <c r="N130" s="359">
        <f>SUMMARY!J133</f>
        <v>1.0792348507966931</v>
      </c>
    </row>
    <row r="131" spans="1:14" s="167" customFormat="1">
      <c r="B131" s="163" t="s">
        <v>195</v>
      </c>
      <c r="C131" s="490">
        <f>'[70]Sch C'!D132</f>
        <v>0</v>
      </c>
      <c r="D131" s="490">
        <f>'[70]Sch C'!F132</f>
        <v>0</v>
      </c>
      <c r="E131" s="171">
        <f t="shared" si="35"/>
        <v>0</v>
      </c>
      <c r="F131" s="171">
        <v>0</v>
      </c>
      <c r="G131" s="171">
        <f>E131+F131</f>
        <v>0</v>
      </c>
      <c r="H131" s="172">
        <f>IF($G$208=0,0,G131/$G$208)</f>
        <v>0</v>
      </c>
      <c r="I131" s="337"/>
      <c r="J131" s="168"/>
      <c r="K131" s="168"/>
      <c r="M131" s="364">
        <f t="shared" si="34"/>
        <v>0</v>
      </c>
      <c r="N131" s="359">
        <f>SUMMARY!J134</f>
        <v>8.2765628075518377E-2</v>
      </c>
    </row>
    <row r="132" spans="1:14" s="167" customFormat="1">
      <c r="B132" s="163" t="s">
        <v>196</v>
      </c>
      <c r="C132" s="490">
        <f>'[70]Sch C'!D133</f>
        <v>0</v>
      </c>
      <c r="D132" s="490">
        <f>'[70]Sch C'!F133</f>
        <v>0</v>
      </c>
      <c r="E132" s="171">
        <f t="shared" si="35"/>
        <v>0</v>
      </c>
      <c r="F132" s="171">
        <v>0</v>
      </c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490">
        <f>'[70]Sch C'!D134</f>
        <v>3172</v>
      </c>
      <c r="D133" s="490">
        <f>'[70]Sch C'!F134</f>
        <v>0</v>
      </c>
      <c r="E133" s="171">
        <f t="shared" si="35"/>
        <v>3172</v>
      </c>
      <c r="F133" s="496">
        <v>12389</v>
      </c>
      <c r="G133" s="171">
        <f>E133+F133</f>
        <v>15561</v>
      </c>
      <c r="H133" s="172">
        <f>IF($G$208=0,0,G133/$G$208)</f>
        <v>2.4440308147978753E-3</v>
      </c>
      <c r="I133" s="337"/>
      <c r="J133" s="168"/>
      <c r="K133" s="168"/>
      <c r="M133" s="364">
        <f t="shared" si="34"/>
        <v>0.76126412602123184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490">
        <f>'[70]Sch C'!D136</f>
        <v>330974</v>
      </c>
      <c r="D135" s="490">
        <f>'[70]Sch C'!F136</f>
        <v>0</v>
      </c>
      <c r="E135" s="171">
        <f t="shared" ref="E135:E138" si="36">C135+D135</f>
        <v>330974</v>
      </c>
      <c r="F135" s="496">
        <v>194429</v>
      </c>
      <c r="G135" s="171">
        <f>E135+F135</f>
        <v>525403</v>
      </c>
      <c r="H135" s="172">
        <f>IF($G$208=0,0,G135/$G$208)</f>
        <v>8.252047568840358E-2</v>
      </c>
      <c r="I135" s="337"/>
      <c r="J135" s="183">
        <v>11855</v>
      </c>
      <c r="K135" s="183">
        <v>12436</v>
      </c>
      <c r="M135" s="364">
        <f t="shared" si="34"/>
        <v>25.70339024509564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490">
        <f>'[70]Sch C'!D137</f>
        <v>111313</v>
      </c>
      <c r="D136" s="490">
        <f>'[70]Sch C'!F137</f>
        <v>0</v>
      </c>
      <c r="E136" s="171">
        <f t="shared" si="36"/>
        <v>111313</v>
      </c>
      <c r="F136" s="496">
        <v>96780</v>
      </c>
      <c r="G136" s="171">
        <f>E136+F136</f>
        <v>208093</v>
      </c>
      <c r="H136" s="172">
        <f>IF($G$208=0,0,G136/$G$208)</f>
        <v>3.2683356104603448E-2</v>
      </c>
      <c r="I136" s="337"/>
      <c r="J136" s="183">
        <v>4665</v>
      </c>
      <c r="K136" s="183">
        <v>4875</v>
      </c>
      <c r="M136" s="364">
        <f t="shared" si="34"/>
        <v>10.180177095054058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490">
        <f>'[70]Sch C'!D138</f>
        <v>239214</v>
      </c>
      <c r="D137" s="490">
        <f>'[70]Sch C'!F138</f>
        <v>0</v>
      </c>
      <c r="E137" s="171">
        <f t="shared" si="36"/>
        <v>239214</v>
      </c>
      <c r="F137" s="496">
        <v>187214</v>
      </c>
      <c r="G137" s="171">
        <f>E137+F137</f>
        <v>426428</v>
      </c>
      <c r="H137" s="172">
        <f>IF($G$208=0,0,G137/$G$208)</f>
        <v>6.6975333994770805E-2</v>
      </c>
      <c r="I137" s="337"/>
      <c r="J137" s="183">
        <v>21333</v>
      </c>
      <c r="K137" s="183">
        <v>21942</v>
      </c>
      <c r="M137" s="364">
        <f t="shared" si="34"/>
        <v>20.861405997749621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490">
        <f>'[70]Sch C'!D139</f>
        <v>28701</v>
      </c>
      <c r="D138" s="490">
        <f>'[70]Sch C'!F139</f>
        <v>0</v>
      </c>
      <c r="E138" s="171">
        <f t="shared" si="36"/>
        <v>28701</v>
      </c>
      <c r="F138" s="171">
        <v>0</v>
      </c>
      <c r="G138" s="171">
        <f>E138+F138</f>
        <v>28701</v>
      </c>
      <c r="H138" s="172">
        <f>IF($G$208=0,0,G138/$G$208)</f>
        <v>4.5078162338868851E-3</v>
      </c>
      <c r="I138" s="337"/>
      <c r="J138" s="183">
        <v>2219</v>
      </c>
      <c r="K138" s="183">
        <v>2339</v>
      </c>
      <c r="M138" s="364">
        <f t="shared" si="34"/>
        <v>1.4040898194804559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7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490">
        <f>'[70]Sch C'!D141</f>
        <v>95651</v>
      </c>
      <c r="D140" s="490">
        <f>'[70]Sch C'!F141</f>
        <v>0</v>
      </c>
      <c r="E140" s="171">
        <f t="shared" ref="E140:E143" si="37">C140+D140</f>
        <v>95651</v>
      </c>
      <c r="F140" s="496">
        <v>46691</v>
      </c>
      <c r="G140" s="171">
        <f>E140+F140</f>
        <v>142342</v>
      </c>
      <c r="H140" s="172">
        <f>IF($G$208=0,0,G140/$G$208)</f>
        <v>2.2356418883102577E-2</v>
      </c>
      <c r="I140" s="337"/>
      <c r="J140" s="168"/>
      <c r="K140" s="168"/>
      <c r="M140" s="364">
        <f t="shared" si="34"/>
        <v>6.9635536421897166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490">
        <f>'[70]Sch C'!D142</f>
        <v>32199</v>
      </c>
      <c r="D141" s="490">
        <f>'[70]Sch C'!F142</f>
        <v>0</v>
      </c>
      <c r="E141" s="171">
        <f t="shared" si="37"/>
        <v>32199</v>
      </c>
      <c r="F141" s="496">
        <v>23241</v>
      </c>
      <c r="G141" s="171">
        <f>E141+F141</f>
        <v>55440</v>
      </c>
      <c r="H141" s="172">
        <f>IF($G$208=0,0,G141/$G$208)</f>
        <v>8.7074782065673303E-3</v>
      </c>
      <c r="I141" s="337"/>
      <c r="J141" s="168"/>
      <c r="K141" s="168"/>
      <c r="M141" s="364">
        <f t="shared" si="34"/>
        <v>2.7121960765128907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490">
        <f>'[70]Sch C'!D143</f>
        <v>69109</v>
      </c>
      <c r="D142" s="490">
        <f>'[70]Sch C'!F143</f>
        <v>0</v>
      </c>
      <c r="E142" s="171">
        <f t="shared" si="37"/>
        <v>69109</v>
      </c>
      <c r="F142" s="496">
        <v>44958</v>
      </c>
      <c r="G142" s="171">
        <f>E142+F142</f>
        <v>114067</v>
      </c>
      <c r="H142" s="172">
        <f>IF($G$208=0,0,G142/$G$208)</f>
        <v>1.7915510760976111E-2</v>
      </c>
      <c r="I142" s="337"/>
      <c r="J142" s="168"/>
      <c r="K142" s="168"/>
      <c r="M142" s="364">
        <f t="shared" si="34"/>
        <v>5.5803042903967519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490">
        <f>'[70]Sch C'!D144</f>
        <v>8291</v>
      </c>
      <c r="D143" s="490">
        <f>'[70]Sch C'!F144</f>
        <v>0</v>
      </c>
      <c r="E143" s="171">
        <f t="shared" si="37"/>
        <v>8291</v>
      </c>
      <c r="F143" s="171">
        <v>0</v>
      </c>
      <c r="G143" s="171">
        <f>E143+F143</f>
        <v>8291</v>
      </c>
      <c r="H143" s="172">
        <f>IF($G$208=0,0,G143/$G$208)</f>
        <v>1.3021951986047931E-3</v>
      </c>
      <c r="I143" s="337"/>
      <c r="J143" s="168"/>
      <c r="K143" s="168"/>
      <c r="M143" s="364">
        <f t="shared" si="34"/>
        <v>0.40560637933564891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7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490">
        <f>'[70]Sch C'!D146</f>
        <v>20000</v>
      </c>
      <c r="D145" s="490">
        <f>'[70]Sch C'!F146</f>
        <v>0</v>
      </c>
      <c r="E145" s="171">
        <f t="shared" ref="E145:E153" si="38">C145+D145</f>
        <v>20000</v>
      </c>
      <c r="F145" s="496">
        <f>95904-78205</f>
        <v>17699</v>
      </c>
      <c r="G145" s="171">
        <f t="shared" ref="G145:G153" si="39">E145+F145</f>
        <v>37699</v>
      </c>
      <c r="H145" s="172">
        <f t="shared" ref="H145:H153" si="40">IF($G$208=0,0,G145/$G$208)</f>
        <v>5.921053768206742E-3</v>
      </c>
      <c r="I145" s="337"/>
      <c r="J145" s="183">
        <v>0</v>
      </c>
      <c r="K145" s="183" t="s">
        <v>438</v>
      </c>
      <c r="M145" s="364">
        <f t="shared" si="34"/>
        <v>1.8442835477716355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490">
        <f>'[70]Sch C'!D147</f>
        <v>1010</v>
      </c>
      <c r="D146" s="490">
        <f>'[70]Sch C'!F147</f>
        <v>0</v>
      </c>
      <c r="E146" s="171">
        <f t="shared" si="38"/>
        <v>1010</v>
      </c>
      <c r="F146" s="496">
        <f>246551-246551</f>
        <v>0</v>
      </c>
      <c r="G146" s="171">
        <f t="shared" si="39"/>
        <v>1010</v>
      </c>
      <c r="H146" s="172">
        <f t="shared" si="40"/>
        <v>1.5863190816437596E-4</v>
      </c>
      <c r="I146" s="337"/>
      <c r="J146" s="183">
        <v>0</v>
      </c>
      <c r="K146" s="183" t="s">
        <v>601</v>
      </c>
      <c r="M146" s="364">
        <f t="shared" si="34"/>
        <v>4.9410498507900788E-2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490">
        <f>'[70]Sch C'!D148</f>
        <v>0</v>
      </c>
      <c r="D147" s="490">
        <f>'[70]Sch C'!F148</f>
        <v>0</v>
      </c>
      <c r="E147" s="171">
        <f t="shared" si="38"/>
        <v>0</v>
      </c>
      <c r="F147" s="496">
        <f>124970-124970</f>
        <v>0</v>
      </c>
      <c r="G147" s="171">
        <f t="shared" si="39"/>
        <v>0</v>
      </c>
      <c r="H147" s="172">
        <f t="shared" si="40"/>
        <v>0</v>
      </c>
      <c r="I147" s="337"/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490">
        <f>'[70]Sch C'!D149</f>
        <v>3185</v>
      </c>
      <c r="D148" s="490">
        <f>'[70]Sch C'!F149</f>
        <v>0</v>
      </c>
      <c r="E148" s="171">
        <f t="shared" si="38"/>
        <v>3185</v>
      </c>
      <c r="F148" s="496">
        <f>237057-237057</f>
        <v>0</v>
      </c>
      <c r="G148" s="171">
        <f t="shared" si="39"/>
        <v>3185</v>
      </c>
      <c r="H148" s="172">
        <f t="shared" si="40"/>
        <v>5.0024022525102714E-4</v>
      </c>
      <c r="I148" s="337"/>
      <c r="J148" s="183">
        <v>0</v>
      </c>
      <c r="K148" s="183" t="s">
        <v>602</v>
      </c>
      <c r="M148" s="364">
        <f t="shared" si="34"/>
        <v>0.15581429479966732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490">
        <f>'[70]Sch C'!D150</f>
        <v>16181</v>
      </c>
      <c r="D149" s="490">
        <f>'[70]Sch C'!F150</f>
        <v>0</v>
      </c>
      <c r="E149" s="171">
        <f t="shared" si="38"/>
        <v>16181</v>
      </c>
      <c r="F149" s="496">
        <f>26449-24004</f>
        <v>2445</v>
      </c>
      <c r="G149" s="171">
        <f t="shared" si="39"/>
        <v>18626</v>
      </c>
      <c r="H149" s="172">
        <f t="shared" si="40"/>
        <v>2.9254236846234321E-3</v>
      </c>
      <c r="I149" s="337"/>
      <c r="J149" s="183">
        <v>0</v>
      </c>
      <c r="K149" s="183" t="s">
        <v>431</v>
      </c>
      <c r="M149" s="364">
        <f t="shared" si="34"/>
        <v>0.91120786654273278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490">
        <f>'[70]Sch C'!D151</f>
        <v>63654</v>
      </c>
      <c r="D150" s="490">
        <f>'[70]Sch C'!F151</f>
        <v>0</v>
      </c>
      <c r="E150" s="171">
        <f t="shared" si="38"/>
        <v>63654</v>
      </c>
      <c r="F150" s="171">
        <v>57194</v>
      </c>
      <c r="G150" s="171">
        <f t="shared" si="39"/>
        <v>120848</v>
      </c>
      <c r="H150" s="172">
        <f t="shared" si="40"/>
        <v>1.8980543403810401E-2</v>
      </c>
      <c r="I150" s="337"/>
      <c r="J150" s="168"/>
      <c r="K150" s="168"/>
      <c r="M150" s="364">
        <f t="shared" si="34"/>
        <v>5.9120395283988065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490">
        <f>'[70]Sch C'!D152</f>
        <v>1540</v>
      </c>
      <c r="D151" s="490">
        <f>'[70]Sch C'!F152</f>
        <v>0</v>
      </c>
      <c r="E151" s="171">
        <f t="shared" si="38"/>
        <v>1540</v>
      </c>
      <c r="F151" s="171">
        <v>595</v>
      </c>
      <c r="G151" s="171">
        <f t="shared" si="39"/>
        <v>2135</v>
      </c>
      <c r="H151" s="172">
        <f t="shared" si="40"/>
        <v>3.3532586527816106E-4</v>
      </c>
      <c r="I151" s="337"/>
      <c r="J151" s="168"/>
      <c r="K151" s="168"/>
      <c r="M151" s="364">
        <f t="shared" si="34"/>
        <v>0.10444694486571107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490">
        <f>'[70]Sch C'!D153</f>
        <v>0</v>
      </c>
      <c r="D152" s="490">
        <f>'[70]Sch C'!F153</f>
        <v>0</v>
      </c>
      <c r="E152" s="171">
        <f t="shared" si="38"/>
        <v>0</v>
      </c>
      <c r="F152" s="171">
        <v>0</v>
      </c>
      <c r="G152" s="171">
        <f t="shared" si="39"/>
        <v>0</v>
      </c>
      <c r="H152" s="172">
        <f t="shared" si="40"/>
        <v>0</v>
      </c>
      <c r="I152" s="337"/>
      <c r="J152" s="168"/>
      <c r="K152" s="168"/>
      <c r="M152" s="364">
        <f t="shared" si="34"/>
        <v>0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490">
        <f>'[70]Sch C'!D154</f>
        <v>0</v>
      </c>
      <c r="D153" s="490">
        <f>'[70]Sch C'!F154</f>
        <v>0</v>
      </c>
      <c r="E153" s="171">
        <f t="shared" si="38"/>
        <v>0</v>
      </c>
      <c r="F153" s="171">
        <v>0</v>
      </c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210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490">
        <f>'[70]Sch C'!D156</f>
        <v>0</v>
      </c>
      <c r="D155" s="490">
        <f>'[70]Sch C'!F156</f>
        <v>0</v>
      </c>
      <c r="E155" s="171">
        <f t="shared" ref="E155:E160" si="41">C155+D155</f>
        <v>0</v>
      </c>
      <c r="F155" s="171">
        <v>0</v>
      </c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490">
        <f>'[70]Sch C'!D157</f>
        <v>0</v>
      </c>
      <c r="D156" s="490">
        <f>'[70]Sch C'!F157</f>
        <v>0</v>
      </c>
      <c r="E156" s="171">
        <f t="shared" si="41"/>
        <v>0</v>
      </c>
      <c r="F156" s="171">
        <v>0</v>
      </c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490">
        <f>'[70]Sch C'!D158</f>
        <v>494</v>
      </c>
      <c r="D157" s="490">
        <f>'[70]Sch C'!F158</f>
        <v>0</v>
      </c>
      <c r="E157" s="171">
        <f t="shared" si="41"/>
        <v>494</v>
      </c>
      <c r="F157" s="171">
        <v>350</v>
      </c>
      <c r="G157" s="171">
        <f t="shared" si="42"/>
        <v>844</v>
      </c>
      <c r="H157" s="172">
        <f t="shared" si="43"/>
        <v>1.3255973315914188E-4</v>
      </c>
      <c r="I157" s="337"/>
      <c r="J157" s="168"/>
      <c r="K157" s="168"/>
      <c r="M157" s="364">
        <f t="shared" si="34"/>
        <v>4.1289565089770559E-2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490">
        <f>'[70]Sch C'!D159</f>
        <v>0</v>
      </c>
      <c r="D158" s="490">
        <f>'[70]Sch C'!F159</f>
        <v>0</v>
      </c>
      <c r="E158" s="171">
        <f t="shared" si="41"/>
        <v>0</v>
      </c>
      <c r="F158" s="171">
        <v>0</v>
      </c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490">
        <f>'[70]Sch C'!D160</f>
        <v>0</v>
      </c>
      <c r="D159" s="490">
        <f>'[70]Sch C'!F160</f>
        <v>0</v>
      </c>
      <c r="E159" s="171">
        <f t="shared" si="41"/>
        <v>0</v>
      </c>
      <c r="F159" s="171">
        <v>0</v>
      </c>
      <c r="G159" s="171">
        <f t="shared" si="42"/>
        <v>0</v>
      </c>
      <c r="H159" s="172">
        <f>IF($G$208=0,0,G159/$G$208)</f>
        <v>0</v>
      </c>
      <c r="I159" s="337"/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490">
        <f>'[70]Sch C'!D161</f>
        <v>146</v>
      </c>
      <c r="D160" s="490">
        <f>'[70]Sch C'!F161</f>
        <v>0</v>
      </c>
      <c r="E160" s="171">
        <f t="shared" si="41"/>
        <v>146</v>
      </c>
      <c r="F160" s="171">
        <v>1341</v>
      </c>
      <c r="G160" s="171">
        <f t="shared" si="42"/>
        <v>1487</v>
      </c>
      <c r="H160" s="172">
        <f t="shared" si="43"/>
        <v>2.3355014598062083E-4</v>
      </c>
      <c r="I160" s="337"/>
      <c r="J160" s="168"/>
      <c r="K160" s="168"/>
      <c r="M160" s="364">
        <f t="shared" si="34"/>
        <v>7.2745951763612343E-2</v>
      </c>
      <c r="N160" s="359">
        <f>SUMMARY!J163</f>
        <v>0.61572967423063263</v>
      </c>
    </row>
    <row r="161" spans="1:14" s="167" customFormat="1">
      <c r="A161" s="169"/>
      <c r="B161" s="170" t="s">
        <v>233</v>
      </c>
      <c r="C161" s="490">
        <f>SUM(C123:C160)</f>
        <v>1161512</v>
      </c>
      <c r="D161" s="490">
        <f>SUM(D123:D160)</f>
        <v>0</v>
      </c>
      <c r="E161" s="171">
        <f t="shared" ref="E161" si="44">SUM(E123:E160)</f>
        <v>1161512</v>
      </c>
      <c r="F161" s="171">
        <f>SUM(F123:F160)</f>
        <v>778881</v>
      </c>
      <c r="G161" s="171">
        <f>SUM(G123:G160)</f>
        <v>1940393</v>
      </c>
      <c r="H161" s="172">
        <f t="shared" si="43"/>
        <v>0.30476063780079005</v>
      </c>
      <c r="I161" s="337"/>
      <c r="J161" s="168"/>
      <c r="K161" s="168"/>
      <c r="M161" s="364">
        <f>G161/G$228</f>
        <v>94.926520228951617</v>
      </c>
      <c r="N161" s="359">
        <f>SUMMARY!J164</f>
        <v>98.597321527877028</v>
      </c>
    </row>
    <row r="162" spans="1:14" s="167" customFormat="1">
      <c r="A162" s="169"/>
      <c r="B162" s="170"/>
      <c r="C162" s="196"/>
      <c r="D162" s="196"/>
      <c r="E162" s="196"/>
      <c r="F162" s="196"/>
      <c r="G162" s="196"/>
      <c r="H162" s="197"/>
      <c r="I162" s="337"/>
      <c r="J162" s="168"/>
      <c r="K162" s="168"/>
      <c r="M162" s="359"/>
      <c r="N162" s="359"/>
    </row>
    <row r="163" spans="1:14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7"/>
      <c r="J163" s="168"/>
      <c r="K163" s="168"/>
      <c r="M163" s="359"/>
      <c r="N163" s="359"/>
    </row>
    <row r="164" spans="1:14" s="221" customFormat="1">
      <c r="A164" s="215" t="s">
        <v>95</v>
      </c>
      <c r="B164" s="148" t="s">
        <v>102</v>
      </c>
      <c r="C164" s="490">
        <f>'[70]Sch C'!D175</f>
        <v>0</v>
      </c>
      <c r="D164" s="490">
        <f>'[70]Sch C'!F175</f>
        <v>0</v>
      </c>
      <c r="E164" s="171">
        <f t="shared" ref="E164:E196" si="45">C164+D164</f>
        <v>0</v>
      </c>
      <c r="F164" s="216">
        <v>0</v>
      </c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>
        <v>0</v>
      </c>
      <c r="K164" s="217">
        <v>0</v>
      </c>
      <c r="L164" s="220"/>
      <c r="M164" s="364">
        <f>G164/G$228</f>
        <v>0</v>
      </c>
      <c r="N164" s="359">
        <f>SUMMARY!J167</f>
        <v>0</v>
      </c>
    </row>
    <row r="165" spans="1:14" s="221" customFormat="1">
      <c r="A165" s="215" t="s">
        <v>123</v>
      </c>
      <c r="B165" s="148" t="s">
        <v>103</v>
      </c>
      <c r="C165" s="490">
        <f>'[70]Sch C'!D176</f>
        <v>0</v>
      </c>
      <c r="D165" s="490">
        <f>'[70]Sch C'!F176</f>
        <v>0</v>
      </c>
      <c r="E165" s="171">
        <f t="shared" si="45"/>
        <v>0</v>
      </c>
      <c r="F165" s="216">
        <v>0</v>
      </c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20"/>
      <c r="M165" s="364">
        <f t="shared" ref="M165:M196" si="48">G165/G$228</f>
        <v>0</v>
      </c>
      <c r="N165" s="359">
        <f>SUMMARY!J168</f>
        <v>0</v>
      </c>
    </row>
    <row r="166" spans="1:14" s="221" customFormat="1">
      <c r="A166" s="215" t="s">
        <v>124</v>
      </c>
      <c r="B166" s="148" t="s">
        <v>104</v>
      </c>
      <c r="C166" s="490">
        <f>'[70]Sch C'!D177</f>
        <v>156542</v>
      </c>
      <c r="D166" s="490">
        <f>'[70]Sch C'!F177</f>
        <v>0</v>
      </c>
      <c r="E166" s="171">
        <f t="shared" si="45"/>
        <v>156542</v>
      </c>
      <c r="F166" s="677">
        <v>121123</v>
      </c>
      <c r="G166" s="171">
        <f t="shared" si="46"/>
        <v>277665</v>
      </c>
      <c r="H166" s="172">
        <f t="shared" si="47"/>
        <v>4.3610424535110347E-2</v>
      </c>
      <c r="I166" s="343"/>
      <c r="J166" s="217">
        <v>4018</v>
      </c>
      <c r="K166" s="217">
        <v>4408</v>
      </c>
      <c r="L166" s="220"/>
      <c r="M166" s="364">
        <f t="shared" si="48"/>
        <v>13.583728780392349</v>
      </c>
      <c r="N166" s="359">
        <f>SUMMARY!J169</f>
        <v>4.5899160973212085</v>
      </c>
    </row>
    <row r="167" spans="1:14" s="221" customFormat="1">
      <c r="A167" s="215" t="s">
        <v>157</v>
      </c>
      <c r="B167" s="148" t="s">
        <v>105</v>
      </c>
      <c r="C167" s="490">
        <f>'[70]Sch C'!D178</f>
        <v>47218</v>
      </c>
      <c r="D167" s="490">
        <f>'[70]Sch C'!F178</f>
        <v>0</v>
      </c>
      <c r="E167" s="171">
        <f t="shared" si="45"/>
        <v>47218</v>
      </c>
      <c r="F167" s="677">
        <v>36150</v>
      </c>
      <c r="G167" s="171">
        <f t="shared" si="46"/>
        <v>83368</v>
      </c>
      <c r="H167" s="172">
        <f t="shared" si="47"/>
        <v>1.3093886059255143E-2</v>
      </c>
      <c r="I167" s="344"/>
      <c r="J167" s="222"/>
      <c r="K167" s="222"/>
      <c r="L167" s="220"/>
      <c r="M167" s="364">
        <f t="shared" si="48"/>
        <v>4.0784697421848248</v>
      </c>
      <c r="N167" s="359">
        <f>SUMMARY!J170</f>
        <v>0.83466769369350857</v>
      </c>
    </row>
    <row r="168" spans="1:14" s="221" customFormat="1">
      <c r="A168" s="215" t="s">
        <v>158</v>
      </c>
      <c r="B168" s="148" t="s">
        <v>316</v>
      </c>
      <c r="C168" s="490">
        <f>'[70]Sch C'!D179</f>
        <v>39905</v>
      </c>
      <c r="D168" s="490">
        <f>'[70]Sch C'!F179</f>
        <v>0</v>
      </c>
      <c r="E168" s="171">
        <f t="shared" si="45"/>
        <v>39905</v>
      </c>
      <c r="F168" s="677">
        <v>17094</v>
      </c>
      <c r="G168" s="171">
        <f t="shared" si="46"/>
        <v>56999</v>
      </c>
      <c r="H168" s="172">
        <f t="shared" si="47"/>
        <v>8.9523367658032333E-3</v>
      </c>
      <c r="I168" s="343"/>
      <c r="J168" s="217">
        <v>1132</v>
      </c>
      <c r="K168" s="217">
        <v>1161</v>
      </c>
      <c r="L168" s="220"/>
      <c r="M168" s="364">
        <f t="shared" si="48"/>
        <v>2.788464360843403</v>
      </c>
      <c r="N168" s="359">
        <f>SUMMARY!J171</f>
        <v>0.77161464733349716</v>
      </c>
    </row>
    <row r="169" spans="1:14" s="221" customFormat="1">
      <c r="A169" s="215" t="s">
        <v>86</v>
      </c>
      <c r="B169" s="148" t="s">
        <v>317</v>
      </c>
      <c r="C169" s="490">
        <f>'[70]Sch C'!D180</f>
        <v>11586</v>
      </c>
      <c r="D169" s="490">
        <f>'[70]Sch C'!F180</f>
        <v>0</v>
      </c>
      <c r="E169" s="171">
        <f t="shared" si="45"/>
        <v>11586</v>
      </c>
      <c r="F169" s="677">
        <v>4870</v>
      </c>
      <c r="G169" s="171">
        <f t="shared" si="46"/>
        <v>16456</v>
      </c>
      <c r="H169" s="172">
        <f t="shared" si="47"/>
        <v>2.5846006740128423E-3</v>
      </c>
      <c r="I169" s="344"/>
      <c r="J169" s="222"/>
      <c r="K169" s="222"/>
      <c r="L169" s="220"/>
      <c r="M169" s="364">
        <f t="shared" si="48"/>
        <v>0.80504867667922309</v>
      </c>
      <c r="N169" s="359">
        <f>SUMMARY!J172</f>
        <v>0.13394964091641409</v>
      </c>
    </row>
    <row r="170" spans="1:14" s="221" customFormat="1">
      <c r="A170" s="215" t="s">
        <v>96</v>
      </c>
      <c r="B170" s="148" t="s">
        <v>318</v>
      </c>
      <c r="C170" s="490">
        <f>'[70]Sch C'!D181</f>
        <v>0</v>
      </c>
      <c r="D170" s="490">
        <f>'[70]Sch C'!F181</f>
        <v>0</v>
      </c>
      <c r="E170" s="171">
        <f t="shared" si="45"/>
        <v>0</v>
      </c>
      <c r="F170" s="216">
        <v>0</v>
      </c>
      <c r="G170" s="171">
        <f t="shared" si="46"/>
        <v>0</v>
      </c>
      <c r="H170" s="172">
        <f t="shared" si="47"/>
        <v>0</v>
      </c>
      <c r="I170" s="343"/>
      <c r="J170" s="217">
        <v>0</v>
      </c>
      <c r="K170" s="217">
        <v>0</v>
      </c>
      <c r="L170" s="220"/>
      <c r="M170" s="364">
        <f t="shared" si="48"/>
        <v>0</v>
      </c>
      <c r="N170" s="359">
        <f>SUMMARY!J173</f>
        <v>0</v>
      </c>
    </row>
    <row r="171" spans="1:14" s="221" customFormat="1">
      <c r="A171" s="215" t="s">
        <v>125</v>
      </c>
      <c r="B171" s="148" t="s">
        <v>109</v>
      </c>
      <c r="C171" s="490">
        <f>'[70]Sch C'!D182</f>
        <v>0</v>
      </c>
      <c r="D171" s="490">
        <f>'[70]Sch C'!F182</f>
        <v>0</v>
      </c>
      <c r="E171" s="171">
        <f t="shared" si="45"/>
        <v>0</v>
      </c>
      <c r="F171" s="216">
        <v>0</v>
      </c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20"/>
      <c r="M171" s="364">
        <f t="shared" si="48"/>
        <v>0</v>
      </c>
      <c r="N171" s="359">
        <f>SUMMARY!J174</f>
        <v>0</v>
      </c>
    </row>
    <row r="172" spans="1:14" s="221" customFormat="1">
      <c r="A172" s="215" t="s">
        <v>126</v>
      </c>
      <c r="B172" s="148" t="s">
        <v>319</v>
      </c>
      <c r="C172" s="490">
        <f>'[70]Sch C'!D183</f>
        <v>53748</v>
      </c>
      <c r="D172" s="490">
        <f>'[70]Sch C'!F183</f>
        <v>0</v>
      </c>
      <c r="E172" s="171">
        <f t="shared" si="45"/>
        <v>53748</v>
      </c>
      <c r="F172" s="677">
        <v>49844</v>
      </c>
      <c r="G172" s="171">
        <f t="shared" si="46"/>
        <v>103592</v>
      </c>
      <c r="H172" s="172">
        <f t="shared" si="47"/>
        <v>1.6270293693627758E-2</v>
      </c>
      <c r="I172" s="343"/>
      <c r="J172" s="217">
        <v>1730</v>
      </c>
      <c r="K172" s="217">
        <v>1834</v>
      </c>
      <c r="L172" s="220"/>
      <c r="M172" s="364">
        <f t="shared" si="48"/>
        <v>5.0678538231984733</v>
      </c>
      <c r="N172" s="359">
        <f>SUMMARY!J175</f>
        <v>2.5941162939297122</v>
      </c>
    </row>
    <row r="173" spans="1:14" s="221" customFormat="1">
      <c r="A173" s="215" t="s">
        <v>127</v>
      </c>
      <c r="B173" s="148" t="s">
        <v>111</v>
      </c>
      <c r="C173" s="490">
        <f>'[70]Sch C'!D184</f>
        <v>14776</v>
      </c>
      <c r="D173" s="490">
        <f>'[70]Sch C'!F184</f>
        <v>0</v>
      </c>
      <c r="E173" s="171">
        <f t="shared" si="45"/>
        <v>14776</v>
      </c>
      <c r="F173" s="677">
        <v>14313</v>
      </c>
      <c r="G173" s="171">
        <f t="shared" si="46"/>
        <v>29089</v>
      </c>
      <c r="H173" s="172">
        <f t="shared" si="47"/>
        <v>4.5687560164292401E-3</v>
      </c>
      <c r="I173" s="344"/>
      <c r="J173" s="222"/>
      <c r="K173" s="222"/>
      <c r="L173" s="220"/>
      <c r="M173" s="364">
        <f t="shared" si="48"/>
        <v>1.423071278313194</v>
      </c>
      <c r="N173" s="359">
        <f>SUMMARY!J176</f>
        <v>0.43431776693811036</v>
      </c>
    </row>
    <row r="174" spans="1:14" s="221" customFormat="1">
      <c r="A174" s="215" t="s">
        <v>128</v>
      </c>
      <c r="B174" s="148" t="s">
        <v>320</v>
      </c>
      <c r="C174" s="490">
        <f>'[70]Sch C'!D185</f>
        <v>0</v>
      </c>
      <c r="D174" s="490">
        <f>'[70]Sch C'!F185</f>
        <v>0</v>
      </c>
      <c r="E174" s="171">
        <f t="shared" si="45"/>
        <v>0</v>
      </c>
      <c r="F174" s="216">
        <v>0</v>
      </c>
      <c r="G174" s="171">
        <f t="shared" si="46"/>
        <v>0</v>
      </c>
      <c r="H174" s="172">
        <f t="shared" si="47"/>
        <v>0</v>
      </c>
      <c r="I174" s="343"/>
      <c r="J174" s="217">
        <v>0</v>
      </c>
      <c r="K174" s="217">
        <v>0</v>
      </c>
      <c r="L174" s="220"/>
      <c r="M174" s="364">
        <f t="shared" si="48"/>
        <v>0</v>
      </c>
      <c r="N174" s="359">
        <f>SUMMARY!J177</f>
        <v>2.3603943092760983E-3</v>
      </c>
    </row>
    <row r="175" spans="1:14" s="221" customFormat="1">
      <c r="A175" s="215" t="s">
        <v>129</v>
      </c>
      <c r="B175" s="148" t="s">
        <v>321</v>
      </c>
      <c r="C175" s="490">
        <f>'[70]Sch C'!D186</f>
        <v>0</v>
      </c>
      <c r="D175" s="490">
        <f>'[70]Sch C'!F186</f>
        <v>0</v>
      </c>
      <c r="E175" s="171">
        <f t="shared" si="45"/>
        <v>0</v>
      </c>
      <c r="F175" s="216">
        <v>0</v>
      </c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>
        <f t="shared" si="48"/>
        <v>0</v>
      </c>
      <c r="N175" s="359">
        <f>SUMMARY!J178</f>
        <v>0</v>
      </c>
    </row>
    <row r="176" spans="1:14" s="221" customFormat="1">
      <c r="A176" s="224" t="s">
        <v>293</v>
      </c>
      <c r="B176" s="148" t="s">
        <v>154</v>
      </c>
      <c r="C176" s="490">
        <f>'[70]Sch C'!D187</f>
        <v>0</v>
      </c>
      <c r="D176" s="490">
        <f>'[70]Sch C'!F187</f>
        <v>0</v>
      </c>
      <c r="E176" s="171">
        <f t="shared" si="45"/>
        <v>0</v>
      </c>
      <c r="F176" s="216">
        <v>0</v>
      </c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>
        <f t="shared" si="48"/>
        <v>0</v>
      </c>
      <c r="N176" s="359">
        <f>SUMMARY!J179</f>
        <v>0</v>
      </c>
    </row>
    <row r="177" spans="1:14" s="221" customFormat="1">
      <c r="A177" s="224" t="s">
        <v>294</v>
      </c>
      <c r="B177" s="148" t="s">
        <v>322</v>
      </c>
      <c r="C177" s="490">
        <f>'[70]Sch C'!D188</f>
        <v>3177</v>
      </c>
      <c r="D177" s="490">
        <f>'[70]Sch C'!F188</f>
        <v>0</v>
      </c>
      <c r="E177" s="171">
        <f t="shared" si="45"/>
        <v>3177</v>
      </c>
      <c r="F177" s="216">
        <v>4909</v>
      </c>
      <c r="G177" s="171">
        <f t="shared" si="46"/>
        <v>8086</v>
      </c>
      <c r="H177" s="172">
        <f t="shared" si="47"/>
        <v>1.2699976330862812E-3</v>
      </c>
      <c r="I177" s="337"/>
      <c r="J177" s="223"/>
      <c r="K177" s="218"/>
      <c r="L177" s="220"/>
      <c r="M177" s="364">
        <f t="shared" si="48"/>
        <v>0.39557751577711464</v>
      </c>
      <c r="N177" s="359">
        <f>SUMMARY!J180</f>
        <v>9.0641762922913108E-2</v>
      </c>
    </row>
    <row r="178" spans="1:14" s="221" customFormat="1">
      <c r="A178" s="224" t="s">
        <v>295</v>
      </c>
      <c r="B178" s="148" t="s">
        <v>323</v>
      </c>
      <c r="C178" s="490">
        <f>'[70]Sch C'!D189</f>
        <v>820</v>
      </c>
      <c r="D178" s="490">
        <f>'[70]Sch C'!F189</f>
        <v>0</v>
      </c>
      <c r="E178" s="171">
        <f t="shared" si="45"/>
        <v>820</v>
      </c>
      <c r="F178" s="216">
        <v>0</v>
      </c>
      <c r="G178" s="171">
        <f t="shared" si="46"/>
        <v>820</v>
      </c>
      <c r="H178" s="172">
        <f t="shared" si="47"/>
        <v>1.2879026207404781E-4</v>
      </c>
      <c r="I178" s="337"/>
      <c r="J178" s="223"/>
      <c r="K178" s="218"/>
      <c r="L178" s="220"/>
      <c r="M178" s="364">
        <f t="shared" si="48"/>
        <v>4.0115454234137274E-2</v>
      </c>
      <c r="N178" s="359">
        <f>SUMMARY!J181</f>
        <v>1.778645585866033E-2</v>
      </c>
    </row>
    <row r="179" spans="1:14" s="221" customFormat="1">
      <c r="A179" s="224" t="s">
        <v>296</v>
      </c>
      <c r="B179" s="148" t="s">
        <v>324</v>
      </c>
      <c r="C179" s="490">
        <f>'[70]Sch C'!D190</f>
        <v>0</v>
      </c>
      <c r="D179" s="490">
        <f>'[70]Sch C'!F190</f>
        <v>0</v>
      </c>
      <c r="E179" s="171">
        <f t="shared" si="45"/>
        <v>0</v>
      </c>
      <c r="F179" s="216">
        <v>0</v>
      </c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</row>
    <row r="180" spans="1:14" s="221" customFormat="1">
      <c r="A180" s="224" t="s">
        <v>297</v>
      </c>
      <c r="B180" s="148" t="s">
        <v>325</v>
      </c>
      <c r="C180" s="490">
        <f>'[70]Sch C'!D191</f>
        <v>0</v>
      </c>
      <c r="D180" s="490">
        <f>'[70]Sch C'!F191</f>
        <v>0</v>
      </c>
      <c r="E180" s="171">
        <f t="shared" si="45"/>
        <v>0</v>
      </c>
      <c r="F180" s="216">
        <v>0</v>
      </c>
      <c r="G180" s="171">
        <f t="shared" si="46"/>
        <v>0</v>
      </c>
      <c r="H180" s="172">
        <f t="shared" si="47"/>
        <v>0</v>
      </c>
      <c r="I180" s="337"/>
      <c r="J180" s="223"/>
      <c r="K180" s="218"/>
      <c r="L180" s="220"/>
      <c r="M180" s="364">
        <f t="shared" si="48"/>
        <v>0</v>
      </c>
      <c r="N180" s="359">
        <f>SUMMARY!J183</f>
        <v>1.8462734496600307E-2</v>
      </c>
    </row>
    <row r="181" spans="1:14" s="221" customFormat="1">
      <c r="A181" s="224" t="s">
        <v>298</v>
      </c>
      <c r="B181" s="148" t="s">
        <v>117</v>
      </c>
      <c r="C181" s="490">
        <f>'[70]Sch C'!D192</f>
        <v>14055</v>
      </c>
      <c r="D181" s="490">
        <f>'[70]Sch C'!F192</f>
        <v>0</v>
      </c>
      <c r="E181" s="171">
        <f t="shared" si="45"/>
        <v>14055</v>
      </c>
      <c r="F181" s="216">
        <v>8417</v>
      </c>
      <c r="G181" s="171">
        <f t="shared" si="46"/>
        <v>22472</v>
      </c>
      <c r="H181" s="172">
        <f t="shared" si="47"/>
        <v>3.5294814260097588E-3</v>
      </c>
      <c r="I181" s="337"/>
      <c r="J181" s="223"/>
      <c r="K181" s="218"/>
      <c r="L181" s="220"/>
      <c r="M181" s="364">
        <f t="shared" si="48"/>
        <v>1.0993591311579669</v>
      </c>
      <c r="N181" s="359">
        <f>SUMMARY!J184</f>
        <v>0.21032919363206901</v>
      </c>
    </row>
    <row r="182" spans="1:14" s="221" customFormat="1">
      <c r="A182" s="224" t="s">
        <v>132</v>
      </c>
      <c r="B182" s="148" t="s">
        <v>118</v>
      </c>
      <c r="C182" s="490">
        <f>'[70]Sch C'!D193</f>
        <v>0</v>
      </c>
      <c r="D182" s="490">
        <f>'[70]Sch C'!F193</f>
        <v>0</v>
      </c>
      <c r="E182" s="171">
        <f t="shared" si="45"/>
        <v>0</v>
      </c>
      <c r="F182" s="216">
        <v>0</v>
      </c>
      <c r="G182" s="171">
        <f t="shared" si="46"/>
        <v>0</v>
      </c>
      <c r="H182" s="172">
        <f t="shared" si="47"/>
        <v>0</v>
      </c>
      <c r="I182" s="337"/>
      <c r="J182" s="223"/>
      <c r="K182" s="218"/>
      <c r="L182" s="220"/>
      <c r="M182" s="364">
        <f t="shared" si="48"/>
        <v>0</v>
      </c>
      <c r="N182" s="359">
        <f>SUMMARY!J185</f>
        <v>4.5937156276453409E-2</v>
      </c>
    </row>
    <row r="183" spans="1:14" s="221" customFormat="1">
      <c r="A183" s="224" t="s">
        <v>133</v>
      </c>
      <c r="B183" s="148" t="s">
        <v>119</v>
      </c>
      <c r="C183" s="490">
        <f>'[70]Sch C'!D194</f>
        <v>0</v>
      </c>
      <c r="D183" s="490">
        <f>'[70]Sch C'!F194</f>
        <v>0</v>
      </c>
      <c r="E183" s="171">
        <f t="shared" si="45"/>
        <v>0</v>
      </c>
      <c r="F183" s="674">
        <f>157567-157567</f>
        <v>0</v>
      </c>
      <c r="G183" s="171">
        <f t="shared" si="46"/>
        <v>0</v>
      </c>
      <c r="H183" s="172">
        <f t="shared" si="47"/>
        <v>0</v>
      </c>
      <c r="I183" s="337"/>
      <c r="J183" s="223"/>
      <c r="K183" s="218"/>
      <c r="L183" s="220"/>
      <c r="M183" s="364">
        <f t="shared" si="48"/>
        <v>0</v>
      </c>
      <c r="N183" s="359">
        <f>SUMMARY!J186</f>
        <v>7.3129851396739571</v>
      </c>
    </row>
    <row r="184" spans="1:14" s="221" customFormat="1">
      <c r="A184" s="224" t="s">
        <v>134</v>
      </c>
      <c r="B184" s="148" t="s">
        <v>326</v>
      </c>
      <c r="C184" s="490">
        <f>'[70]Sch C'!D195</f>
        <v>0</v>
      </c>
      <c r="D184" s="490">
        <f>'[70]Sch C'!F195</f>
        <v>0</v>
      </c>
      <c r="E184" s="171">
        <f t="shared" si="45"/>
        <v>0</v>
      </c>
      <c r="F184" s="674">
        <f>21956-21956</f>
        <v>0</v>
      </c>
      <c r="G184" s="171">
        <f t="shared" si="46"/>
        <v>0</v>
      </c>
      <c r="H184" s="172">
        <f t="shared" si="47"/>
        <v>0</v>
      </c>
      <c r="I184" s="337"/>
      <c r="J184" s="223"/>
      <c r="K184" s="218"/>
      <c r="L184" s="220"/>
      <c r="M184" s="364">
        <f t="shared" si="48"/>
        <v>0</v>
      </c>
      <c r="N184" s="359">
        <f>SUMMARY!J187</f>
        <v>1.617871871330657</v>
      </c>
    </row>
    <row r="185" spans="1:14" s="221" customFormat="1">
      <c r="A185" s="224" t="s">
        <v>135</v>
      </c>
      <c r="B185" s="148" t="s">
        <v>327</v>
      </c>
      <c r="C185" s="490">
        <f>'[70]Sch C'!D196</f>
        <v>0</v>
      </c>
      <c r="D185" s="490">
        <f>'[70]Sch C'!F196</f>
        <v>0</v>
      </c>
      <c r="E185" s="171">
        <f t="shared" si="45"/>
        <v>0</v>
      </c>
      <c r="F185" s="216">
        <v>0</v>
      </c>
      <c r="G185" s="171">
        <f t="shared" si="46"/>
        <v>0</v>
      </c>
      <c r="H185" s="172">
        <f t="shared" si="47"/>
        <v>0</v>
      </c>
      <c r="I185" s="337"/>
      <c r="J185" s="223"/>
      <c r="K185" s="218"/>
      <c r="L185" s="220"/>
      <c r="M185" s="364">
        <f t="shared" si="48"/>
        <v>0</v>
      </c>
      <c r="N185" s="359">
        <f>SUMMARY!J188</f>
        <v>0</v>
      </c>
    </row>
    <row r="186" spans="1:14" s="221" customFormat="1">
      <c r="A186" s="224" t="s">
        <v>136</v>
      </c>
      <c r="B186" s="148" t="s">
        <v>328</v>
      </c>
      <c r="C186" s="490">
        <f>'[70]Sch C'!D197</f>
        <v>0</v>
      </c>
      <c r="D186" s="490">
        <f>'[70]Sch C'!F197</f>
        <v>0</v>
      </c>
      <c r="E186" s="171">
        <f t="shared" si="45"/>
        <v>0</v>
      </c>
      <c r="F186" s="674">
        <f>64229-64229</f>
        <v>0</v>
      </c>
      <c r="G186" s="171">
        <f t="shared" si="46"/>
        <v>0</v>
      </c>
      <c r="H186" s="172">
        <f t="shared" si="47"/>
        <v>0</v>
      </c>
      <c r="I186" s="337"/>
      <c r="J186" s="223"/>
      <c r="K186" s="218"/>
      <c r="L186" s="220"/>
      <c r="M186" s="364">
        <f t="shared" si="48"/>
        <v>0</v>
      </c>
      <c r="N186" s="359">
        <f>SUMMARY!J189</f>
        <v>5.0698778515059661</v>
      </c>
    </row>
    <row r="187" spans="1:14" s="221" customFormat="1">
      <c r="A187" s="224" t="s">
        <v>137</v>
      </c>
      <c r="B187" s="148" t="s">
        <v>122</v>
      </c>
      <c r="C187" s="490">
        <f>'[70]Sch C'!D198</f>
        <v>0</v>
      </c>
      <c r="D187" s="490">
        <f>'[70]Sch C'!F198</f>
        <v>0</v>
      </c>
      <c r="E187" s="171">
        <f t="shared" si="45"/>
        <v>0</v>
      </c>
      <c r="F187" s="216">
        <v>0</v>
      </c>
      <c r="G187" s="171">
        <f t="shared" si="46"/>
        <v>0</v>
      </c>
      <c r="H187" s="172">
        <f t="shared" si="47"/>
        <v>0</v>
      </c>
      <c r="I187" s="337"/>
      <c r="J187" s="223"/>
      <c r="K187" s="218"/>
      <c r="L187" s="220"/>
      <c r="M187" s="364">
        <f t="shared" si="48"/>
        <v>0</v>
      </c>
      <c r="N187" s="359">
        <f>SUMMARY!J190</f>
        <v>1.3048000054613476</v>
      </c>
    </row>
    <row r="188" spans="1:14" s="221" customFormat="1">
      <c r="A188" s="224" t="s">
        <v>275</v>
      </c>
      <c r="B188" s="148" t="s">
        <v>329</v>
      </c>
      <c r="C188" s="490">
        <f>'[70]Sch C'!D199</f>
        <v>0</v>
      </c>
      <c r="D188" s="490">
        <f>'[70]Sch C'!F199</f>
        <v>0</v>
      </c>
      <c r="E188" s="171">
        <f t="shared" si="45"/>
        <v>0</v>
      </c>
      <c r="F188" s="216">
        <v>0</v>
      </c>
      <c r="G188" s="171">
        <f t="shared" si="46"/>
        <v>0</v>
      </c>
      <c r="H188" s="172">
        <f t="shared" si="47"/>
        <v>0</v>
      </c>
      <c r="I188" s="337"/>
      <c r="J188" s="223"/>
      <c r="K188" s="218"/>
      <c r="L188" s="220"/>
      <c r="M188" s="364">
        <f t="shared" si="48"/>
        <v>0</v>
      </c>
      <c r="N188" s="359">
        <f>SUMMARY!J191</f>
        <v>0.39995945495753804</v>
      </c>
    </row>
    <row r="189" spans="1:14" s="221" customFormat="1">
      <c r="A189" s="224" t="s">
        <v>277</v>
      </c>
      <c r="B189" s="148" t="s">
        <v>278</v>
      </c>
      <c r="C189" s="490">
        <f>'[70]Sch C'!D200</f>
        <v>0</v>
      </c>
      <c r="D189" s="490">
        <f>'[70]Sch C'!F200</f>
        <v>0</v>
      </c>
      <c r="E189" s="171">
        <f t="shared" si="45"/>
        <v>0</v>
      </c>
      <c r="F189" s="216">
        <v>0</v>
      </c>
      <c r="G189" s="171">
        <f t="shared" si="46"/>
        <v>0</v>
      </c>
      <c r="H189" s="172">
        <f t="shared" si="47"/>
        <v>0</v>
      </c>
      <c r="I189" s="337"/>
      <c r="J189" s="223"/>
      <c r="K189" s="218"/>
      <c r="L189" s="220"/>
      <c r="M189" s="364">
        <f t="shared" si="48"/>
        <v>0</v>
      </c>
      <c r="N189" s="359">
        <f>SUMMARY!J192</f>
        <v>5.0800032768083883E-3</v>
      </c>
    </row>
    <row r="190" spans="1:14" s="221" customFormat="1">
      <c r="A190" s="225" t="s">
        <v>279</v>
      </c>
      <c r="B190" s="226" t="s">
        <v>280</v>
      </c>
      <c r="C190" s="490">
        <f>'[70]Sch C'!D201</f>
        <v>0</v>
      </c>
      <c r="D190" s="490">
        <f>'[70]Sch C'!F201</f>
        <v>0</v>
      </c>
      <c r="E190" s="171">
        <f t="shared" si="45"/>
        <v>0</v>
      </c>
      <c r="F190" s="216">
        <v>0</v>
      </c>
      <c r="G190" s="171">
        <f t="shared" si="46"/>
        <v>0</v>
      </c>
      <c r="H190" s="172">
        <f t="shared" si="47"/>
        <v>0</v>
      </c>
      <c r="I190" s="337"/>
      <c r="J190" s="223"/>
      <c r="K190" s="218"/>
      <c r="L190" s="220"/>
      <c r="M190" s="364">
        <f t="shared" si="48"/>
        <v>0</v>
      </c>
      <c r="N190" s="359">
        <f>SUMMARY!J193</f>
        <v>-2.2159984708227519E-2</v>
      </c>
    </row>
    <row r="191" spans="1:14" s="221" customFormat="1">
      <c r="A191" s="225" t="s">
        <v>281</v>
      </c>
      <c r="B191" s="226" t="s">
        <v>282</v>
      </c>
      <c r="C191" s="490">
        <f>'[70]Sch C'!D202</f>
        <v>0</v>
      </c>
      <c r="D191" s="490">
        <f>'[70]Sch C'!F202</f>
        <v>0</v>
      </c>
      <c r="E191" s="171">
        <f t="shared" si="45"/>
        <v>0</v>
      </c>
      <c r="F191" s="216">
        <v>0</v>
      </c>
      <c r="G191" s="171">
        <f t="shared" si="46"/>
        <v>0</v>
      </c>
      <c r="H191" s="172">
        <f t="shared" si="47"/>
        <v>0</v>
      </c>
      <c r="I191" s="337"/>
      <c r="J191" s="223"/>
      <c r="K191" s="218"/>
      <c r="L191" s="220"/>
      <c r="M191" s="364">
        <f t="shared" si="48"/>
        <v>0</v>
      </c>
      <c r="N191" s="359">
        <f>SUMMARY!J194</f>
        <v>4.7598918653231749E-4</v>
      </c>
    </row>
    <row r="192" spans="1:14" s="221" customFormat="1">
      <c r="A192" s="225" t="s">
        <v>283</v>
      </c>
      <c r="B192" s="226" t="s">
        <v>330</v>
      </c>
      <c r="C192" s="490">
        <f>'[70]Sch C'!D203</f>
        <v>29442</v>
      </c>
      <c r="D192" s="490">
        <f>'[70]Sch C'!F203</f>
        <v>0</v>
      </c>
      <c r="E192" s="171">
        <f t="shared" si="45"/>
        <v>29442</v>
      </c>
      <c r="F192" s="216">
        <v>20226</v>
      </c>
      <c r="G192" s="171">
        <f t="shared" si="46"/>
        <v>49668</v>
      </c>
      <c r="H192" s="172">
        <f t="shared" si="47"/>
        <v>7.8009204106022027E-3</v>
      </c>
      <c r="I192" s="337"/>
      <c r="J192" s="223"/>
      <c r="K192" s="218"/>
      <c r="L192" s="220"/>
      <c r="M192" s="364">
        <f t="shared" si="48"/>
        <v>2.4298224157330854</v>
      </c>
      <c r="N192" s="359">
        <f>SUMMARY!J195</f>
        <v>9.9736102236421709E-2</v>
      </c>
    </row>
    <row r="193" spans="1:14" s="221" customFormat="1">
      <c r="A193" s="225" t="s">
        <v>285</v>
      </c>
      <c r="B193" s="226" t="s">
        <v>331</v>
      </c>
      <c r="C193" s="490">
        <f>'[70]Sch C'!D204</f>
        <v>0</v>
      </c>
      <c r="D193" s="490">
        <f>'[70]Sch C'!F204</f>
        <v>0</v>
      </c>
      <c r="E193" s="171">
        <f t="shared" si="45"/>
        <v>0</v>
      </c>
      <c r="F193" s="216">
        <v>0</v>
      </c>
      <c r="G193" s="171">
        <f t="shared" si="46"/>
        <v>0</v>
      </c>
      <c r="H193" s="172">
        <f t="shared" si="47"/>
        <v>0</v>
      </c>
      <c r="I193" s="337"/>
      <c r="J193" s="223"/>
      <c r="K193" s="218"/>
      <c r="L193" s="220"/>
      <c r="M193" s="364">
        <f t="shared" si="48"/>
        <v>0</v>
      </c>
      <c r="N193" s="359">
        <f>SUMMARY!J196</f>
        <v>1.4186941918571311E-2</v>
      </c>
    </row>
    <row r="194" spans="1:14" s="221" customFormat="1">
      <c r="A194" s="224" t="s">
        <v>138</v>
      </c>
      <c r="B194" s="148" t="s">
        <v>332</v>
      </c>
      <c r="C194" s="490">
        <f>'[70]Sch C'!D205</f>
        <v>119397</v>
      </c>
      <c r="D194" s="490">
        <f>'[70]Sch C'!F205</f>
        <v>0</v>
      </c>
      <c r="E194" s="171">
        <f t="shared" si="45"/>
        <v>119397</v>
      </c>
      <c r="F194" s="216">
        <v>117626</v>
      </c>
      <c r="G194" s="171">
        <f t="shared" si="46"/>
        <v>237023</v>
      </c>
      <c r="H194" s="172">
        <f t="shared" si="47"/>
        <v>3.7227139375093941E-2</v>
      </c>
      <c r="I194" s="337"/>
      <c r="J194" s="223"/>
      <c r="K194" s="218"/>
      <c r="L194" s="220"/>
      <c r="M194" s="364">
        <f t="shared" si="48"/>
        <v>11.595469888948681</v>
      </c>
      <c r="N194" s="359">
        <f>SUMMARY!J197</f>
        <v>9.4205484776494348</v>
      </c>
    </row>
    <row r="195" spans="1:14" s="221" customFormat="1">
      <c r="A195" s="224" t="s">
        <v>139</v>
      </c>
      <c r="B195" s="148" t="s">
        <v>67</v>
      </c>
      <c r="C195" s="490">
        <f>'[70]Sch C'!D206</f>
        <v>0</v>
      </c>
      <c r="D195" s="490">
        <f>'[70]Sch C'!F206</f>
        <v>0</v>
      </c>
      <c r="E195" s="171">
        <f t="shared" si="45"/>
        <v>0</v>
      </c>
      <c r="F195" s="216">
        <v>0</v>
      </c>
      <c r="G195" s="171">
        <f t="shared" si="46"/>
        <v>0</v>
      </c>
      <c r="H195" s="172">
        <f t="shared" si="47"/>
        <v>0</v>
      </c>
      <c r="I195" s="337"/>
      <c r="J195" s="223"/>
      <c r="K195" s="218"/>
      <c r="L195" s="220"/>
      <c r="M195" s="364">
        <f t="shared" si="48"/>
        <v>0</v>
      </c>
      <c r="N195" s="359">
        <f>SUMMARY!J198</f>
        <v>0.51514733622784747</v>
      </c>
    </row>
    <row r="196" spans="1:14" s="221" customFormat="1">
      <c r="A196" s="225" t="s">
        <v>143</v>
      </c>
      <c r="B196" s="194" t="s">
        <v>333</v>
      </c>
      <c r="C196" s="490">
        <f>'[70]Sch C'!D207</f>
        <v>26701</v>
      </c>
      <c r="D196" s="490">
        <f>'[70]Sch C'!F207</f>
        <v>0</v>
      </c>
      <c r="E196" s="171">
        <f t="shared" si="45"/>
        <v>26701</v>
      </c>
      <c r="F196" s="216">
        <v>5030</v>
      </c>
      <c r="G196" s="171">
        <f t="shared" si="46"/>
        <v>31731</v>
      </c>
      <c r="H196" s="172">
        <f t="shared" si="47"/>
        <v>4.9837119583800134E-3</v>
      </c>
      <c r="I196" s="337"/>
      <c r="J196" s="223"/>
      <c r="K196" s="218"/>
      <c r="L196" s="220"/>
      <c r="M196" s="364">
        <f t="shared" si="48"/>
        <v>1.5523213150041584</v>
      </c>
      <c r="N196" s="359">
        <f>SUMMARY!J199</f>
        <v>0.43468466925335936</v>
      </c>
    </row>
    <row r="197" spans="1:14" s="167" customFormat="1">
      <c r="A197" s="163"/>
      <c r="B197" s="212" t="s">
        <v>130</v>
      </c>
      <c r="C197" s="490">
        <f>SUM(C164:C196)</f>
        <v>517367</v>
      </c>
      <c r="D197" s="490">
        <f>SUM(D164:D196)</f>
        <v>0</v>
      </c>
      <c r="E197" s="171">
        <f t="shared" ref="E197:F197" si="49">SUM(E164:E196)</f>
        <v>517367</v>
      </c>
      <c r="F197" s="171">
        <f t="shared" si="49"/>
        <v>399602</v>
      </c>
      <c r="G197" s="171">
        <f>SUM(G164:G196)</f>
        <v>916969</v>
      </c>
      <c r="H197" s="172">
        <f>IF($G$208=0,0,G197/$G$208)</f>
        <v>0.14402033880948481</v>
      </c>
      <c r="I197" s="337"/>
      <c r="J197" s="168"/>
      <c r="K197" s="168"/>
      <c r="M197" s="364">
        <f>G197/G$228</f>
        <v>44.859302382466609</v>
      </c>
      <c r="N197" s="359">
        <f>SUMMARY!J200</f>
        <v>35.91740838389223</v>
      </c>
    </row>
    <row r="198" spans="1:14" s="167" customFormat="1">
      <c r="A198" s="163"/>
      <c r="C198" s="165"/>
      <c r="D198" s="165"/>
      <c r="E198" s="165"/>
      <c r="F198" s="165"/>
      <c r="G198" s="165"/>
      <c r="H198" s="198"/>
      <c r="I198" s="341"/>
      <c r="J198" s="168"/>
      <c r="K198" s="168"/>
      <c r="M198" s="359"/>
      <c r="N198" s="359"/>
    </row>
    <row r="199" spans="1:14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1"/>
      <c r="J199" s="168"/>
      <c r="K199" s="168"/>
      <c r="M199" s="359"/>
      <c r="N199" s="359"/>
    </row>
    <row r="200" spans="1:14" s="167" customFormat="1">
      <c r="A200" s="169" t="s">
        <v>85</v>
      </c>
      <c r="B200" s="170" t="s">
        <v>69</v>
      </c>
      <c r="C200" s="490">
        <f>'[70]Sch C'!D211</f>
        <v>58775</v>
      </c>
      <c r="D200" s="490">
        <f>'[70]Sch C'!F211</f>
        <v>0</v>
      </c>
      <c r="E200" s="171">
        <f t="shared" ref="E200:E205" si="50">C200+D200</f>
        <v>58775</v>
      </c>
      <c r="F200" s="496">
        <v>44133</v>
      </c>
      <c r="G200" s="171">
        <f t="shared" ref="G200:G205" si="51">E200+F200</f>
        <v>102908</v>
      </c>
      <c r="H200" s="172">
        <f t="shared" ref="H200:H206" si="52">IF($G$208=0,0,G200/$G$208)</f>
        <v>1.6162863767702575E-2</v>
      </c>
      <c r="I200" s="337"/>
      <c r="J200" s="183">
        <v>4016</v>
      </c>
      <c r="K200" s="183">
        <v>4238</v>
      </c>
      <c r="M200" s="364">
        <f t="shared" ref="M200:M205" si="53">G200/G$228</f>
        <v>5.0343916638129249</v>
      </c>
      <c r="N200" s="359">
        <f>SUMMARY!J203</f>
        <v>4.8433639387236838</v>
      </c>
    </row>
    <row r="201" spans="1:14" s="167" customFormat="1">
      <c r="A201" s="169" t="s">
        <v>86</v>
      </c>
      <c r="B201" s="170" t="s">
        <v>45</v>
      </c>
      <c r="C201" s="490">
        <f>'[70]Sch C'!D212</f>
        <v>15291</v>
      </c>
      <c r="D201" s="490">
        <f>'[70]Sch C'!F212</f>
        <v>0</v>
      </c>
      <c r="E201" s="171">
        <f t="shared" si="50"/>
        <v>15291</v>
      </c>
      <c r="F201" s="496">
        <v>11855</v>
      </c>
      <c r="G201" s="171">
        <f t="shared" si="51"/>
        <v>27146</v>
      </c>
      <c r="H201" s="172">
        <f t="shared" si="52"/>
        <v>4.2635859198318317E-3</v>
      </c>
      <c r="I201" s="337"/>
      <c r="J201" s="168"/>
      <c r="K201" s="168"/>
      <c r="M201" s="364">
        <f t="shared" si="53"/>
        <v>1.3280172202925493</v>
      </c>
      <c r="N201" s="359">
        <f>SUMMARY!J204</f>
        <v>0.96144674193499036</v>
      </c>
    </row>
    <row r="202" spans="1:14" s="167" customFormat="1">
      <c r="A202" s="169" t="s">
        <v>140</v>
      </c>
      <c r="B202" s="170" t="s">
        <v>54</v>
      </c>
      <c r="C202" s="490">
        <f>'[70]Sch C'!D213</f>
        <v>8971</v>
      </c>
      <c r="D202" s="490">
        <f>'[70]Sch C'!F213</f>
        <v>0</v>
      </c>
      <c r="E202" s="171">
        <f t="shared" si="50"/>
        <v>8971</v>
      </c>
      <c r="F202" s="496">
        <f>60907-55522</f>
        <v>5385</v>
      </c>
      <c r="G202" s="171">
        <f t="shared" si="51"/>
        <v>14356</v>
      </c>
      <c r="H202" s="172">
        <f t="shared" si="52"/>
        <v>2.2547719540671101E-3</v>
      </c>
      <c r="I202" s="337"/>
      <c r="J202" s="168"/>
      <c r="K202" s="168"/>
      <c r="M202" s="364">
        <f t="shared" si="53"/>
        <v>0.70231397681131058</v>
      </c>
      <c r="N202" s="359">
        <f>SUMMARY!J205</f>
        <v>0.5247184566232489</v>
      </c>
    </row>
    <row r="203" spans="1:14" s="167" customFormat="1">
      <c r="A203" s="169" t="s">
        <v>141</v>
      </c>
      <c r="B203" s="170" t="s">
        <v>70</v>
      </c>
      <c r="C203" s="490">
        <f>'[70]Sch C'!D214</f>
        <v>0</v>
      </c>
      <c r="D203" s="490">
        <f>'[70]Sch C'!F214</f>
        <v>0</v>
      </c>
      <c r="E203" s="171">
        <f t="shared" si="50"/>
        <v>0</v>
      </c>
      <c r="F203" s="171">
        <v>0</v>
      </c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>
        <f t="shared" si="53"/>
        <v>0</v>
      </c>
      <c r="N203" s="359">
        <f>SUMMARY!J206</f>
        <v>1.4027039130553507E-2</v>
      </c>
    </row>
    <row r="204" spans="1:14" s="167" customFormat="1">
      <c r="A204" s="169" t="s">
        <v>142</v>
      </c>
      <c r="B204" s="202" t="s">
        <v>71</v>
      </c>
      <c r="C204" s="490">
        <f>'[70]Sch C'!D215</f>
        <v>0</v>
      </c>
      <c r="D204" s="490">
        <f>'[70]Sch C'!F215</f>
        <v>0</v>
      </c>
      <c r="E204" s="171">
        <f t="shared" si="50"/>
        <v>0</v>
      </c>
      <c r="F204" s="171">
        <v>0</v>
      </c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</row>
    <row r="205" spans="1:14" s="167" customFormat="1">
      <c r="A205" s="169" t="s">
        <v>143</v>
      </c>
      <c r="B205" s="170" t="s">
        <v>312</v>
      </c>
      <c r="C205" s="490">
        <f>'[70]Sch C'!D216</f>
        <v>15595</v>
      </c>
      <c r="D205" s="490">
        <f>'[70]Sch C'!F216</f>
        <v>0</v>
      </c>
      <c r="E205" s="171">
        <f t="shared" si="50"/>
        <v>15595</v>
      </c>
      <c r="F205" s="171">
        <v>12636</v>
      </c>
      <c r="G205" s="171">
        <f t="shared" si="51"/>
        <v>28231</v>
      </c>
      <c r="H205" s="172">
        <f t="shared" si="52"/>
        <v>4.4339974251371263E-3</v>
      </c>
      <c r="I205" s="337"/>
      <c r="J205" s="168"/>
      <c r="K205" s="168"/>
      <c r="M205" s="364">
        <f t="shared" si="53"/>
        <v>1.3810968152243042</v>
      </c>
      <c r="N205" s="359">
        <f>SUMMARY!J208</f>
        <v>0.36483307391933595</v>
      </c>
    </row>
    <row r="206" spans="1:14" s="167" customFormat="1">
      <c r="A206" s="163"/>
      <c r="B206" s="170" t="s">
        <v>144</v>
      </c>
      <c r="C206" s="490">
        <f>SUM(C200:C205)</f>
        <v>98632</v>
      </c>
      <c r="D206" s="490">
        <f>SUM(D200:D205)</f>
        <v>0</v>
      </c>
      <c r="E206" s="171">
        <f t="shared" ref="E206:F206" si="54">SUM(E200:E205)</f>
        <v>98632</v>
      </c>
      <c r="F206" s="171">
        <f t="shared" si="54"/>
        <v>74009</v>
      </c>
      <c r="G206" s="171">
        <f>SUM(G200:G205)</f>
        <v>172641</v>
      </c>
      <c r="H206" s="172">
        <f t="shared" si="52"/>
        <v>2.7115219066738642E-2</v>
      </c>
      <c r="I206" s="337"/>
      <c r="J206" s="168"/>
      <c r="K206" s="168"/>
      <c r="M206" s="364">
        <f>G206/G$228</f>
        <v>8.4458196761410882</v>
      </c>
      <c r="N206" s="359">
        <f>SUMMARY!J209</f>
        <v>6.7083892503318125</v>
      </c>
    </row>
    <row r="207" spans="1:14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14" s="167" customFormat="1">
      <c r="A208" s="227"/>
      <c r="B208" s="228" t="s">
        <v>145</v>
      </c>
      <c r="C208" s="490">
        <f>SUM(C25:C206)/2</f>
        <v>3807480</v>
      </c>
      <c r="D208" s="490">
        <f>SUM(D25:D206)/2</f>
        <v>135829</v>
      </c>
      <c r="E208" s="171">
        <f t="shared" ref="E208:F208" si="55">SUM(E25:E206)/2</f>
        <v>3943309</v>
      </c>
      <c r="F208" s="171">
        <f t="shared" si="55"/>
        <v>2423632</v>
      </c>
      <c r="G208" s="171">
        <f>SUM(G25:G206)/2</f>
        <v>6366941</v>
      </c>
      <c r="H208" s="172">
        <f>IF($G$208=0,0,G208/$G$208)</f>
        <v>1</v>
      </c>
      <c r="I208" s="337"/>
      <c r="J208" s="183">
        <f>SUM(J25:J200)</f>
        <v>78163</v>
      </c>
      <c r="K208" s="183">
        <f>SUM(K25:K200)</f>
        <v>82224</v>
      </c>
      <c r="M208" s="364">
        <f>G208/G$228</f>
        <v>311.47893938652709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490">
        <f>'[70]Sch C'!D221</f>
        <v>3807480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490">
        <f>C208-C211</f>
        <v>0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619"/>
      <c r="D213" s="232"/>
      <c r="E213" s="232"/>
      <c r="F213" s="630" t="s">
        <v>607</v>
      </c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630" t="s">
        <v>608</v>
      </c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490">
        <f>C21-C208</f>
        <v>-750040</v>
      </c>
      <c r="D215" s="490">
        <f>D21-D208</f>
        <v>-135929</v>
      </c>
      <c r="E215" s="171">
        <f t="shared" ref="E215:F215" si="56">E21-E208</f>
        <v>-885969</v>
      </c>
      <c r="F215" s="171">
        <f t="shared" si="56"/>
        <v>282685</v>
      </c>
      <c r="G215" s="171">
        <f>G21-G208</f>
        <v>-603284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630" t="s">
        <v>607</v>
      </c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630" t="s">
        <v>608</v>
      </c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491">
        <f>'[70]Sch D'!C9</f>
        <v>7142</v>
      </c>
      <c r="D219" s="491"/>
      <c r="E219" s="235">
        <f t="shared" ref="E219:G227" si="57">C219+D219</f>
        <v>7142</v>
      </c>
      <c r="F219" s="234">
        <v>6010</v>
      </c>
      <c r="G219" s="235">
        <f t="shared" si="57"/>
        <v>13152</v>
      </c>
      <c r="H219" s="172">
        <f t="shared" ref="H219:H228" si="58">IF($G$228=0,0,G219/$G$228)</f>
        <v>0.6434127488870407</v>
      </c>
      <c r="I219" s="337"/>
      <c r="J219" s="168"/>
      <c r="K219" s="168"/>
    </row>
    <row r="220" spans="1:14">
      <c r="A220" s="163"/>
      <c r="B220" s="170" t="s">
        <v>217</v>
      </c>
      <c r="C220" s="491">
        <f>'[70]Sch D'!D9</f>
        <v>0</v>
      </c>
      <c r="D220" s="491"/>
      <c r="E220" s="235">
        <f t="shared" ref="E220:E227" si="59">C220+D220</f>
        <v>0</v>
      </c>
      <c r="F220" s="234">
        <v>0</v>
      </c>
      <c r="G220" s="235">
        <f t="shared" si="57"/>
        <v>0</v>
      </c>
      <c r="H220" s="172">
        <f t="shared" si="58"/>
        <v>0</v>
      </c>
      <c r="I220" s="337"/>
      <c r="J220" s="168"/>
      <c r="K220" s="168"/>
    </row>
    <row r="221" spans="1:14">
      <c r="A221" s="163"/>
      <c r="B221" s="170" t="s">
        <v>72</v>
      </c>
      <c r="C221" s="491">
        <f>'[70]Sch D'!E9</f>
        <v>1787</v>
      </c>
      <c r="D221" s="491"/>
      <c r="E221" s="235">
        <f t="shared" si="59"/>
        <v>1787</v>
      </c>
      <c r="F221" s="234">
        <v>1116</v>
      </c>
      <c r="G221" s="235">
        <f t="shared" si="57"/>
        <v>2903</v>
      </c>
      <c r="H221" s="172">
        <f t="shared" si="58"/>
        <v>0.14201849224597624</v>
      </c>
      <c r="I221" s="337"/>
      <c r="J221" s="168"/>
      <c r="K221" s="168"/>
    </row>
    <row r="222" spans="1:14">
      <c r="A222" s="163"/>
      <c r="B222" s="202" t="s">
        <v>334</v>
      </c>
      <c r="C222" s="491">
        <f>'[70]Sch D'!F9</f>
        <v>903</v>
      </c>
      <c r="D222" s="491"/>
      <c r="E222" s="235">
        <f>C222+D222</f>
        <v>903</v>
      </c>
      <c r="F222" s="234">
        <v>578</v>
      </c>
      <c r="G222" s="235">
        <f>E222+F222</f>
        <v>1481</v>
      </c>
      <c r="H222" s="172">
        <f t="shared" si="58"/>
        <v>7.245242404970402E-2</v>
      </c>
      <c r="I222" s="337"/>
      <c r="J222" s="168"/>
      <c r="K222" s="168"/>
    </row>
    <row r="223" spans="1:14">
      <c r="A223" s="163"/>
      <c r="B223" s="170" t="s">
        <v>73</v>
      </c>
      <c r="C223" s="491">
        <f>'[70]Sch D'!G9</f>
        <v>0</v>
      </c>
      <c r="D223" s="491"/>
      <c r="E223" s="235">
        <f t="shared" si="59"/>
        <v>0</v>
      </c>
      <c r="F223" s="234">
        <v>0</v>
      </c>
      <c r="G223" s="235">
        <f t="shared" si="57"/>
        <v>0</v>
      </c>
      <c r="H223" s="172">
        <f t="shared" si="58"/>
        <v>0</v>
      </c>
      <c r="I223" s="337"/>
      <c r="J223" s="168"/>
      <c r="K223" s="168"/>
    </row>
    <row r="224" spans="1:14">
      <c r="A224" s="163"/>
      <c r="B224" s="170" t="s">
        <v>74</v>
      </c>
      <c r="C224" s="491">
        <f>'[70]Sch D'!H9</f>
        <v>1346</v>
      </c>
      <c r="D224" s="491"/>
      <c r="E224" s="235">
        <f t="shared" si="59"/>
        <v>1346</v>
      </c>
      <c r="F224" s="234">
        <v>289</v>
      </c>
      <c r="G224" s="235">
        <f t="shared" si="57"/>
        <v>1635</v>
      </c>
      <c r="H224" s="172">
        <f t="shared" si="58"/>
        <v>7.9986302040017609E-2</v>
      </c>
      <c r="I224" s="337"/>
      <c r="J224" s="168"/>
      <c r="K224" s="168"/>
    </row>
    <row r="225" spans="1:11">
      <c r="A225" s="163"/>
      <c r="B225" s="170" t="s">
        <v>236</v>
      </c>
      <c r="C225" s="491">
        <f>'[70]Sch D'!I9</f>
        <v>783</v>
      </c>
      <c r="D225" s="491"/>
      <c r="E225" s="235">
        <f t="shared" si="59"/>
        <v>783</v>
      </c>
      <c r="F225" s="234">
        <v>437</v>
      </c>
      <c r="G225" s="235">
        <f t="shared" si="57"/>
        <v>1220</v>
      </c>
      <c r="H225" s="172">
        <f t="shared" si="58"/>
        <v>5.9683968494692041E-2</v>
      </c>
      <c r="I225" s="337"/>
      <c r="J225" s="168"/>
      <c r="K225" s="168"/>
    </row>
    <row r="226" spans="1:11">
      <c r="A226" s="163"/>
      <c r="B226" s="170" t="s">
        <v>235</v>
      </c>
      <c r="C226" s="491">
        <f>'[70]Sch D'!J9</f>
        <v>31</v>
      </c>
      <c r="D226" s="491"/>
      <c r="E226" s="235">
        <f>C226+D226</f>
        <v>31</v>
      </c>
      <c r="F226" s="234">
        <v>19</v>
      </c>
      <c r="G226" s="235">
        <f>E226+F226</f>
        <v>50</v>
      </c>
      <c r="H226" s="172">
        <f t="shared" si="58"/>
        <v>2.4460642825693459E-3</v>
      </c>
      <c r="I226" s="337"/>
      <c r="J226" s="168"/>
      <c r="K226" s="168"/>
    </row>
    <row r="227" spans="1:11">
      <c r="A227" s="163"/>
      <c r="B227" s="170" t="s">
        <v>179</v>
      </c>
      <c r="C227" s="491">
        <f>'[70]Sch D'!K9</f>
        <v>0</v>
      </c>
      <c r="D227" s="491"/>
      <c r="E227" s="235">
        <f t="shared" si="59"/>
        <v>0</v>
      </c>
      <c r="F227" s="234">
        <v>0</v>
      </c>
      <c r="G227" s="235">
        <f t="shared" si="57"/>
        <v>0</v>
      </c>
      <c r="H227" s="172">
        <f t="shared" si="58"/>
        <v>0</v>
      </c>
      <c r="I227" s="337"/>
      <c r="J227" s="168"/>
      <c r="K227" s="168"/>
    </row>
    <row r="228" spans="1:11" ht="13.5" thickBot="1">
      <c r="A228" s="163"/>
      <c r="B228" s="236" t="s">
        <v>75</v>
      </c>
      <c r="C228" s="491">
        <f>SUM(C219:C227)</f>
        <v>11992</v>
      </c>
      <c r="D228" s="491">
        <f>SUM(D219:D227)</f>
        <v>0</v>
      </c>
      <c r="E228" s="237">
        <f>SUM(E219:E227)</f>
        <v>11992</v>
      </c>
      <c r="F228" s="237">
        <f>SUM(F219:F227)</f>
        <v>8449</v>
      </c>
      <c r="G228" s="237">
        <f>SUM(G219:G227)</f>
        <v>20441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620"/>
      <c r="D229" s="239"/>
      <c r="E229" s="232"/>
      <c r="F229" s="630" t="s">
        <v>607</v>
      </c>
      <c r="G229" s="232"/>
      <c r="H229" s="167"/>
      <c r="J229" s="168"/>
      <c r="K229" s="168"/>
    </row>
    <row r="230" spans="1:11">
      <c r="A230" s="163"/>
      <c r="B230" s="233" t="s">
        <v>160</v>
      </c>
      <c r="C230" s="231"/>
      <c r="D230" s="232"/>
      <c r="E230" s="232"/>
      <c r="F230" s="630" t="s">
        <v>608</v>
      </c>
      <c r="G230" s="232"/>
      <c r="H230" s="167"/>
      <c r="J230" s="168"/>
      <c r="K230" s="168"/>
    </row>
    <row r="231" spans="1:11">
      <c r="A231" s="163"/>
      <c r="B231" s="202" t="s">
        <v>219</v>
      </c>
      <c r="C231" s="492">
        <v>100</v>
      </c>
      <c r="D231" s="526"/>
      <c r="E231" s="235">
        <f>C231+D231</f>
        <v>100</v>
      </c>
      <c r="F231" s="235">
        <v>100</v>
      </c>
      <c r="G231" s="235">
        <f>E231</f>
        <v>100</v>
      </c>
      <c r="H231" s="167"/>
      <c r="J231" s="168"/>
      <c r="K231" s="168"/>
    </row>
    <row r="232" spans="1:11">
      <c r="A232" s="163"/>
      <c r="B232" s="202" t="s">
        <v>290</v>
      </c>
      <c r="C232" s="492">
        <v>100</v>
      </c>
      <c r="D232" s="526"/>
      <c r="E232" s="235">
        <f>C232+D232</f>
        <v>100</v>
      </c>
      <c r="F232" s="235">
        <v>100</v>
      </c>
      <c r="G232" s="235">
        <f>E232</f>
        <v>100</v>
      </c>
      <c r="H232" s="167"/>
      <c r="J232" s="168"/>
      <c r="K232" s="168"/>
    </row>
    <row r="233" spans="1:11">
      <c r="A233" s="163"/>
      <c r="B233" s="202" t="s">
        <v>76</v>
      </c>
      <c r="C233" s="492">
        <v>215</v>
      </c>
      <c r="D233" s="489"/>
      <c r="E233" s="235">
        <f>C233+D233</f>
        <v>215</v>
      </c>
      <c r="F233" s="240">
        <v>150</v>
      </c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242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492">
        <v>21500</v>
      </c>
      <c r="D235" s="489"/>
      <c r="E235" s="234">
        <f>E231*E233</f>
        <v>21500</v>
      </c>
      <c r="F235" s="240">
        <v>15000</v>
      </c>
      <c r="G235" s="234">
        <f>G231*G233</f>
        <v>36500</v>
      </c>
      <c r="H235" s="167"/>
      <c r="J235" s="168"/>
      <c r="K235" s="168"/>
    </row>
    <row r="236" spans="1:11" ht="26">
      <c r="A236" s="163"/>
      <c r="B236" s="244" t="s">
        <v>336</v>
      </c>
      <c r="C236" s="493">
        <v>0.55776744186046512</v>
      </c>
      <c r="D236" s="240"/>
      <c r="E236" s="245">
        <f>E228/E235</f>
        <v>0.55776744186046512</v>
      </c>
      <c r="F236" s="246">
        <v>0.56326666666666669</v>
      </c>
      <c r="G236" s="245">
        <f>G228/G235</f>
        <v>0.56002739726027395</v>
      </c>
      <c r="H236" s="167"/>
      <c r="J236" s="168"/>
      <c r="K236" s="168"/>
    </row>
    <row r="237" spans="1:11" ht="26">
      <c r="A237" s="163"/>
      <c r="B237" s="244" t="s">
        <v>337</v>
      </c>
      <c r="C237" s="493">
        <v>0.33218604651162792</v>
      </c>
      <c r="D237" s="240"/>
      <c r="E237" s="245">
        <f>(E219+E220)/E235</f>
        <v>0.33218604651162792</v>
      </c>
      <c r="F237" s="246">
        <v>0.40066666666666667</v>
      </c>
      <c r="G237" s="245">
        <f>(G219+G220)/G235</f>
        <v>0.36032876712328765</v>
      </c>
      <c r="H237" s="167"/>
      <c r="J237" s="168"/>
      <c r="K237" s="168"/>
    </row>
    <row r="238" spans="1:11" ht="26">
      <c r="A238" s="163"/>
      <c r="B238" s="244" t="s">
        <v>338</v>
      </c>
      <c r="C238" s="493">
        <v>0.59556370913942636</v>
      </c>
      <c r="D238" s="240"/>
      <c r="E238" s="245">
        <f>(E237/E236)</f>
        <v>0.59556370913942636</v>
      </c>
      <c r="F238" s="246">
        <v>0.71132678423482065</v>
      </c>
      <c r="G238" s="245">
        <f>(G237/G236)</f>
        <v>0.6434127488870407</v>
      </c>
      <c r="H238" s="167"/>
      <c r="J238" s="168"/>
      <c r="K238" s="168"/>
    </row>
    <row r="241" spans="2:8">
      <c r="B241" s="148" t="s">
        <v>339</v>
      </c>
      <c r="F241" s="142" t="s">
        <v>340</v>
      </c>
      <c r="G241" s="490">
        <v>225.49182115594328</v>
      </c>
    </row>
    <row r="242" spans="2:8">
      <c r="F242" s="142" t="s">
        <v>341</v>
      </c>
      <c r="G242" s="490">
        <v>213.42666666666668</v>
      </c>
    </row>
    <row r="243" spans="2:8">
      <c r="F243" s="142" t="s">
        <v>342</v>
      </c>
      <c r="G243" s="490">
        <f>(282.635658914729+229*2)/3</f>
        <v>246.87855297157634</v>
      </c>
      <c r="H243" s="140" t="s">
        <v>609</v>
      </c>
    </row>
    <row r="244" spans="2:8">
      <c r="F244" s="142" t="s">
        <v>343</v>
      </c>
      <c r="G244" s="573">
        <f>'[71]Sch B'!I85</f>
        <v>214.66467065868264</v>
      </c>
    </row>
    <row r="245" spans="2:8">
      <c r="F245" s="142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" right="0" top="0.75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57" fitToHeight="4" orientation="landscape" horizontalDpi="300" verticalDpi="300" r:id="rId3"/>
  <headerFooter alignWithMargins="0">
    <oddFooter>&amp;R&amp;D
&amp;T
&amp;F</oddFooter>
  </headerFooter>
  <ignoredErrors>
    <ignoredError sqref="F197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E28CAB"/>
  </sheetPr>
  <dimension ref="A1:Q245"/>
  <sheetViews>
    <sheetView showGridLines="0" zoomScale="90" zoomScaleNormal="90" workbookViewId="0">
      <selection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478"/>
      <c r="E1" s="478"/>
      <c r="F1" s="478"/>
      <c r="G1" s="478"/>
      <c r="H1" s="478"/>
      <c r="I1" s="479"/>
    </row>
    <row r="2" spans="1:14" ht="23">
      <c r="B2" s="143" t="s">
        <v>189</v>
      </c>
      <c r="C2" s="247" t="s">
        <v>456</v>
      </c>
      <c r="D2" s="247"/>
      <c r="E2" s="144"/>
      <c r="F2" s="257" t="s">
        <v>668</v>
      </c>
    </row>
    <row r="3" spans="1:14" ht="15.5">
      <c r="A3" s="145"/>
      <c r="B3" s="140" t="s">
        <v>79</v>
      </c>
      <c r="C3" s="495">
        <v>41821</v>
      </c>
      <c r="D3" s="144"/>
      <c r="E3" s="147"/>
      <c r="F3" t="s">
        <v>664</v>
      </c>
    </row>
    <row r="4" spans="1:14" ht="15.5">
      <c r="A4" s="145"/>
      <c r="B4" s="148" t="s">
        <v>80</v>
      </c>
      <c r="C4" s="495">
        <v>42185</v>
      </c>
      <c r="D4" s="144"/>
      <c r="E4" s="149"/>
      <c r="F4" t="s">
        <v>665</v>
      </c>
      <c r="G4" s="150"/>
    </row>
    <row r="5" spans="1:14" ht="15.5">
      <c r="A5" s="145"/>
      <c r="B5" s="148"/>
      <c r="C5" s="151"/>
      <c r="D5" s="144"/>
      <c r="F5" t="s">
        <v>666</v>
      </c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 ht="15.5">
      <c r="A9" s="145"/>
      <c r="C9" s="151"/>
      <c r="D9" s="144"/>
      <c r="F9"/>
      <c r="G9" s="400"/>
    </row>
    <row r="10" spans="1:14" s="167" customFormat="1" ht="16" thickBot="1">
      <c r="A10" s="163" t="s">
        <v>245</v>
      </c>
      <c r="B10" s="164" t="s">
        <v>246</v>
      </c>
      <c r="C10" s="165"/>
      <c r="D10" s="165"/>
      <c r="E10" s="165"/>
      <c r="F10"/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490">
        <f>'[7]Sch B'!E10</f>
        <v>2100892</v>
      </c>
      <c r="D11" s="490">
        <f>'[7]Sch B'!G10</f>
        <v>0</v>
      </c>
      <c r="E11" s="171">
        <f>C11+D11</f>
        <v>2100892</v>
      </c>
      <c r="F11" s="171"/>
      <c r="G11" s="171">
        <f t="shared" ref="G11:G20" si="0">E11+F11</f>
        <v>2100892</v>
      </c>
      <c r="H11" s="172">
        <f t="shared" ref="H11:H21" si="1">IF($G$21=0,0,G11/$G$21)</f>
        <v>0.48322006250672772</v>
      </c>
      <c r="I11" s="337"/>
      <c r="J11" s="368" t="s">
        <v>344</v>
      </c>
      <c r="K11" s="369">
        <f>G21</f>
        <v>4347692</v>
      </c>
      <c r="M11" s="359">
        <f>IFERROR(G11/G219,0)</f>
        <v>170.72094913050543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490">
        <f>'[7]Sch B'!E15</f>
        <v>0</v>
      </c>
      <c r="D12" s="490">
        <f>'[7]Sch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7"/>
      <c r="J12" s="370" t="s">
        <v>345</v>
      </c>
      <c r="K12" s="371">
        <f>G208</f>
        <v>4418379.0600000005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490">
        <f>'[7]Sch B'!E21</f>
        <v>749968</v>
      </c>
      <c r="D13" s="490">
        <f>'[7]Sch B'!G21</f>
        <v>0</v>
      </c>
      <c r="E13" s="171">
        <f t="shared" si="2"/>
        <v>749968</v>
      </c>
      <c r="F13" s="171"/>
      <c r="G13" s="171">
        <f t="shared" si="0"/>
        <v>749968</v>
      </c>
      <c r="H13" s="172">
        <f t="shared" si="1"/>
        <v>0.17249795983708138</v>
      </c>
      <c r="I13" s="337"/>
      <c r="J13" s="370" t="s">
        <v>346</v>
      </c>
      <c r="K13" s="371">
        <f>G228</f>
        <v>19277</v>
      </c>
      <c r="M13" s="359">
        <f t="shared" si="3"/>
        <v>510.18231292517009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490">
        <f>'[7]Sch B'!E27</f>
        <v>562178</v>
      </c>
      <c r="D14" s="490">
        <f>'[7]Sch B'!G27</f>
        <v>0</v>
      </c>
      <c r="E14" s="171">
        <f t="shared" si="2"/>
        <v>562178</v>
      </c>
      <c r="F14" s="175"/>
      <c r="G14" s="175">
        <f>E14+F14</f>
        <v>562178</v>
      </c>
      <c r="H14" s="176">
        <f t="shared" si="1"/>
        <v>0.12930492776397223</v>
      </c>
      <c r="I14" s="338"/>
      <c r="J14" s="370" t="s">
        <v>347</v>
      </c>
      <c r="K14" s="371">
        <f>G231</f>
        <v>61</v>
      </c>
      <c r="M14" s="359">
        <f t="shared" si="3"/>
        <v>373.29216467463482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490">
        <f>'[7]Sch B'!E32</f>
        <v>0</v>
      </c>
      <c r="D15" s="490">
        <f>'[7]Sch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7"/>
      <c r="J15" s="370" t="s">
        <v>348</v>
      </c>
      <c r="K15" s="371">
        <f>G235</f>
        <v>22265</v>
      </c>
      <c r="M15" s="359">
        <f t="shared" si="3"/>
        <v>0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490">
        <f>'[7]Sch B'!E37</f>
        <v>257106</v>
      </c>
      <c r="D16" s="490">
        <f>'[7]Sch B'!G37</f>
        <v>0</v>
      </c>
      <c r="E16" s="171">
        <f t="shared" si="2"/>
        <v>257106</v>
      </c>
      <c r="F16" s="171"/>
      <c r="G16" s="171">
        <f t="shared" si="0"/>
        <v>257106</v>
      </c>
      <c r="H16" s="172">
        <f t="shared" si="1"/>
        <v>5.9136203760523975E-2</v>
      </c>
      <c r="I16" s="337"/>
      <c r="J16" s="372"/>
      <c r="K16" s="371"/>
      <c r="M16" s="359">
        <f t="shared" si="3"/>
        <v>369.40517241379308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490">
        <f>'[7]Sch B'!E42</f>
        <v>0</v>
      </c>
      <c r="D17" s="490">
        <f>'[7]Sch B'!G42</f>
        <v>60858</v>
      </c>
      <c r="E17" s="171">
        <f t="shared" si="2"/>
        <v>60858</v>
      </c>
      <c r="F17" s="171"/>
      <c r="G17" s="171">
        <f>E17+F17</f>
        <v>60858</v>
      </c>
      <c r="H17" s="172">
        <f t="shared" si="1"/>
        <v>1.3997771691278959E-2</v>
      </c>
      <c r="I17" s="337"/>
      <c r="J17" s="370" t="s">
        <v>156</v>
      </c>
      <c r="K17" s="371">
        <f>J208</f>
        <v>107991</v>
      </c>
      <c r="M17" s="359">
        <f t="shared" si="3"/>
        <v>196.95145631067962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490">
        <f>'[7]Sch B'!E47</f>
        <v>545156</v>
      </c>
      <c r="D18" s="490">
        <f>'[7]Sch B'!G47</f>
        <v>-60858</v>
      </c>
      <c r="E18" s="171">
        <f t="shared" si="2"/>
        <v>484298</v>
      </c>
      <c r="F18" s="171"/>
      <c r="G18" s="171">
        <f>E18+F18</f>
        <v>484298</v>
      </c>
      <c r="H18" s="172">
        <f t="shared" si="1"/>
        <v>0.11139197532851913</v>
      </c>
      <c r="I18" s="337"/>
      <c r="J18" s="373" t="s">
        <v>252</v>
      </c>
      <c r="K18" s="374">
        <f>K208</f>
        <v>114736</v>
      </c>
      <c r="M18" s="359">
        <f t="shared" si="3"/>
        <v>162.9535666218035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490">
        <f>'[7]Sch B'!E52</f>
        <v>4050</v>
      </c>
      <c r="D19" s="490">
        <f>'[7]Sch B'!G52</f>
        <v>0</v>
      </c>
      <c r="E19" s="171">
        <f t="shared" si="2"/>
        <v>4050</v>
      </c>
      <c r="F19" s="171"/>
      <c r="G19" s="171">
        <f t="shared" si="0"/>
        <v>4050</v>
      </c>
      <c r="H19" s="172">
        <f t="shared" si="1"/>
        <v>9.315287283459822E-4</v>
      </c>
      <c r="I19" s="337"/>
      <c r="J19" s="168"/>
      <c r="K19" s="168"/>
      <c r="M19" s="359">
        <f t="shared" si="3"/>
        <v>225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490">
        <f>'[7]Sch B'!E67</f>
        <v>70658</v>
      </c>
      <c r="D20" s="490">
        <f>'[7]Sch B'!G67</f>
        <v>57684</v>
      </c>
      <c r="E20" s="171">
        <f t="shared" si="2"/>
        <v>128342</v>
      </c>
      <c r="F20" s="171"/>
      <c r="G20" s="171">
        <f t="shared" si="0"/>
        <v>128342</v>
      </c>
      <c r="H20" s="172">
        <f t="shared" si="1"/>
        <v>2.9519570383550627E-2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490">
        <f>SUM(C11:C20)</f>
        <v>4290008</v>
      </c>
      <c r="D21" s="490">
        <f>SUM(D11:D20)</f>
        <v>57684</v>
      </c>
      <c r="E21" s="171">
        <f>SUM(E11:E20)</f>
        <v>4347692</v>
      </c>
      <c r="F21" s="171">
        <f>SUM(F11:F20)</f>
        <v>0</v>
      </c>
      <c r="G21" s="171">
        <f>SUM(G11:G20)</f>
        <v>4347692</v>
      </c>
      <c r="H21" s="172">
        <f t="shared" si="1"/>
        <v>1</v>
      </c>
      <c r="I21" s="337"/>
      <c r="J21" s="168"/>
      <c r="K21" s="168"/>
      <c r="M21" s="359">
        <f>IFERROR(G21/G228,0)</f>
        <v>225.53779115007521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4">
      <c r="A24" s="181" t="s">
        <v>161</v>
      </c>
      <c r="B24" s="148" t="s">
        <v>12</v>
      </c>
      <c r="F24" s="140" t="s">
        <v>667</v>
      </c>
      <c r="M24" s="363"/>
      <c r="N24" s="363"/>
    </row>
    <row r="25" spans="1:14" s="167" customFormat="1">
      <c r="A25" s="169" t="s">
        <v>83</v>
      </c>
      <c r="B25" s="170" t="s">
        <v>14</v>
      </c>
      <c r="C25" s="490">
        <f>'[7]Sch C'!D10</f>
        <v>0</v>
      </c>
      <c r="D25" s="490">
        <f>'[7]Sch C'!F10</f>
        <v>91020</v>
      </c>
      <c r="E25" s="171">
        <f t="shared" ref="E25:E60" si="4">C25+D25</f>
        <v>91020</v>
      </c>
      <c r="F25" s="171">
        <v>11911</v>
      </c>
      <c r="G25" s="182">
        <f>E25+F25</f>
        <v>102931</v>
      </c>
      <c r="H25" s="172">
        <f>IF($G$208=0,0,G25/$G$208)</f>
        <v>2.3296099905018106E-2</v>
      </c>
      <c r="I25" s="337"/>
      <c r="J25" s="183">
        <v>2080</v>
      </c>
      <c r="K25" s="183">
        <v>2123</v>
      </c>
      <c r="M25" s="359">
        <f>G25/G$228</f>
        <v>5.3395756601130877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490">
        <f>'[7]Sch C'!D11</f>
        <v>0</v>
      </c>
      <c r="D26" s="490">
        <f>'[7]Sch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490">
        <f>'[7]Sch C'!D12</f>
        <v>43344</v>
      </c>
      <c r="D27" s="490">
        <f>'[7]Sch C'!F12</f>
        <v>0</v>
      </c>
      <c r="E27" s="171">
        <f t="shared" si="4"/>
        <v>43344</v>
      </c>
      <c r="F27" s="171"/>
      <c r="G27" s="171">
        <f t="shared" si="5"/>
        <v>43344</v>
      </c>
      <c r="H27" s="172">
        <f t="shared" si="6"/>
        <v>9.8099324234983114E-3</v>
      </c>
      <c r="I27" s="337"/>
      <c r="J27" s="185">
        <v>2111</v>
      </c>
      <c r="K27" s="185">
        <v>2264</v>
      </c>
      <c r="M27" s="359">
        <f t="shared" si="7"/>
        <v>2.2484826477148934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490">
        <f>'[7]Sch C'!D13</f>
        <v>30716</v>
      </c>
      <c r="D28" s="490">
        <f>'[7]Sch C'!F13</f>
        <v>17996</v>
      </c>
      <c r="E28" s="171">
        <f t="shared" si="4"/>
        <v>48712</v>
      </c>
      <c r="F28" s="171"/>
      <c r="G28" s="171">
        <f t="shared" si="5"/>
        <v>48712</v>
      </c>
      <c r="H28" s="172">
        <f t="shared" si="6"/>
        <v>1.1024857609206575E-2</v>
      </c>
      <c r="I28" s="337"/>
      <c r="J28" s="168"/>
      <c r="K28" s="168"/>
      <c r="M28" s="359">
        <f t="shared" si="7"/>
        <v>2.526949214089329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490">
        <f>'[7]Sch C'!D14</f>
        <v>0</v>
      </c>
      <c r="D29" s="490">
        <f>'[7]Sch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490">
        <f>'[7]Sch C'!D15</f>
        <v>0</v>
      </c>
      <c r="D30" s="490">
        <f>'[7]Sch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7"/>
      <c r="J30" s="168"/>
      <c r="K30" s="168"/>
      <c r="M30" s="359">
        <f t="shared" si="7"/>
        <v>0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490">
        <f>'[7]Sch C'!D16</f>
        <v>230350</v>
      </c>
      <c r="D31" s="490">
        <f>'[7]Sch C'!F16</f>
        <v>-1326</v>
      </c>
      <c r="E31" s="171">
        <f t="shared" si="4"/>
        <v>229024</v>
      </c>
      <c r="F31" s="171"/>
      <c r="G31" s="171">
        <f t="shared" si="5"/>
        <v>229024</v>
      </c>
      <c r="H31" s="172">
        <f t="shared" si="6"/>
        <v>5.1834393765210353E-2</v>
      </c>
      <c r="I31" s="337"/>
      <c r="J31" s="168"/>
      <c r="K31" s="168"/>
      <c r="M31" s="359">
        <f t="shared" si="7"/>
        <v>11.880686828863412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490">
        <f>'[7]Sch C'!D17</f>
        <v>10452</v>
      </c>
      <c r="D32" s="490">
        <f>'[7]Sch C'!F17</f>
        <v>0</v>
      </c>
      <c r="E32" s="171">
        <f t="shared" si="4"/>
        <v>10452</v>
      </c>
      <c r="F32" s="171"/>
      <c r="G32" s="171">
        <f t="shared" si="5"/>
        <v>10452</v>
      </c>
      <c r="H32" s="172">
        <f t="shared" si="6"/>
        <v>2.3655734055556561E-3</v>
      </c>
      <c r="I32" s="337"/>
      <c r="J32" s="168"/>
      <c r="K32" s="168"/>
      <c r="M32" s="359">
        <f t="shared" si="7"/>
        <v>0.54220054987809307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490">
        <f>'[7]Sch C'!D18</f>
        <v>16619</v>
      </c>
      <c r="D33" s="490">
        <f>'[7]Sch C'!F18</f>
        <v>0</v>
      </c>
      <c r="E33" s="171">
        <f t="shared" si="4"/>
        <v>16619</v>
      </c>
      <c r="F33" s="171"/>
      <c r="G33" s="171">
        <f t="shared" si="5"/>
        <v>16619</v>
      </c>
      <c r="H33" s="172">
        <f t="shared" si="6"/>
        <v>3.7613341395837589E-3</v>
      </c>
      <c r="I33" s="337"/>
      <c r="J33" s="168"/>
      <c r="K33" s="168"/>
      <c r="M33" s="359">
        <f t="shared" si="7"/>
        <v>0.8621154743995435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490">
        <f>'[7]Sch C'!D19</f>
        <v>20034</v>
      </c>
      <c r="D34" s="490">
        <f>'[7]Sch C'!F19</f>
        <v>0</v>
      </c>
      <c r="E34" s="171">
        <f t="shared" si="4"/>
        <v>20034</v>
      </c>
      <c r="F34" s="171"/>
      <c r="G34" s="171">
        <f t="shared" si="5"/>
        <v>20034</v>
      </c>
      <c r="H34" s="172">
        <f t="shared" si="6"/>
        <v>4.534242021326255E-3</v>
      </c>
      <c r="I34" s="337"/>
      <c r="J34" s="168"/>
      <c r="K34" s="168"/>
      <c r="M34" s="359">
        <f t="shared" si="7"/>
        <v>1.0392695958914768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490">
        <f>'[7]Sch C'!D20</f>
        <v>10771</v>
      </c>
      <c r="D35" s="490">
        <f>'[7]Sch C'!F20</f>
        <v>0</v>
      </c>
      <c r="E35" s="171">
        <f t="shared" si="4"/>
        <v>10771</v>
      </c>
      <c r="F35" s="171"/>
      <c r="G35" s="171">
        <f t="shared" si="5"/>
        <v>10771</v>
      </c>
      <c r="H35" s="172">
        <f t="shared" si="6"/>
        <v>2.437771828476844E-3</v>
      </c>
      <c r="I35" s="337"/>
      <c r="J35" s="168"/>
      <c r="K35" s="168"/>
      <c r="M35" s="359">
        <f t="shared" si="7"/>
        <v>0.55874876796181983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490">
        <f>'[7]Sch C'!D21</f>
        <v>20044</v>
      </c>
      <c r="D36" s="490">
        <f>'[7]Sch C'!F21</f>
        <v>0</v>
      </c>
      <c r="E36" s="171">
        <f t="shared" si="4"/>
        <v>20044</v>
      </c>
      <c r="F36" s="171"/>
      <c r="G36" s="171">
        <f t="shared" si="5"/>
        <v>20044</v>
      </c>
      <c r="H36" s="172">
        <f t="shared" si="6"/>
        <v>4.5365052947720598E-3</v>
      </c>
      <c r="I36" s="337"/>
      <c r="J36" s="168"/>
      <c r="K36" s="168"/>
      <c r="M36" s="359">
        <f t="shared" si="7"/>
        <v>1.0397883488094621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490">
        <f>'[7]Sch C'!D22</f>
        <v>0</v>
      </c>
      <c r="D37" s="490">
        <f>'[7]Sch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490">
        <f>'[7]Sch C'!D23</f>
        <v>15618</v>
      </c>
      <c r="D38" s="490">
        <f>'[7]Sch C'!F23</f>
        <v>0</v>
      </c>
      <c r="E38" s="171">
        <f t="shared" si="4"/>
        <v>15618</v>
      </c>
      <c r="F38" s="171"/>
      <c r="G38" s="171">
        <f t="shared" si="5"/>
        <v>15618</v>
      </c>
      <c r="H38" s="172">
        <f t="shared" si="6"/>
        <v>3.5347804676586526E-3</v>
      </c>
      <c r="I38" s="337"/>
      <c r="J38" s="168"/>
      <c r="K38" s="168"/>
      <c r="M38" s="359">
        <f t="shared" si="7"/>
        <v>0.81018830730922864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490">
        <f>'[7]Sch C'!D24</f>
        <v>0</v>
      </c>
      <c r="D39" s="490">
        <f>'[7]Sch C'!F24</f>
        <v>0</v>
      </c>
      <c r="E39" s="171">
        <f t="shared" si="4"/>
        <v>0</v>
      </c>
      <c r="F39" s="171"/>
      <c r="G39" s="171">
        <f t="shared" si="5"/>
        <v>0</v>
      </c>
      <c r="H39" s="172">
        <f t="shared" si="6"/>
        <v>0</v>
      </c>
      <c r="I39" s="337"/>
      <c r="J39" s="168"/>
      <c r="K39" s="168"/>
      <c r="M39" s="359">
        <f t="shared" si="7"/>
        <v>0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490">
        <f>'[7]Sch C'!D25</f>
        <v>965</v>
      </c>
      <c r="D40" s="490">
        <f>'[7]Sch C'!F25</f>
        <v>0</v>
      </c>
      <c r="E40" s="171">
        <f t="shared" si="4"/>
        <v>965</v>
      </c>
      <c r="F40" s="171"/>
      <c r="G40" s="171">
        <f t="shared" si="5"/>
        <v>965</v>
      </c>
      <c r="H40" s="172">
        <f t="shared" si="6"/>
        <v>2.1840588752020744E-4</v>
      </c>
      <c r="I40" s="337"/>
      <c r="J40" s="168"/>
      <c r="K40" s="168"/>
      <c r="M40" s="359">
        <f t="shared" si="7"/>
        <v>5.0059656585568296E-2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490">
        <f>'[7]Sch C'!D26</f>
        <v>247909</v>
      </c>
      <c r="D41" s="490">
        <f>'[7]Sch C'!F26</f>
        <v>0</v>
      </c>
      <c r="E41" s="171">
        <f t="shared" si="4"/>
        <v>247909</v>
      </c>
      <c r="F41" s="171"/>
      <c r="G41" s="171">
        <f t="shared" si="5"/>
        <v>247909</v>
      </c>
      <c r="H41" s="172">
        <f t="shared" si="6"/>
        <v>5.6108585667613585E-2</v>
      </c>
      <c r="I41" s="337"/>
      <c r="J41" s="168"/>
      <c r="K41" s="168"/>
      <c r="M41" s="359">
        <f t="shared" si="7"/>
        <v>12.860351714478394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490">
        <f>'[7]Sch C'!D27</f>
        <v>0</v>
      </c>
      <c r="D42" s="490">
        <f>'[7]Sch C'!F27</f>
        <v>57684</v>
      </c>
      <c r="E42" s="171">
        <f t="shared" si="4"/>
        <v>57684</v>
      </c>
      <c r="F42" s="171"/>
      <c r="G42" s="171">
        <f t="shared" si="5"/>
        <v>57684</v>
      </c>
      <c r="H42" s="172">
        <f t="shared" si="6"/>
        <v>1.3055466544783054E-2</v>
      </c>
      <c r="I42" s="337"/>
      <c r="J42" s="168"/>
      <c r="K42" s="168"/>
      <c r="M42" s="359">
        <f t="shared" si="7"/>
        <v>2.992374332105618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490">
        <f>'[7]Sch C'!D28</f>
        <v>0</v>
      </c>
      <c r="D43" s="490">
        <f>'[7]Sch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490">
        <f>'[7]Sch C'!D29</f>
        <v>126058</v>
      </c>
      <c r="D44" s="490">
        <f>'[7]Sch C'!F29</f>
        <v>-126058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490">
        <f>'[7]Sch C'!D30</f>
        <v>0</v>
      </c>
      <c r="D45" s="490">
        <f>'[7]Sch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490">
        <f>'[7]Sch C'!D31</f>
        <v>205</v>
      </c>
      <c r="D46" s="490">
        <f>'[7]Sch C'!F31</f>
        <v>0</v>
      </c>
      <c r="E46" s="171">
        <f t="shared" si="4"/>
        <v>205</v>
      </c>
      <c r="F46" s="171"/>
      <c r="G46" s="171">
        <f t="shared" si="5"/>
        <v>205</v>
      </c>
      <c r="H46" s="172">
        <f t="shared" si="6"/>
        <v>4.6397105639007798E-5</v>
      </c>
      <c r="I46" s="337"/>
      <c r="J46" s="168"/>
      <c r="K46" s="168"/>
      <c r="M46" s="359">
        <f t="shared" si="7"/>
        <v>1.0634434818695856E-2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490">
        <f>'[7]Sch C'!D32</f>
        <v>600</v>
      </c>
      <c r="D47" s="490">
        <f>'[7]Sch C'!F32</f>
        <v>10562</v>
      </c>
      <c r="E47" s="171">
        <f t="shared" si="4"/>
        <v>11162</v>
      </c>
      <c r="F47" s="171"/>
      <c r="G47" s="171">
        <f t="shared" si="5"/>
        <v>11162</v>
      </c>
      <c r="H47" s="172">
        <f t="shared" si="6"/>
        <v>2.5262658202078294E-3</v>
      </c>
      <c r="I47" s="337"/>
      <c r="J47" s="168"/>
      <c r="K47" s="168"/>
      <c r="M47" s="359">
        <f t="shared" si="7"/>
        <v>0.57903200705503965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490">
        <f>'[7]Sch C'!D33</f>
        <v>117</v>
      </c>
      <c r="D48" s="490">
        <f>'[7]Sch C'!F33</f>
        <v>-117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490">
        <f>'[7]Sch C'!D34</f>
        <v>0</v>
      </c>
      <c r="D49" s="490">
        <f>'[7]Sch C'!F34</f>
        <v>0</v>
      </c>
      <c r="E49" s="171">
        <f t="shared" si="4"/>
        <v>0</v>
      </c>
      <c r="F49" s="171"/>
      <c r="G49" s="171">
        <f t="shared" si="5"/>
        <v>0</v>
      </c>
      <c r="H49" s="172">
        <f t="shared" si="6"/>
        <v>0</v>
      </c>
      <c r="I49" s="337"/>
      <c r="J49" s="168"/>
      <c r="K49" s="168"/>
      <c r="M49" s="359">
        <f t="shared" si="7"/>
        <v>0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490">
        <f>'[7]Sch C'!D35</f>
        <v>849</v>
      </c>
      <c r="D50" s="490">
        <f>'[7]Sch C'!F35</f>
        <v>-849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490">
        <f>'[7]Sch C'!D36</f>
        <v>0</v>
      </c>
      <c r="D51" s="490">
        <f>'[7]Sch C'!F36</f>
        <v>0</v>
      </c>
      <c r="E51" s="171">
        <f t="shared" si="4"/>
        <v>0</v>
      </c>
      <c r="F51" s="171"/>
      <c r="G51" s="171">
        <f t="shared" si="5"/>
        <v>0</v>
      </c>
      <c r="H51" s="172">
        <f t="shared" si="6"/>
        <v>0</v>
      </c>
      <c r="I51" s="337"/>
      <c r="J51" s="183">
        <v>0</v>
      </c>
      <c r="K51" s="183">
        <v>0</v>
      </c>
      <c r="M51" s="359">
        <f t="shared" si="7"/>
        <v>0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490">
        <f>'[7]Sch C'!D37</f>
        <v>0</v>
      </c>
      <c r="D52" s="490">
        <f>'[7]Sch C'!F37</f>
        <v>0</v>
      </c>
      <c r="E52" s="171">
        <f t="shared" si="4"/>
        <v>0</v>
      </c>
      <c r="F52" s="171"/>
      <c r="G52" s="171">
        <f t="shared" si="5"/>
        <v>0</v>
      </c>
      <c r="H52" s="172">
        <f t="shared" si="6"/>
        <v>0</v>
      </c>
      <c r="I52" s="337"/>
      <c r="J52" s="168"/>
      <c r="K52" s="168"/>
      <c r="M52" s="359">
        <f t="shared" si="7"/>
        <v>0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490">
        <f>'[7]Sch C'!D38</f>
        <v>0</v>
      </c>
      <c r="D53" s="490">
        <f>'[7]Sch C'!F38</f>
        <v>0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7"/>
      <c r="J53" s="168"/>
      <c r="K53" s="168"/>
      <c r="M53" s="359">
        <f t="shared" si="7"/>
        <v>0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490">
        <f>'[7]Sch C'!D39</f>
        <v>6125</v>
      </c>
      <c r="D54" s="490">
        <f>'[7]Sch C'!F39</f>
        <v>0</v>
      </c>
      <c r="E54" s="171">
        <f t="shared" si="4"/>
        <v>6125</v>
      </c>
      <c r="F54" s="171"/>
      <c r="G54" s="171">
        <f t="shared" si="5"/>
        <v>6125</v>
      </c>
      <c r="H54" s="172">
        <f t="shared" si="6"/>
        <v>1.3862549855557208E-3</v>
      </c>
      <c r="I54" s="337"/>
      <c r="J54" s="168"/>
      <c r="K54" s="168"/>
      <c r="M54" s="359">
        <f t="shared" si="7"/>
        <v>0.31773616226591272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490">
        <f>'[7]Sch C'!D40</f>
        <v>21823</v>
      </c>
      <c r="D55" s="490">
        <f>'[7]Sch C'!F40</f>
        <v>0</v>
      </c>
      <c r="E55" s="171">
        <f t="shared" si="4"/>
        <v>21823</v>
      </c>
      <c r="F55" s="171"/>
      <c r="G55" s="171">
        <f t="shared" si="5"/>
        <v>21823</v>
      </c>
      <c r="H55" s="172">
        <f t="shared" si="6"/>
        <v>4.9391416407808158E-3</v>
      </c>
      <c r="I55" s="337"/>
      <c r="J55" s="168"/>
      <c r="K55" s="168"/>
      <c r="M55" s="359">
        <f t="shared" si="7"/>
        <v>1.1320744929190227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490">
        <f>'[7]Sch C'!D41</f>
        <v>43729</v>
      </c>
      <c r="D56" s="490">
        <f>'[7]Sch C'!F41</f>
        <v>-5923</v>
      </c>
      <c r="E56" s="171">
        <f t="shared" si="4"/>
        <v>37806</v>
      </c>
      <c r="F56" s="171"/>
      <c r="G56" s="171">
        <f t="shared" si="5"/>
        <v>37806</v>
      </c>
      <c r="H56" s="172">
        <f t="shared" si="6"/>
        <v>8.5565315892113594E-3</v>
      </c>
      <c r="I56" s="337"/>
      <c r="J56" s="168"/>
      <c r="K56" s="168"/>
      <c r="M56" s="359">
        <f t="shared" si="7"/>
        <v>1.9611972817347099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490">
        <f>'[7]Sch C'!D42</f>
        <v>1062</v>
      </c>
      <c r="D57" s="490">
        <f>'[7]Sch C'!F42</f>
        <v>0</v>
      </c>
      <c r="E57" s="171">
        <f t="shared" si="4"/>
        <v>1062</v>
      </c>
      <c r="F57" s="171"/>
      <c r="G57" s="171">
        <f t="shared" si="5"/>
        <v>1062</v>
      </c>
      <c r="H57" s="172">
        <f t="shared" si="6"/>
        <v>2.4035963994451846E-4</v>
      </c>
      <c r="I57" s="337"/>
      <c r="J57" s="168"/>
      <c r="K57" s="168"/>
      <c r="M57" s="359">
        <f t="shared" si="7"/>
        <v>5.5091559890024379E-2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490">
        <f>'[7]Sch C'!D43</f>
        <v>0</v>
      </c>
      <c r="D58" s="490">
        <f>'[7]Sch C'!F43</f>
        <v>0</v>
      </c>
      <c r="E58" s="171">
        <f t="shared" si="4"/>
        <v>0</v>
      </c>
      <c r="F58" s="171"/>
      <c r="G58" s="171">
        <f t="shared" si="5"/>
        <v>0</v>
      </c>
      <c r="H58" s="172">
        <f t="shared" si="6"/>
        <v>0</v>
      </c>
      <c r="I58" s="337"/>
      <c r="J58" s="168"/>
      <c r="K58" s="168"/>
      <c r="M58" s="359">
        <f t="shared" si="7"/>
        <v>0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490">
        <f>'[7]Sch C'!D44</f>
        <v>0</v>
      </c>
      <c r="D59" s="490">
        <f>'[7]Sch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7"/>
      <c r="J59" s="168"/>
      <c r="K59" s="168"/>
      <c r="M59" s="359">
        <f t="shared" si="7"/>
        <v>0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490">
        <f>'[7]Sch C'!D45</f>
        <v>9032</v>
      </c>
      <c r="D60" s="490">
        <f>'[7]Sch C'!F45</f>
        <v>-109016</v>
      </c>
      <c r="E60" s="171">
        <f t="shared" si="4"/>
        <v>-99984</v>
      </c>
      <c r="F60" s="171"/>
      <c r="G60" s="171">
        <f t="shared" si="5"/>
        <v>-99984</v>
      </c>
      <c r="H60" s="172">
        <f t="shared" si="6"/>
        <v>-2.2629113220539294E-2</v>
      </c>
      <c r="I60" s="337"/>
      <c r="J60" s="168"/>
      <c r="K60" s="168"/>
      <c r="M60" s="359">
        <f t="shared" si="7"/>
        <v>-5.1866991751828602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490">
        <f>SUM(C25:C60)</f>
        <v>856422</v>
      </c>
      <c r="D61" s="490">
        <f>SUM(D25:D60)</f>
        <v>-66027</v>
      </c>
      <c r="E61" s="171">
        <f t="shared" ref="E61:F61" si="8">SUM(E25:E60)</f>
        <v>790395</v>
      </c>
      <c r="F61" s="171">
        <f t="shared" si="8"/>
        <v>11911</v>
      </c>
      <c r="G61" s="171">
        <f>SUM(G25:G60)</f>
        <v>802306</v>
      </c>
      <c r="H61" s="186">
        <f t="shared" si="6"/>
        <v>0.18158378652102336</v>
      </c>
      <c r="I61" s="339"/>
      <c r="J61" s="168"/>
      <c r="K61" s="168"/>
      <c r="M61" s="364">
        <f>G61/G$228</f>
        <v>41.619857861700474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I62" s="340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490">
        <f>'[7]Sch C'!D57</f>
        <v>385685</v>
      </c>
      <c r="D64" s="490">
        <f>'[7]Sch C'!F57</f>
        <v>0</v>
      </c>
      <c r="E64" s="171">
        <f t="shared" ref="E64:E78" si="9">C64+D64</f>
        <v>385685</v>
      </c>
      <c r="F64" s="171"/>
      <c r="G64" s="171">
        <f t="shared" ref="G64:G78" si="10">E64+F64</f>
        <v>385685</v>
      </c>
      <c r="H64" s="172">
        <f t="shared" ref="H64:H79" si="11">IF($G$208=0,0,G64/$G$208)</f>
        <v>8.7291061894540112E-2</v>
      </c>
      <c r="I64" s="337"/>
      <c r="J64" s="190"/>
      <c r="K64" s="168"/>
      <c r="M64" s="359">
        <f t="shared" ref="M64:M79" si="12">G64/G$228</f>
        <v>20.007521917310786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490">
        <f>'[7]Sch C'!D58</f>
        <v>26311</v>
      </c>
      <c r="D65" s="490">
        <f>'[7]Sch C'!F58</f>
        <v>0</v>
      </c>
      <c r="E65" s="171">
        <f t="shared" si="9"/>
        <v>26311</v>
      </c>
      <c r="F65" s="171"/>
      <c r="G65" s="171">
        <f t="shared" si="10"/>
        <v>26311</v>
      </c>
      <c r="H65" s="172">
        <f t="shared" si="11"/>
        <v>5.9548987632582154E-3</v>
      </c>
      <c r="I65" s="337"/>
      <c r="J65" s="190"/>
      <c r="K65" s="168"/>
      <c r="M65" s="359">
        <f t="shared" si="12"/>
        <v>1.3648908025107642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490">
        <f>'[7]Sch C'!D59</f>
        <v>0</v>
      </c>
      <c r="D66" s="490">
        <f>'[7]Sch C'!F59</f>
        <v>0</v>
      </c>
      <c r="E66" s="171">
        <f t="shared" si="9"/>
        <v>0</v>
      </c>
      <c r="F66" s="171"/>
      <c r="G66" s="171">
        <f t="shared" si="10"/>
        <v>0</v>
      </c>
      <c r="H66" s="172">
        <f t="shared" si="11"/>
        <v>0</v>
      </c>
      <c r="I66" s="337"/>
      <c r="J66" s="190"/>
      <c r="K66" s="168"/>
      <c r="M66" s="359">
        <f t="shared" si="12"/>
        <v>0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490">
        <f>'[7]Sch C'!D60</f>
        <v>40000</v>
      </c>
      <c r="D67" s="490">
        <f>'[7]Sch C'!F60</f>
        <v>0</v>
      </c>
      <c r="E67" s="171">
        <f t="shared" si="9"/>
        <v>40000</v>
      </c>
      <c r="F67" s="171"/>
      <c r="G67" s="171">
        <f t="shared" si="10"/>
        <v>40000</v>
      </c>
      <c r="H67" s="172">
        <f t="shared" si="11"/>
        <v>9.0530937832210331E-3</v>
      </c>
      <c r="I67" s="337"/>
      <c r="J67" s="193"/>
      <c r="K67" s="168"/>
      <c r="M67" s="359">
        <f t="shared" si="12"/>
        <v>2.0750116719406546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490">
        <f>'[7]Sch C'!D61</f>
        <v>13600</v>
      </c>
      <c r="D68" s="490">
        <f>'[7]Sch C'!F61</f>
        <v>-10562</v>
      </c>
      <c r="E68" s="171">
        <f t="shared" si="9"/>
        <v>3038</v>
      </c>
      <c r="F68" s="171"/>
      <c r="G68" s="171">
        <f t="shared" si="10"/>
        <v>3038</v>
      </c>
      <c r="H68" s="172">
        <f t="shared" si="11"/>
        <v>6.8758247283563756E-4</v>
      </c>
      <c r="I68" s="337"/>
      <c r="J68" s="193"/>
      <c r="K68" s="168"/>
      <c r="M68" s="359">
        <f t="shared" si="12"/>
        <v>0.15759713648389273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490">
        <f>'[7]Sch C'!D62</f>
        <v>0</v>
      </c>
      <c r="D69" s="490">
        <f>'[7]Sch C'!F62</f>
        <v>0</v>
      </c>
      <c r="E69" s="171">
        <f t="shared" si="9"/>
        <v>0</v>
      </c>
      <c r="F69" s="171"/>
      <c r="G69" s="171">
        <f t="shared" si="10"/>
        <v>0</v>
      </c>
      <c r="H69" s="172">
        <f t="shared" si="11"/>
        <v>0</v>
      </c>
      <c r="I69" s="337"/>
      <c r="J69" s="195"/>
      <c r="K69" s="168"/>
      <c r="M69" s="359">
        <f t="shared" si="12"/>
        <v>0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490">
        <f>'[7]Sch C'!D63</f>
        <v>0</v>
      </c>
      <c r="D70" s="490">
        <f>'[7]Sch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7"/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490">
        <f>'[7]Sch C'!D64</f>
        <v>0</v>
      </c>
      <c r="D71" s="490">
        <f>'[7]Sch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490">
        <f>'[7]Sch C'!D65</f>
        <v>2689</v>
      </c>
      <c r="D72" s="490">
        <f>'[7]Sch C'!F65</f>
        <v>0</v>
      </c>
      <c r="E72" s="171">
        <f t="shared" si="9"/>
        <v>2689</v>
      </c>
      <c r="F72" s="171"/>
      <c r="G72" s="171">
        <f t="shared" si="10"/>
        <v>2689</v>
      </c>
      <c r="H72" s="172">
        <f t="shared" si="11"/>
        <v>6.0859422957703399E-4</v>
      </c>
      <c r="I72" s="337"/>
      <c r="J72" s="195"/>
      <c r="K72" s="168"/>
      <c r="M72" s="359">
        <f t="shared" si="12"/>
        <v>0.13949265964621052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490">
        <f>'[7]Sch C'!D66</f>
        <v>31994</v>
      </c>
      <c r="D73" s="490">
        <f>'[7]Sch C'!F66</f>
        <v>-2999.46</v>
      </c>
      <c r="E73" s="171">
        <f t="shared" si="9"/>
        <v>28994.54</v>
      </c>
      <c r="F73" s="171"/>
      <c r="G73" s="171">
        <f t="shared" si="10"/>
        <v>28994.54</v>
      </c>
      <c r="H73" s="172">
        <f t="shared" si="11"/>
        <v>6.5622572455338399E-3</v>
      </c>
      <c r="I73" s="337"/>
      <c r="J73" s="195"/>
      <c r="K73" s="168"/>
      <c r="M73" s="359">
        <f t="shared" si="12"/>
        <v>1.5041002230637548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490">
        <f>'[7]Sch C'!D67</f>
        <v>48323</v>
      </c>
      <c r="D74" s="490">
        <f>'[7]Sch C'!F67</f>
        <v>0</v>
      </c>
      <c r="E74" s="171">
        <f t="shared" si="9"/>
        <v>48323</v>
      </c>
      <c r="F74" s="171"/>
      <c r="G74" s="171">
        <f t="shared" si="10"/>
        <v>48323</v>
      </c>
      <c r="H74" s="172">
        <f t="shared" si="11"/>
        <v>1.0936816272164751E-2</v>
      </c>
      <c r="I74" s="337"/>
      <c r="J74" s="195"/>
      <c r="K74" s="168"/>
      <c r="M74" s="359">
        <f t="shared" si="12"/>
        <v>2.5067697255797063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490">
        <f>'[7]Sch C'!D68</f>
        <v>0</v>
      </c>
      <c r="D75" s="490">
        <f>'[7]Sch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490">
        <f>'[7]Sch C'!D69</f>
        <v>0</v>
      </c>
      <c r="D76" s="490">
        <f>'[7]Sch C'!F69</f>
        <v>0</v>
      </c>
      <c r="E76" s="171">
        <f t="shared" si="9"/>
        <v>0</v>
      </c>
      <c r="F76" s="171"/>
      <c r="G76" s="171">
        <f t="shared" si="10"/>
        <v>0</v>
      </c>
      <c r="H76" s="172">
        <f t="shared" si="11"/>
        <v>0</v>
      </c>
      <c r="I76" s="337"/>
      <c r="J76" s="195"/>
      <c r="K76" s="168"/>
      <c r="M76" s="359">
        <f t="shared" si="12"/>
        <v>0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490">
        <f>'[7]Sch C'!D70</f>
        <v>0</v>
      </c>
      <c r="D77" s="490">
        <f>'[7]Sch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7"/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490">
        <f>'[7]Sch C'!D71</f>
        <v>0</v>
      </c>
      <c r="D78" s="490">
        <f>'[7]Sch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7"/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490">
        <f>SUM(C64:C78)</f>
        <v>548602</v>
      </c>
      <c r="D79" s="490">
        <f>SUM(D64:D78)</f>
        <v>-13561.46</v>
      </c>
      <c r="E79" s="171">
        <f t="shared" ref="E79:F79" si="13">SUM(E64:E78)</f>
        <v>535040.54</v>
      </c>
      <c r="F79" s="171">
        <f t="shared" si="13"/>
        <v>0</v>
      </c>
      <c r="G79" s="171">
        <f>SUM(G64:G78)</f>
        <v>535040.54</v>
      </c>
      <c r="H79" s="172">
        <f t="shared" si="11"/>
        <v>0.12109430466113064</v>
      </c>
      <c r="I79" s="337"/>
      <c r="J79" s="195"/>
      <c r="K79" s="168"/>
      <c r="M79" s="359">
        <f t="shared" si="12"/>
        <v>27.755384136535771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490">
        <f>'[7]Sch C'!D75</f>
        <v>38782</v>
      </c>
      <c r="D82" s="490">
        <f>'[7]Sch C'!F75</f>
        <v>0</v>
      </c>
      <c r="E82" s="171">
        <f t="shared" ref="E82:E92" si="14">C82+D82</f>
        <v>38782</v>
      </c>
      <c r="F82" s="171"/>
      <c r="G82" s="171">
        <f t="shared" ref="G82:G92" si="15">E82+F82</f>
        <v>38782</v>
      </c>
      <c r="H82" s="172">
        <f t="shared" ref="H82:H93" si="16">IF($G$208=0,0,G82/$G$208)</f>
        <v>8.7774270775219532E-3</v>
      </c>
      <c r="I82" s="337"/>
      <c r="J82" s="183">
        <v>2107</v>
      </c>
      <c r="K82" s="183">
        <v>2259</v>
      </c>
      <c r="M82" s="359">
        <f t="shared" ref="M82:M92" si="17">G82/G$228</f>
        <v>2.0118275665300618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490">
        <f>'[7]Sch C'!D76</f>
        <v>4933</v>
      </c>
      <c r="D83" s="490">
        <f>'[7]Sch C'!F76</f>
        <v>0</v>
      </c>
      <c r="E83" s="171">
        <f t="shared" si="14"/>
        <v>4933</v>
      </c>
      <c r="F83" s="171"/>
      <c r="G83" s="171">
        <f t="shared" si="15"/>
        <v>4933</v>
      </c>
      <c r="H83" s="172">
        <f t="shared" si="16"/>
        <v>1.1164727908157339E-3</v>
      </c>
      <c r="I83" s="337"/>
      <c r="J83" s="168"/>
      <c r="K83" s="168"/>
      <c r="M83" s="359">
        <f t="shared" si="17"/>
        <v>0.25590081444208124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490">
        <f>'[7]Sch C'!D77</f>
        <v>8387</v>
      </c>
      <c r="D84" s="490">
        <f>'[7]Sch C'!F77</f>
        <v>0</v>
      </c>
      <c r="E84" s="171">
        <f t="shared" si="14"/>
        <v>8387</v>
      </c>
      <c r="F84" s="171"/>
      <c r="G84" s="171">
        <f t="shared" si="15"/>
        <v>8387</v>
      </c>
      <c r="H84" s="172">
        <f t="shared" si="16"/>
        <v>1.8982074389968702E-3</v>
      </c>
      <c r="I84" s="337"/>
      <c r="J84" s="168"/>
      <c r="K84" s="168"/>
      <c r="M84" s="359">
        <f t="shared" si="17"/>
        <v>0.43507807231415679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490">
        <f>'[7]Sch C'!D78</f>
        <v>0</v>
      </c>
      <c r="D85" s="490">
        <f>'[7]Sch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I85" s="337"/>
      <c r="J85" s="168"/>
      <c r="K85" s="168"/>
      <c r="M85" s="359">
        <f t="shared" si="17"/>
        <v>0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490">
        <f>'[7]Sch C'!D79</f>
        <v>10838</v>
      </c>
      <c r="D86" s="490">
        <f>'[7]Sch C'!F79</f>
        <v>0</v>
      </c>
      <c r="E86" s="171">
        <f t="shared" si="14"/>
        <v>10838</v>
      </c>
      <c r="F86" s="171"/>
      <c r="G86" s="171">
        <f>E86+F86</f>
        <v>10838</v>
      </c>
      <c r="H86" s="172">
        <f t="shared" si="16"/>
        <v>2.452935760563739E-3</v>
      </c>
      <c r="I86" s="337"/>
      <c r="J86" s="168"/>
      <c r="K86" s="168"/>
      <c r="M86" s="359">
        <f t="shared" si="17"/>
        <v>0.56222441251232036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490">
        <f>'[7]Sch C'!D80</f>
        <v>8772</v>
      </c>
      <c r="D87" s="490">
        <f>'[7]Sch C'!F80</f>
        <v>0</v>
      </c>
      <c r="E87" s="171">
        <f t="shared" si="14"/>
        <v>8772</v>
      </c>
      <c r="F87" s="171"/>
      <c r="G87" s="171">
        <f t="shared" si="15"/>
        <v>8772</v>
      </c>
      <c r="H87" s="172">
        <f t="shared" si="16"/>
        <v>1.9853434666603728E-3</v>
      </c>
      <c r="I87" s="337"/>
      <c r="J87" s="168"/>
      <c r="K87" s="168"/>
      <c r="M87" s="359">
        <f t="shared" si="17"/>
        <v>0.45505005965658557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490">
        <f>'[7]Sch C'!D81</f>
        <v>2006</v>
      </c>
      <c r="D88" s="490">
        <f>'[7]Sch C'!F81</f>
        <v>0</v>
      </c>
      <c r="E88" s="171">
        <f t="shared" si="14"/>
        <v>2006</v>
      </c>
      <c r="F88" s="171"/>
      <c r="G88" s="171">
        <f t="shared" si="15"/>
        <v>2006</v>
      </c>
      <c r="H88" s="172">
        <f t="shared" si="16"/>
        <v>4.5401265322853485E-4</v>
      </c>
      <c r="I88" s="337"/>
      <c r="J88" s="168"/>
      <c r="K88" s="168"/>
      <c r="M88" s="359">
        <f t="shared" si="17"/>
        <v>0.10406183534782383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490">
        <f>'[7]Sch C'!D82</f>
        <v>1712</v>
      </c>
      <c r="D89" s="490">
        <f>'[7]Sch C'!F82</f>
        <v>0</v>
      </c>
      <c r="E89" s="171">
        <f t="shared" si="14"/>
        <v>1712</v>
      </c>
      <c r="F89" s="171"/>
      <c r="G89" s="171">
        <f t="shared" si="15"/>
        <v>1712</v>
      </c>
      <c r="H89" s="172">
        <f t="shared" si="16"/>
        <v>3.8747241392186025E-4</v>
      </c>
      <c r="I89" s="337"/>
      <c r="J89" s="168"/>
      <c r="K89" s="168"/>
      <c r="M89" s="359">
        <f t="shared" si="17"/>
        <v>8.8810499559060022E-2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490">
        <f>'[7]Sch C'!D83</f>
        <v>0</v>
      </c>
      <c r="D90" s="490">
        <f>'[7]Sch C'!F83</f>
        <v>0</v>
      </c>
      <c r="E90" s="171">
        <f t="shared" si="14"/>
        <v>0</v>
      </c>
      <c r="F90" s="171"/>
      <c r="G90" s="171">
        <f t="shared" si="15"/>
        <v>0</v>
      </c>
      <c r="H90" s="172">
        <f t="shared" si="16"/>
        <v>0</v>
      </c>
      <c r="I90" s="337"/>
      <c r="J90" s="168"/>
      <c r="K90" s="168"/>
      <c r="M90" s="359">
        <f t="shared" si="17"/>
        <v>0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490">
        <f>'[7]Sch C'!D84</f>
        <v>62231</v>
      </c>
      <c r="D91" s="490">
        <f>'[7]Sch C'!F84</f>
        <v>0</v>
      </c>
      <c r="E91" s="171">
        <f t="shared" si="14"/>
        <v>62231</v>
      </c>
      <c r="F91" s="171"/>
      <c r="G91" s="171">
        <f t="shared" si="15"/>
        <v>62231</v>
      </c>
      <c r="H91" s="172">
        <f t="shared" si="16"/>
        <v>1.4084576980590704E-2</v>
      </c>
      <c r="I91" s="337"/>
      <c r="J91" s="168"/>
      <c r="K91" s="168"/>
      <c r="M91" s="359">
        <f t="shared" si="17"/>
        <v>3.228251283913472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490">
        <f>'[7]Sch C'!D85</f>
        <v>0</v>
      </c>
      <c r="D92" s="490">
        <f>'[7]Sch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7"/>
      <c r="J92" s="168"/>
      <c r="K92" s="168"/>
      <c r="M92" s="359">
        <f t="shared" si="17"/>
        <v>0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490">
        <f>SUM(C82:C92)</f>
        <v>137661</v>
      </c>
      <c r="D93" s="490">
        <f>SUM(D82:D92)</f>
        <v>0</v>
      </c>
      <c r="E93" s="171">
        <f t="shared" ref="E93:F93" si="18">SUM(E82:E92)</f>
        <v>137661</v>
      </c>
      <c r="F93" s="171">
        <f t="shared" si="18"/>
        <v>0</v>
      </c>
      <c r="G93" s="171">
        <f>SUM(G82:G92)</f>
        <v>137661</v>
      </c>
      <c r="H93" s="172">
        <f t="shared" si="16"/>
        <v>3.1156448582299767E-2</v>
      </c>
      <c r="I93" s="337"/>
      <c r="J93" s="168"/>
      <c r="K93" s="168"/>
      <c r="M93" s="364">
        <f>G93/G$228</f>
        <v>7.1412045442755616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490">
        <f>'[7]Sch C'!D89</f>
        <v>164962</v>
      </c>
      <c r="D96" s="490">
        <f>'[7]Sch C'!F89</f>
        <v>0</v>
      </c>
      <c r="E96" s="171">
        <f t="shared" ref="E96:E101" si="19">C96+D96</f>
        <v>164962</v>
      </c>
      <c r="F96" s="171"/>
      <c r="G96" s="171">
        <f t="shared" ref="G96:G101" si="20">E96+F96</f>
        <v>164962</v>
      </c>
      <c r="H96" s="172">
        <f t="shared" ref="H96:H102" si="21">IF($G$208=0,0,G96/$G$208)</f>
        <v>3.7335411416692707E-2</v>
      </c>
      <c r="I96" s="337"/>
      <c r="J96" s="183">
        <v>12624</v>
      </c>
      <c r="K96" s="183">
        <v>13327</v>
      </c>
      <c r="M96" s="364">
        <f t="shared" ref="M96:M101" si="22">G96/G$228</f>
        <v>8.5574518856668575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490">
        <f>'[7]Sch C'!D90</f>
        <v>24398</v>
      </c>
      <c r="D97" s="490">
        <f>'[7]Sch C'!F90</f>
        <v>0</v>
      </c>
      <c r="E97" s="171">
        <f t="shared" si="19"/>
        <v>24398</v>
      </c>
      <c r="F97" s="171"/>
      <c r="G97" s="171">
        <f t="shared" si="20"/>
        <v>24398</v>
      </c>
      <c r="H97" s="172">
        <f t="shared" si="21"/>
        <v>5.5219345530756695E-3</v>
      </c>
      <c r="I97" s="337"/>
      <c r="J97" s="168"/>
      <c r="K97" s="168"/>
      <c r="M97" s="364">
        <f t="shared" si="22"/>
        <v>1.2656533693002023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490">
        <f>'[7]Sch C'!D91</f>
        <v>16501</v>
      </c>
      <c r="D98" s="490">
        <f>'[7]Sch C'!F91</f>
        <v>0</v>
      </c>
      <c r="E98" s="171">
        <f t="shared" si="19"/>
        <v>16501</v>
      </c>
      <c r="F98" s="171"/>
      <c r="G98" s="171">
        <f t="shared" si="20"/>
        <v>16501</v>
      </c>
      <c r="H98" s="172">
        <f t="shared" si="21"/>
        <v>3.7346275129232572E-3</v>
      </c>
      <c r="I98" s="337"/>
      <c r="J98" s="168"/>
      <c r="K98" s="168"/>
      <c r="M98" s="364">
        <f t="shared" si="22"/>
        <v>0.85599418996731858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490">
        <f>'[7]Sch C'!D92</f>
        <v>129541</v>
      </c>
      <c r="D99" s="490">
        <f>'[7]Sch C'!F92</f>
        <v>0</v>
      </c>
      <c r="E99" s="171">
        <f t="shared" si="19"/>
        <v>129541</v>
      </c>
      <c r="F99" s="171"/>
      <c r="G99" s="171">
        <f t="shared" si="20"/>
        <v>129541</v>
      </c>
      <c r="H99" s="172">
        <f t="shared" si="21"/>
        <v>2.9318670544305897E-2</v>
      </c>
      <c r="I99" s="337"/>
      <c r="J99" s="168"/>
      <c r="K99" s="168"/>
      <c r="M99" s="364">
        <f t="shared" si="22"/>
        <v>6.7199771748716088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490">
        <f>'[7]Sch C'!D93</f>
        <v>10025</v>
      </c>
      <c r="D100" s="490">
        <f>'[7]Sch C'!F93</f>
        <v>0</v>
      </c>
      <c r="E100" s="171">
        <f t="shared" si="19"/>
        <v>10025</v>
      </c>
      <c r="F100" s="171"/>
      <c r="G100" s="171">
        <f t="shared" si="20"/>
        <v>10025</v>
      </c>
      <c r="H100" s="172">
        <f t="shared" si="21"/>
        <v>2.2689316294197716E-3</v>
      </c>
      <c r="I100" s="337"/>
      <c r="J100" s="168"/>
      <c r="K100" s="168"/>
      <c r="M100" s="364">
        <f t="shared" si="22"/>
        <v>0.5200498002801266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490">
        <f>'[7]Sch C'!D94</f>
        <v>200</v>
      </c>
      <c r="D101" s="490">
        <f>'[7]Sch C'!F94</f>
        <v>0</v>
      </c>
      <c r="E101" s="171">
        <f t="shared" si="19"/>
        <v>200</v>
      </c>
      <c r="F101" s="171"/>
      <c r="G101" s="171">
        <f t="shared" si="20"/>
        <v>200</v>
      </c>
      <c r="H101" s="172">
        <f t="shared" si="21"/>
        <v>4.5265468916105172E-5</v>
      </c>
      <c r="I101" s="337"/>
      <c r="J101" s="168"/>
      <c r="K101" s="168"/>
      <c r="M101" s="364">
        <f t="shared" si="22"/>
        <v>1.0375058359703274E-2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490">
        <f>SUM(C96:C101)</f>
        <v>345627</v>
      </c>
      <c r="D102" s="490">
        <f>SUM(D96:D101)</f>
        <v>0</v>
      </c>
      <c r="E102" s="171">
        <f t="shared" ref="E102:F102" si="23">SUM(E96:E101)</f>
        <v>345627</v>
      </c>
      <c r="F102" s="171">
        <f t="shared" si="23"/>
        <v>0</v>
      </c>
      <c r="G102" s="171">
        <f>SUM(G96:G101)</f>
        <v>345627</v>
      </c>
      <c r="H102" s="172">
        <f t="shared" si="21"/>
        <v>7.82248411253334E-2</v>
      </c>
      <c r="I102" s="337"/>
      <c r="J102" s="168"/>
      <c r="K102" s="168"/>
      <c r="M102" s="364">
        <f>G102/G$228</f>
        <v>17.929501478445815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490">
        <f>'[7]Sch C'!D98</f>
        <v>59</v>
      </c>
      <c r="D105" s="490">
        <f>'[7]Sch C'!F98</f>
        <v>0</v>
      </c>
      <c r="E105" s="171">
        <f t="shared" ref="E105:E110" si="24">C105+D105</f>
        <v>59</v>
      </c>
      <c r="F105" s="171"/>
      <c r="G105" s="171">
        <f t="shared" ref="G105:G110" si="25">E105+F105</f>
        <v>59</v>
      </c>
      <c r="H105" s="172">
        <f t="shared" ref="H105:H111" si="26">IF($G$208=0,0,G105/$G$208)</f>
        <v>1.3353313330251025E-5</v>
      </c>
      <c r="I105" s="337"/>
      <c r="J105" s="183">
        <v>30</v>
      </c>
      <c r="K105" s="183">
        <v>30</v>
      </c>
      <c r="M105" s="364">
        <f t="shared" ref="M105:M110" si="27">G105/G$228</f>
        <v>3.0606422161124657E-3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490">
        <f>'[7]Sch C'!D99</f>
        <v>7</v>
      </c>
      <c r="D106" s="490">
        <f>'[7]Sch C'!F99</f>
        <v>0</v>
      </c>
      <c r="E106" s="171">
        <f t="shared" si="24"/>
        <v>7</v>
      </c>
      <c r="F106" s="171"/>
      <c r="G106" s="171">
        <f t="shared" si="25"/>
        <v>7</v>
      </c>
      <c r="H106" s="172">
        <f t="shared" si="26"/>
        <v>1.584291412063681E-6</v>
      </c>
      <c r="I106" s="337"/>
      <c r="J106" s="168"/>
      <c r="K106" s="168"/>
      <c r="M106" s="364">
        <f t="shared" si="27"/>
        <v>3.6312704258961454E-4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490">
        <f>'[7]Sch C'!D100</f>
        <v>196</v>
      </c>
      <c r="D107" s="490">
        <f>'[7]Sch C'!F100</f>
        <v>0</v>
      </c>
      <c r="E107" s="171">
        <f t="shared" si="24"/>
        <v>196</v>
      </c>
      <c r="F107" s="171"/>
      <c r="G107" s="171">
        <f t="shared" si="25"/>
        <v>196</v>
      </c>
      <c r="H107" s="172">
        <f t="shared" si="26"/>
        <v>4.4360159537783065E-5</v>
      </c>
      <c r="I107" s="337"/>
      <c r="J107" s="168"/>
      <c r="K107" s="168"/>
      <c r="M107" s="364">
        <f t="shared" si="27"/>
        <v>1.0167557192509207E-2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490">
        <f>'[7]Sch C'!D101</f>
        <v>0</v>
      </c>
      <c r="D108" s="490">
        <f>'[7]Sch C'!F101</f>
        <v>0</v>
      </c>
      <c r="E108" s="171">
        <f t="shared" si="24"/>
        <v>0</v>
      </c>
      <c r="F108" s="171"/>
      <c r="G108" s="171">
        <f t="shared" si="25"/>
        <v>0</v>
      </c>
      <c r="H108" s="172">
        <f t="shared" si="26"/>
        <v>0</v>
      </c>
      <c r="I108" s="337"/>
      <c r="J108" s="168"/>
      <c r="K108" s="168"/>
      <c r="M108" s="364">
        <f t="shared" si="27"/>
        <v>0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490">
        <f>'[7]Sch C'!D102</f>
        <v>2092</v>
      </c>
      <c r="D109" s="490">
        <f>'[7]Sch C'!F102</f>
        <v>0</v>
      </c>
      <c r="E109" s="171">
        <f t="shared" si="24"/>
        <v>2092</v>
      </c>
      <c r="F109" s="171"/>
      <c r="G109" s="171">
        <f t="shared" si="25"/>
        <v>2092</v>
      </c>
      <c r="H109" s="172">
        <f t="shared" si="26"/>
        <v>4.7347680486246006E-4</v>
      </c>
      <c r="I109" s="337"/>
      <c r="J109" s="168"/>
      <c r="K109" s="168"/>
      <c r="M109" s="364">
        <f t="shared" si="27"/>
        <v>0.10852311044249624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490">
        <f>'[7]Sch C'!D103</f>
        <v>0</v>
      </c>
      <c r="D110" s="490">
        <f>'[7]Sch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7"/>
      <c r="J110" s="168"/>
      <c r="K110" s="168"/>
      <c r="M110" s="364">
        <f t="shared" si="27"/>
        <v>0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490">
        <f>SUM(C105:C110)</f>
        <v>2354</v>
      </c>
      <c r="D111" s="490">
        <f>SUM(D105:D110)</f>
        <v>0</v>
      </c>
      <c r="E111" s="171">
        <f t="shared" ref="E111:F111" si="28">SUM(E105:E110)</f>
        <v>2354</v>
      </c>
      <c r="F111" s="171">
        <f t="shared" si="28"/>
        <v>0</v>
      </c>
      <c r="G111" s="171">
        <f>SUM(G105:G110)</f>
        <v>2354</v>
      </c>
      <c r="H111" s="172">
        <f t="shared" si="26"/>
        <v>5.3277456914255781E-4</v>
      </c>
      <c r="I111" s="337"/>
      <c r="J111" s="168"/>
      <c r="K111" s="168"/>
      <c r="M111" s="364">
        <f>G111/G$228</f>
        <v>0.12211443689370753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490">
        <f>'[7]Sch C'!D115</f>
        <v>80721</v>
      </c>
      <c r="D114" s="490">
        <f>'[7]Sch C'!F115</f>
        <v>0</v>
      </c>
      <c r="E114" s="171">
        <f t="shared" ref="E114:E118" si="29">C114+D114</f>
        <v>80721</v>
      </c>
      <c r="F114" s="171"/>
      <c r="G114" s="171">
        <f>E114+F114</f>
        <v>80721</v>
      </c>
      <c r="H114" s="172">
        <f t="shared" ref="H114:H119" si="30">IF($G$208=0,0,G114/$G$208)</f>
        <v>1.8269369581884628E-2</v>
      </c>
      <c r="I114" s="337"/>
      <c r="J114" s="183">
        <v>8858</v>
      </c>
      <c r="K114" s="183">
        <v>9552</v>
      </c>
      <c r="M114" s="364">
        <f t="shared" ref="M114:M119" si="31">G114/G$228</f>
        <v>4.18742542926804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490">
        <f>'[7]Sch C'!D116</f>
        <v>12544</v>
      </c>
      <c r="D115" s="490">
        <f>'[7]Sch C'!F116</f>
        <v>0</v>
      </c>
      <c r="E115" s="171">
        <f t="shared" si="29"/>
        <v>12544</v>
      </c>
      <c r="F115" s="171"/>
      <c r="G115" s="171">
        <f>E115+F115</f>
        <v>12544</v>
      </c>
      <c r="H115" s="172">
        <f t="shared" si="30"/>
        <v>2.8390502104181162E-3</v>
      </c>
      <c r="I115" s="337"/>
      <c r="J115" s="168"/>
      <c r="K115" s="168"/>
      <c r="M115" s="364">
        <f t="shared" si="31"/>
        <v>0.65072366032058926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490">
        <f>'[7]Sch C'!D117</f>
        <v>17139</v>
      </c>
      <c r="D116" s="490">
        <f>'[7]Sch C'!F117</f>
        <v>0</v>
      </c>
      <c r="E116" s="171">
        <f t="shared" si="29"/>
        <v>17139</v>
      </c>
      <c r="F116" s="171"/>
      <c r="G116" s="171">
        <f>E116+F116</f>
        <v>17139</v>
      </c>
      <c r="H116" s="172">
        <f t="shared" si="30"/>
        <v>3.8790243587656327E-3</v>
      </c>
      <c r="I116" s="337"/>
      <c r="J116" s="168"/>
      <c r="K116" s="168"/>
      <c r="M116" s="364">
        <f t="shared" si="31"/>
        <v>0.88909062613477197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490">
        <f>'[7]Sch C'!D118</f>
        <v>44</v>
      </c>
      <c r="D117" s="490">
        <f>'[7]Sch C'!F118</f>
        <v>0</v>
      </c>
      <c r="E117" s="171">
        <f t="shared" si="29"/>
        <v>44</v>
      </c>
      <c r="F117" s="171"/>
      <c r="G117" s="171">
        <f>E117+F117</f>
        <v>44</v>
      </c>
      <c r="H117" s="172">
        <f t="shared" si="30"/>
        <v>9.958403161543138E-6</v>
      </c>
      <c r="I117" s="337"/>
      <c r="J117" s="168"/>
      <c r="K117" s="168"/>
      <c r="M117" s="364">
        <f t="shared" si="31"/>
        <v>2.28251283913472E-3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490">
        <f>'[7]Sch C'!D119</f>
        <v>75</v>
      </c>
      <c r="D118" s="490">
        <f>'[7]Sch C'!F119</f>
        <v>0</v>
      </c>
      <c r="E118" s="171">
        <f t="shared" si="29"/>
        <v>75</v>
      </c>
      <c r="F118" s="171"/>
      <c r="G118" s="171">
        <f>E118+F118</f>
        <v>75</v>
      </c>
      <c r="H118" s="172">
        <f t="shared" si="30"/>
        <v>1.6974550843539439E-5</v>
      </c>
      <c r="I118" s="337"/>
      <c r="J118" s="168"/>
      <c r="K118" s="168"/>
      <c r="M118" s="364">
        <f t="shared" si="31"/>
        <v>3.8906468848887276E-3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490">
        <f>SUM(C114:C118)</f>
        <v>110523</v>
      </c>
      <c r="D119" s="490">
        <f>SUM(D114:D118)</f>
        <v>0</v>
      </c>
      <c r="E119" s="171">
        <f t="shared" ref="E119:F119" si="32">SUM(E114:E118)</f>
        <v>110523</v>
      </c>
      <c r="F119" s="171">
        <f t="shared" si="32"/>
        <v>0</v>
      </c>
      <c r="G119" s="171">
        <f>SUM(G114:G118)</f>
        <v>110523</v>
      </c>
      <c r="H119" s="172">
        <f t="shared" si="30"/>
        <v>2.5014377105073458E-2</v>
      </c>
      <c r="I119" s="337"/>
      <c r="J119" s="168"/>
      <c r="K119" s="168"/>
      <c r="M119" s="364">
        <f t="shared" si="31"/>
        <v>5.7334128754474243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1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490">
        <f>'[7]Sch C'!D124</f>
        <v>0</v>
      </c>
      <c r="D123" s="490">
        <f>'[7]Sch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7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0.77002560279620991</v>
      </c>
    </row>
    <row r="124" spans="1:14" s="167" customFormat="1">
      <c r="B124" s="163" t="s">
        <v>194</v>
      </c>
      <c r="C124" s="490">
        <f>'[7]Sch C'!D125</f>
        <v>0</v>
      </c>
      <c r="D124" s="490">
        <f>'[7]Sch C'!F125</f>
        <v>0</v>
      </c>
      <c r="E124" s="171">
        <f t="shared" si="33"/>
        <v>0</v>
      </c>
      <c r="F124" s="171"/>
      <c r="G124" s="171">
        <f>E124+F124</f>
        <v>0</v>
      </c>
      <c r="H124" s="172">
        <f>IF($G$208=0,0,G124/$G$208)</f>
        <v>0</v>
      </c>
      <c r="I124" s="337"/>
      <c r="J124" s="183">
        <v>0</v>
      </c>
      <c r="K124" s="183">
        <v>0</v>
      </c>
      <c r="M124" s="364">
        <f t="shared" si="34"/>
        <v>0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490">
        <f>'[7]Sch C'!D126</f>
        <v>0</v>
      </c>
      <c r="D125" s="490">
        <f>'[7]Sch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7"/>
      <c r="J125" s="183">
        <v>0</v>
      </c>
      <c r="K125" s="183">
        <v>0</v>
      </c>
      <c r="M125" s="364">
        <f t="shared" si="34"/>
        <v>0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490">
        <f>'[7]Sch C'!D127</f>
        <v>0</v>
      </c>
      <c r="D126" s="490">
        <f>'[7]Sch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7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490">
        <f>'[7]Sch C'!D128</f>
        <v>222269</v>
      </c>
      <c r="D127" s="490">
        <f>'[7]Sch C'!F128</f>
        <v>0</v>
      </c>
      <c r="E127" s="171">
        <f t="shared" si="33"/>
        <v>222269</v>
      </c>
      <c r="F127" s="171"/>
      <c r="G127" s="171">
        <f>E127+F127</f>
        <v>222269</v>
      </c>
      <c r="H127" s="172">
        <f>IF($G$208=0,0,G127/$G$208)</f>
        <v>5.0305552552568897E-2</v>
      </c>
      <c r="I127" s="337"/>
      <c r="J127" s="183">
        <v>14275</v>
      </c>
      <c r="K127" s="183">
        <v>15308</v>
      </c>
      <c r="M127" s="364">
        <f t="shared" si="34"/>
        <v>11.530269232764434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490"/>
      <c r="D128" s="490"/>
      <c r="E128" s="205"/>
      <c r="F128" s="205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490">
        <f>'[7]Sch C'!D130</f>
        <v>0</v>
      </c>
      <c r="D129" s="490">
        <f>'[7]Sch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7"/>
      <c r="J129" s="204"/>
      <c r="K129" s="204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490">
        <f>'[7]Sch C'!D131</f>
        <v>0</v>
      </c>
      <c r="D130" s="490">
        <f>'[7]Sch C'!F131</f>
        <v>0</v>
      </c>
      <c r="E130" s="171">
        <f t="shared" si="35"/>
        <v>0</v>
      </c>
      <c r="F130" s="171"/>
      <c r="G130" s="171">
        <f>E130+F130</f>
        <v>0</v>
      </c>
      <c r="H130" s="172">
        <f>IF($G$208=0,0,G130/$G$208)</f>
        <v>0</v>
      </c>
      <c r="I130" s="337"/>
      <c r="J130" s="204"/>
      <c r="K130" s="204"/>
      <c r="M130" s="364">
        <f t="shared" si="34"/>
        <v>0</v>
      </c>
      <c r="N130" s="359">
        <f>SUMMARY!J133</f>
        <v>1.0792348507966931</v>
      </c>
    </row>
    <row r="131" spans="1:14" s="167" customFormat="1">
      <c r="B131" s="163" t="s">
        <v>195</v>
      </c>
      <c r="C131" s="490">
        <f>'[7]Sch C'!D132</f>
        <v>0</v>
      </c>
      <c r="D131" s="490">
        <f>'[7]Sch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7"/>
      <c r="J131" s="168"/>
      <c r="K131" s="168"/>
      <c r="M131" s="364">
        <f t="shared" si="34"/>
        <v>0</v>
      </c>
      <c r="N131" s="359">
        <f>SUMMARY!J134</f>
        <v>8.2765628075518377E-2</v>
      </c>
    </row>
    <row r="132" spans="1:14" s="167" customFormat="1">
      <c r="B132" s="163" t="s">
        <v>196</v>
      </c>
      <c r="C132" s="490">
        <f>'[7]Sch C'!D133</f>
        <v>0</v>
      </c>
      <c r="D132" s="490">
        <f>'[7]Sch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490">
        <f>'[7]Sch C'!D134</f>
        <v>33895</v>
      </c>
      <c r="D133" s="490">
        <f>'[7]Sch C'!F134</f>
        <v>0</v>
      </c>
      <c r="E133" s="171">
        <f t="shared" si="35"/>
        <v>33895</v>
      </c>
      <c r="F133" s="171"/>
      <c r="G133" s="171">
        <f>E133+F133</f>
        <v>33895</v>
      </c>
      <c r="H133" s="172">
        <f>IF($G$208=0,0,G133/$G$208)</f>
        <v>7.6713653445569232E-3</v>
      </c>
      <c r="I133" s="337"/>
      <c r="J133" s="168"/>
      <c r="K133" s="168"/>
      <c r="M133" s="364">
        <f t="shared" si="34"/>
        <v>1.7583130155107123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490">
        <f>'[7]Sch C'!D136</f>
        <v>385584</v>
      </c>
      <c r="D135" s="490">
        <f>'[7]Sch C'!F136</f>
        <v>0</v>
      </c>
      <c r="E135" s="171">
        <f t="shared" ref="E135:E138" si="36">C135+D135</f>
        <v>385584</v>
      </c>
      <c r="F135" s="171"/>
      <c r="G135" s="171">
        <f>E135+F135</f>
        <v>385584</v>
      </c>
      <c r="H135" s="172">
        <f>IF($G$208=0,0,G135/$G$208)</f>
        <v>8.7268202832737479E-2</v>
      </c>
      <c r="I135" s="337"/>
      <c r="J135" s="183">
        <v>42295</v>
      </c>
      <c r="K135" s="183">
        <v>44955</v>
      </c>
      <c r="M135" s="364">
        <f t="shared" si="34"/>
        <v>20.002282512839134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490">
        <f>'[7]Sch C'!D137</f>
        <v>92108</v>
      </c>
      <c r="D136" s="490">
        <f>'[7]Sch C'!F137</f>
        <v>0</v>
      </c>
      <c r="E136" s="171">
        <f t="shared" si="36"/>
        <v>92108</v>
      </c>
      <c r="F136" s="171"/>
      <c r="G136" s="171">
        <f>E136+F136</f>
        <v>92108</v>
      </c>
      <c r="H136" s="172">
        <f>IF($G$208=0,0,G136/$G$208)</f>
        <v>2.0846559054623074E-2</v>
      </c>
      <c r="I136" s="337"/>
      <c r="J136" s="183">
        <v>4730</v>
      </c>
      <c r="K136" s="183">
        <v>5044</v>
      </c>
      <c r="M136" s="364">
        <f t="shared" si="34"/>
        <v>4.7781293769777458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490">
        <f>'[7]Sch C'!D138</f>
        <v>643232</v>
      </c>
      <c r="D137" s="490">
        <f>'[7]Sch C'!F138</f>
        <v>0</v>
      </c>
      <c r="E137" s="171">
        <f t="shared" si="36"/>
        <v>643232</v>
      </c>
      <c r="F137" s="171"/>
      <c r="G137" s="171">
        <f>E137+F137</f>
        <v>643232</v>
      </c>
      <c r="H137" s="172">
        <f>IF($G$208=0,0,G137/$G$208)</f>
        <v>0.1455809905092208</v>
      </c>
      <c r="I137" s="337"/>
      <c r="J137" s="183">
        <v>15191</v>
      </c>
      <c r="K137" s="183">
        <v>16106</v>
      </c>
      <c r="M137" s="364">
        <f t="shared" si="34"/>
        <v>33.367847694143279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490">
        <f>'[7]Sch C'!D139</f>
        <v>0</v>
      </c>
      <c r="D138" s="490">
        <f>'[7]Sch C'!F139</f>
        <v>0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7"/>
      <c r="J138" s="183">
        <v>0</v>
      </c>
      <c r="K138" s="183">
        <v>0</v>
      </c>
      <c r="M138" s="364">
        <f t="shared" si="34"/>
        <v>0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7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490">
        <f>'[7]Sch C'!D141</f>
        <v>68962</v>
      </c>
      <c r="D140" s="490">
        <f>'[7]Sch C'!F141</f>
        <v>0</v>
      </c>
      <c r="E140" s="171">
        <f t="shared" ref="E140:E143" si="37">C140+D140</f>
        <v>68962</v>
      </c>
      <c r="F140" s="171"/>
      <c r="G140" s="171">
        <f>E140+F140</f>
        <v>68962</v>
      </c>
      <c r="H140" s="172">
        <f>IF($G$208=0,0,G140/$G$208)</f>
        <v>1.5607986336962223E-2</v>
      </c>
      <c r="I140" s="337"/>
      <c r="J140" s="168"/>
      <c r="K140" s="168"/>
      <c r="M140" s="364">
        <f t="shared" si="34"/>
        <v>3.5774238730092858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490">
        <f>'[7]Sch C'!D142</f>
        <v>16474</v>
      </c>
      <c r="D141" s="490">
        <f>'[7]Sch C'!F142</f>
        <v>0</v>
      </c>
      <c r="E141" s="171">
        <f t="shared" si="37"/>
        <v>16474</v>
      </c>
      <c r="F141" s="171"/>
      <c r="G141" s="171">
        <f>E141+F141</f>
        <v>16474</v>
      </c>
      <c r="H141" s="172">
        <f>IF($G$208=0,0,G141/$G$208)</f>
        <v>3.7285166746195827E-3</v>
      </c>
      <c r="I141" s="337"/>
      <c r="J141" s="168"/>
      <c r="K141" s="168"/>
      <c r="M141" s="364">
        <f t="shared" si="34"/>
        <v>0.85459355708875862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490">
        <f>'[7]Sch C'!D143</f>
        <v>115043</v>
      </c>
      <c r="D142" s="490">
        <f>'[7]Sch C'!F143</f>
        <v>0</v>
      </c>
      <c r="E142" s="171">
        <f t="shared" si="37"/>
        <v>115043</v>
      </c>
      <c r="F142" s="171"/>
      <c r="G142" s="171">
        <f>E142+F142</f>
        <v>115043</v>
      </c>
      <c r="H142" s="172">
        <f>IF($G$208=0,0,G142/$G$208)</f>
        <v>2.6037376702577435E-2</v>
      </c>
      <c r="I142" s="337"/>
      <c r="J142" s="168"/>
      <c r="K142" s="168"/>
      <c r="M142" s="364">
        <f t="shared" si="34"/>
        <v>5.9678891943767187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490">
        <f>'[7]Sch C'!D144</f>
        <v>0</v>
      </c>
      <c r="D143" s="490">
        <f>'[7]Sch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7"/>
      <c r="J143" s="168"/>
      <c r="K143" s="168"/>
      <c r="M143" s="364">
        <f t="shared" si="34"/>
        <v>0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7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490">
        <f>'[7]Sch C'!D146</f>
        <v>75053</v>
      </c>
      <c r="D145" s="490">
        <f>'[7]Sch C'!F146</f>
        <v>0</v>
      </c>
      <c r="E145" s="171">
        <f t="shared" ref="E145:E153" si="38">C145+D145</f>
        <v>75053</v>
      </c>
      <c r="F145" s="171"/>
      <c r="G145" s="171">
        <f t="shared" ref="G145:G153" si="39">E145+F145</f>
        <v>75053</v>
      </c>
      <c r="H145" s="172">
        <f t="shared" ref="H145:H153" si="40">IF($G$208=0,0,G145/$G$208)</f>
        <v>1.6986546192802206E-2</v>
      </c>
      <c r="I145" s="337"/>
      <c r="J145" s="183">
        <v>0</v>
      </c>
      <c r="K145" s="183">
        <v>0</v>
      </c>
      <c r="M145" s="364">
        <f t="shared" si="34"/>
        <v>3.893396275354049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490">
        <f>'[7]Sch C'!D147</f>
        <v>34368</v>
      </c>
      <c r="D146" s="490">
        <f>'[7]Sch C'!F147</f>
        <v>0</v>
      </c>
      <c r="E146" s="171">
        <f t="shared" si="38"/>
        <v>34368</v>
      </c>
      <c r="F146" s="171"/>
      <c r="G146" s="171">
        <f t="shared" si="39"/>
        <v>34368</v>
      </c>
      <c r="H146" s="172">
        <f t="shared" si="40"/>
        <v>7.7784181785435121E-3</v>
      </c>
      <c r="I146" s="337"/>
      <c r="J146" s="183">
        <v>0</v>
      </c>
      <c r="K146" s="183">
        <v>0</v>
      </c>
      <c r="M146" s="364">
        <f t="shared" si="34"/>
        <v>1.7828500285314104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490">
        <f>'[7]Sch C'!D148</f>
        <v>5400</v>
      </c>
      <c r="D147" s="490">
        <f>'[7]Sch C'!F148</f>
        <v>0</v>
      </c>
      <c r="E147" s="171">
        <f t="shared" si="38"/>
        <v>5400</v>
      </c>
      <c r="F147" s="171"/>
      <c r="G147" s="171">
        <f t="shared" si="39"/>
        <v>5400</v>
      </c>
      <c r="H147" s="172">
        <f t="shared" si="40"/>
        <v>1.2221676607348396E-3</v>
      </c>
      <c r="I147" s="337"/>
      <c r="J147" s="183">
        <v>0</v>
      </c>
      <c r="K147" s="183">
        <v>0</v>
      </c>
      <c r="M147" s="364">
        <f t="shared" si="34"/>
        <v>0.2801265757119884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490">
        <f>'[7]Sch C'!D149</f>
        <v>5291</v>
      </c>
      <c r="D148" s="490">
        <f>'[7]Sch C'!F149</f>
        <v>0</v>
      </c>
      <c r="E148" s="171">
        <f t="shared" si="38"/>
        <v>5291</v>
      </c>
      <c r="F148" s="171"/>
      <c r="G148" s="171">
        <f t="shared" si="39"/>
        <v>5291</v>
      </c>
      <c r="H148" s="172">
        <f t="shared" si="40"/>
        <v>1.1974979801755623E-3</v>
      </c>
      <c r="I148" s="337"/>
      <c r="J148" s="183">
        <v>0</v>
      </c>
      <c r="K148" s="183">
        <v>0</v>
      </c>
      <c r="M148" s="364">
        <f t="shared" si="34"/>
        <v>0.27447216890595011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490">
        <f>'[7]Sch C'!D150</f>
        <v>13216</v>
      </c>
      <c r="D149" s="490">
        <f>'[7]Sch C'!F150</f>
        <v>0</v>
      </c>
      <c r="E149" s="171">
        <f t="shared" si="38"/>
        <v>13216</v>
      </c>
      <c r="F149" s="171"/>
      <c r="G149" s="171">
        <f t="shared" si="39"/>
        <v>13216</v>
      </c>
      <c r="H149" s="172">
        <f t="shared" si="40"/>
        <v>2.9911421859762297E-3</v>
      </c>
      <c r="I149" s="337"/>
      <c r="J149" s="183">
        <v>0</v>
      </c>
      <c r="K149" s="183">
        <v>0</v>
      </c>
      <c r="M149" s="364">
        <f t="shared" si="34"/>
        <v>0.68558385640919228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490">
        <f>'[7]Sch C'!D151</f>
        <v>87707</v>
      </c>
      <c r="D150" s="490">
        <f>'[7]Sch C'!F151</f>
        <v>0</v>
      </c>
      <c r="E150" s="171">
        <f t="shared" si="38"/>
        <v>87707</v>
      </c>
      <c r="F150" s="171"/>
      <c r="G150" s="171">
        <f t="shared" si="39"/>
        <v>87707</v>
      </c>
      <c r="H150" s="172">
        <f t="shared" si="40"/>
        <v>1.9850492411124181E-2</v>
      </c>
      <c r="I150" s="337"/>
      <c r="J150" s="168"/>
      <c r="K150" s="168"/>
      <c r="M150" s="364">
        <f t="shared" si="34"/>
        <v>4.5498262177724751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490">
        <f>'[7]Sch C'!D152</f>
        <v>1768</v>
      </c>
      <c r="D151" s="490">
        <f>'[7]Sch C'!F152</f>
        <v>0</v>
      </c>
      <c r="E151" s="171">
        <f t="shared" si="38"/>
        <v>1768</v>
      </c>
      <c r="F151" s="171"/>
      <c r="G151" s="171">
        <f t="shared" si="39"/>
        <v>1768</v>
      </c>
      <c r="H151" s="172">
        <f t="shared" si="40"/>
        <v>4.0014674521836969E-4</v>
      </c>
      <c r="I151" s="337"/>
      <c r="J151" s="168"/>
      <c r="K151" s="168"/>
      <c r="M151" s="364">
        <f t="shared" si="34"/>
        <v>9.1715515899776931E-2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490">
        <f>'[7]Sch C'!D153</f>
        <v>4658</v>
      </c>
      <c r="D152" s="490">
        <f>'[7]Sch C'!F153</f>
        <v>0</v>
      </c>
      <c r="E152" s="171">
        <f t="shared" si="38"/>
        <v>4658</v>
      </c>
      <c r="F152" s="171"/>
      <c r="G152" s="171">
        <f t="shared" si="39"/>
        <v>4658</v>
      </c>
      <c r="H152" s="172">
        <f t="shared" si="40"/>
        <v>1.0542327710560894E-3</v>
      </c>
      <c r="I152" s="337"/>
      <c r="J152" s="168"/>
      <c r="K152" s="168"/>
      <c r="M152" s="364">
        <f t="shared" si="34"/>
        <v>0.24163510919748923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490">
        <f>'[7]Sch C'!D154</f>
        <v>0</v>
      </c>
      <c r="D153" s="490">
        <f>'[7]Sch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210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490">
        <f>'[7]Sch C'!D156</f>
        <v>0</v>
      </c>
      <c r="D155" s="490">
        <f>'[7]Sch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490">
        <f>'[7]Sch C'!D157</f>
        <v>1514</v>
      </c>
      <c r="D156" s="490">
        <f>'[7]Sch C'!F157</f>
        <v>0</v>
      </c>
      <c r="E156" s="171">
        <f t="shared" si="41"/>
        <v>1514</v>
      </c>
      <c r="F156" s="171"/>
      <c r="G156" s="171">
        <f t="shared" si="42"/>
        <v>1514</v>
      </c>
      <c r="H156" s="172">
        <f t="shared" si="43"/>
        <v>3.4265959969491611E-4</v>
      </c>
      <c r="I156" s="337"/>
      <c r="J156" s="168"/>
      <c r="K156" s="168"/>
      <c r="M156" s="364">
        <f t="shared" si="34"/>
        <v>7.8539191782953779E-2</v>
      </c>
      <c r="N156" s="359">
        <f>SUMMARY!J159</f>
        <v>2.1257535293957019E-2</v>
      </c>
    </row>
    <row r="157" spans="1:14" s="167" customFormat="1" ht="14" customHeight="1">
      <c r="A157" s="169">
        <v>440.3</v>
      </c>
      <c r="B157" s="163" t="s">
        <v>225</v>
      </c>
      <c r="C157" s="490">
        <f>'[7]Sch C'!D158</f>
        <v>0</v>
      </c>
      <c r="D157" s="490">
        <f>'[7]Sch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7"/>
      <c r="J157" s="168"/>
      <c r="K157" s="168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490">
        <f>'[7]Sch C'!D159</f>
        <v>0</v>
      </c>
      <c r="D158" s="490">
        <f>'[7]Sch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490">
        <f>'[7]Sch C'!D160</f>
        <v>0</v>
      </c>
      <c r="D159" s="490">
        <f>'[7]Sch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7"/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 ht="26.4" customHeight="1">
      <c r="A160" s="169">
        <v>490</v>
      </c>
      <c r="B160" s="202" t="s">
        <v>315</v>
      </c>
      <c r="C160" s="490">
        <f>'[7]Sch C'!D161</f>
        <v>90156</v>
      </c>
      <c r="D160" s="490">
        <f>'[7]Sch C'!F161</f>
        <v>0</v>
      </c>
      <c r="E160" s="171">
        <f t="shared" si="41"/>
        <v>90156</v>
      </c>
      <c r="F160" s="171">
        <v>-11911</v>
      </c>
      <c r="G160" s="171">
        <f t="shared" si="42"/>
        <v>78245</v>
      </c>
      <c r="H160" s="172">
        <f t="shared" si="43"/>
        <v>1.7708983076703246E-2</v>
      </c>
      <c r="I160" s="678" t="s">
        <v>669</v>
      </c>
      <c r="J160" s="679"/>
      <c r="K160" s="679"/>
      <c r="M160" s="364">
        <f t="shared" si="34"/>
        <v>4.0589822067749131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490">
        <f>SUM(C123:C160)</f>
        <v>1896698</v>
      </c>
      <c r="D161" s="490">
        <f>SUM(D123:D160)</f>
        <v>0</v>
      </c>
      <c r="E161" s="171">
        <f t="shared" ref="E161:F161" si="44">SUM(E123:E160)</f>
        <v>1896698</v>
      </c>
      <c r="F161" s="171">
        <f t="shared" si="44"/>
        <v>-11911</v>
      </c>
      <c r="G161" s="171">
        <f>SUM(G123:G160)</f>
        <v>1884787</v>
      </c>
      <c r="H161" s="172">
        <f t="shared" si="43"/>
        <v>0.42657883680989556</v>
      </c>
      <c r="I161" s="337"/>
      <c r="J161" s="168"/>
      <c r="K161" s="168"/>
      <c r="M161" s="364">
        <f>G161/G$228</f>
        <v>97.773875603050271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337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7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490">
        <f>'[7]Sch C'!D175</f>
        <v>0</v>
      </c>
      <c r="D164" s="490">
        <f>'[7]Sch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490">
        <f>'[7]Sch C'!D176</f>
        <v>0</v>
      </c>
      <c r="D165" s="490">
        <f>'[7]Sch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490">
        <f>'[7]Sch C'!D177</f>
        <v>0</v>
      </c>
      <c r="D166" s="490">
        <f>'[7]Sch C'!F177</f>
        <v>0</v>
      </c>
      <c r="E166" s="171">
        <f t="shared" si="45"/>
        <v>0</v>
      </c>
      <c r="F166" s="216"/>
      <c r="G166" s="171">
        <f t="shared" si="46"/>
        <v>0</v>
      </c>
      <c r="H166" s="172">
        <f t="shared" si="47"/>
        <v>0</v>
      </c>
      <c r="I166" s="343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490">
        <f>'[7]Sch C'!D178</f>
        <v>0</v>
      </c>
      <c r="D167" s="490">
        <f>'[7]Sch C'!F178</f>
        <v>0</v>
      </c>
      <c r="E167" s="171">
        <f t="shared" si="45"/>
        <v>0</v>
      </c>
      <c r="F167" s="216"/>
      <c r="G167" s="171">
        <f t="shared" si="46"/>
        <v>0</v>
      </c>
      <c r="H167" s="172">
        <f t="shared" si="47"/>
        <v>0</v>
      </c>
      <c r="I167" s="344"/>
      <c r="J167" s="222"/>
      <c r="K167" s="222"/>
      <c r="L167" s="218"/>
      <c r="M167" s="364">
        <f t="shared" si="48"/>
        <v>0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490">
        <f>'[7]Sch C'!D179</f>
        <v>0</v>
      </c>
      <c r="D168" s="490">
        <f>'[7]Sch C'!F179</f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343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490">
        <f>'[7]Sch C'!D180</f>
        <v>0</v>
      </c>
      <c r="D169" s="490">
        <f>'[7]Sch C'!F180</f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344"/>
      <c r="J169" s="222"/>
      <c r="K169" s="222"/>
      <c r="L169" s="218"/>
      <c r="M169" s="364">
        <f t="shared" si="48"/>
        <v>0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490">
        <f>'[7]Sch C'!D181</f>
        <v>0</v>
      </c>
      <c r="D170" s="490">
        <f>'[7]Sch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3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490">
        <f>'[7]Sch C'!D182</f>
        <v>0</v>
      </c>
      <c r="D171" s="490">
        <f>'[7]Sch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490">
        <f>'[7]Sch C'!D183</f>
        <v>0</v>
      </c>
      <c r="D172" s="490">
        <f>'[7]Sch C'!F183</f>
        <v>0</v>
      </c>
      <c r="E172" s="171">
        <f t="shared" si="45"/>
        <v>0</v>
      </c>
      <c r="F172" s="216"/>
      <c r="G172" s="171">
        <f t="shared" si="46"/>
        <v>0</v>
      </c>
      <c r="H172" s="172">
        <f t="shared" si="47"/>
        <v>0</v>
      </c>
      <c r="I172" s="343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490">
        <f>'[7]Sch C'!D184</f>
        <v>0</v>
      </c>
      <c r="D173" s="490">
        <f>'[7]Sch C'!F184</f>
        <v>0</v>
      </c>
      <c r="E173" s="171">
        <f t="shared" si="45"/>
        <v>0</v>
      </c>
      <c r="F173" s="216"/>
      <c r="G173" s="171">
        <f t="shared" si="46"/>
        <v>0</v>
      </c>
      <c r="H173" s="172">
        <f t="shared" si="47"/>
        <v>0</v>
      </c>
      <c r="I173" s="344"/>
      <c r="J173" s="222"/>
      <c r="K173" s="222"/>
      <c r="L173" s="218"/>
      <c r="M173" s="364">
        <f t="shared" si="48"/>
        <v>0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490">
        <f>'[7]Sch C'!D185</f>
        <v>0</v>
      </c>
      <c r="D174" s="490">
        <f>'[7]Sch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3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490">
        <f>'[7]Sch C'!D186</f>
        <v>0</v>
      </c>
      <c r="D175" s="490">
        <f>'[7]Sch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490">
        <f>'[7]Sch C'!D187</f>
        <v>0</v>
      </c>
      <c r="D176" s="490">
        <f>'[7]Sch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490">
        <f>'[7]Sch C'!D188</f>
        <v>0</v>
      </c>
      <c r="D177" s="490">
        <f>'[7]Sch C'!F188</f>
        <v>0</v>
      </c>
      <c r="E177" s="171">
        <f t="shared" si="45"/>
        <v>0</v>
      </c>
      <c r="F177" s="216"/>
      <c r="G177" s="171">
        <f t="shared" si="46"/>
        <v>0</v>
      </c>
      <c r="H177" s="172">
        <f t="shared" si="47"/>
        <v>0</v>
      </c>
      <c r="I177" s="337"/>
      <c r="J177" s="223"/>
      <c r="K177" s="218"/>
      <c r="L177" s="220"/>
      <c r="M177" s="364">
        <f t="shared" si="48"/>
        <v>0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490">
        <f>'[7]Sch C'!D189</f>
        <v>0</v>
      </c>
      <c r="D178" s="490">
        <f>'[7]Sch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337"/>
      <c r="J178" s="223"/>
      <c r="K178" s="218"/>
      <c r="L178" s="220"/>
      <c r="M178" s="364">
        <f t="shared" si="48"/>
        <v>0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490">
        <f>'[7]Sch C'!D190</f>
        <v>0</v>
      </c>
      <c r="D179" s="490">
        <f>'[7]Sch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490">
        <f>'[7]Sch C'!D191</f>
        <v>0</v>
      </c>
      <c r="D180" s="490">
        <f>'[7]Sch C'!F191</f>
        <v>0</v>
      </c>
      <c r="E180" s="171">
        <f t="shared" si="45"/>
        <v>0</v>
      </c>
      <c r="F180" s="216"/>
      <c r="G180" s="171">
        <f t="shared" si="46"/>
        <v>0</v>
      </c>
      <c r="H180" s="172">
        <f t="shared" si="47"/>
        <v>0</v>
      </c>
      <c r="I180" s="337"/>
      <c r="J180" s="223"/>
      <c r="K180" s="218"/>
      <c r="L180" s="220"/>
      <c r="M180" s="364">
        <f t="shared" si="48"/>
        <v>0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490">
        <f>'[7]Sch C'!D192</f>
        <v>0</v>
      </c>
      <c r="D181" s="490">
        <f>'[7]Sch C'!F192</f>
        <v>0</v>
      </c>
      <c r="E181" s="171">
        <f t="shared" si="45"/>
        <v>0</v>
      </c>
      <c r="F181" s="216"/>
      <c r="G181" s="171">
        <f t="shared" si="46"/>
        <v>0</v>
      </c>
      <c r="H181" s="172">
        <f t="shared" si="47"/>
        <v>0</v>
      </c>
      <c r="I181" s="337"/>
      <c r="J181" s="223"/>
      <c r="K181" s="218"/>
      <c r="L181" s="220"/>
      <c r="M181" s="364">
        <f t="shared" si="48"/>
        <v>0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490">
        <f>'[7]Sch C'!D193</f>
        <v>0</v>
      </c>
      <c r="D182" s="490">
        <f>'[7]Sch C'!F193</f>
        <v>0</v>
      </c>
      <c r="E182" s="171">
        <f t="shared" si="45"/>
        <v>0</v>
      </c>
      <c r="F182" s="216"/>
      <c r="G182" s="171">
        <f t="shared" si="46"/>
        <v>0</v>
      </c>
      <c r="H182" s="172">
        <f t="shared" si="47"/>
        <v>0</v>
      </c>
      <c r="I182" s="337"/>
      <c r="J182" s="223"/>
      <c r="K182" s="218"/>
      <c r="L182" s="220"/>
      <c r="M182" s="364">
        <f t="shared" si="48"/>
        <v>0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490">
        <f>'[7]Sch C'!D194</f>
        <v>139098</v>
      </c>
      <c r="D183" s="490">
        <f>'[7]Sch C'!F194</f>
        <v>-2493.58</v>
      </c>
      <c r="E183" s="171">
        <f t="shared" si="45"/>
        <v>136604.42000000001</v>
      </c>
      <c r="F183" s="216"/>
      <c r="G183" s="171">
        <f t="shared" si="46"/>
        <v>136604.42000000001</v>
      </c>
      <c r="H183" s="172">
        <f t="shared" si="47"/>
        <v>3.091731563656288E-2</v>
      </c>
      <c r="I183" s="337"/>
      <c r="J183" s="223"/>
      <c r="K183" s="218"/>
      <c r="M183" s="364">
        <f t="shared" si="48"/>
        <v>7.086394148467086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490">
        <f>'[7]Sch C'!D195</f>
        <v>31668</v>
      </c>
      <c r="D184" s="490">
        <f>'[7]Sch C'!F195</f>
        <v>-567.71</v>
      </c>
      <c r="E184" s="171">
        <f t="shared" si="45"/>
        <v>31100.29</v>
      </c>
      <c r="F184" s="216"/>
      <c r="G184" s="171">
        <f t="shared" si="46"/>
        <v>31100.29</v>
      </c>
      <c r="H184" s="172">
        <f t="shared" si="47"/>
        <v>7.0388460513842828E-3</v>
      </c>
      <c r="I184" s="337"/>
      <c r="J184" s="223"/>
      <c r="K184" s="218"/>
      <c r="M184" s="364">
        <f t="shared" si="48"/>
        <v>1.6133366187684806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490">
        <f>'[7]Sch C'!D196</f>
        <v>0</v>
      </c>
      <c r="D185" s="490">
        <f>'[7]Sch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490">
        <f>'[7]Sch C'!D197</f>
        <v>118740</v>
      </c>
      <c r="D186" s="490">
        <f>'[7]Sch C'!F197</f>
        <v>-2128.63</v>
      </c>
      <c r="E186" s="171">
        <f t="shared" si="45"/>
        <v>116611.37</v>
      </c>
      <c r="F186" s="216"/>
      <c r="G186" s="171">
        <f t="shared" si="46"/>
        <v>116611.37</v>
      </c>
      <c r="H186" s="172">
        <f t="shared" si="47"/>
        <v>2.6392341719997194E-2</v>
      </c>
      <c r="I186" s="337"/>
      <c r="J186" s="223"/>
      <c r="K186" s="218"/>
      <c r="M186" s="364">
        <f t="shared" si="48"/>
        <v>6.0492488457747573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490">
        <f>'[7]Sch C'!D198</f>
        <v>22539</v>
      </c>
      <c r="D187" s="490">
        <f>'[7]Sch C'!F198</f>
        <v>0</v>
      </c>
      <c r="E187" s="171">
        <f t="shared" si="45"/>
        <v>22539</v>
      </c>
      <c r="F187" s="216"/>
      <c r="G187" s="171">
        <f t="shared" si="46"/>
        <v>22539</v>
      </c>
      <c r="H187" s="172">
        <f t="shared" si="47"/>
        <v>5.1011920195004725E-3</v>
      </c>
      <c r="I187" s="337"/>
      <c r="J187" s="223"/>
      <c r="K187" s="218"/>
      <c r="M187" s="364">
        <f t="shared" si="48"/>
        <v>1.1692172018467604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490">
        <f>'[7]Sch C'!D199</f>
        <v>0</v>
      </c>
      <c r="D188" s="490">
        <f>'[7]Sch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7"/>
      <c r="J188" s="223"/>
      <c r="K188" s="218"/>
      <c r="M188" s="364">
        <f t="shared" si="48"/>
        <v>0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490">
        <f>'[7]Sch C'!D200</f>
        <v>0</v>
      </c>
      <c r="D189" s="490">
        <f>'[7]Sch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7"/>
      <c r="J189" s="223"/>
      <c r="K189" s="218"/>
      <c r="M189" s="364">
        <f t="shared" si="48"/>
        <v>0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490">
        <f>'[7]Sch C'!D201</f>
        <v>0</v>
      </c>
      <c r="D190" s="490">
        <f>'[7]Sch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7"/>
      <c r="J190" s="223"/>
      <c r="K190" s="218"/>
      <c r="M190" s="364">
        <f t="shared" si="48"/>
        <v>0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490">
        <f>'[7]Sch C'!D202</f>
        <v>0</v>
      </c>
      <c r="D191" s="490">
        <f>'[7]Sch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490">
        <f>'[7]Sch C'!D203</f>
        <v>0</v>
      </c>
      <c r="D192" s="490">
        <f>'[7]Sch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7"/>
      <c r="J192" s="223"/>
      <c r="K192" s="218"/>
      <c r="M192" s="364">
        <f t="shared" si="48"/>
        <v>0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490">
        <f>'[7]Sch C'!D204</f>
        <v>0</v>
      </c>
      <c r="D193" s="490">
        <f>'[7]Sch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490">
        <f>'[7]Sch C'!D205</f>
        <v>233739</v>
      </c>
      <c r="D194" s="490">
        <f>'[7]Sch C'!F205</f>
        <v>-63371.56</v>
      </c>
      <c r="E194" s="171">
        <f t="shared" si="45"/>
        <v>170367.44</v>
      </c>
      <c r="F194" s="216"/>
      <c r="G194" s="171">
        <f t="shared" si="46"/>
        <v>170367.44</v>
      </c>
      <c r="H194" s="172">
        <f t="shared" si="47"/>
        <v>3.8558810298182061E-2</v>
      </c>
      <c r="I194" s="337"/>
      <c r="J194" s="223"/>
      <c r="K194" s="218"/>
      <c r="M194" s="364">
        <f t="shared" si="48"/>
        <v>8.8378606629662286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490">
        <f>'[7]Sch C'!D206</f>
        <v>13945</v>
      </c>
      <c r="D195" s="490">
        <f>'[7]Sch C'!F206</f>
        <v>0</v>
      </c>
      <c r="E195" s="171">
        <f t="shared" si="45"/>
        <v>13945</v>
      </c>
      <c r="F195" s="216"/>
      <c r="G195" s="171">
        <f t="shared" si="46"/>
        <v>13945</v>
      </c>
      <c r="H195" s="172">
        <f t="shared" si="47"/>
        <v>3.1561348201754329E-3</v>
      </c>
      <c r="I195" s="337"/>
      <c r="J195" s="223"/>
      <c r="K195" s="218"/>
      <c r="M195" s="364">
        <f t="shared" si="48"/>
        <v>0.72340094413031075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490">
        <f>'[7]Sch C'!D207</f>
        <v>1923</v>
      </c>
      <c r="D196" s="490">
        <f>'[7]Sch C'!F207</f>
        <v>0</v>
      </c>
      <c r="E196" s="171">
        <f t="shared" si="45"/>
        <v>1923</v>
      </c>
      <c r="F196" s="216"/>
      <c r="G196" s="171">
        <f t="shared" si="46"/>
        <v>1923</v>
      </c>
      <c r="H196" s="172">
        <f t="shared" si="47"/>
        <v>4.3522748362835118E-4</v>
      </c>
      <c r="I196" s="337"/>
      <c r="J196" s="223"/>
      <c r="K196" s="218"/>
      <c r="M196" s="364">
        <f t="shared" si="48"/>
        <v>9.9756186128546975E-2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490">
        <f>SUM(C164:C196)</f>
        <v>561652</v>
      </c>
      <c r="D197" s="490">
        <f>SUM(D164:D196)</f>
        <v>-68561.48</v>
      </c>
      <c r="E197" s="171">
        <f t="shared" ref="E197:F197" si="49">SUM(E164:E196)</f>
        <v>493090.52</v>
      </c>
      <c r="F197" s="171">
        <f t="shared" si="49"/>
        <v>0</v>
      </c>
      <c r="G197" s="171">
        <f>SUM(G164:G196)</f>
        <v>493090.52</v>
      </c>
      <c r="H197" s="172">
        <f>IF($G$208=0,0,G197/$G$208)</f>
        <v>0.11159986802943067</v>
      </c>
      <c r="I197" s="337"/>
      <c r="J197" s="168"/>
      <c r="K197" s="168"/>
      <c r="M197" s="364">
        <f>G197/G$228</f>
        <v>25.579214608082172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165"/>
      <c r="G198" s="165"/>
      <c r="H198" s="198"/>
      <c r="I198" s="341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1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490">
        <f>'[7]Sch C'!D211</f>
        <v>81738</v>
      </c>
      <c r="D200" s="490">
        <f>'[7]Sch C'!F211</f>
        <v>0</v>
      </c>
      <c r="E200" s="171">
        <f t="shared" ref="E200:E205" si="50">C200+D200</f>
        <v>81738</v>
      </c>
      <c r="F200" s="171"/>
      <c r="G200" s="171">
        <f t="shared" ref="G200:G205" si="51">E200+F200</f>
        <v>81738</v>
      </c>
      <c r="H200" s="172">
        <f t="shared" ref="H200:H206" si="52">IF($G$208=0,0,G200/$G$208)</f>
        <v>1.849954449132302E-2</v>
      </c>
      <c r="I200" s="337"/>
      <c r="J200" s="183">
        <v>3690</v>
      </c>
      <c r="K200" s="183">
        <v>3768</v>
      </c>
      <c r="M200" s="364">
        <f t="shared" ref="M200:M205" si="53">G200/G$228</f>
        <v>4.2401826010271311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490">
        <f>'[7]Sch C'!D212</f>
        <v>9753</v>
      </c>
      <c r="D201" s="490">
        <f>'[7]Sch C'!F212</f>
        <v>0</v>
      </c>
      <c r="E201" s="171">
        <f t="shared" si="50"/>
        <v>9753</v>
      </c>
      <c r="F201" s="171"/>
      <c r="G201" s="171">
        <f t="shared" si="51"/>
        <v>9753</v>
      </c>
      <c r="H201" s="172">
        <f t="shared" si="52"/>
        <v>2.2073705916938685E-3</v>
      </c>
      <c r="I201" s="337"/>
      <c r="J201" s="168"/>
      <c r="K201" s="168"/>
      <c r="M201" s="364">
        <f t="shared" si="53"/>
        <v>0.50593972091093009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490">
        <f>'[7]Sch C'!D213</f>
        <v>8871</v>
      </c>
      <c r="D202" s="490">
        <f>'[7]Sch C'!F213</f>
        <v>0</v>
      </c>
      <c r="E202" s="171">
        <f t="shared" si="50"/>
        <v>8871</v>
      </c>
      <c r="F202" s="171"/>
      <c r="G202" s="171">
        <f t="shared" si="51"/>
        <v>8871</v>
      </c>
      <c r="H202" s="172">
        <f t="shared" si="52"/>
        <v>2.0077498737738446E-3</v>
      </c>
      <c r="I202" s="337"/>
      <c r="J202" s="168"/>
      <c r="K202" s="168"/>
      <c r="M202" s="364">
        <f t="shared" si="53"/>
        <v>0.46018571354463866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490">
        <f>'[7]Sch C'!D214</f>
        <v>0</v>
      </c>
      <c r="D203" s="490">
        <f>'[7]Sch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>
        <f t="shared" si="53"/>
        <v>0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490">
        <f>'[7]Sch C'!D215</f>
        <v>0</v>
      </c>
      <c r="D204" s="490">
        <f>'[7]Sch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490">
        <f>'[7]Sch C'!D216</f>
        <v>6628</v>
      </c>
      <c r="D205" s="490">
        <f>'[7]Sch C'!F216</f>
        <v>0</v>
      </c>
      <c r="E205" s="171">
        <f t="shared" si="50"/>
        <v>6628</v>
      </c>
      <c r="F205" s="171"/>
      <c r="G205" s="171">
        <f t="shared" si="51"/>
        <v>6628</v>
      </c>
      <c r="H205" s="172">
        <f t="shared" si="52"/>
        <v>1.5000976398797253E-3</v>
      </c>
      <c r="I205" s="337"/>
      <c r="J205" s="168"/>
      <c r="K205" s="168"/>
      <c r="M205" s="364">
        <f t="shared" si="53"/>
        <v>0.34382943404056648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490">
        <f>SUM(C200:C205)</f>
        <v>106990</v>
      </c>
      <c r="D206" s="490">
        <f>SUM(D200:D205)</f>
        <v>0</v>
      </c>
      <c r="E206" s="171">
        <f t="shared" ref="E206:F206" si="54">SUM(E200:E205)</f>
        <v>106990</v>
      </c>
      <c r="F206" s="171">
        <f t="shared" si="54"/>
        <v>0</v>
      </c>
      <c r="G206" s="171">
        <f>SUM(G200:G205)</f>
        <v>106990</v>
      </c>
      <c r="H206" s="172">
        <f t="shared" si="52"/>
        <v>2.421476259667046E-2</v>
      </c>
      <c r="I206" s="337"/>
      <c r="J206" s="168"/>
      <c r="K206" s="168"/>
      <c r="M206" s="364">
        <f>G206/G$228</f>
        <v>5.5501374695232659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490">
        <f>SUM(C25:C206)/2</f>
        <v>4566529</v>
      </c>
      <c r="D208" s="490">
        <f>SUM(D25:D206)/2</f>
        <v>-148149.93999999997</v>
      </c>
      <c r="E208" s="171">
        <f t="shared" ref="E208:F208" si="55">SUM(E25:E206)/2</f>
        <v>4418379.0600000005</v>
      </c>
      <c r="F208" s="171">
        <f t="shared" si="55"/>
        <v>0</v>
      </c>
      <c r="G208" s="171">
        <f>SUM(G25:G206)/2</f>
        <v>4418379.0600000005</v>
      </c>
      <c r="H208" s="172">
        <f>IF($G$208=0,0,G208/$G$208)</f>
        <v>1</v>
      </c>
      <c r="I208" s="337"/>
      <c r="J208" s="183">
        <f>SUM(J25:J200)</f>
        <v>107991</v>
      </c>
      <c r="K208" s="183">
        <f>SUM(K25:K200)</f>
        <v>114736</v>
      </c>
      <c r="M208" s="364">
        <f>G208/G$228</f>
        <v>229.20470301395449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490">
        <f>'[7]Sch C'!D221</f>
        <v>4566529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490">
        <f>C208-C211</f>
        <v>0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585"/>
      <c r="D213" s="232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490">
        <f>C21-C208</f>
        <v>-276521</v>
      </c>
      <c r="D215" s="490">
        <f>D21-D208</f>
        <v>205833.93999999997</v>
      </c>
      <c r="E215" s="171">
        <f t="shared" ref="E215:F215" si="56">E21-E208</f>
        <v>-70687.060000000522</v>
      </c>
      <c r="F215" s="171">
        <f t="shared" si="56"/>
        <v>0</v>
      </c>
      <c r="G215" s="171">
        <f>G21-G208</f>
        <v>-70687.060000000522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491">
        <f>'[7]Sch D'!C9</f>
        <v>12306</v>
      </c>
      <c r="D219" s="491"/>
      <c r="E219" s="235">
        <f t="shared" ref="E219:G227" si="57">C219+D219</f>
        <v>12306</v>
      </c>
      <c r="F219" s="234"/>
      <c r="G219" s="235">
        <f t="shared" si="57"/>
        <v>12306</v>
      </c>
      <c r="H219" s="172">
        <f t="shared" ref="H219:H228" si="58">IF($G$228=0,0,G219/$G$228)</f>
        <v>0.63837734087254239</v>
      </c>
      <c r="I219" s="337"/>
      <c r="J219" s="168"/>
      <c r="K219" s="168"/>
    </row>
    <row r="220" spans="1:14">
      <c r="A220" s="163"/>
      <c r="B220" s="170" t="s">
        <v>217</v>
      </c>
      <c r="C220" s="491">
        <f>'[7]Sch D'!D9</f>
        <v>0</v>
      </c>
      <c r="D220" s="491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7"/>
      <c r="J220" s="168"/>
      <c r="K220" s="168"/>
    </row>
    <row r="221" spans="1:14">
      <c r="A221" s="163"/>
      <c r="B221" s="170" t="s">
        <v>72</v>
      </c>
      <c r="C221" s="491">
        <f>'[7]Sch D'!E9</f>
        <v>1470</v>
      </c>
      <c r="D221" s="491"/>
      <c r="E221" s="235">
        <f t="shared" si="59"/>
        <v>1470</v>
      </c>
      <c r="F221" s="234"/>
      <c r="G221" s="235">
        <f t="shared" si="57"/>
        <v>1470</v>
      </c>
      <c r="H221" s="172">
        <f t="shared" si="58"/>
        <v>7.6256678943819059E-2</v>
      </c>
      <c r="I221" s="337"/>
      <c r="J221" s="168"/>
      <c r="K221" s="168"/>
    </row>
    <row r="222" spans="1:14">
      <c r="A222" s="163"/>
      <c r="B222" s="202" t="s">
        <v>334</v>
      </c>
      <c r="C222" s="491">
        <f>'[7]Sch D'!F9</f>
        <v>1506</v>
      </c>
      <c r="D222" s="491"/>
      <c r="E222" s="235">
        <f>C222+D222</f>
        <v>1506</v>
      </c>
      <c r="F222" s="234"/>
      <c r="G222" s="235">
        <f>E222+F222</f>
        <v>1506</v>
      </c>
      <c r="H222" s="172">
        <f t="shared" si="58"/>
        <v>7.8124189448565654E-2</v>
      </c>
      <c r="I222" s="337"/>
      <c r="J222" s="168"/>
      <c r="K222" s="168"/>
    </row>
    <row r="223" spans="1:14">
      <c r="A223" s="163"/>
      <c r="B223" s="170" t="s">
        <v>73</v>
      </c>
      <c r="C223" s="491">
        <f>'[7]Sch D'!G9</f>
        <v>0</v>
      </c>
      <c r="D223" s="491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7"/>
      <c r="J223" s="168"/>
      <c r="K223" s="168"/>
    </row>
    <row r="224" spans="1:14">
      <c r="A224" s="163"/>
      <c r="B224" s="170" t="s">
        <v>74</v>
      </c>
      <c r="C224" s="491">
        <f>'[7]Sch D'!H9</f>
        <v>696</v>
      </c>
      <c r="D224" s="491"/>
      <c r="E224" s="235">
        <f t="shared" si="59"/>
        <v>696</v>
      </c>
      <c r="F224" s="234"/>
      <c r="G224" s="235">
        <f t="shared" si="57"/>
        <v>696</v>
      </c>
      <c r="H224" s="172">
        <f t="shared" si="58"/>
        <v>3.6105203091767388E-2</v>
      </c>
      <c r="I224" s="337"/>
      <c r="J224" s="168"/>
      <c r="K224" s="168"/>
    </row>
    <row r="225" spans="1:11">
      <c r="A225" s="163"/>
      <c r="B225" s="170" t="s">
        <v>236</v>
      </c>
      <c r="C225" s="491">
        <f>'[7]Sch D'!I9</f>
        <v>309</v>
      </c>
      <c r="D225" s="491"/>
      <c r="E225" s="235">
        <f t="shared" si="59"/>
        <v>309</v>
      </c>
      <c r="F225" s="234"/>
      <c r="G225" s="235">
        <f t="shared" si="57"/>
        <v>309</v>
      </c>
      <c r="H225" s="172">
        <f t="shared" si="58"/>
        <v>1.6029465165741556E-2</v>
      </c>
      <c r="I225" s="337"/>
      <c r="J225" s="168"/>
      <c r="K225" s="168"/>
    </row>
    <row r="226" spans="1:11">
      <c r="A226" s="163"/>
      <c r="B226" s="170" t="s">
        <v>235</v>
      </c>
      <c r="C226" s="491">
        <f>'[7]Sch D'!J9</f>
        <v>2972</v>
      </c>
      <c r="D226" s="491"/>
      <c r="E226" s="235">
        <f>C226+D226</f>
        <v>2972</v>
      </c>
      <c r="F226" s="234"/>
      <c r="G226" s="235">
        <f>E226+F226</f>
        <v>2972</v>
      </c>
      <c r="H226" s="172">
        <f t="shared" si="58"/>
        <v>0.15417336722519065</v>
      </c>
      <c r="I226" s="337"/>
      <c r="J226" s="168"/>
      <c r="K226" s="168"/>
    </row>
    <row r="227" spans="1:11">
      <c r="A227" s="163"/>
      <c r="B227" s="170" t="s">
        <v>179</v>
      </c>
      <c r="C227" s="491">
        <f>'[7]Sch D'!K9</f>
        <v>18</v>
      </c>
      <c r="D227" s="491"/>
      <c r="E227" s="235">
        <f t="shared" si="59"/>
        <v>18</v>
      </c>
      <c r="F227" s="234"/>
      <c r="G227" s="235">
        <f t="shared" si="57"/>
        <v>18</v>
      </c>
      <c r="H227" s="172">
        <f t="shared" si="58"/>
        <v>9.3375525237329455E-4</v>
      </c>
      <c r="I227" s="337"/>
      <c r="J227" s="168"/>
      <c r="K227" s="168"/>
    </row>
    <row r="228" spans="1:11" ht="13.5" thickBot="1">
      <c r="A228" s="163"/>
      <c r="B228" s="236" t="s">
        <v>75</v>
      </c>
      <c r="C228" s="491">
        <f>SUM(C219:C227)</f>
        <v>19277</v>
      </c>
      <c r="D228" s="491">
        <f>SUM(D219:D227)</f>
        <v>0</v>
      </c>
      <c r="E228" s="237">
        <f>SUM(E219:E227)</f>
        <v>19277</v>
      </c>
      <c r="F228" s="237">
        <f>SUM(F219:F227)</f>
        <v>0</v>
      </c>
      <c r="G228" s="237">
        <f>SUM(G219:G227)</f>
        <v>19277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586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585"/>
      <c r="D230" s="232"/>
      <c r="E230" s="232"/>
      <c r="F230" s="319" t="s">
        <v>491</v>
      </c>
      <c r="G230" s="232"/>
      <c r="H230" s="167"/>
      <c r="J230" s="168"/>
      <c r="K230" s="168"/>
    </row>
    <row r="231" spans="1:11">
      <c r="A231" s="163"/>
      <c r="B231" s="202" t="s">
        <v>219</v>
      </c>
      <c r="C231" s="492">
        <f>'[7]Sch D'!N22</f>
        <v>76</v>
      </c>
      <c r="D231" s="526"/>
      <c r="E231" s="235">
        <f>C231+D231</f>
        <v>76</v>
      </c>
      <c r="F231" s="183">
        <v>-15</v>
      </c>
      <c r="G231" s="235">
        <f>E231+F231</f>
        <v>61</v>
      </c>
      <c r="H231" s="522" t="s">
        <v>663</v>
      </c>
      <c r="J231" s="168"/>
      <c r="K231" s="168"/>
    </row>
    <row r="232" spans="1:11">
      <c r="A232" s="163"/>
      <c r="B232" s="202" t="s">
        <v>290</v>
      </c>
      <c r="C232" s="492">
        <f>'[7]Sch D'!N24</f>
        <v>76</v>
      </c>
      <c r="D232" s="526"/>
      <c r="E232" s="235">
        <f>C232+D232</f>
        <v>76</v>
      </c>
      <c r="F232" s="183">
        <v>-15</v>
      </c>
      <c r="G232" s="235">
        <f>E232+F232</f>
        <v>61</v>
      </c>
      <c r="H232" s="522" t="s">
        <v>494</v>
      </c>
      <c r="J232" s="168"/>
      <c r="K232" s="168"/>
    </row>
    <row r="233" spans="1:11">
      <c r="A233" s="163"/>
      <c r="B233" s="202" t="s">
        <v>76</v>
      </c>
      <c r="C233" s="492">
        <f>$C$4-$C$3+1</f>
        <v>365</v>
      </c>
      <c r="D233" s="489"/>
      <c r="E233" s="235">
        <f>C233+D233</f>
        <v>365</v>
      </c>
      <c r="F233" s="240"/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587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492">
        <f>'[7]Sch D'!N28</f>
        <v>27740</v>
      </c>
      <c r="D235" s="489"/>
      <c r="E235" s="234">
        <f>E231*E233</f>
        <v>27740</v>
      </c>
      <c r="F235" s="240"/>
      <c r="G235" s="234">
        <f>G231*G233</f>
        <v>22265</v>
      </c>
      <c r="H235" s="167"/>
      <c r="J235" s="168"/>
      <c r="K235" s="168"/>
    </row>
    <row r="236" spans="1:11" ht="26">
      <c r="A236" s="163"/>
      <c r="B236" s="244" t="s">
        <v>336</v>
      </c>
      <c r="C236" s="493">
        <f>'[7]Sch D'!N30</f>
        <v>0.69491708723864454</v>
      </c>
      <c r="D236" s="240"/>
      <c r="E236" s="245">
        <f>E228/E235</f>
        <v>0.69491708723864454</v>
      </c>
      <c r="F236" s="246"/>
      <c r="G236" s="245">
        <f>G228/G235</f>
        <v>0.86579833819896701</v>
      </c>
      <c r="H236" s="167"/>
      <c r="J236" s="168"/>
      <c r="K236" s="168"/>
    </row>
    <row r="237" spans="1:11" ht="26">
      <c r="A237" s="163"/>
      <c r="B237" s="244" t="s">
        <v>337</v>
      </c>
      <c r="C237" s="493">
        <f>'[7]Sch D'!N32</f>
        <v>0.44361932227829848</v>
      </c>
      <c r="D237" s="240"/>
      <c r="E237" s="245">
        <f>(E219+E220)/E235</f>
        <v>0.44361932227829848</v>
      </c>
      <c r="F237" s="246"/>
      <c r="G237" s="245">
        <f>(G219+G220)/G235</f>
        <v>0.55270604087132269</v>
      </c>
      <c r="H237" s="167"/>
      <c r="J237" s="168"/>
      <c r="K237" s="168"/>
    </row>
    <row r="238" spans="1:11" ht="26">
      <c r="A238" s="163"/>
      <c r="B238" s="244" t="s">
        <v>338</v>
      </c>
      <c r="C238" s="493">
        <f>'[7]Sch D'!N34</f>
        <v>0.63837734087254239</v>
      </c>
      <c r="D238" s="240"/>
      <c r="E238" s="245">
        <f>(E237/E236)</f>
        <v>0.63837734087254239</v>
      </c>
      <c r="F238" s="246"/>
      <c r="G238" s="245">
        <f>(G237/G236)</f>
        <v>0.63837734087254239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490">
        <f>'[7]Sch B'!C85</f>
        <v>227.22654462242562</v>
      </c>
    </row>
    <row r="242" spans="2:7">
      <c r="B242" s="465" t="s">
        <v>492</v>
      </c>
      <c r="F242" s="142" t="s">
        <v>341</v>
      </c>
      <c r="G242" s="490">
        <f>'[7]Sch B'!E85</f>
        <v>250.11160714285714</v>
      </c>
    </row>
    <row r="243" spans="2:7">
      <c r="B243" s="465" t="s">
        <v>493</v>
      </c>
      <c r="F243" s="142" t="s">
        <v>342</v>
      </c>
      <c r="G243" s="490">
        <f>'[7]Sch B'!G85</f>
        <v>291.54838709677421</v>
      </c>
    </row>
    <row r="244" spans="2:7">
      <c r="F244" s="142" t="s">
        <v>343</v>
      </c>
      <c r="G244" s="490">
        <f>'[7]Sch B'!I85</f>
        <v>287.18846153846152</v>
      </c>
    </row>
    <row r="245" spans="2:7">
      <c r="F245" s="142"/>
    </row>
  </sheetData>
  <mergeCells count="1">
    <mergeCell ref="I160:K160"/>
  </mergeCells>
  <printOptions horizontalCentered="1"/>
  <pageMargins left="0" right="0" top="0.75" bottom="1" header="0.5" footer="0.5"/>
  <pageSetup scale="70" orientation="portrait" horizontalDpi="300" verticalDpi="300" r:id="rId1"/>
  <headerFooter alignWithMargins="0">
    <oddFooter>&amp;R&amp;D
&amp;T
&amp;F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7">
    <tabColor rgb="FFE28CAB"/>
  </sheetPr>
  <dimension ref="A1:Q246"/>
  <sheetViews>
    <sheetView showGridLines="0" zoomScale="90" zoomScaleNormal="90" workbookViewId="0">
      <selection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478" t="s">
        <v>676</v>
      </c>
      <c r="D1" s="478"/>
      <c r="E1" s="478"/>
      <c r="F1" s="478"/>
      <c r="G1" s="456" t="s">
        <v>397</v>
      </c>
      <c r="H1" s="478"/>
      <c r="I1" s="479"/>
    </row>
    <row r="2" spans="1:14" ht="23">
      <c r="B2" s="143" t="s">
        <v>189</v>
      </c>
      <c r="C2" s="247" t="s">
        <v>396</v>
      </c>
      <c r="D2" s="247"/>
      <c r="E2" s="144"/>
      <c r="G2" s="456" t="s">
        <v>555</v>
      </c>
    </row>
    <row r="3" spans="1:14">
      <c r="A3" s="145"/>
      <c r="B3" s="140" t="s">
        <v>79</v>
      </c>
      <c r="C3" s="495">
        <v>41821</v>
      </c>
      <c r="D3" s="144"/>
      <c r="E3" s="147"/>
      <c r="F3" s="451" t="s">
        <v>556</v>
      </c>
    </row>
    <row r="4" spans="1:14">
      <c r="A4" s="145"/>
      <c r="B4" s="148" t="s">
        <v>80</v>
      </c>
      <c r="C4" s="495">
        <v>42185</v>
      </c>
      <c r="D4" s="144"/>
      <c r="E4" s="149"/>
      <c r="F4" s="451" t="s">
        <v>557</v>
      </c>
      <c r="G4" s="150"/>
    </row>
    <row r="5" spans="1:14">
      <c r="A5" s="145"/>
      <c r="B5" s="148"/>
      <c r="C5" s="625" t="s">
        <v>566</v>
      </c>
      <c r="D5" s="144"/>
      <c r="F5" s="451" t="s">
        <v>559</v>
      </c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589" t="s">
        <v>558</v>
      </c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598" t="s">
        <v>541</v>
      </c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490">
        <f>'[72]Sch B'!E10</f>
        <v>1724359</v>
      </c>
      <c r="D11" s="490">
        <f>'[72]Sch B'!G10</f>
        <v>0</v>
      </c>
      <c r="E11" s="171">
        <f>C11+D11</f>
        <v>1724359</v>
      </c>
      <c r="F11" s="171">
        <v>403068</v>
      </c>
      <c r="G11" s="171">
        <f t="shared" ref="G11:G20" si="0">E11+F11</f>
        <v>2127427</v>
      </c>
      <c r="H11" s="172">
        <f t="shared" ref="H11:H21" si="1">IF($G$21=0,0,G11/$G$21)</f>
        <v>0.42660977271697287</v>
      </c>
      <c r="I11" s="337"/>
      <c r="J11" s="368" t="s">
        <v>344</v>
      </c>
      <c r="K11" s="369">
        <f>G21</f>
        <v>4986822</v>
      </c>
      <c r="M11" s="359">
        <f>IFERROR(G11/G219,0)</f>
        <v>169.13873429798059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490">
        <f>'[72]Sch B'!E15</f>
        <v>0</v>
      </c>
      <c r="D12" s="490">
        <f>'[72]Sch B'!G15</f>
        <v>0</v>
      </c>
      <c r="E12" s="171">
        <f t="shared" ref="E12:E20" si="2">C12+D12</f>
        <v>0</v>
      </c>
      <c r="F12" s="171">
        <v>0</v>
      </c>
      <c r="G12" s="171">
        <f t="shared" si="0"/>
        <v>0</v>
      </c>
      <c r="H12" s="172">
        <f t="shared" si="1"/>
        <v>0</v>
      </c>
      <c r="I12" s="337"/>
      <c r="J12" s="370" t="s">
        <v>345</v>
      </c>
      <c r="K12" s="371">
        <f>G208</f>
        <v>5618387.3560299035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490">
        <f>'[72]Sch B'!E21</f>
        <v>1524407</v>
      </c>
      <c r="D13" s="490">
        <f>'[72]Sch B'!G21</f>
        <v>0</v>
      </c>
      <c r="E13" s="171">
        <f t="shared" si="2"/>
        <v>1524407</v>
      </c>
      <c r="F13" s="171">
        <v>273265</v>
      </c>
      <c r="G13" s="171">
        <f t="shared" si="0"/>
        <v>1797672</v>
      </c>
      <c r="H13" s="172">
        <f t="shared" si="1"/>
        <v>0.36048449292956514</v>
      </c>
      <c r="I13" s="337"/>
      <c r="J13" s="370" t="s">
        <v>346</v>
      </c>
      <c r="K13" s="371">
        <f>G228</f>
        <v>19604</v>
      </c>
      <c r="M13" s="359">
        <f t="shared" si="3"/>
        <v>592.3136738056013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490">
        <f>'[72]Sch B'!E27</f>
        <v>346995</v>
      </c>
      <c r="D14" s="490">
        <f>'[72]Sch B'!G27</f>
        <v>0</v>
      </c>
      <c r="E14" s="171">
        <f t="shared" si="2"/>
        <v>346995</v>
      </c>
      <c r="F14" s="175">
        <v>47381</v>
      </c>
      <c r="G14" s="175">
        <f t="shared" si="0"/>
        <v>394376</v>
      </c>
      <c r="H14" s="176">
        <f t="shared" si="1"/>
        <v>7.9083632822667421E-2</v>
      </c>
      <c r="I14" s="338"/>
      <c r="J14" s="370" t="s">
        <v>347</v>
      </c>
      <c r="K14" s="371">
        <f>G231</f>
        <v>130</v>
      </c>
      <c r="M14" s="359">
        <f t="shared" si="3"/>
        <v>439.66109253065775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490">
        <f>'[72]Sch B'!E32</f>
        <v>0</v>
      </c>
      <c r="D15" s="490">
        <f>'[72]Sch B'!G32</f>
        <v>0</v>
      </c>
      <c r="E15" s="171">
        <f t="shared" si="2"/>
        <v>0</v>
      </c>
      <c r="F15" s="171">
        <v>0</v>
      </c>
      <c r="G15" s="171">
        <f t="shared" si="0"/>
        <v>0</v>
      </c>
      <c r="H15" s="172">
        <f t="shared" si="1"/>
        <v>0</v>
      </c>
      <c r="I15" s="337"/>
      <c r="J15" s="370" t="s">
        <v>348</v>
      </c>
      <c r="K15" s="371">
        <f>G235</f>
        <v>47450</v>
      </c>
      <c r="M15" s="359">
        <f t="shared" si="3"/>
        <v>0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490">
        <f>'[72]Sch B'!E37</f>
        <v>495218</v>
      </c>
      <c r="D16" s="490">
        <f>'[72]Sch B'!G37</f>
        <v>0</v>
      </c>
      <c r="E16" s="171">
        <f t="shared" si="2"/>
        <v>495218</v>
      </c>
      <c r="F16" s="171">
        <v>83196</v>
      </c>
      <c r="G16" s="171">
        <f t="shared" si="0"/>
        <v>578414</v>
      </c>
      <c r="H16" s="172">
        <f t="shared" si="1"/>
        <v>0.11598849928872536</v>
      </c>
      <c r="I16" s="337"/>
      <c r="J16" s="372"/>
      <c r="K16" s="371"/>
      <c r="M16" s="359">
        <f t="shared" si="3"/>
        <v>226.47376664056381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490">
        <f>'[72]Sch B'!E42</f>
        <v>0</v>
      </c>
      <c r="D17" s="490">
        <f>'[72]Sch B'!G42</f>
        <v>72216</v>
      </c>
      <c r="E17" s="171">
        <f t="shared" si="2"/>
        <v>72216</v>
      </c>
      <c r="F17" s="171">
        <v>0</v>
      </c>
      <c r="G17" s="171">
        <f t="shared" si="0"/>
        <v>72216</v>
      </c>
      <c r="H17" s="172">
        <f t="shared" si="1"/>
        <v>1.4481367091105318E-2</v>
      </c>
      <c r="I17" s="337"/>
      <c r="J17" s="370" t="s">
        <v>156</v>
      </c>
      <c r="K17" s="371">
        <f>J208</f>
        <v>104741</v>
      </c>
      <c r="M17" s="359">
        <f t="shared" si="3"/>
        <v>167.16666666666666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490">
        <f>'[72]Sch B'!E47</f>
        <v>73052</v>
      </c>
      <c r="D18" s="490">
        <f>'[72]Sch B'!G47</f>
        <v>-72216</v>
      </c>
      <c r="E18" s="171">
        <f t="shared" si="2"/>
        <v>836</v>
      </c>
      <c r="F18" s="171">
        <v>16354</v>
      </c>
      <c r="G18" s="171">
        <f t="shared" si="0"/>
        <v>17190</v>
      </c>
      <c r="H18" s="172">
        <f t="shared" si="1"/>
        <v>3.4470851375886288E-3</v>
      </c>
      <c r="I18" s="337"/>
      <c r="J18" s="373" t="s">
        <v>252</v>
      </c>
      <c r="K18" s="374">
        <f>K208</f>
        <v>110606</v>
      </c>
      <c r="M18" s="359">
        <f t="shared" si="3"/>
        <v>159.16666666666666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490">
        <f>'[72]Sch B'!E52</f>
        <v>0</v>
      </c>
      <c r="D19" s="490">
        <f>'[72]Sch B'!G52</f>
        <v>0</v>
      </c>
      <c r="E19" s="171">
        <f t="shared" si="2"/>
        <v>0</v>
      </c>
      <c r="F19" s="171">
        <v>0</v>
      </c>
      <c r="G19" s="171">
        <f t="shared" si="0"/>
        <v>0</v>
      </c>
      <c r="H19" s="172">
        <f t="shared" si="1"/>
        <v>0</v>
      </c>
      <c r="I19" s="337"/>
      <c r="J19" s="168"/>
      <c r="K19" s="168"/>
      <c r="M19" s="359">
        <f t="shared" si="3"/>
        <v>0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490">
        <f>'[72]Sch B'!E67</f>
        <v>2107</v>
      </c>
      <c r="D20" s="490">
        <f>'[72]Sch B'!G67</f>
        <v>-2580</v>
      </c>
      <c r="E20" s="171">
        <f t="shared" si="2"/>
        <v>-473</v>
      </c>
      <c r="F20" s="171">
        <v>0</v>
      </c>
      <c r="G20" s="171">
        <f t="shared" si="0"/>
        <v>-473</v>
      </c>
      <c r="H20" s="172">
        <f t="shared" si="1"/>
        <v>-9.4849986624748181E-5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490">
        <f>SUM(C11:C20)</f>
        <v>4166138</v>
      </c>
      <c r="D21" s="490">
        <f>SUM(D11:D20)</f>
        <v>-2580</v>
      </c>
      <c r="E21" s="171">
        <f>SUM(E11:E20)</f>
        <v>4163558</v>
      </c>
      <c r="F21" s="171">
        <f>SUM(F11:F20)</f>
        <v>823264</v>
      </c>
      <c r="G21" s="171">
        <f>SUM(G11:G20)</f>
        <v>4986822</v>
      </c>
      <c r="H21" s="172">
        <f t="shared" si="1"/>
        <v>1</v>
      </c>
      <c r="I21" s="337"/>
      <c r="J21" s="168"/>
      <c r="K21" s="168"/>
      <c r="M21" s="359">
        <f>IFERROR(G21/G228,0)</f>
        <v>254.37778004488879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589" t="s">
        <v>558</v>
      </c>
      <c r="G23" s="144"/>
      <c r="J23" s="627" t="s">
        <v>572</v>
      </c>
      <c r="M23" s="363"/>
      <c r="N23" s="363"/>
    </row>
    <row r="24" spans="1:14">
      <c r="A24" s="181" t="s">
        <v>161</v>
      </c>
      <c r="B24" s="148" t="s">
        <v>12</v>
      </c>
      <c r="F24" s="598" t="s">
        <v>541</v>
      </c>
      <c r="J24" s="627" t="s">
        <v>573</v>
      </c>
      <c r="M24" s="363"/>
      <c r="N24" s="363"/>
    </row>
    <row r="25" spans="1:14" s="167" customFormat="1">
      <c r="A25" s="169" t="s">
        <v>83</v>
      </c>
      <c r="B25" s="170" t="s">
        <v>14</v>
      </c>
      <c r="C25" s="490">
        <f>'[72]Sch C'!D10</f>
        <v>77578</v>
      </c>
      <c r="D25" s="490">
        <f>'[72]Sch C'!F10</f>
        <v>17801</v>
      </c>
      <c r="E25" s="171">
        <f t="shared" ref="E25:E60" si="4">C25+D25</f>
        <v>95379</v>
      </c>
      <c r="F25" s="171">
        <v>29450</v>
      </c>
      <c r="G25" s="182">
        <f t="shared" ref="G25:G60" si="5">E25+F25</f>
        <v>124829</v>
      </c>
      <c r="H25" s="172">
        <f>IF($G$208=0,0,G25/$G$208)</f>
        <v>2.2217941215111833E-2</v>
      </c>
      <c r="I25" s="337"/>
      <c r="J25" s="183">
        <f>729+734</f>
        <v>1463</v>
      </c>
      <c r="K25" s="183">
        <f>776+766</f>
        <v>1542</v>
      </c>
      <c r="M25" s="359">
        <f>G25/G$228</f>
        <v>6.3675270352989184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490">
        <f>'[72]Sch C'!D11</f>
        <v>0</v>
      </c>
      <c r="D26" s="490">
        <f>'[72]Sch C'!F11</f>
        <v>0</v>
      </c>
      <c r="E26" s="171">
        <f t="shared" si="4"/>
        <v>0</v>
      </c>
      <c r="F26" s="171">
        <v>0</v>
      </c>
      <c r="G26" s="171">
        <f t="shared" si="5"/>
        <v>0</v>
      </c>
      <c r="H26" s="184">
        <f t="shared" ref="H26:H61" si="6">IF($G$208=0,0,G26/$G$208)</f>
        <v>0</v>
      </c>
      <c r="I26" s="337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490">
        <f>'[72]Sch C'!D12</f>
        <v>119702</v>
      </c>
      <c r="D27" s="490">
        <f>'[72]Sch C'!F12</f>
        <v>-26</v>
      </c>
      <c r="E27" s="171">
        <f t="shared" si="4"/>
        <v>119676</v>
      </c>
      <c r="F27" s="171">
        <v>7.1594666900637094E-2</v>
      </c>
      <c r="G27" s="171">
        <f t="shared" si="5"/>
        <v>119676.07159466689</v>
      </c>
      <c r="H27" s="172">
        <f t="shared" si="6"/>
        <v>2.1300786864797638E-2</v>
      </c>
      <c r="I27" s="337"/>
      <c r="J27" s="185">
        <f>5852+1556</f>
        <v>7408</v>
      </c>
      <c r="K27" s="185">
        <f>6328+1624</f>
        <v>7952</v>
      </c>
      <c r="M27" s="359">
        <f t="shared" si="7"/>
        <v>6.1046761678569119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490">
        <f>'[72]Sch C'!D13</f>
        <v>49106</v>
      </c>
      <c r="D28" s="490">
        <f>'[72]Sch C'!F13</f>
        <v>-9964</v>
      </c>
      <c r="E28" s="171">
        <f t="shared" si="4"/>
        <v>39142</v>
      </c>
      <c r="F28" s="171">
        <v>5450.0545629150874</v>
      </c>
      <c r="G28" s="171">
        <f t="shared" si="5"/>
        <v>44592.054562915087</v>
      </c>
      <c r="H28" s="172">
        <f t="shared" si="6"/>
        <v>7.9368067271219575E-3</v>
      </c>
      <c r="I28" s="337"/>
      <c r="J28" s="168"/>
      <c r="K28" s="168"/>
      <c r="M28" s="359">
        <f t="shared" si="7"/>
        <v>2.2746406122686742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490">
        <f>'[72]Sch C'!D14</f>
        <v>0</v>
      </c>
      <c r="D29" s="490">
        <f>'[72]Sch C'!F14</f>
        <v>0</v>
      </c>
      <c r="E29" s="171">
        <f t="shared" si="4"/>
        <v>0</v>
      </c>
      <c r="F29" s="171">
        <v>0</v>
      </c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490">
        <f>'[72]Sch C'!D15</f>
        <v>0</v>
      </c>
      <c r="D30" s="490">
        <f>'[72]Sch C'!F15</f>
        <v>0</v>
      </c>
      <c r="E30" s="171">
        <f t="shared" si="4"/>
        <v>0</v>
      </c>
      <c r="F30" s="171">
        <v>0</v>
      </c>
      <c r="G30" s="171">
        <f t="shared" si="5"/>
        <v>0</v>
      </c>
      <c r="H30" s="172">
        <f t="shared" si="6"/>
        <v>0</v>
      </c>
      <c r="I30" s="337"/>
      <c r="J30" s="168"/>
      <c r="K30" s="168"/>
      <c r="M30" s="359">
        <f t="shared" si="7"/>
        <v>0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490">
        <f>'[72]Sch C'!D16</f>
        <v>166207</v>
      </c>
      <c r="D31" s="490">
        <f>'[72]Sch C'!F16</f>
        <v>145384</v>
      </c>
      <c r="E31" s="171">
        <f t="shared" si="4"/>
        <v>311591</v>
      </c>
      <c r="F31" s="171">
        <v>60651.66805413898</v>
      </c>
      <c r="G31" s="171">
        <f t="shared" si="5"/>
        <v>372242.66805413901</v>
      </c>
      <c r="H31" s="172">
        <f t="shared" si="6"/>
        <v>6.6254361699470868E-2</v>
      </c>
      <c r="I31" s="337"/>
      <c r="J31" s="168"/>
      <c r="K31" s="168"/>
      <c r="M31" s="359">
        <f t="shared" si="7"/>
        <v>18.98809773791772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490">
        <f>'[72]Sch C'!D17</f>
        <v>7234</v>
      </c>
      <c r="D32" s="490">
        <f>'[72]Sch C'!F17</f>
        <v>-7234</v>
      </c>
      <c r="E32" s="171">
        <f t="shared" si="4"/>
        <v>0</v>
      </c>
      <c r="F32" s="171">
        <v>0</v>
      </c>
      <c r="G32" s="171">
        <f t="shared" si="5"/>
        <v>0</v>
      </c>
      <c r="H32" s="172">
        <f t="shared" si="6"/>
        <v>0</v>
      </c>
      <c r="I32" s="337"/>
      <c r="J32" s="168"/>
      <c r="K32" s="168"/>
      <c r="M32" s="359">
        <f t="shared" si="7"/>
        <v>0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490">
        <f>'[72]Sch C'!D18</f>
        <v>15064</v>
      </c>
      <c r="D33" s="490">
        <f>'[72]Sch C'!F18</f>
        <v>-3079</v>
      </c>
      <c r="E33" s="171">
        <f t="shared" si="4"/>
        <v>11985</v>
      </c>
      <c r="F33" s="171">
        <v>1997</v>
      </c>
      <c r="G33" s="171">
        <f t="shared" si="5"/>
        <v>13982</v>
      </c>
      <c r="H33" s="172">
        <f t="shared" si="6"/>
        <v>2.4886144571349099E-3</v>
      </c>
      <c r="I33" s="337"/>
      <c r="J33" s="168"/>
      <c r="K33" s="168"/>
      <c r="M33" s="359">
        <f t="shared" si="7"/>
        <v>0.7132217914711283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490">
        <f>'[72]Sch C'!D19</f>
        <v>19327</v>
      </c>
      <c r="D34" s="490">
        <f>'[72]Sch C'!F19</f>
        <v>-2636</v>
      </c>
      <c r="E34" s="171">
        <f t="shared" si="4"/>
        <v>16691</v>
      </c>
      <c r="F34" s="171">
        <v>0</v>
      </c>
      <c r="G34" s="171">
        <f t="shared" si="5"/>
        <v>16691</v>
      </c>
      <c r="H34" s="172">
        <f t="shared" si="6"/>
        <v>2.9707812833670993E-3</v>
      </c>
      <c r="I34" s="337"/>
      <c r="J34" s="168"/>
      <c r="K34" s="168"/>
      <c r="M34" s="359">
        <f t="shared" si="7"/>
        <v>0.85140787594368494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490">
        <f>'[72]Sch C'!D20</f>
        <v>14432</v>
      </c>
      <c r="D35" s="490">
        <f>'[72]Sch C'!F20</f>
        <v>0</v>
      </c>
      <c r="E35" s="171">
        <f t="shared" si="4"/>
        <v>14432</v>
      </c>
      <c r="F35" s="171">
        <v>2585</v>
      </c>
      <c r="G35" s="171">
        <f t="shared" si="5"/>
        <v>17017</v>
      </c>
      <c r="H35" s="172">
        <f t="shared" si="6"/>
        <v>3.0288050505696438E-3</v>
      </c>
      <c r="I35" s="337"/>
      <c r="J35" s="168"/>
      <c r="K35" s="168"/>
      <c r="M35" s="359">
        <f t="shared" si="7"/>
        <v>0.86803713527851456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490">
        <f>'[72]Sch C'!D21</f>
        <v>2112</v>
      </c>
      <c r="D36" s="490">
        <f>'[72]Sch C'!F21</f>
        <v>-2112</v>
      </c>
      <c r="E36" s="171">
        <f t="shared" si="4"/>
        <v>0</v>
      </c>
      <c r="F36" s="171">
        <v>0</v>
      </c>
      <c r="G36" s="171">
        <f t="shared" si="5"/>
        <v>0</v>
      </c>
      <c r="H36" s="172">
        <f t="shared" si="6"/>
        <v>0</v>
      </c>
      <c r="I36" s="337"/>
      <c r="J36" s="168"/>
      <c r="K36" s="168"/>
      <c r="M36" s="359">
        <f t="shared" si="7"/>
        <v>0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490">
        <f>'[72]Sch C'!D22</f>
        <v>0</v>
      </c>
      <c r="D37" s="490">
        <f>'[72]Sch C'!F22</f>
        <v>0</v>
      </c>
      <c r="E37" s="171">
        <f t="shared" si="4"/>
        <v>0</v>
      </c>
      <c r="F37" s="171">
        <v>0</v>
      </c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490">
        <f>'[72]Sch C'!D23</f>
        <v>19736</v>
      </c>
      <c r="D38" s="490">
        <f>'[72]Sch C'!F23</f>
        <v>0</v>
      </c>
      <c r="E38" s="171">
        <f t="shared" si="4"/>
        <v>19736</v>
      </c>
      <c r="F38" s="171">
        <v>821</v>
      </c>
      <c r="G38" s="171">
        <f t="shared" si="5"/>
        <v>20557</v>
      </c>
      <c r="H38" s="172">
        <f t="shared" si="6"/>
        <v>3.6588790870635346E-3</v>
      </c>
      <c r="I38" s="337"/>
      <c r="J38" s="168"/>
      <c r="K38" s="168"/>
      <c r="M38" s="359">
        <f t="shared" si="7"/>
        <v>1.048612528055499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490">
        <f>'[72]Sch C'!D24</f>
        <v>23816</v>
      </c>
      <c r="D39" s="490">
        <f>'[72]Sch C'!F24</f>
        <v>0</v>
      </c>
      <c r="E39" s="171">
        <f t="shared" si="4"/>
        <v>23816</v>
      </c>
      <c r="F39" s="171">
        <v>0</v>
      </c>
      <c r="G39" s="171">
        <f t="shared" si="5"/>
        <v>23816</v>
      </c>
      <c r="H39" s="172">
        <f t="shared" si="6"/>
        <v>4.2389387720730238E-3</v>
      </c>
      <c r="I39" s="337"/>
      <c r="J39" s="168"/>
      <c r="K39" s="168"/>
      <c r="M39" s="359">
        <f t="shared" si="7"/>
        <v>1.2148541114058355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490">
        <f>'[72]Sch C'!D25</f>
        <v>0</v>
      </c>
      <c r="D40" s="490">
        <f>'[72]Sch C'!F25</f>
        <v>0</v>
      </c>
      <c r="E40" s="171">
        <f t="shared" si="4"/>
        <v>0</v>
      </c>
      <c r="F40" s="496">
        <f>19923-19923</f>
        <v>0</v>
      </c>
      <c r="G40" s="171">
        <f t="shared" si="5"/>
        <v>0</v>
      </c>
      <c r="H40" s="172">
        <f t="shared" si="6"/>
        <v>0</v>
      </c>
      <c r="I40" s="337"/>
      <c r="J40" s="168"/>
      <c r="K40" s="168"/>
      <c r="M40" s="359">
        <f t="shared" si="7"/>
        <v>0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490">
        <f>'[72]Sch C'!D26</f>
        <v>204004</v>
      </c>
      <c r="D41" s="490">
        <f>'[72]Sch C'!F26</f>
        <v>0</v>
      </c>
      <c r="E41" s="171">
        <f t="shared" si="4"/>
        <v>204004</v>
      </c>
      <c r="F41" s="171">
        <v>37345</v>
      </c>
      <c r="G41" s="171">
        <f t="shared" si="5"/>
        <v>241349</v>
      </c>
      <c r="H41" s="172">
        <f t="shared" si="6"/>
        <v>4.2956988314622614E-2</v>
      </c>
      <c r="I41" s="337"/>
      <c r="J41" s="168"/>
      <c r="K41" s="168"/>
      <c r="M41" s="359">
        <f t="shared" si="7"/>
        <v>12.311211997551521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490">
        <f>'[72]Sch C'!D27</f>
        <v>0</v>
      </c>
      <c r="D42" s="490">
        <f>'[72]Sch C'!F27</f>
        <v>0</v>
      </c>
      <c r="E42" s="171">
        <f t="shared" si="4"/>
        <v>0</v>
      </c>
      <c r="F42" s="171">
        <v>0</v>
      </c>
      <c r="G42" s="171">
        <f t="shared" si="5"/>
        <v>0</v>
      </c>
      <c r="H42" s="172">
        <f t="shared" si="6"/>
        <v>0</v>
      </c>
      <c r="I42" s="337"/>
      <c r="J42" s="168"/>
      <c r="K42" s="168"/>
      <c r="M42" s="359">
        <f t="shared" si="7"/>
        <v>0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490">
        <f>'[72]Sch C'!D28</f>
        <v>0</v>
      </c>
      <c r="D43" s="490">
        <f>'[72]Sch C'!F28</f>
        <v>0</v>
      </c>
      <c r="E43" s="171">
        <f t="shared" si="4"/>
        <v>0</v>
      </c>
      <c r="F43" s="171">
        <v>0</v>
      </c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490">
        <f>'[72]Sch C'!D29</f>
        <v>214599</v>
      </c>
      <c r="D44" s="490">
        <f>'[72]Sch C'!F29</f>
        <v>-214599</v>
      </c>
      <c r="E44" s="171">
        <f t="shared" si="4"/>
        <v>0</v>
      </c>
      <c r="F44" s="171">
        <v>0</v>
      </c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490">
        <f>'[72]Sch C'!D30</f>
        <v>0</v>
      </c>
      <c r="D45" s="490">
        <f>'[72]Sch C'!F30</f>
        <v>0</v>
      </c>
      <c r="E45" s="171">
        <f t="shared" si="4"/>
        <v>0</v>
      </c>
      <c r="F45" s="171">
        <v>0</v>
      </c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490">
        <f>'[72]Sch C'!D31</f>
        <v>17618</v>
      </c>
      <c r="D46" s="490">
        <f>'[72]Sch C'!F31</f>
        <v>1698</v>
      </c>
      <c r="E46" s="171">
        <f t="shared" si="4"/>
        <v>19316</v>
      </c>
      <c r="F46" s="171">
        <v>7834</v>
      </c>
      <c r="G46" s="171">
        <f t="shared" si="5"/>
        <v>27150</v>
      </c>
      <c r="H46" s="172">
        <f t="shared" si="6"/>
        <v>4.8323474832794163E-3</v>
      </c>
      <c r="I46" s="337"/>
      <c r="J46" s="168"/>
      <c r="K46" s="168"/>
      <c r="M46" s="359">
        <f t="shared" si="7"/>
        <v>1.3849214446031421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490">
        <f>'[72]Sch C'!D32</f>
        <v>53669</v>
      </c>
      <c r="D47" s="490">
        <f>'[72]Sch C'!F32</f>
        <v>-467</v>
      </c>
      <c r="E47" s="171">
        <f t="shared" si="4"/>
        <v>53202</v>
      </c>
      <c r="F47" s="171">
        <v>0</v>
      </c>
      <c r="G47" s="171">
        <f t="shared" si="5"/>
        <v>53202</v>
      </c>
      <c r="H47" s="172">
        <f t="shared" si="6"/>
        <v>9.4692652230361513E-3</v>
      </c>
      <c r="I47" s="337"/>
      <c r="J47" s="168"/>
      <c r="K47" s="168"/>
      <c r="M47" s="359">
        <f t="shared" si="7"/>
        <v>2.7138339114466437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490">
        <f>'[72]Sch C'!D33</f>
        <v>0</v>
      </c>
      <c r="D48" s="490">
        <f>'[72]Sch C'!F33</f>
        <v>0</v>
      </c>
      <c r="E48" s="171">
        <f t="shared" si="4"/>
        <v>0</v>
      </c>
      <c r="F48" s="171">
        <v>0</v>
      </c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490">
        <f>'[72]Sch C'!D34</f>
        <v>13</v>
      </c>
      <c r="D49" s="490">
        <f>'[72]Sch C'!F34</f>
        <v>0</v>
      </c>
      <c r="E49" s="171">
        <f t="shared" si="4"/>
        <v>13</v>
      </c>
      <c r="F49" s="171">
        <v>0</v>
      </c>
      <c r="G49" s="171">
        <f t="shared" si="5"/>
        <v>13</v>
      </c>
      <c r="H49" s="172">
        <f t="shared" si="6"/>
        <v>2.3138312074634409E-6</v>
      </c>
      <c r="I49" s="337"/>
      <c r="J49" s="168"/>
      <c r="K49" s="168"/>
      <c r="M49" s="359">
        <f t="shared" si="7"/>
        <v>6.6312997347480103E-4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490">
        <f>'[72]Sch C'!D35</f>
        <v>0</v>
      </c>
      <c r="D50" s="490">
        <f>'[72]Sch C'!F35</f>
        <v>0</v>
      </c>
      <c r="E50" s="171">
        <f t="shared" si="4"/>
        <v>0</v>
      </c>
      <c r="F50" s="171">
        <v>0</v>
      </c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490">
        <f>'[72]Sch C'!D36</f>
        <v>15229</v>
      </c>
      <c r="D51" s="490">
        <f>'[72]Sch C'!F36</f>
        <v>0</v>
      </c>
      <c r="E51" s="171">
        <f t="shared" si="4"/>
        <v>15229</v>
      </c>
      <c r="F51" s="171">
        <v>0</v>
      </c>
      <c r="G51" s="171">
        <f t="shared" si="5"/>
        <v>15229</v>
      </c>
      <c r="H51" s="172">
        <f t="shared" si="6"/>
        <v>2.7105642660354414E-3</v>
      </c>
      <c r="I51" s="337"/>
      <c r="J51" s="183">
        <v>1082</v>
      </c>
      <c r="K51" s="183">
        <v>1153</v>
      </c>
      <c r="M51" s="359">
        <f t="shared" si="7"/>
        <v>0.77683125892674965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490">
        <f>'[72]Sch C'!D37</f>
        <v>2100</v>
      </c>
      <c r="D52" s="490">
        <f>'[72]Sch C'!F37</f>
        <v>111</v>
      </c>
      <c r="E52" s="171">
        <f t="shared" si="4"/>
        <v>2211</v>
      </c>
      <c r="F52" s="171">
        <v>0</v>
      </c>
      <c r="G52" s="171">
        <f t="shared" si="5"/>
        <v>2211</v>
      </c>
      <c r="H52" s="172">
        <f t="shared" si="6"/>
        <v>3.9352929228474366E-4</v>
      </c>
      <c r="I52" s="337"/>
      <c r="J52" s="168"/>
      <c r="K52" s="168"/>
      <c r="M52" s="359">
        <f t="shared" si="7"/>
        <v>0.11278310548867578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490">
        <f>'[72]Sch C'!D38</f>
        <v>0</v>
      </c>
      <c r="D53" s="490">
        <f>'[72]Sch C'!F38</f>
        <v>0</v>
      </c>
      <c r="E53" s="171">
        <f t="shared" si="4"/>
        <v>0</v>
      </c>
      <c r="F53" s="171">
        <v>0</v>
      </c>
      <c r="G53" s="171">
        <f t="shared" si="5"/>
        <v>0</v>
      </c>
      <c r="H53" s="172">
        <f t="shared" si="6"/>
        <v>0</v>
      </c>
      <c r="I53" s="337"/>
      <c r="J53" s="168"/>
      <c r="K53" s="168"/>
      <c r="M53" s="359">
        <f t="shared" si="7"/>
        <v>0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490">
        <f>'[72]Sch C'!D39</f>
        <v>733</v>
      </c>
      <c r="D54" s="490">
        <f>'[72]Sch C'!F39</f>
        <v>0</v>
      </c>
      <c r="E54" s="171">
        <f t="shared" si="4"/>
        <v>733</v>
      </c>
      <c r="F54" s="171">
        <v>678</v>
      </c>
      <c r="G54" s="171">
        <f t="shared" si="5"/>
        <v>1411</v>
      </c>
      <c r="H54" s="172">
        <f t="shared" si="6"/>
        <v>2.5113967951776269E-4</v>
      </c>
      <c r="I54" s="337"/>
      <c r="J54" s="168"/>
      <c r="K54" s="168"/>
      <c r="M54" s="359">
        <f t="shared" si="7"/>
        <v>7.197510712099571E-2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490">
        <f>'[72]Sch C'!D40</f>
        <v>0</v>
      </c>
      <c r="D55" s="490">
        <f>'[72]Sch C'!F40</f>
        <v>0</v>
      </c>
      <c r="E55" s="171">
        <f t="shared" si="4"/>
        <v>0</v>
      </c>
      <c r="F55" s="171">
        <v>3366</v>
      </c>
      <c r="G55" s="171">
        <f t="shared" si="5"/>
        <v>3366</v>
      </c>
      <c r="H55" s="172">
        <f t="shared" si="6"/>
        <v>5.991042957170724E-4</v>
      </c>
      <c r="I55" s="337"/>
      <c r="J55" s="168"/>
      <c r="K55" s="168"/>
      <c r="M55" s="359">
        <f t="shared" si="7"/>
        <v>0.17169965313201388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490">
        <f>'[72]Sch C'!D41</f>
        <v>4131</v>
      </c>
      <c r="D56" s="490">
        <f>'[72]Sch C'!F41</f>
        <v>0</v>
      </c>
      <c r="E56" s="171">
        <f t="shared" si="4"/>
        <v>4131</v>
      </c>
      <c r="F56" s="171">
        <v>2103</v>
      </c>
      <c r="G56" s="171">
        <f t="shared" si="5"/>
        <v>6234</v>
      </c>
      <c r="H56" s="172">
        <f t="shared" si="6"/>
        <v>1.1095710574866992E-3</v>
      </c>
      <c r="I56" s="337"/>
      <c r="J56" s="168"/>
      <c r="K56" s="168"/>
      <c r="M56" s="359">
        <f t="shared" si="7"/>
        <v>0.31799632728014693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490">
        <f>'[72]Sch C'!D42</f>
        <v>0</v>
      </c>
      <c r="D57" s="490">
        <f>'[72]Sch C'!F42</f>
        <v>0</v>
      </c>
      <c r="E57" s="171">
        <f t="shared" si="4"/>
        <v>0</v>
      </c>
      <c r="F57" s="171">
        <v>500</v>
      </c>
      <c r="G57" s="171">
        <f t="shared" si="5"/>
        <v>500</v>
      </c>
      <c r="H57" s="172">
        <f t="shared" si="6"/>
        <v>8.8993507979363102E-5</v>
      </c>
      <c r="I57" s="337"/>
      <c r="J57" s="168"/>
      <c r="K57" s="168"/>
      <c r="M57" s="359">
        <f t="shared" si="7"/>
        <v>2.5504998979800041E-2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490">
        <f>'[72]Sch C'!D43</f>
        <v>0</v>
      </c>
      <c r="D58" s="490">
        <f>'[72]Sch C'!F43</f>
        <v>7265</v>
      </c>
      <c r="E58" s="171">
        <f t="shared" si="4"/>
        <v>7265</v>
      </c>
      <c r="F58" s="171">
        <v>1408</v>
      </c>
      <c r="G58" s="171">
        <f t="shared" si="5"/>
        <v>8673</v>
      </c>
      <c r="H58" s="172">
        <f t="shared" si="6"/>
        <v>1.5436813894100325E-3</v>
      </c>
      <c r="I58" s="337"/>
      <c r="J58" s="168"/>
      <c r="K58" s="168"/>
      <c r="M58" s="359">
        <f t="shared" si="7"/>
        <v>0.44240971230361154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490">
        <f>'[72]Sch C'!D44</f>
        <v>2719</v>
      </c>
      <c r="D59" s="490">
        <f>'[72]Sch C'!F44</f>
        <v>-2719</v>
      </c>
      <c r="E59" s="171">
        <f t="shared" si="4"/>
        <v>0</v>
      </c>
      <c r="F59" s="171">
        <v>58</v>
      </c>
      <c r="G59" s="171">
        <f t="shared" si="5"/>
        <v>58</v>
      </c>
      <c r="H59" s="172">
        <f t="shared" si="6"/>
        <v>1.0323246925606121E-5</v>
      </c>
      <c r="I59" s="337"/>
      <c r="J59" s="168"/>
      <c r="K59" s="168"/>
      <c r="M59" s="359">
        <f t="shared" si="7"/>
        <v>2.9585798816568047E-3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490">
        <f>'[72]Sch C'!D45</f>
        <v>65765</v>
      </c>
      <c r="D60" s="490">
        <f>'[72]Sch C'!F45</f>
        <v>-60311</v>
      </c>
      <c r="E60" s="171">
        <f t="shared" si="4"/>
        <v>5454</v>
      </c>
      <c r="F60" s="171">
        <v>664</v>
      </c>
      <c r="G60" s="171">
        <f t="shared" si="5"/>
        <v>6118</v>
      </c>
      <c r="H60" s="172">
        <f t="shared" si="6"/>
        <v>1.088924563635487E-3</v>
      </c>
      <c r="I60" s="337"/>
      <c r="J60" s="168"/>
      <c r="K60" s="168"/>
      <c r="M60" s="359">
        <f t="shared" si="7"/>
        <v>0.31207916751683329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490">
        <f>SUM(C25:C60)</f>
        <v>1094894</v>
      </c>
      <c r="D61" s="490">
        <f>SUM(D25:D60)</f>
        <v>-130888</v>
      </c>
      <c r="E61" s="171">
        <f t="shared" ref="E61:F61" si="8">SUM(E25:E60)</f>
        <v>964006</v>
      </c>
      <c r="F61" s="171">
        <f t="shared" si="8"/>
        <v>154910.79421172096</v>
      </c>
      <c r="G61" s="171">
        <f>SUM(G25:G60)</f>
        <v>1118916.794211721</v>
      </c>
      <c r="H61" s="186">
        <f t="shared" si="6"/>
        <v>0.19915266130784837</v>
      </c>
      <c r="I61" s="339"/>
      <c r="J61" s="168"/>
      <c r="K61" s="168"/>
      <c r="M61" s="364">
        <f>G61/G$228</f>
        <v>57.075943389702154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I62" s="340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490">
        <f>'[72]Sch C'!D57</f>
        <v>1021693</v>
      </c>
      <c r="D64" s="490">
        <f>'[72]Sch C'!F57</f>
        <v>0</v>
      </c>
      <c r="E64" s="171">
        <f t="shared" ref="E64:E78" si="9">C64+D64</f>
        <v>1021693</v>
      </c>
      <c r="F64" s="171">
        <v>0.38999999999941792</v>
      </c>
      <c r="G64" s="171">
        <f t="shared" ref="G64:G78" si="10">E64+F64</f>
        <v>1021693.39</v>
      </c>
      <c r="H64" s="172">
        <f t="shared" ref="H64:H79" si="11">IF($G$208=0,0,G64/$G$208)</f>
        <v>0.18184815771085508</v>
      </c>
      <c r="I64" s="337"/>
      <c r="J64" s="190"/>
      <c r="K64" s="168"/>
      <c r="M64" s="359">
        <f t="shared" ref="M64:M79" si="12">G64/G$228</f>
        <v>52.116577739236888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490">
        <f>'[72]Sch C'!D58</f>
        <v>14991</v>
      </c>
      <c r="D65" s="490">
        <f>'[72]Sch C'!F58</f>
        <v>93036</v>
      </c>
      <c r="E65" s="171">
        <f t="shared" si="9"/>
        <v>108027</v>
      </c>
      <c r="F65" s="171">
        <v>14777.32</v>
      </c>
      <c r="G65" s="171">
        <f t="shared" si="10"/>
        <v>122804.32</v>
      </c>
      <c r="H65" s="172">
        <f t="shared" si="11"/>
        <v>2.1857574463640523E-2</v>
      </c>
      <c r="I65" s="337"/>
      <c r="J65" s="190"/>
      <c r="K65" s="168"/>
      <c r="M65" s="359">
        <f t="shared" si="12"/>
        <v>6.2642481126300762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490">
        <f>'[72]Sch C'!D59</f>
        <v>0</v>
      </c>
      <c r="D66" s="490">
        <f>'[72]Sch C'!F59</f>
        <v>0</v>
      </c>
      <c r="E66" s="171">
        <f t="shared" si="9"/>
        <v>0</v>
      </c>
      <c r="F66" s="171">
        <v>0</v>
      </c>
      <c r="G66" s="171">
        <f t="shared" si="10"/>
        <v>0</v>
      </c>
      <c r="H66" s="172">
        <f t="shared" si="11"/>
        <v>0</v>
      </c>
      <c r="I66" s="337"/>
      <c r="J66" s="190"/>
      <c r="K66" s="168"/>
      <c r="M66" s="359">
        <f t="shared" si="12"/>
        <v>0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490">
        <f>'[72]Sch C'!D60</f>
        <v>16394</v>
      </c>
      <c r="D67" s="490">
        <f>'[72]Sch C'!F60</f>
        <v>0</v>
      </c>
      <c r="E67" s="171">
        <f t="shared" si="9"/>
        <v>16394</v>
      </c>
      <c r="F67" s="171">
        <v>3398</v>
      </c>
      <c r="G67" s="171">
        <f t="shared" si="10"/>
        <v>19792</v>
      </c>
      <c r="H67" s="172">
        <f t="shared" si="11"/>
        <v>3.522719019855109E-3</v>
      </c>
      <c r="I67" s="337"/>
      <c r="J67" s="193"/>
      <c r="K67" s="168"/>
      <c r="M67" s="359">
        <f t="shared" si="12"/>
        <v>1.0095898796164049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490">
        <f>'[72]Sch C'!D61</f>
        <v>10933</v>
      </c>
      <c r="D68" s="490">
        <f>'[72]Sch C'!F61</f>
        <v>0</v>
      </c>
      <c r="E68" s="171">
        <f t="shared" si="9"/>
        <v>10933</v>
      </c>
      <c r="F68" s="171">
        <v>1000</v>
      </c>
      <c r="G68" s="171">
        <f t="shared" si="10"/>
        <v>11933</v>
      </c>
      <c r="H68" s="172">
        <f t="shared" si="11"/>
        <v>2.1239190614354797E-3</v>
      </c>
      <c r="I68" s="337"/>
      <c r="J68" s="193"/>
      <c r="K68" s="168"/>
      <c r="M68" s="359">
        <f t="shared" si="12"/>
        <v>0.60870230565190775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490">
        <f>'[72]Sch C'!D62</f>
        <v>0</v>
      </c>
      <c r="D69" s="490">
        <f>'[72]Sch C'!F62</f>
        <v>0</v>
      </c>
      <c r="E69" s="171">
        <f t="shared" si="9"/>
        <v>0</v>
      </c>
      <c r="F69" s="171">
        <v>0</v>
      </c>
      <c r="G69" s="171">
        <f t="shared" si="10"/>
        <v>0</v>
      </c>
      <c r="H69" s="172">
        <f t="shared" si="11"/>
        <v>0</v>
      </c>
      <c r="I69" s="337"/>
      <c r="J69" s="195"/>
      <c r="K69" s="168"/>
      <c r="M69" s="359">
        <f t="shared" si="12"/>
        <v>0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490">
        <f>'[72]Sch C'!D63</f>
        <v>0</v>
      </c>
      <c r="D70" s="490">
        <f>'[72]Sch C'!F63</f>
        <v>0</v>
      </c>
      <c r="E70" s="171">
        <f t="shared" si="9"/>
        <v>0</v>
      </c>
      <c r="F70" s="171">
        <v>0</v>
      </c>
      <c r="G70" s="171">
        <f t="shared" si="10"/>
        <v>0</v>
      </c>
      <c r="H70" s="172">
        <f t="shared" si="11"/>
        <v>0</v>
      </c>
      <c r="I70" s="337"/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490">
        <f>'[72]Sch C'!D64</f>
        <v>0</v>
      </c>
      <c r="D71" s="490">
        <f>'[72]Sch C'!F64</f>
        <v>0</v>
      </c>
      <c r="E71" s="171">
        <f t="shared" si="9"/>
        <v>0</v>
      </c>
      <c r="F71" s="171">
        <v>0</v>
      </c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490">
        <f>'[72]Sch C'!D65</f>
        <v>2084</v>
      </c>
      <c r="D72" s="490">
        <f>'[72]Sch C'!F65</f>
        <v>0</v>
      </c>
      <c r="E72" s="171">
        <f t="shared" si="9"/>
        <v>2084</v>
      </c>
      <c r="F72" s="171">
        <v>571</v>
      </c>
      <c r="G72" s="171">
        <f t="shared" si="10"/>
        <v>2655</v>
      </c>
      <c r="H72" s="172">
        <f t="shared" si="11"/>
        <v>4.7255552737041811E-4</v>
      </c>
      <c r="I72" s="337"/>
      <c r="J72" s="195"/>
      <c r="K72" s="168"/>
      <c r="M72" s="359">
        <f t="shared" si="12"/>
        <v>0.13543154458273821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490">
        <f>'[72]Sch C'!D66</f>
        <v>26815</v>
      </c>
      <c r="D73" s="490">
        <f>'[72]Sch C'!F66</f>
        <v>17317</v>
      </c>
      <c r="E73" s="171">
        <f t="shared" si="9"/>
        <v>44132</v>
      </c>
      <c r="F73" s="171">
        <v>402</v>
      </c>
      <c r="G73" s="171">
        <f t="shared" si="10"/>
        <v>44534</v>
      </c>
      <c r="H73" s="172">
        <f t="shared" si="11"/>
        <v>7.926473768705913E-3</v>
      </c>
      <c r="I73" s="337"/>
      <c r="J73" s="195"/>
      <c r="K73" s="168"/>
      <c r="M73" s="359">
        <f t="shared" si="12"/>
        <v>2.2716792491328301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490">
        <f>'[72]Sch C'!D67</f>
        <v>63628</v>
      </c>
      <c r="D74" s="490">
        <f>'[72]Sch C'!F67</f>
        <v>-27445</v>
      </c>
      <c r="E74" s="171">
        <f t="shared" si="9"/>
        <v>36183</v>
      </c>
      <c r="F74" s="171">
        <v>16178.45</v>
      </c>
      <c r="G74" s="171">
        <f t="shared" si="10"/>
        <v>52361.45</v>
      </c>
      <c r="H74" s="172">
        <f t="shared" si="11"/>
        <v>9.3196582367720444E-3</v>
      </c>
      <c r="I74" s="337"/>
      <c r="J74" s="195"/>
      <c r="K74" s="168"/>
      <c r="M74" s="359">
        <f t="shared" si="12"/>
        <v>2.6709574576617015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490">
        <f>'[72]Sch C'!D68</f>
        <v>0</v>
      </c>
      <c r="D75" s="490">
        <f>'[72]Sch C'!F68</f>
        <v>0</v>
      </c>
      <c r="E75" s="171">
        <f t="shared" si="9"/>
        <v>0</v>
      </c>
      <c r="F75" s="171">
        <v>0</v>
      </c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490">
        <f>'[72]Sch C'!D69</f>
        <v>3351</v>
      </c>
      <c r="D76" s="490">
        <f>'[72]Sch C'!F69</f>
        <v>0</v>
      </c>
      <c r="E76" s="171">
        <f t="shared" si="9"/>
        <v>3351</v>
      </c>
      <c r="F76" s="171">
        <v>833</v>
      </c>
      <c r="G76" s="171">
        <f t="shared" si="10"/>
        <v>4184</v>
      </c>
      <c r="H76" s="172">
        <f t="shared" si="11"/>
        <v>7.4469767477131044E-4</v>
      </c>
      <c r="I76" s="337"/>
      <c r="J76" s="195"/>
      <c r="K76" s="168"/>
      <c r="M76" s="359">
        <f t="shared" si="12"/>
        <v>0.21342583146296673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490">
        <f>'[72]Sch C'!D70</f>
        <v>15170</v>
      </c>
      <c r="D77" s="490">
        <f>'[72]Sch C'!F70</f>
        <v>0</v>
      </c>
      <c r="E77" s="171">
        <f t="shared" si="9"/>
        <v>15170</v>
      </c>
      <c r="F77" s="171">
        <v>0</v>
      </c>
      <c r="G77" s="171">
        <f t="shared" si="10"/>
        <v>15170</v>
      </c>
      <c r="H77" s="172">
        <f t="shared" si="11"/>
        <v>2.7000630320938765E-3</v>
      </c>
      <c r="I77" s="337"/>
      <c r="J77" s="195"/>
      <c r="K77" s="168"/>
      <c r="M77" s="359">
        <f t="shared" si="12"/>
        <v>0.77382166904713323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490">
        <f>'[72]Sch C'!D71</f>
        <v>1089</v>
      </c>
      <c r="D78" s="490">
        <f>'[72]Sch C'!F71</f>
        <v>-112</v>
      </c>
      <c r="E78" s="171">
        <f t="shared" si="9"/>
        <v>977</v>
      </c>
      <c r="F78" s="171">
        <v>0</v>
      </c>
      <c r="G78" s="171">
        <f t="shared" si="10"/>
        <v>977</v>
      </c>
      <c r="H78" s="172">
        <f t="shared" si="11"/>
        <v>1.7389331459167551E-4</v>
      </c>
      <c r="I78" s="337"/>
      <c r="J78" s="195"/>
      <c r="K78" s="168"/>
      <c r="M78" s="359">
        <f t="shared" si="12"/>
        <v>4.9836768006529281E-2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490">
        <f>SUM(C64:C78)</f>
        <v>1176148</v>
      </c>
      <c r="D79" s="490">
        <f>SUM(D64:D78)</f>
        <v>82796</v>
      </c>
      <c r="E79" s="171">
        <f t="shared" ref="E79:F79" si="13">SUM(E64:E78)</f>
        <v>1258944</v>
      </c>
      <c r="F79" s="171">
        <f t="shared" si="13"/>
        <v>37160.160000000003</v>
      </c>
      <c r="G79" s="171">
        <f>SUM(G64:G78)</f>
        <v>1296104.1599999999</v>
      </c>
      <c r="H79" s="172">
        <f t="shared" si="11"/>
        <v>0.2306897118100914</v>
      </c>
      <c r="I79" s="337"/>
      <c r="J79" s="195"/>
      <c r="K79" s="168"/>
      <c r="M79" s="359">
        <f t="shared" si="12"/>
        <v>66.114270557029172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490">
        <f>'[72]Sch C'!D75</f>
        <v>42405</v>
      </c>
      <c r="D82" s="490">
        <f>'[72]Sch C'!F75</f>
        <v>0</v>
      </c>
      <c r="E82" s="171">
        <f t="shared" ref="E82:E92" si="14">C82+D82</f>
        <v>42405</v>
      </c>
      <c r="F82" s="171">
        <v>7518</v>
      </c>
      <c r="G82" s="171">
        <f t="shared" ref="G82:G92" si="15">E82+F82</f>
        <v>49923</v>
      </c>
      <c r="H82" s="172">
        <f t="shared" ref="H82:H93" si="16">IF($G$208=0,0,G82/$G$208)</f>
        <v>8.8856457977074879E-3</v>
      </c>
      <c r="I82" s="337"/>
      <c r="J82" s="183">
        <f>1753+306</f>
        <v>2059</v>
      </c>
      <c r="K82" s="183">
        <f>1902+319</f>
        <v>2221</v>
      </c>
      <c r="M82" s="359">
        <f t="shared" ref="M82:M92" si="17">G82/G$228</f>
        <v>2.546572128137115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490">
        <f>'[72]Sch C'!D76</f>
        <v>4091</v>
      </c>
      <c r="D83" s="490">
        <f>'[72]Sch C'!F76</f>
        <v>299</v>
      </c>
      <c r="E83" s="171">
        <f t="shared" si="14"/>
        <v>4390</v>
      </c>
      <c r="F83" s="171">
        <v>1299</v>
      </c>
      <c r="G83" s="171">
        <f t="shared" si="15"/>
        <v>5689</v>
      </c>
      <c r="H83" s="172">
        <f t="shared" si="16"/>
        <v>1.0125681337891934E-3</v>
      </c>
      <c r="I83" s="337"/>
      <c r="J83" s="168"/>
      <c r="K83" s="168"/>
      <c r="M83" s="359">
        <f t="shared" si="17"/>
        <v>0.29019587839216487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490">
        <f>'[72]Sch C'!D77</f>
        <v>9650</v>
      </c>
      <c r="D84" s="490">
        <f>'[72]Sch C'!F77</f>
        <v>0</v>
      </c>
      <c r="E84" s="171">
        <f t="shared" si="14"/>
        <v>9650</v>
      </c>
      <c r="F84" s="171">
        <v>3368</v>
      </c>
      <c r="G84" s="171">
        <f t="shared" si="15"/>
        <v>13018</v>
      </c>
      <c r="H84" s="172">
        <f t="shared" si="16"/>
        <v>2.3170349737506976E-3</v>
      </c>
      <c r="I84" s="337"/>
      <c r="J84" s="168"/>
      <c r="K84" s="168"/>
      <c r="M84" s="359">
        <f t="shared" si="17"/>
        <v>0.66404815343807388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490">
        <f>'[72]Sch C'!D78</f>
        <v>0</v>
      </c>
      <c r="D85" s="490">
        <f>'[72]Sch C'!F78</f>
        <v>0</v>
      </c>
      <c r="E85" s="171">
        <f t="shared" si="14"/>
        <v>0</v>
      </c>
      <c r="F85" s="171">
        <v>0</v>
      </c>
      <c r="G85" s="171">
        <f t="shared" si="15"/>
        <v>0</v>
      </c>
      <c r="H85" s="172">
        <f t="shared" si="16"/>
        <v>0</v>
      </c>
      <c r="I85" s="337"/>
      <c r="J85" s="168"/>
      <c r="K85" s="168"/>
      <c r="M85" s="359">
        <f t="shared" si="17"/>
        <v>0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490">
        <f>'[72]Sch C'!D79</f>
        <v>5809</v>
      </c>
      <c r="D86" s="490">
        <f>'[72]Sch C'!F79</f>
        <v>4601</v>
      </c>
      <c r="E86" s="171">
        <f t="shared" si="14"/>
        <v>10410</v>
      </c>
      <c r="F86" s="171">
        <v>1552</v>
      </c>
      <c r="G86" s="171">
        <f t="shared" si="15"/>
        <v>11962</v>
      </c>
      <c r="H86" s="172">
        <f t="shared" si="16"/>
        <v>2.1290806848982828E-3</v>
      </c>
      <c r="I86" s="337"/>
      <c r="J86" s="168"/>
      <c r="K86" s="168"/>
      <c r="M86" s="359">
        <f t="shared" si="17"/>
        <v>0.61018159559273621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490">
        <f>'[72]Sch C'!D80</f>
        <v>11082</v>
      </c>
      <c r="D87" s="490">
        <f>'[72]Sch C'!F80</f>
        <v>0</v>
      </c>
      <c r="E87" s="171">
        <f t="shared" si="14"/>
        <v>11082</v>
      </c>
      <c r="F87" s="171">
        <v>4353</v>
      </c>
      <c r="G87" s="171">
        <f t="shared" si="15"/>
        <v>15435</v>
      </c>
      <c r="H87" s="172">
        <f t="shared" si="16"/>
        <v>2.7472295913229389E-3</v>
      </c>
      <c r="I87" s="337"/>
      <c r="J87" s="168"/>
      <c r="K87" s="168"/>
      <c r="M87" s="359">
        <f t="shared" si="17"/>
        <v>0.78733931850642724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490">
        <f>'[72]Sch C'!D81</f>
        <v>33815</v>
      </c>
      <c r="D88" s="490">
        <f>'[72]Sch C'!F81</f>
        <v>0</v>
      </c>
      <c r="E88" s="171">
        <f t="shared" si="14"/>
        <v>33815</v>
      </c>
      <c r="F88" s="171">
        <v>1396</v>
      </c>
      <c r="G88" s="171">
        <f t="shared" si="15"/>
        <v>35211</v>
      </c>
      <c r="H88" s="172">
        <f t="shared" si="16"/>
        <v>6.2671008189227086E-3</v>
      </c>
      <c r="I88" s="337"/>
      <c r="J88" s="168"/>
      <c r="K88" s="168"/>
      <c r="M88" s="359">
        <f t="shared" si="17"/>
        <v>1.7961130381554784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490">
        <f>'[72]Sch C'!D82</f>
        <v>9112</v>
      </c>
      <c r="D89" s="490">
        <f>'[72]Sch C'!F82</f>
        <v>0</v>
      </c>
      <c r="E89" s="171">
        <f t="shared" si="14"/>
        <v>9112</v>
      </c>
      <c r="F89" s="171">
        <v>0</v>
      </c>
      <c r="G89" s="171">
        <f t="shared" si="15"/>
        <v>9112</v>
      </c>
      <c r="H89" s="172">
        <f t="shared" si="16"/>
        <v>1.6218176894159133E-3</v>
      </c>
      <c r="I89" s="337"/>
      <c r="J89" s="168"/>
      <c r="K89" s="168"/>
      <c r="M89" s="359">
        <f t="shared" si="17"/>
        <v>0.46480310140787595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490">
        <f>'[72]Sch C'!D83</f>
        <v>5766</v>
      </c>
      <c r="D90" s="490">
        <f>'[72]Sch C'!F83</f>
        <v>0</v>
      </c>
      <c r="E90" s="171">
        <f t="shared" si="14"/>
        <v>5766</v>
      </c>
      <c r="F90" s="171">
        <v>0</v>
      </c>
      <c r="G90" s="171">
        <f t="shared" si="15"/>
        <v>5766</v>
      </c>
      <c r="H90" s="172">
        <f t="shared" si="16"/>
        <v>1.0262731340180153E-3</v>
      </c>
      <c r="I90" s="337"/>
      <c r="J90" s="168"/>
      <c r="K90" s="168"/>
      <c r="M90" s="359">
        <f t="shared" si="17"/>
        <v>0.29412364823505405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490">
        <f>'[72]Sch C'!D84</f>
        <v>100479</v>
      </c>
      <c r="D91" s="490">
        <f>'[72]Sch C'!F84</f>
        <v>0</v>
      </c>
      <c r="E91" s="171">
        <f t="shared" si="14"/>
        <v>100479</v>
      </c>
      <c r="F91" s="171">
        <v>13952</v>
      </c>
      <c r="G91" s="171">
        <f t="shared" si="15"/>
        <v>114431</v>
      </c>
      <c r="H91" s="172">
        <f t="shared" si="16"/>
        <v>2.0367232223173E-2</v>
      </c>
      <c r="I91" s="337"/>
      <c r="J91" s="168"/>
      <c r="K91" s="168"/>
      <c r="M91" s="359">
        <f t="shared" si="17"/>
        <v>5.8371250765149973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490">
        <f>'[72]Sch C'!D85</f>
        <v>0</v>
      </c>
      <c r="D92" s="490">
        <f>'[72]Sch C'!F85</f>
        <v>0</v>
      </c>
      <c r="E92" s="171">
        <f t="shared" si="14"/>
        <v>0</v>
      </c>
      <c r="F92" s="171">
        <v>0</v>
      </c>
      <c r="G92" s="171">
        <f t="shared" si="15"/>
        <v>0</v>
      </c>
      <c r="H92" s="172">
        <f t="shared" si="16"/>
        <v>0</v>
      </c>
      <c r="I92" s="337"/>
      <c r="J92" s="168"/>
      <c r="K92" s="168"/>
      <c r="M92" s="359">
        <f t="shared" si="17"/>
        <v>0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490">
        <f>SUM(C82:C92)</f>
        <v>222209</v>
      </c>
      <c r="D93" s="490">
        <f>SUM(D82:D92)</f>
        <v>4900</v>
      </c>
      <c r="E93" s="171">
        <f t="shared" ref="E93:F93" si="18">SUM(E82:E92)</f>
        <v>227109</v>
      </c>
      <c r="F93" s="171">
        <f t="shared" si="18"/>
        <v>33438</v>
      </c>
      <c r="G93" s="171">
        <f>SUM(G82:G92)</f>
        <v>260547</v>
      </c>
      <c r="H93" s="172">
        <f t="shared" si="16"/>
        <v>4.6373983046998239E-2</v>
      </c>
      <c r="I93" s="337"/>
      <c r="J93" s="168"/>
      <c r="K93" s="168"/>
      <c r="M93" s="364">
        <f>G93/G$228</f>
        <v>13.290501938379922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490">
        <f>'[72]Sch C'!D89</f>
        <v>156100</v>
      </c>
      <c r="D96" s="490">
        <f>'[72]Sch C'!F89</f>
        <v>0</v>
      </c>
      <c r="E96" s="171">
        <f t="shared" ref="E96:E101" si="19">C96+D96</f>
        <v>156100</v>
      </c>
      <c r="F96" s="171">
        <v>30083</v>
      </c>
      <c r="G96" s="171">
        <f t="shared" ref="G96:G101" si="20">E96+F96</f>
        <v>186183</v>
      </c>
      <c r="H96" s="172">
        <f t="shared" ref="H96:H102" si="21">IF($G$208=0,0,G96/$G$208)</f>
        <v>3.313815659224352E-2</v>
      </c>
      <c r="I96" s="337"/>
      <c r="J96" s="183">
        <f>12109+2101</f>
        <v>14210</v>
      </c>
      <c r="K96" s="183">
        <f>12735+2192</f>
        <v>14927</v>
      </c>
      <c r="M96" s="364">
        <f t="shared" ref="M96:M101" si="22">G96/G$228</f>
        <v>9.4971944501122216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490">
        <f>'[72]Sch C'!D90</f>
        <v>29890</v>
      </c>
      <c r="D97" s="490">
        <f>'[72]Sch C'!F90</f>
        <v>1140</v>
      </c>
      <c r="E97" s="171">
        <f t="shared" si="19"/>
        <v>31030</v>
      </c>
      <c r="F97" s="171">
        <v>5197</v>
      </c>
      <c r="G97" s="171">
        <f t="shared" si="20"/>
        <v>36227</v>
      </c>
      <c r="H97" s="172">
        <f t="shared" si="21"/>
        <v>6.4479356271367741E-3</v>
      </c>
      <c r="I97" s="337"/>
      <c r="J97" s="168"/>
      <c r="K97" s="168"/>
      <c r="M97" s="364">
        <f t="shared" si="22"/>
        <v>1.8479391960824321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490">
        <f>'[72]Sch C'!D91</f>
        <v>0</v>
      </c>
      <c r="D98" s="490">
        <f>'[72]Sch C'!F91</f>
        <v>0</v>
      </c>
      <c r="E98" s="171">
        <f t="shared" si="19"/>
        <v>0</v>
      </c>
      <c r="F98" s="171">
        <v>802</v>
      </c>
      <c r="G98" s="171">
        <f t="shared" si="20"/>
        <v>802</v>
      </c>
      <c r="H98" s="172">
        <f t="shared" si="21"/>
        <v>1.4274558679889843E-4</v>
      </c>
      <c r="I98" s="337"/>
      <c r="J98" s="168"/>
      <c r="K98" s="168"/>
      <c r="M98" s="364">
        <f t="shared" si="22"/>
        <v>4.0910018363599268E-2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490">
        <f>'[72]Sch C'!D92</f>
        <v>103636</v>
      </c>
      <c r="D99" s="490">
        <f>'[72]Sch C'!F92</f>
        <v>-141</v>
      </c>
      <c r="E99" s="171">
        <f t="shared" si="19"/>
        <v>103495</v>
      </c>
      <c r="F99" s="171">
        <v>22329</v>
      </c>
      <c r="G99" s="171">
        <f t="shared" si="20"/>
        <v>125824</v>
      </c>
      <c r="H99" s="172">
        <f t="shared" si="21"/>
        <v>2.2395038295990766E-2</v>
      </c>
      <c r="I99" s="337"/>
      <c r="J99" s="168"/>
      <c r="K99" s="168"/>
      <c r="M99" s="364">
        <f t="shared" si="22"/>
        <v>6.418281983268721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490">
        <f>'[72]Sch C'!D93</f>
        <v>13390</v>
      </c>
      <c r="D100" s="490">
        <f>'[72]Sch C'!F93</f>
        <v>-18</v>
      </c>
      <c r="E100" s="171">
        <f t="shared" si="19"/>
        <v>13372</v>
      </c>
      <c r="F100" s="171">
        <v>2152</v>
      </c>
      <c r="G100" s="171">
        <f t="shared" si="20"/>
        <v>15524</v>
      </c>
      <c r="H100" s="172">
        <f t="shared" si="21"/>
        <v>2.7630704357432655E-3</v>
      </c>
      <c r="I100" s="337"/>
      <c r="J100" s="168"/>
      <c r="K100" s="168"/>
      <c r="M100" s="364">
        <f t="shared" si="22"/>
        <v>0.79187920832483172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490">
        <f>'[72]Sch C'!D94</f>
        <v>388</v>
      </c>
      <c r="D101" s="490">
        <f>'[72]Sch C'!F94</f>
        <v>0</v>
      </c>
      <c r="E101" s="171">
        <f t="shared" si="19"/>
        <v>388</v>
      </c>
      <c r="F101" s="171">
        <v>0</v>
      </c>
      <c r="G101" s="171">
        <f t="shared" si="20"/>
        <v>388</v>
      </c>
      <c r="H101" s="172">
        <f t="shared" si="21"/>
        <v>6.9058962191985771E-5</v>
      </c>
      <c r="I101" s="337"/>
      <c r="J101" s="168"/>
      <c r="K101" s="168"/>
      <c r="M101" s="364">
        <f t="shared" si="22"/>
        <v>1.9791879208324831E-2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490">
        <f>SUM(C96:C101)</f>
        <v>303404</v>
      </c>
      <c r="D102" s="490">
        <f>SUM(D96:D101)</f>
        <v>981</v>
      </c>
      <c r="E102" s="171">
        <f t="shared" ref="E102:F102" si="23">SUM(E96:E101)</f>
        <v>304385</v>
      </c>
      <c r="F102" s="171">
        <f t="shared" si="23"/>
        <v>60563</v>
      </c>
      <c r="G102" s="171">
        <f>SUM(G96:G101)</f>
        <v>364948</v>
      </c>
      <c r="H102" s="172">
        <f t="shared" si="21"/>
        <v>6.4956005500105218E-2</v>
      </c>
      <c r="I102" s="337"/>
      <c r="J102" s="168"/>
      <c r="K102" s="168"/>
      <c r="M102" s="364">
        <f>G102/G$228</f>
        <v>18.615996735360131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490">
        <f>'[72]Sch C'!D98</f>
        <v>0</v>
      </c>
      <c r="D105" s="490">
        <f>'[72]Sch C'!F98</f>
        <v>0</v>
      </c>
      <c r="E105" s="171">
        <f t="shared" ref="E105:E110" si="24">C105+D105</f>
        <v>0</v>
      </c>
      <c r="F105" s="171">
        <v>3286</v>
      </c>
      <c r="G105" s="171">
        <f t="shared" ref="G105:G110" si="25">E105+F105</f>
        <v>3286</v>
      </c>
      <c r="H105" s="172">
        <f t="shared" ref="H105:H111" si="26">IF($G$208=0,0,G105/$G$208)</f>
        <v>5.8486533444037433E-4</v>
      </c>
      <c r="I105" s="337"/>
      <c r="J105" s="183">
        <v>344</v>
      </c>
      <c r="K105" s="183">
        <v>359</v>
      </c>
      <c r="M105" s="364">
        <f t="shared" ref="M105:M110" si="27">G105/G$228</f>
        <v>0.16761885329524587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490">
        <f>'[72]Sch C'!D99</f>
        <v>0</v>
      </c>
      <c r="D106" s="490">
        <f>'[72]Sch C'!F99</f>
        <v>0</v>
      </c>
      <c r="E106" s="171">
        <f t="shared" si="24"/>
        <v>0</v>
      </c>
      <c r="F106" s="171">
        <v>568</v>
      </c>
      <c r="G106" s="171">
        <f t="shared" si="25"/>
        <v>568</v>
      </c>
      <c r="H106" s="172">
        <f t="shared" si="26"/>
        <v>1.0109662506455649E-4</v>
      </c>
      <c r="I106" s="337"/>
      <c r="J106" s="168"/>
      <c r="K106" s="168"/>
      <c r="M106" s="364">
        <f t="shared" si="27"/>
        <v>2.8973678841052845E-2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490">
        <f>'[72]Sch C'!D100</f>
        <v>84</v>
      </c>
      <c r="D107" s="490">
        <f>'[72]Sch C'!F100</f>
        <v>0</v>
      </c>
      <c r="E107" s="171">
        <f t="shared" si="24"/>
        <v>84</v>
      </c>
      <c r="F107" s="171">
        <v>869</v>
      </c>
      <c r="G107" s="171">
        <f t="shared" si="25"/>
        <v>953</v>
      </c>
      <c r="H107" s="172">
        <f t="shared" si="26"/>
        <v>1.6962162620866609E-4</v>
      </c>
      <c r="I107" s="337"/>
      <c r="J107" s="168"/>
      <c r="K107" s="168"/>
      <c r="M107" s="364">
        <f t="shared" si="27"/>
        <v>4.8612528055498878E-2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490">
        <f>'[72]Sch C'!D101</f>
        <v>89312</v>
      </c>
      <c r="D108" s="490">
        <f>'[72]Sch C'!F101</f>
        <v>0</v>
      </c>
      <c r="E108" s="171">
        <f t="shared" si="24"/>
        <v>89312</v>
      </c>
      <c r="F108" s="171">
        <v>271</v>
      </c>
      <c r="G108" s="171">
        <f t="shared" si="25"/>
        <v>89583</v>
      </c>
      <c r="H108" s="172">
        <f t="shared" si="26"/>
        <v>1.5944610850630571E-2</v>
      </c>
      <c r="I108" s="337"/>
      <c r="J108" s="168"/>
      <c r="K108" s="168"/>
      <c r="M108" s="364">
        <f t="shared" si="27"/>
        <v>4.569628647214854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490">
        <f>'[72]Sch C'!D102</f>
        <v>147</v>
      </c>
      <c r="D109" s="490">
        <f>'[72]Sch C'!F102</f>
        <v>0</v>
      </c>
      <c r="E109" s="171">
        <f t="shared" si="24"/>
        <v>147</v>
      </c>
      <c r="F109" s="171">
        <v>1007</v>
      </c>
      <c r="G109" s="171">
        <f t="shared" si="25"/>
        <v>1154</v>
      </c>
      <c r="H109" s="172">
        <f t="shared" si="26"/>
        <v>2.0539701641637004E-4</v>
      </c>
      <c r="I109" s="337"/>
      <c r="J109" s="168"/>
      <c r="K109" s="168"/>
      <c r="M109" s="364">
        <f t="shared" si="27"/>
        <v>5.8865537645378496E-2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490">
        <f>'[72]Sch C'!D103</f>
        <v>0</v>
      </c>
      <c r="D110" s="490">
        <f>'[72]Sch C'!F103</f>
        <v>0</v>
      </c>
      <c r="E110" s="171">
        <f t="shared" si="24"/>
        <v>0</v>
      </c>
      <c r="F110" s="171">
        <v>0</v>
      </c>
      <c r="G110" s="171">
        <f t="shared" si="25"/>
        <v>0</v>
      </c>
      <c r="H110" s="172">
        <f t="shared" si="26"/>
        <v>0</v>
      </c>
      <c r="I110" s="337"/>
      <c r="J110" s="168"/>
      <c r="K110" s="168"/>
      <c r="M110" s="364">
        <f t="shared" si="27"/>
        <v>0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490">
        <f>SUM(C105:C110)</f>
        <v>89543</v>
      </c>
      <c r="D111" s="490">
        <f>SUM(D105:D110)</f>
        <v>0</v>
      </c>
      <c r="E111" s="171">
        <f t="shared" ref="E111:F111" si="28">SUM(E105:E110)</f>
        <v>89543</v>
      </c>
      <c r="F111" s="171">
        <f t="shared" si="28"/>
        <v>6001</v>
      </c>
      <c r="G111" s="171">
        <f>SUM(G105:G110)</f>
        <v>95544</v>
      </c>
      <c r="H111" s="172">
        <f t="shared" si="26"/>
        <v>1.7005591452760538E-2</v>
      </c>
      <c r="I111" s="337"/>
      <c r="J111" s="168"/>
      <c r="K111" s="168"/>
      <c r="M111" s="364">
        <f>G111/G$228</f>
        <v>4.8736992450520304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490">
        <f>'[72]Sch C'!D115</f>
        <v>0</v>
      </c>
      <c r="D114" s="490">
        <f>'[72]Sch C'!F115</f>
        <v>0</v>
      </c>
      <c r="E114" s="171">
        <f t="shared" ref="E114:E118" si="29">C114+D114</f>
        <v>0</v>
      </c>
      <c r="F114" s="171">
        <v>6833</v>
      </c>
      <c r="G114" s="171">
        <f>E114+F114</f>
        <v>6833</v>
      </c>
      <c r="H114" s="172">
        <f t="shared" ref="H114:H119" si="30">IF($G$208=0,0,G114/$G$208)</f>
        <v>1.2161852800459763E-3</v>
      </c>
      <c r="I114" s="337"/>
      <c r="J114" s="183">
        <v>598</v>
      </c>
      <c r="K114" s="183">
        <v>624</v>
      </c>
      <c r="M114" s="364">
        <f t="shared" ref="M114:M119" si="31">G114/G$228</f>
        <v>0.34855131605794737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490">
        <f>'[72]Sch C'!D116</f>
        <v>0</v>
      </c>
      <c r="D115" s="490">
        <f>'[72]Sch C'!F116</f>
        <v>0</v>
      </c>
      <c r="E115" s="171">
        <f t="shared" si="29"/>
        <v>0</v>
      </c>
      <c r="F115" s="171">
        <v>1180</v>
      </c>
      <c r="G115" s="171">
        <f>E115+F115</f>
        <v>1180</v>
      </c>
      <c r="H115" s="172">
        <f t="shared" si="30"/>
        <v>2.1002467883129693E-4</v>
      </c>
      <c r="I115" s="337"/>
      <c r="J115" s="168"/>
      <c r="K115" s="168"/>
      <c r="M115" s="364">
        <f t="shared" si="31"/>
        <v>6.0191797592328095E-2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490">
        <f>'[72]Sch C'!D117</f>
        <v>4781</v>
      </c>
      <c r="D116" s="490">
        <f>'[72]Sch C'!F117</f>
        <v>0</v>
      </c>
      <c r="E116" s="171">
        <f t="shared" si="29"/>
        <v>4781</v>
      </c>
      <c r="F116" s="171">
        <v>506</v>
      </c>
      <c r="G116" s="171">
        <f>E116+F116</f>
        <v>5287</v>
      </c>
      <c r="H116" s="172">
        <f t="shared" si="30"/>
        <v>9.4101735337378547E-4</v>
      </c>
      <c r="I116" s="337"/>
      <c r="J116" s="168"/>
      <c r="K116" s="168"/>
      <c r="M116" s="364">
        <f t="shared" si="31"/>
        <v>0.26968985921240562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490">
        <f>'[72]Sch C'!D118</f>
        <v>128692</v>
      </c>
      <c r="D117" s="490">
        <f>'[72]Sch C'!F118</f>
        <v>0</v>
      </c>
      <c r="E117" s="171">
        <f t="shared" si="29"/>
        <v>128692</v>
      </c>
      <c r="F117" s="171">
        <v>686</v>
      </c>
      <c r="G117" s="171">
        <f>E117+F117</f>
        <v>129378</v>
      </c>
      <c r="H117" s="172">
        <f t="shared" si="30"/>
        <v>2.3027604150708078E-2</v>
      </c>
      <c r="I117" s="337"/>
      <c r="J117" s="168"/>
      <c r="K117" s="168"/>
      <c r="M117" s="364">
        <f t="shared" si="31"/>
        <v>6.5995715160171393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490">
        <f>'[72]Sch C'!D119</f>
        <v>0</v>
      </c>
      <c r="D118" s="490">
        <f>'[72]Sch C'!F119</f>
        <v>0</v>
      </c>
      <c r="E118" s="171">
        <f t="shared" si="29"/>
        <v>0</v>
      </c>
      <c r="F118" s="171">
        <v>0</v>
      </c>
      <c r="G118" s="171">
        <f>E118+F118</f>
        <v>0</v>
      </c>
      <c r="H118" s="172">
        <f t="shared" si="30"/>
        <v>0</v>
      </c>
      <c r="I118" s="337"/>
      <c r="J118" s="168"/>
      <c r="K118" s="168"/>
      <c r="M118" s="364">
        <f t="shared" si="31"/>
        <v>0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490">
        <f>SUM(C114:C118)</f>
        <v>133473</v>
      </c>
      <c r="D119" s="490">
        <f>SUM(D114:D118)</f>
        <v>0</v>
      </c>
      <c r="E119" s="171">
        <f t="shared" ref="E119:F119" si="32">SUM(E114:E118)</f>
        <v>133473</v>
      </c>
      <c r="F119" s="171">
        <f t="shared" si="32"/>
        <v>9205</v>
      </c>
      <c r="G119" s="171">
        <f>SUM(G114:G118)</f>
        <v>142678</v>
      </c>
      <c r="H119" s="172">
        <f t="shared" si="30"/>
        <v>2.5394831462959139E-2</v>
      </c>
      <c r="I119" s="337"/>
      <c r="J119" s="168"/>
      <c r="K119" s="168"/>
      <c r="M119" s="364">
        <f t="shared" si="31"/>
        <v>7.2780044888798203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1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490">
        <f>'[72]Sch C'!D124</f>
        <v>0</v>
      </c>
      <c r="D123" s="490">
        <f>'[72]Sch C'!F124</f>
        <v>0</v>
      </c>
      <c r="E123" s="171">
        <f t="shared" ref="E123:E127" si="33">C123+D123</f>
        <v>0</v>
      </c>
      <c r="F123" s="171">
        <v>0</v>
      </c>
      <c r="G123" s="171">
        <f>E123+F123</f>
        <v>0</v>
      </c>
      <c r="H123" s="172">
        <f>IF($G$208=0,0,G123/$G$208)</f>
        <v>0</v>
      </c>
      <c r="I123" s="337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0.77002560279620991</v>
      </c>
    </row>
    <row r="124" spans="1:14" s="167" customFormat="1">
      <c r="B124" s="163" t="s">
        <v>194</v>
      </c>
      <c r="C124" s="490">
        <f>'[72]Sch C'!D125</f>
        <v>211634</v>
      </c>
      <c r="D124" s="490">
        <f>'[72]Sch C'!F125</f>
        <v>10768</v>
      </c>
      <c r="E124" s="171">
        <f t="shared" si="33"/>
        <v>222402</v>
      </c>
      <c r="F124" s="171">
        <v>14336</v>
      </c>
      <c r="G124" s="171">
        <f>E124+F124</f>
        <v>236738</v>
      </c>
      <c r="H124" s="172">
        <f>IF($G$208=0,0,G124/$G$208)</f>
        <v>4.2136290184036924E-2</v>
      </c>
      <c r="I124" s="337"/>
      <c r="J124" s="183">
        <f>6188+347</f>
        <v>6535</v>
      </c>
      <c r="K124" s="183">
        <f>6609+362</f>
        <v>6971</v>
      </c>
      <c r="M124" s="364">
        <f t="shared" si="34"/>
        <v>12.076004896959804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490">
        <f>'[72]Sch C'!D126</f>
        <v>0</v>
      </c>
      <c r="D125" s="490">
        <f>'[72]Sch C'!F126</f>
        <v>0</v>
      </c>
      <c r="E125" s="171">
        <f t="shared" si="33"/>
        <v>0</v>
      </c>
      <c r="F125" s="171">
        <v>18949</v>
      </c>
      <c r="G125" s="171">
        <f>E125+F125</f>
        <v>18949</v>
      </c>
      <c r="H125" s="172">
        <f>IF($G$208=0,0,G125/$G$208)</f>
        <v>3.3726759654019028E-3</v>
      </c>
      <c r="I125" s="337"/>
      <c r="J125" s="183">
        <v>550</v>
      </c>
      <c r="K125" s="183">
        <v>574</v>
      </c>
      <c r="M125" s="364">
        <f t="shared" si="34"/>
        <v>0.96658845133646198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490">
        <f>'[72]Sch C'!D127</f>
        <v>0</v>
      </c>
      <c r="D126" s="490">
        <f>'[72]Sch C'!F127</f>
        <v>0</v>
      </c>
      <c r="E126" s="171">
        <f t="shared" si="33"/>
        <v>0</v>
      </c>
      <c r="F126" s="171">
        <v>0</v>
      </c>
      <c r="G126" s="171">
        <f>E126+F126</f>
        <v>0</v>
      </c>
      <c r="H126" s="172">
        <f>IF($G$208=0,0,G126/$G$208)</f>
        <v>0</v>
      </c>
      <c r="I126" s="337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490">
        <f>'[72]Sch C'!D128</f>
        <v>29048</v>
      </c>
      <c r="D127" s="490">
        <f>'[72]Sch C'!F128</f>
        <v>0</v>
      </c>
      <c r="E127" s="171">
        <f t="shared" si="33"/>
        <v>29048</v>
      </c>
      <c r="F127" s="171">
        <v>6066</v>
      </c>
      <c r="G127" s="171">
        <f>E127+F127</f>
        <v>35114</v>
      </c>
      <c r="H127" s="172">
        <f>IF($G$208=0,0,G127/$G$208)</f>
        <v>6.249836078374712E-3</v>
      </c>
      <c r="I127" s="337"/>
      <c r="J127" s="183">
        <f>1964+388</f>
        <v>2352</v>
      </c>
      <c r="K127" s="183">
        <f>2106+405</f>
        <v>2511</v>
      </c>
      <c r="M127" s="364">
        <f t="shared" si="34"/>
        <v>1.7911650683533973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205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490">
        <f>'[72]Sch C'!D130</f>
        <v>0</v>
      </c>
      <c r="D129" s="490">
        <f>'[72]Sch C'!F130</f>
        <v>0</v>
      </c>
      <c r="E129" s="171">
        <f t="shared" ref="E129:E133" si="35">C129+D129</f>
        <v>0</v>
      </c>
      <c r="F129" s="171">
        <v>0</v>
      </c>
      <c r="G129" s="171">
        <f>E129+F129</f>
        <v>0</v>
      </c>
      <c r="H129" s="172">
        <f>IF($G$208=0,0,G129/$G$208)</f>
        <v>0</v>
      </c>
      <c r="I129" s="337"/>
      <c r="J129" s="204"/>
      <c r="K129" s="204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490">
        <f>'[72]Sch C'!D131</f>
        <v>0</v>
      </c>
      <c r="D130" s="490">
        <f>'[72]Sch C'!F131</f>
        <v>0</v>
      </c>
      <c r="E130" s="171">
        <f t="shared" si="35"/>
        <v>0</v>
      </c>
      <c r="F130" s="171">
        <v>2476</v>
      </c>
      <c r="G130" s="171">
        <f>E130+F130</f>
        <v>2476</v>
      </c>
      <c r="H130" s="172">
        <f>IF($G$208=0,0,G130/$G$208)</f>
        <v>4.4069585151380609E-4</v>
      </c>
      <c r="I130" s="337"/>
      <c r="J130" s="204"/>
      <c r="K130" s="204"/>
      <c r="M130" s="364">
        <f t="shared" si="34"/>
        <v>0.1263007549479698</v>
      </c>
      <c r="N130" s="359">
        <f>SUMMARY!J133</f>
        <v>1.0792348507966931</v>
      </c>
    </row>
    <row r="131" spans="1:14" s="167" customFormat="1">
      <c r="B131" s="163" t="s">
        <v>195</v>
      </c>
      <c r="C131" s="490">
        <f>'[72]Sch C'!D132</f>
        <v>0</v>
      </c>
      <c r="D131" s="490">
        <f>'[72]Sch C'!F132</f>
        <v>0</v>
      </c>
      <c r="E131" s="171">
        <f t="shared" si="35"/>
        <v>0</v>
      </c>
      <c r="F131" s="171">
        <v>3273</v>
      </c>
      <c r="G131" s="171">
        <f>E131+F131</f>
        <v>3273</v>
      </c>
      <c r="H131" s="172">
        <f>IF($G$208=0,0,G131/$G$208)</f>
        <v>5.8255150323291091E-4</v>
      </c>
      <c r="I131" s="337"/>
      <c r="J131" s="168"/>
      <c r="K131" s="168"/>
      <c r="M131" s="364">
        <f t="shared" si="34"/>
        <v>0.16695572332177105</v>
      </c>
      <c r="N131" s="359">
        <f>SUMMARY!J134</f>
        <v>8.2765628075518377E-2</v>
      </c>
    </row>
    <row r="132" spans="1:14" s="167" customFormat="1">
      <c r="B132" s="163" t="s">
        <v>196</v>
      </c>
      <c r="C132" s="490">
        <f>'[72]Sch C'!D133</f>
        <v>0</v>
      </c>
      <c r="D132" s="490">
        <f>'[72]Sch C'!F133</f>
        <v>0</v>
      </c>
      <c r="E132" s="171">
        <f t="shared" si="35"/>
        <v>0</v>
      </c>
      <c r="F132" s="171">
        <v>0</v>
      </c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490">
        <f>'[72]Sch C'!D134</f>
        <v>48842</v>
      </c>
      <c r="D133" s="490">
        <f>'[72]Sch C'!F134</f>
        <v>2717</v>
      </c>
      <c r="E133" s="171">
        <f t="shared" si="35"/>
        <v>51559</v>
      </c>
      <c r="F133" s="171">
        <v>1048</v>
      </c>
      <c r="G133" s="171">
        <f>E133+F133</f>
        <v>52607</v>
      </c>
      <c r="H133" s="172">
        <f>IF($G$208=0,0,G133/$G$208)</f>
        <v>9.3633629485407096E-3</v>
      </c>
      <c r="I133" s="337"/>
      <c r="J133" s="168"/>
      <c r="K133" s="168"/>
      <c r="M133" s="364">
        <f t="shared" si="34"/>
        <v>2.6834829626606815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490">
        <f>'[72]Sch C'!D136</f>
        <v>187358</v>
      </c>
      <c r="D135" s="490">
        <f>'[72]Sch C'!F136</f>
        <v>0</v>
      </c>
      <c r="E135" s="171">
        <f t="shared" ref="E135:E138" si="36">C135+D135</f>
        <v>187358</v>
      </c>
      <c r="F135" s="171">
        <v>29784</v>
      </c>
      <c r="G135" s="171">
        <f>E135+F135</f>
        <v>217142</v>
      </c>
      <c r="H135" s="172">
        <f>IF($G$208=0,0,G135/$G$208)</f>
        <v>3.8648456619309726E-2</v>
      </c>
      <c r="I135" s="337"/>
      <c r="J135" s="183">
        <f>6965+1012</f>
        <v>7977</v>
      </c>
      <c r="K135" s="183">
        <f>7330+1056</f>
        <v>8386</v>
      </c>
      <c r="M135" s="364">
        <f t="shared" si="34"/>
        <v>11.07641297694348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490">
        <f>'[72]Sch C'!D137</f>
        <v>267367</v>
      </c>
      <c r="D136" s="490">
        <f>'[72]Sch C'!F137</f>
        <v>0</v>
      </c>
      <c r="E136" s="171">
        <f t="shared" si="36"/>
        <v>267367</v>
      </c>
      <c r="F136" s="171">
        <v>64598</v>
      </c>
      <c r="G136" s="171">
        <f>E136+F136</f>
        <v>331965</v>
      </c>
      <c r="H136" s="172">
        <f>IF($G$208=0,0,G136/$G$208)</f>
        <v>5.9085459752738545E-2</v>
      </c>
      <c r="I136" s="337"/>
      <c r="J136" s="183">
        <f>12060+2522</f>
        <v>14582</v>
      </c>
      <c r="K136" s="183">
        <f>12693+2632</f>
        <v>15325</v>
      </c>
      <c r="M136" s="364">
        <f t="shared" si="34"/>
        <v>16.93353397265864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490">
        <f>'[72]Sch C'!D138</f>
        <v>369396</v>
      </c>
      <c r="D137" s="490">
        <f>'[72]Sch C'!F138</f>
        <v>0</v>
      </c>
      <c r="E137" s="171">
        <f t="shared" si="36"/>
        <v>369396</v>
      </c>
      <c r="F137" s="171">
        <v>67932</v>
      </c>
      <c r="G137" s="171">
        <f>E137+F137</f>
        <v>437328</v>
      </c>
      <c r="H137" s="172">
        <f>IF($G$208=0,0,G137/$G$208)</f>
        <v>7.7838705715197812E-2</v>
      </c>
      <c r="I137" s="337"/>
      <c r="J137" s="183">
        <f>32625+5210</f>
        <v>37835</v>
      </c>
      <c r="K137" s="183">
        <f>34336+5437</f>
        <v>39773</v>
      </c>
      <c r="M137" s="364">
        <f t="shared" si="34"/>
        <v>22.308100387675985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490">
        <f>'[72]Sch C'!D139</f>
        <v>5758</v>
      </c>
      <c r="D138" s="490">
        <f>'[72]Sch C'!F139</f>
        <v>0</v>
      </c>
      <c r="E138" s="171">
        <f t="shared" si="36"/>
        <v>5758</v>
      </c>
      <c r="F138" s="171">
        <v>0</v>
      </c>
      <c r="G138" s="171">
        <f>E138+F138</f>
        <v>5758</v>
      </c>
      <c r="H138" s="172">
        <f>IF($G$208=0,0,G138/$G$208)</f>
        <v>1.0248492378903454E-3</v>
      </c>
      <c r="I138" s="337"/>
      <c r="J138" s="183">
        <v>532</v>
      </c>
      <c r="K138" s="183">
        <v>560</v>
      </c>
      <c r="M138" s="364">
        <f t="shared" si="34"/>
        <v>0.29371556825137729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7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490">
        <f>'[72]Sch C'!D141</f>
        <v>27278</v>
      </c>
      <c r="D140" s="490">
        <f>'[72]Sch C'!F141</f>
        <v>0</v>
      </c>
      <c r="E140" s="171">
        <f t="shared" ref="E140:E143" si="37">C140+D140</f>
        <v>27278</v>
      </c>
      <c r="F140" s="171">
        <v>5145</v>
      </c>
      <c r="G140" s="171">
        <f>E140+F140</f>
        <v>32423</v>
      </c>
      <c r="H140" s="172">
        <f>IF($G$208=0,0,G140/$G$208)</f>
        <v>5.7708730184297796E-3</v>
      </c>
      <c r="I140" s="337"/>
      <c r="J140" s="168"/>
      <c r="K140" s="168"/>
      <c r="M140" s="364">
        <f t="shared" si="34"/>
        <v>1.6538971638441133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490">
        <f>'[72]Sch C'!D142</f>
        <v>38927</v>
      </c>
      <c r="D141" s="490">
        <f>'[72]Sch C'!F142</f>
        <v>0</v>
      </c>
      <c r="E141" s="171">
        <f t="shared" si="37"/>
        <v>38927</v>
      </c>
      <c r="F141" s="171">
        <v>11159</v>
      </c>
      <c r="G141" s="171">
        <f>E141+F141</f>
        <v>50086</v>
      </c>
      <c r="H141" s="172">
        <f>IF($G$208=0,0,G141/$G$208)</f>
        <v>8.9146576813087606E-3</v>
      </c>
      <c r="I141" s="337"/>
      <c r="J141" s="168"/>
      <c r="K141" s="168"/>
      <c r="M141" s="364">
        <f t="shared" si="34"/>
        <v>2.5548867578045296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490">
        <f>'[72]Sch C'!D143</f>
        <v>53781</v>
      </c>
      <c r="D142" s="490">
        <f>'[72]Sch C'!F143</f>
        <v>0</v>
      </c>
      <c r="E142" s="171">
        <f t="shared" si="37"/>
        <v>53781</v>
      </c>
      <c r="F142" s="171">
        <v>11735</v>
      </c>
      <c r="G142" s="171">
        <f>E142+F142</f>
        <v>65516</v>
      </c>
      <c r="H142" s="172">
        <f>IF($G$208=0,0,G142/$G$208)</f>
        <v>1.1660997337551906E-2</v>
      </c>
      <c r="I142" s="337"/>
      <c r="J142" s="168"/>
      <c r="K142" s="168"/>
      <c r="M142" s="364">
        <f t="shared" si="34"/>
        <v>3.3419710263211591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490">
        <f>'[72]Sch C'!D144</f>
        <v>838</v>
      </c>
      <c r="D143" s="490">
        <f>'[72]Sch C'!F144</f>
        <v>6046</v>
      </c>
      <c r="E143" s="171">
        <f t="shared" si="37"/>
        <v>6884</v>
      </c>
      <c r="F143" s="171">
        <v>0</v>
      </c>
      <c r="G143" s="171">
        <f>E143+F143</f>
        <v>6884</v>
      </c>
      <c r="H143" s="172">
        <f>IF($G$208=0,0,G143/$G$208)</f>
        <v>1.2252626178598713E-3</v>
      </c>
      <c r="I143" s="337"/>
      <c r="J143" s="168"/>
      <c r="K143" s="168"/>
      <c r="M143" s="364">
        <f t="shared" si="34"/>
        <v>0.35115282595388697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7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490">
        <f>'[72]Sch C'!D146</f>
        <v>29450</v>
      </c>
      <c r="D145" s="490">
        <f>'[72]Sch C'!F146</f>
        <v>0</v>
      </c>
      <c r="E145" s="171">
        <f t="shared" ref="E145:E153" si="38">C145+D145</f>
        <v>29450</v>
      </c>
      <c r="F145" s="171">
        <v>6000</v>
      </c>
      <c r="G145" s="171">
        <f t="shared" ref="G145:G153" si="39">E145+F145</f>
        <v>35450</v>
      </c>
      <c r="H145" s="172">
        <f t="shared" ref="H145:H153" si="40">IF($G$208=0,0,G145/$G$208)</f>
        <v>6.3096397157368445E-3</v>
      </c>
      <c r="I145" s="337"/>
      <c r="J145" s="183">
        <v>156</v>
      </c>
      <c r="K145" s="183">
        <v>156</v>
      </c>
      <c r="M145" s="364">
        <f t="shared" si="34"/>
        <v>1.8083044276678228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490">
        <f>'[72]Sch C'!D147</f>
        <v>0</v>
      </c>
      <c r="D146" s="490">
        <f>'[72]Sch C'!F147</f>
        <v>0</v>
      </c>
      <c r="E146" s="171">
        <f t="shared" si="38"/>
        <v>0</v>
      </c>
      <c r="F146" s="171">
        <v>0</v>
      </c>
      <c r="G146" s="171">
        <f t="shared" si="39"/>
        <v>0</v>
      </c>
      <c r="H146" s="172">
        <f t="shared" si="40"/>
        <v>0</v>
      </c>
      <c r="I146" s="337"/>
      <c r="J146" s="183">
        <v>0</v>
      </c>
      <c r="K146" s="183">
        <v>0</v>
      </c>
      <c r="M146" s="364">
        <f t="shared" si="34"/>
        <v>0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490">
        <f>'[72]Sch C'!D148</f>
        <v>0</v>
      </c>
      <c r="D147" s="490">
        <f>'[72]Sch C'!F148</f>
        <v>0</v>
      </c>
      <c r="E147" s="171">
        <f t="shared" si="38"/>
        <v>0</v>
      </c>
      <c r="F147" s="171">
        <v>0</v>
      </c>
      <c r="G147" s="171">
        <f t="shared" si="39"/>
        <v>0</v>
      </c>
      <c r="H147" s="172">
        <f t="shared" si="40"/>
        <v>0</v>
      </c>
      <c r="I147" s="337"/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490">
        <f>'[72]Sch C'!D149</f>
        <v>0</v>
      </c>
      <c r="D148" s="490">
        <f>'[72]Sch C'!F149</f>
        <v>0</v>
      </c>
      <c r="E148" s="171">
        <f t="shared" si="38"/>
        <v>0</v>
      </c>
      <c r="F148" s="171">
        <v>0</v>
      </c>
      <c r="G148" s="171">
        <f t="shared" si="39"/>
        <v>0</v>
      </c>
      <c r="H148" s="172">
        <f t="shared" si="40"/>
        <v>0</v>
      </c>
      <c r="I148" s="337"/>
      <c r="J148" s="183">
        <v>0</v>
      </c>
      <c r="K148" s="183">
        <v>0</v>
      </c>
      <c r="M148" s="364">
        <f t="shared" si="34"/>
        <v>0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490">
        <f>'[72]Sch C'!D150</f>
        <v>0</v>
      </c>
      <c r="D149" s="490">
        <f>'[72]Sch C'!F150</f>
        <v>0</v>
      </c>
      <c r="E149" s="171">
        <f t="shared" si="38"/>
        <v>0</v>
      </c>
      <c r="F149" s="171">
        <v>1345</v>
      </c>
      <c r="G149" s="171">
        <f t="shared" si="39"/>
        <v>1345</v>
      </c>
      <c r="H149" s="172">
        <f t="shared" si="40"/>
        <v>2.3939253646448677E-4</v>
      </c>
      <c r="I149" s="337"/>
      <c r="J149" s="183">
        <v>89</v>
      </c>
      <c r="K149" s="183">
        <v>89</v>
      </c>
      <c r="M149" s="364">
        <f t="shared" si="34"/>
        <v>6.8608447255662106E-2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490">
        <f>'[72]Sch C'!D151</f>
        <v>60150</v>
      </c>
      <c r="D150" s="490">
        <f>'[72]Sch C'!F151</f>
        <v>0</v>
      </c>
      <c r="E150" s="171">
        <f t="shared" si="38"/>
        <v>60150</v>
      </c>
      <c r="F150" s="171">
        <v>9530</v>
      </c>
      <c r="G150" s="171">
        <f t="shared" si="39"/>
        <v>69680</v>
      </c>
      <c r="H150" s="172">
        <f t="shared" si="40"/>
        <v>1.2402135272004042E-2</v>
      </c>
      <c r="I150" s="337"/>
      <c r="J150" s="168"/>
      <c r="K150" s="168"/>
      <c r="M150" s="364">
        <f t="shared" si="34"/>
        <v>3.5543766578249336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490">
        <f>'[72]Sch C'!D152</f>
        <v>730</v>
      </c>
      <c r="D151" s="490">
        <f>'[72]Sch C'!F152</f>
        <v>0</v>
      </c>
      <c r="E151" s="171">
        <f t="shared" si="38"/>
        <v>730</v>
      </c>
      <c r="F151" s="171">
        <v>84</v>
      </c>
      <c r="G151" s="171">
        <f t="shared" si="39"/>
        <v>814</v>
      </c>
      <c r="H151" s="172">
        <f t="shared" si="40"/>
        <v>1.4488143099040314E-4</v>
      </c>
      <c r="I151" s="337"/>
      <c r="J151" s="168"/>
      <c r="K151" s="168"/>
      <c r="M151" s="364">
        <f t="shared" si="34"/>
        <v>4.1522138339114466E-2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490">
        <f>'[72]Sch C'!D153</f>
        <v>0</v>
      </c>
      <c r="D152" s="490">
        <f>'[72]Sch C'!F153</f>
        <v>2540</v>
      </c>
      <c r="E152" s="171">
        <f t="shared" si="38"/>
        <v>2540</v>
      </c>
      <c r="F152" s="171">
        <v>0</v>
      </c>
      <c r="G152" s="171">
        <f t="shared" si="39"/>
        <v>2540</v>
      </c>
      <c r="H152" s="172">
        <f t="shared" si="40"/>
        <v>4.520870205351646E-4</v>
      </c>
      <c r="I152" s="337"/>
      <c r="J152" s="168"/>
      <c r="K152" s="168"/>
      <c r="M152" s="364">
        <f t="shared" si="34"/>
        <v>0.12956539481738422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490">
        <f>'[72]Sch C'!D154</f>
        <v>0</v>
      </c>
      <c r="D153" s="490">
        <f>'[72]Sch C'!F154</f>
        <v>0</v>
      </c>
      <c r="E153" s="171">
        <f t="shared" si="38"/>
        <v>0</v>
      </c>
      <c r="F153" s="171">
        <v>0</v>
      </c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210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490">
        <f>'[72]Sch C'!D156</f>
        <v>0</v>
      </c>
      <c r="D155" s="490">
        <f>'[72]Sch C'!F156</f>
        <v>0</v>
      </c>
      <c r="E155" s="171">
        <f t="shared" ref="E155:E160" si="41">C155+D155</f>
        <v>0</v>
      </c>
      <c r="F155" s="171">
        <v>0</v>
      </c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490">
        <f>'[72]Sch C'!D157</f>
        <v>0</v>
      </c>
      <c r="D156" s="490">
        <f>'[72]Sch C'!F157</f>
        <v>0</v>
      </c>
      <c r="E156" s="171">
        <f t="shared" si="41"/>
        <v>0</v>
      </c>
      <c r="F156" s="171">
        <v>0</v>
      </c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490">
        <f>'[72]Sch C'!D158</f>
        <v>0</v>
      </c>
      <c r="D157" s="490">
        <f>'[72]Sch C'!F158</f>
        <v>0</v>
      </c>
      <c r="E157" s="171">
        <f t="shared" si="41"/>
        <v>0</v>
      </c>
      <c r="F157" s="171">
        <v>0</v>
      </c>
      <c r="G157" s="171">
        <f t="shared" si="42"/>
        <v>0</v>
      </c>
      <c r="H157" s="172">
        <f t="shared" si="43"/>
        <v>0</v>
      </c>
      <c r="I157" s="337"/>
      <c r="J157" s="168"/>
      <c r="K157" s="168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490">
        <f>'[72]Sch C'!D159</f>
        <v>0</v>
      </c>
      <c r="D158" s="490">
        <f>'[72]Sch C'!F159</f>
        <v>0</v>
      </c>
      <c r="E158" s="171">
        <f t="shared" si="41"/>
        <v>0</v>
      </c>
      <c r="F158" s="171">
        <v>0</v>
      </c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490">
        <f>'[72]Sch C'!D160</f>
        <v>0</v>
      </c>
      <c r="D159" s="490">
        <f>'[72]Sch C'!F160</f>
        <v>0</v>
      </c>
      <c r="E159" s="171">
        <f t="shared" si="41"/>
        <v>0</v>
      </c>
      <c r="F159" s="171">
        <v>0</v>
      </c>
      <c r="G159" s="171">
        <f t="shared" si="42"/>
        <v>0</v>
      </c>
      <c r="H159" s="172">
        <f>IF($G$208=0,0,G159/$G$208)</f>
        <v>0</v>
      </c>
      <c r="I159" s="337"/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490">
        <f>'[72]Sch C'!D161</f>
        <v>26833</v>
      </c>
      <c r="D160" s="490">
        <f>'[72]Sch C'!F161</f>
        <v>-15241</v>
      </c>
      <c r="E160" s="171">
        <f t="shared" si="41"/>
        <v>11592</v>
      </c>
      <c r="F160" s="171">
        <v>0</v>
      </c>
      <c r="G160" s="171">
        <f t="shared" si="42"/>
        <v>11592</v>
      </c>
      <c r="H160" s="172">
        <f t="shared" si="43"/>
        <v>2.0632254889935541E-3</v>
      </c>
      <c r="I160" s="337"/>
      <c r="J160" s="168"/>
      <c r="K160" s="168"/>
      <c r="M160" s="364">
        <f t="shared" si="34"/>
        <v>0.5913078963476841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490">
        <f>SUM(C123:C160)</f>
        <v>1357390</v>
      </c>
      <c r="D161" s="490">
        <f>SUM(D123:D160)</f>
        <v>6830</v>
      </c>
      <c r="E161" s="171">
        <f t="shared" ref="E161:F161" si="44">SUM(E123:E160)</f>
        <v>1364220</v>
      </c>
      <c r="F161" s="171">
        <f t="shared" si="44"/>
        <v>253460</v>
      </c>
      <c r="G161" s="171">
        <f>SUM(G123:G160)</f>
        <v>1617680</v>
      </c>
      <c r="H161" s="172">
        <f t="shared" si="43"/>
        <v>0.28792603597611222</v>
      </c>
      <c r="I161" s="337"/>
      <c r="J161" s="168"/>
      <c r="K161" s="168"/>
      <c r="M161" s="364">
        <f>G161/G$228</f>
        <v>82.517853499285863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337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7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490">
        <f>'[72]Sch C'!D175</f>
        <v>0</v>
      </c>
      <c r="D164" s="490">
        <f>'[72]Sch C'!F175</f>
        <v>0</v>
      </c>
      <c r="E164" s="171">
        <f t="shared" ref="E164:E196" si="45">C164+D164</f>
        <v>0</v>
      </c>
      <c r="F164" s="216">
        <v>0</v>
      </c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490">
        <f>'[72]Sch C'!D176</f>
        <v>0</v>
      </c>
      <c r="D165" s="490">
        <f>'[72]Sch C'!F176</f>
        <v>0</v>
      </c>
      <c r="E165" s="171">
        <f t="shared" si="45"/>
        <v>0</v>
      </c>
      <c r="F165" s="216">
        <v>0</v>
      </c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490">
        <f>'[72]Sch C'!D177</f>
        <v>0</v>
      </c>
      <c r="D166" s="490">
        <f>'[72]Sch C'!F177</f>
        <v>0</v>
      </c>
      <c r="E166" s="171">
        <f t="shared" si="45"/>
        <v>0</v>
      </c>
      <c r="F166" s="216">
        <v>27828</v>
      </c>
      <c r="G166" s="171">
        <f t="shared" si="46"/>
        <v>27828</v>
      </c>
      <c r="H166" s="172">
        <f t="shared" si="47"/>
        <v>4.953022680099433E-3</v>
      </c>
      <c r="I166" s="343"/>
      <c r="J166" s="217">
        <v>954</v>
      </c>
      <c r="K166" s="217">
        <v>995</v>
      </c>
      <c r="L166" s="218"/>
      <c r="M166" s="364">
        <f t="shared" si="48"/>
        <v>1.4195062232197511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490">
        <f>'[72]Sch C'!D178</f>
        <v>0</v>
      </c>
      <c r="D167" s="490">
        <f>'[72]Sch C'!F178</f>
        <v>0</v>
      </c>
      <c r="E167" s="171">
        <f t="shared" si="45"/>
        <v>0</v>
      </c>
      <c r="F167" s="216">
        <v>4807</v>
      </c>
      <c r="G167" s="171">
        <f t="shared" si="46"/>
        <v>4807</v>
      </c>
      <c r="H167" s="172">
        <f t="shared" si="47"/>
        <v>8.5558358571359691E-4</v>
      </c>
      <c r="I167" s="344"/>
      <c r="J167" s="222"/>
      <c r="K167" s="222"/>
      <c r="L167" s="218"/>
      <c r="M167" s="364">
        <f t="shared" si="48"/>
        <v>0.24520506019179758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490">
        <f>'[72]Sch C'!D179</f>
        <v>0</v>
      </c>
      <c r="D168" s="490">
        <f>'[72]Sch C'!F179</f>
        <v>0</v>
      </c>
      <c r="E168" s="171">
        <f t="shared" si="45"/>
        <v>0</v>
      </c>
      <c r="F168" s="216">
        <v>2718</v>
      </c>
      <c r="G168" s="171">
        <f t="shared" si="46"/>
        <v>2718</v>
      </c>
      <c r="H168" s="172">
        <f t="shared" si="47"/>
        <v>4.8376870937581783E-4</v>
      </c>
      <c r="I168" s="343"/>
      <c r="J168" s="217">
        <v>54</v>
      </c>
      <c r="K168" s="217">
        <v>56</v>
      </c>
      <c r="L168" s="218"/>
      <c r="M168" s="364">
        <f t="shared" si="48"/>
        <v>0.13864517445419303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490">
        <f>'[72]Sch C'!D180</f>
        <v>0</v>
      </c>
      <c r="D169" s="490">
        <f>'[72]Sch C'!F180</f>
        <v>0</v>
      </c>
      <c r="E169" s="171">
        <f t="shared" si="45"/>
        <v>0</v>
      </c>
      <c r="F169" s="216">
        <v>470</v>
      </c>
      <c r="G169" s="171">
        <f t="shared" si="46"/>
        <v>470</v>
      </c>
      <c r="H169" s="172">
        <f t="shared" si="47"/>
        <v>8.3653897500601324E-5</v>
      </c>
      <c r="I169" s="344"/>
      <c r="J169" s="222"/>
      <c r="K169" s="222"/>
      <c r="L169" s="218"/>
      <c r="M169" s="364">
        <f t="shared" si="48"/>
        <v>2.397469904101204E-2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490">
        <f>'[72]Sch C'!D181</f>
        <v>0</v>
      </c>
      <c r="D170" s="490">
        <f>'[72]Sch C'!F181</f>
        <v>0</v>
      </c>
      <c r="E170" s="171">
        <f t="shared" si="45"/>
        <v>0</v>
      </c>
      <c r="F170" s="216">
        <v>0</v>
      </c>
      <c r="G170" s="171">
        <f t="shared" si="46"/>
        <v>0</v>
      </c>
      <c r="H170" s="172">
        <f t="shared" si="47"/>
        <v>0</v>
      </c>
      <c r="I170" s="343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490">
        <f>'[72]Sch C'!D182</f>
        <v>0</v>
      </c>
      <c r="D171" s="490">
        <f>'[72]Sch C'!F182</f>
        <v>0</v>
      </c>
      <c r="E171" s="171">
        <f t="shared" si="45"/>
        <v>0</v>
      </c>
      <c r="F171" s="216">
        <v>0</v>
      </c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490">
        <f>'[72]Sch C'!D183</f>
        <v>0</v>
      </c>
      <c r="D172" s="490">
        <f>'[72]Sch C'!F183</f>
        <v>0</v>
      </c>
      <c r="E172" s="171">
        <f t="shared" si="45"/>
        <v>0</v>
      </c>
      <c r="F172" s="216">
        <v>25026</v>
      </c>
      <c r="G172" s="171">
        <f t="shared" si="46"/>
        <v>25026</v>
      </c>
      <c r="H172" s="172">
        <f t="shared" si="47"/>
        <v>4.4543030613830824E-3</v>
      </c>
      <c r="I172" s="343"/>
      <c r="J172" s="217">
        <v>674</v>
      </c>
      <c r="K172" s="217">
        <v>703</v>
      </c>
      <c r="L172" s="218"/>
      <c r="M172" s="364">
        <f t="shared" si="48"/>
        <v>1.2765762089369517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490">
        <f>'[72]Sch C'!D184</f>
        <v>0</v>
      </c>
      <c r="D173" s="490">
        <f>'[72]Sch C'!F184</f>
        <v>0</v>
      </c>
      <c r="E173" s="171">
        <f t="shared" si="45"/>
        <v>0</v>
      </c>
      <c r="F173" s="216">
        <v>4323</v>
      </c>
      <c r="G173" s="171">
        <f t="shared" si="46"/>
        <v>4323</v>
      </c>
      <c r="H173" s="172">
        <f t="shared" si="47"/>
        <v>7.6943786998957342E-4</v>
      </c>
      <c r="I173" s="344"/>
      <c r="J173" s="222"/>
      <c r="K173" s="222"/>
      <c r="L173" s="218"/>
      <c r="M173" s="364">
        <f t="shared" si="48"/>
        <v>0.22051622117935116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490">
        <f>'[72]Sch C'!D185</f>
        <v>0</v>
      </c>
      <c r="D174" s="490">
        <f>'[72]Sch C'!F185</f>
        <v>0</v>
      </c>
      <c r="E174" s="171">
        <f t="shared" si="45"/>
        <v>0</v>
      </c>
      <c r="F174" s="216">
        <v>0</v>
      </c>
      <c r="G174" s="171">
        <f t="shared" si="46"/>
        <v>0</v>
      </c>
      <c r="H174" s="172">
        <f t="shared" si="47"/>
        <v>0</v>
      </c>
      <c r="I174" s="343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490">
        <f>'[72]Sch C'!D186</f>
        <v>0</v>
      </c>
      <c r="D175" s="490">
        <f>'[72]Sch C'!F186</f>
        <v>0</v>
      </c>
      <c r="E175" s="171">
        <f t="shared" si="45"/>
        <v>0</v>
      </c>
      <c r="F175" s="216">
        <v>0</v>
      </c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490">
        <f>'[72]Sch C'!D187</f>
        <v>0</v>
      </c>
      <c r="D176" s="490">
        <f>'[72]Sch C'!F187</f>
        <v>0</v>
      </c>
      <c r="E176" s="171">
        <f t="shared" si="45"/>
        <v>0</v>
      </c>
      <c r="F176" s="216">
        <v>0</v>
      </c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490">
        <f>'[72]Sch C'!D188</f>
        <v>1713</v>
      </c>
      <c r="D177" s="490">
        <f>'[72]Sch C'!F188</f>
        <v>-931</v>
      </c>
      <c r="E177" s="171">
        <f t="shared" si="45"/>
        <v>782</v>
      </c>
      <c r="F177" s="216">
        <v>63</v>
      </c>
      <c r="G177" s="171">
        <f t="shared" si="46"/>
        <v>845</v>
      </c>
      <c r="H177" s="172">
        <f t="shared" si="47"/>
        <v>1.5039902848512364E-4</v>
      </c>
      <c r="I177" s="337"/>
      <c r="J177" s="223"/>
      <c r="K177" s="218"/>
      <c r="L177" s="220"/>
      <c r="M177" s="364">
        <f t="shared" si="48"/>
        <v>4.3103448275862072E-2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490">
        <f>'[72]Sch C'!D189</f>
        <v>0</v>
      </c>
      <c r="D178" s="490">
        <f>'[72]Sch C'!F189</f>
        <v>36</v>
      </c>
      <c r="E178" s="171">
        <f t="shared" si="45"/>
        <v>36</v>
      </c>
      <c r="F178" s="216">
        <v>0</v>
      </c>
      <c r="G178" s="171">
        <f t="shared" si="46"/>
        <v>36</v>
      </c>
      <c r="H178" s="172">
        <f t="shared" si="47"/>
        <v>6.4075325745141438E-6</v>
      </c>
      <c r="I178" s="337"/>
      <c r="J178" s="223"/>
      <c r="K178" s="218"/>
      <c r="L178" s="220"/>
      <c r="M178" s="364">
        <f t="shared" si="48"/>
        <v>1.8363599265456029E-3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490">
        <f>'[72]Sch C'!D190</f>
        <v>0</v>
      </c>
      <c r="D179" s="490">
        <f>'[72]Sch C'!F190</f>
        <v>0</v>
      </c>
      <c r="E179" s="171">
        <f t="shared" si="45"/>
        <v>0</v>
      </c>
      <c r="F179" s="216">
        <v>0</v>
      </c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490">
        <f>'[72]Sch C'!D191</f>
        <v>162</v>
      </c>
      <c r="D180" s="490">
        <f>'[72]Sch C'!F191</f>
        <v>896</v>
      </c>
      <c r="E180" s="171">
        <f t="shared" si="45"/>
        <v>1058</v>
      </c>
      <c r="F180" s="216">
        <v>0</v>
      </c>
      <c r="G180" s="171">
        <f t="shared" si="46"/>
        <v>1058</v>
      </c>
      <c r="H180" s="172">
        <f t="shared" si="47"/>
        <v>1.8831026288433232E-4</v>
      </c>
      <c r="I180" s="337"/>
      <c r="J180" s="223"/>
      <c r="K180" s="218"/>
      <c r="L180" s="220"/>
      <c r="M180" s="364">
        <f t="shared" si="48"/>
        <v>5.3968577841256887E-2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490">
        <f>'[72]Sch C'!D192</f>
        <v>0</v>
      </c>
      <c r="D181" s="490">
        <f>'[72]Sch C'!F192</f>
        <v>0</v>
      </c>
      <c r="E181" s="171">
        <f t="shared" si="45"/>
        <v>0</v>
      </c>
      <c r="F181" s="216">
        <v>0</v>
      </c>
      <c r="G181" s="171">
        <f t="shared" si="46"/>
        <v>0</v>
      </c>
      <c r="H181" s="172">
        <f t="shared" si="47"/>
        <v>0</v>
      </c>
      <c r="I181" s="337"/>
      <c r="J181" s="223"/>
      <c r="K181" s="218"/>
      <c r="L181" s="220"/>
      <c r="M181" s="364">
        <f t="shared" si="48"/>
        <v>0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490">
        <f>'[72]Sch C'!D193</f>
        <v>0</v>
      </c>
      <c r="D182" s="490">
        <f>'[72]Sch C'!F193</f>
        <v>0</v>
      </c>
      <c r="E182" s="171">
        <f t="shared" si="45"/>
        <v>0</v>
      </c>
      <c r="F182" s="216">
        <v>0</v>
      </c>
      <c r="G182" s="171">
        <f t="shared" si="46"/>
        <v>0</v>
      </c>
      <c r="H182" s="172">
        <f t="shared" si="47"/>
        <v>0</v>
      </c>
      <c r="I182" s="337"/>
      <c r="J182" s="223"/>
      <c r="K182" s="218"/>
      <c r="L182" s="220"/>
      <c r="M182" s="364">
        <f t="shared" si="48"/>
        <v>0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490">
        <f>'[72]Sch C'!D194</f>
        <v>115725</v>
      </c>
      <c r="D183" s="490">
        <f>'[72]Sch C'!F194</f>
        <v>30510</v>
      </c>
      <c r="E183" s="171">
        <f t="shared" si="45"/>
        <v>146235</v>
      </c>
      <c r="F183" s="216">
        <v>0</v>
      </c>
      <c r="G183" s="171">
        <f t="shared" si="46"/>
        <v>146235</v>
      </c>
      <c r="H183" s="172">
        <f t="shared" si="47"/>
        <v>2.6027931278724329E-2</v>
      </c>
      <c r="I183" s="337"/>
      <c r="J183" s="223"/>
      <c r="K183" s="218"/>
      <c r="M183" s="364">
        <f t="shared" si="48"/>
        <v>7.4594470516221181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490">
        <f>'[72]Sch C'!D195</f>
        <v>19784</v>
      </c>
      <c r="D184" s="490">
        <f>'[72]Sch C'!F195</f>
        <v>-3209</v>
      </c>
      <c r="E184" s="171">
        <f t="shared" si="45"/>
        <v>16575</v>
      </c>
      <c r="F184" s="216">
        <v>0</v>
      </c>
      <c r="G184" s="171">
        <f t="shared" si="46"/>
        <v>16575</v>
      </c>
      <c r="H184" s="172">
        <f t="shared" si="47"/>
        <v>2.9501347895158868E-3</v>
      </c>
      <c r="I184" s="337"/>
      <c r="J184" s="223"/>
      <c r="K184" s="218"/>
      <c r="M184" s="364">
        <f t="shared" si="48"/>
        <v>0.8454907161803713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490">
        <f>'[72]Sch C'!D196</f>
        <v>0</v>
      </c>
      <c r="D185" s="490">
        <f>'[72]Sch C'!F196</f>
        <v>0</v>
      </c>
      <c r="E185" s="171">
        <f t="shared" si="45"/>
        <v>0</v>
      </c>
      <c r="F185" s="216">
        <v>0</v>
      </c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490">
        <f>'[72]Sch C'!D197</f>
        <v>238691</v>
      </c>
      <c r="D186" s="490">
        <f>'[72]Sch C'!F197</f>
        <v>-61419</v>
      </c>
      <c r="E186" s="171">
        <f t="shared" si="45"/>
        <v>177272</v>
      </c>
      <c r="F186" s="216">
        <v>0</v>
      </c>
      <c r="G186" s="171">
        <f t="shared" si="46"/>
        <v>177272</v>
      </c>
      <c r="H186" s="172">
        <f t="shared" si="47"/>
        <v>3.155211429303531E-2</v>
      </c>
      <c r="I186" s="337"/>
      <c r="J186" s="223"/>
      <c r="K186" s="218"/>
      <c r="M186" s="364">
        <f t="shared" si="48"/>
        <v>9.0426443582942255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490">
        <f>'[72]Sch C'!D198</f>
        <v>5916</v>
      </c>
      <c r="D187" s="490">
        <f>'[72]Sch C'!F198</f>
        <v>0</v>
      </c>
      <c r="E187" s="171">
        <f t="shared" si="45"/>
        <v>5916</v>
      </c>
      <c r="F187" s="216">
        <v>1663</v>
      </c>
      <c r="G187" s="171">
        <f t="shared" si="46"/>
        <v>7579</v>
      </c>
      <c r="H187" s="172">
        <f t="shared" si="47"/>
        <v>1.3489635939511859E-3</v>
      </c>
      <c r="I187" s="337"/>
      <c r="J187" s="223"/>
      <c r="K187" s="218"/>
      <c r="M187" s="364">
        <f t="shared" si="48"/>
        <v>0.38660477453580899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490">
        <f>'[72]Sch C'!D199</f>
        <v>0</v>
      </c>
      <c r="D188" s="490">
        <f>'[72]Sch C'!F199</f>
        <v>0</v>
      </c>
      <c r="E188" s="171">
        <f t="shared" si="45"/>
        <v>0</v>
      </c>
      <c r="F188" s="216">
        <v>0</v>
      </c>
      <c r="G188" s="171">
        <f t="shared" si="46"/>
        <v>0</v>
      </c>
      <c r="H188" s="172">
        <f t="shared" si="47"/>
        <v>0</v>
      </c>
      <c r="I188" s="337"/>
      <c r="J188" s="223"/>
      <c r="K188" s="218"/>
      <c r="M188" s="364">
        <f t="shared" si="48"/>
        <v>0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490">
        <f>'[72]Sch C'!D200</f>
        <v>0</v>
      </c>
      <c r="D189" s="490">
        <f>'[72]Sch C'!F200</f>
        <v>0</v>
      </c>
      <c r="E189" s="171">
        <f t="shared" si="45"/>
        <v>0</v>
      </c>
      <c r="F189" s="216">
        <v>0</v>
      </c>
      <c r="G189" s="171">
        <f t="shared" si="46"/>
        <v>0</v>
      </c>
      <c r="H189" s="172">
        <f t="shared" si="47"/>
        <v>0</v>
      </c>
      <c r="I189" s="337"/>
      <c r="J189" s="223"/>
      <c r="K189" s="218"/>
      <c r="M189" s="364">
        <f t="shared" si="48"/>
        <v>0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490">
        <f>'[72]Sch C'!D201</f>
        <v>0</v>
      </c>
      <c r="D190" s="490">
        <f>'[72]Sch C'!F201</f>
        <v>0</v>
      </c>
      <c r="E190" s="171">
        <f t="shared" si="45"/>
        <v>0</v>
      </c>
      <c r="F190" s="216">
        <v>0</v>
      </c>
      <c r="G190" s="171">
        <f t="shared" si="46"/>
        <v>0</v>
      </c>
      <c r="H190" s="172">
        <f t="shared" si="47"/>
        <v>0</v>
      </c>
      <c r="I190" s="337"/>
      <c r="J190" s="223"/>
      <c r="K190" s="218"/>
      <c r="M190" s="364">
        <f t="shared" si="48"/>
        <v>0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490">
        <f>'[72]Sch C'!D202</f>
        <v>0</v>
      </c>
      <c r="D191" s="490">
        <f>'[72]Sch C'!F202</f>
        <v>0</v>
      </c>
      <c r="E191" s="171">
        <f t="shared" si="45"/>
        <v>0</v>
      </c>
      <c r="F191" s="216">
        <v>0</v>
      </c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490">
        <f>'[72]Sch C'!D203</f>
        <v>0</v>
      </c>
      <c r="D192" s="490">
        <f>'[72]Sch C'!F203</f>
        <v>0</v>
      </c>
      <c r="E192" s="171">
        <f t="shared" si="45"/>
        <v>0</v>
      </c>
      <c r="F192" s="216">
        <v>0</v>
      </c>
      <c r="G192" s="171">
        <f t="shared" si="46"/>
        <v>0</v>
      </c>
      <c r="H192" s="172">
        <f t="shared" si="47"/>
        <v>0</v>
      </c>
      <c r="I192" s="337"/>
      <c r="J192" s="223"/>
      <c r="K192" s="218"/>
      <c r="M192" s="364">
        <f t="shared" si="48"/>
        <v>0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490">
        <f>'[72]Sch C'!D204</f>
        <v>0</v>
      </c>
      <c r="D193" s="490">
        <f>'[72]Sch C'!F204</f>
        <v>0</v>
      </c>
      <c r="E193" s="171">
        <f t="shared" si="45"/>
        <v>0</v>
      </c>
      <c r="F193" s="216">
        <v>0</v>
      </c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490">
        <f>'[72]Sch C'!D205</f>
        <v>138629</v>
      </c>
      <c r="D194" s="490">
        <f>'[72]Sch C'!F205</f>
        <v>0</v>
      </c>
      <c r="E194" s="171">
        <f t="shared" si="45"/>
        <v>138629</v>
      </c>
      <c r="F194" s="216">
        <v>16884</v>
      </c>
      <c r="G194" s="171">
        <f t="shared" si="46"/>
        <v>155513</v>
      </c>
      <c r="H194" s="172">
        <f t="shared" si="47"/>
        <v>2.7679294812789388E-2</v>
      </c>
      <c r="I194" s="337"/>
      <c r="J194" s="223"/>
      <c r="K194" s="218"/>
      <c r="M194" s="364">
        <f t="shared" si="48"/>
        <v>7.9327178126912878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490">
        <f>'[72]Sch C'!D206</f>
        <v>4725</v>
      </c>
      <c r="D195" s="490">
        <f>'[72]Sch C'!F206</f>
        <v>0</v>
      </c>
      <c r="E195" s="171">
        <f t="shared" si="45"/>
        <v>4725</v>
      </c>
      <c r="F195" s="216">
        <v>2020</v>
      </c>
      <c r="G195" s="171">
        <f t="shared" si="46"/>
        <v>6745</v>
      </c>
      <c r="H195" s="172">
        <f t="shared" si="47"/>
        <v>1.2005224226416082E-3</v>
      </c>
      <c r="I195" s="337"/>
      <c r="J195" s="223"/>
      <c r="K195" s="218"/>
      <c r="M195" s="364">
        <f t="shared" si="48"/>
        <v>0.34406243623750254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490">
        <f>'[72]Sch C'!D207</f>
        <v>954</v>
      </c>
      <c r="D196" s="490">
        <f>'[72]Sch C'!F207</f>
        <v>-18416</v>
      </c>
      <c r="E196" s="171">
        <f t="shared" si="45"/>
        <v>-17462</v>
      </c>
      <c r="F196" s="216">
        <v>1460.401818181818</v>
      </c>
      <c r="G196" s="171">
        <f t="shared" si="46"/>
        <v>-16001.598181818183</v>
      </c>
      <c r="H196" s="172">
        <f t="shared" si="47"/>
        <v>-2.8480767109523974E-3</v>
      </c>
      <c r="I196" s="337"/>
      <c r="J196" s="223"/>
      <c r="K196" s="218"/>
      <c r="M196" s="364">
        <f t="shared" si="48"/>
        <v>-0.81624149060488582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490">
        <f>SUM(C164:C196)</f>
        <v>526299</v>
      </c>
      <c r="D197" s="490">
        <f>SUM(D164:D196)</f>
        <v>-52533</v>
      </c>
      <c r="E197" s="171">
        <f t="shared" ref="E197:F197" si="49">SUM(E164:E196)</f>
        <v>473766</v>
      </c>
      <c r="F197" s="171">
        <f t="shared" si="49"/>
        <v>87262.401818181825</v>
      </c>
      <c r="G197" s="171">
        <f>SUM(G164:G196)</f>
        <v>561028.40181818185</v>
      </c>
      <c r="H197" s="172">
        <f>IF($G$208=0,0,G197/$G$208)</f>
        <v>9.9855771107711391E-2</v>
      </c>
      <c r="I197" s="337"/>
      <c r="J197" s="168"/>
      <c r="K197" s="168"/>
      <c r="M197" s="364">
        <f>G197/G$228</f>
        <v>28.618057632023152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165"/>
      <c r="G198" s="165"/>
      <c r="H198" s="198"/>
      <c r="I198" s="341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1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490">
        <f>'[72]Sch C'!D211</f>
        <v>89287</v>
      </c>
      <c r="D200" s="490">
        <f>'[72]Sch C'!F211</f>
        <v>0</v>
      </c>
      <c r="E200" s="171">
        <f t="shared" ref="E200:E205" si="50">C200+D200</f>
        <v>89287</v>
      </c>
      <c r="F200" s="171">
        <v>11073</v>
      </c>
      <c r="G200" s="171">
        <f t="shared" ref="G200:G205" si="51">E200+F200</f>
        <v>100360</v>
      </c>
      <c r="H200" s="172">
        <f t="shared" ref="H200:H206" si="52">IF($G$208=0,0,G200/$G$208)</f>
        <v>1.7862776921617762E-2</v>
      </c>
      <c r="I200" s="337"/>
      <c r="J200" s="183">
        <f>4621+666</f>
        <v>5287</v>
      </c>
      <c r="K200" s="183">
        <f>5034+695</f>
        <v>5729</v>
      </c>
      <c r="M200" s="364">
        <f t="shared" ref="M200:M205" si="53">G200/G$228</f>
        <v>5.1193633952254638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490">
        <f>'[72]Sch C'!D212</f>
        <v>24648</v>
      </c>
      <c r="D201" s="490">
        <f>'[72]Sch C'!F212</f>
        <v>635</v>
      </c>
      <c r="E201" s="171">
        <f t="shared" si="50"/>
        <v>25283</v>
      </c>
      <c r="F201" s="171">
        <v>1913</v>
      </c>
      <c r="G201" s="171">
        <f t="shared" si="51"/>
        <v>27196</v>
      </c>
      <c r="H201" s="172">
        <f t="shared" si="52"/>
        <v>4.8405348860135183E-3</v>
      </c>
      <c r="I201" s="337"/>
      <c r="J201" s="168"/>
      <c r="K201" s="168"/>
      <c r="M201" s="364">
        <f t="shared" si="53"/>
        <v>1.3872679045092837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490">
        <f>'[72]Sch C'!D213</f>
        <v>23285</v>
      </c>
      <c r="D202" s="490">
        <f>'[72]Sch C'!F213</f>
        <v>0</v>
      </c>
      <c r="E202" s="171">
        <f t="shared" si="50"/>
        <v>23285</v>
      </c>
      <c r="F202" s="171">
        <v>450</v>
      </c>
      <c r="G202" s="171">
        <f t="shared" si="51"/>
        <v>23735</v>
      </c>
      <c r="H202" s="172">
        <f t="shared" si="52"/>
        <v>4.224521823780367E-3</v>
      </c>
      <c r="I202" s="337"/>
      <c r="J202" s="168"/>
      <c r="K202" s="168"/>
      <c r="M202" s="364">
        <f t="shared" si="53"/>
        <v>1.2107223015711079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490">
        <f>'[72]Sch C'!D214</f>
        <v>0</v>
      </c>
      <c r="D203" s="490">
        <f>'[72]Sch C'!F214</f>
        <v>6200</v>
      </c>
      <c r="E203" s="171">
        <f t="shared" si="50"/>
        <v>6200</v>
      </c>
      <c r="F203" s="171">
        <v>0</v>
      </c>
      <c r="G203" s="171">
        <f t="shared" si="51"/>
        <v>6200</v>
      </c>
      <c r="H203" s="172">
        <f t="shared" si="52"/>
        <v>1.1035194989441025E-3</v>
      </c>
      <c r="I203" s="337"/>
      <c r="J203" s="168"/>
      <c r="K203" s="168"/>
      <c r="M203" s="364">
        <f t="shared" si="53"/>
        <v>0.31626198734952049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490">
        <f>'[72]Sch C'!D215</f>
        <v>0</v>
      </c>
      <c r="D204" s="490">
        <f>'[72]Sch C'!F215</f>
        <v>0</v>
      </c>
      <c r="E204" s="171">
        <f t="shared" si="50"/>
        <v>0</v>
      </c>
      <c r="F204" s="171">
        <v>0</v>
      </c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490">
        <f>'[72]Sch C'!D216</f>
        <v>3137</v>
      </c>
      <c r="D205" s="490">
        <f>'[72]Sch C'!F216</f>
        <v>0</v>
      </c>
      <c r="E205" s="171">
        <f t="shared" si="50"/>
        <v>3137</v>
      </c>
      <c r="F205" s="171">
        <v>313</v>
      </c>
      <c r="G205" s="171">
        <f t="shared" si="51"/>
        <v>3450</v>
      </c>
      <c r="H205" s="172">
        <f t="shared" si="52"/>
        <v>6.1405520505760541E-4</v>
      </c>
      <c r="I205" s="337"/>
      <c r="J205" s="168"/>
      <c r="K205" s="168"/>
      <c r="M205" s="364">
        <f t="shared" si="53"/>
        <v>0.17598449296062027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490">
        <f>SUM(C200:C205)</f>
        <v>140357</v>
      </c>
      <c r="D206" s="490">
        <f>SUM(D200:D205)</f>
        <v>6835</v>
      </c>
      <c r="E206" s="171">
        <f t="shared" ref="E206:F206" si="54">SUM(E200:E205)</f>
        <v>147192</v>
      </c>
      <c r="F206" s="171">
        <f t="shared" si="54"/>
        <v>13749</v>
      </c>
      <c r="G206" s="171">
        <f>SUM(G200:G205)</f>
        <v>160941</v>
      </c>
      <c r="H206" s="172">
        <f t="shared" si="52"/>
        <v>2.8645408335413354E-2</v>
      </c>
      <c r="I206" s="337"/>
      <c r="J206" s="168"/>
      <c r="K206" s="168"/>
      <c r="M206" s="364">
        <f>G206/G$228</f>
        <v>8.2096000816159975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490">
        <f>SUM(C25:C206)/2</f>
        <v>5043717</v>
      </c>
      <c r="D208" s="490">
        <f>SUM(D25:D206)/2</f>
        <v>-81079</v>
      </c>
      <c r="E208" s="171">
        <f t="shared" ref="E208:F208" si="55">SUM(E25:E206)/2</f>
        <v>4962638</v>
      </c>
      <c r="F208" s="171">
        <f t="shared" si="55"/>
        <v>655749.35602990282</v>
      </c>
      <c r="G208" s="171">
        <f>SUM(G25:G206)/2</f>
        <v>5618387.3560299035</v>
      </c>
      <c r="H208" s="172">
        <f>IF($G$208=0,0,G208/$G$208)</f>
        <v>1</v>
      </c>
      <c r="I208" s="337"/>
      <c r="J208" s="183">
        <f>SUM(J25:J200)</f>
        <v>104741</v>
      </c>
      <c r="K208" s="183">
        <f>SUM(K25:K200)</f>
        <v>110606</v>
      </c>
      <c r="M208" s="364">
        <f>G208/G$228</f>
        <v>286.59392756732825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>
        <v>86725</v>
      </c>
      <c r="K210" s="168">
        <v>91807</v>
      </c>
    </row>
    <row r="211" spans="1:14" s="167" customFormat="1" ht="15.5">
      <c r="A211" s="163"/>
      <c r="B211" s="228" t="s">
        <v>181</v>
      </c>
      <c r="C211" s="490">
        <f>'[72]Sch C'!D221</f>
        <v>5043717</v>
      </c>
      <c r="D211" s="196"/>
      <c r="E211" s="165"/>
      <c r="F211"/>
      <c r="G211"/>
      <c r="I211" s="333"/>
      <c r="J211" s="168">
        <v>18016</v>
      </c>
      <c r="K211" s="168">
        <v>18799</v>
      </c>
    </row>
    <row r="212" spans="1:14" s="167" customFormat="1" ht="15.5">
      <c r="A212" s="163"/>
      <c r="B212" s="170" t="s">
        <v>147</v>
      </c>
      <c r="C212" s="490">
        <f>C208-C211</f>
        <v>0</v>
      </c>
      <c r="D212" s="229"/>
      <c r="E212" s="165"/>
      <c r="F212"/>
      <c r="G212"/>
      <c r="I212" s="514" t="s">
        <v>570</v>
      </c>
      <c r="J212" s="406">
        <f>SUM(J210+J211)</f>
        <v>104741</v>
      </c>
      <c r="K212" s="406">
        <f>SUM(K210+K211)</f>
        <v>110606</v>
      </c>
    </row>
    <row r="213" spans="1:14" s="167" customFormat="1">
      <c r="A213" s="163"/>
      <c r="B213" s="230"/>
      <c r="C213" s="619"/>
      <c r="D213" s="232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490">
        <f>C21-C208</f>
        <v>-877579</v>
      </c>
      <c r="D215" s="490">
        <f>D21-D208</f>
        <v>78499</v>
      </c>
      <c r="E215" s="171">
        <f t="shared" ref="E215:F215" si="56">E21-E208</f>
        <v>-799080</v>
      </c>
      <c r="F215" s="171">
        <f t="shared" si="56"/>
        <v>167514.64397009718</v>
      </c>
      <c r="G215" s="171">
        <f>G21-G208</f>
        <v>-631565.35602990352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491">
        <f>'[72]Sch D'!C9</f>
        <v>10693</v>
      </c>
      <c r="D219" s="491"/>
      <c r="E219" s="235">
        <f t="shared" ref="E219" si="57">C219+D219</f>
        <v>10693</v>
      </c>
      <c r="F219" s="234">
        <v>1885</v>
      </c>
      <c r="G219" s="235">
        <f t="shared" ref="G219:G227" si="58">E219+F219</f>
        <v>12578</v>
      </c>
      <c r="H219" s="172">
        <f t="shared" ref="H219:H228" si="59">IF($G$228=0,0,G219/$G$228)</f>
        <v>0.64160375433584982</v>
      </c>
      <c r="I219" s="337"/>
      <c r="J219" s="168"/>
      <c r="K219" s="168"/>
    </row>
    <row r="220" spans="1:14">
      <c r="A220" s="163"/>
      <c r="B220" s="170" t="s">
        <v>217</v>
      </c>
      <c r="C220" s="491">
        <f>'[72]Sch D'!D9</f>
        <v>0</v>
      </c>
      <c r="D220" s="491"/>
      <c r="E220" s="235">
        <f t="shared" ref="E220:E227" si="60">C220+D220</f>
        <v>0</v>
      </c>
      <c r="F220" s="234">
        <v>0</v>
      </c>
      <c r="G220" s="235">
        <f t="shared" si="58"/>
        <v>0</v>
      </c>
      <c r="H220" s="172">
        <f t="shared" si="59"/>
        <v>0</v>
      </c>
      <c r="I220" s="337"/>
      <c r="J220" s="168"/>
      <c r="K220" s="168"/>
    </row>
    <row r="221" spans="1:14">
      <c r="A221" s="163"/>
      <c r="B221" s="170" t="s">
        <v>72</v>
      </c>
      <c r="C221" s="491">
        <f>'[72]Sch D'!E9</f>
        <v>2524</v>
      </c>
      <c r="D221" s="491"/>
      <c r="E221" s="235">
        <f t="shared" si="60"/>
        <v>2524</v>
      </c>
      <c r="F221" s="234">
        <v>511</v>
      </c>
      <c r="G221" s="235">
        <f t="shared" si="58"/>
        <v>3035</v>
      </c>
      <c r="H221" s="172">
        <f t="shared" si="59"/>
        <v>0.15481534380738624</v>
      </c>
      <c r="I221" s="337"/>
      <c r="J221" s="168"/>
      <c r="K221" s="168"/>
    </row>
    <row r="222" spans="1:14">
      <c r="A222" s="163"/>
      <c r="B222" s="202" t="s">
        <v>334</v>
      </c>
      <c r="C222" s="491">
        <f>'[72]Sch D'!F9</f>
        <v>800</v>
      </c>
      <c r="D222" s="491"/>
      <c r="E222" s="235">
        <f>C222+D222</f>
        <v>800</v>
      </c>
      <c r="F222" s="234">
        <v>97</v>
      </c>
      <c r="G222" s="235">
        <f t="shared" si="58"/>
        <v>897</v>
      </c>
      <c r="H222" s="172">
        <f t="shared" si="59"/>
        <v>4.5755968169761276E-2</v>
      </c>
      <c r="I222" s="337"/>
      <c r="J222" s="168"/>
      <c r="K222" s="168"/>
    </row>
    <row r="223" spans="1:14">
      <c r="A223" s="163"/>
      <c r="B223" s="170" t="s">
        <v>73</v>
      </c>
      <c r="C223" s="491">
        <f>'[72]Sch D'!G9</f>
        <v>0</v>
      </c>
      <c r="D223" s="491"/>
      <c r="E223" s="235">
        <f t="shared" si="60"/>
        <v>0</v>
      </c>
      <c r="F223" s="234">
        <v>0</v>
      </c>
      <c r="G223" s="235">
        <f t="shared" si="58"/>
        <v>0</v>
      </c>
      <c r="H223" s="172">
        <f t="shared" si="59"/>
        <v>0</v>
      </c>
      <c r="I223" s="337"/>
      <c r="J223" s="168"/>
      <c r="K223" s="168"/>
    </row>
    <row r="224" spans="1:14">
      <c r="A224" s="163"/>
      <c r="B224" s="170" t="s">
        <v>74</v>
      </c>
      <c r="C224" s="491">
        <f>'[72]Sch D'!H9</f>
        <v>2117</v>
      </c>
      <c r="D224" s="491"/>
      <c r="E224" s="235">
        <f t="shared" si="60"/>
        <v>2117</v>
      </c>
      <c r="F224" s="234">
        <v>437</v>
      </c>
      <c r="G224" s="235">
        <f t="shared" si="58"/>
        <v>2554</v>
      </c>
      <c r="H224" s="172">
        <f t="shared" si="59"/>
        <v>0.1302795347888186</v>
      </c>
      <c r="I224" s="337"/>
      <c r="J224" s="168"/>
      <c r="K224" s="168"/>
    </row>
    <row r="225" spans="1:11">
      <c r="A225" s="163"/>
      <c r="B225" s="170" t="s">
        <v>236</v>
      </c>
      <c r="C225" s="491">
        <f>'[72]Sch D'!I9</f>
        <v>432</v>
      </c>
      <c r="D225" s="491"/>
      <c r="E225" s="235">
        <f t="shared" si="60"/>
        <v>432</v>
      </c>
      <c r="F225" s="234">
        <v>0</v>
      </c>
      <c r="G225" s="235">
        <f t="shared" si="58"/>
        <v>432</v>
      </c>
      <c r="H225" s="172">
        <f t="shared" si="59"/>
        <v>2.2036319118547237E-2</v>
      </c>
      <c r="I225" s="337"/>
      <c r="J225" s="168"/>
      <c r="K225" s="168"/>
    </row>
    <row r="226" spans="1:11">
      <c r="A226" s="163"/>
      <c r="B226" s="170" t="s">
        <v>235</v>
      </c>
      <c r="C226" s="491">
        <f>'[72]Sch D'!J9</f>
        <v>5</v>
      </c>
      <c r="D226" s="491"/>
      <c r="E226" s="235">
        <f>C226+D226</f>
        <v>5</v>
      </c>
      <c r="F226" s="234">
        <v>103</v>
      </c>
      <c r="G226" s="235">
        <f t="shared" si="58"/>
        <v>108</v>
      </c>
      <c r="H226" s="172">
        <f t="shared" si="59"/>
        <v>5.5090797796368092E-3</v>
      </c>
      <c r="I226" s="337"/>
      <c r="J226" s="168"/>
      <c r="K226" s="168"/>
    </row>
    <row r="227" spans="1:11">
      <c r="A227" s="163"/>
      <c r="B227" s="170" t="s">
        <v>179</v>
      </c>
      <c r="C227" s="491">
        <f>'[72]Sch D'!K9</f>
        <v>0</v>
      </c>
      <c r="D227" s="491"/>
      <c r="E227" s="235">
        <f t="shared" si="60"/>
        <v>0</v>
      </c>
      <c r="F227" s="234">
        <v>0</v>
      </c>
      <c r="G227" s="235">
        <f t="shared" si="58"/>
        <v>0</v>
      </c>
      <c r="H227" s="172">
        <f t="shared" si="59"/>
        <v>0</v>
      </c>
      <c r="I227" s="337"/>
      <c r="J227" s="168"/>
      <c r="K227" s="168"/>
    </row>
    <row r="228" spans="1:11" ht="13.5" thickBot="1">
      <c r="A228" s="163"/>
      <c r="B228" s="236" t="s">
        <v>75</v>
      </c>
      <c r="C228" s="491">
        <f>SUM(C219:C227)</f>
        <v>16571</v>
      </c>
      <c r="D228" s="491">
        <f>SUM(D219:D227)</f>
        <v>0</v>
      </c>
      <c r="E228" s="237">
        <f>SUM(E219:E227)</f>
        <v>16571</v>
      </c>
      <c r="F228" s="237">
        <f>SUM(F219:F227)</f>
        <v>3033</v>
      </c>
      <c r="G228" s="237">
        <f>SUM(G219:G227)</f>
        <v>19604</v>
      </c>
      <c r="H228" s="172">
        <f t="shared" si="59"/>
        <v>1</v>
      </c>
      <c r="I228" s="337"/>
      <c r="J228" s="168"/>
      <c r="K228" s="168"/>
    </row>
    <row r="229" spans="1:11" ht="14" customHeight="1" thickTop="1">
      <c r="A229" s="163"/>
      <c r="B229" s="167"/>
      <c r="C229" s="620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619"/>
      <c r="D230" s="232"/>
      <c r="E230" s="232"/>
      <c r="F230" s="232"/>
      <c r="G230" s="232"/>
      <c r="H230" s="167"/>
      <c r="J230" s="168"/>
      <c r="K230" s="168"/>
    </row>
    <row r="231" spans="1:11" ht="26">
      <c r="A231" s="163"/>
      <c r="B231" s="202" t="s">
        <v>219</v>
      </c>
      <c r="C231" s="492">
        <f>'[72]Sch D'!N22</f>
        <v>130</v>
      </c>
      <c r="D231" s="526"/>
      <c r="E231" s="235">
        <f>C231+D231</f>
        <v>130</v>
      </c>
      <c r="F231" s="626" t="s">
        <v>571</v>
      </c>
      <c r="G231" s="235">
        <f>SUM(E231:F231)</f>
        <v>130</v>
      </c>
      <c r="H231" s="167"/>
      <c r="J231" s="168"/>
      <c r="K231" s="168"/>
    </row>
    <row r="232" spans="1:11" ht="26">
      <c r="A232" s="163"/>
      <c r="B232" s="202" t="s">
        <v>290</v>
      </c>
      <c r="C232" s="492">
        <f>'[72]Sch D'!N24</f>
        <v>130</v>
      </c>
      <c r="D232" s="526"/>
      <c r="E232" s="235">
        <f>C232+D232</f>
        <v>130</v>
      </c>
      <c r="F232" s="626" t="s">
        <v>571</v>
      </c>
      <c r="G232" s="235">
        <f>SUM(E232:F232)</f>
        <v>130</v>
      </c>
      <c r="H232" s="167"/>
      <c r="J232" s="168"/>
      <c r="K232" s="168"/>
    </row>
    <row r="233" spans="1:11">
      <c r="A233" s="163"/>
      <c r="B233" s="202" t="s">
        <v>76</v>
      </c>
      <c r="C233" s="492">
        <v>304</v>
      </c>
      <c r="D233" s="489"/>
      <c r="E233" s="235">
        <f>C233+D233</f>
        <v>304</v>
      </c>
      <c r="F233" s="240">
        <v>61</v>
      </c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621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492">
        <f>'[72]Sch D'!N28</f>
        <v>39520</v>
      </c>
      <c r="D235" s="489"/>
      <c r="E235" s="234">
        <f>E231*E233</f>
        <v>39520</v>
      </c>
      <c r="F235" s="240"/>
      <c r="G235" s="234">
        <f>G231*G233</f>
        <v>47450</v>
      </c>
      <c r="H235" s="167"/>
      <c r="J235" s="168"/>
      <c r="K235" s="168"/>
    </row>
    <row r="236" spans="1:11" ht="26">
      <c r="A236" s="163"/>
      <c r="B236" s="244" t="s">
        <v>336</v>
      </c>
      <c r="C236" s="493">
        <f>'[72]Sch D'!N30</f>
        <v>0.41930668016194333</v>
      </c>
      <c r="D236" s="240"/>
      <c r="E236" s="245">
        <f>E228/E235</f>
        <v>0.41930668016194333</v>
      </c>
      <c r="F236" s="246"/>
      <c r="G236" s="245">
        <f>G228/G235</f>
        <v>0.41315068493150686</v>
      </c>
      <c r="H236" s="167"/>
      <c r="J236" s="168"/>
      <c r="K236" s="168"/>
    </row>
    <row r="237" spans="1:11" ht="26">
      <c r="A237" s="163"/>
      <c r="B237" s="244" t="s">
        <v>337</v>
      </c>
      <c r="C237" s="493">
        <f>'[72]Sch D'!N32</f>
        <v>0.27057186234817815</v>
      </c>
      <c r="D237" s="240"/>
      <c r="E237" s="245">
        <f>(E219+E220)/E235</f>
        <v>0.27057186234817815</v>
      </c>
      <c r="F237" s="246"/>
      <c r="G237" s="245">
        <f>(G219+G220)/G235</f>
        <v>0.26507903055848259</v>
      </c>
      <c r="H237" s="167"/>
      <c r="J237" s="168"/>
      <c r="K237" s="168"/>
    </row>
    <row r="238" spans="1:11" ht="26">
      <c r="A238" s="163"/>
      <c r="B238" s="244" t="s">
        <v>338</v>
      </c>
      <c r="C238" s="493">
        <f>'[72]Sch D'!N34</f>
        <v>0.64528392975680404</v>
      </c>
      <c r="D238" s="240"/>
      <c r="E238" s="245">
        <f>(E237/E236)</f>
        <v>0.64528392975680404</v>
      </c>
      <c r="F238" s="246"/>
      <c r="G238" s="245">
        <f>(G237/G236)</f>
        <v>0.64160375433584971</v>
      </c>
      <c r="H238" s="167"/>
      <c r="J238" s="168"/>
      <c r="K238" s="168"/>
    </row>
    <row r="241" spans="2:8">
      <c r="B241" s="148" t="s">
        <v>339</v>
      </c>
      <c r="F241" s="142" t="s">
        <v>340</v>
      </c>
      <c r="G241" s="490">
        <f>'[72]Sch B'!C85</f>
        <v>253.125</v>
      </c>
    </row>
    <row r="242" spans="2:8">
      <c r="F242" s="142" t="s">
        <v>341</v>
      </c>
      <c r="G242" s="490">
        <f>'[72]Sch B'!E85</f>
        <v>223.41573033707866</v>
      </c>
    </row>
    <row r="243" spans="2:8">
      <c r="F243" s="142" t="s">
        <v>342</v>
      </c>
      <c r="G243" s="490">
        <f>'[72]Sch B'!G85</f>
        <v>233.0766917293233</v>
      </c>
    </row>
    <row r="244" spans="2:8">
      <c r="F244" s="142" t="s">
        <v>343</v>
      </c>
      <c r="G244" s="490">
        <f>(44569+83196)/(204+437)</f>
        <v>199.32137285491419</v>
      </c>
      <c r="H244" s="140" t="s">
        <v>567</v>
      </c>
    </row>
    <row r="245" spans="2:8">
      <c r="F245" s="142"/>
      <c r="G245" s="140" t="s">
        <v>568</v>
      </c>
    </row>
    <row r="246" spans="2:8">
      <c r="G246" s="140" t="s">
        <v>569</v>
      </c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4">
    <tabColor rgb="FFE28CAB"/>
  </sheetPr>
  <dimension ref="A1:Q245"/>
  <sheetViews>
    <sheetView showGridLines="0" zoomScale="90" zoomScaleNormal="90" workbookViewId="0">
      <selection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43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52.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377"/>
      <c r="E1" s="478"/>
      <c r="F1" s="480"/>
      <c r="G1" s="481"/>
      <c r="H1" s="478"/>
      <c r="I1" s="479"/>
    </row>
    <row r="2" spans="1:14" ht="23">
      <c r="B2" s="143" t="s">
        <v>189</v>
      </c>
      <c r="C2" s="376" t="s">
        <v>398</v>
      </c>
      <c r="E2" s="144"/>
      <c r="F2" s="453"/>
      <c r="G2"/>
    </row>
    <row r="3" spans="1:14" ht="15.5">
      <c r="A3" s="145"/>
      <c r="B3" s="140" t="s">
        <v>79</v>
      </c>
      <c r="C3" s="495">
        <v>41821</v>
      </c>
      <c r="D3" s="377"/>
      <c r="E3" s="147"/>
      <c r="F3" s="453"/>
      <c r="G3"/>
    </row>
    <row r="4" spans="1:14" ht="15.5">
      <c r="A4" s="145"/>
      <c r="B4" s="148" t="s">
        <v>80</v>
      </c>
      <c r="C4" s="495">
        <v>42185</v>
      </c>
      <c r="D4" s="144"/>
      <c r="E4" s="149"/>
      <c r="F4" s="453"/>
      <c r="G4"/>
    </row>
    <row r="5" spans="1:14" ht="15.5">
      <c r="A5" s="145"/>
      <c r="B5" s="148"/>
      <c r="C5" s="151"/>
      <c r="D5" s="144"/>
      <c r="F5" s="453"/>
      <c r="G5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419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420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421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419"/>
      <c r="G9" s="144"/>
    </row>
    <row r="10" spans="1:14" s="167" customFormat="1" ht="16" thickBot="1">
      <c r="A10" s="163" t="s">
        <v>245</v>
      </c>
      <c r="B10" s="164" t="s">
        <v>246</v>
      </c>
      <c r="C10"/>
      <c r="D10"/>
      <c r="E10" s="165"/>
      <c r="F10" s="457"/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490">
        <f>'[73]Sch B'!E10</f>
        <v>7979524</v>
      </c>
      <c r="D11" s="490">
        <f>'[73]Sch B'!G10</f>
        <v>0</v>
      </c>
      <c r="E11" s="171">
        <f>C11+D11</f>
        <v>7979524</v>
      </c>
      <c r="F11" s="418"/>
      <c r="G11" s="171">
        <f t="shared" ref="G11:G20" si="0">E11+F11</f>
        <v>7979524</v>
      </c>
      <c r="H11" s="172">
        <f t="shared" ref="H11:H21" si="1">IF($G$21=0,0,G11/$G$21)</f>
        <v>0.54943309650528005</v>
      </c>
      <c r="I11" s="337"/>
      <c r="J11" s="368" t="s">
        <v>344</v>
      </c>
      <c r="K11" s="369">
        <f>G21</f>
        <v>14523195</v>
      </c>
      <c r="M11" s="359">
        <f>IFERROR(G11/G219,0)</f>
        <v>219.02514273166446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490">
        <f>'[73]Sch B'!E15</f>
        <v>0</v>
      </c>
      <c r="D12" s="490">
        <f>'[73]Sch B'!G15</f>
        <v>0</v>
      </c>
      <c r="E12" s="171">
        <f t="shared" ref="E12:E20" si="2">C12+D12</f>
        <v>0</v>
      </c>
      <c r="F12" s="418"/>
      <c r="G12" s="171">
        <f>E12+F12</f>
        <v>0</v>
      </c>
      <c r="H12" s="172">
        <f t="shared" si="1"/>
        <v>0</v>
      </c>
      <c r="I12" s="337"/>
      <c r="J12" s="370" t="s">
        <v>345</v>
      </c>
      <c r="K12" s="371">
        <f>G208</f>
        <v>13553564.315795816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490">
        <f>'[73]Sch B'!E21</f>
        <v>2822985</v>
      </c>
      <c r="D13" s="490">
        <f>'[73]Sch B'!G21</f>
        <v>0</v>
      </c>
      <c r="E13" s="171">
        <f t="shared" si="2"/>
        <v>2822985</v>
      </c>
      <c r="F13" s="418"/>
      <c r="G13" s="171">
        <f t="shared" si="0"/>
        <v>2822985</v>
      </c>
      <c r="H13" s="172">
        <f t="shared" si="1"/>
        <v>0.19437768342296582</v>
      </c>
      <c r="I13" s="337"/>
      <c r="J13" s="370" t="s">
        <v>346</v>
      </c>
      <c r="K13" s="371">
        <f>G228</f>
        <v>56183</v>
      </c>
      <c r="M13" s="359">
        <f t="shared" si="3"/>
        <v>525.10881696428567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490">
        <f>'[73]Sch B'!E27</f>
        <v>1583969</v>
      </c>
      <c r="D14" s="490">
        <f>'[73]Sch B'!G27</f>
        <v>0</v>
      </c>
      <c r="E14" s="171">
        <f t="shared" si="2"/>
        <v>1583969</v>
      </c>
      <c r="F14" s="418"/>
      <c r="G14" s="175">
        <f>E14+F14</f>
        <v>1583969</v>
      </c>
      <c r="H14" s="176">
        <f t="shared" si="1"/>
        <v>0.10906477534729789</v>
      </c>
      <c r="I14" s="338"/>
      <c r="J14" s="370" t="s">
        <v>347</v>
      </c>
      <c r="K14" s="371">
        <f>G231</f>
        <v>221</v>
      </c>
      <c r="M14" s="359">
        <f t="shared" si="3"/>
        <v>437.56049723756905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490">
        <f>'[73]Sch B'!E32</f>
        <v>83659</v>
      </c>
      <c r="D15" s="490">
        <f>'[73]Sch B'!G32</f>
        <v>0</v>
      </c>
      <c r="E15" s="171">
        <f t="shared" si="2"/>
        <v>83659</v>
      </c>
      <c r="F15" s="418"/>
      <c r="G15" s="171">
        <f t="shared" si="0"/>
        <v>83659</v>
      </c>
      <c r="H15" s="172">
        <f t="shared" si="1"/>
        <v>5.7603715986737081E-3</v>
      </c>
      <c r="I15" s="337"/>
      <c r="J15" s="370" t="s">
        <v>348</v>
      </c>
      <c r="K15" s="371">
        <f>G235</f>
        <v>80665</v>
      </c>
      <c r="M15" s="359">
        <f t="shared" si="3"/>
        <v>836.59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490">
        <f>'[73]Sch B'!E37</f>
        <v>1220423</v>
      </c>
      <c r="D16" s="490">
        <f>'[73]Sch B'!G37</f>
        <v>0</v>
      </c>
      <c r="E16" s="171">
        <f t="shared" si="2"/>
        <v>1220423</v>
      </c>
      <c r="F16" s="418"/>
      <c r="G16" s="171">
        <f t="shared" si="0"/>
        <v>1220423</v>
      </c>
      <c r="H16" s="172">
        <f t="shared" si="1"/>
        <v>8.403268013684316E-2</v>
      </c>
      <c r="I16" s="337"/>
      <c r="J16" s="372"/>
      <c r="K16" s="371"/>
      <c r="M16" s="359">
        <f t="shared" si="3"/>
        <v>188.16265803268578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490">
        <f>'[73]Sch B'!E42</f>
        <v>0</v>
      </c>
      <c r="D17" s="490">
        <f>'[73]Sch B'!G42</f>
        <v>0</v>
      </c>
      <c r="E17" s="171">
        <f t="shared" si="2"/>
        <v>0</v>
      </c>
      <c r="F17" s="418"/>
      <c r="G17" s="171">
        <f>E17+F17</f>
        <v>0</v>
      </c>
      <c r="H17" s="172">
        <f t="shared" si="1"/>
        <v>0</v>
      </c>
      <c r="I17" s="337"/>
      <c r="J17" s="370" t="s">
        <v>156</v>
      </c>
      <c r="K17" s="371">
        <f>J208</f>
        <v>297180.75</v>
      </c>
      <c r="M17" s="359">
        <f t="shared" si="3"/>
        <v>0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490">
        <f>'[73]Sch B'!E47</f>
        <v>745265</v>
      </c>
      <c r="D18" s="490">
        <f>'[73]Sch B'!G47</f>
        <v>0</v>
      </c>
      <c r="E18" s="171">
        <f t="shared" si="2"/>
        <v>745265</v>
      </c>
      <c r="F18" s="418"/>
      <c r="G18" s="171">
        <f>E18+F18</f>
        <v>745265</v>
      </c>
      <c r="H18" s="172">
        <f t="shared" si="1"/>
        <v>5.1315499103330914E-2</v>
      </c>
      <c r="I18" s="337"/>
      <c r="J18" s="373" t="s">
        <v>252</v>
      </c>
      <c r="K18" s="374">
        <f>K208</f>
        <v>318389.75</v>
      </c>
      <c r="M18" s="359">
        <f t="shared" si="3"/>
        <v>179.02113860196974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490">
        <f>'[73]Sch B'!E52</f>
        <v>0</v>
      </c>
      <c r="D19" s="490">
        <f>'[73]Sch B'!G52</f>
        <v>0</v>
      </c>
      <c r="E19" s="171">
        <f t="shared" si="2"/>
        <v>0</v>
      </c>
      <c r="F19" s="418"/>
      <c r="G19" s="171">
        <f t="shared" si="0"/>
        <v>0</v>
      </c>
      <c r="H19" s="172">
        <f t="shared" si="1"/>
        <v>0</v>
      </c>
      <c r="I19" s="337"/>
      <c r="J19" s="168"/>
      <c r="K19" s="168"/>
      <c r="M19" s="359">
        <f t="shared" si="3"/>
        <v>0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490">
        <f>'[73]Sch B'!E67</f>
        <v>87370</v>
      </c>
      <c r="D20" s="490">
        <f>'[73]Sch B'!G67</f>
        <v>0</v>
      </c>
      <c r="E20" s="171">
        <f t="shared" si="2"/>
        <v>87370</v>
      </c>
      <c r="F20" s="418"/>
      <c r="G20" s="171">
        <f t="shared" si="0"/>
        <v>87370</v>
      </c>
      <c r="H20" s="172">
        <f t="shared" si="1"/>
        <v>6.0158938856085045E-3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490">
        <f>SUM(C11:C20)</f>
        <v>14523195</v>
      </c>
      <c r="D21" s="490">
        <f>SUM(D11:D20)</f>
        <v>0</v>
      </c>
      <c r="E21" s="171">
        <f>SUM(E11:E20)</f>
        <v>14523195</v>
      </c>
      <c r="F21" s="418">
        <f>SUM(F11:F20)</f>
        <v>0</v>
      </c>
      <c r="G21" s="171">
        <f>SUM(G11:G20)</f>
        <v>14523195</v>
      </c>
      <c r="H21" s="172">
        <f t="shared" si="1"/>
        <v>1</v>
      </c>
      <c r="I21" s="337"/>
      <c r="J21" s="168"/>
      <c r="K21" s="168"/>
      <c r="M21" s="359">
        <f>IFERROR(G21/G228,0)</f>
        <v>258.49803321289357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436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436"/>
      <c r="G23" s="144"/>
      <c r="M23" s="363"/>
      <c r="N23" s="363"/>
    </row>
    <row r="24" spans="1:14">
      <c r="A24" s="181" t="s">
        <v>161</v>
      </c>
      <c r="B24" s="148" t="s">
        <v>12</v>
      </c>
      <c r="M24" s="363"/>
      <c r="N24" s="363"/>
    </row>
    <row r="25" spans="1:14" s="167" customFormat="1">
      <c r="A25" s="169" t="s">
        <v>83</v>
      </c>
      <c r="B25" s="170" t="s">
        <v>14</v>
      </c>
      <c r="C25" s="490">
        <f>'[73]Sch C'!D10</f>
        <v>293887</v>
      </c>
      <c r="D25" s="490">
        <f>'[73]Sch C'!F10</f>
        <v>20982</v>
      </c>
      <c r="E25" s="171">
        <f t="shared" ref="E25:E60" si="4">C25+D25</f>
        <v>314869</v>
      </c>
      <c r="F25" s="418"/>
      <c r="G25" s="182">
        <f>E25+F25</f>
        <v>314869</v>
      </c>
      <c r="H25" s="172">
        <f>IF($G$208=0,0,G25/$G$208)</f>
        <v>2.3231453561853115E-2</v>
      </c>
      <c r="I25" s="337"/>
      <c r="J25" s="183">
        <v>1744</v>
      </c>
      <c r="K25" s="183">
        <v>1868</v>
      </c>
      <c r="M25" s="359">
        <f>G25/G$228</f>
        <v>5.6043465105102968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490">
        <f>'[73]Sch C'!D11</f>
        <v>19500</v>
      </c>
      <c r="D26" s="490">
        <f>'[73]Sch C'!F11</f>
        <v>1392</v>
      </c>
      <c r="E26" s="171">
        <f t="shared" si="4"/>
        <v>20892</v>
      </c>
      <c r="F26" s="418"/>
      <c r="G26" s="171">
        <f t="shared" ref="G26:G60" si="5">E26+F26</f>
        <v>20892</v>
      </c>
      <c r="H26" s="184">
        <f t="shared" ref="H26:H61" si="6">IF($G$208=0,0,G26/$G$208)</f>
        <v>1.541439544109567E-3</v>
      </c>
      <c r="I26" s="337"/>
      <c r="J26" s="183">
        <v>0</v>
      </c>
      <c r="K26" s="183">
        <v>0</v>
      </c>
      <c r="M26" s="359">
        <f t="shared" ref="M26:M60" si="7">G26/G$228</f>
        <v>0.37185625545093709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490">
        <f>'[73]Sch C'!D12</f>
        <v>393146</v>
      </c>
      <c r="D27" s="490">
        <f>'[73]Sch C'!F12</f>
        <v>-20905.300000000003</v>
      </c>
      <c r="E27" s="171">
        <f t="shared" si="4"/>
        <v>372240.7</v>
      </c>
      <c r="F27" s="418"/>
      <c r="G27" s="171">
        <f t="shared" si="5"/>
        <v>372240.7</v>
      </c>
      <c r="H27" s="172">
        <f t="shared" si="6"/>
        <v>2.7464413886034184E-2</v>
      </c>
      <c r="I27" s="337"/>
      <c r="J27" s="185">
        <v>14977</v>
      </c>
      <c r="K27" s="185">
        <v>16046</v>
      </c>
      <c r="M27" s="359">
        <f t="shared" si="7"/>
        <v>6.6255041560614423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490">
        <f>'[73]Sch C'!D13</f>
        <v>1555290</v>
      </c>
      <c r="D28" s="490">
        <f>'[73]Sch C'!F13</f>
        <v>-1395816.33</v>
      </c>
      <c r="E28" s="171">
        <f t="shared" si="4"/>
        <v>159473.66999999993</v>
      </c>
      <c r="F28" s="418"/>
      <c r="G28" s="171">
        <f t="shared" si="5"/>
        <v>159473.66999999993</v>
      </c>
      <c r="H28" s="172">
        <f t="shared" si="6"/>
        <v>1.1766179455402998E-2</v>
      </c>
      <c r="I28" s="337"/>
      <c r="J28" s="168"/>
      <c r="K28" s="168"/>
      <c r="M28" s="359">
        <f t="shared" si="7"/>
        <v>2.8384683979139584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490">
        <f>'[73]Sch C'!D14</f>
        <v>0</v>
      </c>
      <c r="D29" s="490">
        <f>'[73]Sch C'!F14</f>
        <v>0</v>
      </c>
      <c r="E29" s="171">
        <f t="shared" si="4"/>
        <v>0</v>
      </c>
      <c r="F29" s="418"/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490">
        <f>'[73]Sch C'!D15</f>
        <v>0</v>
      </c>
      <c r="D30" s="490">
        <f>'[73]Sch C'!F15</f>
        <v>0</v>
      </c>
      <c r="E30" s="171">
        <f t="shared" si="4"/>
        <v>0</v>
      </c>
      <c r="F30" s="418"/>
      <c r="G30" s="171">
        <f t="shared" si="5"/>
        <v>0</v>
      </c>
      <c r="H30" s="172">
        <f t="shared" si="6"/>
        <v>0</v>
      </c>
      <c r="I30" s="337"/>
      <c r="J30" s="168"/>
      <c r="K30" s="168"/>
      <c r="M30" s="359">
        <f t="shared" si="7"/>
        <v>0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490">
        <f>'[73]Sch C'!D16</f>
        <v>726887</v>
      </c>
      <c r="D31" s="490">
        <f>'[73]Sch C'!F16</f>
        <v>268541.23035706556</v>
      </c>
      <c r="E31" s="171">
        <f t="shared" si="4"/>
        <v>995428.23035706556</v>
      </c>
      <c r="F31" s="418"/>
      <c r="G31" s="171">
        <f t="shared" si="5"/>
        <v>995428.23035706556</v>
      </c>
      <c r="H31" s="172">
        <f t="shared" si="6"/>
        <v>7.3444018648065684E-2</v>
      </c>
      <c r="I31" s="337"/>
      <c r="J31" s="168"/>
      <c r="K31" s="168"/>
      <c r="M31" s="359">
        <f t="shared" si="7"/>
        <v>17.717605509799505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490">
        <f>'[73]Sch C'!D17</f>
        <v>0</v>
      </c>
      <c r="D32" s="490">
        <f>'[73]Sch C'!F17</f>
        <v>0</v>
      </c>
      <c r="E32" s="171">
        <f t="shared" si="4"/>
        <v>0</v>
      </c>
      <c r="F32" s="418"/>
      <c r="G32" s="171">
        <f t="shared" si="5"/>
        <v>0</v>
      </c>
      <c r="H32" s="172">
        <f t="shared" si="6"/>
        <v>0</v>
      </c>
      <c r="I32" s="337"/>
      <c r="J32" s="168"/>
      <c r="K32" s="168"/>
      <c r="M32" s="359">
        <f t="shared" si="7"/>
        <v>0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490">
        <f>'[73]Sch C'!D18</f>
        <v>12185</v>
      </c>
      <c r="D33" s="490">
        <f>'[73]Sch C'!F18</f>
        <v>0</v>
      </c>
      <c r="E33" s="171">
        <f t="shared" si="4"/>
        <v>12185</v>
      </c>
      <c r="F33" s="418"/>
      <c r="G33" s="171">
        <f t="shared" si="5"/>
        <v>12185</v>
      </c>
      <c r="H33" s="172">
        <f t="shared" si="6"/>
        <v>8.9902550473746289E-4</v>
      </c>
      <c r="I33" s="337"/>
      <c r="J33" s="168"/>
      <c r="K33" s="168"/>
      <c r="M33" s="359">
        <f t="shared" si="7"/>
        <v>0.21688055105636936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490">
        <f>'[73]Sch C'!D19</f>
        <v>34225</v>
      </c>
      <c r="D34" s="490">
        <f>'[73]Sch C'!F19</f>
        <v>-3662.8539999999998</v>
      </c>
      <c r="E34" s="171">
        <f t="shared" si="4"/>
        <v>30562.146000000001</v>
      </c>
      <c r="F34" s="418"/>
      <c r="G34" s="171">
        <f t="shared" si="5"/>
        <v>30562.146000000001</v>
      </c>
      <c r="H34" s="172">
        <f t="shared" si="6"/>
        <v>2.2549157762421037E-3</v>
      </c>
      <c r="I34" s="337"/>
      <c r="J34" s="168"/>
      <c r="K34" s="168"/>
      <c r="M34" s="359">
        <f t="shared" si="7"/>
        <v>0.54397497463645583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490">
        <f>'[73]Sch C'!D20</f>
        <v>33129</v>
      </c>
      <c r="D35" s="490">
        <f>'[73]Sch C'!F20</f>
        <v>0</v>
      </c>
      <c r="E35" s="171">
        <f t="shared" si="4"/>
        <v>33129</v>
      </c>
      <c r="F35" s="418"/>
      <c r="G35" s="171">
        <f t="shared" si="5"/>
        <v>33129</v>
      </c>
      <c r="H35" s="172">
        <f t="shared" si="6"/>
        <v>2.4443016780014287E-3</v>
      </c>
      <c r="I35" s="337"/>
      <c r="J35" s="168"/>
      <c r="K35" s="168"/>
      <c r="M35" s="359">
        <f t="shared" si="7"/>
        <v>0.58966235338091588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490">
        <f>'[73]Sch C'!D21</f>
        <v>9782</v>
      </c>
      <c r="D36" s="490">
        <f>'[73]Sch C'!F21</f>
        <v>0</v>
      </c>
      <c r="E36" s="171">
        <f t="shared" si="4"/>
        <v>9782</v>
      </c>
      <c r="F36" s="418"/>
      <c r="G36" s="171">
        <f t="shared" si="5"/>
        <v>9782</v>
      </c>
      <c r="H36" s="172">
        <f t="shared" si="6"/>
        <v>7.2172896900630796E-4</v>
      </c>
      <c r="I36" s="337"/>
      <c r="J36" s="168"/>
      <c r="K36" s="168"/>
      <c r="M36" s="359">
        <f t="shared" si="7"/>
        <v>0.17410960610860937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490">
        <f>'[73]Sch C'!D22</f>
        <v>0</v>
      </c>
      <c r="D37" s="490">
        <f>'[73]Sch C'!F22</f>
        <v>0</v>
      </c>
      <c r="E37" s="171">
        <f t="shared" si="4"/>
        <v>0</v>
      </c>
      <c r="F37" s="418"/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490">
        <f>'[73]Sch C'!D23</f>
        <v>6383</v>
      </c>
      <c r="D38" s="490">
        <f>'[73]Sch C'!F23</f>
        <v>0</v>
      </c>
      <c r="E38" s="171">
        <f t="shared" si="4"/>
        <v>6383</v>
      </c>
      <c r="F38" s="418"/>
      <c r="G38" s="171">
        <f t="shared" si="5"/>
        <v>6383</v>
      </c>
      <c r="H38" s="172">
        <f t="shared" si="6"/>
        <v>4.7094622870243956E-4</v>
      </c>
      <c r="I38" s="337"/>
      <c r="J38" s="168"/>
      <c r="K38" s="168"/>
      <c r="M38" s="359">
        <f t="shared" si="7"/>
        <v>0.11361087873556058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490">
        <f>'[73]Sch C'!D24</f>
        <v>118631</v>
      </c>
      <c r="D39" s="490">
        <f>'[73]Sch C'!F24</f>
        <v>-31032</v>
      </c>
      <c r="E39" s="171">
        <f t="shared" si="4"/>
        <v>87599</v>
      </c>
      <c r="F39" s="418"/>
      <c r="G39" s="171">
        <f t="shared" si="5"/>
        <v>87599</v>
      </c>
      <c r="H39" s="172">
        <f t="shared" si="6"/>
        <v>6.4631707172340593E-3</v>
      </c>
      <c r="I39" s="337"/>
      <c r="J39" s="168"/>
      <c r="K39" s="168"/>
      <c r="M39" s="359">
        <f t="shared" si="7"/>
        <v>1.5591727034868199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490">
        <f>'[73]Sch C'!D25</f>
        <v>0</v>
      </c>
      <c r="D40" s="490">
        <f>'[73]Sch C'!F25</f>
        <v>0</v>
      </c>
      <c r="E40" s="171">
        <f t="shared" si="4"/>
        <v>0</v>
      </c>
      <c r="F40" s="418"/>
      <c r="G40" s="171">
        <f t="shared" si="5"/>
        <v>0</v>
      </c>
      <c r="H40" s="172">
        <f t="shared" si="6"/>
        <v>0</v>
      </c>
      <c r="I40" s="337"/>
      <c r="J40" s="168"/>
      <c r="K40" s="168"/>
      <c r="M40" s="359">
        <f t="shared" si="7"/>
        <v>0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490">
        <f>'[73]Sch C'!D26</f>
        <v>720613</v>
      </c>
      <c r="D41" s="490">
        <f>'[73]Sch C'!F26</f>
        <v>0</v>
      </c>
      <c r="E41" s="171">
        <f t="shared" si="4"/>
        <v>720613</v>
      </c>
      <c r="F41" s="418"/>
      <c r="G41" s="171">
        <f t="shared" si="5"/>
        <v>720613</v>
      </c>
      <c r="H41" s="172">
        <f t="shared" si="6"/>
        <v>5.3167785477667408E-2</v>
      </c>
      <c r="I41" s="337"/>
      <c r="J41" s="168"/>
      <c r="K41" s="168"/>
      <c r="M41" s="359">
        <f t="shared" si="7"/>
        <v>12.826175177544808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490">
        <f>'[73]Sch C'!D27</f>
        <v>0</v>
      </c>
      <c r="D42" s="490">
        <f>'[73]Sch C'!F27</f>
        <v>0</v>
      </c>
      <c r="E42" s="171">
        <f t="shared" si="4"/>
        <v>0</v>
      </c>
      <c r="F42" s="418"/>
      <c r="G42" s="171">
        <f t="shared" si="5"/>
        <v>0</v>
      </c>
      <c r="H42" s="172">
        <f t="shared" si="6"/>
        <v>0</v>
      </c>
      <c r="I42" s="337"/>
      <c r="J42" s="168"/>
      <c r="K42" s="168"/>
      <c r="M42" s="359">
        <f t="shared" si="7"/>
        <v>0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490">
        <f>'[73]Sch C'!D28</f>
        <v>0</v>
      </c>
      <c r="D43" s="490">
        <f>'[73]Sch C'!F28</f>
        <v>0</v>
      </c>
      <c r="E43" s="171">
        <f t="shared" si="4"/>
        <v>0</v>
      </c>
      <c r="F43" s="418"/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490">
        <f>'[73]Sch C'!D29</f>
        <v>-7352</v>
      </c>
      <c r="D44" s="490">
        <f>'[73]Sch C'!F29</f>
        <v>7352</v>
      </c>
      <c r="E44" s="171">
        <f t="shared" si="4"/>
        <v>0</v>
      </c>
      <c r="F44" s="418"/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490">
        <f>'[73]Sch C'!D30</f>
        <v>0</v>
      </c>
      <c r="D45" s="490">
        <f>'[73]Sch C'!F30</f>
        <v>0</v>
      </c>
      <c r="E45" s="171">
        <f t="shared" si="4"/>
        <v>0</v>
      </c>
      <c r="F45" s="418"/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490">
        <f>'[73]Sch C'!D31</f>
        <v>172368</v>
      </c>
      <c r="D46" s="490">
        <f>'[73]Sch C'!F31</f>
        <v>0</v>
      </c>
      <c r="E46" s="171">
        <f t="shared" si="4"/>
        <v>172368</v>
      </c>
      <c r="F46" s="418"/>
      <c r="G46" s="171">
        <f t="shared" si="5"/>
        <v>172368</v>
      </c>
      <c r="H46" s="172">
        <f t="shared" si="6"/>
        <v>1.2717540270872959E-2</v>
      </c>
      <c r="I46" s="337"/>
      <c r="J46" s="168"/>
      <c r="K46" s="168"/>
      <c r="M46" s="359">
        <f t="shared" si="7"/>
        <v>3.0679742982752791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490">
        <f>'[73]Sch C'!D32</f>
        <v>212160</v>
      </c>
      <c r="D47" s="490">
        <f>'[73]Sch C'!F32</f>
        <v>-56852.15</v>
      </c>
      <c r="E47" s="171">
        <f t="shared" si="4"/>
        <v>155307.85</v>
      </c>
      <c r="F47" s="418"/>
      <c r="G47" s="171">
        <f t="shared" si="5"/>
        <v>155307.85</v>
      </c>
      <c r="H47" s="172">
        <f t="shared" si="6"/>
        <v>1.1458819715711135E-2</v>
      </c>
      <c r="I47" s="337"/>
      <c r="J47" s="168"/>
      <c r="K47" s="168"/>
      <c r="M47" s="359">
        <f t="shared" si="7"/>
        <v>2.7643210579712725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490">
        <f>'[73]Sch C'!D33</f>
        <v>0</v>
      </c>
      <c r="D48" s="490">
        <f>'[73]Sch C'!F33</f>
        <v>0</v>
      </c>
      <c r="E48" s="171">
        <f t="shared" si="4"/>
        <v>0</v>
      </c>
      <c r="F48" s="418"/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490">
        <f>'[73]Sch C'!D34</f>
        <v>0</v>
      </c>
      <c r="D49" s="490">
        <f>'[73]Sch C'!F34</f>
        <v>0</v>
      </c>
      <c r="E49" s="171">
        <f t="shared" si="4"/>
        <v>0</v>
      </c>
      <c r="F49" s="418"/>
      <c r="G49" s="171">
        <f t="shared" si="5"/>
        <v>0</v>
      </c>
      <c r="H49" s="172">
        <f t="shared" si="6"/>
        <v>0</v>
      </c>
      <c r="I49" s="337"/>
      <c r="J49" s="168"/>
      <c r="K49" s="168"/>
      <c r="M49" s="359">
        <f t="shared" si="7"/>
        <v>0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490">
        <f>'[73]Sch C'!D35</f>
        <v>35</v>
      </c>
      <c r="D50" s="490">
        <f>'[73]Sch C'!F35</f>
        <v>-35</v>
      </c>
      <c r="E50" s="171">
        <f t="shared" si="4"/>
        <v>0</v>
      </c>
      <c r="F50" s="418"/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490">
        <f>'[73]Sch C'!D36</f>
        <v>0</v>
      </c>
      <c r="D51" s="490">
        <f>'[73]Sch C'!F36</f>
        <v>0</v>
      </c>
      <c r="E51" s="171">
        <f t="shared" si="4"/>
        <v>0</v>
      </c>
      <c r="F51" s="418"/>
      <c r="G51" s="171">
        <f t="shared" si="5"/>
        <v>0</v>
      </c>
      <c r="H51" s="172">
        <f t="shared" si="6"/>
        <v>0</v>
      </c>
      <c r="I51" s="337"/>
      <c r="J51" s="183">
        <v>0</v>
      </c>
      <c r="K51" s="183">
        <v>0</v>
      </c>
      <c r="M51" s="359">
        <f t="shared" si="7"/>
        <v>0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490">
        <f>'[73]Sch C'!D37</f>
        <v>0</v>
      </c>
      <c r="D52" s="490">
        <f>'[73]Sch C'!F37</f>
        <v>0</v>
      </c>
      <c r="E52" s="171">
        <f t="shared" si="4"/>
        <v>0</v>
      </c>
      <c r="F52" s="418"/>
      <c r="G52" s="171">
        <f t="shared" si="5"/>
        <v>0</v>
      </c>
      <c r="H52" s="172">
        <f t="shared" si="6"/>
        <v>0</v>
      </c>
      <c r="I52" s="337"/>
      <c r="J52" s="168"/>
      <c r="K52" s="168"/>
      <c r="M52" s="359">
        <f t="shared" si="7"/>
        <v>0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490">
        <f>'[73]Sch C'!D38</f>
        <v>3254</v>
      </c>
      <c r="D53" s="490">
        <f>'[73]Sch C'!F38</f>
        <v>-3254</v>
      </c>
      <c r="E53" s="171">
        <f t="shared" si="4"/>
        <v>0</v>
      </c>
      <c r="F53" s="418"/>
      <c r="G53" s="171">
        <f t="shared" si="5"/>
        <v>0</v>
      </c>
      <c r="H53" s="172">
        <f t="shared" si="6"/>
        <v>0</v>
      </c>
      <c r="I53" s="337"/>
      <c r="J53" s="168"/>
      <c r="K53" s="168"/>
      <c r="M53" s="359">
        <f t="shared" si="7"/>
        <v>0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490">
        <f>'[73]Sch C'!D39</f>
        <v>14515</v>
      </c>
      <c r="D54" s="490">
        <f>'[73]Sch C'!F39</f>
        <v>0</v>
      </c>
      <c r="E54" s="171">
        <f t="shared" si="4"/>
        <v>14515</v>
      </c>
      <c r="F54" s="418"/>
      <c r="G54" s="171">
        <f t="shared" si="5"/>
        <v>14515</v>
      </c>
      <c r="H54" s="172">
        <f t="shared" si="6"/>
        <v>1.0709360033864812E-3</v>
      </c>
      <c r="I54" s="337"/>
      <c r="J54" s="168"/>
      <c r="K54" s="168"/>
      <c r="M54" s="359">
        <f t="shared" si="7"/>
        <v>0.25835217058540838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490">
        <f>'[73]Sch C'!D40</f>
        <v>13282</v>
      </c>
      <c r="D55" s="490">
        <f>'[73]Sch C'!F40</f>
        <v>0</v>
      </c>
      <c r="E55" s="171">
        <f t="shared" si="4"/>
        <v>13282</v>
      </c>
      <c r="F55" s="418"/>
      <c r="G55" s="171">
        <f t="shared" si="5"/>
        <v>13282</v>
      </c>
      <c r="H55" s="172">
        <f t="shared" si="6"/>
        <v>9.7996362362929679E-4</v>
      </c>
      <c r="I55" s="337"/>
      <c r="J55" s="168"/>
      <c r="K55" s="168"/>
      <c r="M55" s="359">
        <f t="shared" si="7"/>
        <v>0.23640603029386112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490">
        <f>'[73]Sch C'!D41</f>
        <v>45295</v>
      </c>
      <c r="D56" s="490">
        <f>'[73]Sch C'!F41</f>
        <v>0</v>
      </c>
      <c r="E56" s="171">
        <f t="shared" si="4"/>
        <v>45295</v>
      </c>
      <c r="F56" s="418"/>
      <c r="G56" s="171">
        <f t="shared" si="5"/>
        <v>45295</v>
      </c>
      <c r="H56" s="172">
        <f t="shared" si="6"/>
        <v>3.3419253374709383E-3</v>
      </c>
      <c r="I56" s="337"/>
      <c r="J56" s="168"/>
      <c r="K56" s="168"/>
      <c r="M56" s="359">
        <f t="shared" si="7"/>
        <v>0.80620472384885111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490">
        <f>'[73]Sch C'!D42</f>
        <v>7403</v>
      </c>
      <c r="D57" s="490">
        <f>'[73]Sch C'!F42</f>
        <v>0</v>
      </c>
      <c r="E57" s="171">
        <f t="shared" si="4"/>
        <v>7403</v>
      </c>
      <c r="F57" s="418"/>
      <c r="G57" s="171">
        <f t="shared" si="5"/>
        <v>7403</v>
      </c>
      <c r="H57" s="172">
        <f t="shared" si="6"/>
        <v>5.4620318519256776E-4</v>
      </c>
      <c r="I57" s="337"/>
      <c r="J57" s="168"/>
      <c r="K57" s="168"/>
      <c r="M57" s="359">
        <f t="shared" si="7"/>
        <v>0.1317658366409768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490">
        <f>'[73]Sch C'!D43</f>
        <v>12976</v>
      </c>
      <c r="D58" s="490">
        <f>'[73]Sch C'!F43</f>
        <v>0</v>
      </c>
      <c r="E58" s="171">
        <f t="shared" si="4"/>
        <v>12976</v>
      </c>
      <c r="F58" s="418"/>
      <c r="G58" s="171">
        <f t="shared" si="5"/>
        <v>12976</v>
      </c>
      <c r="H58" s="172">
        <f t="shared" si="6"/>
        <v>9.5738653668225838E-4</v>
      </c>
      <c r="I58" s="337"/>
      <c r="J58" s="168"/>
      <c r="K58" s="168"/>
      <c r="M58" s="359">
        <f t="shared" si="7"/>
        <v>0.23095954292223628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490">
        <f>'[73]Sch C'!D44</f>
        <v>132</v>
      </c>
      <c r="D59" s="490">
        <f>'[73]Sch C'!F44</f>
        <v>0</v>
      </c>
      <c r="E59" s="171">
        <f t="shared" si="4"/>
        <v>132</v>
      </c>
      <c r="F59" s="418"/>
      <c r="G59" s="171">
        <f t="shared" si="5"/>
        <v>132</v>
      </c>
      <c r="H59" s="172">
        <f t="shared" si="6"/>
        <v>9.7391355457812974E-6</v>
      </c>
      <c r="I59" s="337"/>
      <c r="J59" s="168"/>
      <c r="K59" s="168"/>
      <c r="M59" s="359">
        <f t="shared" si="7"/>
        <v>2.3494651407009238E-3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490">
        <f>'[73]Sch C'!D45</f>
        <v>36158</v>
      </c>
      <c r="D60" s="490">
        <f>'[73]Sch C'!F45</f>
        <v>-61858</v>
      </c>
      <c r="E60" s="171">
        <f t="shared" si="4"/>
        <v>-25700</v>
      </c>
      <c r="F60" s="418"/>
      <c r="G60" s="171">
        <f t="shared" si="5"/>
        <v>-25700</v>
      </c>
      <c r="H60" s="172">
        <f t="shared" si="6"/>
        <v>-1.8961801782316615E-3</v>
      </c>
      <c r="I60" s="337"/>
      <c r="J60" s="168"/>
      <c r="K60" s="168"/>
      <c r="M60" s="359">
        <f t="shared" si="7"/>
        <v>-0.45743374330313441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490">
        <f>SUM(C25:C60)</f>
        <v>4433884</v>
      </c>
      <c r="D61" s="490">
        <f>SUM(D25:D60)</f>
        <v>-1275148.4036429345</v>
      </c>
      <c r="E61" s="171">
        <f t="shared" ref="E61:F61" si="8">SUM(E25:E60)</f>
        <v>3158735.5963570657</v>
      </c>
      <c r="F61" s="171">
        <f t="shared" si="8"/>
        <v>0</v>
      </c>
      <c r="G61" s="171">
        <f>SUM(G25:G60)</f>
        <v>3158735.5963570657</v>
      </c>
      <c r="H61" s="186">
        <f t="shared" si="6"/>
        <v>0.23305571307731654</v>
      </c>
      <c r="I61" s="339"/>
      <c r="J61" s="168"/>
      <c r="K61" s="168"/>
      <c r="M61" s="364">
        <f>G61/G$228</f>
        <v>56.222266457061131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425"/>
      <c r="G62" s="165"/>
      <c r="H62" s="187"/>
      <c r="I62" s="340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425"/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490">
        <f>'[73]Sch C'!D57</f>
        <v>689535</v>
      </c>
      <c r="D64" s="490">
        <f>'[73]Sch C'!F57</f>
        <v>0</v>
      </c>
      <c r="E64" s="171">
        <f t="shared" ref="E64:E78" si="9">C64+D64</f>
        <v>689535</v>
      </c>
      <c r="F64" s="418"/>
      <c r="G64" s="171">
        <f t="shared" ref="G64:G78" si="10">E64+F64</f>
        <v>689535</v>
      </c>
      <c r="H64" s="172">
        <f t="shared" ref="H64:H79" si="11">IF($G$208=0,0,G64/$G$208)</f>
        <v>5.0874809307275053E-2</v>
      </c>
      <c r="I64" s="337"/>
      <c r="J64" s="190"/>
      <c r="K64" s="168"/>
      <c r="M64" s="359">
        <f t="shared" ref="M64:M79" si="12">G64/G$228</f>
        <v>12.273018528736451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490">
        <f>'[73]Sch C'!D58</f>
        <v>2825</v>
      </c>
      <c r="D65" s="490">
        <f>'[73]Sch C'!F58</f>
        <v>0</v>
      </c>
      <c r="E65" s="171">
        <f t="shared" si="9"/>
        <v>2825</v>
      </c>
      <c r="F65" s="418"/>
      <c r="G65" s="171">
        <f t="shared" si="10"/>
        <v>2825</v>
      </c>
      <c r="H65" s="172">
        <f t="shared" si="11"/>
        <v>2.0843225694569821E-4</v>
      </c>
      <c r="I65" s="337"/>
      <c r="J65" s="190"/>
      <c r="K65" s="168"/>
      <c r="M65" s="359">
        <f t="shared" si="12"/>
        <v>5.02821138066675E-2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490">
        <f>'[73]Sch C'!D59</f>
        <v>0</v>
      </c>
      <c r="D66" s="490">
        <f>'[73]Sch C'!F59</f>
        <v>0</v>
      </c>
      <c r="E66" s="171">
        <f t="shared" si="9"/>
        <v>0</v>
      </c>
      <c r="F66" s="418"/>
      <c r="G66" s="171">
        <f t="shared" si="10"/>
        <v>0</v>
      </c>
      <c r="H66" s="172">
        <f t="shared" si="11"/>
        <v>0</v>
      </c>
      <c r="I66" s="337"/>
      <c r="J66" s="190"/>
      <c r="K66" s="168"/>
      <c r="M66" s="359">
        <f t="shared" si="12"/>
        <v>0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490">
        <f>'[73]Sch C'!D60</f>
        <v>141918</v>
      </c>
      <c r="D67" s="490">
        <f>'[73]Sch C'!F60</f>
        <v>0</v>
      </c>
      <c r="E67" s="171">
        <f t="shared" si="9"/>
        <v>141918</v>
      </c>
      <c r="F67" s="418"/>
      <c r="G67" s="171">
        <f t="shared" si="10"/>
        <v>141918</v>
      </c>
      <c r="H67" s="172">
        <f t="shared" si="11"/>
        <v>1.0470898775652956E-2</v>
      </c>
      <c r="I67" s="337"/>
      <c r="J67" s="193"/>
      <c r="K67" s="168"/>
      <c r="M67" s="359">
        <f t="shared" si="12"/>
        <v>2.5259954078635887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490">
        <f>'[73]Sch C'!D61</f>
        <v>23098</v>
      </c>
      <c r="D68" s="490">
        <f>'[73]Sch C'!F61</f>
        <v>0</v>
      </c>
      <c r="E68" s="171">
        <f t="shared" si="9"/>
        <v>23098</v>
      </c>
      <c r="F68" s="418"/>
      <c r="G68" s="171">
        <f t="shared" si="10"/>
        <v>23098</v>
      </c>
      <c r="H68" s="172">
        <f t="shared" si="11"/>
        <v>1.7042011578519425E-3</v>
      </c>
      <c r="I68" s="337"/>
      <c r="J68" s="193"/>
      <c r="K68" s="168"/>
      <c r="M68" s="359">
        <f t="shared" si="12"/>
        <v>0.41112080166598436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490">
        <f>'[73]Sch C'!D62</f>
        <v>8708</v>
      </c>
      <c r="D69" s="490">
        <f>'[73]Sch C'!F62</f>
        <v>0</v>
      </c>
      <c r="E69" s="171">
        <f t="shared" si="9"/>
        <v>8708</v>
      </c>
      <c r="F69" s="418"/>
      <c r="G69" s="171">
        <f t="shared" si="10"/>
        <v>8708</v>
      </c>
      <c r="H69" s="172">
        <f t="shared" si="11"/>
        <v>6.4248782070199645E-4</v>
      </c>
      <c r="I69" s="337"/>
      <c r="J69" s="195"/>
      <c r="K69" s="168"/>
      <c r="M69" s="359">
        <f t="shared" si="12"/>
        <v>0.1549935033729064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490">
        <f>'[73]Sch C'!D63</f>
        <v>0</v>
      </c>
      <c r="D70" s="490">
        <f>'[73]Sch C'!F63</f>
        <v>0</v>
      </c>
      <c r="E70" s="171">
        <f t="shared" si="9"/>
        <v>0</v>
      </c>
      <c r="F70" s="418"/>
      <c r="G70" s="171">
        <f t="shared" si="10"/>
        <v>0</v>
      </c>
      <c r="H70" s="172">
        <f t="shared" si="11"/>
        <v>0</v>
      </c>
      <c r="I70" s="337"/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490">
        <f>'[73]Sch C'!D64</f>
        <v>0</v>
      </c>
      <c r="D71" s="490">
        <f>'[73]Sch C'!F64</f>
        <v>0</v>
      </c>
      <c r="E71" s="171">
        <f t="shared" si="9"/>
        <v>0</v>
      </c>
      <c r="F71" s="418"/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490">
        <f>'[73]Sch C'!D65</f>
        <v>5370</v>
      </c>
      <c r="D72" s="490">
        <f>'[73]Sch C'!F65</f>
        <v>0</v>
      </c>
      <c r="E72" s="171">
        <f t="shared" si="9"/>
        <v>5370</v>
      </c>
      <c r="F72" s="418"/>
      <c r="G72" s="171">
        <f t="shared" si="10"/>
        <v>5370</v>
      </c>
      <c r="H72" s="172">
        <f t="shared" si="11"/>
        <v>3.9620574152155732E-4</v>
      </c>
      <c r="I72" s="337"/>
      <c r="J72" s="195"/>
      <c r="K72" s="168"/>
      <c r="M72" s="359">
        <f t="shared" si="12"/>
        <v>9.5580513678514847E-2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490">
        <f>'[73]Sch C'!D66</f>
        <v>3479</v>
      </c>
      <c r="D73" s="490">
        <f>'[73]Sch C'!F66</f>
        <v>0</v>
      </c>
      <c r="E73" s="171">
        <f t="shared" si="9"/>
        <v>3479</v>
      </c>
      <c r="F73" s="418"/>
      <c r="G73" s="171">
        <f t="shared" si="10"/>
        <v>3479</v>
      </c>
      <c r="H73" s="172">
        <f t="shared" si="11"/>
        <v>2.5668524669525102E-4</v>
      </c>
      <c r="I73" s="337"/>
      <c r="J73" s="195"/>
      <c r="K73" s="168"/>
      <c r="M73" s="359">
        <f t="shared" si="12"/>
        <v>6.1922645640140259E-2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490">
        <f>'[73]Sch C'!D67</f>
        <v>121362</v>
      </c>
      <c r="D74" s="490">
        <f>'[73]Sch C'!F67</f>
        <v>0</v>
      </c>
      <c r="E74" s="171">
        <f t="shared" si="9"/>
        <v>121362</v>
      </c>
      <c r="F74" s="418"/>
      <c r="G74" s="171">
        <f t="shared" si="10"/>
        <v>121362</v>
      </c>
      <c r="H74" s="172">
        <f t="shared" si="11"/>
        <v>8.954249758387196E-3</v>
      </c>
      <c r="I74" s="337"/>
      <c r="J74" s="195"/>
      <c r="K74" s="168"/>
      <c r="M74" s="359">
        <f t="shared" si="12"/>
        <v>2.1601196091344357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490">
        <f>'[73]Sch C'!D68</f>
        <v>0</v>
      </c>
      <c r="D75" s="490">
        <f>'[73]Sch C'!F68</f>
        <v>0</v>
      </c>
      <c r="E75" s="171">
        <f t="shared" si="9"/>
        <v>0</v>
      </c>
      <c r="F75" s="418"/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490">
        <f>'[73]Sch C'!D69</f>
        <v>10324</v>
      </c>
      <c r="D76" s="490">
        <f>'[73]Sch C'!F69</f>
        <v>0</v>
      </c>
      <c r="E76" s="171">
        <f t="shared" si="9"/>
        <v>10324</v>
      </c>
      <c r="F76" s="418"/>
      <c r="G76" s="171">
        <f t="shared" si="10"/>
        <v>10324</v>
      </c>
      <c r="H76" s="172">
        <f t="shared" si="11"/>
        <v>7.6171844980792505E-4</v>
      </c>
      <c r="I76" s="337"/>
      <c r="J76" s="195"/>
      <c r="K76" s="168"/>
      <c r="M76" s="359">
        <f t="shared" si="12"/>
        <v>0.18375665236815406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490">
        <f>'[73]Sch C'!D70</f>
        <v>0</v>
      </c>
      <c r="D77" s="490">
        <f>'[73]Sch C'!F70</f>
        <v>0</v>
      </c>
      <c r="E77" s="171">
        <f t="shared" si="9"/>
        <v>0</v>
      </c>
      <c r="F77" s="418"/>
      <c r="G77" s="171">
        <f t="shared" si="10"/>
        <v>0</v>
      </c>
      <c r="H77" s="172">
        <f t="shared" si="11"/>
        <v>0</v>
      </c>
      <c r="I77" s="337"/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490">
        <f>'[73]Sch C'!D71</f>
        <v>0</v>
      </c>
      <c r="D78" s="490">
        <f>'[73]Sch C'!F71</f>
        <v>0</v>
      </c>
      <c r="E78" s="171">
        <f t="shared" si="9"/>
        <v>0</v>
      </c>
      <c r="F78" s="418"/>
      <c r="G78" s="171">
        <f t="shared" si="10"/>
        <v>0</v>
      </c>
      <c r="H78" s="172">
        <f t="shared" si="11"/>
        <v>0</v>
      </c>
      <c r="I78" s="337"/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490">
        <f>SUM(C64:C78)</f>
        <v>1006619</v>
      </c>
      <c r="D79" s="490">
        <f>SUM(D64:D78)</f>
        <v>0</v>
      </c>
      <c r="E79" s="171">
        <f t="shared" ref="E79:F79" si="13">SUM(E64:E78)</f>
        <v>1006619</v>
      </c>
      <c r="F79" s="171">
        <f t="shared" si="13"/>
        <v>0</v>
      </c>
      <c r="G79" s="171">
        <f>SUM(G64:G78)</f>
        <v>1006619</v>
      </c>
      <c r="H79" s="172">
        <f t="shared" si="11"/>
        <v>7.4269688514839574E-2</v>
      </c>
      <c r="I79" s="337"/>
      <c r="J79" s="195"/>
      <c r="K79" s="168"/>
      <c r="M79" s="359">
        <f t="shared" si="12"/>
        <v>17.916789776266842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422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425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490">
        <f>'[73]Sch C'!D75</f>
        <v>132838</v>
      </c>
      <c r="D82" s="490">
        <f>'[73]Sch C'!F75</f>
        <v>9484</v>
      </c>
      <c r="E82" s="171">
        <f t="shared" ref="E82:E92" si="14">C82+D82</f>
        <v>142322</v>
      </c>
      <c r="F82" s="418"/>
      <c r="G82" s="171">
        <f t="shared" ref="G82:G92" si="15">E82+F82</f>
        <v>142322</v>
      </c>
      <c r="H82" s="172">
        <f t="shared" ref="H82:H93" si="16">IF($G$208=0,0,G82/$G$208)</f>
        <v>1.0500706432929437E-2</v>
      </c>
      <c r="I82" s="337"/>
      <c r="J82" s="183">
        <v>5795</v>
      </c>
      <c r="K82" s="183">
        <v>6209</v>
      </c>
      <c r="M82" s="359">
        <f t="shared" ref="M82:M92" si="17">G82/G$228</f>
        <v>2.5331861951124006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490">
        <f>'[73]Sch C'!D76</f>
        <v>0</v>
      </c>
      <c r="D83" s="490">
        <f>'[73]Sch C'!F76</f>
        <v>21743</v>
      </c>
      <c r="E83" s="171">
        <f t="shared" si="14"/>
        <v>21743</v>
      </c>
      <c r="F83" s="418"/>
      <c r="G83" s="171">
        <f t="shared" si="15"/>
        <v>21743</v>
      </c>
      <c r="H83" s="172">
        <f t="shared" si="16"/>
        <v>1.6042274558478995E-3</v>
      </c>
      <c r="I83" s="337"/>
      <c r="J83" s="168"/>
      <c r="K83" s="168"/>
      <c r="M83" s="359">
        <f t="shared" si="17"/>
        <v>0.38700318601712264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490">
        <f>'[73]Sch C'!D77</f>
        <v>48072</v>
      </c>
      <c r="D84" s="490">
        <f>'[73]Sch C'!F77</f>
        <v>0</v>
      </c>
      <c r="E84" s="171">
        <f t="shared" si="14"/>
        <v>48072</v>
      </c>
      <c r="F84" s="418"/>
      <c r="G84" s="171">
        <f t="shared" si="15"/>
        <v>48072</v>
      </c>
      <c r="H84" s="172">
        <f t="shared" si="16"/>
        <v>3.5468160905818068E-3</v>
      </c>
      <c r="I84" s="337"/>
      <c r="J84" s="168"/>
      <c r="K84" s="168"/>
      <c r="M84" s="359">
        <f t="shared" si="17"/>
        <v>0.85563248669526371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490">
        <f>'[73]Sch C'!D78</f>
        <v>0</v>
      </c>
      <c r="D85" s="490">
        <f>'[73]Sch C'!F78</f>
        <v>0</v>
      </c>
      <c r="E85" s="171">
        <f t="shared" si="14"/>
        <v>0</v>
      </c>
      <c r="F85" s="418"/>
      <c r="G85" s="171">
        <f t="shared" si="15"/>
        <v>0</v>
      </c>
      <c r="H85" s="172">
        <f t="shared" si="16"/>
        <v>0</v>
      </c>
      <c r="I85" s="337"/>
      <c r="J85" s="168"/>
      <c r="K85" s="168"/>
      <c r="M85" s="359">
        <f t="shared" si="17"/>
        <v>0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490">
        <f>'[73]Sch C'!D79</f>
        <v>14427</v>
      </c>
      <c r="D86" s="490">
        <f>'[73]Sch C'!F79</f>
        <v>0</v>
      </c>
      <c r="E86" s="171">
        <f t="shared" si="14"/>
        <v>14427</v>
      </c>
      <c r="F86" s="418"/>
      <c r="G86" s="171">
        <f>E86+F86</f>
        <v>14427</v>
      </c>
      <c r="H86" s="172">
        <f t="shared" si="16"/>
        <v>1.0644432463559604E-3</v>
      </c>
      <c r="I86" s="337"/>
      <c r="J86" s="168"/>
      <c r="K86" s="168"/>
      <c r="M86" s="359">
        <f t="shared" si="17"/>
        <v>0.25678586049160779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490">
        <f>'[73]Sch C'!D80</f>
        <v>41091</v>
      </c>
      <c r="D87" s="490">
        <f>'[73]Sch C'!F80</f>
        <v>0</v>
      </c>
      <c r="E87" s="171">
        <f t="shared" si="14"/>
        <v>41091</v>
      </c>
      <c r="F87" s="418"/>
      <c r="G87" s="171">
        <f t="shared" si="15"/>
        <v>41091</v>
      </c>
      <c r="H87" s="172">
        <f t="shared" si="16"/>
        <v>3.0317486266037822E-3</v>
      </c>
      <c r="I87" s="337"/>
      <c r="J87" s="168"/>
      <c r="K87" s="168"/>
      <c r="M87" s="359">
        <f t="shared" si="17"/>
        <v>0.73137781891319442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490">
        <f>'[73]Sch C'!D81</f>
        <v>41473</v>
      </c>
      <c r="D88" s="490">
        <f>'[73]Sch C'!F81</f>
        <v>0</v>
      </c>
      <c r="E88" s="171">
        <f t="shared" si="14"/>
        <v>41473</v>
      </c>
      <c r="F88" s="418"/>
      <c r="G88" s="171">
        <f t="shared" si="15"/>
        <v>41473</v>
      </c>
      <c r="H88" s="172">
        <f t="shared" si="16"/>
        <v>3.0599330946226343E-3</v>
      </c>
      <c r="I88" s="337"/>
      <c r="J88" s="168"/>
      <c r="K88" s="168"/>
      <c r="M88" s="359">
        <f t="shared" si="17"/>
        <v>0.73817702863855617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490">
        <f>'[73]Sch C'!D82</f>
        <v>4091</v>
      </c>
      <c r="D89" s="490">
        <f>'[73]Sch C'!F82</f>
        <v>0</v>
      </c>
      <c r="E89" s="171">
        <f t="shared" si="14"/>
        <v>4091</v>
      </c>
      <c r="F89" s="418"/>
      <c r="G89" s="171">
        <f t="shared" si="15"/>
        <v>4091</v>
      </c>
      <c r="H89" s="172">
        <f t="shared" si="16"/>
        <v>3.0183942058932794E-4</v>
      </c>
      <c r="I89" s="337"/>
      <c r="J89" s="168"/>
      <c r="K89" s="168"/>
      <c r="M89" s="359">
        <f t="shared" si="17"/>
        <v>7.2815620383389998E-2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490">
        <f>'[73]Sch C'!D83</f>
        <v>0</v>
      </c>
      <c r="D90" s="490">
        <f>'[73]Sch C'!F83</f>
        <v>0</v>
      </c>
      <c r="E90" s="171">
        <f t="shared" si="14"/>
        <v>0</v>
      </c>
      <c r="F90" s="418"/>
      <c r="G90" s="171">
        <f t="shared" si="15"/>
        <v>0</v>
      </c>
      <c r="H90" s="172">
        <f t="shared" si="16"/>
        <v>0</v>
      </c>
      <c r="I90" s="337"/>
      <c r="J90" s="168"/>
      <c r="K90" s="168"/>
      <c r="M90" s="359">
        <f t="shared" si="17"/>
        <v>0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490">
        <f>'[73]Sch C'!D84</f>
        <v>317364</v>
      </c>
      <c r="D91" s="490">
        <f>'[73]Sch C'!F84</f>
        <v>0</v>
      </c>
      <c r="E91" s="171">
        <f t="shared" si="14"/>
        <v>317364</v>
      </c>
      <c r="F91" s="418"/>
      <c r="G91" s="171">
        <f t="shared" si="15"/>
        <v>317364</v>
      </c>
      <c r="H91" s="172">
        <f t="shared" si="16"/>
        <v>2.341553797993436E-2</v>
      </c>
      <c r="I91" s="337"/>
      <c r="J91" s="168"/>
      <c r="K91" s="168"/>
      <c r="M91" s="359">
        <f t="shared" si="17"/>
        <v>5.6487549614652117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490">
        <f>'[73]Sch C'!D85</f>
        <v>0</v>
      </c>
      <c r="D92" s="490">
        <f>'[73]Sch C'!F85</f>
        <v>0</v>
      </c>
      <c r="E92" s="171">
        <f t="shared" si="14"/>
        <v>0</v>
      </c>
      <c r="F92" s="418"/>
      <c r="G92" s="171">
        <f t="shared" si="15"/>
        <v>0</v>
      </c>
      <c r="H92" s="172">
        <f t="shared" si="16"/>
        <v>0</v>
      </c>
      <c r="I92" s="337"/>
      <c r="J92" s="168"/>
      <c r="K92" s="168"/>
      <c r="M92" s="359">
        <f t="shared" si="17"/>
        <v>0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490">
        <f>SUM(C82:C92)</f>
        <v>599356</v>
      </c>
      <c r="D93" s="490">
        <f>SUM(D82:D92)</f>
        <v>31227</v>
      </c>
      <c r="E93" s="171">
        <f t="shared" ref="E93:F93" si="18">SUM(E82:E92)</f>
        <v>630583</v>
      </c>
      <c r="F93" s="171">
        <f t="shared" si="18"/>
        <v>0</v>
      </c>
      <c r="G93" s="171">
        <f>SUM(G82:G92)</f>
        <v>630583</v>
      </c>
      <c r="H93" s="172">
        <f t="shared" si="16"/>
        <v>4.6525252347465212E-2</v>
      </c>
      <c r="I93" s="337"/>
      <c r="J93" s="168"/>
      <c r="K93" s="168"/>
      <c r="M93" s="364">
        <f>G93/G$228</f>
        <v>11.223733157716747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425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42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490">
        <f>'[73]Sch C'!D89</f>
        <v>384788</v>
      </c>
      <c r="D96" s="490">
        <f>'[73]Sch C'!F89</f>
        <v>27472</v>
      </c>
      <c r="E96" s="171">
        <f t="shared" ref="E96:E101" si="19">C96+D96</f>
        <v>412260</v>
      </c>
      <c r="F96" s="418"/>
      <c r="G96" s="171">
        <f t="shared" ref="G96:G101" si="20">E96+F96</f>
        <v>412260</v>
      </c>
      <c r="H96" s="172">
        <f t="shared" ref="H96:H102" si="21">IF($G$208=0,0,G96/$G$208)</f>
        <v>3.0417091061392405E-2</v>
      </c>
      <c r="I96" s="337"/>
      <c r="J96" s="183">
        <v>31692</v>
      </c>
      <c r="K96" s="183">
        <v>33955</v>
      </c>
      <c r="M96" s="364">
        <f t="shared" ref="M96:M101" si="22">G96/G$228</f>
        <v>7.3378068098891127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490">
        <f>'[73]Sch C'!D90</f>
        <v>0</v>
      </c>
      <c r="D97" s="490">
        <f>'[73]Sch C'!F90</f>
        <v>62981</v>
      </c>
      <c r="E97" s="171">
        <f t="shared" si="19"/>
        <v>62981</v>
      </c>
      <c r="F97" s="418"/>
      <c r="G97" s="171">
        <f t="shared" si="20"/>
        <v>62981</v>
      </c>
      <c r="H97" s="172">
        <f t="shared" si="21"/>
        <v>4.6468219379458475E-3</v>
      </c>
      <c r="I97" s="337"/>
      <c r="J97" s="168"/>
      <c r="K97" s="168"/>
      <c r="M97" s="364">
        <f t="shared" si="22"/>
        <v>1.1209974547460975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490">
        <f>'[73]Sch C'!D91</f>
        <v>30732</v>
      </c>
      <c r="D98" s="490">
        <f>'[73]Sch C'!F91</f>
        <v>0</v>
      </c>
      <c r="E98" s="171">
        <f t="shared" si="19"/>
        <v>30732</v>
      </c>
      <c r="F98" s="418"/>
      <c r="G98" s="171">
        <f t="shared" si="20"/>
        <v>30732</v>
      </c>
      <c r="H98" s="172">
        <f t="shared" si="21"/>
        <v>2.2674478302496274E-3</v>
      </c>
      <c r="I98" s="337"/>
      <c r="J98" s="168"/>
      <c r="K98" s="168"/>
      <c r="M98" s="364">
        <f t="shared" si="22"/>
        <v>0.54699820230318774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490">
        <f>'[73]Sch C'!D92</f>
        <v>316212</v>
      </c>
      <c r="D99" s="490">
        <f>'[73]Sch C'!F92</f>
        <v>0</v>
      </c>
      <c r="E99" s="171">
        <f t="shared" si="19"/>
        <v>316212</v>
      </c>
      <c r="F99" s="418"/>
      <c r="G99" s="171">
        <f t="shared" si="20"/>
        <v>316212</v>
      </c>
      <c r="H99" s="172">
        <f t="shared" si="21"/>
        <v>2.3330541887898449E-2</v>
      </c>
      <c r="I99" s="337"/>
      <c r="J99" s="168"/>
      <c r="K99" s="168"/>
      <c r="M99" s="364">
        <f t="shared" si="22"/>
        <v>5.6282505384190946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490">
        <f>'[73]Sch C'!D93</f>
        <v>45588</v>
      </c>
      <c r="D100" s="490">
        <f>'[73]Sch C'!F93</f>
        <v>0</v>
      </c>
      <c r="E100" s="171">
        <f t="shared" si="19"/>
        <v>45588</v>
      </c>
      <c r="F100" s="418"/>
      <c r="G100" s="171">
        <f t="shared" si="20"/>
        <v>45588</v>
      </c>
      <c r="H100" s="172">
        <f t="shared" si="21"/>
        <v>3.3635432671293769E-3</v>
      </c>
      <c r="I100" s="337"/>
      <c r="J100" s="168"/>
      <c r="K100" s="168"/>
      <c r="M100" s="364">
        <f t="shared" si="22"/>
        <v>0.81141982450207362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490">
        <f>'[73]Sch C'!D94</f>
        <v>0</v>
      </c>
      <c r="D101" s="490">
        <f>'[73]Sch C'!F94</f>
        <v>0</v>
      </c>
      <c r="E101" s="171">
        <f t="shared" si="19"/>
        <v>0</v>
      </c>
      <c r="F101" s="418"/>
      <c r="G101" s="171">
        <f t="shared" si="20"/>
        <v>0</v>
      </c>
      <c r="H101" s="172">
        <f t="shared" si="21"/>
        <v>0</v>
      </c>
      <c r="I101" s="337"/>
      <c r="J101" s="168"/>
      <c r="K101" s="168"/>
      <c r="M101" s="364">
        <f t="shared" si="22"/>
        <v>0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490">
        <f>SUM(C96:C101)</f>
        <v>777320</v>
      </c>
      <c r="D102" s="490">
        <f>SUM(D96:D101)</f>
        <v>90453</v>
      </c>
      <c r="E102" s="171">
        <f t="shared" ref="E102:F102" si="23">SUM(E96:E101)</f>
        <v>867773</v>
      </c>
      <c r="F102" s="171">
        <f t="shared" si="23"/>
        <v>0</v>
      </c>
      <c r="G102" s="171">
        <f>SUM(G96:G101)</f>
        <v>867773</v>
      </c>
      <c r="H102" s="172">
        <f t="shared" si="21"/>
        <v>6.4025445984615709E-2</v>
      </c>
      <c r="I102" s="337"/>
      <c r="J102" s="168"/>
      <c r="K102" s="168"/>
      <c r="M102" s="364">
        <f>G102/G$228</f>
        <v>15.445472829859566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425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425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490">
        <f>'[73]Sch C'!D98</f>
        <v>51716</v>
      </c>
      <c r="D105" s="490">
        <f>'[73]Sch C'!F98</f>
        <v>3692</v>
      </c>
      <c r="E105" s="171">
        <f t="shared" ref="E105:E110" si="24">C105+D105</f>
        <v>55408</v>
      </c>
      <c r="F105" s="418"/>
      <c r="G105" s="171">
        <f t="shared" ref="G105:G110" si="25">E105+F105</f>
        <v>55408</v>
      </c>
      <c r="H105" s="172">
        <f t="shared" ref="H105:H111" si="26">IF($G$208=0,0,G105/$G$208)</f>
        <v>4.0880759266715919E-3</v>
      </c>
      <c r="I105" s="337"/>
      <c r="J105" s="183">
        <v>4822</v>
      </c>
      <c r="K105" s="183">
        <v>5166</v>
      </c>
      <c r="M105" s="364">
        <f t="shared" ref="M105:M110" si="27">G105/G$228</f>
        <v>0.98620579178755141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490">
        <f>'[73]Sch C'!D99</f>
        <v>0</v>
      </c>
      <c r="D106" s="490">
        <f>'[73]Sch C'!F99</f>
        <v>8464</v>
      </c>
      <c r="E106" s="171">
        <f t="shared" si="24"/>
        <v>8464</v>
      </c>
      <c r="F106" s="418"/>
      <c r="G106" s="171">
        <f t="shared" si="25"/>
        <v>8464</v>
      </c>
      <c r="H106" s="172">
        <f t="shared" si="26"/>
        <v>6.2448517620827956E-4</v>
      </c>
      <c r="I106" s="337"/>
      <c r="J106" s="168"/>
      <c r="K106" s="168"/>
      <c r="M106" s="364">
        <f t="shared" si="27"/>
        <v>0.15065055265827743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490">
        <f>'[73]Sch C'!D100</f>
        <v>7435</v>
      </c>
      <c r="D107" s="490">
        <f>'[73]Sch C'!F100</f>
        <v>0</v>
      </c>
      <c r="E107" s="171">
        <f t="shared" si="24"/>
        <v>7435</v>
      </c>
      <c r="F107" s="418"/>
      <c r="G107" s="171">
        <f t="shared" si="25"/>
        <v>7435</v>
      </c>
      <c r="H107" s="172">
        <f t="shared" si="26"/>
        <v>5.485641877491208E-4</v>
      </c>
      <c r="I107" s="337"/>
      <c r="J107" s="168"/>
      <c r="K107" s="168"/>
      <c r="M107" s="364">
        <f t="shared" si="27"/>
        <v>0.1323354039478134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490">
        <f>'[73]Sch C'!D101</f>
        <v>0</v>
      </c>
      <c r="D108" s="490">
        <f>'[73]Sch C'!F101</f>
        <v>0</v>
      </c>
      <c r="E108" s="171">
        <f t="shared" si="24"/>
        <v>0</v>
      </c>
      <c r="F108" s="418"/>
      <c r="G108" s="171">
        <f t="shared" si="25"/>
        <v>0</v>
      </c>
      <c r="H108" s="172">
        <f t="shared" si="26"/>
        <v>0</v>
      </c>
      <c r="I108" s="337"/>
      <c r="J108" s="168"/>
      <c r="K108" s="168"/>
      <c r="M108" s="364">
        <f t="shared" si="27"/>
        <v>0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490">
        <f>'[73]Sch C'!D102</f>
        <v>18842</v>
      </c>
      <c r="D109" s="490">
        <f>'[73]Sch C'!F102</f>
        <v>0</v>
      </c>
      <c r="E109" s="171">
        <f t="shared" si="24"/>
        <v>18842</v>
      </c>
      <c r="F109" s="418"/>
      <c r="G109" s="171">
        <f t="shared" si="25"/>
        <v>18842</v>
      </c>
      <c r="H109" s="172">
        <f t="shared" si="26"/>
        <v>1.3901878178303878E-3</v>
      </c>
      <c r="I109" s="337"/>
      <c r="J109" s="168"/>
      <c r="K109" s="168"/>
      <c r="M109" s="364">
        <f t="shared" si="27"/>
        <v>0.33536834985671821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490">
        <f>'[73]Sch C'!D103</f>
        <v>0</v>
      </c>
      <c r="D110" s="490">
        <f>'[73]Sch C'!F103</f>
        <v>0</v>
      </c>
      <c r="E110" s="171">
        <f t="shared" si="24"/>
        <v>0</v>
      </c>
      <c r="F110" s="418"/>
      <c r="G110" s="171">
        <f t="shared" si="25"/>
        <v>0</v>
      </c>
      <c r="H110" s="172">
        <f t="shared" si="26"/>
        <v>0</v>
      </c>
      <c r="I110" s="337"/>
      <c r="J110" s="168"/>
      <c r="K110" s="168"/>
      <c r="M110" s="364">
        <f t="shared" si="27"/>
        <v>0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490">
        <f>SUM(C105:C110)</f>
        <v>77993</v>
      </c>
      <c r="D111" s="490">
        <f>SUM(D105:D110)</f>
        <v>12156</v>
      </c>
      <c r="E111" s="171">
        <f t="shared" ref="E111:F111" si="28">SUM(E105:E110)</f>
        <v>90149</v>
      </c>
      <c r="F111" s="171">
        <f t="shared" si="28"/>
        <v>0</v>
      </c>
      <c r="G111" s="171">
        <f>SUM(G105:G110)</f>
        <v>90149</v>
      </c>
      <c r="H111" s="172">
        <f t="shared" si="26"/>
        <v>6.6513131084593802E-3</v>
      </c>
      <c r="I111" s="337"/>
      <c r="J111" s="168"/>
      <c r="K111" s="168"/>
      <c r="M111" s="364">
        <f>G111/G$228</f>
        <v>1.6045600982503605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425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425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490">
        <f>'[73]Sch C'!D115</f>
        <v>204337</v>
      </c>
      <c r="D114" s="490">
        <f>'[73]Sch C'!F115</f>
        <v>14589</v>
      </c>
      <c r="E114" s="171">
        <f t="shared" ref="E114:E118" si="29">C114+D114</f>
        <v>218926</v>
      </c>
      <c r="F114" s="418"/>
      <c r="G114" s="171">
        <f>E114+F114</f>
        <v>218926</v>
      </c>
      <c r="H114" s="172">
        <f t="shared" ref="H114:H119" si="30">IF($G$208=0,0,G114/$G$208)</f>
        <v>1.6152651427997849E-2</v>
      </c>
      <c r="I114" s="337"/>
      <c r="J114" s="183">
        <v>18219</v>
      </c>
      <c r="K114" s="183">
        <v>19520</v>
      </c>
      <c r="M114" s="364">
        <f t="shared" ref="M114:M119" si="31">G114/G$228</f>
        <v>3.8966591317658366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490">
        <f>'[73]Sch C'!D116</f>
        <v>0</v>
      </c>
      <c r="D115" s="490">
        <f>'[73]Sch C'!F116</f>
        <v>33446</v>
      </c>
      <c r="E115" s="171">
        <f t="shared" si="29"/>
        <v>33446</v>
      </c>
      <c r="F115" s="418"/>
      <c r="G115" s="171">
        <f>E115+F115</f>
        <v>33446</v>
      </c>
      <c r="H115" s="172">
        <f t="shared" si="30"/>
        <v>2.4676903595772823E-3</v>
      </c>
      <c r="I115" s="337"/>
      <c r="J115" s="168"/>
      <c r="K115" s="168"/>
      <c r="M115" s="364">
        <f t="shared" si="31"/>
        <v>0.59530462951426588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490">
        <f>'[73]Sch C'!D117</f>
        <v>46095</v>
      </c>
      <c r="D116" s="490">
        <f>'[73]Sch C'!F117</f>
        <v>0</v>
      </c>
      <c r="E116" s="171">
        <f t="shared" si="29"/>
        <v>46095</v>
      </c>
      <c r="F116" s="418"/>
      <c r="G116" s="171">
        <f>E116+F116</f>
        <v>46095</v>
      </c>
      <c r="H116" s="172">
        <f t="shared" si="30"/>
        <v>3.4009504013847642E-3</v>
      </c>
      <c r="I116" s="337"/>
      <c r="J116" s="168"/>
      <c r="K116" s="168"/>
      <c r="M116" s="364">
        <f t="shared" si="31"/>
        <v>0.82044390651976573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490">
        <f>'[73]Sch C'!D118</f>
        <v>-200</v>
      </c>
      <c r="D117" s="490">
        <f>'[73]Sch C'!F118</f>
        <v>0</v>
      </c>
      <c r="E117" s="171">
        <f t="shared" si="29"/>
        <v>-200</v>
      </c>
      <c r="F117" s="418"/>
      <c r="G117" s="171">
        <f>E117+F117</f>
        <v>-200</v>
      </c>
      <c r="H117" s="172">
        <f t="shared" si="30"/>
        <v>-1.475626597845651E-5</v>
      </c>
      <c r="I117" s="337"/>
      <c r="J117" s="168"/>
      <c r="K117" s="168"/>
      <c r="M117" s="364">
        <f t="shared" si="31"/>
        <v>-3.5597956677286724E-3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490">
        <f>'[73]Sch C'!D119</f>
        <v>0</v>
      </c>
      <c r="D118" s="490">
        <f>'[73]Sch C'!F119</f>
        <v>0</v>
      </c>
      <c r="E118" s="171">
        <f t="shared" si="29"/>
        <v>0</v>
      </c>
      <c r="F118" s="418"/>
      <c r="G118" s="171">
        <f>E118+F118</f>
        <v>0</v>
      </c>
      <c r="H118" s="172">
        <f t="shared" si="30"/>
        <v>0</v>
      </c>
      <c r="I118" s="337"/>
      <c r="J118" s="168"/>
      <c r="K118" s="168"/>
      <c r="M118" s="364">
        <f t="shared" si="31"/>
        <v>0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490">
        <f>SUM(C114:C118)</f>
        <v>250232</v>
      </c>
      <c r="D119" s="490">
        <f>SUM(D114:D118)</f>
        <v>48035</v>
      </c>
      <c r="E119" s="171">
        <f t="shared" ref="E119:F119" si="32">SUM(E114:E118)</f>
        <v>298267</v>
      </c>
      <c r="F119" s="171">
        <f t="shared" si="32"/>
        <v>0</v>
      </c>
      <c r="G119" s="171">
        <f>SUM(G114:G118)</f>
        <v>298267</v>
      </c>
      <c r="H119" s="172">
        <f t="shared" si="30"/>
        <v>2.2006535922981438E-2</v>
      </c>
      <c r="I119" s="337"/>
      <c r="J119" s="168"/>
      <c r="K119" s="168"/>
      <c r="M119" s="364">
        <f t="shared" si="31"/>
        <v>5.3088478721321399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422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425"/>
      <c r="G121" s="165"/>
      <c r="H121" s="198"/>
      <c r="I121" s="341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425"/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490">
        <f>'[73]Sch C'!D124</f>
        <v>0</v>
      </c>
      <c r="D123" s="490">
        <f>'[73]Sch C'!F124</f>
        <v>0</v>
      </c>
      <c r="E123" s="171">
        <f t="shared" ref="E123:E127" si="33">C123+D123</f>
        <v>0</v>
      </c>
      <c r="F123" s="418"/>
      <c r="G123" s="171">
        <f>E123+F123</f>
        <v>0</v>
      </c>
      <c r="H123" s="172">
        <f>IF($G$208=0,0,G123/$G$208)</f>
        <v>0</v>
      </c>
      <c r="I123" s="337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0.77002560279620991</v>
      </c>
    </row>
    <row r="124" spans="1:14" s="167" customFormat="1">
      <c r="B124" s="163" t="s">
        <v>194</v>
      </c>
      <c r="C124" s="490">
        <f>'[73]Sch C'!D125</f>
        <v>211341</v>
      </c>
      <c r="D124" s="490">
        <f>'[73]Sch C'!F125</f>
        <v>15089</v>
      </c>
      <c r="E124" s="171">
        <f t="shared" si="33"/>
        <v>226430</v>
      </c>
      <c r="F124" s="418"/>
      <c r="G124" s="171">
        <f>E124+F124</f>
        <v>226430</v>
      </c>
      <c r="H124" s="172">
        <f>IF($G$208=0,0,G124/$G$208)</f>
        <v>1.670630652750954E-2</v>
      </c>
      <c r="I124" s="337"/>
      <c r="J124" s="183">
        <v>3805</v>
      </c>
      <c r="K124" s="183">
        <v>4077</v>
      </c>
      <c r="M124" s="364">
        <f t="shared" si="34"/>
        <v>4.0302226652190161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490">
        <f>'[73]Sch C'!D126</f>
        <v>156151</v>
      </c>
      <c r="D125" s="490">
        <f>'[73]Sch C'!F126</f>
        <v>11148</v>
      </c>
      <c r="E125" s="171">
        <f t="shared" si="33"/>
        <v>167299</v>
      </c>
      <c r="F125" s="418"/>
      <c r="G125" s="171">
        <f>E125+F125</f>
        <v>167299</v>
      </c>
      <c r="H125" s="172">
        <f>IF($G$208=0,0,G125/$G$208)</f>
        <v>1.2343542709648979E-2</v>
      </c>
      <c r="I125" s="337"/>
      <c r="J125" s="183">
        <v>3664</v>
      </c>
      <c r="K125" s="183">
        <v>3926</v>
      </c>
      <c r="M125" s="364">
        <f t="shared" si="34"/>
        <v>2.9777512770766958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490">
        <f>'[73]Sch C'!D127</f>
        <v>0</v>
      </c>
      <c r="D126" s="490">
        <f>'[73]Sch C'!F127</f>
        <v>0</v>
      </c>
      <c r="E126" s="171">
        <f t="shared" si="33"/>
        <v>0</v>
      </c>
      <c r="F126" s="418"/>
      <c r="G126" s="171">
        <f>E126+F126</f>
        <v>0</v>
      </c>
      <c r="H126" s="172">
        <f>IF($G$208=0,0,G126/$G$208)</f>
        <v>0</v>
      </c>
      <c r="I126" s="337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490">
        <f>'[73]Sch C'!D128</f>
        <v>203218</v>
      </c>
      <c r="D127" s="490">
        <f>'[73]Sch C'!F128</f>
        <v>14509</v>
      </c>
      <c r="E127" s="171">
        <f t="shared" si="33"/>
        <v>217727</v>
      </c>
      <c r="F127" s="418"/>
      <c r="G127" s="171">
        <f>E127+F127</f>
        <v>217727</v>
      </c>
      <c r="H127" s="172">
        <f>IF($G$208=0,0,G127/$G$208)</f>
        <v>1.6064187613457005E-2</v>
      </c>
      <c r="I127" s="337"/>
      <c r="J127" s="183">
        <v>4429</v>
      </c>
      <c r="K127" s="183">
        <v>4745</v>
      </c>
      <c r="M127" s="364">
        <f t="shared" si="34"/>
        <v>3.8753181567378032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422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490">
        <f>'[73]Sch C'!D130</f>
        <v>0</v>
      </c>
      <c r="D129" s="490">
        <f>'[73]Sch C'!F130</f>
        <v>0</v>
      </c>
      <c r="E129" s="171">
        <f t="shared" ref="E129:E133" si="35">C129+D129</f>
        <v>0</v>
      </c>
      <c r="F129" s="418"/>
      <c r="G129" s="171">
        <f>E129+F129</f>
        <v>0</v>
      </c>
      <c r="H129" s="172">
        <f>IF($G$208=0,0,G129/$G$208)</f>
        <v>0</v>
      </c>
      <c r="I129" s="337"/>
      <c r="J129" s="204"/>
      <c r="K129" s="204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490">
        <f>'[73]Sch C'!D131</f>
        <v>0</v>
      </c>
      <c r="D130" s="490">
        <f>'[73]Sch C'!F131</f>
        <v>34592</v>
      </c>
      <c r="E130" s="171">
        <f t="shared" si="35"/>
        <v>34592</v>
      </c>
      <c r="F130" s="418"/>
      <c r="G130" s="171">
        <f>E130+F130</f>
        <v>34592</v>
      </c>
      <c r="H130" s="172">
        <f>IF($G$208=0,0,G130/$G$208)</f>
        <v>2.5522437636338381E-3</v>
      </c>
      <c r="I130" s="337"/>
      <c r="J130" s="204"/>
      <c r="K130" s="204"/>
      <c r="M130" s="364">
        <f t="shared" si="34"/>
        <v>0.61570225869035122</v>
      </c>
      <c r="N130" s="359">
        <f>SUMMARY!J133</f>
        <v>1.0792348507966931</v>
      </c>
    </row>
    <row r="131" spans="1:14" s="167" customFormat="1">
      <c r="B131" s="163" t="s">
        <v>195</v>
      </c>
      <c r="C131" s="490">
        <f>'[73]Sch C'!D132</f>
        <v>0</v>
      </c>
      <c r="D131" s="490">
        <f>'[73]Sch C'!F132</f>
        <v>25558</v>
      </c>
      <c r="E131" s="171">
        <f t="shared" si="35"/>
        <v>25558</v>
      </c>
      <c r="F131" s="418"/>
      <c r="G131" s="171">
        <f>E131+F131</f>
        <v>25558</v>
      </c>
      <c r="H131" s="172">
        <f>IF($G$208=0,0,G131/$G$208)</f>
        <v>1.8857032293869574E-3</v>
      </c>
      <c r="I131" s="337"/>
      <c r="J131" s="168"/>
      <c r="K131" s="168"/>
      <c r="M131" s="364">
        <f t="shared" si="34"/>
        <v>0.45490628837904706</v>
      </c>
      <c r="N131" s="359">
        <f>SUMMARY!J134</f>
        <v>8.2765628075518377E-2</v>
      </c>
    </row>
    <row r="132" spans="1:14" s="167" customFormat="1">
      <c r="B132" s="163" t="s">
        <v>196</v>
      </c>
      <c r="C132" s="490">
        <f>'[73]Sch C'!D133</f>
        <v>0</v>
      </c>
      <c r="D132" s="490">
        <f>'[73]Sch C'!F133</f>
        <v>0</v>
      </c>
      <c r="E132" s="171">
        <f t="shared" si="35"/>
        <v>0</v>
      </c>
      <c r="F132" s="418"/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490">
        <f>'[73]Sch C'!D134</f>
        <v>0</v>
      </c>
      <c r="D133" s="490">
        <f>'[73]Sch C'!F134</f>
        <v>33262</v>
      </c>
      <c r="E133" s="171">
        <f t="shared" si="35"/>
        <v>33262</v>
      </c>
      <c r="F133" s="418"/>
      <c r="G133" s="171">
        <f>E133+F133</f>
        <v>33262</v>
      </c>
      <c r="H133" s="172">
        <f>IF($G$208=0,0,G133/$G$208)</f>
        <v>2.4541145948771023E-3</v>
      </c>
      <c r="I133" s="337"/>
      <c r="J133" s="168"/>
      <c r="K133" s="168"/>
      <c r="M133" s="364">
        <f t="shared" si="34"/>
        <v>0.59202961749995553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422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490">
        <f>'[73]Sch C'!D136</f>
        <v>1384216</v>
      </c>
      <c r="D135" s="490">
        <f>'[73]Sch C'!F136</f>
        <v>98825</v>
      </c>
      <c r="E135" s="171">
        <f t="shared" ref="E135:E138" si="36">C135+D135</f>
        <v>1483041</v>
      </c>
      <c r="F135" s="418"/>
      <c r="G135" s="171">
        <f>E135+F135</f>
        <v>1483041</v>
      </c>
      <c r="H135" s="172">
        <f>IF($G$208=0,0,G135/$G$208)</f>
        <v>0.1094207372647806</v>
      </c>
      <c r="I135" s="337"/>
      <c r="J135" s="183">
        <v>43248</v>
      </c>
      <c r="K135" s="183">
        <v>46336</v>
      </c>
      <c r="M135" s="364">
        <f t="shared" si="34"/>
        <v>26.396614634319992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490">
        <f>'[73]Sch C'!D137</f>
        <v>430066</v>
      </c>
      <c r="D136" s="490">
        <f>'[73]Sch C'!F137</f>
        <v>30704</v>
      </c>
      <c r="E136" s="171">
        <f t="shared" si="36"/>
        <v>460770</v>
      </c>
      <c r="F136" s="418"/>
      <c r="G136" s="171">
        <f>E136+F136</f>
        <v>460770</v>
      </c>
      <c r="H136" s="172">
        <f>IF($G$208=0,0,G136/$G$208)</f>
        <v>3.3996223374467033E-2</v>
      </c>
      <c r="I136" s="337"/>
      <c r="J136" s="183">
        <v>14885</v>
      </c>
      <c r="K136" s="183">
        <v>15948</v>
      </c>
      <c r="M136" s="364">
        <f t="shared" si="34"/>
        <v>8.2012352490967011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490">
        <f>'[73]Sch C'!D138</f>
        <v>1592046</v>
      </c>
      <c r="D137" s="490">
        <f>'[73]Sch C'!F138</f>
        <v>110959.7175</v>
      </c>
      <c r="E137" s="171">
        <f t="shared" si="36"/>
        <v>1703005.7175</v>
      </c>
      <c r="F137" s="418"/>
      <c r="G137" s="171">
        <f>E137+F137</f>
        <v>1703005.7175</v>
      </c>
      <c r="H137" s="172">
        <f>IF($G$208=0,0,G137/$G$208)</f>
        <v>0.12565002665131084</v>
      </c>
      <c r="I137" s="337"/>
      <c r="J137" s="183">
        <v>109829</v>
      </c>
      <c r="K137" s="183">
        <v>117670</v>
      </c>
      <c r="M137" s="364">
        <f t="shared" si="34"/>
        <v>30.311761876368298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490">
        <f>'[73]Sch C'!D139</f>
        <v>100391</v>
      </c>
      <c r="D138" s="490">
        <f>'[73]Sch C'!F139</f>
        <v>7167</v>
      </c>
      <c r="E138" s="171">
        <f t="shared" si="36"/>
        <v>107558</v>
      </c>
      <c r="F138" s="418"/>
      <c r="G138" s="171">
        <f>E138+F138</f>
        <v>107558</v>
      </c>
      <c r="H138" s="172">
        <f>IF($G$208=0,0,G138/$G$208)</f>
        <v>7.9357722805541275E-3</v>
      </c>
      <c r="I138" s="337"/>
      <c r="J138" s="183">
        <v>5628</v>
      </c>
      <c r="K138" s="183">
        <v>6030</v>
      </c>
      <c r="M138" s="364">
        <f t="shared" si="34"/>
        <v>1.9144225121478027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422"/>
      <c r="G139" s="196"/>
      <c r="H139" s="197"/>
      <c r="I139" s="337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490">
        <f>'[73]Sch C'!D141</f>
        <v>0</v>
      </c>
      <c r="D140" s="490">
        <f>'[73]Sch C'!F141</f>
        <v>226567</v>
      </c>
      <c r="E140" s="171">
        <f t="shared" ref="E140:E143" si="37">C140+D140</f>
        <v>226567</v>
      </c>
      <c r="F140" s="418"/>
      <c r="G140" s="171">
        <f>E140+F140</f>
        <v>226567</v>
      </c>
      <c r="H140" s="172">
        <f>IF($G$208=0,0,G140/$G$208)</f>
        <v>1.6716414569704782E-2</v>
      </c>
      <c r="I140" s="337"/>
      <c r="J140" s="168"/>
      <c r="K140" s="168"/>
      <c r="M140" s="364">
        <f t="shared" si="34"/>
        <v>4.0326611252514102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490">
        <f>'[73]Sch C'!D142</f>
        <v>0</v>
      </c>
      <c r="D141" s="490">
        <f>'[73]Sch C'!F142</f>
        <v>70392</v>
      </c>
      <c r="E141" s="171">
        <f t="shared" si="37"/>
        <v>70392</v>
      </c>
      <c r="F141" s="418"/>
      <c r="G141" s="171">
        <f>E141+F141</f>
        <v>70392</v>
      </c>
      <c r="H141" s="172">
        <f>IF($G$208=0,0,G141/$G$208)</f>
        <v>5.1936153737775536E-3</v>
      </c>
      <c r="I141" s="337"/>
      <c r="J141" s="168"/>
      <c r="K141" s="168"/>
      <c r="M141" s="364">
        <f t="shared" si="34"/>
        <v>1.2529056832137835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490">
        <f>'[73]Sch C'!D143</f>
        <v>0</v>
      </c>
      <c r="D142" s="490">
        <f>'[73]Sch C'!F143</f>
        <v>260215.00193875001</v>
      </c>
      <c r="E142" s="171">
        <f t="shared" si="37"/>
        <v>260215.00193875001</v>
      </c>
      <c r="F142" s="418"/>
      <c r="G142" s="171">
        <f>E142+F142</f>
        <v>260215.00193875001</v>
      </c>
      <c r="H142" s="172">
        <f>IF($G$208=0,0,G142/$G$208)</f>
        <v>1.9199008900963859E-2</v>
      </c>
      <c r="I142" s="337"/>
      <c r="J142" s="168"/>
      <c r="K142" s="168"/>
      <c r="M142" s="364">
        <f t="shared" si="34"/>
        <v>4.631561182897852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490">
        <f>'[73]Sch C'!D144</f>
        <v>0</v>
      </c>
      <c r="D143" s="490">
        <f>'[73]Sch C'!F144</f>
        <v>16432</v>
      </c>
      <c r="E143" s="171">
        <f t="shared" si="37"/>
        <v>16432</v>
      </c>
      <c r="F143" s="418"/>
      <c r="G143" s="171">
        <f>E143+F143</f>
        <v>16432</v>
      </c>
      <c r="H143" s="172">
        <f>IF($G$208=0,0,G143/$G$208)</f>
        <v>1.212374812789987E-3</v>
      </c>
      <c r="I143" s="337"/>
      <c r="J143" s="168"/>
      <c r="K143" s="168"/>
      <c r="M143" s="364">
        <f t="shared" si="34"/>
        <v>0.29247281206058773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422"/>
      <c r="G144" s="196"/>
      <c r="H144" s="197"/>
      <c r="I144" s="337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490">
        <f>'[73]Sch C'!D146</f>
        <v>100000</v>
      </c>
      <c r="D145" s="490">
        <f>'[73]Sch C'!F146</f>
        <v>0</v>
      </c>
      <c r="E145" s="171">
        <f t="shared" ref="E145:E153" si="38">C145+D145</f>
        <v>100000</v>
      </c>
      <c r="F145" s="418"/>
      <c r="G145" s="171">
        <f t="shared" ref="G145:G153" si="39">E145+F145</f>
        <v>100000</v>
      </c>
      <c r="H145" s="172">
        <f t="shared" ref="H145:H153" si="40">IF($G$208=0,0,G145/$G$208)</f>
        <v>7.3781329892282557E-3</v>
      </c>
      <c r="I145" s="337"/>
      <c r="J145" s="183">
        <v>0</v>
      </c>
      <c r="K145" s="183">
        <v>0</v>
      </c>
      <c r="M145" s="364">
        <f t="shared" si="34"/>
        <v>1.7798978338643361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490">
        <f>'[73]Sch C'!D147</f>
        <v>0</v>
      </c>
      <c r="D146" s="490">
        <f>'[73]Sch C'!F147</f>
        <v>0</v>
      </c>
      <c r="E146" s="171">
        <f t="shared" si="38"/>
        <v>0</v>
      </c>
      <c r="F146" s="418"/>
      <c r="G146" s="171">
        <f t="shared" si="39"/>
        <v>0</v>
      </c>
      <c r="H146" s="172">
        <f t="shared" si="40"/>
        <v>0</v>
      </c>
      <c r="I146" s="337"/>
      <c r="J146" s="183">
        <v>0</v>
      </c>
      <c r="K146" s="183">
        <v>0</v>
      </c>
      <c r="M146" s="364">
        <f t="shared" si="34"/>
        <v>0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490">
        <f>'[73]Sch C'!D148</f>
        <v>0</v>
      </c>
      <c r="D147" s="490">
        <f>'[73]Sch C'!F148</f>
        <v>0</v>
      </c>
      <c r="E147" s="171">
        <f t="shared" si="38"/>
        <v>0</v>
      </c>
      <c r="F147" s="418"/>
      <c r="G147" s="171">
        <f t="shared" si="39"/>
        <v>0</v>
      </c>
      <c r="H147" s="172">
        <f t="shared" si="40"/>
        <v>0</v>
      </c>
      <c r="I147" s="337"/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490">
        <f>'[73]Sch C'!D149</f>
        <v>1401</v>
      </c>
      <c r="D148" s="490">
        <f>'[73]Sch C'!F149</f>
        <v>0</v>
      </c>
      <c r="E148" s="171">
        <f t="shared" si="38"/>
        <v>1401</v>
      </c>
      <c r="F148" s="418"/>
      <c r="G148" s="171">
        <f t="shared" si="39"/>
        <v>1401</v>
      </c>
      <c r="H148" s="172">
        <f t="shared" si="40"/>
        <v>1.0336764317908786E-4</v>
      </c>
      <c r="I148" s="337"/>
      <c r="J148" s="183">
        <v>116.75</v>
      </c>
      <c r="K148" s="183">
        <v>116.75</v>
      </c>
      <c r="M148" s="364">
        <f t="shared" si="34"/>
        <v>2.4936368652439349E-2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490">
        <f>'[73]Sch C'!D150</f>
        <v>25195</v>
      </c>
      <c r="D149" s="490">
        <f>'[73]Sch C'!F150</f>
        <v>0</v>
      </c>
      <c r="E149" s="171">
        <f t="shared" si="38"/>
        <v>25195</v>
      </c>
      <c r="F149" s="418"/>
      <c r="G149" s="171">
        <f t="shared" si="39"/>
        <v>25195</v>
      </c>
      <c r="H149" s="172">
        <f t="shared" si="40"/>
        <v>1.8589206066360589E-3</v>
      </c>
      <c r="I149" s="337"/>
      <c r="J149" s="183">
        <v>0</v>
      </c>
      <c r="K149" s="183">
        <v>0</v>
      </c>
      <c r="M149" s="364">
        <f t="shared" si="34"/>
        <v>0.44844525924211948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490">
        <f>'[73]Sch C'!D151</f>
        <v>314018</v>
      </c>
      <c r="D150" s="490">
        <f>'[73]Sch C'!F151</f>
        <v>0</v>
      </c>
      <c r="E150" s="171">
        <f t="shared" si="38"/>
        <v>314018</v>
      </c>
      <c r="F150" s="418"/>
      <c r="G150" s="171">
        <f t="shared" si="39"/>
        <v>314018</v>
      </c>
      <c r="H150" s="172">
        <f t="shared" si="40"/>
        <v>2.3168665650114783E-2</v>
      </c>
      <c r="I150" s="337"/>
      <c r="J150" s="168"/>
      <c r="K150" s="168"/>
      <c r="M150" s="364">
        <f t="shared" si="34"/>
        <v>5.5891995799441112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490">
        <f>'[73]Sch C'!D152</f>
        <v>811</v>
      </c>
      <c r="D151" s="490">
        <f>'[73]Sch C'!F152</f>
        <v>0</v>
      </c>
      <c r="E151" s="171">
        <f t="shared" si="38"/>
        <v>811</v>
      </c>
      <c r="F151" s="418"/>
      <c r="G151" s="171">
        <f t="shared" si="39"/>
        <v>811</v>
      </c>
      <c r="H151" s="172">
        <f t="shared" si="40"/>
        <v>5.9836658542641149E-5</v>
      </c>
      <c r="I151" s="337"/>
      <c r="J151" s="168"/>
      <c r="K151" s="168"/>
      <c r="M151" s="364">
        <f t="shared" si="34"/>
        <v>1.4434971432639767E-2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490">
        <f>'[73]Sch C'!D153</f>
        <v>3142</v>
      </c>
      <c r="D152" s="490">
        <f>'[73]Sch C'!F153</f>
        <v>0</v>
      </c>
      <c r="E152" s="171">
        <f t="shared" si="38"/>
        <v>3142</v>
      </c>
      <c r="F152" s="418"/>
      <c r="G152" s="171">
        <f t="shared" si="39"/>
        <v>3142</v>
      </c>
      <c r="H152" s="172">
        <f t="shared" si="40"/>
        <v>2.3182093852155177E-4</v>
      </c>
      <c r="I152" s="337"/>
      <c r="J152" s="168"/>
      <c r="K152" s="168"/>
      <c r="M152" s="364">
        <f t="shared" si="34"/>
        <v>5.5924389940017444E-2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490">
        <f>'[73]Sch C'!D154</f>
        <v>0</v>
      </c>
      <c r="D153" s="490">
        <f>'[73]Sch C'!F154</f>
        <v>0</v>
      </c>
      <c r="E153" s="171">
        <f t="shared" si="38"/>
        <v>0</v>
      </c>
      <c r="F153" s="418"/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423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490">
        <f>'[73]Sch C'!D156</f>
        <v>0</v>
      </c>
      <c r="D155" s="490">
        <f>'[73]Sch C'!F156</f>
        <v>0</v>
      </c>
      <c r="E155" s="171">
        <f t="shared" ref="E155:E160" si="41">C155+D155</f>
        <v>0</v>
      </c>
      <c r="F155" s="418"/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490">
        <f>'[73]Sch C'!D157</f>
        <v>0</v>
      </c>
      <c r="D156" s="490">
        <f>'[73]Sch C'!F157</f>
        <v>0</v>
      </c>
      <c r="E156" s="171">
        <f t="shared" si="41"/>
        <v>0</v>
      </c>
      <c r="F156" s="418"/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490">
        <f>'[73]Sch C'!D158</f>
        <v>0</v>
      </c>
      <c r="D157" s="490">
        <f>'[73]Sch C'!F158</f>
        <v>0</v>
      </c>
      <c r="E157" s="171">
        <f t="shared" si="41"/>
        <v>0</v>
      </c>
      <c r="F157" s="418"/>
      <c r="G157" s="171">
        <f t="shared" si="42"/>
        <v>0</v>
      </c>
      <c r="H157" s="172">
        <f t="shared" si="43"/>
        <v>0</v>
      </c>
      <c r="I157" s="337"/>
      <c r="J157" s="168"/>
      <c r="K157" s="168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490">
        <f>'[73]Sch C'!D159</f>
        <v>0</v>
      </c>
      <c r="D158" s="490">
        <f>'[73]Sch C'!F159</f>
        <v>0</v>
      </c>
      <c r="E158" s="171">
        <f t="shared" si="41"/>
        <v>0</v>
      </c>
      <c r="F158" s="418"/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490">
        <f>'[73]Sch C'!D160</f>
        <v>0</v>
      </c>
      <c r="D159" s="490">
        <f>'[73]Sch C'!F160</f>
        <v>0</v>
      </c>
      <c r="E159" s="171">
        <f t="shared" si="41"/>
        <v>0</v>
      </c>
      <c r="F159" s="418"/>
      <c r="G159" s="171">
        <f t="shared" si="42"/>
        <v>0</v>
      </c>
      <c r="H159" s="172">
        <f>IF($G$208=0,0,G159/$G$208)</f>
        <v>0</v>
      </c>
      <c r="I159" s="337"/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490">
        <f>'[73]Sch C'!D161</f>
        <v>1275</v>
      </c>
      <c r="D160" s="490">
        <f>'[73]Sch C'!F161</f>
        <v>0</v>
      </c>
      <c r="E160" s="171">
        <f t="shared" si="41"/>
        <v>1275</v>
      </c>
      <c r="F160" s="418"/>
      <c r="G160" s="171">
        <f t="shared" si="42"/>
        <v>1275</v>
      </c>
      <c r="H160" s="172">
        <f t="shared" si="43"/>
        <v>9.4071195612660253E-5</v>
      </c>
      <c r="I160" s="337"/>
      <c r="J160" s="168"/>
      <c r="K160" s="168"/>
      <c r="M160" s="364">
        <f t="shared" si="34"/>
        <v>2.2693697381770288E-2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490">
        <f>SUM(C123:C160)</f>
        <v>4523271</v>
      </c>
      <c r="D161" s="490">
        <f>SUM(D123:D160)</f>
        <v>955419.71943875006</v>
      </c>
      <c r="E161" s="171">
        <f t="shared" ref="E161:F161" si="44">SUM(E123:E160)</f>
        <v>5478690.7194387503</v>
      </c>
      <c r="F161" s="171">
        <f t="shared" si="44"/>
        <v>0</v>
      </c>
      <c r="G161" s="171">
        <f>SUM(G123:G160)</f>
        <v>5478690.7194387503</v>
      </c>
      <c r="H161" s="172">
        <f t="shared" si="43"/>
        <v>0.40422508734869728</v>
      </c>
      <c r="I161" s="337"/>
      <c r="J161" s="168"/>
      <c r="K161" s="168"/>
      <c r="M161" s="364">
        <f>G161/G$228</f>
        <v>97.515097439416735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422"/>
      <c r="G162" s="196"/>
      <c r="H162" s="197"/>
      <c r="I162" s="337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437"/>
      <c r="G163" s="213"/>
      <c r="H163" s="214"/>
      <c r="I163" s="337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490">
        <f>'[73]Sch C'!D175</f>
        <v>0</v>
      </c>
      <c r="D164" s="490">
        <f>'[73]Sch C'!F175</f>
        <v>0</v>
      </c>
      <c r="E164" s="171">
        <f t="shared" ref="E164:E196" si="45">C164+D164</f>
        <v>0</v>
      </c>
      <c r="F164" s="424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490">
        <f>'[73]Sch C'!D176</f>
        <v>0</v>
      </c>
      <c r="D165" s="490">
        <f>'[73]Sch C'!F176</f>
        <v>0</v>
      </c>
      <c r="E165" s="171">
        <f t="shared" si="45"/>
        <v>0</v>
      </c>
      <c r="F165" s="424"/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490">
        <f>'[73]Sch C'!D177</f>
        <v>379532</v>
      </c>
      <c r="D166" s="490">
        <f>'[73]Sch C'!F177</f>
        <v>27096</v>
      </c>
      <c r="E166" s="171">
        <f t="shared" si="45"/>
        <v>406628</v>
      </c>
      <c r="F166" s="424"/>
      <c r="G166" s="171">
        <f t="shared" si="46"/>
        <v>406628</v>
      </c>
      <c r="H166" s="172">
        <f t="shared" si="47"/>
        <v>3.0001554611439069E-2</v>
      </c>
      <c r="I166" s="343"/>
      <c r="J166" s="217">
        <v>12287</v>
      </c>
      <c r="K166" s="217">
        <v>13164</v>
      </c>
      <c r="L166" s="218"/>
      <c r="M166" s="364">
        <f t="shared" si="48"/>
        <v>7.2375629638858729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490">
        <f>'[73]Sch C'!D178</f>
        <v>0</v>
      </c>
      <c r="D167" s="490">
        <f>'[73]Sch C'!F178</f>
        <v>62121</v>
      </c>
      <c r="E167" s="171">
        <f t="shared" si="45"/>
        <v>62121</v>
      </c>
      <c r="F167" s="424"/>
      <c r="G167" s="171">
        <f t="shared" si="46"/>
        <v>62121</v>
      </c>
      <c r="H167" s="172">
        <f t="shared" si="47"/>
        <v>4.5833699942384844E-3</v>
      </c>
      <c r="I167" s="344"/>
      <c r="J167" s="222"/>
      <c r="K167" s="222"/>
      <c r="L167" s="218"/>
      <c r="M167" s="364">
        <f t="shared" si="48"/>
        <v>1.1056903333748642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490">
        <f>'[73]Sch C'!D179</f>
        <v>119180</v>
      </c>
      <c r="D168" s="490">
        <f>'[73]Sch C'!F179</f>
        <v>8509</v>
      </c>
      <c r="E168" s="171">
        <f t="shared" si="45"/>
        <v>127689</v>
      </c>
      <c r="F168" s="424"/>
      <c r="G168" s="171">
        <f t="shared" si="46"/>
        <v>127689</v>
      </c>
      <c r="H168" s="172">
        <f t="shared" si="47"/>
        <v>9.4210642326156661E-3</v>
      </c>
      <c r="I168" s="343"/>
      <c r="J168" s="217">
        <v>2792</v>
      </c>
      <c r="K168" s="217">
        <v>2991</v>
      </c>
      <c r="L168" s="218"/>
      <c r="M168" s="364">
        <f t="shared" si="48"/>
        <v>2.2727337450830323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490">
        <f>'[73]Sch C'!D180</f>
        <v>0</v>
      </c>
      <c r="D169" s="490">
        <f>'[73]Sch C'!F180</f>
        <v>19507</v>
      </c>
      <c r="E169" s="171">
        <f t="shared" si="45"/>
        <v>19507</v>
      </c>
      <c r="F169" s="424"/>
      <c r="G169" s="171">
        <f t="shared" si="46"/>
        <v>19507</v>
      </c>
      <c r="H169" s="172">
        <f t="shared" si="47"/>
        <v>1.4392524022087557E-3</v>
      </c>
      <c r="I169" s="344"/>
      <c r="J169" s="222"/>
      <c r="K169" s="222"/>
      <c r="L169" s="218"/>
      <c r="M169" s="364">
        <f t="shared" si="48"/>
        <v>0.34720467045191605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490">
        <f>'[73]Sch C'!D181</f>
        <v>0</v>
      </c>
      <c r="D170" s="490">
        <f>'[73]Sch C'!F181</f>
        <v>0</v>
      </c>
      <c r="E170" s="171">
        <f t="shared" si="45"/>
        <v>0</v>
      </c>
      <c r="F170" s="424"/>
      <c r="G170" s="171">
        <f t="shared" si="46"/>
        <v>0</v>
      </c>
      <c r="H170" s="172">
        <f t="shared" si="47"/>
        <v>0</v>
      </c>
      <c r="I170" s="343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490">
        <f>'[73]Sch C'!D182</f>
        <v>0</v>
      </c>
      <c r="D171" s="490">
        <f>'[73]Sch C'!F182</f>
        <v>0</v>
      </c>
      <c r="E171" s="171">
        <f t="shared" si="45"/>
        <v>0</v>
      </c>
      <c r="F171" s="424"/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490">
        <f>'[73]Sch C'!D183</f>
        <v>217106</v>
      </c>
      <c r="D172" s="490">
        <f>'[73]Sch C'!F183</f>
        <v>15500</v>
      </c>
      <c r="E172" s="171">
        <f t="shared" si="45"/>
        <v>232606</v>
      </c>
      <c r="F172" s="424"/>
      <c r="G172" s="171">
        <f t="shared" si="46"/>
        <v>232606</v>
      </c>
      <c r="H172" s="172">
        <f t="shared" si="47"/>
        <v>1.7161980020924276E-2</v>
      </c>
      <c r="I172" s="343"/>
      <c r="J172" s="217">
        <v>6678</v>
      </c>
      <c r="K172" s="217">
        <v>7155</v>
      </c>
      <c r="L172" s="218"/>
      <c r="M172" s="364">
        <f t="shared" si="48"/>
        <v>4.1401491554384782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490">
        <f>'[73]Sch C'!D184</f>
        <v>0</v>
      </c>
      <c r="D173" s="490">
        <f>'[73]Sch C'!F184</f>
        <v>35536</v>
      </c>
      <c r="E173" s="171">
        <f t="shared" si="45"/>
        <v>35536</v>
      </c>
      <c r="F173" s="424"/>
      <c r="G173" s="171">
        <f t="shared" si="46"/>
        <v>35536</v>
      </c>
      <c r="H173" s="172">
        <f t="shared" si="47"/>
        <v>2.6218933390521528E-3</v>
      </c>
      <c r="I173" s="344"/>
      <c r="J173" s="222"/>
      <c r="K173" s="222"/>
      <c r="L173" s="218"/>
      <c r="M173" s="364">
        <f t="shared" si="48"/>
        <v>0.63250449424203048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490">
        <f>'[73]Sch C'!D185</f>
        <v>0</v>
      </c>
      <c r="D174" s="490">
        <f>'[73]Sch C'!F185</f>
        <v>0</v>
      </c>
      <c r="E174" s="171">
        <f t="shared" si="45"/>
        <v>0</v>
      </c>
      <c r="F174" s="424"/>
      <c r="G174" s="171">
        <f t="shared" si="46"/>
        <v>0</v>
      </c>
      <c r="H174" s="172">
        <f t="shared" si="47"/>
        <v>0</v>
      </c>
      <c r="I174" s="343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490">
        <f>'[73]Sch C'!D186</f>
        <v>0</v>
      </c>
      <c r="D175" s="490">
        <f>'[73]Sch C'!F186</f>
        <v>0</v>
      </c>
      <c r="E175" s="171">
        <f t="shared" si="45"/>
        <v>0</v>
      </c>
      <c r="F175" s="424"/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490">
        <f>'[73]Sch C'!D187</f>
        <v>0</v>
      </c>
      <c r="D176" s="490">
        <f>'[73]Sch C'!F187</f>
        <v>0</v>
      </c>
      <c r="E176" s="171">
        <f t="shared" si="45"/>
        <v>0</v>
      </c>
      <c r="F176" s="424"/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490">
        <f>'[73]Sch C'!D188</f>
        <v>2942</v>
      </c>
      <c r="D177" s="490">
        <f>'[73]Sch C'!F188</f>
        <v>0</v>
      </c>
      <c r="E177" s="171">
        <f t="shared" si="45"/>
        <v>2942</v>
      </c>
      <c r="F177" s="424"/>
      <c r="G177" s="171">
        <f t="shared" si="46"/>
        <v>2942</v>
      </c>
      <c r="H177" s="172">
        <f t="shared" si="47"/>
        <v>2.1706467254309526E-4</v>
      </c>
      <c r="I177" s="337"/>
      <c r="J177" s="223"/>
      <c r="K177" s="218"/>
      <c r="L177" s="220"/>
      <c r="M177" s="364">
        <f t="shared" si="48"/>
        <v>5.2364594272288768E-2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490">
        <f>'[73]Sch C'!D189</f>
        <v>0</v>
      </c>
      <c r="D178" s="490">
        <f>'[73]Sch C'!F189</f>
        <v>0</v>
      </c>
      <c r="E178" s="171">
        <f t="shared" si="45"/>
        <v>0</v>
      </c>
      <c r="F178" s="424"/>
      <c r="G178" s="171">
        <f t="shared" si="46"/>
        <v>0</v>
      </c>
      <c r="H178" s="172">
        <f t="shared" si="47"/>
        <v>0</v>
      </c>
      <c r="I178" s="337"/>
      <c r="J178" s="223"/>
      <c r="K178" s="218"/>
      <c r="L178" s="220"/>
      <c r="M178" s="364">
        <f t="shared" si="48"/>
        <v>0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490">
        <f>'[73]Sch C'!D190</f>
        <v>0</v>
      </c>
      <c r="D179" s="490">
        <f>'[73]Sch C'!F190</f>
        <v>0</v>
      </c>
      <c r="E179" s="171">
        <f t="shared" si="45"/>
        <v>0</v>
      </c>
      <c r="F179" s="424"/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490">
        <f>'[73]Sch C'!D191</f>
        <v>0</v>
      </c>
      <c r="D180" s="490">
        <f>'[73]Sch C'!F191</f>
        <v>0</v>
      </c>
      <c r="E180" s="171">
        <f t="shared" si="45"/>
        <v>0</v>
      </c>
      <c r="F180" s="424"/>
      <c r="G180" s="171">
        <f t="shared" si="46"/>
        <v>0</v>
      </c>
      <c r="H180" s="172">
        <f t="shared" si="47"/>
        <v>0</v>
      </c>
      <c r="I180" s="337"/>
      <c r="J180" s="223"/>
      <c r="K180" s="218"/>
      <c r="L180" s="220"/>
      <c r="M180" s="364">
        <f t="shared" si="48"/>
        <v>0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490">
        <f>'[73]Sch C'!D192</f>
        <v>0</v>
      </c>
      <c r="D181" s="490">
        <f>'[73]Sch C'!F192</f>
        <v>0</v>
      </c>
      <c r="E181" s="171">
        <f t="shared" si="45"/>
        <v>0</v>
      </c>
      <c r="F181" s="424"/>
      <c r="G181" s="171">
        <f t="shared" si="46"/>
        <v>0</v>
      </c>
      <c r="H181" s="172">
        <f t="shared" si="47"/>
        <v>0</v>
      </c>
      <c r="I181" s="337"/>
      <c r="J181" s="223"/>
      <c r="K181" s="218"/>
      <c r="L181" s="220"/>
      <c r="M181" s="364">
        <f t="shared" si="48"/>
        <v>0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490">
        <f>'[73]Sch C'!D193</f>
        <v>0</v>
      </c>
      <c r="D182" s="490">
        <f>'[73]Sch C'!F193</f>
        <v>0</v>
      </c>
      <c r="E182" s="171">
        <f t="shared" si="45"/>
        <v>0</v>
      </c>
      <c r="F182" s="424"/>
      <c r="G182" s="171">
        <f t="shared" si="46"/>
        <v>0</v>
      </c>
      <c r="H182" s="172">
        <f t="shared" si="47"/>
        <v>0</v>
      </c>
      <c r="I182" s="337"/>
      <c r="J182" s="223"/>
      <c r="K182" s="218"/>
      <c r="L182" s="220"/>
      <c r="M182" s="364">
        <f t="shared" si="48"/>
        <v>0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490">
        <f>'[73]Sch C'!D194</f>
        <v>0</v>
      </c>
      <c r="D183" s="490">
        <f>'[73]Sch C'!F194</f>
        <v>0</v>
      </c>
      <c r="E183" s="171">
        <f t="shared" si="45"/>
        <v>0</v>
      </c>
      <c r="F183" s="424"/>
      <c r="G183" s="171">
        <f t="shared" si="46"/>
        <v>0</v>
      </c>
      <c r="H183" s="172">
        <f t="shared" si="47"/>
        <v>0</v>
      </c>
      <c r="I183" s="337"/>
      <c r="J183" s="223"/>
      <c r="K183" s="218"/>
      <c r="M183" s="364">
        <f t="shared" si="48"/>
        <v>0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490">
        <f>'[73]Sch C'!D195</f>
        <v>13971</v>
      </c>
      <c r="D184" s="490">
        <f>'[73]Sch C'!F195</f>
        <v>0</v>
      </c>
      <c r="E184" s="171">
        <f t="shared" si="45"/>
        <v>13971</v>
      </c>
      <c r="F184" s="424"/>
      <c r="G184" s="171">
        <f t="shared" si="46"/>
        <v>13971</v>
      </c>
      <c r="H184" s="172">
        <f t="shared" si="47"/>
        <v>1.0307989599250796E-3</v>
      </c>
      <c r="I184" s="337"/>
      <c r="J184" s="223"/>
      <c r="K184" s="218"/>
      <c r="M184" s="364">
        <f t="shared" si="48"/>
        <v>0.24866952636918641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490">
        <f>'[73]Sch C'!D196</f>
        <v>0</v>
      </c>
      <c r="D185" s="490">
        <f>'[73]Sch C'!F196</f>
        <v>0</v>
      </c>
      <c r="E185" s="171">
        <f t="shared" si="45"/>
        <v>0</v>
      </c>
      <c r="F185" s="424"/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490">
        <f>'[73]Sch C'!D197</f>
        <v>199</v>
      </c>
      <c r="D186" s="490">
        <f>'[73]Sch C'!F197</f>
        <v>0</v>
      </c>
      <c r="E186" s="171">
        <f t="shared" si="45"/>
        <v>199</v>
      </c>
      <c r="F186" s="424"/>
      <c r="G186" s="171">
        <f t="shared" si="46"/>
        <v>199</v>
      </c>
      <c r="H186" s="172">
        <f t="shared" si="47"/>
        <v>1.4682484648564229E-5</v>
      </c>
      <c r="I186" s="337"/>
      <c r="J186" s="223"/>
      <c r="K186" s="218"/>
      <c r="M186" s="364">
        <f t="shared" si="48"/>
        <v>3.541996689390029E-3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490">
        <f>'[73]Sch C'!D198</f>
        <v>83574</v>
      </c>
      <c r="D187" s="490">
        <f>'[73]Sch C'!F198</f>
        <v>0</v>
      </c>
      <c r="E187" s="171">
        <f t="shared" si="45"/>
        <v>83574</v>
      </c>
      <c r="F187" s="424"/>
      <c r="G187" s="171">
        <f t="shared" si="46"/>
        <v>83574</v>
      </c>
      <c r="H187" s="172">
        <f t="shared" si="47"/>
        <v>6.1662008644176218E-3</v>
      </c>
      <c r="I187" s="337"/>
      <c r="J187" s="223"/>
      <c r="K187" s="218"/>
      <c r="M187" s="364">
        <f t="shared" si="48"/>
        <v>1.4875318156737802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490">
        <f>'[73]Sch C'!D199</f>
        <v>319899</v>
      </c>
      <c r="D188" s="490">
        <f>'[73]Sch C'!F199</f>
        <v>0</v>
      </c>
      <c r="E188" s="171">
        <f t="shared" si="45"/>
        <v>319899</v>
      </c>
      <c r="F188" s="424"/>
      <c r="G188" s="171">
        <f t="shared" si="46"/>
        <v>319899</v>
      </c>
      <c r="H188" s="172">
        <f t="shared" si="47"/>
        <v>2.3602573651211295E-2</v>
      </c>
      <c r="I188" s="337"/>
      <c r="J188" s="223"/>
      <c r="K188" s="218"/>
      <c r="M188" s="364">
        <f t="shared" si="48"/>
        <v>5.6938753715536725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490">
        <f>'[73]Sch C'!D200</f>
        <v>0</v>
      </c>
      <c r="D189" s="490">
        <f>'[73]Sch C'!F200</f>
        <v>0</v>
      </c>
      <c r="E189" s="171">
        <f t="shared" si="45"/>
        <v>0</v>
      </c>
      <c r="F189" s="424"/>
      <c r="G189" s="171">
        <f t="shared" si="46"/>
        <v>0</v>
      </c>
      <c r="H189" s="172">
        <f t="shared" si="47"/>
        <v>0</v>
      </c>
      <c r="I189" s="337"/>
      <c r="J189" s="223"/>
      <c r="K189" s="218"/>
      <c r="M189" s="364">
        <f t="shared" si="48"/>
        <v>0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490">
        <f>'[73]Sch C'!D201</f>
        <v>0</v>
      </c>
      <c r="D190" s="490">
        <f>'[73]Sch C'!F201</f>
        <v>0</v>
      </c>
      <c r="E190" s="171">
        <f t="shared" si="45"/>
        <v>0</v>
      </c>
      <c r="F190" s="424"/>
      <c r="G190" s="171">
        <f t="shared" si="46"/>
        <v>0</v>
      </c>
      <c r="H190" s="172">
        <f t="shared" si="47"/>
        <v>0</v>
      </c>
      <c r="I190" s="337"/>
      <c r="J190" s="223"/>
      <c r="K190" s="218"/>
      <c r="M190" s="364">
        <f t="shared" si="48"/>
        <v>0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490">
        <f>'[73]Sch C'!D202</f>
        <v>0</v>
      </c>
      <c r="D191" s="490">
        <f>'[73]Sch C'!F202</f>
        <v>0</v>
      </c>
      <c r="E191" s="171">
        <f t="shared" si="45"/>
        <v>0</v>
      </c>
      <c r="F191" s="424"/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490">
        <f>'[73]Sch C'!D203</f>
        <v>0</v>
      </c>
      <c r="D192" s="490">
        <f>'[73]Sch C'!F203</f>
        <v>0</v>
      </c>
      <c r="E192" s="171">
        <f t="shared" si="45"/>
        <v>0</v>
      </c>
      <c r="F192" s="424"/>
      <c r="G192" s="171">
        <f t="shared" si="46"/>
        <v>0</v>
      </c>
      <c r="H192" s="172">
        <f t="shared" si="47"/>
        <v>0</v>
      </c>
      <c r="I192" s="337"/>
      <c r="J192" s="223"/>
      <c r="K192" s="218"/>
      <c r="M192" s="364">
        <f t="shared" si="48"/>
        <v>0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490">
        <f>'[73]Sch C'!D204</f>
        <v>0</v>
      </c>
      <c r="D193" s="490">
        <f>'[73]Sch C'!F204</f>
        <v>0</v>
      </c>
      <c r="E193" s="171">
        <f t="shared" si="45"/>
        <v>0</v>
      </c>
      <c r="F193" s="424"/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490">
        <f>'[73]Sch C'!D205</f>
        <v>366217</v>
      </c>
      <c r="D194" s="490">
        <f>'[73]Sch C'!F205</f>
        <v>0</v>
      </c>
      <c r="E194" s="171">
        <f t="shared" si="45"/>
        <v>366217</v>
      </c>
      <c r="F194" s="424"/>
      <c r="G194" s="171">
        <f t="shared" si="46"/>
        <v>366217</v>
      </c>
      <c r="H194" s="172">
        <f t="shared" si="47"/>
        <v>2.7019977289162039E-2</v>
      </c>
      <c r="I194" s="337"/>
      <c r="J194" s="223"/>
      <c r="K194" s="218"/>
      <c r="M194" s="364">
        <f t="shared" si="48"/>
        <v>6.5182884502429559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490">
        <f>'[73]Sch C'!D206</f>
        <v>40531</v>
      </c>
      <c r="D195" s="490">
        <f>'[73]Sch C'!F206</f>
        <v>0</v>
      </c>
      <c r="E195" s="171">
        <f t="shared" si="45"/>
        <v>40531</v>
      </c>
      <c r="F195" s="424"/>
      <c r="G195" s="171">
        <f t="shared" si="46"/>
        <v>40531</v>
      </c>
      <c r="H195" s="172">
        <f t="shared" si="47"/>
        <v>2.990431081864104E-3</v>
      </c>
      <c r="I195" s="337"/>
      <c r="J195" s="223"/>
      <c r="K195" s="218"/>
      <c r="M195" s="364">
        <f t="shared" si="48"/>
        <v>0.72141039104355409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490">
        <f>'[73]Sch C'!D207</f>
        <v>49691</v>
      </c>
      <c r="D196" s="490">
        <f>'[73]Sch C'!F207</f>
        <v>0</v>
      </c>
      <c r="E196" s="171">
        <f t="shared" si="45"/>
        <v>49691</v>
      </c>
      <c r="F196" s="424"/>
      <c r="G196" s="171">
        <f t="shared" si="46"/>
        <v>49691</v>
      </c>
      <c r="H196" s="172">
        <f t="shared" si="47"/>
        <v>3.6662680636774122E-3</v>
      </c>
      <c r="I196" s="337"/>
      <c r="J196" s="223"/>
      <c r="K196" s="218"/>
      <c r="M196" s="364">
        <f t="shared" si="48"/>
        <v>0.88444903262552732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490">
        <f>SUM(C164:C196)</f>
        <v>1592842</v>
      </c>
      <c r="D197" s="490">
        <f>SUM(D164:D196)</f>
        <v>168269</v>
      </c>
      <c r="E197" s="171">
        <f t="shared" ref="E197:F197" si="49">SUM(E164:E196)</f>
        <v>1761111</v>
      </c>
      <c r="F197" s="171">
        <f t="shared" si="49"/>
        <v>0</v>
      </c>
      <c r="G197" s="171">
        <f>SUM(G164:G196)</f>
        <v>1761111</v>
      </c>
      <c r="H197" s="172">
        <f>IF($G$208=0,0,G197/$G$208)</f>
        <v>0.12993711166792762</v>
      </c>
      <c r="I197" s="337"/>
      <c r="J197" s="168"/>
      <c r="K197" s="168"/>
      <c r="M197" s="364">
        <f>G197/G$228</f>
        <v>31.345976540946548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425"/>
      <c r="G198" s="165"/>
      <c r="H198" s="198"/>
      <c r="I198" s="341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425"/>
      <c r="G199" s="165"/>
      <c r="H199" s="198"/>
      <c r="I199" s="341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490">
        <f>'[73]Sch C'!D211</f>
        <v>195660</v>
      </c>
      <c r="D200" s="490">
        <f>'[73]Sch C'!F211</f>
        <v>13969</v>
      </c>
      <c r="E200" s="171">
        <f t="shared" ref="E200:E205" si="50">C200+D200</f>
        <v>209629</v>
      </c>
      <c r="F200" s="418"/>
      <c r="G200" s="171">
        <f t="shared" ref="G200:G205" si="51">E200+F200</f>
        <v>209629</v>
      </c>
      <c r="H200" s="172">
        <f t="shared" ref="H200:H206" si="52">IF($G$208=0,0,G200/$G$208)</f>
        <v>1.5466706403989299E-2</v>
      </c>
      <c r="I200" s="337"/>
      <c r="J200" s="183">
        <v>12570</v>
      </c>
      <c r="K200" s="183">
        <v>13467</v>
      </c>
      <c r="M200" s="364">
        <f t="shared" ref="M200:M205" si="53">G200/G$228</f>
        <v>3.7311820301514693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490">
        <f>'[73]Sch C'!D212</f>
        <v>0</v>
      </c>
      <c r="D201" s="490">
        <f>'[73]Sch C'!F212</f>
        <v>32025</v>
      </c>
      <c r="E201" s="171">
        <f t="shared" si="50"/>
        <v>32025</v>
      </c>
      <c r="F201" s="418"/>
      <c r="G201" s="171">
        <f t="shared" si="51"/>
        <v>32025</v>
      </c>
      <c r="H201" s="172">
        <f t="shared" si="52"/>
        <v>2.362847089800349E-3</v>
      </c>
      <c r="I201" s="337"/>
      <c r="J201" s="168"/>
      <c r="K201" s="168"/>
      <c r="M201" s="364">
        <f t="shared" si="53"/>
        <v>0.57001228129505366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490">
        <f>'[73]Sch C'!D213</f>
        <v>9252</v>
      </c>
      <c r="D202" s="490">
        <f>'[73]Sch C'!F213</f>
        <v>0</v>
      </c>
      <c r="E202" s="171">
        <f t="shared" si="50"/>
        <v>9252</v>
      </c>
      <c r="F202" s="418"/>
      <c r="G202" s="171">
        <f t="shared" si="51"/>
        <v>9252</v>
      </c>
      <c r="H202" s="172">
        <f t="shared" si="52"/>
        <v>6.8262486416339823E-4</v>
      </c>
      <c r="I202" s="337"/>
      <c r="J202" s="168"/>
      <c r="K202" s="168"/>
      <c r="M202" s="364">
        <f t="shared" si="53"/>
        <v>0.16467614758912838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490">
        <f>'[73]Sch C'!D214</f>
        <v>0</v>
      </c>
      <c r="D203" s="490">
        <f>'[73]Sch C'!F214</f>
        <v>0</v>
      </c>
      <c r="E203" s="171">
        <f t="shared" si="50"/>
        <v>0</v>
      </c>
      <c r="F203" s="418"/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>
        <f t="shared" si="53"/>
        <v>0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490">
        <f>'[73]Sch C'!D215</f>
        <v>0</v>
      </c>
      <c r="D204" s="490">
        <f>'[73]Sch C'!F215</f>
        <v>0</v>
      </c>
      <c r="E204" s="171">
        <f t="shared" si="50"/>
        <v>0</v>
      </c>
      <c r="F204" s="418"/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490">
        <f>'[73]Sch C'!D216</f>
        <v>10730</v>
      </c>
      <c r="D205" s="490">
        <f>'[73]Sch C'!F216</f>
        <v>0</v>
      </c>
      <c r="E205" s="171">
        <f t="shared" si="50"/>
        <v>10730</v>
      </c>
      <c r="F205" s="418"/>
      <c r="G205" s="171">
        <f t="shared" si="51"/>
        <v>10730</v>
      </c>
      <c r="H205" s="172">
        <f t="shared" si="52"/>
        <v>7.9167366974419175E-4</v>
      </c>
      <c r="I205" s="337"/>
      <c r="J205" s="168"/>
      <c r="K205" s="168"/>
      <c r="M205" s="364">
        <f t="shared" si="53"/>
        <v>0.19098303757364327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490">
        <f>SUM(C200:C205)</f>
        <v>215642</v>
      </c>
      <c r="D206" s="490">
        <f>SUM(D200:D205)</f>
        <v>45994</v>
      </c>
      <c r="E206" s="171">
        <f t="shared" ref="E206:F206" si="54">SUM(E200:E205)</f>
        <v>261636</v>
      </c>
      <c r="F206" s="171">
        <f t="shared" si="54"/>
        <v>0</v>
      </c>
      <c r="G206" s="171">
        <f>SUM(G200:G205)</f>
        <v>261636</v>
      </c>
      <c r="H206" s="172">
        <f t="shared" si="52"/>
        <v>1.9303852027697237E-2</v>
      </c>
      <c r="I206" s="337"/>
      <c r="J206" s="168"/>
      <c r="K206" s="168"/>
      <c r="M206" s="364">
        <f>G206/G$228</f>
        <v>4.6568534966092949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425"/>
      <c r="G207" s="165"/>
      <c r="H207" s="198"/>
      <c r="I207" s="341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490">
        <f>SUM(C25:C206)/2</f>
        <v>13477159</v>
      </c>
      <c r="D208" s="490">
        <f>SUM(D25:D206)/2</f>
        <v>76405.31579581555</v>
      </c>
      <c r="E208" s="171">
        <f t="shared" ref="E208:F208" si="55">SUM(E25:E206)/2</f>
        <v>13553564.315795816</v>
      </c>
      <c r="F208" s="171">
        <f t="shared" si="55"/>
        <v>0</v>
      </c>
      <c r="G208" s="171">
        <f>SUM(G25:G206)/2</f>
        <v>13553564.315795816</v>
      </c>
      <c r="H208" s="172">
        <f>IF($G$208=0,0,G208/$G$208)</f>
        <v>1</v>
      </c>
      <c r="I208" s="337"/>
      <c r="J208" s="183">
        <f>SUM(J25:J200)</f>
        <v>297180.75</v>
      </c>
      <c r="K208" s="183">
        <f>SUM(K25:K200)</f>
        <v>318389.75</v>
      </c>
      <c r="M208" s="364">
        <f>G208/G$228</f>
        <v>241.23959766825936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490">
        <f>'[73]Sch C'!D221</f>
        <v>13477159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490">
        <f>C208-C211</f>
        <v>0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619"/>
      <c r="D213" s="232"/>
      <c r="E213" s="232"/>
      <c r="F213" s="426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42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490">
        <f>C21-C208</f>
        <v>1046036</v>
      </c>
      <c r="D215" s="490">
        <f>D21-D208</f>
        <v>-76405.31579581555</v>
      </c>
      <c r="E215" s="171">
        <f t="shared" ref="E215:F215" si="56">E21-E208</f>
        <v>969630.68420418352</v>
      </c>
      <c r="F215" s="171">
        <f t="shared" si="56"/>
        <v>0</v>
      </c>
      <c r="G215" s="171">
        <f>G21-G208</f>
        <v>969630.68420418352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422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422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42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491">
        <f>'[73]Sch D'!C9</f>
        <v>36432</v>
      </c>
      <c r="D219" s="491"/>
      <c r="E219" s="235">
        <f t="shared" ref="E219:G227" si="57">C219+D219</f>
        <v>36432</v>
      </c>
      <c r="F219" s="427"/>
      <c r="G219" s="235">
        <f t="shared" si="57"/>
        <v>36432</v>
      </c>
      <c r="H219" s="172">
        <f>IF($G$228=0,0,G219/$G$228)</f>
        <v>0.64845237883345497</v>
      </c>
      <c r="I219" s="337"/>
      <c r="J219" s="168"/>
      <c r="K219" s="168"/>
    </row>
    <row r="220" spans="1:14">
      <c r="A220" s="163"/>
      <c r="B220" s="170" t="s">
        <v>217</v>
      </c>
      <c r="C220" s="491">
        <f>'[73]Sch D'!D9</f>
        <v>0</v>
      </c>
      <c r="D220" s="491"/>
      <c r="E220" s="235">
        <f t="shared" ref="E220:E227" si="58">C220+D220</f>
        <v>0</v>
      </c>
      <c r="F220" s="427"/>
      <c r="G220" s="235">
        <f t="shared" si="57"/>
        <v>0</v>
      </c>
      <c r="H220" s="172">
        <f t="shared" ref="H220:H228" si="59">IF($G$228=0,0,G220/$G$228)</f>
        <v>0</v>
      </c>
      <c r="I220" s="337"/>
      <c r="J220" s="168"/>
      <c r="K220" s="168"/>
    </row>
    <row r="221" spans="1:14">
      <c r="A221" s="163"/>
      <c r="B221" s="170" t="s">
        <v>72</v>
      </c>
      <c r="C221" s="491">
        <f>'[73]Sch D'!E9</f>
        <v>5376</v>
      </c>
      <c r="D221" s="491"/>
      <c r="E221" s="235">
        <f t="shared" si="58"/>
        <v>5376</v>
      </c>
      <c r="F221" s="427"/>
      <c r="G221" s="235">
        <f t="shared" si="57"/>
        <v>5376</v>
      </c>
      <c r="H221" s="172">
        <f t="shared" si="59"/>
        <v>9.5687307548546707E-2</v>
      </c>
      <c r="I221" s="337"/>
      <c r="J221" s="168"/>
      <c r="K221" s="168"/>
    </row>
    <row r="222" spans="1:14">
      <c r="A222" s="163"/>
      <c r="B222" s="202" t="s">
        <v>334</v>
      </c>
      <c r="C222" s="491">
        <f>'[73]Sch D'!F9</f>
        <v>3620</v>
      </c>
      <c r="D222" s="491"/>
      <c r="E222" s="235">
        <f>C222+D222</f>
        <v>3620</v>
      </c>
      <c r="F222" s="427"/>
      <c r="G222" s="235">
        <f>E222+F222</f>
        <v>3620</v>
      </c>
      <c r="H222" s="172">
        <f t="shared" si="59"/>
        <v>6.4432301585888974E-2</v>
      </c>
      <c r="I222" s="337"/>
      <c r="J222" s="168"/>
      <c r="K222" s="168"/>
    </row>
    <row r="223" spans="1:14">
      <c r="A223" s="163"/>
      <c r="B223" s="170" t="s">
        <v>73</v>
      </c>
      <c r="C223" s="491">
        <f>'[73]Sch D'!G9</f>
        <v>100</v>
      </c>
      <c r="D223" s="491"/>
      <c r="E223" s="235">
        <f t="shared" si="58"/>
        <v>100</v>
      </c>
      <c r="F223" s="427"/>
      <c r="G223" s="235">
        <f t="shared" si="57"/>
        <v>100</v>
      </c>
      <c r="H223" s="172">
        <f t="shared" si="59"/>
        <v>1.7798978338643362E-3</v>
      </c>
      <c r="I223" s="337"/>
      <c r="J223" s="168"/>
      <c r="K223" s="168"/>
    </row>
    <row r="224" spans="1:14">
      <c r="A224" s="163"/>
      <c r="B224" s="170" t="s">
        <v>74</v>
      </c>
      <c r="C224" s="491">
        <f>'[73]Sch D'!H9</f>
        <v>6486</v>
      </c>
      <c r="D224" s="491"/>
      <c r="E224" s="235">
        <f t="shared" si="58"/>
        <v>6486</v>
      </c>
      <c r="F224" s="427"/>
      <c r="G224" s="235">
        <f t="shared" si="57"/>
        <v>6486</v>
      </c>
      <c r="H224" s="172">
        <f t="shared" si="59"/>
        <v>0.11544417350444085</v>
      </c>
      <c r="I224" s="337"/>
      <c r="J224" s="168"/>
      <c r="K224" s="168"/>
    </row>
    <row r="225" spans="1:11">
      <c r="A225" s="163"/>
      <c r="B225" s="170" t="s">
        <v>236</v>
      </c>
      <c r="C225" s="491">
        <f>'[73]Sch D'!I9</f>
        <v>0</v>
      </c>
      <c r="D225" s="491"/>
      <c r="E225" s="235">
        <f t="shared" si="58"/>
        <v>0</v>
      </c>
      <c r="F225" s="427"/>
      <c r="G225" s="235">
        <f t="shared" si="57"/>
        <v>0</v>
      </c>
      <c r="H225" s="172">
        <f t="shared" si="59"/>
        <v>0</v>
      </c>
      <c r="I225" s="337"/>
      <c r="J225" s="168"/>
      <c r="K225" s="168"/>
    </row>
    <row r="226" spans="1:11">
      <c r="A226" s="163"/>
      <c r="B226" s="170" t="s">
        <v>235</v>
      </c>
      <c r="C226" s="491">
        <f>'[73]Sch D'!J9</f>
        <v>4163</v>
      </c>
      <c r="D226" s="491"/>
      <c r="E226" s="235">
        <f>C226+D226</f>
        <v>4163</v>
      </c>
      <c r="F226" s="427"/>
      <c r="G226" s="235">
        <f>E226+F226</f>
        <v>4163</v>
      </c>
      <c r="H226" s="172">
        <f t="shared" si="59"/>
        <v>7.4097146823772317E-2</v>
      </c>
      <c r="I226" s="337"/>
      <c r="J226" s="168"/>
      <c r="K226" s="168"/>
    </row>
    <row r="227" spans="1:11">
      <c r="A227" s="163"/>
      <c r="B227" s="170" t="s">
        <v>179</v>
      </c>
      <c r="C227" s="491">
        <f>'[73]Sch D'!K9</f>
        <v>6</v>
      </c>
      <c r="D227" s="491"/>
      <c r="E227" s="235">
        <f t="shared" si="58"/>
        <v>6</v>
      </c>
      <c r="F227" s="427"/>
      <c r="G227" s="235">
        <f t="shared" si="57"/>
        <v>6</v>
      </c>
      <c r="H227" s="172">
        <f t="shared" si="59"/>
        <v>1.0679387003186017E-4</v>
      </c>
      <c r="I227" s="337"/>
      <c r="J227" s="168"/>
      <c r="K227" s="168"/>
    </row>
    <row r="228" spans="1:11" ht="13.5" thickBot="1">
      <c r="A228" s="163"/>
      <c r="B228" s="236" t="s">
        <v>75</v>
      </c>
      <c r="C228" s="491">
        <f>SUM(C219:C227)</f>
        <v>56183</v>
      </c>
      <c r="D228" s="491">
        <f>SUM(D219:D227)</f>
        <v>0</v>
      </c>
      <c r="E228" s="237">
        <f>SUM(E219:E227)</f>
        <v>56183</v>
      </c>
      <c r="F228" s="428">
        <f>SUM(F219:F227)</f>
        <v>0</v>
      </c>
      <c r="G228" s="237">
        <f>SUM(G219:G227)</f>
        <v>56183</v>
      </c>
      <c r="H228" s="172">
        <f t="shared" si="59"/>
        <v>1</v>
      </c>
      <c r="I228" s="337"/>
      <c r="J228" s="168"/>
      <c r="K228" s="168"/>
    </row>
    <row r="229" spans="1:11" ht="13.5" thickTop="1">
      <c r="A229" s="163"/>
      <c r="B229" s="167"/>
      <c r="C229" s="620"/>
      <c r="D229" s="239"/>
      <c r="E229" s="232"/>
      <c r="F229" s="431"/>
      <c r="G229" s="232"/>
      <c r="H229" s="167"/>
      <c r="J229" s="168"/>
      <c r="K229" s="168"/>
    </row>
    <row r="230" spans="1:11">
      <c r="A230" s="163"/>
      <c r="B230" s="233" t="s">
        <v>160</v>
      </c>
      <c r="C230" s="619"/>
      <c r="D230" s="232"/>
      <c r="E230" s="232"/>
      <c r="F230" s="426"/>
      <c r="G230" s="232"/>
      <c r="H230" s="167"/>
      <c r="J230" s="168"/>
      <c r="K230" s="168"/>
    </row>
    <row r="231" spans="1:11">
      <c r="A231" s="163"/>
      <c r="B231" s="202" t="s">
        <v>219</v>
      </c>
      <c r="C231" s="492">
        <f>'[73]Sch D'!N22</f>
        <v>221</v>
      </c>
      <c r="D231" s="526"/>
      <c r="E231" s="235">
        <f>C231+D231</f>
        <v>221</v>
      </c>
      <c r="F231" s="432"/>
      <c r="G231" s="235">
        <f>E231+F231</f>
        <v>221</v>
      </c>
      <c r="H231" s="167"/>
      <c r="J231" s="168"/>
      <c r="K231" s="168"/>
    </row>
    <row r="232" spans="1:11">
      <c r="A232" s="163"/>
      <c r="B232" s="202" t="s">
        <v>290</v>
      </c>
      <c r="C232" s="492">
        <f>'[73]Sch D'!N24</f>
        <v>221</v>
      </c>
      <c r="D232" s="526"/>
      <c r="E232" s="235">
        <f>C232+D232</f>
        <v>221</v>
      </c>
      <c r="F232" s="432"/>
      <c r="G232" s="235">
        <f>E232+F232</f>
        <v>221</v>
      </c>
      <c r="H232" s="167"/>
      <c r="J232" s="168"/>
      <c r="K232" s="168"/>
    </row>
    <row r="233" spans="1:11">
      <c r="A233" s="163"/>
      <c r="B233" s="202" t="s">
        <v>76</v>
      </c>
      <c r="C233" s="492">
        <f>$C$4-$C$3+1</f>
        <v>365</v>
      </c>
      <c r="D233" s="489"/>
      <c r="E233" s="235">
        <f>C233+D233</f>
        <v>365</v>
      </c>
      <c r="F233" s="429"/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621"/>
      <c r="D234" s="240"/>
      <c r="E234" s="243"/>
      <c r="F234" s="429"/>
      <c r="G234" s="243"/>
      <c r="H234" s="167"/>
      <c r="J234" s="168"/>
      <c r="K234" s="168"/>
    </row>
    <row r="235" spans="1:11" ht="26.5">
      <c r="A235" s="163"/>
      <c r="B235" s="244" t="s">
        <v>335</v>
      </c>
      <c r="C235" s="492">
        <f>'[73]Sch D'!N28</f>
        <v>80665</v>
      </c>
      <c r="D235" s="489"/>
      <c r="E235" s="234">
        <f>E231*E233</f>
        <v>80665</v>
      </c>
      <c r="F235"/>
      <c r="G235" s="234">
        <f>G231*G233</f>
        <v>80665</v>
      </c>
      <c r="H235" s="167"/>
      <c r="J235" s="168"/>
      <c r="K235" s="168"/>
    </row>
    <row r="236" spans="1:11" ht="26">
      <c r="A236" s="163"/>
      <c r="B236" s="244" t="s">
        <v>336</v>
      </c>
      <c r="C236" s="493">
        <f>'[73]Sch D'!N30</f>
        <v>0.69649786152606463</v>
      </c>
      <c r="D236" s="240"/>
      <c r="E236" s="245">
        <f>E228/E235</f>
        <v>0.69649786152606463</v>
      </c>
      <c r="F236" s="433"/>
      <c r="G236" s="245">
        <f>G228/G235</f>
        <v>0.69649786152606463</v>
      </c>
      <c r="H236" s="167"/>
      <c r="J236" s="168"/>
      <c r="K236" s="168"/>
    </row>
    <row r="237" spans="1:11" ht="26">
      <c r="A237" s="163"/>
      <c r="B237" s="244" t="s">
        <v>337</v>
      </c>
      <c r="C237" s="493">
        <f>'[73]Sch D'!N32</f>
        <v>0.45164569515899089</v>
      </c>
      <c r="D237" s="240"/>
      <c r="E237" s="245">
        <f>(E219+E220)/E235</f>
        <v>0.45164569515899089</v>
      </c>
      <c r="F237" s="433"/>
      <c r="G237" s="245">
        <f>(G219+G220)/G235</f>
        <v>0.45164569515899089</v>
      </c>
      <c r="H237" s="167"/>
      <c r="J237" s="168"/>
      <c r="K237" s="168"/>
    </row>
    <row r="238" spans="1:11" ht="26">
      <c r="A238" s="163"/>
      <c r="B238" s="244" t="s">
        <v>338</v>
      </c>
      <c r="C238" s="493">
        <f>'[73]Sch D'!N34</f>
        <v>0.64845237883345497</v>
      </c>
      <c r="D238" s="240"/>
      <c r="E238" s="245">
        <f>(E237/E236)</f>
        <v>0.64845237883345497</v>
      </c>
      <c r="F238" s="433"/>
      <c r="G238" s="245">
        <f>(G237/G236)</f>
        <v>0.64845237883345497</v>
      </c>
      <c r="H238" s="167"/>
      <c r="J238" s="168"/>
      <c r="K238" s="168"/>
    </row>
    <row r="241" spans="2:7">
      <c r="B241" s="148" t="s">
        <v>339</v>
      </c>
      <c r="F241" s="412" t="s">
        <v>340</v>
      </c>
      <c r="G241" s="490">
        <f>'[73]Sch B'!C85</f>
        <v>182.93396226415095</v>
      </c>
    </row>
    <row r="242" spans="2:7">
      <c r="F242" s="412" t="s">
        <v>341</v>
      </c>
      <c r="G242" s="490">
        <f>'[73]Sch B'!E85</f>
        <v>182.1867321867322</v>
      </c>
    </row>
    <row r="243" spans="2:7">
      <c r="F243" s="412" t="s">
        <v>342</v>
      </c>
      <c r="G243" s="490">
        <f>'[73]Sch B'!G85</f>
        <v>193.96243875884593</v>
      </c>
    </row>
    <row r="244" spans="2:7">
      <c r="F244" s="412" t="s">
        <v>343</v>
      </c>
      <c r="G244" s="490">
        <f>'[73]Sch B'!I85</f>
        <v>193.32494758909854</v>
      </c>
    </row>
    <row r="245" spans="2:7">
      <c r="F245" s="412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E28CAB"/>
  </sheetPr>
  <dimension ref="A1:Q245"/>
  <sheetViews>
    <sheetView showGridLines="0" zoomScale="95" zoomScaleNormal="95" workbookViewId="0">
      <selection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478"/>
      <c r="E1" s="478"/>
      <c r="F1" s="478"/>
      <c r="G1" s="478"/>
      <c r="H1" s="478"/>
      <c r="I1" s="479"/>
    </row>
    <row r="2" spans="1:14" ht="23">
      <c r="B2" s="143" t="s">
        <v>189</v>
      </c>
      <c r="C2" s="247" t="s">
        <v>443</v>
      </c>
      <c r="D2" s="144"/>
      <c r="E2" s="465"/>
    </row>
    <row r="3" spans="1:14">
      <c r="A3" s="145"/>
      <c r="B3" s="140" t="s">
        <v>79</v>
      </c>
      <c r="C3" s="495">
        <v>41821</v>
      </c>
      <c r="D3" s="144"/>
      <c r="E3" s="147"/>
    </row>
    <row r="4" spans="1:14">
      <c r="A4" s="145"/>
      <c r="B4" s="148" t="s">
        <v>80</v>
      </c>
      <c r="C4" s="495">
        <v>42185</v>
      </c>
      <c r="D4" s="144"/>
      <c r="E4" s="149"/>
      <c r="G4" s="150"/>
    </row>
    <row r="5" spans="1:14">
      <c r="A5" s="145"/>
      <c r="B5" s="148"/>
      <c r="C5" s="151"/>
      <c r="D5" s="144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144"/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573">
        <f>'[74]Sch B'!E10</f>
        <v>1496228</v>
      </c>
      <c r="D11" s="573">
        <f>'[74]Sch B'!G10</f>
        <v>0</v>
      </c>
      <c r="E11" s="171">
        <f>C11+D11</f>
        <v>1496228</v>
      </c>
      <c r="F11" s="171"/>
      <c r="G11" s="171">
        <f t="shared" ref="G11:G20" si="0">E11+F11</f>
        <v>1496228</v>
      </c>
      <c r="H11" s="172">
        <f t="shared" ref="H11:H21" si="1">IF($G$21=0,0,G11/$G$21)</f>
        <v>0.15300699337885415</v>
      </c>
      <c r="I11" s="337"/>
      <c r="J11" s="368" t="s">
        <v>344</v>
      </c>
      <c r="K11" s="369">
        <f>G21</f>
        <v>9778821</v>
      </c>
      <c r="M11" s="359">
        <f>IFERROR(G11/G219,0)</f>
        <v>180.46411771800749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573">
        <f>'[74]Sch B'!E15</f>
        <v>0</v>
      </c>
      <c r="D12" s="573">
        <f>'[74]Sch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7"/>
      <c r="J12" s="370" t="s">
        <v>345</v>
      </c>
      <c r="K12" s="371">
        <f>G208</f>
        <v>8678815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573">
        <f>'[74]Sch B'!E21</f>
        <v>6318556</v>
      </c>
      <c r="D13" s="573">
        <f>'[74]Sch B'!G21</f>
        <v>0</v>
      </c>
      <c r="E13" s="171">
        <f t="shared" si="2"/>
        <v>6318556</v>
      </c>
      <c r="F13" s="171"/>
      <c r="G13" s="171">
        <f t="shared" si="0"/>
        <v>6318556</v>
      </c>
      <c r="H13" s="172">
        <f t="shared" si="1"/>
        <v>0.64614701506449501</v>
      </c>
      <c r="I13" s="337"/>
      <c r="J13" s="370" t="s">
        <v>346</v>
      </c>
      <c r="K13" s="371">
        <f>G228</f>
        <v>24639</v>
      </c>
      <c r="M13" s="359">
        <f t="shared" si="3"/>
        <v>580.5361999264976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573">
        <f>'[74]Sch B'!E27</f>
        <v>1354013</v>
      </c>
      <c r="D14" s="573">
        <f>'[74]Sch B'!G27</f>
        <v>0</v>
      </c>
      <c r="E14" s="171">
        <f t="shared" si="2"/>
        <v>1354013</v>
      </c>
      <c r="F14" s="175"/>
      <c r="G14" s="175">
        <f>E14+F14</f>
        <v>1354013</v>
      </c>
      <c r="H14" s="176">
        <f t="shared" si="1"/>
        <v>0.13846382912623106</v>
      </c>
      <c r="I14" s="338"/>
      <c r="J14" s="370" t="s">
        <v>347</v>
      </c>
      <c r="K14" s="371">
        <f>G231</f>
        <v>120</v>
      </c>
      <c r="M14" s="359">
        <f t="shared" si="3"/>
        <v>359.53611258629849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573">
        <f>'[74]Sch B'!E32</f>
        <v>0</v>
      </c>
      <c r="D15" s="573">
        <f>'[74]Sch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7"/>
      <c r="J15" s="370" t="s">
        <v>348</v>
      </c>
      <c r="K15" s="371">
        <f>G235</f>
        <v>43800</v>
      </c>
      <c r="M15" s="359">
        <f t="shared" si="3"/>
        <v>0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573">
        <f>'[74]Sch B'!E37</f>
        <v>588943</v>
      </c>
      <c r="D16" s="573">
        <f>'[74]Sch B'!G37</f>
        <v>0</v>
      </c>
      <c r="E16" s="171">
        <f t="shared" si="2"/>
        <v>588943</v>
      </c>
      <c r="F16" s="171"/>
      <c r="G16" s="171">
        <f t="shared" si="0"/>
        <v>588943</v>
      </c>
      <c r="H16" s="172">
        <f t="shared" si="1"/>
        <v>6.0226381073955643E-2</v>
      </c>
      <c r="I16" s="522" t="s">
        <v>473</v>
      </c>
      <c r="J16" s="372"/>
      <c r="K16" s="371"/>
      <c r="M16" s="359">
        <f t="shared" si="3"/>
        <v>359.55006105006106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573">
        <f>'[74]Sch B'!E42</f>
        <v>0</v>
      </c>
      <c r="D17" s="573">
        <f>'[74]Sch B'!G42</f>
        <v>0</v>
      </c>
      <c r="E17" s="171">
        <f t="shared" si="2"/>
        <v>0</v>
      </c>
      <c r="F17" s="171"/>
      <c r="G17" s="171">
        <f>E17+F17</f>
        <v>0</v>
      </c>
      <c r="H17" s="172">
        <f t="shared" si="1"/>
        <v>0</v>
      </c>
      <c r="J17" s="370" t="s">
        <v>156</v>
      </c>
      <c r="K17" s="371">
        <f>J208</f>
        <v>240431</v>
      </c>
      <c r="M17" s="359">
        <f t="shared" si="3"/>
        <v>0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573">
        <f>'[74]Sch B'!E47</f>
        <v>19064</v>
      </c>
      <c r="D18" s="573">
        <f>'[74]Sch B'!G47</f>
        <v>0</v>
      </c>
      <c r="E18" s="171">
        <f t="shared" si="2"/>
        <v>19064</v>
      </c>
      <c r="F18" s="171"/>
      <c r="G18" s="171">
        <f>E18+F18</f>
        <v>19064</v>
      </c>
      <c r="H18" s="172">
        <f t="shared" si="1"/>
        <v>1.9495192723130938E-3</v>
      </c>
      <c r="J18" s="373" t="s">
        <v>252</v>
      </c>
      <c r="K18" s="374">
        <f>K208</f>
        <v>240431</v>
      </c>
      <c r="M18" s="359">
        <f t="shared" si="3"/>
        <v>317.73333333333335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573">
        <f>'[74]Sch B'!E52</f>
        <v>0</v>
      </c>
      <c r="D19" s="573">
        <f>'[74]Sch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J19" s="168"/>
      <c r="K19" s="168"/>
      <c r="M19" s="359">
        <f t="shared" si="3"/>
        <v>0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573">
        <f>'[74]Sch B'!E67</f>
        <v>2017</v>
      </c>
      <c r="D20" s="573">
        <f>'[74]Sch B'!G67</f>
        <v>0</v>
      </c>
      <c r="E20" s="171">
        <f t="shared" si="2"/>
        <v>2017</v>
      </c>
      <c r="F20" s="171"/>
      <c r="G20" s="171">
        <f t="shared" si="0"/>
        <v>2017</v>
      </c>
      <c r="H20" s="172">
        <f t="shared" si="1"/>
        <v>2.0626208415104439E-4</v>
      </c>
      <c r="I20" s="522" t="s">
        <v>473</v>
      </c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573">
        <f>SUM(C11:C20)</f>
        <v>9778821</v>
      </c>
      <c r="D21" s="573">
        <f>SUM(D11:D20)</f>
        <v>0</v>
      </c>
      <c r="E21" s="171">
        <f>SUM(E11:E20)</f>
        <v>9778821</v>
      </c>
      <c r="F21" s="171">
        <f>SUM(F11:F20)</f>
        <v>0</v>
      </c>
      <c r="G21" s="171">
        <f>SUM(G11:G20)</f>
        <v>9778821</v>
      </c>
      <c r="H21" s="172">
        <f t="shared" si="1"/>
        <v>1</v>
      </c>
      <c r="I21" s="337"/>
      <c r="J21" s="168"/>
      <c r="K21" s="168"/>
      <c r="M21" s="359">
        <f>IFERROR(G21/G228,0)</f>
        <v>396.88384268842077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4">
      <c r="A24" s="181" t="s">
        <v>161</v>
      </c>
      <c r="B24" s="148" t="s">
        <v>12</v>
      </c>
      <c r="M24" s="363"/>
      <c r="N24" s="363"/>
    </row>
    <row r="25" spans="1:14" s="167" customFormat="1">
      <c r="A25" s="169" t="s">
        <v>83</v>
      </c>
      <c r="B25" s="170" t="s">
        <v>14</v>
      </c>
      <c r="C25" s="573">
        <f>'[74]Sch C'!D10</f>
        <v>99071</v>
      </c>
      <c r="D25" s="573">
        <f>'[74]Sch C'!F10</f>
        <v>0</v>
      </c>
      <c r="E25" s="171">
        <f t="shared" ref="E25:E60" si="4">C25+D25</f>
        <v>99071</v>
      </c>
      <c r="F25" s="171"/>
      <c r="G25" s="182">
        <f>E25+F25</f>
        <v>99071</v>
      </c>
      <c r="H25" s="172">
        <f>IF($G$208=0,0,G25/$G$208)</f>
        <v>1.1415268098236914E-2</v>
      </c>
      <c r="I25" s="337"/>
      <c r="J25" s="183">
        <v>2080</v>
      </c>
      <c r="K25" s="183">
        <v>2080</v>
      </c>
      <c r="M25" s="359">
        <f>G25/G$228</f>
        <v>4.020901822314217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573">
        <f>'[74]Sch C'!D11</f>
        <v>0</v>
      </c>
      <c r="D26" s="573">
        <f>'[74]Sch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573">
        <f>'[74]Sch C'!D12</f>
        <v>175676</v>
      </c>
      <c r="D27" s="573">
        <f>'[74]Sch C'!F12</f>
        <v>0</v>
      </c>
      <c r="E27" s="171">
        <f t="shared" si="4"/>
        <v>175676</v>
      </c>
      <c r="F27" s="171"/>
      <c r="G27" s="171">
        <f t="shared" si="5"/>
        <v>175676</v>
      </c>
      <c r="H27" s="172">
        <f t="shared" si="6"/>
        <v>2.0241933950660315E-2</v>
      </c>
      <c r="I27" s="337"/>
      <c r="J27" s="185">
        <v>7424</v>
      </c>
      <c r="K27" s="185">
        <v>7424</v>
      </c>
      <c r="M27" s="359">
        <f t="shared" si="7"/>
        <v>7.1299971589756082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573">
        <f>'[74]Sch C'!D13</f>
        <v>679085</v>
      </c>
      <c r="D28" s="573">
        <f>'[74]Sch C'!F13</f>
        <v>-632078</v>
      </c>
      <c r="E28" s="171">
        <f t="shared" si="4"/>
        <v>47007</v>
      </c>
      <c r="F28" s="171"/>
      <c r="G28" s="171">
        <f t="shared" si="5"/>
        <v>47007</v>
      </c>
      <c r="H28" s="172">
        <f t="shared" si="6"/>
        <v>5.4162924316280506E-3</v>
      </c>
      <c r="I28" s="337"/>
      <c r="J28" s="168"/>
      <c r="K28" s="168"/>
      <c r="M28" s="359">
        <f t="shared" si="7"/>
        <v>1.9078290515037137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573">
        <f>'[74]Sch C'!D14</f>
        <v>0</v>
      </c>
      <c r="D29" s="573">
        <f>'[74]Sch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573">
        <f>'[74]Sch C'!D15</f>
        <v>0</v>
      </c>
      <c r="D30" s="573">
        <f>'[74]Sch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7"/>
      <c r="J30" s="168"/>
      <c r="K30" s="168"/>
      <c r="M30" s="359">
        <f t="shared" si="7"/>
        <v>0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573">
        <f>'[74]Sch C'!D16</f>
        <v>414000</v>
      </c>
      <c r="D31" s="573">
        <f>'[74]Sch C'!F16</f>
        <v>-166233</v>
      </c>
      <c r="E31" s="171">
        <f t="shared" si="4"/>
        <v>247767</v>
      </c>
      <c r="F31" s="171">
        <v>-6818</v>
      </c>
      <c r="G31" s="171">
        <f t="shared" si="5"/>
        <v>240949</v>
      </c>
      <c r="H31" s="172">
        <f t="shared" si="6"/>
        <v>2.776289159291908E-2</v>
      </c>
      <c r="I31" s="337"/>
      <c r="J31" s="168"/>
      <c r="K31" s="168"/>
      <c r="M31" s="359">
        <f t="shared" si="7"/>
        <v>9.7791712325987259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573">
        <f>'[74]Sch C'!D17</f>
        <v>0</v>
      </c>
      <c r="D32" s="573">
        <f>'[74]Sch C'!F17</f>
        <v>0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7"/>
      <c r="J32" s="168"/>
      <c r="K32" s="168"/>
      <c r="M32" s="359">
        <f t="shared" si="7"/>
        <v>0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573">
        <f>'[74]Sch C'!D18</f>
        <v>7726</v>
      </c>
      <c r="D33" s="573">
        <f>'[74]Sch C'!F18</f>
        <v>0</v>
      </c>
      <c r="E33" s="171">
        <f t="shared" si="4"/>
        <v>7726</v>
      </c>
      <c r="F33" s="171"/>
      <c r="G33" s="171">
        <f t="shared" si="5"/>
        <v>7726</v>
      </c>
      <c r="H33" s="172">
        <f t="shared" si="6"/>
        <v>8.9021369852911947E-4</v>
      </c>
      <c r="I33" s="337"/>
      <c r="J33" s="168"/>
      <c r="K33" s="168"/>
      <c r="M33" s="359">
        <f t="shared" si="7"/>
        <v>0.31356792077600554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573">
        <f>'[74]Sch C'!D19</f>
        <v>13939</v>
      </c>
      <c r="D34" s="573">
        <f>'[74]Sch C'!F19</f>
        <v>0</v>
      </c>
      <c r="E34" s="171">
        <f t="shared" si="4"/>
        <v>13939</v>
      </c>
      <c r="F34" s="171"/>
      <c r="G34" s="171">
        <f t="shared" si="5"/>
        <v>13939</v>
      </c>
      <c r="H34" s="172">
        <f t="shared" si="6"/>
        <v>1.6060948412888166E-3</v>
      </c>
      <c r="I34" s="337"/>
      <c r="J34" s="168"/>
      <c r="K34" s="168"/>
      <c r="M34" s="359">
        <f t="shared" si="7"/>
        <v>0.56572912861723279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573">
        <f>'[74]Sch C'!D20</f>
        <v>15960</v>
      </c>
      <c r="D35" s="573">
        <f>'[74]Sch C'!F20</f>
        <v>0</v>
      </c>
      <c r="E35" s="171">
        <f t="shared" si="4"/>
        <v>15960</v>
      </c>
      <c r="F35" s="171"/>
      <c r="G35" s="171">
        <f t="shared" si="5"/>
        <v>15960</v>
      </c>
      <c r="H35" s="172">
        <f t="shared" si="6"/>
        <v>1.8389607336946345E-3</v>
      </c>
      <c r="I35" s="337"/>
      <c r="J35" s="168"/>
      <c r="K35" s="168"/>
      <c r="M35" s="359">
        <f t="shared" si="7"/>
        <v>0.64775356142700602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573">
        <f>'[74]Sch C'!D21</f>
        <v>16536</v>
      </c>
      <c r="D36" s="573">
        <f>'[74]Sch C'!F21</f>
        <v>0</v>
      </c>
      <c r="E36" s="171">
        <f t="shared" si="4"/>
        <v>16536</v>
      </c>
      <c r="F36" s="171"/>
      <c r="G36" s="171">
        <f t="shared" si="5"/>
        <v>16536</v>
      </c>
      <c r="H36" s="172">
        <f t="shared" si="6"/>
        <v>1.905329241376847E-3</v>
      </c>
      <c r="I36" s="337"/>
      <c r="J36" s="168"/>
      <c r="K36" s="168"/>
      <c r="M36" s="359">
        <f t="shared" si="7"/>
        <v>0.67113113356873255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573">
        <f>'[74]Sch C'!D22</f>
        <v>0</v>
      </c>
      <c r="D37" s="573">
        <f>'[74]Sch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573">
        <f>'[74]Sch C'!D23</f>
        <v>63082</v>
      </c>
      <c r="D38" s="573">
        <f>'[74]Sch C'!F23</f>
        <v>0</v>
      </c>
      <c r="E38" s="171">
        <f t="shared" si="4"/>
        <v>63082</v>
      </c>
      <c r="F38" s="171">
        <f>-2226-812</f>
        <v>-3038</v>
      </c>
      <c r="G38" s="171">
        <f t="shared" si="5"/>
        <v>60044</v>
      </c>
      <c r="H38" s="172">
        <f t="shared" si="6"/>
        <v>6.9184560334561804E-3</v>
      </c>
      <c r="I38" s="337"/>
      <c r="J38" s="168"/>
      <c r="K38" s="168"/>
      <c r="M38" s="359">
        <f t="shared" si="7"/>
        <v>2.4369495515240067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573">
        <f>'[74]Sch C'!D24</f>
        <v>2863</v>
      </c>
      <c r="D39" s="573">
        <f>'[74]Sch C'!F24</f>
        <v>0</v>
      </c>
      <c r="E39" s="171">
        <f t="shared" si="4"/>
        <v>2863</v>
      </c>
      <c r="F39" s="171">
        <f>491+812</f>
        <v>1303</v>
      </c>
      <c r="G39" s="171">
        <f t="shared" si="5"/>
        <v>4166</v>
      </c>
      <c r="H39" s="172">
        <f t="shared" si="6"/>
        <v>4.800194496598902E-4</v>
      </c>
      <c r="I39" s="337"/>
      <c r="J39" s="168"/>
      <c r="K39" s="168"/>
      <c r="M39" s="359">
        <f t="shared" si="7"/>
        <v>0.16908153740005682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573">
        <f>'[74]Sch C'!D25</f>
        <v>0</v>
      </c>
      <c r="D40" s="573">
        <f>'[74]Sch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337"/>
      <c r="J40" s="168"/>
      <c r="K40" s="168"/>
      <c r="M40" s="359">
        <f t="shared" si="7"/>
        <v>0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573">
        <f>'[74]Sch C'!D26</f>
        <v>154283</v>
      </c>
      <c r="D41" s="573">
        <f>'[74]Sch C'!F26</f>
        <v>0</v>
      </c>
      <c r="E41" s="171">
        <f t="shared" si="4"/>
        <v>154283</v>
      </c>
      <c r="F41" s="171"/>
      <c r="G41" s="171">
        <f t="shared" si="5"/>
        <v>154283</v>
      </c>
      <c r="H41" s="172">
        <f t="shared" si="6"/>
        <v>1.7776966095025645E-2</v>
      </c>
      <c r="I41" s="337"/>
      <c r="J41" s="168"/>
      <c r="K41" s="168"/>
      <c r="M41" s="359">
        <f t="shared" si="7"/>
        <v>6.2617395186492955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573">
        <f>'[74]Sch C'!D27</f>
        <v>29642</v>
      </c>
      <c r="D42" s="573">
        <f>'[74]Sch C'!F27</f>
        <v>-618</v>
      </c>
      <c r="E42" s="171">
        <f t="shared" si="4"/>
        <v>29024</v>
      </c>
      <c r="F42" s="171"/>
      <c r="G42" s="171">
        <f t="shared" si="5"/>
        <v>29024</v>
      </c>
      <c r="H42" s="172">
        <f t="shared" si="6"/>
        <v>3.3442353593203683E-3</v>
      </c>
      <c r="I42" s="337"/>
      <c r="J42" s="168"/>
      <c r="K42" s="168"/>
      <c r="M42" s="359">
        <f t="shared" si="7"/>
        <v>1.1779698851414424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573">
        <f>'[74]Sch C'!D28</f>
        <v>0</v>
      </c>
      <c r="D43" s="573">
        <f>'[74]Sch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573">
        <f>'[74]Sch C'!D29</f>
        <v>9596</v>
      </c>
      <c r="D44" s="573">
        <f>'[74]Sch C'!F29</f>
        <v>-9596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573">
        <f>'[74]Sch C'!D30</f>
        <v>0</v>
      </c>
      <c r="D45" s="573">
        <f>'[74]Sch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573">
        <f>'[74]Sch C'!D31</f>
        <v>81913</v>
      </c>
      <c r="D46" s="573">
        <f>'[74]Sch C'!F31</f>
        <v>0</v>
      </c>
      <c r="E46" s="171">
        <f t="shared" si="4"/>
        <v>81913</v>
      </c>
      <c r="F46" s="171"/>
      <c r="G46" s="171">
        <f t="shared" si="5"/>
        <v>81913</v>
      </c>
      <c r="H46" s="172">
        <f t="shared" si="6"/>
        <v>9.4382700864115657E-3</v>
      </c>
      <c r="I46" s="337"/>
      <c r="J46" s="168"/>
      <c r="K46" s="168"/>
      <c r="M46" s="359">
        <f t="shared" si="7"/>
        <v>3.3245261577174396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573">
        <f>'[74]Sch C'!D32</f>
        <v>60974</v>
      </c>
      <c r="D47" s="573">
        <f>'[74]Sch C'!F32</f>
        <v>0</v>
      </c>
      <c r="E47" s="171">
        <f t="shared" si="4"/>
        <v>60974</v>
      </c>
      <c r="F47" s="171"/>
      <c r="G47" s="171">
        <f t="shared" si="5"/>
        <v>60974</v>
      </c>
      <c r="H47" s="172">
        <f t="shared" si="6"/>
        <v>7.0256135198180861E-3</v>
      </c>
      <c r="I47" s="337"/>
      <c r="J47" s="168"/>
      <c r="K47" s="168"/>
      <c r="M47" s="359">
        <f t="shared" si="7"/>
        <v>2.4746945898778359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573">
        <f>'[74]Sch C'!D33</f>
        <v>0</v>
      </c>
      <c r="D48" s="573">
        <f>'[74]Sch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573">
        <f>'[74]Sch C'!D34</f>
        <v>0</v>
      </c>
      <c r="D49" s="573">
        <f>'[74]Sch C'!F34</f>
        <v>0</v>
      </c>
      <c r="E49" s="171">
        <f t="shared" si="4"/>
        <v>0</v>
      </c>
      <c r="F49" s="171"/>
      <c r="G49" s="171">
        <f t="shared" si="5"/>
        <v>0</v>
      </c>
      <c r="H49" s="172">
        <f t="shared" si="6"/>
        <v>0</v>
      </c>
      <c r="I49" s="337"/>
      <c r="J49" s="168"/>
      <c r="K49" s="168"/>
      <c r="M49" s="359">
        <f t="shared" si="7"/>
        <v>0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573">
        <f>'[74]Sch C'!D35</f>
        <v>0</v>
      </c>
      <c r="D50" s="573">
        <f>'[74]Sch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573">
        <f>'[74]Sch C'!D36</f>
        <v>89184</v>
      </c>
      <c r="D51" s="573">
        <f>'[74]Sch C'!F36</f>
        <v>0</v>
      </c>
      <c r="E51" s="171">
        <f t="shared" si="4"/>
        <v>89184</v>
      </c>
      <c r="F51" s="171"/>
      <c r="G51" s="171">
        <f t="shared" si="5"/>
        <v>89184</v>
      </c>
      <c r="H51" s="172">
        <f t="shared" si="6"/>
        <v>1.0276057272795883E-2</v>
      </c>
      <c r="I51" s="337"/>
      <c r="J51" s="183">
        <v>5460</v>
      </c>
      <c r="K51" s="183">
        <v>5460</v>
      </c>
      <c r="M51" s="359">
        <f t="shared" si="7"/>
        <v>3.6196274199439911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573">
        <f>'[74]Sch C'!D37</f>
        <v>0</v>
      </c>
      <c r="D52" s="573">
        <f>'[74]Sch C'!F37</f>
        <v>15258</v>
      </c>
      <c r="E52" s="171">
        <f t="shared" si="4"/>
        <v>15258</v>
      </c>
      <c r="F52" s="171"/>
      <c r="G52" s="171">
        <f t="shared" si="5"/>
        <v>15258</v>
      </c>
      <c r="H52" s="172">
        <f t="shared" si="6"/>
        <v>1.7580741149569382E-3</v>
      </c>
      <c r="I52" s="337"/>
      <c r="J52" s="168"/>
      <c r="K52" s="168"/>
      <c r="M52" s="359">
        <f t="shared" si="7"/>
        <v>0.61926214537927671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573">
        <f>'[74]Sch C'!D38</f>
        <v>0</v>
      </c>
      <c r="D53" s="573">
        <f>'[74]Sch C'!F38</f>
        <v>0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7"/>
      <c r="J53" s="168"/>
      <c r="K53" s="168"/>
      <c r="M53" s="359">
        <f t="shared" si="7"/>
        <v>0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573">
        <f>'[74]Sch C'!D39</f>
        <v>1081</v>
      </c>
      <c r="D54" s="573">
        <f>'[74]Sch C'!F39</f>
        <v>0</v>
      </c>
      <c r="E54" s="171">
        <f t="shared" si="4"/>
        <v>1081</v>
      </c>
      <c r="F54" s="171"/>
      <c r="G54" s="171">
        <f t="shared" si="5"/>
        <v>1081</v>
      </c>
      <c r="H54" s="172">
        <f t="shared" si="6"/>
        <v>1.2455617500776317E-4</v>
      </c>
      <c r="I54" s="337"/>
      <c r="J54" s="168"/>
      <c r="K54" s="168"/>
      <c r="M54" s="359">
        <f t="shared" si="7"/>
        <v>4.3873533828483302E-2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573">
        <f>'[74]Sch C'!D40</f>
        <v>6491</v>
      </c>
      <c r="D55" s="573">
        <f>'[74]Sch C'!F40</f>
        <v>0</v>
      </c>
      <c r="E55" s="171">
        <f t="shared" si="4"/>
        <v>6491</v>
      </c>
      <c r="F55" s="171"/>
      <c r="G55" s="171">
        <f t="shared" si="5"/>
        <v>6491</v>
      </c>
      <c r="H55" s="172">
        <f t="shared" si="6"/>
        <v>7.4791316556465368E-4</v>
      </c>
      <c r="I55" s="337"/>
      <c r="J55" s="168"/>
      <c r="K55" s="168"/>
      <c r="M55" s="359">
        <f t="shared" si="7"/>
        <v>0.26344413328463007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573">
        <f>'[74]Sch C'!D41</f>
        <v>0</v>
      </c>
      <c r="D56" s="573">
        <f>'[74]Sch C'!F41</f>
        <v>0</v>
      </c>
      <c r="E56" s="171">
        <f t="shared" si="4"/>
        <v>0</v>
      </c>
      <c r="F56" s="171"/>
      <c r="G56" s="171">
        <f t="shared" si="5"/>
        <v>0</v>
      </c>
      <c r="H56" s="172">
        <f t="shared" si="6"/>
        <v>0</v>
      </c>
      <c r="I56" s="337"/>
      <c r="J56" s="168"/>
      <c r="K56" s="168"/>
      <c r="M56" s="359">
        <f t="shared" si="7"/>
        <v>0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573">
        <f>'[74]Sch C'!D42</f>
        <v>8416</v>
      </c>
      <c r="D57" s="573">
        <f>'[74]Sch C'!F42</f>
        <v>0</v>
      </c>
      <c r="E57" s="171">
        <f t="shared" si="4"/>
        <v>8416</v>
      </c>
      <c r="F57" s="171"/>
      <c r="G57" s="171">
        <f t="shared" si="5"/>
        <v>8416</v>
      </c>
      <c r="H57" s="172">
        <f t="shared" si="6"/>
        <v>9.6971764002343642E-4</v>
      </c>
      <c r="I57" s="337"/>
      <c r="J57" s="168"/>
      <c r="K57" s="168"/>
      <c r="M57" s="359">
        <f t="shared" si="7"/>
        <v>0.3415723040707821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573">
        <f>'[74]Sch C'!D43</f>
        <v>8820</v>
      </c>
      <c r="D58" s="573">
        <f>'[74]Sch C'!F43</f>
        <v>0</v>
      </c>
      <c r="E58" s="171">
        <f t="shared" si="4"/>
        <v>8820</v>
      </c>
      <c r="F58" s="171"/>
      <c r="G58" s="171">
        <f t="shared" si="5"/>
        <v>8820</v>
      </c>
      <c r="H58" s="172">
        <f t="shared" si="6"/>
        <v>1.0162677738838771E-3</v>
      </c>
      <c r="I58" s="337"/>
      <c r="J58" s="168"/>
      <c r="K58" s="168"/>
      <c r="M58" s="359">
        <f t="shared" si="7"/>
        <v>0.35796907342018752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573">
        <f>'[74]Sch C'!D44</f>
        <v>0</v>
      </c>
      <c r="D59" s="573">
        <f>'[74]Sch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7"/>
      <c r="J59" s="168"/>
      <c r="K59" s="168"/>
      <c r="M59" s="359">
        <f t="shared" si="7"/>
        <v>0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573">
        <f>'[74]Sch C'!D45</f>
        <v>14193</v>
      </c>
      <c r="D60" s="573">
        <f>'[74]Sch C'!F45</f>
        <v>-300</v>
      </c>
      <c r="E60" s="171">
        <f t="shared" si="4"/>
        <v>13893</v>
      </c>
      <c r="F60" s="171"/>
      <c r="G60" s="171">
        <f t="shared" si="5"/>
        <v>13893</v>
      </c>
      <c r="H60" s="172">
        <f t="shared" si="6"/>
        <v>1.6007945785225287E-3</v>
      </c>
      <c r="I60" s="337"/>
      <c r="J60" s="168"/>
      <c r="K60" s="168"/>
      <c r="M60" s="359">
        <f t="shared" si="7"/>
        <v>0.56386216973091441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573">
        <f>SUM(C25:C60)</f>
        <v>1952531</v>
      </c>
      <c r="D61" s="573">
        <f>SUM(D25:D60)</f>
        <v>-793567</v>
      </c>
      <c r="E61" s="171">
        <f t="shared" ref="E61" si="8">SUM(E25:E60)</f>
        <v>1158964</v>
      </c>
      <c r="F61" s="171">
        <f>SUM(F25:F60)</f>
        <v>-8553</v>
      </c>
      <c r="G61" s="171">
        <f>SUM(G25:G60)</f>
        <v>1150411</v>
      </c>
      <c r="H61" s="186">
        <f t="shared" si="6"/>
        <v>0.13255392585278059</v>
      </c>
      <c r="I61" s="339"/>
      <c r="J61" s="168"/>
      <c r="K61" s="168"/>
      <c r="M61" s="364">
        <f>G61/G$228</f>
        <v>46.690653029749583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I62" s="340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573">
        <f>'[74]Sch C'!D57</f>
        <v>0</v>
      </c>
      <c r="D64" s="573">
        <f>'[74]Sch C'!F57</f>
        <v>0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I64" s="337"/>
      <c r="J64" s="190"/>
      <c r="K64" s="168"/>
      <c r="M64" s="359">
        <f t="shared" ref="M64:M79" si="12">G64/G$228</f>
        <v>0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573">
        <f>'[74]Sch C'!D58</f>
        <v>563483</v>
      </c>
      <c r="D65" s="573">
        <f>'[74]Sch C'!F58</f>
        <v>0</v>
      </c>
      <c r="E65" s="171">
        <f t="shared" si="9"/>
        <v>563483</v>
      </c>
      <c r="F65" s="171">
        <v>-129228</v>
      </c>
      <c r="G65" s="171">
        <f t="shared" si="10"/>
        <v>434255</v>
      </c>
      <c r="H65" s="172">
        <f t="shared" si="11"/>
        <v>5.0036208860311002E-2</v>
      </c>
      <c r="I65" s="337"/>
      <c r="J65" s="190"/>
      <c r="K65" s="168"/>
      <c r="M65" s="359">
        <f t="shared" si="12"/>
        <v>17.624700677787249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573">
        <f>'[74]Sch C'!D59</f>
        <v>457676</v>
      </c>
      <c r="D66" s="573">
        <f>'[74]Sch C'!F59</f>
        <v>0</v>
      </c>
      <c r="E66" s="171">
        <f t="shared" si="9"/>
        <v>457676</v>
      </c>
      <c r="F66" s="171"/>
      <c r="G66" s="171">
        <f t="shared" si="10"/>
        <v>457676</v>
      </c>
      <c r="H66" s="172">
        <f t="shared" si="11"/>
        <v>5.2734849170076793E-2</v>
      </c>
      <c r="I66" s="337"/>
      <c r="J66" s="190"/>
      <c r="K66" s="168"/>
      <c r="M66" s="359">
        <f t="shared" si="12"/>
        <v>18.575266853362557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573">
        <f>'[74]Sch C'!D60</f>
        <v>76977</v>
      </c>
      <c r="D67" s="573">
        <f>'[74]Sch C'!F60</f>
        <v>0</v>
      </c>
      <c r="E67" s="171">
        <f t="shared" si="9"/>
        <v>76977</v>
      </c>
      <c r="F67" s="171"/>
      <c r="G67" s="171">
        <f t="shared" si="10"/>
        <v>76977</v>
      </c>
      <c r="H67" s="172">
        <f t="shared" si="11"/>
        <v>8.8695288469681638E-3</v>
      </c>
      <c r="I67" s="337"/>
      <c r="J67" s="193"/>
      <c r="K67" s="168"/>
      <c r="M67" s="359">
        <f t="shared" si="12"/>
        <v>3.1241933520029224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573">
        <f>'[74]Sch C'!D61</f>
        <v>5806</v>
      </c>
      <c r="D68" s="573">
        <f>'[74]Sch C'!F61</f>
        <v>0</v>
      </c>
      <c r="E68" s="171">
        <f t="shared" si="9"/>
        <v>5806</v>
      </c>
      <c r="F68" s="171"/>
      <c r="G68" s="171">
        <f t="shared" si="10"/>
        <v>5806</v>
      </c>
      <c r="H68" s="172">
        <f t="shared" si="11"/>
        <v>6.6898533958841151E-4</v>
      </c>
      <c r="I68" s="337"/>
      <c r="J68" s="193"/>
      <c r="K68" s="168"/>
      <c r="M68" s="359">
        <f t="shared" si="12"/>
        <v>0.23564268030358376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573">
        <f>'[74]Sch C'!D62</f>
        <v>0</v>
      </c>
      <c r="D69" s="573">
        <f>'[74]Sch C'!F62</f>
        <v>0</v>
      </c>
      <c r="E69" s="171">
        <f t="shared" si="9"/>
        <v>0</v>
      </c>
      <c r="F69" s="171"/>
      <c r="G69" s="171">
        <f t="shared" si="10"/>
        <v>0</v>
      </c>
      <c r="H69" s="172">
        <f t="shared" si="11"/>
        <v>0</v>
      </c>
      <c r="I69" s="337"/>
      <c r="J69" s="195"/>
      <c r="K69" s="168"/>
      <c r="M69" s="359">
        <f t="shared" si="12"/>
        <v>0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573">
        <f>'[74]Sch C'!D63</f>
        <v>0</v>
      </c>
      <c r="D70" s="573">
        <f>'[74]Sch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7"/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573">
        <f>'[74]Sch C'!D64</f>
        <v>0</v>
      </c>
      <c r="D71" s="573">
        <f>'[74]Sch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573">
        <f>'[74]Sch C'!D65</f>
        <v>4480</v>
      </c>
      <c r="D72" s="573">
        <f>'[74]Sch C'!F65</f>
        <v>0</v>
      </c>
      <c r="E72" s="171">
        <f t="shared" si="9"/>
        <v>4480</v>
      </c>
      <c r="F72" s="171"/>
      <c r="G72" s="171">
        <f t="shared" si="10"/>
        <v>4480</v>
      </c>
      <c r="H72" s="172">
        <f t="shared" si="11"/>
        <v>5.161995041949852E-4</v>
      </c>
      <c r="I72" s="337"/>
      <c r="J72" s="195"/>
      <c r="K72" s="168"/>
      <c r="M72" s="359">
        <f t="shared" si="12"/>
        <v>0.18182556110231746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573">
        <f>'[74]Sch C'!D66</f>
        <v>37160</v>
      </c>
      <c r="D73" s="573">
        <f>'[74]Sch C'!F66</f>
        <v>0</v>
      </c>
      <c r="E73" s="171">
        <f t="shared" si="9"/>
        <v>37160</v>
      </c>
      <c r="F73" s="171"/>
      <c r="G73" s="171">
        <f t="shared" si="10"/>
        <v>37160</v>
      </c>
      <c r="H73" s="172">
        <f t="shared" si="11"/>
        <v>4.2816905303316175E-3</v>
      </c>
      <c r="I73" s="337"/>
      <c r="J73" s="195"/>
      <c r="K73" s="168"/>
      <c r="M73" s="359">
        <f t="shared" si="12"/>
        <v>1.5081780916433296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573">
        <f>'[74]Sch C'!D67</f>
        <v>0</v>
      </c>
      <c r="D74" s="573">
        <f>'[74]Sch C'!F67</f>
        <v>0</v>
      </c>
      <c r="E74" s="171">
        <f t="shared" si="9"/>
        <v>0</v>
      </c>
      <c r="F74" s="171">
        <f>129228+23+558+228+155+106</f>
        <v>130298</v>
      </c>
      <c r="G74" s="171">
        <f t="shared" si="10"/>
        <v>130298</v>
      </c>
      <c r="H74" s="172">
        <f t="shared" si="11"/>
        <v>1.5013339954821021E-2</v>
      </c>
      <c r="I74" s="337"/>
      <c r="J74" s="195"/>
      <c r="K74" s="168"/>
      <c r="M74" s="359">
        <f t="shared" si="12"/>
        <v>5.2882828036852141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573">
        <f>'[74]Sch C'!D68</f>
        <v>0</v>
      </c>
      <c r="D75" s="573">
        <f>'[74]Sch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573">
        <f>'[74]Sch C'!D69</f>
        <v>2952</v>
      </c>
      <c r="D76" s="573">
        <f>'[74]Sch C'!F69</f>
        <v>0</v>
      </c>
      <c r="E76" s="171">
        <f t="shared" si="9"/>
        <v>2952</v>
      </c>
      <c r="F76" s="171"/>
      <c r="G76" s="171">
        <f t="shared" si="10"/>
        <v>2952</v>
      </c>
      <c r="H76" s="172">
        <f t="shared" si="11"/>
        <v>3.4013860187133844E-4</v>
      </c>
      <c r="I76" s="337"/>
      <c r="J76" s="195"/>
      <c r="K76" s="168"/>
      <c r="M76" s="359">
        <f t="shared" si="12"/>
        <v>0.11981005722634847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573">
        <f>'[74]Sch C'!D70</f>
        <v>0</v>
      </c>
      <c r="D77" s="573">
        <f>'[74]Sch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7"/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573">
        <f>'[74]Sch C'!D71</f>
        <v>0</v>
      </c>
      <c r="D78" s="573">
        <f>'[74]Sch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7"/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573">
        <f>SUM(C64:C78)</f>
        <v>1148534</v>
      </c>
      <c r="D79" s="573">
        <f>SUM(D64:D78)</f>
        <v>0</v>
      </c>
      <c r="E79" s="171">
        <f t="shared" ref="E79" si="13">SUM(E64:E78)</f>
        <v>1148534</v>
      </c>
      <c r="F79" s="171">
        <f>SUM(F64:F78)</f>
        <v>1070</v>
      </c>
      <c r="G79" s="171">
        <f>SUM(G64:G78)</f>
        <v>1149604</v>
      </c>
      <c r="H79" s="172">
        <f t="shared" si="11"/>
        <v>0.13246094080816331</v>
      </c>
      <c r="I79" s="337"/>
      <c r="J79" s="195"/>
      <c r="K79" s="168"/>
      <c r="M79" s="359">
        <f t="shared" si="12"/>
        <v>46.657900077113517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573">
        <f>'[74]Sch C'!D75</f>
        <v>44409</v>
      </c>
      <c r="D82" s="573">
        <f>'[74]Sch C'!F75</f>
        <v>0</v>
      </c>
      <c r="E82" s="171">
        <f t="shared" ref="E82:E92" si="14">C82+D82</f>
        <v>44409</v>
      </c>
      <c r="F82" s="171"/>
      <c r="G82" s="171">
        <f t="shared" ref="G82:G92" si="15">E82+F82</f>
        <v>44409</v>
      </c>
      <c r="H82" s="172">
        <f t="shared" ref="H82:H93" si="16">IF($G$208=0,0,G82/$G$208)</f>
        <v>5.1169428084364048E-3</v>
      </c>
      <c r="I82" s="337"/>
      <c r="J82" s="183">
        <v>2197</v>
      </c>
      <c r="K82" s="183">
        <v>2197</v>
      </c>
      <c r="M82" s="359">
        <f t="shared" ref="M82:M92" si="17">G82/G$228</f>
        <v>1.8023864604894679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573">
        <f>'[74]Sch C'!D76</f>
        <v>0</v>
      </c>
      <c r="D83" s="573">
        <f>'[74]Sch C'!F76</f>
        <v>7598</v>
      </c>
      <c r="E83" s="171">
        <f t="shared" si="14"/>
        <v>7598</v>
      </c>
      <c r="F83" s="171"/>
      <c r="G83" s="171">
        <f t="shared" si="15"/>
        <v>7598</v>
      </c>
      <c r="H83" s="172">
        <f t="shared" si="16"/>
        <v>8.7546514126640566E-4</v>
      </c>
      <c r="I83" s="337"/>
      <c r="J83" s="168"/>
      <c r="K83" s="168"/>
      <c r="M83" s="359">
        <f t="shared" si="17"/>
        <v>0.30837290474451073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573">
        <f>'[74]Sch C'!D77</f>
        <v>28401</v>
      </c>
      <c r="D84" s="573">
        <f>'[74]Sch C'!F77</f>
        <v>0</v>
      </c>
      <c r="E84" s="171">
        <f t="shared" si="14"/>
        <v>28401</v>
      </c>
      <c r="F84" s="171">
        <v>-1714</v>
      </c>
      <c r="G84" s="171">
        <f t="shared" si="15"/>
        <v>26687</v>
      </c>
      <c r="H84" s="172">
        <f t="shared" si="16"/>
        <v>3.0749589661722252E-3</v>
      </c>
      <c r="I84" s="337"/>
      <c r="J84" s="168"/>
      <c r="K84" s="168"/>
      <c r="M84" s="359">
        <f t="shared" si="17"/>
        <v>1.0831202565039166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573">
        <f>'[74]Sch C'!D78</f>
        <v>0</v>
      </c>
      <c r="D85" s="573">
        <f>'[74]Sch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I85" s="337"/>
      <c r="J85" s="168"/>
      <c r="K85" s="168"/>
      <c r="M85" s="359">
        <f t="shared" si="17"/>
        <v>0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573">
        <f>'[74]Sch C'!D79</f>
        <v>77225</v>
      </c>
      <c r="D86" s="573">
        <f>'[74]Sch C'!F79</f>
        <v>0</v>
      </c>
      <c r="E86" s="171">
        <f t="shared" si="14"/>
        <v>77225</v>
      </c>
      <c r="F86" s="171">
        <f>240-13395-3419-9271+9879</f>
        <v>-15966</v>
      </c>
      <c r="G86" s="171">
        <f>E86+F86</f>
        <v>61259</v>
      </c>
      <c r="H86" s="172">
        <f t="shared" si="16"/>
        <v>7.0584521043483475E-3</v>
      </c>
      <c r="I86" s="337"/>
      <c r="J86" s="168"/>
      <c r="K86" s="168"/>
      <c r="M86" s="359">
        <f t="shared" si="17"/>
        <v>2.4862616177604608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573">
        <f>'[74]Sch C'!D80</f>
        <v>30705</v>
      </c>
      <c r="D87" s="573">
        <f>'[74]Sch C'!F80</f>
        <v>0</v>
      </c>
      <c r="E87" s="171">
        <f t="shared" si="14"/>
        <v>30705</v>
      </c>
      <c r="F87" s="171"/>
      <c r="G87" s="171">
        <f t="shared" si="15"/>
        <v>30705</v>
      </c>
      <c r="H87" s="172">
        <f t="shared" si="16"/>
        <v>3.5379253964971024E-3</v>
      </c>
      <c r="I87" s="337"/>
      <c r="J87" s="168"/>
      <c r="K87" s="168"/>
      <c r="M87" s="359">
        <f t="shared" si="17"/>
        <v>1.2461950566175575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573">
        <f>'[74]Sch C'!D81</f>
        <v>11165</v>
      </c>
      <c r="D88" s="573">
        <f>'[74]Sch C'!F81</f>
        <v>0</v>
      </c>
      <c r="E88" s="171">
        <f t="shared" si="14"/>
        <v>11165</v>
      </c>
      <c r="F88" s="171"/>
      <c r="G88" s="171">
        <f t="shared" si="15"/>
        <v>11165</v>
      </c>
      <c r="H88" s="172">
        <f t="shared" si="16"/>
        <v>1.2864659518609396E-3</v>
      </c>
      <c r="I88" s="337"/>
      <c r="J88" s="168"/>
      <c r="K88" s="168"/>
      <c r="M88" s="359">
        <f t="shared" si="17"/>
        <v>0.45314339055968178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573">
        <f>'[74]Sch C'!D82</f>
        <v>0</v>
      </c>
      <c r="D89" s="573">
        <f>'[74]Sch C'!F82</f>
        <v>0</v>
      </c>
      <c r="E89" s="171">
        <f t="shared" si="14"/>
        <v>0</v>
      </c>
      <c r="F89" s="171"/>
      <c r="G89" s="171">
        <f t="shared" si="15"/>
        <v>0</v>
      </c>
      <c r="H89" s="172">
        <f t="shared" si="16"/>
        <v>0</v>
      </c>
      <c r="I89" s="337"/>
      <c r="J89" s="168"/>
      <c r="K89" s="168"/>
      <c r="M89" s="359">
        <f t="shared" si="17"/>
        <v>0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573">
        <f>'[74]Sch C'!D83</f>
        <v>8189</v>
      </c>
      <c r="D90" s="573">
        <f>'[74]Sch C'!F83</f>
        <v>0</v>
      </c>
      <c r="E90" s="171">
        <f t="shared" si="14"/>
        <v>8189</v>
      </c>
      <c r="F90" s="171"/>
      <c r="G90" s="171">
        <f t="shared" si="15"/>
        <v>8189</v>
      </c>
      <c r="H90" s="172">
        <f t="shared" si="16"/>
        <v>9.4356199550284226E-4</v>
      </c>
      <c r="I90" s="337"/>
      <c r="J90" s="168"/>
      <c r="K90" s="168"/>
      <c r="M90" s="359">
        <f t="shared" si="17"/>
        <v>0.33235926782742808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573">
        <f>'[74]Sch C'!D84</f>
        <v>158156</v>
      </c>
      <c r="D91" s="573">
        <f>'[74]Sch C'!F84</f>
        <v>0</v>
      </c>
      <c r="E91" s="171">
        <f t="shared" si="14"/>
        <v>158156</v>
      </c>
      <c r="F91" s="171"/>
      <c r="G91" s="171">
        <f t="shared" si="15"/>
        <v>158156</v>
      </c>
      <c r="H91" s="172">
        <f t="shared" si="16"/>
        <v>1.8223225175326357E-2</v>
      </c>
      <c r="I91" s="337"/>
      <c r="J91" s="168"/>
      <c r="K91" s="168"/>
      <c r="M91" s="359">
        <f t="shared" si="17"/>
        <v>6.4189293396647589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573">
        <f>'[74]Sch C'!D85</f>
        <v>0</v>
      </c>
      <c r="D92" s="573">
        <f>'[74]Sch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7"/>
      <c r="J92" s="168"/>
      <c r="K92" s="168"/>
      <c r="M92" s="359">
        <f t="shared" si="17"/>
        <v>0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573">
        <f>SUM(C82:C92)</f>
        <v>358250</v>
      </c>
      <c r="D93" s="573">
        <f>SUM(D82:D92)</f>
        <v>7598</v>
      </c>
      <c r="E93" s="171">
        <f t="shared" ref="E93" si="18">SUM(E82:E92)</f>
        <v>365848</v>
      </c>
      <c r="F93" s="171">
        <f>SUM(F82:F92)</f>
        <v>-17680</v>
      </c>
      <c r="G93" s="171">
        <f>SUM(G82:G92)</f>
        <v>348168</v>
      </c>
      <c r="H93" s="172">
        <f t="shared" si="16"/>
        <v>4.0116997539410622E-2</v>
      </c>
      <c r="I93" s="337"/>
      <c r="J93" s="168"/>
      <c r="K93" s="168"/>
      <c r="M93" s="364">
        <f>G93/G$228</f>
        <v>14.130768294167783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573">
        <f>'[74]Sch C'!D89</f>
        <v>392149</v>
      </c>
      <c r="D96" s="573">
        <f>'[74]Sch C'!F89</f>
        <v>0</v>
      </c>
      <c r="E96" s="171">
        <f t="shared" ref="E96:E101" si="19">C96+D96</f>
        <v>392149</v>
      </c>
      <c r="F96" s="171"/>
      <c r="G96" s="171">
        <f t="shared" ref="G96:G101" si="20">E96+F96</f>
        <v>392149</v>
      </c>
      <c r="H96" s="172">
        <f t="shared" ref="H96:H102" si="21">IF($G$208=0,0,G96/$G$208)</f>
        <v>4.5184624859499825E-2</v>
      </c>
      <c r="I96" s="337"/>
      <c r="J96" s="183">
        <v>33671</v>
      </c>
      <c r="K96" s="183">
        <v>33671</v>
      </c>
      <c r="M96" s="364">
        <f t="shared" ref="M96:M101" si="22">G96/G$228</f>
        <v>15.915783919801941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573">
        <f>'[74]Sch C'!D90</f>
        <v>0</v>
      </c>
      <c r="D97" s="573">
        <f>'[74]Sch C'!F90</f>
        <v>67092</v>
      </c>
      <c r="E97" s="171">
        <f t="shared" si="19"/>
        <v>67092</v>
      </c>
      <c r="F97" s="171"/>
      <c r="G97" s="171">
        <f t="shared" si="20"/>
        <v>67092</v>
      </c>
      <c r="H97" s="172">
        <f t="shared" si="21"/>
        <v>7.7305484677343619E-3</v>
      </c>
      <c r="I97" s="337"/>
      <c r="J97" s="168"/>
      <c r="K97" s="168"/>
      <c r="M97" s="364">
        <f t="shared" si="22"/>
        <v>2.7230001217581883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573">
        <f>'[74]Sch C'!D91</f>
        <v>20019</v>
      </c>
      <c r="D98" s="573">
        <f>'[74]Sch C'!F91</f>
        <v>0</v>
      </c>
      <c r="E98" s="171">
        <f t="shared" si="19"/>
        <v>20019</v>
      </c>
      <c r="F98" s="171"/>
      <c r="G98" s="171">
        <f t="shared" si="20"/>
        <v>20019</v>
      </c>
      <c r="H98" s="172">
        <f t="shared" si="21"/>
        <v>2.306651311267725E-3</v>
      </c>
      <c r="I98" s="337"/>
      <c r="J98" s="168"/>
      <c r="K98" s="168"/>
      <c r="M98" s="364">
        <f t="shared" si="22"/>
        <v>0.81249239011323515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573">
        <f>'[74]Sch C'!D92</f>
        <v>271354</v>
      </c>
      <c r="D99" s="573">
        <f>'[74]Sch C'!F92</f>
        <v>-1099</v>
      </c>
      <c r="E99" s="171">
        <f t="shared" si="19"/>
        <v>270255</v>
      </c>
      <c r="F99" s="171"/>
      <c r="G99" s="171">
        <f t="shared" si="20"/>
        <v>270255</v>
      </c>
      <c r="H99" s="172">
        <f t="shared" si="21"/>
        <v>3.1139619867458865E-2</v>
      </c>
      <c r="I99" s="337"/>
      <c r="J99" s="168"/>
      <c r="K99" s="168"/>
      <c r="M99" s="364">
        <f t="shared" si="22"/>
        <v>10.968586387434556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573">
        <f>'[74]Sch C'!D93</f>
        <v>54404</v>
      </c>
      <c r="D100" s="573">
        <f>'[74]Sch C'!F93</f>
        <v>0</v>
      </c>
      <c r="E100" s="171">
        <f t="shared" si="19"/>
        <v>54404</v>
      </c>
      <c r="F100" s="171"/>
      <c r="G100" s="171">
        <f t="shared" si="20"/>
        <v>54404</v>
      </c>
      <c r="H100" s="172">
        <f t="shared" si="21"/>
        <v>6.2685977290678511E-3</v>
      </c>
      <c r="I100" s="337"/>
      <c r="J100" s="168"/>
      <c r="K100" s="168"/>
      <c r="M100" s="364">
        <f t="shared" si="22"/>
        <v>2.2080441576362677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573">
        <f>'[74]Sch C'!D94</f>
        <v>18248</v>
      </c>
      <c r="D101" s="573">
        <f>'[74]Sch C'!F94</f>
        <v>0</v>
      </c>
      <c r="E101" s="171">
        <f t="shared" si="19"/>
        <v>18248</v>
      </c>
      <c r="F101" s="171">
        <v>-16600</v>
      </c>
      <c r="G101" s="171">
        <f t="shared" si="20"/>
        <v>1648</v>
      </c>
      <c r="H101" s="172">
        <f t="shared" si="21"/>
        <v>1.8988767475744097E-4</v>
      </c>
      <c r="I101" s="337"/>
      <c r="J101" s="168"/>
      <c r="K101" s="168"/>
      <c r="M101" s="364">
        <f t="shared" si="22"/>
        <v>6.6885831405495352E-2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573">
        <f>SUM(C96:C101)</f>
        <v>756174</v>
      </c>
      <c r="D102" s="573">
        <f>SUM(D96:D101)</f>
        <v>65993</v>
      </c>
      <c r="E102" s="171">
        <f t="shared" ref="E102" si="23">SUM(E96:E101)</f>
        <v>822167</v>
      </c>
      <c r="F102" s="171">
        <f>SUM(F96:F101)</f>
        <v>-16600</v>
      </c>
      <c r="G102" s="171">
        <f>SUM(G96:G101)</f>
        <v>805567</v>
      </c>
      <c r="H102" s="172">
        <f t="shared" si="21"/>
        <v>9.2819929909786075E-2</v>
      </c>
      <c r="I102" s="337"/>
      <c r="J102" s="168"/>
      <c r="K102" s="168"/>
      <c r="M102" s="364">
        <f>G102/G$228</f>
        <v>32.694792808149678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573">
        <f>'[74]Sch C'!D98</f>
        <v>0</v>
      </c>
      <c r="D105" s="573">
        <f>'[74]Sch C'!F98</f>
        <v>0</v>
      </c>
      <c r="E105" s="171">
        <f t="shared" ref="E105:E110" si="24">C105+D105</f>
        <v>0</v>
      </c>
      <c r="F105" s="171"/>
      <c r="G105" s="171">
        <f t="shared" ref="G105:G110" si="25">E105+F105</f>
        <v>0</v>
      </c>
      <c r="H105" s="172">
        <f t="shared" ref="H105:H111" si="26">IF($G$208=0,0,G105/$G$208)</f>
        <v>0</v>
      </c>
      <c r="I105" s="337"/>
      <c r="J105" s="183">
        <v>0</v>
      </c>
      <c r="K105" s="183">
        <v>0</v>
      </c>
      <c r="M105" s="364">
        <f t="shared" ref="M105:M110" si="27">G105/G$228</f>
        <v>0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573">
        <f>'[74]Sch C'!D99</f>
        <v>0</v>
      </c>
      <c r="D106" s="573">
        <f>'[74]Sch C'!F99</f>
        <v>0</v>
      </c>
      <c r="E106" s="171">
        <f t="shared" si="24"/>
        <v>0</v>
      </c>
      <c r="F106" s="171"/>
      <c r="G106" s="171">
        <f t="shared" si="25"/>
        <v>0</v>
      </c>
      <c r="H106" s="172">
        <f t="shared" si="26"/>
        <v>0</v>
      </c>
      <c r="I106" s="337"/>
      <c r="J106" s="168"/>
      <c r="K106" s="168"/>
      <c r="M106" s="364">
        <f t="shared" si="27"/>
        <v>0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573">
        <f>'[74]Sch C'!D100</f>
        <v>19282</v>
      </c>
      <c r="D107" s="573">
        <f>'[74]Sch C'!F100</f>
        <v>0</v>
      </c>
      <c r="E107" s="171">
        <f t="shared" si="24"/>
        <v>19282</v>
      </c>
      <c r="F107" s="171"/>
      <c r="G107" s="171">
        <f t="shared" si="25"/>
        <v>19282</v>
      </c>
      <c r="H107" s="172">
        <f t="shared" si="26"/>
        <v>2.2217318839035053E-3</v>
      </c>
      <c r="I107" s="337"/>
      <c r="J107" s="168"/>
      <c r="K107" s="168"/>
      <c r="M107" s="364">
        <f t="shared" si="27"/>
        <v>0.78258046186939401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573">
        <f>'[74]Sch C'!D101</f>
        <v>0</v>
      </c>
      <c r="D108" s="573">
        <f>'[74]Sch C'!F101</f>
        <v>0</v>
      </c>
      <c r="E108" s="171">
        <f t="shared" si="24"/>
        <v>0</v>
      </c>
      <c r="F108" s="171"/>
      <c r="G108" s="171">
        <f t="shared" si="25"/>
        <v>0</v>
      </c>
      <c r="H108" s="172">
        <f t="shared" si="26"/>
        <v>0</v>
      </c>
      <c r="I108" s="337"/>
      <c r="J108" s="168"/>
      <c r="K108" s="168"/>
      <c r="M108" s="364">
        <f t="shared" si="27"/>
        <v>0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573">
        <f>'[74]Sch C'!D102</f>
        <v>1138</v>
      </c>
      <c r="D109" s="573">
        <f>'[74]Sch C'!F102</f>
        <v>0</v>
      </c>
      <c r="E109" s="171">
        <f t="shared" si="24"/>
        <v>1138</v>
      </c>
      <c r="F109" s="171"/>
      <c r="G109" s="171">
        <f t="shared" si="25"/>
        <v>1138</v>
      </c>
      <c r="H109" s="172">
        <f t="shared" si="26"/>
        <v>1.3112389191381543E-4</v>
      </c>
      <c r="I109" s="337"/>
      <c r="J109" s="168"/>
      <c r="K109" s="168"/>
      <c r="M109" s="364">
        <f t="shared" si="27"/>
        <v>4.6186939405008322E-2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573">
        <f>'[74]Sch C'!D103</f>
        <v>0</v>
      </c>
      <c r="D110" s="573">
        <f>'[74]Sch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7"/>
      <c r="J110" s="168"/>
      <c r="K110" s="168"/>
      <c r="M110" s="364">
        <f t="shared" si="27"/>
        <v>0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573">
        <f>SUM(C105:C110)</f>
        <v>20420</v>
      </c>
      <c r="D111" s="573">
        <f>SUM(D105:D110)</f>
        <v>0</v>
      </c>
      <c r="E111" s="171">
        <f t="shared" ref="E111" si="28">SUM(E105:E110)</f>
        <v>20420</v>
      </c>
      <c r="F111" s="171">
        <f>SUM(F105:F110)</f>
        <v>0</v>
      </c>
      <c r="G111" s="171">
        <f>SUM(G105:G110)</f>
        <v>20420</v>
      </c>
      <c r="H111" s="172">
        <f t="shared" si="26"/>
        <v>2.3528557758173206E-3</v>
      </c>
      <c r="I111" s="337"/>
      <c r="J111" s="168"/>
      <c r="K111" s="168"/>
      <c r="M111" s="364">
        <f>G111/G$228</f>
        <v>0.8287674012744024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573">
        <f>'[74]Sch C'!D115</f>
        <v>107904</v>
      </c>
      <c r="D114" s="573">
        <f>'[74]Sch C'!F115</f>
        <v>0</v>
      </c>
      <c r="E114" s="171">
        <f t="shared" ref="E114:E118" si="29">C114+D114</f>
        <v>107904</v>
      </c>
      <c r="F114" s="171"/>
      <c r="G114" s="171">
        <f>E114+F114</f>
        <v>107904</v>
      </c>
      <c r="H114" s="172">
        <f t="shared" ref="H114:H119" si="30">IF($G$208=0,0,G114/$G$208)</f>
        <v>1.2433033772467786E-2</v>
      </c>
      <c r="I114" s="337"/>
      <c r="J114" s="183">
        <v>11732</v>
      </c>
      <c r="K114" s="183">
        <v>11732</v>
      </c>
      <c r="M114" s="364">
        <f t="shared" ref="M114:M119" si="31">G114/G$228</f>
        <v>4.3793985145501031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573">
        <f>'[74]Sch C'!D116</f>
        <v>0</v>
      </c>
      <c r="D115" s="573">
        <f>'[74]Sch C'!F116</f>
        <v>18461</v>
      </c>
      <c r="E115" s="171">
        <f t="shared" si="29"/>
        <v>18461</v>
      </c>
      <c r="F115" s="171"/>
      <c r="G115" s="171">
        <f>E115+F115</f>
        <v>18461</v>
      </c>
      <c r="H115" s="172">
        <f t="shared" si="30"/>
        <v>2.1271337158356297E-3</v>
      </c>
      <c r="I115" s="337"/>
      <c r="J115" s="168"/>
      <c r="K115" s="168"/>
      <c r="M115" s="364">
        <f t="shared" si="31"/>
        <v>0.74925930435488453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573">
        <f>'[74]Sch C'!D117</f>
        <v>30381</v>
      </c>
      <c r="D116" s="573">
        <f>'[74]Sch C'!F117</f>
        <v>0</v>
      </c>
      <c r="E116" s="171">
        <f t="shared" si="29"/>
        <v>30381</v>
      </c>
      <c r="F116" s="171">
        <v>-3204</v>
      </c>
      <c r="G116" s="171">
        <f>E116+F116</f>
        <v>27177</v>
      </c>
      <c r="H116" s="172">
        <f t="shared" si="30"/>
        <v>3.1314182869435518E-3</v>
      </c>
      <c r="I116" s="337"/>
      <c r="J116" s="168"/>
      <c r="K116" s="168"/>
      <c r="M116" s="364">
        <f t="shared" si="31"/>
        <v>1.1030074272494825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573">
        <f>'[74]Sch C'!D118</f>
        <v>0</v>
      </c>
      <c r="D117" s="573">
        <f>'[74]Sch C'!F118</f>
        <v>0</v>
      </c>
      <c r="E117" s="171">
        <f t="shared" si="29"/>
        <v>0</v>
      </c>
      <c r="F117" s="171"/>
      <c r="G117" s="171">
        <f>E117+F117</f>
        <v>0</v>
      </c>
      <c r="H117" s="172">
        <f t="shared" si="30"/>
        <v>0</v>
      </c>
      <c r="I117" s="337"/>
      <c r="J117" s="168"/>
      <c r="K117" s="168"/>
      <c r="M117" s="364">
        <f t="shared" si="31"/>
        <v>0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573">
        <f>'[74]Sch C'!D119</f>
        <v>0</v>
      </c>
      <c r="D118" s="573">
        <f>'[74]Sch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337"/>
      <c r="J118" s="168"/>
      <c r="K118" s="168"/>
      <c r="M118" s="364">
        <f t="shared" si="31"/>
        <v>0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573">
        <f>SUM(C114:C118)</f>
        <v>138285</v>
      </c>
      <c r="D119" s="573">
        <f>SUM(D114:D118)</f>
        <v>18461</v>
      </c>
      <c r="E119" s="171">
        <f t="shared" ref="E119" si="32">SUM(E114:E118)</f>
        <v>156746</v>
      </c>
      <c r="F119" s="171">
        <f>SUM(F114:F118)</f>
        <v>-3204</v>
      </c>
      <c r="G119" s="171">
        <f>SUM(G114:G118)</f>
        <v>153542</v>
      </c>
      <c r="H119" s="172">
        <f t="shared" si="30"/>
        <v>1.7691585775246967E-2</v>
      </c>
      <c r="I119" s="337"/>
      <c r="J119" s="168"/>
      <c r="K119" s="168"/>
      <c r="M119" s="364">
        <f t="shared" si="31"/>
        <v>6.2316652461544706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1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573">
        <f>'[74]Sch C'!D124</f>
        <v>0</v>
      </c>
      <c r="D123" s="573">
        <f>'[74]Sch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7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0.77002560279620991</v>
      </c>
    </row>
    <row r="124" spans="1:14" s="167" customFormat="1">
      <c r="B124" s="163" t="s">
        <v>194</v>
      </c>
      <c r="C124" s="573">
        <f>'[74]Sch C'!D125</f>
        <v>314586</v>
      </c>
      <c r="D124" s="573">
        <f>'[74]Sch C'!F125</f>
        <v>0</v>
      </c>
      <c r="E124" s="171">
        <f t="shared" si="33"/>
        <v>314586</v>
      </c>
      <c r="F124" s="171"/>
      <c r="G124" s="171">
        <f>E124+F124</f>
        <v>314586</v>
      </c>
      <c r="H124" s="172">
        <f>IF($G$208=0,0,G124/$G$208)</f>
        <v>3.6247575273813303E-2</v>
      </c>
      <c r="I124" s="337"/>
      <c r="J124" s="183">
        <v>11656</v>
      </c>
      <c r="K124" s="183">
        <v>11656</v>
      </c>
      <c r="M124" s="364">
        <f t="shared" si="34"/>
        <v>12.76780713502983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573">
        <f>'[74]Sch C'!D126</f>
        <v>0</v>
      </c>
      <c r="D125" s="573">
        <f>'[74]Sch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7"/>
      <c r="J125" s="183">
        <v>0</v>
      </c>
      <c r="K125" s="183">
        <v>0</v>
      </c>
      <c r="M125" s="364">
        <f t="shared" si="34"/>
        <v>0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573">
        <f>'[74]Sch C'!D127</f>
        <v>0</v>
      </c>
      <c r="D126" s="573">
        <f>'[74]Sch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7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573">
        <f>'[74]Sch C'!D128</f>
        <v>25063</v>
      </c>
      <c r="D127" s="573">
        <f>'[74]Sch C'!F128</f>
        <v>0</v>
      </c>
      <c r="E127" s="171">
        <f t="shared" si="33"/>
        <v>25063</v>
      </c>
      <c r="F127" s="171"/>
      <c r="G127" s="171">
        <f>E127+F127</f>
        <v>25063</v>
      </c>
      <c r="H127" s="172">
        <f>IF($G$208=0,0,G127/$G$208)</f>
        <v>2.8878366459015431E-3</v>
      </c>
      <c r="I127" s="337"/>
      <c r="J127" s="183">
        <v>1835</v>
      </c>
      <c r="K127" s="183">
        <v>1835</v>
      </c>
      <c r="M127" s="364">
        <f t="shared" si="34"/>
        <v>1.0172084906043264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205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573">
        <f>'[74]Sch C'!D130</f>
        <v>0</v>
      </c>
      <c r="D129" s="573">
        <f>'[74]Sch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7"/>
      <c r="J129" s="204"/>
      <c r="K129" s="204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573">
        <f>'[74]Sch C'!D131</f>
        <v>0</v>
      </c>
      <c r="D130" s="573">
        <f>'[74]Sch C'!F131</f>
        <v>53822</v>
      </c>
      <c r="E130" s="171">
        <f t="shared" si="35"/>
        <v>53822</v>
      </c>
      <c r="F130" s="171"/>
      <c r="G130" s="171">
        <f>E130+F130</f>
        <v>53822</v>
      </c>
      <c r="H130" s="172">
        <f>IF($G$208=0,0,G130/$G$208)</f>
        <v>6.2015378827639488E-3</v>
      </c>
      <c r="I130" s="337"/>
      <c r="J130" s="204"/>
      <c r="K130" s="204"/>
      <c r="M130" s="364">
        <f t="shared" si="34"/>
        <v>2.1844230691180648</v>
      </c>
      <c r="N130" s="359">
        <f>SUMMARY!J133</f>
        <v>1.0792348507966931</v>
      </c>
    </row>
    <row r="131" spans="1:14" s="167" customFormat="1">
      <c r="B131" s="163" t="s">
        <v>195</v>
      </c>
      <c r="C131" s="573">
        <f>'[74]Sch C'!D132</f>
        <v>0</v>
      </c>
      <c r="D131" s="573">
        <f>'[74]Sch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7"/>
      <c r="J131" s="168"/>
      <c r="K131" s="168"/>
      <c r="M131" s="364">
        <f t="shared" si="34"/>
        <v>0</v>
      </c>
      <c r="N131" s="359">
        <f>SUMMARY!J134</f>
        <v>8.2765628075518377E-2</v>
      </c>
    </row>
    <row r="132" spans="1:14" s="167" customFormat="1">
      <c r="B132" s="163" t="s">
        <v>196</v>
      </c>
      <c r="C132" s="573">
        <f>'[74]Sch C'!D133</f>
        <v>0</v>
      </c>
      <c r="D132" s="573">
        <f>'[74]Sch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573">
        <f>'[74]Sch C'!D134</f>
        <v>0</v>
      </c>
      <c r="D133" s="573">
        <f>'[74]Sch C'!F134</f>
        <v>4288</v>
      </c>
      <c r="E133" s="171">
        <f t="shared" si="35"/>
        <v>4288</v>
      </c>
      <c r="F133" s="171"/>
      <c r="G133" s="171">
        <f>E133+F133</f>
        <v>4288</v>
      </c>
      <c r="H133" s="172">
        <f>IF($G$208=0,0,G133/$G$208)</f>
        <v>4.9407666830091437E-4</v>
      </c>
      <c r="I133" s="337"/>
      <c r="J133" s="168"/>
      <c r="K133" s="168"/>
      <c r="M133" s="364">
        <f t="shared" si="34"/>
        <v>0.17403303705507528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573">
        <f>'[74]Sch C'!D136</f>
        <v>930562</v>
      </c>
      <c r="D135" s="573">
        <f>'[74]Sch C'!F136</f>
        <v>0</v>
      </c>
      <c r="E135" s="171">
        <f t="shared" ref="E135:E138" si="36">C135+D135</f>
        <v>930562</v>
      </c>
      <c r="F135" s="171"/>
      <c r="G135" s="171">
        <f>E135+F135</f>
        <v>930562</v>
      </c>
      <c r="H135" s="172">
        <f>IF($G$208=0,0,G135/$G$208)</f>
        <v>0.107222241746137</v>
      </c>
      <c r="I135" s="337"/>
      <c r="J135" s="183">
        <v>32852</v>
      </c>
      <c r="K135" s="183">
        <v>32852</v>
      </c>
      <c r="M135" s="364">
        <f t="shared" si="34"/>
        <v>37.767847721092579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573">
        <f>'[74]Sch C'!D137</f>
        <v>290532</v>
      </c>
      <c r="D136" s="573">
        <f>'[74]Sch C'!F137</f>
        <v>0</v>
      </c>
      <c r="E136" s="171">
        <f t="shared" si="36"/>
        <v>290532</v>
      </c>
      <c r="F136" s="171"/>
      <c r="G136" s="171">
        <f>E136+F136</f>
        <v>290532</v>
      </c>
      <c r="H136" s="172">
        <f>IF($G$208=0,0,G136/$G$208)</f>
        <v>3.3475998739459244E-2</v>
      </c>
      <c r="I136" s="337"/>
      <c r="J136" s="183">
        <v>11800</v>
      </c>
      <c r="K136" s="183">
        <v>11800</v>
      </c>
      <c r="M136" s="364">
        <f t="shared" si="34"/>
        <v>11.791549981736273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573">
        <f>'[74]Sch C'!D138</f>
        <v>879709</v>
      </c>
      <c r="D137" s="573">
        <f>'[74]Sch C'!F138</f>
        <v>0</v>
      </c>
      <c r="E137" s="171">
        <f t="shared" si="36"/>
        <v>879709</v>
      </c>
      <c r="F137" s="171"/>
      <c r="G137" s="171">
        <f>E137+F137</f>
        <v>879709</v>
      </c>
      <c r="H137" s="172">
        <f>IF($G$208=0,0,G137/$G$208)</f>
        <v>0.10136280125800584</v>
      </c>
      <c r="I137" s="337"/>
      <c r="J137" s="183">
        <v>78905</v>
      </c>
      <c r="K137" s="183">
        <v>78905</v>
      </c>
      <c r="M137" s="364">
        <f t="shared" si="34"/>
        <v>35.70392467226754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573">
        <f>'[74]Sch C'!D139</f>
        <v>0</v>
      </c>
      <c r="D138" s="573">
        <f>'[74]Sch C'!F139</f>
        <v>0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7"/>
      <c r="J138" s="183">
        <v>0</v>
      </c>
      <c r="K138" s="183">
        <v>0</v>
      </c>
      <c r="M138" s="364">
        <f t="shared" si="34"/>
        <v>0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7"/>
      <c r="J139" s="208"/>
      <c r="K139" s="208"/>
      <c r="M139" s="364"/>
      <c r="N139" s="359"/>
    </row>
    <row r="140" spans="1:14" s="167" customFormat="1">
      <c r="A140" s="169"/>
      <c r="B140" s="163" t="s">
        <v>194</v>
      </c>
      <c r="C140" s="573">
        <f>'[74]Sch C'!D141</f>
        <v>0</v>
      </c>
      <c r="D140" s="573">
        <f>'[74]Sch C'!F141</f>
        <v>159208</v>
      </c>
      <c r="E140" s="171">
        <f t="shared" ref="E140:E143" si="37">C140+D140</f>
        <v>159208</v>
      </c>
      <c r="F140" s="171"/>
      <c r="G140" s="171">
        <f>E140+F140</f>
        <v>159208</v>
      </c>
      <c r="H140" s="172">
        <f>IF($G$208=0,0,G140/$G$208)</f>
        <v>1.8344439880329286E-2</v>
      </c>
      <c r="I140" s="337"/>
      <c r="J140" s="168"/>
      <c r="K140" s="168"/>
      <c r="M140" s="364">
        <f t="shared" si="34"/>
        <v>6.4616258776736073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573">
        <f>'[74]Sch C'!D142</f>
        <v>0</v>
      </c>
      <c r="D141" s="573">
        <f>'[74]Sch C'!F142</f>
        <v>49707</v>
      </c>
      <c r="E141" s="171">
        <f t="shared" si="37"/>
        <v>49707</v>
      </c>
      <c r="F141" s="171"/>
      <c r="G141" s="171">
        <f>E141+F141</f>
        <v>49707</v>
      </c>
      <c r="H141" s="172">
        <f>IF($G$208=0,0,G141/$G$208)</f>
        <v>5.7273948113884211E-3</v>
      </c>
      <c r="I141" s="337"/>
      <c r="J141" s="168"/>
      <c r="K141" s="168"/>
      <c r="M141" s="364">
        <f t="shared" si="34"/>
        <v>2.0174114209180569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573">
        <f>'[74]Sch C'!D143</f>
        <v>0</v>
      </c>
      <c r="D142" s="573">
        <f>'[74]Sch C'!F143</f>
        <v>150508</v>
      </c>
      <c r="E142" s="171">
        <f t="shared" si="37"/>
        <v>150508</v>
      </c>
      <c r="F142" s="171"/>
      <c r="G142" s="171">
        <f>E142+F142</f>
        <v>150508</v>
      </c>
      <c r="H142" s="172">
        <f>IF($G$208=0,0,G142/$G$208)</f>
        <v>1.7341998878879203E-2</v>
      </c>
      <c r="I142" s="337"/>
      <c r="J142" s="168"/>
      <c r="K142" s="168"/>
      <c r="M142" s="364">
        <f t="shared" si="34"/>
        <v>6.1085271317829459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573">
        <f>'[74]Sch C'!D144</f>
        <v>0</v>
      </c>
      <c r="D143" s="573">
        <f>'[74]Sch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7"/>
      <c r="J143" s="168"/>
      <c r="K143" s="168"/>
      <c r="M143" s="364">
        <f t="shared" si="34"/>
        <v>0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7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573">
        <f>'[74]Sch C'!D146</f>
        <v>29400</v>
      </c>
      <c r="D145" s="573">
        <f>'[74]Sch C'!F146</f>
        <v>0</v>
      </c>
      <c r="E145" s="171">
        <f t="shared" ref="E145:E153" si="38">C145+D145</f>
        <v>29400</v>
      </c>
      <c r="F145" s="171"/>
      <c r="G145" s="171">
        <f t="shared" ref="G145:G153" si="39">E145+F145</f>
        <v>29400</v>
      </c>
      <c r="H145" s="172">
        <f t="shared" ref="H145:H153" si="40">IF($G$208=0,0,G145/$G$208)</f>
        <v>3.3875592462795901E-3</v>
      </c>
      <c r="I145" s="337"/>
      <c r="J145" s="183">
        <v>0</v>
      </c>
      <c r="K145" s="183">
        <v>0</v>
      </c>
      <c r="M145" s="364">
        <f t="shared" si="34"/>
        <v>1.1932302447339584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573">
        <f>'[74]Sch C'!D147</f>
        <v>0</v>
      </c>
      <c r="D146" s="573">
        <f>'[74]Sch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337"/>
      <c r="J146" s="183">
        <v>0</v>
      </c>
      <c r="K146" s="183">
        <v>0</v>
      </c>
      <c r="M146" s="364">
        <f t="shared" si="34"/>
        <v>0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573">
        <f>'[74]Sch C'!D148</f>
        <v>0</v>
      </c>
      <c r="D147" s="573">
        <f>'[74]Sch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7"/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573">
        <f>'[74]Sch C'!D149</f>
        <v>0</v>
      </c>
      <c r="D148" s="573">
        <f>'[74]Sch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7"/>
      <c r="J148" s="183">
        <v>0</v>
      </c>
      <c r="K148" s="183">
        <v>0</v>
      </c>
      <c r="M148" s="364">
        <f t="shared" si="34"/>
        <v>0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573">
        <f>'[74]Sch C'!D150</f>
        <v>19625</v>
      </c>
      <c r="D149" s="573">
        <f>'[74]Sch C'!F150</f>
        <v>0</v>
      </c>
      <c r="E149" s="171">
        <f t="shared" si="38"/>
        <v>19625</v>
      </c>
      <c r="F149" s="171"/>
      <c r="G149" s="171">
        <f t="shared" si="39"/>
        <v>19625</v>
      </c>
      <c r="H149" s="172">
        <f t="shared" si="40"/>
        <v>2.261253408443434E-3</v>
      </c>
      <c r="I149" s="337"/>
      <c r="J149" s="183">
        <v>0</v>
      </c>
      <c r="K149" s="183">
        <v>0</v>
      </c>
      <c r="M149" s="364">
        <f t="shared" si="34"/>
        <v>0.79650148139129018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573">
        <f>'[74]Sch C'!D151</f>
        <v>218899</v>
      </c>
      <c r="D150" s="573">
        <f>'[74]Sch C'!F151</f>
        <v>0</v>
      </c>
      <c r="E150" s="171">
        <f t="shared" si="38"/>
        <v>218899</v>
      </c>
      <c r="F150" s="171"/>
      <c r="G150" s="171">
        <f t="shared" si="39"/>
        <v>218899</v>
      </c>
      <c r="H150" s="172">
        <f t="shared" si="40"/>
        <v>2.5222222158209386E-2</v>
      </c>
      <c r="I150" s="337"/>
      <c r="J150" s="168"/>
      <c r="K150" s="168"/>
      <c r="M150" s="364">
        <f t="shared" si="34"/>
        <v>8.884248549048257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573">
        <f>'[74]Sch C'!D152</f>
        <v>2595</v>
      </c>
      <c r="D151" s="573">
        <f>'[74]Sch C'!F152</f>
        <v>0</v>
      </c>
      <c r="E151" s="171">
        <f t="shared" si="38"/>
        <v>2595</v>
      </c>
      <c r="F151" s="171"/>
      <c r="G151" s="171">
        <f t="shared" si="39"/>
        <v>2595</v>
      </c>
      <c r="H151" s="172">
        <f t="shared" si="40"/>
        <v>2.9900395388080057E-4</v>
      </c>
      <c r="I151" s="337"/>
      <c r="J151" s="168"/>
      <c r="K151" s="168"/>
      <c r="M151" s="364">
        <f t="shared" si="34"/>
        <v>0.10532083282600754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573">
        <f>'[74]Sch C'!D153</f>
        <v>0</v>
      </c>
      <c r="D152" s="573">
        <f>'[74]Sch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7"/>
      <c r="J152" s="168"/>
      <c r="K152" s="168"/>
      <c r="M152" s="364">
        <f t="shared" si="34"/>
        <v>0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573">
        <f>'[74]Sch C'!D154</f>
        <v>0</v>
      </c>
      <c r="D153" s="573">
        <f>'[74]Sch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210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573">
        <f>'[74]Sch C'!D156</f>
        <v>0</v>
      </c>
      <c r="D155" s="573">
        <f>'[74]Sch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573">
        <f>'[74]Sch C'!D157</f>
        <v>0</v>
      </c>
      <c r="D156" s="573">
        <f>'[74]Sch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573">
        <f>'[74]Sch C'!D158</f>
        <v>0</v>
      </c>
      <c r="D157" s="573">
        <f>'[74]Sch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7"/>
      <c r="J157" s="168"/>
      <c r="K157" s="168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573">
        <f>'[74]Sch C'!D159</f>
        <v>0</v>
      </c>
      <c r="D158" s="573">
        <f>'[74]Sch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573">
        <f>'[74]Sch C'!D160</f>
        <v>0</v>
      </c>
      <c r="D159" s="573">
        <f>'[74]Sch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7"/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573">
        <f>'[74]Sch C'!D161</f>
        <v>3938</v>
      </c>
      <c r="D160" s="573">
        <f>'[74]Sch C'!F161</f>
        <v>0</v>
      </c>
      <c r="E160" s="171">
        <f t="shared" si="41"/>
        <v>3938</v>
      </c>
      <c r="F160" s="171">
        <v>-3212</v>
      </c>
      <c r="G160" s="171">
        <f t="shared" si="42"/>
        <v>726</v>
      </c>
      <c r="H160" s="172">
        <f t="shared" si="43"/>
        <v>8.3651973224455184E-5</v>
      </c>
      <c r="I160" s="522" t="s">
        <v>475</v>
      </c>
      <c r="J160" s="168"/>
      <c r="K160" s="168"/>
      <c r="M160" s="364">
        <f t="shared" si="34"/>
        <v>2.946548155363448E-2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573">
        <f>SUM(C123:C160)</f>
        <v>2714909</v>
      </c>
      <c r="D161" s="573">
        <f>SUM(D123:D160)</f>
        <v>417533</v>
      </c>
      <c r="E161" s="171">
        <f t="shared" ref="E161" si="44">SUM(E123:E160)</f>
        <v>3132442</v>
      </c>
      <c r="F161" s="171">
        <f>SUM(F123:F160)</f>
        <v>-3212</v>
      </c>
      <c r="G161" s="171">
        <f>SUM(G123:G160)</f>
        <v>3129230</v>
      </c>
      <c r="H161" s="172">
        <f t="shared" si="43"/>
        <v>0.3605595925250164</v>
      </c>
      <c r="I161" s="337"/>
      <c r="J161" s="168"/>
      <c r="K161" s="168"/>
      <c r="M161" s="364">
        <f>G161/G$228</f>
        <v>127.00312512683145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337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7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573">
        <f>'[74]Sch C'!D175</f>
        <v>0</v>
      </c>
      <c r="D164" s="573">
        <f>'[74]Sch C'!F175</f>
        <v>0</v>
      </c>
      <c r="E164" s="171">
        <f t="shared" ref="E164:E196" si="45">C164+D164</f>
        <v>0</v>
      </c>
      <c r="F164" s="665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573">
        <f>'[74]Sch C'!D176</f>
        <v>0</v>
      </c>
      <c r="D165" s="573">
        <f>'[74]Sch C'!F176</f>
        <v>0</v>
      </c>
      <c r="E165" s="171">
        <f t="shared" si="45"/>
        <v>0</v>
      </c>
      <c r="F165" s="665"/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573">
        <f>'[74]Sch C'!D177</f>
        <v>295579</v>
      </c>
      <c r="D166" s="573">
        <f>'[74]Sch C'!F177</f>
        <v>0</v>
      </c>
      <c r="E166" s="171">
        <f t="shared" si="45"/>
        <v>295579</v>
      </c>
      <c r="F166" s="665"/>
      <c r="G166" s="171">
        <f t="shared" si="46"/>
        <v>295579</v>
      </c>
      <c r="H166" s="172">
        <f t="shared" si="47"/>
        <v>3.4057529743403911E-2</v>
      </c>
      <c r="I166" s="343"/>
      <c r="J166" s="217">
        <v>21103</v>
      </c>
      <c r="K166" s="217">
        <v>21103</v>
      </c>
      <c r="L166" s="218"/>
      <c r="M166" s="364">
        <f t="shared" si="48"/>
        <v>11.996387840415601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573">
        <f>'[74]Sch C'!D178</f>
        <v>0</v>
      </c>
      <c r="D167" s="573">
        <f>'[74]Sch C'!F178</f>
        <v>50570</v>
      </c>
      <c r="E167" s="171">
        <f t="shared" si="45"/>
        <v>50570</v>
      </c>
      <c r="F167" s="665"/>
      <c r="G167" s="171">
        <f t="shared" si="46"/>
        <v>50570</v>
      </c>
      <c r="H167" s="172">
        <f t="shared" si="47"/>
        <v>5.8268323498081248E-3</v>
      </c>
      <c r="I167" s="344"/>
      <c r="J167" s="222"/>
      <c r="K167" s="222"/>
      <c r="L167" s="218"/>
      <c r="M167" s="364">
        <f t="shared" si="48"/>
        <v>2.0524371930679006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573">
        <f>'[74]Sch C'!D179</f>
        <v>0</v>
      </c>
      <c r="D168" s="573">
        <f>'[74]Sch C'!F179</f>
        <v>0</v>
      </c>
      <c r="E168" s="171">
        <f t="shared" si="45"/>
        <v>0</v>
      </c>
      <c r="F168" s="665"/>
      <c r="G168" s="171">
        <f t="shared" si="46"/>
        <v>0</v>
      </c>
      <c r="H168" s="172">
        <f t="shared" si="47"/>
        <v>0</v>
      </c>
      <c r="I168" s="343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573">
        <f>'[74]Sch C'!D180</f>
        <v>0</v>
      </c>
      <c r="D169" s="573">
        <f>'[74]Sch C'!F180</f>
        <v>0</v>
      </c>
      <c r="E169" s="171">
        <f t="shared" si="45"/>
        <v>0</v>
      </c>
      <c r="F169" s="665"/>
      <c r="G169" s="171">
        <f t="shared" si="46"/>
        <v>0</v>
      </c>
      <c r="H169" s="172">
        <f t="shared" si="47"/>
        <v>0</v>
      </c>
      <c r="I169" s="344"/>
      <c r="J169" s="222"/>
      <c r="K169" s="222"/>
      <c r="L169" s="218"/>
      <c r="M169" s="364">
        <f t="shared" si="48"/>
        <v>0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573">
        <f>'[74]Sch C'!D181</f>
        <v>0</v>
      </c>
      <c r="D170" s="573">
        <f>'[74]Sch C'!F181</f>
        <v>0</v>
      </c>
      <c r="E170" s="171">
        <f t="shared" si="45"/>
        <v>0</v>
      </c>
      <c r="F170" s="665"/>
      <c r="G170" s="171">
        <f t="shared" si="46"/>
        <v>0</v>
      </c>
      <c r="H170" s="172">
        <f t="shared" si="47"/>
        <v>0</v>
      </c>
      <c r="I170" s="343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573">
        <f>'[74]Sch C'!D182</f>
        <v>0</v>
      </c>
      <c r="D171" s="573">
        <f>'[74]Sch C'!F182</f>
        <v>0</v>
      </c>
      <c r="E171" s="171">
        <f t="shared" si="45"/>
        <v>0</v>
      </c>
      <c r="F171" s="665"/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573">
        <f>'[74]Sch C'!D183</f>
        <v>233909</v>
      </c>
      <c r="D172" s="573">
        <f>'[74]Sch C'!F183</f>
        <v>0</v>
      </c>
      <c r="E172" s="171">
        <f t="shared" si="45"/>
        <v>233909</v>
      </c>
      <c r="F172" s="665"/>
      <c r="G172" s="171">
        <f t="shared" si="46"/>
        <v>233909</v>
      </c>
      <c r="H172" s="172">
        <f t="shared" si="47"/>
        <v>2.6951720943469818E-2</v>
      </c>
      <c r="I172" s="343"/>
      <c r="J172" s="217">
        <v>13998</v>
      </c>
      <c r="K172" s="217">
        <v>13998</v>
      </c>
      <c r="L172" s="218"/>
      <c r="M172" s="364">
        <f t="shared" si="48"/>
        <v>9.4934453508665122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573">
        <f>'[74]Sch C'!D184</f>
        <v>0</v>
      </c>
      <c r="D173" s="573">
        <f>'[74]Sch C'!F184</f>
        <v>40019</v>
      </c>
      <c r="E173" s="171">
        <f t="shared" si="45"/>
        <v>40019</v>
      </c>
      <c r="F173" s="665"/>
      <c r="G173" s="171">
        <f t="shared" si="46"/>
        <v>40019</v>
      </c>
      <c r="H173" s="172">
        <f t="shared" si="47"/>
        <v>4.611113383566766E-3</v>
      </c>
      <c r="I173" s="344"/>
      <c r="J173" s="222"/>
      <c r="K173" s="222"/>
      <c r="L173" s="218"/>
      <c r="M173" s="364">
        <f t="shared" si="48"/>
        <v>1.6242136450342952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573">
        <f>'[74]Sch C'!D185</f>
        <v>0</v>
      </c>
      <c r="D174" s="573">
        <f>'[74]Sch C'!F185</f>
        <v>0</v>
      </c>
      <c r="E174" s="171">
        <f t="shared" si="45"/>
        <v>0</v>
      </c>
      <c r="F174" s="665"/>
      <c r="G174" s="171">
        <f t="shared" si="46"/>
        <v>0</v>
      </c>
      <c r="H174" s="172">
        <f t="shared" si="47"/>
        <v>0</v>
      </c>
      <c r="I174" s="343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573">
        <f>'[74]Sch C'!D186</f>
        <v>0</v>
      </c>
      <c r="D175" s="573">
        <f>'[74]Sch C'!F186</f>
        <v>0</v>
      </c>
      <c r="E175" s="171">
        <f t="shared" si="45"/>
        <v>0</v>
      </c>
      <c r="F175" s="665"/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573">
        <f>'[74]Sch C'!D187</f>
        <v>0</v>
      </c>
      <c r="D176" s="573">
        <f>'[74]Sch C'!F187</f>
        <v>0</v>
      </c>
      <c r="E176" s="171">
        <f t="shared" si="45"/>
        <v>0</v>
      </c>
      <c r="F176" s="665"/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573">
        <f>'[74]Sch C'!D188</f>
        <v>37891</v>
      </c>
      <c r="D177" s="573">
        <f>'[74]Sch C'!F188</f>
        <v>0</v>
      </c>
      <c r="E177" s="171">
        <f t="shared" si="45"/>
        <v>37891</v>
      </c>
      <c r="F177" s="665"/>
      <c r="G177" s="171">
        <f t="shared" si="46"/>
        <v>37891</v>
      </c>
      <c r="H177" s="172">
        <f t="shared" si="47"/>
        <v>4.3659186190741477E-3</v>
      </c>
      <c r="I177" s="337"/>
      <c r="J177" s="223"/>
      <c r="K177" s="218"/>
      <c r="L177" s="220"/>
      <c r="M177" s="364">
        <f t="shared" si="48"/>
        <v>1.5378465035106945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573">
        <f>'[74]Sch C'!D189</f>
        <v>604</v>
      </c>
      <c r="D178" s="573">
        <f>'[74]Sch C'!F189</f>
        <v>0</v>
      </c>
      <c r="E178" s="171">
        <f t="shared" si="45"/>
        <v>604</v>
      </c>
      <c r="F178" s="665"/>
      <c r="G178" s="171">
        <f t="shared" si="46"/>
        <v>604</v>
      </c>
      <c r="H178" s="172">
        <f t="shared" si="47"/>
        <v>6.959475458343103E-5</v>
      </c>
      <c r="I178" s="337"/>
      <c r="J178" s="223"/>
      <c r="K178" s="218"/>
      <c r="L178" s="220"/>
      <c r="M178" s="364">
        <f t="shared" si="48"/>
        <v>2.4513981898616016E-2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573">
        <f>'[74]Sch C'!D190</f>
        <v>0</v>
      </c>
      <c r="D179" s="573">
        <f>'[74]Sch C'!F190</f>
        <v>0</v>
      </c>
      <c r="E179" s="171">
        <f t="shared" si="45"/>
        <v>0</v>
      </c>
      <c r="F179" s="665"/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573">
        <f>'[74]Sch C'!D191</f>
        <v>0</v>
      </c>
      <c r="D180" s="573">
        <f>'[74]Sch C'!F191</f>
        <v>0</v>
      </c>
      <c r="E180" s="171">
        <f t="shared" si="45"/>
        <v>0</v>
      </c>
      <c r="F180" s="665"/>
      <c r="G180" s="171">
        <f t="shared" si="46"/>
        <v>0</v>
      </c>
      <c r="H180" s="172">
        <f t="shared" si="47"/>
        <v>0</v>
      </c>
      <c r="I180" s="337"/>
      <c r="J180" s="223"/>
      <c r="K180" s="218"/>
      <c r="L180" s="220"/>
      <c r="M180" s="364">
        <f t="shared" si="48"/>
        <v>0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573">
        <f>'[74]Sch C'!D192</f>
        <v>0</v>
      </c>
      <c r="D181" s="573">
        <f>'[74]Sch C'!F192</f>
        <v>0</v>
      </c>
      <c r="E181" s="171">
        <f t="shared" si="45"/>
        <v>0</v>
      </c>
      <c r="F181" s="665"/>
      <c r="G181" s="171">
        <f t="shared" si="46"/>
        <v>0</v>
      </c>
      <c r="H181" s="172">
        <f t="shared" si="47"/>
        <v>0</v>
      </c>
      <c r="I181" s="337"/>
      <c r="J181" s="223"/>
      <c r="K181" s="218"/>
      <c r="L181" s="220"/>
      <c r="M181" s="364">
        <f t="shared" si="48"/>
        <v>0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573">
        <f>'[74]Sch C'!D193</f>
        <v>0</v>
      </c>
      <c r="D182" s="573">
        <f>'[74]Sch C'!F193</f>
        <v>0</v>
      </c>
      <c r="E182" s="171">
        <f t="shared" si="45"/>
        <v>0</v>
      </c>
      <c r="F182" s="665"/>
      <c r="G182" s="171">
        <f t="shared" si="46"/>
        <v>0</v>
      </c>
      <c r="H182" s="172">
        <f t="shared" si="47"/>
        <v>0</v>
      </c>
      <c r="I182" s="337"/>
      <c r="J182" s="223"/>
      <c r="K182" s="218"/>
      <c r="L182" s="220"/>
      <c r="M182" s="364">
        <f t="shared" si="48"/>
        <v>0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573">
        <f>'[74]Sch C'!D194</f>
        <v>364720</v>
      </c>
      <c r="D183" s="573">
        <f>'[74]Sch C'!F194</f>
        <v>0</v>
      </c>
      <c r="E183" s="171">
        <f t="shared" si="45"/>
        <v>364720</v>
      </c>
      <c r="F183" s="665"/>
      <c r="G183" s="171">
        <f t="shared" si="46"/>
        <v>364720</v>
      </c>
      <c r="H183" s="172">
        <f t="shared" si="47"/>
        <v>4.2024170350445311E-2</v>
      </c>
      <c r="I183" s="337"/>
      <c r="J183" s="223"/>
      <c r="K183" s="218"/>
      <c r="M183" s="364">
        <f t="shared" si="48"/>
        <v>14.802548804740452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573">
        <f>'[74]Sch C'!D195</f>
        <v>71318</v>
      </c>
      <c r="D184" s="573">
        <f>'[74]Sch C'!F195</f>
        <v>0</v>
      </c>
      <c r="E184" s="171">
        <f t="shared" si="45"/>
        <v>71318</v>
      </c>
      <c r="F184" s="665"/>
      <c r="G184" s="171">
        <f t="shared" si="46"/>
        <v>71318</v>
      </c>
      <c r="H184" s="172">
        <f t="shared" si="47"/>
        <v>8.2174813036111488E-3</v>
      </c>
      <c r="I184" s="337"/>
      <c r="J184" s="223"/>
      <c r="K184" s="218"/>
      <c r="M184" s="364">
        <f t="shared" si="48"/>
        <v>2.8945168229230083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573">
        <f>'[74]Sch C'!D196</f>
        <v>0</v>
      </c>
      <c r="D185" s="573">
        <f>'[74]Sch C'!F196</f>
        <v>0</v>
      </c>
      <c r="E185" s="171">
        <f t="shared" si="45"/>
        <v>0</v>
      </c>
      <c r="F185" s="665"/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573">
        <f>'[74]Sch C'!D197</f>
        <v>84753</v>
      </c>
      <c r="D186" s="573">
        <f>'[74]Sch C'!F197</f>
        <v>0</v>
      </c>
      <c r="E186" s="171">
        <f t="shared" si="45"/>
        <v>84753</v>
      </c>
      <c r="F186" s="665"/>
      <c r="G186" s="171">
        <f t="shared" si="46"/>
        <v>84753</v>
      </c>
      <c r="H186" s="172">
        <f t="shared" si="47"/>
        <v>9.7655037006780295E-3</v>
      </c>
      <c r="I186" s="337"/>
      <c r="J186" s="223"/>
      <c r="K186" s="218"/>
      <c r="M186" s="364">
        <f t="shared" si="48"/>
        <v>3.4397905759162302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573">
        <f>'[74]Sch C'!D198</f>
        <v>135938</v>
      </c>
      <c r="D187" s="573">
        <f>'[74]Sch C'!F198</f>
        <v>0</v>
      </c>
      <c r="E187" s="171">
        <f t="shared" si="45"/>
        <v>135938</v>
      </c>
      <c r="F187" s="665"/>
      <c r="G187" s="171">
        <f t="shared" si="46"/>
        <v>135938</v>
      </c>
      <c r="H187" s="172">
        <f t="shared" si="47"/>
        <v>1.5663198259209352E-2</v>
      </c>
      <c r="I187" s="337"/>
      <c r="J187" s="223"/>
      <c r="K187" s="218"/>
      <c r="M187" s="364">
        <f t="shared" si="48"/>
        <v>5.5171881975729535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573">
        <f>'[74]Sch C'!D199</f>
        <v>0</v>
      </c>
      <c r="D188" s="573">
        <f>'[74]Sch C'!F199</f>
        <v>0</v>
      </c>
      <c r="E188" s="171">
        <f t="shared" si="45"/>
        <v>0</v>
      </c>
      <c r="F188" s="665"/>
      <c r="G188" s="171">
        <f t="shared" si="46"/>
        <v>0</v>
      </c>
      <c r="H188" s="172">
        <f t="shared" si="47"/>
        <v>0</v>
      </c>
      <c r="I188" s="337"/>
      <c r="J188" s="223"/>
      <c r="K188" s="218"/>
      <c r="M188" s="364">
        <f t="shared" si="48"/>
        <v>0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573">
        <f>'[74]Sch C'!D200</f>
        <v>0</v>
      </c>
      <c r="D189" s="573">
        <f>'[74]Sch C'!F200</f>
        <v>0</v>
      </c>
      <c r="E189" s="171">
        <f t="shared" si="45"/>
        <v>0</v>
      </c>
      <c r="F189" s="665">
        <f>3212+1350</f>
        <v>4562</v>
      </c>
      <c r="G189" s="171">
        <f t="shared" si="46"/>
        <v>4562</v>
      </c>
      <c r="H189" s="172">
        <f t="shared" si="47"/>
        <v>5.2564779869141126E-4</v>
      </c>
      <c r="I189" s="538" t="s">
        <v>475</v>
      </c>
      <c r="J189" s="223"/>
      <c r="K189" s="218"/>
      <c r="M189" s="364">
        <f t="shared" si="48"/>
        <v>0.18515361824749382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573">
        <f>'[74]Sch C'!D201</f>
        <v>0</v>
      </c>
      <c r="D190" s="573">
        <f>'[74]Sch C'!F201</f>
        <v>0</v>
      </c>
      <c r="E190" s="171">
        <f t="shared" si="45"/>
        <v>0</v>
      </c>
      <c r="F190" s="665"/>
      <c r="G190" s="171">
        <f t="shared" si="46"/>
        <v>0</v>
      </c>
      <c r="H190" s="172">
        <f t="shared" si="47"/>
        <v>0</v>
      </c>
      <c r="I190" s="337"/>
      <c r="J190" s="223"/>
      <c r="K190" s="218"/>
      <c r="M190" s="364">
        <f t="shared" si="48"/>
        <v>0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573">
        <f>'[74]Sch C'!D202</f>
        <v>0</v>
      </c>
      <c r="D191" s="573">
        <f>'[74]Sch C'!F202</f>
        <v>0</v>
      </c>
      <c r="E191" s="171">
        <f t="shared" si="45"/>
        <v>0</v>
      </c>
      <c r="F191" s="665"/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573">
        <f>'[74]Sch C'!D203</f>
        <v>0</v>
      </c>
      <c r="D192" s="573">
        <f>'[74]Sch C'!F203</f>
        <v>0</v>
      </c>
      <c r="E192" s="171">
        <f t="shared" si="45"/>
        <v>0</v>
      </c>
      <c r="F192" s="665"/>
      <c r="G192" s="171">
        <f t="shared" si="46"/>
        <v>0</v>
      </c>
      <c r="H192" s="172">
        <f t="shared" si="47"/>
        <v>0</v>
      </c>
      <c r="I192" s="337"/>
      <c r="J192" s="223"/>
      <c r="K192" s="218"/>
      <c r="M192" s="364">
        <f t="shared" si="48"/>
        <v>0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573">
        <f>'[74]Sch C'!D204</f>
        <v>0</v>
      </c>
      <c r="D193" s="573">
        <f>'[74]Sch C'!F204</f>
        <v>0</v>
      </c>
      <c r="E193" s="171">
        <f t="shared" si="45"/>
        <v>0</v>
      </c>
      <c r="F193" s="665"/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573">
        <f>'[74]Sch C'!D205</f>
        <v>421898</v>
      </c>
      <c r="D194" s="573">
        <f>'[74]Sch C'!F205</f>
        <v>0</v>
      </c>
      <c r="E194" s="171">
        <f t="shared" si="45"/>
        <v>421898</v>
      </c>
      <c r="F194" s="665"/>
      <c r="G194" s="171">
        <f t="shared" si="46"/>
        <v>421898</v>
      </c>
      <c r="H194" s="172">
        <f t="shared" si="47"/>
        <v>4.8612396968941034E-2</v>
      </c>
      <c r="I194" s="337"/>
      <c r="J194" s="223"/>
      <c r="K194" s="218"/>
      <c r="M194" s="364">
        <f t="shared" si="48"/>
        <v>17.12317870043427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573">
        <f>'[74]Sch C'!D206</f>
        <v>44608</v>
      </c>
      <c r="D195" s="573">
        <f>'[74]Sch C'!F206</f>
        <v>0</v>
      </c>
      <c r="E195" s="171">
        <f t="shared" si="45"/>
        <v>44608</v>
      </c>
      <c r="F195" s="665"/>
      <c r="G195" s="171">
        <f t="shared" si="46"/>
        <v>44608</v>
      </c>
      <c r="H195" s="172">
        <f t="shared" si="47"/>
        <v>5.1398722060557803E-3</v>
      </c>
      <c r="I195" s="337"/>
      <c r="J195" s="223"/>
      <c r="K195" s="218"/>
      <c r="M195" s="364">
        <f t="shared" si="48"/>
        <v>1.8104630869759324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573">
        <f>'[74]Sch C'!D207</f>
        <v>12663</v>
      </c>
      <c r="D196" s="573">
        <f>'[74]Sch C'!F207</f>
        <v>0</v>
      </c>
      <c r="E196" s="171">
        <f t="shared" si="45"/>
        <v>12663</v>
      </c>
      <c r="F196" s="665"/>
      <c r="G196" s="171">
        <f t="shared" si="46"/>
        <v>12663</v>
      </c>
      <c r="H196" s="172">
        <f t="shared" si="47"/>
        <v>1.4590701610761377E-3</v>
      </c>
      <c r="I196" s="337"/>
      <c r="J196" s="223"/>
      <c r="K196" s="218"/>
      <c r="M196" s="364">
        <f t="shared" si="48"/>
        <v>0.51394131255326925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573">
        <f>SUM(C164:C196)</f>
        <v>1703881</v>
      </c>
      <c r="D197" s="573">
        <f>SUM(D164:D196)</f>
        <v>90589</v>
      </c>
      <c r="E197" s="171">
        <f t="shared" ref="E197" si="49">SUM(E164:E196)</f>
        <v>1794470</v>
      </c>
      <c r="F197" s="171">
        <f>SUM(F164:F196)</f>
        <v>4562</v>
      </c>
      <c r="G197" s="171">
        <f>SUM(G164:G196)</f>
        <v>1799032</v>
      </c>
      <c r="H197" s="172">
        <f>IF($G$208=0,0,G197/$G$208)</f>
        <v>0.2072900505426144</v>
      </c>
      <c r="I197" s="337"/>
      <c r="J197" s="168"/>
      <c r="K197" s="168"/>
      <c r="M197" s="364">
        <f>G197/G$228</f>
        <v>73.015625634157232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165"/>
      <c r="G198" s="165"/>
      <c r="H198" s="198"/>
      <c r="I198" s="341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1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573">
        <f>'[74]Sch C'!D211</f>
        <v>90871</v>
      </c>
      <c r="D200" s="573">
        <f>'[74]Sch C'!F211</f>
        <v>0</v>
      </c>
      <c r="E200" s="171">
        <f t="shared" ref="E200:E205" si="50">C200+D200</f>
        <v>90871</v>
      </c>
      <c r="F200" s="171"/>
      <c r="G200" s="171">
        <f t="shared" ref="G200:G205" si="51">E200+F200</f>
        <v>90871</v>
      </c>
      <c r="H200" s="172">
        <f t="shared" ref="H200:H206" si="52">IF($G$208=0,0,G200/$G$208)</f>
        <v>1.0470438648594307E-2</v>
      </c>
      <c r="I200" s="337"/>
      <c r="J200" s="183">
        <v>5718</v>
      </c>
      <c r="K200" s="183">
        <v>5718</v>
      </c>
      <c r="M200" s="364">
        <f t="shared" ref="M200:M205" si="53">G200/G$228</f>
        <v>3.6880961077965826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573">
        <f>'[74]Sch C'!D212</f>
        <v>0</v>
      </c>
      <c r="D201" s="573">
        <f>'[74]Sch C'!F212</f>
        <v>15547</v>
      </c>
      <c r="E201" s="171">
        <f t="shared" si="50"/>
        <v>15547</v>
      </c>
      <c r="F201" s="171"/>
      <c r="G201" s="171">
        <f t="shared" si="51"/>
        <v>15547</v>
      </c>
      <c r="H201" s="172">
        <f t="shared" si="52"/>
        <v>1.7913735919016594E-3</v>
      </c>
      <c r="I201" s="337"/>
      <c r="J201" s="168"/>
      <c r="K201" s="168"/>
      <c r="M201" s="364">
        <f t="shared" si="53"/>
        <v>0.63099151751288607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573">
        <f>'[74]Sch C'!D213</f>
        <v>11460</v>
      </c>
      <c r="D202" s="573">
        <f>'[74]Sch C'!F213</f>
        <v>0</v>
      </c>
      <c r="E202" s="171">
        <f t="shared" si="50"/>
        <v>11460</v>
      </c>
      <c r="F202" s="171"/>
      <c r="G202" s="171">
        <f t="shared" si="51"/>
        <v>11460</v>
      </c>
      <c r="H202" s="172">
        <f t="shared" si="52"/>
        <v>1.3204567674273504E-3</v>
      </c>
      <c r="I202" s="337"/>
      <c r="J202" s="168"/>
      <c r="K202" s="168"/>
      <c r="M202" s="364">
        <f t="shared" si="53"/>
        <v>0.46511627906976744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573">
        <f>'[74]Sch C'!D214</f>
        <v>0</v>
      </c>
      <c r="D203" s="573">
        <f>'[74]Sch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>
        <f t="shared" si="53"/>
        <v>0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573">
        <f>'[74]Sch C'!D215</f>
        <v>0</v>
      </c>
      <c r="D204" s="573">
        <f>'[74]Sch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573">
        <f>'[74]Sch C'!D216</f>
        <v>6313</v>
      </c>
      <c r="D205" s="573">
        <f>'[74]Sch C'!F216</f>
        <v>0</v>
      </c>
      <c r="E205" s="171">
        <f t="shared" si="50"/>
        <v>6313</v>
      </c>
      <c r="F205" s="171">
        <v>-1350</v>
      </c>
      <c r="G205" s="171">
        <f t="shared" si="51"/>
        <v>4963</v>
      </c>
      <c r="H205" s="172">
        <f t="shared" si="52"/>
        <v>5.7185226324100698E-4</v>
      </c>
      <c r="I205" s="337"/>
      <c r="J205" s="168"/>
      <c r="K205" s="168"/>
      <c r="M205" s="364">
        <f t="shared" si="53"/>
        <v>0.20142862940866108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573">
        <f>SUM(C200:C205)</f>
        <v>108644</v>
      </c>
      <c r="D206" s="573">
        <f>SUM(D200:D205)</f>
        <v>15547</v>
      </c>
      <c r="E206" s="171">
        <f t="shared" ref="E206" si="54">SUM(E200:E205)</f>
        <v>124191</v>
      </c>
      <c r="F206" s="171">
        <f>SUM(F200:F205)</f>
        <v>-1350</v>
      </c>
      <c r="G206" s="171">
        <f>SUM(G200:G205)</f>
        <v>122841</v>
      </c>
      <c r="H206" s="172">
        <f t="shared" si="52"/>
        <v>1.4154121271164324E-2</v>
      </c>
      <c r="I206" s="337"/>
      <c r="J206" s="168"/>
      <c r="K206" s="168"/>
      <c r="M206" s="364">
        <f>G206/G$228</f>
        <v>4.9856325337878973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573">
        <f>SUM(C25:C206)/2</f>
        <v>8901628</v>
      </c>
      <c r="D208" s="573">
        <f>SUM(D25:D206)/2</f>
        <v>-177846</v>
      </c>
      <c r="E208" s="171">
        <f t="shared" ref="E208:F208" si="55">SUM(E25:E206)/2</f>
        <v>8723782</v>
      </c>
      <c r="F208" s="171">
        <f t="shared" si="55"/>
        <v>-44967</v>
      </c>
      <c r="G208" s="171">
        <f>SUM(G25:G206)/2</f>
        <v>8678815</v>
      </c>
      <c r="H208" s="172">
        <f>IF($G$208=0,0,G208/$G$208)</f>
        <v>1</v>
      </c>
      <c r="I208" s="337"/>
      <c r="J208" s="183">
        <f>SUM(J25:J200)</f>
        <v>240431</v>
      </c>
      <c r="K208" s="183">
        <f>SUM(K25:K200)</f>
        <v>240431</v>
      </c>
      <c r="M208" s="364">
        <f>G208/G$228</f>
        <v>352.238930151386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573">
        <f>'[74]Sch C'!D221</f>
        <v>8901628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573">
        <f>C208-C211</f>
        <v>0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619"/>
      <c r="D213" s="232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573">
        <f>C21-C208</f>
        <v>877193</v>
      </c>
      <c r="D215" s="573">
        <f>D21-D208</f>
        <v>177846</v>
      </c>
      <c r="E215" s="171">
        <f t="shared" ref="E215:F215" si="56">E21-E208</f>
        <v>1055039</v>
      </c>
      <c r="F215" s="171">
        <f t="shared" si="56"/>
        <v>44967</v>
      </c>
      <c r="G215" s="171">
        <f>G21-G208</f>
        <v>1100006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653">
        <f>'[74]Sch D'!C9</f>
        <v>8291</v>
      </c>
      <c r="D219" s="653"/>
      <c r="E219" s="235">
        <f t="shared" ref="E219:G227" si="57">C219+D219</f>
        <v>8291</v>
      </c>
      <c r="F219" s="234"/>
      <c r="G219" s="235">
        <f t="shared" si="57"/>
        <v>8291</v>
      </c>
      <c r="H219" s="172">
        <f t="shared" ref="H219:H228" si="58">IF($G$228=0,0,G219/$G$228)</f>
        <v>0.33649904622752547</v>
      </c>
      <c r="I219" s="337"/>
      <c r="J219" s="168"/>
      <c r="K219" s="168"/>
    </row>
    <row r="220" spans="1:14">
      <c r="A220" s="163"/>
      <c r="B220" s="170" t="s">
        <v>217</v>
      </c>
      <c r="C220" s="653">
        <f>'[74]Sch D'!D9</f>
        <v>0</v>
      </c>
      <c r="D220" s="653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7"/>
      <c r="J220" s="168"/>
      <c r="K220" s="168"/>
    </row>
    <row r="221" spans="1:14">
      <c r="A221" s="163"/>
      <c r="B221" s="170" t="s">
        <v>72</v>
      </c>
      <c r="C221" s="653">
        <f>'[74]Sch D'!E9</f>
        <v>10884</v>
      </c>
      <c r="D221" s="653"/>
      <c r="E221" s="235">
        <f t="shared" si="59"/>
        <v>10884</v>
      </c>
      <c r="F221" s="234"/>
      <c r="G221" s="235">
        <f t="shared" si="57"/>
        <v>10884</v>
      </c>
      <c r="H221" s="172">
        <f t="shared" si="58"/>
        <v>0.4417387069280409</v>
      </c>
      <c r="I221" s="337"/>
      <c r="J221" s="168"/>
      <c r="K221" s="168"/>
    </row>
    <row r="222" spans="1:14">
      <c r="A222" s="163"/>
      <c r="B222" s="202" t="s">
        <v>334</v>
      </c>
      <c r="C222" s="653">
        <f>'[74]Sch D'!F9</f>
        <v>3766</v>
      </c>
      <c r="D222" s="653"/>
      <c r="E222" s="235">
        <f>C222+D222</f>
        <v>3766</v>
      </c>
      <c r="F222" s="234"/>
      <c r="G222" s="235">
        <f>E222+F222</f>
        <v>3766</v>
      </c>
      <c r="H222" s="172">
        <f t="shared" si="58"/>
        <v>0.15284711230163561</v>
      </c>
      <c r="I222" s="337"/>
      <c r="J222" s="168"/>
      <c r="K222" s="168"/>
    </row>
    <row r="223" spans="1:14">
      <c r="A223" s="163"/>
      <c r="B223" s="170" t="s">
        <v>73</v>
      </c>
      <c r="C223" s="653">
        <f>'[74]Sch D'!G9</f>
        <v>0</v>
      </c>
      <c r="D223" s="653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7"/>
      <c r="J223" s="168"/>
      <c r="K223" s="168"/>
    </row>
    <row r="224" spans="1:14">
      <c r="A224" s="163"/>
      <c r="B224" s="170" t="s">
        <v>74</v>
      </c>
      <c r="C224" s="653">
        <f>'[74]Sch D'!H9</f>
        <v>1638</v>
      </c>
      <c r="D224" s="653"/>
      <c r="E224" s="235">
        <f t="shared" si="59"/>
        <v>1638</v>
      </c>
      <c r="F224" s="234"/>
      <c r="G224" s="235">
        <f t="shared" si="57"/>
        <v>1638</v>
      </c>
      <c r="H224" s="172">
        <f t="shared" si="58"/>
        <v>6.6479970778034816E-2</v>
      </c>
      <c r="I224" s="337"/>
      <c r="J224" s="168"/>
      <c r="K224" s="168"/>
    </row>
    <row r="225" spans="1:11">
      <c r="A225" s="163"/>
      <c r="B225" s="170" t="s">
        <v>236</v>
      </c>
      <c r="C225" s="653">
        <f>'[74]Sch D'!I9</f>
        <v>0</v>
      </c>
      <c r="D225" s="653"/>
      <c r="E225" s="235">
        <f t="shared" si="59"/>
        <v>0</v>
      </c>
      <c r="F225" s="234"/>
      <c r="G225" s="235">
        <f t="shared" si="57"/>
        <v>0</v>
      </c>
      <c r="H225" s="172">
        <f t="shared" si="58"/>
        <v>0</v>
      </c>
      <c r="I225" s="337"/>
      <c r="J225" s="168"/>
      <c r="K225" s="168"/>
    </row>
    <row r="226" spans="1:11">
      <c r="A226" s="163"/>
      <c r="B226" s="170" t="s">
        <v>235</v>
      </c>
      <c r="C226" s="653">
        <f>'[74]Sch D'!J9</f>
        <v>60</v>
      </c>
      <c r="D226" s="653"/>
      <c r="E226" s="235">
        <f>C226+D226</f>
        <v>60</v>
      </c>
      <c r="F226" s="234"/>
      <c r="G226" s="235">
        <f>E226+F226</f>
        <v>60</v>
      </c>
      <c r="H226" s="172">
        <f t="shared" si="58"/>
        <v>2.4351637647631805E-3</v>
      </c>
      <c r="I226" s="337"/>
      <c r="J226" s="168"/>
      <c r="K226" s="168"/>
    </row>
    <row r="227" spans="1:11">
      <c r="A227" s="163"/>
      <c r="B227" s="170" t="s">
        <v>179</v>
      </c>
      <c r="C227" s="653">
        <f>'[74]Sch D'!K9</f>
        <v>0</v>
      </c>
      <c r="D227" s="653"/>
      <c r="E227" s="235">
        <f t="shared" si="59"/>
        <v>0</v>
      </c>
      <c r="F227" s="234"/>
      <c r="G227" s="235">
        <f t="shared" si="57"/>
        <v>0</v>
      </c>
      <c r="H227" s="172">
        <f t="shared" si="58"/>
        <v>0</v>
      </c>
      <c r="I227" s="337"/>
      <c r="J227" s="168"/>
      <c r="K227" s="168"/>
    </row>
    <row r="228" spans="1:11" ht="13.5" thickBot="1">
      <c r="A228" s="163"/>
      <c r="B228" s="236" t="s">
        <v>75</v>
      </c>
      <c r="C228" s="653">
        <f>SUM(C219:C227)</f>
        <v>24639</v>
      </c>
      <c r="D228" s="653">
        <f>SUM(D219:D227)</f>
        <v>0</v>
      </c>
      <c r="E228" s="237">
        <f>SUM(E219:E227)</f>
        <v>24639</v>
      </c>
      <c r="F228" s="237">
        <f>SUM(F219:F227)</f>
        <v>0</v>
      </c>
      <c r="G228" s="237">
        <f>SUM(G219:G227)</f>
        <v>24639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620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619"/>
      <c r="D230" s="232"/>
      <c r="E230" s="232"/>
      <c r="F230" s="520" t="s">
        <v>470</v>
      </c>
      <c r="G230" s="232"/>
      <c r="H230" s="167"/>
      <c r="J230" s="168"/>
      <c r="K230" s="168"/>
    </row>
    <row r="231" spans="1:11">
      <c r="A231" s="163"/>
      <c r="B231" s="202" t="s">
        <v>219</v>
      </c>
      <c r="C231" s="654">
        <f>'[74]Sch D'!N22</f>
        <v>120</v>
      </c>
      <c r="D231" s="574"/>
      <c r="E231" s="235">
        <f>C231+D231</f>
        <v>120</v>
      </c>
      <c r="F231" s="235"/>
      <c r="G231" s="235">
        <f>E231+F231</f>
        <v>120</v>
      </c>
      <c r="H231" s="167"/>
      <c r="J231" s="168"/>
      <c r="K231" s="168"/>
    </row>
    <row r="232" spans="1:11">
      <c r="A232" s="163"/>
      <c r="B232" s="202" t="s">
        <v>290</v>
      </c>
      <c r="C232" s="654">
        <f>'[74]Sch D'!N24</f>
        <v>120</v>
      </c>
      <c r="D232" s="574"/>
      <c r="E232" s="235">
        <f>C232+D232</f>
        <v>120</v>
      </c>
      <c r="F232" s="521">
        <v>-38</v>
      </c>
      <c r="G232" s="235">
        <f>E232+F232</f>
        <v>82</v>
      </c>
      <c r="H232" s="522" t="s">
        <v>662</v>
      </c>
      <c r="J232" s="168"/>
      <c r="K232" s="168"/>
    </row>
    <row r="233" spans="1:11">
      <c r="A233" s="163"/>
      <c r="B233" s="202" t="s">
        <v>76</v>
      </c>
      <c r="C233" s="654">
        <f>$C$4-$C$3+1</f>
        <v>365</v>
      </c>
      <c r="D233" s="489"/>
      <c r="E233" s="235">
        <f>C233+D233</f>
        <v>365</v>
      </c>
      <c r="F233" s="240"/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621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654">
        <f>'[74]Sch D'!N28</f>
        <v>43800</v>
      </c>
      <c r="D235" s="489"/>
      <c r="E235" s="234">
        <f>E231*E233</f>
        <v>43800</v>
      </c>
      <c r="F235" s="240"/>
      <c r="G235" s="234">
        <f>G231*G233</f>
        <v>43800</v>
      </c>
      <c r="H235" s="167"/>
      <c r="J235" s="168"/>
      <c r="K235" s="168"/>
    </row>
    <row r="236" spans="1:11" ht="26">
      <c r="A236" s="163"/>
      <c r="B236" s="244" t="s">
        <v>336</v>
      </c>
      <c r="C236" s="655">
        <f>'[74]Sch D'!N30</f>
        <v>0.56253424657534246</v>
      </c>
      <c r="D236" s="240"/>
      <c r="E236" s="245">
        <f>E228/E235</f>
        <v>0.56253424657534246</v>
      </c>
      <c r="F236" s="246"/>
      <c r="G236" s="245">
        <f>G228/G235</f>
        <v>0.56253424657534246</v>
      </c>
      <c r="H236" s="167"/>
      <c r="J236" s="168"/>
      <c r="K236" s="168"/>
    </row>
    <row r="237" spans="1:11" ht="26">
      <c r="A237" s="163"/>
      <c r="B237" s="244" t="s">
        <v>337</v>
      </c>
      <c r="C237" s="655">
        <f>'[74]Sch D'!N32</f>
        <v>0.18929223744292237</v>
      </c>
      <c r="D237" s="240"/>
      <c r="E237" s="245">
        <f>(E219+E220)/E235</f>
        <v>0.18929223744292237</v>
      </c>
      <c r="F237" s="246"/>
      <c r="G237" s="245">
        <f>(G219+G220)/G235</f>
        <v>0.18929223744292237</v>
      </c>
      <c r="H237" s="167"/>
      <c r="J237" s="168"/>
      <c r="K237" s="168"/>
    </row>
    <row r="238" spans="1:11" ht="26">
      <c r="A238" s="163"/>
      <c r="B238" s="244" t="s">
        <v>338</v>
      </c>
      <c r="C238" s="655">
        <f>'[74]Sch D'!N34</f>
        <v>0.33649904622752547</v>
      </c>
      <c r="D238" s="240"/>
      <c r="E238" s="245">
        <f>(E237/E236)</f>
        <v>0.33649904622752547</v>
      </c>
      <c r="F238" s="246"/>
      <c r="G238" s="245">
        <f>(G237/G236)</f>
        <v>0.33649904622752547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73">
        <f>'[74]Sch B'!C85</f>
        <v>360.20771513353117</v>
      </c>
    </row>
    <row r="242" spans="2:7">
      <c r="B242" s="459" t="s">
        <v>471</v>
      </c>
      <c r="F242" s="142" t="s">
        <v>341</v>
      </c>
      <c r="G242" s="573">
        <f>'[74]Sch B'!E85</f>
        <v>360.21037463976944</v>
      </c>
    </row>
    <row r="243" spans="2:7" ht="14">
      <c r="B243" s="539" t="s">
        <v>472</v>
      </c>
      <c r="F243" s="142" t="s">
        <v>342</v>
      </c>
      <c r="G243" s="573">
        <f>'[74]Sch B'!G85</f>
        <v>360.21010101010103</v>
      </c>
    </row>
    <row r="244" spans="2:7" ht="14">
      <c r="B244" s="539" t="s">
        <v>476</v>
      </c>
      <c r="F244" s="142" t="s">
        <v>343</v>
      </c>
      <c r="G244" s="573">
        <f>'[74]Sch B'!I85</f>
        <v>357.85620915032678</v>
      </c>
    </row>
    <row r="245" spans="2:7" ht="14">
      <c r="B245" s="539" t="s">
        <v>477</v>
      </c>
      <c r="F245" s="142"/>
    </row>
  </sheetData>
  <printOptions horizontalCentered="1"/>
  <pageMargins left="0" right="0" top="0.75" bottom="1" header="0.5" footer="0.5"/>
  <pageSetup scale="70" orientation="portrait" horizontalDpi="300" verticalDpi="300" r:id="rId1"/>
  <headerFooter alignWithMargins="0">
    <oddFooter>&amp;R&amp;D
&amp;T
&amp;F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E28CAB"/>
  </sheetPr>
  <dimension ref="A1:Q245"/>
  <sheetViews>
    <sheetView showGridLines="0" zoomScale="95" zoomScaleNormal="95" workbookViewId="0">
      <selection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478"/>
      <c r="D1" s="478"/>
      <c r="E1" s="478"/>
      <c r="F1" s="478"/>
      <c r="G1" s="478"/>
      <c r="H1" s="478"/>
      <c r="I1" s="479"/>
    </row>
    <row r="2" spans="1:14" ht="23">
      <c r="B2" s="143" t="s">
        <v>189</v>
      </c>
      <c r="C2" s="247" t="s">
        <v>553</v>
      </c>
      <c r="D2" s="144"/>
      <c r="E2" s="465"/>
    </row>
    <row r="3" spans="1:14">
      <c r="A3" s="145"/>
      <c r="B3" s="140" t="s">
        <v>79</v>
      </c>
      <c r="C3" s="495">
        <v>42025</v>
      </c>
      <c r="D3" s="441" t="s">
        <v>554</v>
      </c>
      <c r="E3" s="147"/>
    </row>
    <row r="4" spans="1:14">
      <c r="A4" s="145"/>
      <c r="B4" s="148" t="s">
        <v>80</v>
      </c>
      <c r="C4" s="495">
        <v>42185</v>
      </c>
      <c r="D4" s="144"/>
      <c r="E4" s="149"/>
      <c r="G4" s="150"/>
    </row>
    <row r="5" spans="1:14">
      <c r="A5" s="145"/>
      <c r="B5" s="148"/>
      <c r="C5" s="151"/>
      <c r="D5" s="144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144"/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573">
        <f>'[75]Sch B'!E10</f>
        <v>7064</v>
      </c>
      <c r="D11" s="573">
        <f>'[75]Sch B'!G10</f>
        <v>0</v>
      </c>
      <c r="E11" s="171">
        <f>C11+D11</f>
        <v>7064</v>
      </c>
      <c r="F11" s="171"/>
      <c r="G11" s="171">
        <f t="shared" ref="G11:G20" si="0">E11+F11</f>
        <v>7064</v>
      </c>
      <c r="H11" s="172">
        <f t="shared" ref="H11:H21" si="1">IF($G$21=0,0,G11/$G$21)</f>
        <v>4.3399620560508802E-3</v>
      </c>
      <c r="I11" s="337"/>
      <c r="J11" s="368" t="s">
        <v>344</v>
      </c>
      <c r="K11" s="369">
        <f>G21</f>
        <v>1627664</v>
      </c>
      <c r="M11" s="359">
        <f>IFERROR(G11/G219,0)</f>
        <v>176.6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573">
        <f>'[75]Sch B'!E15</f>
        <v>0</v>
      </c>
      <c r="D12" s="573">
        <f>'[75]Sch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7"/>
      <c r="J12" s="370" t="s">
        <v>345</v>
      </c>
      <c r="K12" s="371">
        <f>G208</f>
        <v>2012483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573">
        <f>'[75]Sch B'!E21</f>
        <v>1537296</v>
      </c>
      <c r="D13" s="573">
        <f>'[75]Sch B'!G21</f>
        <v>0</v>
      </c>
      <c r="E13" s="171">
        <f t="shared" si="2"/>
        <v>1537296</v>
      </c>
      <c r="F13" s="171"/>
      <c r="G13" s="171">
        <f t="shared" si="0"/>
        <v>1537296</v>
      </c>
      <c r="H13" s="172">
        <f t="shared" si="1"/>
        <v>0.94447994180617134</v>
      </c>
      <c r="I13" s="337"/>
      <c r="J13" s="370" t="s">
        <v>346</v>
      </c>
      <c r="K13" s="371">
        <f>G228</f>
        <v>3224</v>
      </c>
      <c r="M13" s="359">
        <f t="shared" si="3"/>
        <v>510.89930209371886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573">
        <f>'[75]Sch B'!E27</f>
        <v>51455</v>
      </c>
      <c r="D14" s="573">
        <f>'[75]Sch B'!G27</f>
        <v>0</v>
      </c>
      <c r="E14" s="171">
        <f t="shared" si="2"/>
        <v>51455</v>
      </c>
      <c r="F14" s="175"/>
      <c r="G14" s="175">
        <f>E14+F14</f>
        <v>51455</v>
      </c>
      <c r="H14" s="176">
        <f t="shared" si="1"/>
        <v>3.1612789863264164E-2</v>
      </c>
      <c r="I14" s="338"/>
      <c r="J14" s="370" t="s">
        <v>347</v>
      </c>
      <c r="K14" s="371">
        <f>G231</f>
        <v>52</v>
      </c>
      <c r="M14" s="359">
        <f t="shared" si="3"/>
        <v>509.45544554455444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573">
        <f>'[75]Sch B'!E32</f>
        <v>0</v>
      </c>
      <c r="D15" s="573">
        <f>'[75]Sch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7"/>
      <c r="J15" s="370" t="s">
        <v>348</v>
      </c>
      <c r="K15" s="371">
        <f>G235</f>
        <v>8372</v>
      </c>
      <c r="M15" s="359">
        <f t="shared" si="3"/>
        <v>0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573">
        <f>'[75]Sch B'!E37</f>
        <v>22391</v>
      </c>
      <c r="D16" s="573">
        <f>'[75]Sch B'!G37</f>
        <v>0</v>
      </c>
      <c r="E16" s="171">
        <f t="shared" si="2"/>
        <v>22391</v>
      </c>
      <c r="F16" s="171"/>
      <c r="G16" s="171">
        <f t="shared" si="0"/>
        <v>22391</v>
      </c>
      <c r="H16" s="172">
        <f t="shared" si="1"/>
        <v>1.3756524688142025E-2</v>
      </c>
      <c r="I16" s="337"/>
      <c r="J16" s="372"/>
      <c r="K16" s="371"/>
      <c r="M16" s="359">
        <f t="shared" si="3"/>
        <v>447.82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573">
        <f>'[75]Sch B'!E42</f>
        <v>0</v>
      </c>
      <c r="D17" s="573">
        <f>'[75]Sch B'!G42</f>
        <v>0</v>
      </c>
      <c r="E17" s="171">
        <f t="shared" si="2"/>
        <v>0</v>
      </c>
      <c r="F17" s="171"/>
      <c r="G17" s="171">
        <f>E17+F17</f>
        <v>0</v>
      </c>
      <c r="H17" s="172">
        <f t="shared" si="1"/>
        <v>0</v>
      </c>
      <c r="I17" s="337"/>
      <c r="J17" s="370" t="s">
        <v>156</v>
      </c>
      <c r="K17" s="371">
        <f>J208</f>
        <v>70226</v>
      </c>
      <c r="M17" s="359">
        <f t="shared" si="3"/>
        <v>0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573">
        <f>'[75]Sch B'!E47</f>
        <v>9458</v>
      </c>
      <c r="D18" s="573">
        <f>'[75]Sch B'!G47</f>
        <v>0</v>
      </c>
      <c r="E18" s="171">
        <f t="shared" si="2"/>
        <v>9458</v>
      </c>
      <c r="F18" s="171"/>
      <c r="G18" s="171">
        <f>E18+F18</f>
        <v>9458</v>
      </c>
      <c r="H18" s="172">
        <f t="shared" si="1"/>
        <v>5.8107815863716345E-3</v>
      </c>
      <c r="I18" s="337"/>
      <c r="J18" s="373" t="s">
        <v>252</v>
      </c>
      <c r="K18" s="374">
        <f>K208</f>
        <v>70226</v>
      </c>
      <c r="M18" s="359">
        <f t="shared" si="3"/>
        <v>394.08333333333331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573">
        <f>'[75]Sch B'!E52</f>
        <v>0</v>
      </c>
      <c r="D19" s="573">
        <f>'[75]Sch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337"/>
      <c r="J19" s="168"/>
      <c r="K19" s="168"/>
      <c r="M19" s="359">
        <f t="shared" si="3"/>
        <v>0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573">
        <f>'[75]Sch B'!E67</f>
        <v>0</v>
      </c>
      <c r="D20" s="573">
        <f>'[75]Sch B'!G67</f>
        <v>0</v>
      </c>
      <c r="E20" s="171">
        <f t="shared" si="2"/>
        <v>0</v>
      </c>
      <c r="F20" s="171"/>
      <c r="G20" s="171">
        <f t="shared" si="0"/>
        <v>0</v>
      </c>
      <c r="H20" s="172">
        <f t="shared" si="1"/>
        <v>0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573">
        <f>SUM(C11:C20)</f>
        <v>1627664</v>
      </c>
      <c r="D21" s="573">
        <f>SUM(D11:D20)</f>
        <v>0</v>
      </c>
      <c r="E21" s="171">
        <f>SUM(E11:E20)</f>
        <v>1627664</v>
      </c>
      <c r="F21" s="171">
        <f>SUM(F11:F20)</f>
        <v>0</v>
      </c>
      <c r="G21" s="171">
        <f>SUM(G11:G20)</f>
        <v>1627664</v>
      </c>
      <c r="H21" s="172">
        <f t="shared" si="1"/>
        <v>1</v>
      </c>
      <c r="I21" s="337"/>
      <c r="J21" s="168"/>
      <c r="K21" s="168"/>
      <c r="M21" s="359">
        <f>IFERROR(G21/G228,0)</f>
        <v>504.85856079404465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4">
      <c r="A24" s="181" t="s">
        <v>161</v>
      </c>
      <c r="B24" s="148" t="s">
        <v>12</v>
      </c>
      <c r="M24" s="363"/>
      <c r="N24" s="363"/>
    </row>
    <row r="25" spans="1:14" s="167" customFormat="1">
      <c r="A25" s="169" t="s">
        <v>83</v>
      </c>
      <c r="B25" s="170" t="s">
        <v>14</v>
      </c>
      <c r="C25" s="573">
        <f>'[75]Sch C'!D10</f>
        <v>82588</v>
      </c>
      <c r="D25" s="573">
        <f>'[75]Sch C'!F10</f>
        <v>0</v>
      </c>
      <c r="E25" s="171">
        <f t="shared" ref="E25:E60" si="4">C25+D25</f>
        <v>82588</v>
      </c>
      <c r="F25" s="171"/>
      <c r="G25" s="182">
        <f>E25+F25</f>
        <v>82588</v>
      </c>
      <c r="H25" s="172">
        <f>IF($G$208=0,0,G25/$G$208)</f>
        <v>4.1037862183183657E-2</v>
      </c>
      <c r="I25" s="337"/>
      <c r="J25" s="183">
        <v>2088</v>
      </c>
      <c r="K25" s="183">
        <v>2088</v>
      </c>
      <c r="M25" s="359">
        <f>G25/G$228</f>
        <v>25.616625310173696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573">
        <f>'[75]Sch C'!D11</f>
        <v>0</v>
      </c>
      <c r="D26" s="573">
        <f>'[75]Sch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573">
        <f>'[75]Sch C'!D12</f>
        <v>69913</v>
      </c>
      <c r="D27" s="573">
        <f>'[75]Sch C'!F12</f>
        <v>0</v>
      </c>
      <c r="E27" s="171">
        <f t="shared" si="4"/>
        <v>69913</v>
      </c>
      <c r="F27" s="171"/>
      <c r="G27" s="171">
        <f t="shared" si="5"/>
        <v>69913</v>
      </c>
      <c r="H27" s="172">
        <f t="shared" si="6"/>
        <v>3.4739672335120347E-2</v>
      </c>
      <c r="I27" s="337"/>
      <c r="J27" s="185">
        <v>2079</v>
      </c>
      <c r="K27" s="185">
        <v>2079</v>
      </c>
      <c r="M27" s="359">
        <f t="shared" si="7"/>
        <v>21.685173697270471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573">
        <f>'[75]Sch C'!D13</f>
        <v>136986</v>
      </c>
      <c r="D28" s="573">
        <f>'[75]Sch C'!F13</f>
        <v>-114050</v>
      </c>
      <c r="E28" s="171">
        <f t="shared" si="4"/>
        <v>22936</v>
      </c>
      <c r="F28" s="171"/>
      <c r="G28" s="171">
        <f t="shared" si="5"/>
        <v>22936</v>
      </c>
      <c r="H28" s="172">
        <f t="shared" si="6"/>
        <v>1.1396866458002378E-2</v>
      </c>
      <c r="I28" s="337"/>
      <c r="J28" s="168"/>
      <c r="K28" s="168"/>
      <c r="M28" s="359">
        <f t="shared" si="7"/>
        <v>7.1141439205955335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573">
        <f>'[75]Sch C'!D14</f>
        <v>0</v>
      </c>
      <c r="D29" s="573">
        <f>'[75]Sch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573">
        <f>'[75]Sch C'!D15</f>
        <v>0</v>
      </c>
      <c r="D30" s="573">
        <f>'[75]Sch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7"/>
      <c r="J30" s="168"/>
      <c r="K30" s="168"/>
      <c r="M30" s="359">
        <f t="shared" si="7"/>
        <v>0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573">
        <f>'[75]Sch C'!D16</f>
        <v>10000</v>
      </c>
      <c r="D31" s="573">
        <f>'[75]Sch C'!F16</f>
        <v>-10000</v>
      </c>
      <c r="E31" s="171">
        <f t="shared" si="4"/>
        <v>0</v>
      </c>
      <c r="F31" s="171"/>
      <c r="G31" s="171">
        <f t="shared" si="5"/>
        <v>0</v>
      </c>
      <c r="H31" s="172">
        <f t="shared" si="6"/>
        <v>0</v>
      </c>
      <c r="I31" s="337"/>
      <c r="J31" s="168"/>
      <c r="K31" s="168"/>
      <c r="M31" s="359">
        <f t="shared" si="7"/>
        <v>0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573">
        <f>'[75]Sch C'!D17</f>
        <v>0</v>
      </c>
      <c r="D32" s="573">
        <f>'[75]Sch C'!F17</f>
        <v>0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7"/>
      <c r="J32" s="168"/>
      <c r="K32" s="168"/>
      <c r="M32" s="359">
        <f t="shared" si="7"/>
        <v>0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573">
        <f>'[75]Sch C'!D18</f>
        <v>6072</v>
      </c>
      <c r="D33" s="573">
        <f>'[75]Sch C'!F18</f>
        <v>0</v>
      </c>
      <c r="E33" s="171">
        <f t="shared" si="4"/>
        <v>6072</v>
      </c>
      <c r="F33" s="171"/>
      <c r="G33" s="171">
        <f t="shared" si="5"/>
        <v>6072</v>
      </c>
      <c r="H33" s="172">
        <f t="shared" si="6"/>
        <v>3.0171683437822828E-3</v>
      </c>
      <c r="I33" s="337"/>
      <c r="J33" s="168"/>
      <c r="K33" s="168"/>
      <c r="M33" s="359">
        <f t="shared" si="7"/>
        <v>1.8833746898263026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573">
        <f>'[75]Sch C'!D19</f>
        <v>4721</v>
      </c>
      <c r="D34" s="573">
        <f>'[75]Sch C'!F19</f>
        <v>0</v>
      </c>
      <c r="E34" s="171">
        <f t="shared" si="4"/>
        <v>4721</v>
      </c>
      <c r="F34" s="171"/>
      <c r="G34" s="171">
        <f t="shared" si="5"/>
        <v>4721</v>
      </c>
      <c r="H34" s="172">
        <f t="shared" si="6"/>
        <v>2.3458583252628719E-3</v>
      </c>
      <c r="I34" s="337"/>
      <c r="J34" s="168"/>
      <c r="K34" s="168"/>
      <c r="M34" s="359">
        <f t="shared" si="7"/>
        <v>1.4643300248138957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573">
        <f>'[75]Sch C'!D20</f>
        <v>14572</v>
      </c>
      <c r="D35" s="573">
        <f>'[75]Sch C'!F20</f>
        <v>0</v>
      </c>
      <c r="E35" s="171">
        <f t="shared" si="4"/>
        <v>14572</v>
      </c>
      <c r="F35" s="171"/>
      <c r="G35" s="171">
        <f t="shared" si="5"/>
        <v>14572</v>
      </c>
      <c r="H35" s="172">
        <f t="shared" si="6"/>
        <v>7.2408065061916049E-3</v>
      </c>
      <c r="I35" s="337"/>
      <c r="J35" s="168"/>
      <c r="K35" s="168"/>
      <c r="M35" s="359">
        <f t="shared" si="7"/>
        <v>4.5198511166253104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573">
        <f>'[75]Sch C'!D21</f>
        <v>4057</v>
      </c>
      <c r="D36" s="573">
        <f>'[75]Sch C'!F21</f>
        <v>0</v>
      </c>
      <c r="E36" s="171">
        <f t="shared" si="4"/>
        <v>4057</v>
      </c>
      <c r="F36" s="171"/>
      <c r="G36" s="171">
        <f t="shared" si="5"/>
        <v>4057</v>
      </c>
      <c r="H36" s="172">
        <f t="shared" si="6"/>
        <v>2.0159176499876023E-3</v>
      </c>
      <c r="I36" s="337"/>
      <c r="J36" s="168"/>
      <c r="K36" s="168"/>
      <c r="M36" s="359">
        <f t="shared" si="7"/>
        <v>1.2583746898263026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573">
        <f>'[75]Sch C'!D22</f>
        <v>0</v>
      </c>
      <c r="D37" s="573">
        <f>'[75]Sch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573">
        <f>'[75]Sch C'!D23</f>
        <v>24324</v>
      </c>
      <c r="D38" s="573">
        <f>'[75]Sch C'!F23</f>
        <v>0</v>
      </c>
      <c r="E38" s="171">
        <f t="shared" si="4"/>
        <v>24324</v>
      </c>
      <c r="F38" s="171">
        <v>-19157</v>
      </c>
      <c r="G38" s="171">
        <f t="shared" si="5"/>
        <v>5167</v>
      </c>
      <c r="H38" s="172">
        <f t="shared" si="6"/>
        <v>2.5674751041375255E-3</v>
      </c>
      <c r="I38" s="337"/>
      <c r="J38" s="168"/>
      <c r="K38" s="168"/>
      <c r="M38" s="359">
        <f t="shared" si="7"/>
        <v>1.602667493796526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573">
        <f>'[75]Sch C'!D24</f>
        <v>635</v>
      </c>
      <c r="D39" s="573">
        <f>'[75]Sch C'!F24</f>
        <v>0</v>
      </c>
      <c r="E39" s="171">
        <f t="shared" si="4"/>
        <v>635</v>
      </c>
      <c r="F39" s="171">
        <v>19157</v>
      </c>
      <c r="G39" s="171">
        <f t="shared" si="5"/>
        <v>19792</v>
      </c>
      <c r="H39" s="172">
        <f t="shared" si="6"/>
        <v>9.8346172365182706E-3</v>
      </c>
      <c r="I39" s="337"/>
      <c r="J39" s="168"/>
      <c r="K39" s="168"/>
      <c r="M39" s="359">
        <f t="shared" si="7"/>
        <v>6.1389578163771716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573">
        <f>'[75]Sch C'!D25</f>
        <v>0</v>
      </c>
      <c r="D40" s="573">
        <f>'[75]Sch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337"/>
      <c r="J40" s="168"/>
      <c r="K40" s="168"/>
      <c r="M40" s="359">
        <f t="shared" si="7"/>
        <v>0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573">
        <f>'[75]Sch C'!D26</f>
        <v>1586</v>
      </c>
      <c r="D41" s="573">
        <f>'[75]Sch C'!F26</f>
        <v>0</v>
      </c>
      <c r="E41" s="171">
        <f t="shared" si="4"/>
        <v>1586</v>
      </c>
      <c r="F41" s="171"/>
      <c r="G41" s="171">
        <f t="shared" si="5"/>
        <v>1586</v>
      </c>
      <c r="H41" s="172">
        <f t="shared" si="6"/>
        <v>7.8808119124484531E-4</v>
      </c>
      <c r="I41" s="337"/>
      <c r="J41" s="168"/>
      <c r="K41" s="168"/>
      <c r="M41" s="359">
        <f t="shared" si="7"/>
        <v>0.49193548387096775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573">
        <f>'[75]Sch C'!D27</f>
        <v>0</v>
      </c>
      <c r="D42" s="573">
        <f>'[75]Sch C'!F27</f>
        <v>0</v>
      </c>
      <c r="E42" s="171">
        <f t="shared" si="4"/>
        <v>0</v>
      </c>
      <c r="F42" s="171"/>
      <c r="G42" s="171">
        <f t="shared" si="5"/>
        <v>0</v>
      </c>
      <c r="H42" s="172">
        <f t="shared" si="6"/>
        <v>0</v>
      </c>
      <c r="I42" s="337"/>
      <c r="J42" s="168"/>
      <c r="K42" s="168"/>
      <c r="M42" s="359">
        <f t="shared" si="7"/>
        <v>0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573">
        <f>'[75]Sch C'!D28</f>
        <v>0</v>
      </c>
      <c r="D43" s="573">
        <f>'[75]Sch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573">
        <f>'[75]Sch C'!D29</f>
        <v>0</v>
      </c>
      <c r="D44" s="573">
        <f>'[75]Sch C'!F29</f>
        <v>0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573">
        <f>'[75]Sch C'!D30</f>
        <v>0</v>
      </c>
      <c r="D45" s="573">
        <f>'[75]Sch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573">
        <f>'[75]Sch C'!D31</f>
        <v>12330</v>
      </c>
      <c r="D46" s="573">
        <f>'[75]Sch C'!F31</f>
        <v>0</v>
      </c>
      <c r="E46" s="171">
        <f t="shared" si="4"/>
        <v>12330</v>
      </c>
      <c r="F46" s="171"/>
      <c r="G46" s="171">
        <f t="shared" si="5"/>
        <v>12330</v>
      </c>
      <c r="H46" s="172">
        <f t="shared" si="6"/>
        <v>6.1267598285302287E-3</v>
      </c>
      <c r="I46" s="337"/>
      <c r="J46" s="168"/>
      <c r="K46" s="168"/>
      <c r="M46" s="359">
        <f t="shared" si="7"/>
        <v>3.8244416873449132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573">
        <f>'[75]Sch C'!D32</f>
        <v>0</v>
      </c>
      <c r="D47" s="573">
        <f>'[75]Sch C'!F32</f>
        <v>0</v>
      </c>
      <c r="E47" s="171">
        <f t="shared" si="4"/>
        <v>0</v>
      </c>
      <c r="F47" s="171"/>
      <c r="G47" s="171">
        <f t="shared" si="5"/>
        <v>0</v>
      </c>
      <c r="H47" s="172">
        <f t="shared" si="6"/>
        <v>0</v>
      </c>
      <c r="I47" s="337"/>
      <c r="J47" s="168"/>
      <c r="K47" s="168"/>
      <c r="M47" s="359">
        <f t="shared" si="7"/>
        <v>0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573">
        <f>'[75]Sch C'!D33</f>
        <v>0</v>
      </c>
      <c r="D48" s="573">
        <f>'[75]Sch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573">
        <f>'[75]Sch C'!D34</f>
        <v>0</v>
      </c>
      <c r="D49" s="573">
        <f>'[75]Sch C'!F34</f>
        <v>0</v>
      </c>
      <c r="E49" s="171">
        <f t="shared" si="4"/>
        <v>0</v>
      </c>
      <c r="F49" s="171"/>
      <c r="G49" s="171">
        <f t="shared" si="5"/>
        <v>0</v>
      </c>
      <c r="H49" s="172">
        <f t="shared" si="6"/>
        <v>0</v>
      </c>
      <c r="I49" s="337"/>
      <c r="J49" s="168"/>
      <c r="K49" s="168"/>
      <c r="M49" s="359">
        <f t="shared" si="7"/>
        <v>0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573">
        <f>'[75]Sch C'!D35</f>
        <v>0</v>
      </c>
      <c r="D50" s="573">
        <f>'[75]Sch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573">
        <f>'[75]Sch C'!D36</f>
        <v>12178</v>
      </c>
      <c r="D51" s="573">
        <f>'[75]Sch C'!F36</f>
        <v>0</v>
      </c>
      <c r="E51" s="171">
        <f t="shared" si="4"/>
        <v>12178</v>
      </c>
      <c r="F51" s="171"/>
      <c r="G51" s="171">
        <f t="shared" si="5"/>
        <v>12178</v>
      </c>
      <c r="H51" s="172">
        <f t="shared" si="6"/>
        <v>6.0512312402142034E-3</v>
      </c>
      <c r="I51" s="337"/>
      <c r="J51" s="183">
        <v>921</v>
      </c>
      <c r="K51" s="183">
        <v>921</v>
      </c>
      <c r="M51" s="359">
        <f t="shared" si="7"/>
        <v>3.7772952853598016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573">
        <f>'[75]Sch C'!D37</f>
        <v>0</v>
      </c>
      <c r="D52" s="573">
        <f>'[75]Sch C'!F37</f>
        <v>1831</v>
      </c>
      <c r="E52" s="171">
        <f t="shared" si="4"/>
        <v>1831</v>
      </c>
      <c r="F52" s="171"/>
      <c r="G52" s="171">
        <f t="shared" si="5"/>
        <v>1831</v>
      </c>
      <c r="H52" s="172">
        <f t="shared" si="6"/>
        <v>9.0982135004370225E-4</v>
      </c>
      <c r="I52" s="337"/>
      <c r="J52" s="168"/>
      <c r="K52" s="168"/>
      <c r="M52" s="359">
        <f t="shared" si="7"/>
        <v>0.56792803970223327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573">
        <f>'[75]Sch C'!D38</f>
        <v>0</v>
      </c>
      <c r="D53" s="573">
        <f>'[75]Sch C'!F38</f>
        <v>0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7"/>
      <c r="J53" s="168"/>
      <c r="K53" s="168"/>
      <c r="M53" s="359">
        <f t="shared" si="7"/>
        <v>0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573">
        <f>'[75]Sch C'!D39</f>
        <v>63</v>
      </c>
      <c r="D54" s="573">
        <f>'[75]Sch C'!F39</f>
        <v>0</v>
      </c>
      <c r="E54" s="171">
        <f t="shared" si="4"/>
        <v>63</v>
      </c>
      <c r="F54" s="171"/>
      <c r="G54" s="171">
        <f t="shared" si="5"/>
        <v>63</v>
      </c>
      <c r="H54" s="172">
        <f t="shared" si="6"/>
        <v>3.130461226256321E-5</v>
      </c>
      <c r="I54" s="337"/>
      <c r="J54" s="168"/>
      <c r="K54" s="168"/>
      <c r="M54" s="359">
        <f t="shared" si="7"/>
        <v>1.9540942928039703E-2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573">
        <f>'[75]Sch C'!D40</f>
        <v>4888</v>
      </c>
      <c r="D55" s="573">
        <f>'[75]Sch C'!F40</f>
        <v>0</v>
      </c>
      <c r="E55" s="171">
        <f t="shared" si="4"/>
        <v>4888</v>
      </c>
      <c r="F55" s="171"/>
      <c r="G55" s="171">
        <f t="shared" si="5"/>
        <v>4888</v>
      </c>
      <c r="H55" s="172">
        <f t="shared" si="6"/>
        <v>2.4288403926890313E-3</v>
      </c>
      <c r="I55" s="337"/>
      <c r="J55" s="168"/>
      <c r="K55" s="168"/>
      <c r="M55" s="359">
        <f t="shared" si="7"/>
        <v>1.5161290322580645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573">
        <f>'[75]Sch C'!D41</f>
        <v>0</v>
      </c>
      <c r="D56" s="573">
        <f>'[75]Sch C'!F41</f>
        <v>0</v>
      </c>
      <c r="E56" s="171">
        <f t="shared" si="4"/>
        <v>0</v>
      </c>
      <c r="F56" s="171"/>
      <c r="G56" s="171">
        <f t="shared" si="5"/>
        <v>0</v>
      </c>
      <c r="H56" s="172">
        <f t="shared" si="6"/>
        <v>0</v>
      </c>
      <c r="I56" s="337"/>
      <c r="J56" s="168"/>
      <c r="K56" s="168"/>
      <c r="M56" s="359">
        <f t="shared" si="7"/>
        <v>0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573">
        <f>'[75]Sch C'!D42</f>
        <v>2997</v>
      </c>
      <c r="D57" s="573">
        <f>'[75]Sch C'!F42</f>
        <v>0</v>
      </c>
      <c r="E57" s="171">
        <f t="shared" si="4"/>
        <v>2997</v>
      </c>
      <c r="F57" s="171"/>
      <c r="G57" s="171">
        <f t="shared" si="5"/>
        <v>2997</v>
      </c>
      <c r="H57" s="172">
        <f t="shared" si="6"/>
        <v>1.4892051262047929E-3</v>
      </c>
      <c r="I57" s="337"/>
      <c r="J57" s="168"/>
      <c r="K57" s="168"/>
      <c r="M57" s="359">
        <f t="shared" si="7"/>
        <v>0.92959057071960294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573">
        <f>'[75]Sch C'!D43</f>
        <v>4417</v>
      </c>
      <c r="D58" s="573">
        <f>'[75]Sch C'!F43</f>
        <v>0</v>
      </c>
      <c r="E58" s="171">
        <f t="shared" si="4"/>
        <v>4417</v>
      </c>
      <c r="F58" s="171"/>
      <c r="G58" s="171">
        <f t="shared" si="5"/>
        <v>4417</v>
      </c>
      <c r="H58" s="172">
        <f t="shared" si="6"/>
        <v>2.1948011486308209E-3</v>
      </c>
      <c r="I58" s="337"/>
      <c r="J58" s="168"/>
      <c r="K58" s="168"/>
      <c r="M58" s="359">
        <f t="shared" si="7"/>
        <v>1.3700372208436724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573">
        <f>'[75]Sch C'!D44</f>
        <v>0</v>
      </c>
      <c r="D59" s="573">
        <f>'[75]Sch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7"/>
      <c r="J59" s="168"/>
      <c r="K59" s="168"/>
      <c r="M59" s="359">
        <f t="shared" si="7"/>
        <v>0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573">
        <f>'[75]Sch C'!D45</f>
        <v>7726</v>
      </c>
      <c r="D60" s="573">
        <f>'[75]Sch C'!F45</f>
        <v>0</v>
      </c>
      <c r="E60" s="171">
        <f t="shared" si="4"/>
        <v>7726</v>
      </c>
      <c r="F60" s="171"/>
      <c r="G60" s="171">
        <f t="shared" si="5"/>
        <v>7726</v>
      </c>
      <c r="H60" s="172">
        <f t="shared" si="6"/>
        <v>3.8390386403264029E-3</v>
      </c>
      <c r="I60" s="337"/>
      <c r="J60" s="168"/>
      <c r="K60" s="168"/>
      <c r="M60" s="359">
        <f t="shared" si="7"/>
        <v>2.3964019851116625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573">
        <f>SUM(C25:C60)</f>
        <v>400053</v>
      </c>
      <c r="D61" s="573">
        <f>SUM(D25:D60)</f>
        <v>-122219</v>
      </c>
      <c r="E61" s="171">
        <f t="shared" ref="E61" si="8">SUM(E25:E60)</f>
        <v>277834</v>
      </c>
      <c r="F61" s="171">
        <f>SUM(F25:F60)</f>
        <v>0</v>
      </c>
      <c r="G61" s="171">
        <f>SUM(G25:G60)</f>
        <v>277834</v>
      </c>
      <c r="H61" s="186">
        <f t="shared" si="6"/>
        <v>0.13805532767233314</v>
      </c>
      <c r="I61" s="339"/>
      <c r="J61" s="168"/>
      <c r="K61" s="168"/>
      <c r="M61" s="364">
        <f>G61/G$228</f>
        <v>86.176799007444174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I62" s="340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573">
        <f>'[75]Sch C'!D57</f>
        <v>0</v>
      </c>
      <c r="D64" s="573">
        <f>'[75]Sch C'!F57</f>
        <v>0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I64" s="337"/>
      <c r="J64" s="190"/>
      <c r="K64" s="168"/>
      <c r="M64" s="359">
        <f t="shared" ref="M64:M79" si="12">G64/G$228</f>
        <v>0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573">
        <f>'[75]Sch C'!D58</f>
        <v>186321</v>
      </c>
      <c r="D65" s="573">
        <f>'[75]Sch C'!F58</f>
        <v>0</v>
      </c>
      <c r="E65" s="171">
        <f t="shared" si="9"/>
        <v>186321</v>
      </c>
      <c r="F65" s="171"/>
      <c r="G65" s="171">
        <f t="shared" si="10"/>
        <v>186321</v>
      </c>
      <c r="H65" s="172">
        <f t="shared" si="11"/>
        <v>9.2582645418619686E-2</v>
      </c>
      <c r="I65" s="337"/>
      <c r="J65" s="190"/>
      <c r="K65" s="168"/>
      <c r="M65" s="359">
        <f t="shared" si="12"/>
        <v>57.791873449131515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573">
        <f>'[75]Sch C'!D59</f>
        <v>84044</v>
      </c>
      <c r="D66" s="573">
        <f>'[75]Sch C'!F59</f>
        <v>0</v>
      </c>
      <c r="E66" s="171">
        <f t="shared" si="9"/>
        <v>84044</v>
      </c>
      <c r="F66" s="171"/>
      <c r="G66" s="171">
        <f t="shared" si="10"/>
        <v>84044</v>
      </c>
      <c r="H66" s="172">
        <f t="shared" si="11"/>
        <v>4.1761346555474012E-2</v>
      </c>
      <c r="I66" s="337"/>
      <c r="J66" s="190"/>
      <c r="K66" s="168"/>
      <c r="M66" s="359">
        <f t="shared" si="12"/>
        <v>26.068238213399503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573">
        <f>'[75]Sch C'!D60</f>
        <v>17500</v>
      </c>
      <c r="D67" s="573">
        <f>'[75]Sch C'!F60</f>
        <v>0</v>
      </c>
      <c r="E67" s="171">
        <f t="shared" si="9"/>
        <v>17500</v>
      </c>
      <c r="F67" s="171"/>
      <c r="G67" s="171">
        <f t="shared" si="10"/>
        <v>17500</v>
      </c>
      <c r="H67" s="172">
        <f t="shared" si="11"/>
        <v>8.6957256284897807E-3</v>
      </c>
      <c r="I67" s="337"/>
      <c r="J67" s="193"/>
      <c r="K67" s="168"/>
      <c r="M67" s="359">
        <f t="shared" si="12"/>
        <v>5.4280397022332503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573">
        <f>'[75]Sch C'!D61</f>
        <v>16885</v>
      </c>
      <c r="D68" s="573">
        <f>'[75]Sch C'!F61</f>
        <v>0</v>
      </c>
      <c r="E68" s="171">
        <f t="shared" si="9"/>
        <v>16885</v>
      </c>
      <c r="F68" s="171"/>
      <c r="G68" s="171">
        <f t="shared" si="10"/>
        <v>16885</v>
      </c>
      <c r="H68" s="172">
        <f t="shared" si="11"/>
        <v>8.3901329849742825E-3</v>
      </c>
      <c r="I68" s="337"/>
      <c r="J68" s="193"/>
      <c r="K68" s="168"/>
      <c r="M68" s="359">
        <f t="shared" si="12"/>
        <v>5.2372828784119108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573">
        <f>'[75]Sch C'!D62</f>
        <v>0</v>
      </c>
      <c r="D69" s="573">
        <f>'[75]Sch C'!F62</f>
        <v>0</v>
      </c>
      <c r="E69" s="171">
        <f t="shared" si="9"/>
        <v>0</v>
      </c>
      <c r="F69" s="171"/>
      <c r="G69" s="171">
        <f t="shared" si="10"/>
        <v>0</v>
      </c>
      <c r="H69" s="172">
        <f t="shared" si="11"/>
        <v>0</v>
      </c>
      <c r="I69" s="337"/>
      <c r="J69" s="195"/>
      <c r="K69" s="168"/>
      <c r="M69" s="359">
        <f t="shared" si="12"/>
        <v>0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573">
        <f>'[75]Sch C'!D63</f>
        <v>0</v>
      </c>
      <c r="D70" s="573">
        <f>'[75]Sch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7"/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573">
        <f>'[75]Sch C'!D64</f>
        <v>0</v>
      </c>
      <c r="D71" s="573">
        <f>'[75]Sch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573">
        <f>'[75]Sch C'!D65</f>
        <v>1210</v>
      </c>
      <c r="D72" s="573">
        <f>'[75]Sch C'!F65</f>
        <v>0</v>
      </c>
      <c r="E72" s="171">
        <f t="shared" si="9"/>
        <v>1210</v>
      </c>
      <c r="F72" s="171"/>
      <c r="G72" s="171">
        <f t="shared" si="10"/>
        <v>1210</v>
      </c>
      <c r="H72" s="172">
        <f t="shared" si="11"/>
        <v>6.0124731488415061E-4</v>
      </c>
      <c r="I72" s="337"/>
      <c r="J72" s="195"/>
      <c r="K72" s="168"/>
      <c r="M72" s="359">
        <f t="shared" si="12"/>
        <v>0.37531017369727049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573">
        <f>'[75]Sch C'!D66</f>
        <v>11514</v>
      </c>
      <c r="D73" s="573">
        <f>'[75]Sch C'!F66</f>
        <v>0</v>
      </c>
      <c r="E73" s="171">
        <f t="shared" si="9"/>
        <v>11514</v>
      </c>
      <c r="F73" s="171"/>
      <c r="G73" s="171">
        <f t="shared" si="10"/>
        <v>11514</v>
      </c>
      <c r="H73" s="172">
        <f t="shared" si="11"/>
        <v>5.7212905649389337E-3</v>
      </c>
      <c r="I73" s="337"/>
      <c r="J73" s="195"/>
      <c r="K73" s="168"/>
      <c r="M73" s="359">
        <f t="shared" si="12"/>
        <v>3.5713399503722085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573">
        <f>'[75]Sch C'!D67</f>
        <v>0</v>
      </c>
      <c r="D74" s="573">
        <f>'[75]Sch C'!F67</f>
        <v>0</v>
      </c>
      <c r="E74" s="171">
        <f t="shared" si="9"/>
        <v>0</v>
      </c>
      <c r="F74" s="171"/>
      <c r="G74" s="171">
        <f t="shared" si="10"/>
        <v>0</v>
      </c>
      <c r="H74" s="172">
        <f t="shared" si="11"/>
        <v>0</v>
      </c>
      <c r="I74" s="337"/>
      <c r="J74" s="195"/>
      <c r="K74" s="168"/>
      <c r="M74" s="359">
        <f t="shared" si="12"/>
        <v>0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573">
        <f>'[75]Sch C'!D68</f>
        <v>0</v>
      </c>
      <c r="D75" s="573">
        <f>'[75]Sch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573">
        <f>'[75]Sch C'!D69</f>
        <v>0</v>
      </c>
      <c r="D76" s="573">
        <f>'[75]Sch C'!F69</f>
        <v>0</v>
      </c>
      <c r="E76" s="171">
        <f t="shared" si="9"/>
        <v>0</v>
      </c>
      <c r="F76" s="171"/>
      <c r="G76" s="171">
        <f t="shared" si="10"/>
        <v>0</v>
      </c>
      <c r="H76" s="172">
        <f t="shared" si="11"/>
        <v>0</v>
      </c>
      <c r="I76" s="337"/>
      <c r="J76" s="195"/>
      <c r="K76" s="168"/>
      <c r="M76" s="359">
        <f t="shared" si="12"/>
        <v>0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573">
        <f>'[75]Sch C'!D70</f>
        <v>0</v>
      </c>
      <c r="D77" s="573">
        <f>'[75]Sch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7"/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573">
        <f>'[75]Sch C'!D71</f>
        <v>0</v>
      </c>
      <c r="D78" s="573">
        <f>'[75]Sch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7"/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573">
        <f>SUM(C64:C78)</f>
        <v>317474</v>
      </c>
      <c r="D79" s="573">
        <f>SUM(D64:D78)</f>
        <v>0</v>
      </c>
      <c r="E79" s="171">
        <f t="shared" ref="E79" si="13">SUM(E64:E78)</f>
        <v>317474</v>
      </c>
      <c r="F79" s="171">
        <f>SUM(F64:F78)</f>
        <v>0</v>
      </c>
      <c r="G79" s="171">
        <f>SUM(G64:G78)</f>
        <v>317474</v>
      </c>
      <c r="H79" s="172">
        <f t="shared" si="11"/>
        <v>0.15775238846738085</v>
      </c>
      <c r="I79" s="337"/>
      <c r="J79" s="195"/>
      <c r="K79" s="168"/>
      <c r="M79" s="359">
        <f t="shared" si="12"/>
        <v>98.472084367245657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573">
        <f>'[75]Sch C'!D75</f>
        <v>26833</v>
      </c>
      <c r="D82" s="573">
        <f>'[75]Sch C'!F75</f>
        <v>0</v>
      </c>
      <c r="E82" s="171">
        <f t="shared" ref="E82:E92" si="14">C82+D82</f>
        <v>26833</v>
      </c>
      <c r="F82" s="171"/>
      <c r="G82" s="171">
        <f t="shared" ref="G82:G92" si="15">E82+F82</f>
        <v>26833</v>
      </c>
      <c r="H82" s="172">
        <f t="shared" ref="H82:H93" si="16">IF($G$208=0,0,G82/$G$208)</f>
        <v>1.3333280330815217E-2</v>
      </c>
      <c r="I82" s="337"/>
      <c r="J82" s="183">
        <v>1971</v>
      </c>
      <c r="K82" s="183">
        <v>1971</v>
      </c>
      <c r="M82" s="359">
        <f t="shared" ref="M82:M92" si="17">G82/G$228</f>
        <v>8.3228908188585606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573">
        <f>'[75]Sch C'!D76</f>
        <v>0</v>
      </c>
      <c r="D83" s="573">
        <f>'[75]Sch C'!F76</f>
        <v>4035</v>
      </c>
      <c r="E83" s="171">
        <f t="shared" si="14"/>
        <v>4035</v>
      </c>
      <c r="F83" s="171"/>
      <c r="G83" s="171">
        <f t="shared" si="15"/>
        <v>4035</v>
      </c>
      <c r="H83" s="172">
        <f t="shared" si="16"/>
        <v>2.0049858806260724E-3</v>
      </c>
      <c r="I83" s="337"/>
      <c r="J83" s="168"/>
      <c r="K83" s="168"/>
      <c r="M83" s="359">
        <f t="shared" si="17"/>
        <v>1.2515508684863523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573">
        <f>'[75]Sch C'!D77</f>
        <v>2026</v>
      </c>
      <c r="D84" s="573">
        <f>'[75]Sch C'!F77</f>
        <v>0</v>
      </c>
      <c r="E84" s="171">
        <f t="shared" si="14"/>
        <v>2026</v>
      </c>
      <c r="F84" s="171"/>
      <c r="G84" s="171">
        <f t="shared" si="15"/>
        <v>2026</v>
      </c>
      <c r="H84" s="172">
        <f t="shared" si="16"/>
        <v>1.0067165784754454E-3</v>
      </c>
      <c r="I84" s="337"/>
      <c r="J84" s="168"/>
      <c r="K84" s="168"/>
      <c r="M84" s="359">
        <f t="shared" si="17"/>
        <v>0.62841191066997515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573">
        <f>'[75]Sch C'!D78</f>
        <v>0</v>
      </c>
      <c r="D85" s="573">
        <f>'[75]Sch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I85" s="337"/>
      <c r="J85" s="168"/>
      <c r="K85" s="168"/>
      <c r="M85" s="359">
        <f t="shared" si="17"/>
        <v>0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573">
        <f>'[75]Sch C'!D79</f>
        <v>52162</v>
      </c>
      <c r="D86" s="573">
        <f>'[75]Sch C'!F79</f>
        <v>0</v>
      </c>
      <c r="E86" s="171">
        <f t="shared" si="14"/>
        <v>52162</v>
      </c>
      <c r="F86" s="171">
        <v>-12942</v>
      </c>
      <c r="G86" s="171">
        <f>E86+F86</f>
        <v>39220</v>
      </c>
      <c r="H86" s="172">
        <f t="shared" si="16"/>
        <v>1.9488363379963954E-2</v>
      </c>
      <c r="I86" s="337"/>
      <c r="J86" s="168"/>
      <c r="K86" s="168"/>
      <c r="M86" s="359">
        <f t="shared" si="17"/>
        <v>12.165012406947891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573">
        <f>'[75]Sch C'!D80</f>
        <v>3863</v>
      </c>
      <c r="D87" s="573">
        <f>'[75]Sch C'!F80</f>
        <v>0</v>
      </c>
      <c r="E87" s="171">
        <f t="shared" si="14"/>
        <v>3863</v>
      </c>
      <c r="F87" s="171"/>
      <c r="G87" s="171">
        <f t="shared" si="15"/>
        <v>3863</v>
      </c>
      <c r="H87" s="172">
        <f t="shared" si="16"/>
        <v>1.9195193201632015E-3</v>
      </c>
      <c r="I87" s="337"/>
      <c r="J87" s="168"/>
      <c r="K87" s="168"/>
      <c r="M87" s="359">
        <f t="shared" si="17"/>
        <v>1.1982009925558312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573">
        <f>'[75]Sch C'!D81</f>
        <v>3805</v>
      </c>
      <c r="D88" s="573">
        <f>'[75]Sch C'!F81</f>
        <v>0</v>
      </c>
      <c r="E88" s="171">
        <f t="shared" si="14"/>
        <v>3805</v>
      </c>
      <c r="F88" s="171"/>
      <c r="G88" s="171">
        <f t="shared" si="15"/>
        <v>3805</v>
      </c>
      <c r="H88" s="172">
        <f t="shared" si="16"/>
        <v>1.8906992009373495E-3</v>
      </c>
      <c r="I88" s="337"/>
      <c r="J88" s="168"/>
      <c r="K88" s="168"/>
      <c r="M88" s="359">
        <f t="shared" si="17"/>
        <v>1.180210918114144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573">
        <f>'[75]Sch C'!D82</f>
        <v>287</v>
      </c>
      <c r="D89" s="573">
        <f>'[75]Sch C'!F82</f>
        <v>0</v>
      </c>
      <c r="E89" s="171">
        <f t="shared" si="14"/>
        <v>287</v>
      </c>
      <c r="F89" s="171"/>
      <c r="G89" s="171">
        <f t="shared" si="15"/>
        <v>287</v>
      </c>
      <c r="H89" s="172">
        <f t="shared" si="16"/>
        <v>1.4260990030723241E-4</v>
      </c>
      <c r="I89" s="337"/>
      <c r="J89" s="168"/>
      <c r="K89" s="168"/>
      <c r="M89" s="359">
        <f t="shared" si="17"/>
        <v>8.9019851116625304E-2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573">
        <f>'[75]Sch C'!D83</f>
        <v>271</v>
      </c>
      <c r="D90" s="573">
        <f>'[75]Sch C'!F83</f>
        <v>0</v>
      </c>
      <c r="E90" s="171">
        <f t="shared" si="14"/>
        <v>271</v>
      </c>
      <c r="F90" s="171"/>
      <c r="G90" s="171">
        <f t="shared" si="15"/>
        <v>271</v>
      </c>
      <c r="H90" s="172">
        <f t="shared" si="16"/>
        <v>1.3465952258975603E-4</v>
      </c>
      <c r="I90" s="337"/>
      <c r="J90" s="168"/>
      <c r="K90" s="168"/>
      <c r="M90" s="359">
        <f t="shared" si="17"/>
        <v>8.4057071960297769E-2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573">
        <f>'[75]Sch C'!D84</f>
        <v>14897</v>
      </c>
      <c r="D91" s="573">
        <f>'[75]Sch C'!F84</f>
        <v>0</v>
      </c>
      <c r="E91" s="171">
        <f t="shared" si="14"/>
        <v>14897</v>
      </c>
      <c r="F91" s="171"/>
      <c r="G91" s="171">
        <f t="shared" si="15"/>
        <v>14897</v>
      </c>
      <c r="H91" s="172">
        <f t="shared" si="16"/>
        <v>7.402298553577844E-3</v>
      </c>
      <c r="I91" s="337"/>
      <c r="J91" s="168"/>
      <c r="K91" s="168"/>
      <c r="M91" s="359">
        <f t="shared" si="17"/>
        <v>4.6206575682382134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573">
        <f>'[75]Sch C'!D85</f>
        <v>0</v>
      </c>
      <c r="D92" s="573">
        <f>'[75]Sch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7"/>
      <c r="J92" s="168"/>
      <c r="K92" s="168"/>
      <c r="M92" s="359">
        <f t="shared" si="17"/>
        <v>0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573">
        <f>SUM(C82:C92)</f>
        <v>104144</v>
      </c>
      <c r="D93" s="573">
        <f>SUM(D82:D92)</f>
        <v>4035</v>
      </c>
      <c r="E93" s="171">
        <f t="shared" ref="E93" si="18">SUM(E82:E92)</f>
        <v>108179</v>
      </c>
      <c r="F93" s="171">
        <f>SUM(F82:F92)</f>
        <v>-12942</v>
      </c>
      <c r="G93" s="171">
        <f>SUM(G82:G92)</f>
        <v>95237</v>
      </c>
      <c r="H93" s="172">
        <f t="shared" si="16"/>
        <v>4.7323132667456073E-2</v>
      </c>
      <c r="I93" s="337"/>
      <c r="J93" s="168"/>
      <c r="K93" s="168"/>
      <c r="M93" s="364">
        <f>G93/G$228</f>
        <v>29.540012406947891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573">
        <f>'[75]Sch C'!D89</f>
        <v>83398</v>
      </c>
      <c r="D96" s="573">
        <f>'[75]Sch C'!F89</f>
        <v>0</v>
      </c>
      <c r="E96" s="171">
        <f t="shared" ref="E96:E101" si="19">C96+D96</f>
        <v>83398</v>
      </c>
      <c r="F96" s="171"/>
      <c r="G96" s="171">
        <f t="shared" ref="G96:G101" si="20">E96+F96</f>
        <v>83398</v>
      </c>
      <c r="H96" s="172">
        <f t="shared" ref="H96:H102" si="21">IF($G$208=0,0,G96/$G$208)</f>
        <v>4.1440350055130901E-2</v>
      </c>
      <c r="I96" s="337"/>
      <c r="J96" s="183">
        <v>11991</v>
      </c>
      <c r="K96" s="183">
        <v>11991</v>
      </c>
      <c r="M96" s="364">
        <f t="shared" ref="M96:M101" si="22">G96/G$228</f>
        <v>25.867866004962778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573">
        <f>'[75]Sch C'!D90</f>
        <v>0</v>
      </c>
      <c r="D97" s="573">
        <f>'[75]Sch C'!F90</f>
        <v>12542</v>
      </c>
      <c r="E97" s="171">
        <f t="shared" si="19"/>
        <v>12542</v>
      </c>
      <c r="F97" s="171"/>
      <c r="G97" s="171">
        <f t="shared" si="20"/>
        <v>12542</v>
      </c>
      <c r="H97" s="172">
        <f t="shared" si="21"/>
        <v>6.2321023332867903E-3</v>
      </c>
      <c r="I97" s="337"/>
      <c r="J97" s="168"/>
      <c r="K97" s="168"/>
      <c r="M97" s="364">
        <f t="shared" si="22"/>
        <v>3.8901985111662531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573">
        <f>'[75]Sch C'!D91</f>
        <v>4054</v>
      </c>
      <c r="D98" s="573">
        <f>'[75]Sch C'!F91</f>
        <v>0</v>
      </c>
      <c r="E98" s="171">
        <f t="shared" si="19"/>
        <v>4054</v>
      </c>
      <c r="F98" s="171"/>
      <c r="G98" s="171">
        <f t="shared" si="20"/>
        <v>4054</v>
      </c>
      <c r="H98" s="172">
        <f t="shared" si="21"/>
        <v>2.0144269541655757E-3</v>
      </c>
      <c r="I98" s="337"/>
      <c r="J98" s="168"/>
      <c r="K98" s="168"/>
      <c r="M98" s="364">
        <f t="shared" si="22"/>
        <v>1.2574441687344913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573">
        <f>'[75]Sch C'!D92</f>
        <v>26633</v>
      </c>
      <c r="D99" s="573">
        <f>'[75]Sch C'!F92</f>
        <v>0</v>
      </c>
      <c r="E99" s="171">
        <f t="shared" si="19"/>
        <v>26633</v>
      </c>
      <c r="F99" s="171"/>
      <c r="G99" s="171">
        <f t="shared" si="20"/>
        <v>26633</v>
      </c>
      <c r="H99" s="172">
        <f t="shared" si="21"/>
        <v>1.3233900609346762E-2</v>
      </c>
      <c r="I99" s="337"/>
      <c r="J99" s="168"/>
      <c r="K99" s="168"/>
      <c r="M99" s="364">
        <f t="shared" si="22"/>
        <v>8.2608560794044656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573">
        <f>'[75]Sch C'!D93</f>
        <v>5355</v>
      </c>
      <c r="D100" s="573">
        <f>'[75]Sch C'!F93</f>
        <v>0</v>
      </c>
      <c r="E100" s="171">
        <f t="shared" si="19"/>
        <v>5355</v>
      </c>
      <c r="F100" s="171"/>
      <c r="G100" s="171">
        <f t="shared" si="20"/>
        <v>5355</v>
      </c>
      <c r="H100" s="172">
        <f t="shared" si="21"/>
        <v>2.6608920423178729E-3</v>
      </c>
      <c r="I100" s="337"/>
      <c r="J100" s="168"/>
      <c r="K100" s="168"/>
      <c r="M100" s="364">
        <f t="shared" si="22"/>
        <v>1.6609801488833746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573">
        <f>'[75]Sch C'!D94</f>
        <v>1839</v>
      </c>
      <c r="D101" s="573">
        <f>'[75]Sch C'!F94</f>
        <v>0</v>
      </c>
      <c r="E101" s="171">
        <f t="shared" si="19"/>
        <v>1839</v>
      </c>
      <c r="F101" s="171"/>
      <c r="G101" s="171">
        <f t="shared" si="20"/>
        <v>1839</v>
      </c>
      <c r="H101" s="172">
        <f t="shared" si="21"/>
        <v>9.1379653890244039E-4</v>
      </c>
      <c r="I101" s="337"/>
      <c r="J101" s="168"/>
      <c r="K101" s="168"/>
      <c r="M101" s="364">
        <f t="shared" si="22"/>
        <v>0.57040942928039706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573">
        <f>SUM(C96:C101)</f>
        <v>121279</v>
      </c>
      <c r="D102" s="573">
        <f>SUM(D96:D101)</f>
        <v>12542</v>
      </c>
      <c r="E102" s="171">
        <f t="shared" ref="E102" si="23">SUM(E96:E101)</f>
        <v>133821</v>
      </c>
      <c r="F102" s="171">
        <f>SUM(F96:F101)</f>
        <v>0</v>
      </c>
      <c r="G102" s="171">
        <f>SUM(G96:G101)</f>
        <v>133821</v>
      </c>
      <c r="H102" s="172">
        <f t="shared" si="21"/>
        <v>6.6495468533150345E-2</v>
      </c>
      <c r="I102" s="337"/>
      <c r="J102" s="168"/>
      <c r="K102" s="168"/>
      <c r="M102" s="364">
        <f>G102/G$228</f>
        <v>41.50775434243176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573">
        <f>'[75]Sch C'!D98</f>
        <v>0</v>
      </c>
      <c r="D105" s="573">
        <f>'[75]Sch C'!F98</f>
        <v>0</v>
      </c>
      <c r="E105" s="171">
        <f t="shared" ref="E105:E110" si="24">C105+D105</f>
        <v>0</v>
      </c>
      <c r="F105" s="171"/>
      <c r="G105" s="171">
        <f t="shared" ref="G105:G110" si="25">E105+F105</f>
        <v>0</v>
      </c>
      <c r="H105" s="172">
        <f t="shared" ref="H105:H111" si="26">IF($G$208=0,0,G105/$G$208)</f>
        <v>0</v>
      </c>
      <c r="I105" s="337"/>
      <c r="J105" s="183">
        <v>0</v>
      </c>
      <c r="K105" s="183">
        <v>0</v>
      </c>
      <c r="M105" s="364">
        <f t="shared" ref="M105:M110" si="27">G105/G$228</f>
        <v>0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573">
        <f>'[75]Sch C'!D99</f>
        <v>0</v>
      </c>
      <c r="D106" s="573">
        <f>'[75]Sch C'!F99</f>
        <v>0</v>
      </c>
      <c r="E106" s="171">
        <f t="shared" si="24"/>
        <v>0</v>
      </c>
      <c r="F106" s="171"/>
      <c r="G106" s="171">
        <f t="shared" si="25"/>
        <v>0</v>
      </c>
      <c r="H106" s="172">
        <f t="shared" si="26"/>
        <v>0</v>
      </c>
      <c r="I106" s="337"/>
      <c r="J106" s="168"/>
      <c r="K106" s="168"/>
      <c r="M106" s="364">
        <f t="shared" si="27"/>
        <v>0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573">
        <f>'[75]Sch C'!D100</f>
        <v>4537</v>
      </c>
      <c r="D107" s="573">
        <f>'[75]Sch C'!F100</f>
        <v>0</v>
      </c>
      <c r="E107" s="171">
        <f t="shared" si="24"/>
        <v>4537</v>
      </c>
      <c r="F107" s="171"/>
      <c r="G107" s="171">
        <f t="shared" si="25"/>
        <v>4537</v>
      </c>
      <c r="H107" s="172">
        <f t="shared" si="26"/>
        <v>2.2544289815118936E-3</v>
      </c>
      <c r="I107" s="337"/>
      <c r="J107" s="168"/>
      <c r="K107" s="168"/>
      <c r="M107" s="364">
        <f t="shared" si="27"/>
        <v>1.407258064516129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573">
        <f>'[75]Sch C'!D101</f>
        <v>0</v>
      </c>
      <c r="D108" s="573">
        <f>'[75]Sch C'!F101</f>
        <v>0</v>
      </c>
      <c r="E108" s="171">
        <f t="shared" si="24"/>
        <v>0</v>
      </c>
      <c r="F108" s="171"/>
      <c r="G108" s="171">
        <f t="shared" si="25"/>
        <v>0</v>
      </c>
      <c r="H108" s="172">
        <f t="shared" si="26"/>
        <v>0</v>
      </c>
      <c r="I108" s="337"/>
      <c r="J108" s="168"/>
      <c r="K108" s="168"/>
      <c r="M108" s="364">
        <f t="shared" si="27"/>
        <v>0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573">
        <f>'[75]Sch C'!D102</f>
        <v>19767</v>
      </c>
      <c r="D109" s="573">
        <f>'[75]Sch C'!F102</f>
        <v>0</v>
      </c>
      <c r="E109" s="171">
        <f t="shared" si="24"/>
        <v>19767</v>
      </c>
      <c r="F109" s="171"/>
      <c r="G109" s="171">
        <f t="shared" si="25"/>
        <v>19767</v>
      </c>
      <c r="H109" s="172">
        <f t="shared" si="26"/>
        <v>9.8221947713347142E-3</v>
      </c>
      <c r="I109" s="337"/>
      <c r="J109" s="168"/>
      <c r="K109" s="168"/>
      <c r="M109" s="364">
        <f t="shared" si="27"/>
        <v>6.1312034739454093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573">
        <f>'[75]Sch C'!D103</f>
        <v>0</v>
      </c>
      <c r="D110" s="573">
        <f>'[75]Sch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7"/>
      <c r="J110" s="168"/>
      <c r="K110" s="168"/>
      <c r="M110" s="364">
        <f t="shared" si="27"/>
        <v>0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573">
        <f>SUM(C105:C110)</f>
        <v>24304</v>
      </c>
      <c r="D111" s="573">
        <f>SUM(D105:D110)</f>
        <v>0</v>
      </c>
      <c r="E111" s="171">
        <f t="shared" ref="E111" si="28">SUM(E105:E110)</f>
        <v>24304</v>
      </c>
      <c r="F111" s="171">
        <f>SUM(F105:F110)</f>
        <v>0</v>
      </c>
      <c r="G111" s="171">
        <f>SUM(G105:G110)</f>
        <v>24304</v>
      </c>
      <c r="H111" s="172">
        <f t="shared" si="26"/>
        <v>1.2076623752846608E-2</v>
      </c>
      <c r="I111" s="337"/>
      <c r="J111" s="168"/>
      <c r="K111" s="168"/>
      <c r="M111" s="364">
        <f>G111/G$228</f>
        <v>7.5384615384615383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573">
        <f>'[75]Sch C'!D115</f>
        <v>20704</v>
      </c>
      <c r="D114" s="573">
        <f>'[75]Sch C'!F115</f>
        <v>0</v>
      </c>
      <c r="E114" s="171">
        <f t="shared" ref="E114:E118" si="29">C114+D114</f>
        <v>20704</v>
      </c>
      <c r="F114" s="171"/>
      <c r="G114" s="171">
        <f>E114+F114</f>
        <v>20704</v>
      </c>
      <c r="H114" s="172">
        <f t="shared" ref="H114:H119" si="30">IF($G$208=0,0,G114/$G$208)</f>
        <v>1.0287788766414424E-2</v>
      </c>
      <c r="I114" s="337"/>
      <c r="J114" s="183">
        <v>6158</v>
      </c>
      <c r="K114" s="183">
        <v>6158</v>
      </c>
      <c r="M114" s="364">
        <f t="shared" ref="M114:M119" si="31">G114/G$228</f>
        <v>6.421836228287841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573">
        <f>'[75]Sch C'!D116</f>
        <v>0</v>
      </c>
      <c r="D115" s="573">
        <f>'[75]Sch C'!F116</f>
        <v>3114</v>
      </c>
      <c r="E115" s="171">
        <f t="shared" si="29"/>
        <v>3114</v>
      </c>
      <c r="F115" s="171"/>
      <c r="G115" s="171">
        <f>E115+F115</f>
        <v>3114</v>
      </c>
      <c r="H115" s="172">
        <f t="shared" si="30"/>
        <v>1.5473422632638388E-3</v>
      </c>
      <c r="I115" s="337"/>
      <c r="J115" s="168"/>
      <c r="K115" s="168"/>
      <c r="M115" s="364">
        <f t="shared" si="31"/>
        <v>0.96588089330024818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573">
        <f>'[75]Sch C'!D117</f>
        <v>6137</v>
      </c>
      <c r="D116" s="573">
        <f>'[75]Sch C'!F117</f>
        <v>0</v>
      </c>
      <c r="E116" s="171">
        <f t="shared" si="29"/>
        <v>6137</v>
      </c>
      <c r="F116" s="171"/>
      <c r="G116" s="171">
        <f>E116+F116</f>
        <v>6137</v>
      </c>
      <c r="H116" s="172">
        <f t="shared" si="30"/>
        <v>3.0494667532595305E-3</v>
      </c>
      <c r="I116" s="337"/>
      <c r="J116" s="168"/>
      <c r="K116" s="168"/>
      <c r="M116" s="364">
        <f t="shared" si="31"/>
        <v>1.9035359801488834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573">
        <f>'[75]Sch C'!D118</f>
        <v>0</v>
      </c>
      <c r="D117" s="573">
        <f>'[75]Sch C'!F118</f>
        <v>0</v>
      </c>
      <c r="E117" s="171">
        <f t="shared" si="29"/>
        <v>0</v>
      </c>
      <c r="F117" s="171"/>
      <c r="G117" s="171">
        <f>E117+F117</f>
        <v>0</v>
      </c>
      <c r="H117" s="172">
        <f t="shared" si="30"/>
        <v>0</v>
      </c>
      <c r="I117" s="337"/>
      <c r="J117" s="168"/>
      <c r="K117" s="168"/>
      <c r="M117" s="364">
        <f t="shared" si="31"/>
        <v>0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573">
        <f>'[75]Sch C'!D119</f>
        <v>0</v>
      </c>
      <c r="D118" s="573">
        <f>'[75]Sch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337"/>
      <c r="J118" s="168"/>
      <c r="K118" s="168"/>
      <c r="M118" s="364">
        <f t="shared" si="31"/>
        <v>0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573">
        <f>SUM(C114:C118)</f>
        <v>26841</v>
      </c>
      <c r="D119" s="573">
        <f>SUM(D114:D118)</f>
        <v>3114</v>
      </c>
      <c r="E119" s="171">
        <f t="shared" ref="E119" si="32">SUM(E114:E118)</f>
        <v>29955</v>
      </c>
      <c r="F119" s="171">
        <f>SUM(F114:F118)</f>
        <v>0</v>
      </c>
      <c r="G119" s="171">
        <f>SUM(G114:G118)</f>
        <v>29955</v>
      </c>
      <c r="H119" s="172">
        <f t="shared" si="30"/>
        <v>1.4884597782937794E-2</v>
      </c>
      <c r="I119" s="337"/>
      <c r="J119" s="168"/>
      <c r="K119" s="168"/>
      <c r="M119" s="364">
        <f t="shared" si="31"/>
        <v>9.2912531017369719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1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573">
        <f>'[75]Sch C'!D124</f>
        <v>0</v>
      </c>
      <c r="D123" s="573">
        <f>'[75]Sch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7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0.77002560279620991</v>
      </c>
    </row>
    <row r="124" spans="1:14" s="167" customFormat="1">
      <c r="B124" s="163" t="s">
        <v>194</v>
      </c>
      <c r="C124" s="573">
        <f>'[75]Sch C'!D125</f>
        <v>92980</v>
      </c>
      <c r="D124" s="573">
        <f>'[75]Sch C'!F125</f>
        <v>0</v>
      </c>
      <c r="E124" s="171">
        <f t="shared" si="33"/>
        <v>92980</v>
      </c>
      <c r="F124" s="171"/>
      <c r="G124" s="171">
        <f>E124+F124</f>
        <v>92980</v>
      </c>
      <c r="H124" s="172">
        <f>IF($G$208=0,0,G124/$G$208)</f>
        <v>4.6201632510684564E-2</v>
      </c>
      <c r="I124" s="337"/>
      <c r="J124" s="183">
        <v>2096</v>
      </c>
      <c r="K124" s="183">
        <v>2096</v>
      </c>
      <c r="M124" s="364">
        <f t="shared" si="34"/>
        <v>28.839950372208438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573">
        <f>'[75]Sch C'!D126</f>
        <v>0</v>
      </c>
      <c r="D125" s="573">
        <f>'[75]Sch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7"/>
      <c r="J125" s="183">
        <v>0</v>
      </c>
      <c r="K125" s="183">
        <v>0</v>
      </c>
      <c r="M125" s="364">
        <f t="shared" si="34"/>
        <v>0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573">
        <f>'[75]Sch C'!D127</f>
        <v>0</v>
      </c>
      <c r="D126" s="573">
        <f>'[75]Sch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7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573">
        <f>'[75]Sch C'!D128</f>
        <v>7630</v>
      </c>
      <c r="D127" s="573">
        <f>'[75]Sch C'!F128</f>
        <v>0</v>
      </c>
      <c r="E127" s="171">
        <f t="shared" si="33"/>
        <v>7630</v>
      </c>
      <c r="F127" s="171"/>
      <c r="G127" s="171">
        <f>E127+F127</f>
        <v>7630</v>
      </c>
      <c r="H127" s="172">
        <f>IF($G$208=0,0,G127/$G$208)</f>
        <v>3.7913363740215444E-3</v>
      </c>
      <c r="I127" s="337"/>
      <c r="J127" s="183">
        <v>125</v>
      </c>
      <c r="K127" s="183">
        <v>125</v>
      </c>
      <c r="M127" s="364">
        <f t="shared" si="34"/>
        <v>2.3666253101736974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205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573">
        <f>'[75]Sch C'!D130</f>
        <v>0</v>
      </c>
      <c r="D129" s="573">
        <f>'[75]Sch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7"/>
      <c r="J129" s="204"/>
      <c r="K129" s="204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573">
        <f>'[75]Sch C'!D131</f>
        <v>0</v>
      </c>
      <c r="D130" s="573">
        <f>'[75]Sch C'!F131</f>
        <v>13983</v>
      </c>
      <c r="E130" s="171">
        <f t="shared" si="35"/>
        <v>13983</v>
      </c>
      <c r="F130" s="171"/>
      <c r="G130" s="171">
        <f>E130+F130</f>
        <v>13983</v>
      </c>
      <c r="H130" s="172">
        <f>IF($G$208=0,0,G130/$G$208)</f>
        <v>6.9481332264670062E-3</v>
      </c>
      <c r="I130" s="337"/>
      <c r="J130" s="204"/>
      <c r="K130" s="204"/>
      <c r="M130" s="364">
        <f t="shared" si="34"/>
        <v>4.3371588089330029</v>
      </c>
      <c r="N130" s="359">
        <f>SUMMARY!J133</f>
        <v>1.0792348507966931</v>
      </c>
    </row>
    <row r="131" spans="1:14" s="167" customFormat="1">
      <c r="B131" s="163" t="s">
        <v>195</v>
      </c>
      <c r="C131" s="573">
        <f>'[75]Sch C'!D132</f>
        <v>0</v>
      </c>
      <c r="D131" s="573">
        <f>'[75]Sch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7"/>
      <c r="J131" s="168"/>
      <c r="K131" s="168"/>
      <c r="M131" s="364">
        <f t="shared" si="34"/>
        <v>0</v>
      </c>
      <c r="N131" s="359">
        <f>SUMMARY!J134</f>
        <v>8.2765628075518377E-2</v>
      </c>
    </row>
    <row r="132" spans="1:14" s="167" customFormat="1">
      <c r="B132" s="163" t="s">
        <v>196</v>
      </c>
      <c r="C132" s="573">
        <f>'[75]Sch C'!D133</f>
        <v>0</v>
      </c>
      <c r="D132" s="573">
        <f>'[75]Sch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573">
        <f>'[75]Sch C'!D134</f>
        <v>0</v>
      </c>
      <c r="D133" s="573">
        <f>'[75]Sch C'!F134</f>
        <v>1147</v>
      </c>
      <c r="E133" s="171">
        <f t="shared" si="35"/>
        <v>1147</v>
      </c>
      <c r="F133" s="171"/>
      <c r="G133" s="171">
        <f>E133+F133</f>
        <v>1147</v>
      </c>
      <c r="H133" s="172">
        <f>IF($G$208=0,0,G133/$G$208)</f>
        <v>5.6994270262158736E-4</v>
      </c>
      <c r="I133" s="337"/>
      <c r="J133" s="168"/>
      <c r="K133" s="168"/>
      <c r="M133" s="364">
        <f t="shared" si="34"/>
        <v>0.35576923076923078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573">
        <f>'[75]Sch C'!D136</f>
        <v>194659</v>
      </c>
      <c r="D135" s="573">
        <f>'[75]Sch C'!F136</f>
        <v>0</v>
      </c>
      <c r="E135" s="171">
        <f t="shared" ref="E135:E138" si="36">C135+D135</f>
        <v>194659</v>
      </c>
      <c r="F135" s="171"/>
      <c r="G135" s="171">
        <f>E135+F135</f>
        <v>194659</v>
      </c>
      <c r="H135" s="172">
        <f>IF($G$208=0,0,G135/$G$208)</f>
        <v>9.6725786006639558E-2</v>
      </c>
      <c r="I135" s="337"/>
      <c r="J135" s="183">
        <v>13779</v>
      </c>
      <c r="K135" s="183">
        <v>13779</v>
      </c>
      <c r="M135" s="364">
        <f t="shared" si="34"/>
        <v>60.378101736972702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573">
        <f>'[75]Sch C'!D137</f>
        <v>43613</v>
      </c>
      <c r="D136" s="573">
        <f>'[75]Sch C'!F137</f>
        <v>0</v>
      </c>
      <c r="E136" s="171">
        <f t="shared" si="36"/>
        <v>43613</v>
      </c>
      <c r="F136" s="171"/>
      <c r="G136" s="171">
        <f>E136+F136</f>
        <v>43613</v>
      </c>
      <c r="H136" s="172">
        <f>IF($G$208=0,0,G136/$G$208)</f>
        <v>2.1671238962018561E-2</v>
      </c>
      <c r="I136" s="337"/>
      <c r="J136" s="183">
        <v>1978</v>
      </c>
      <c r="K136" s="183">
        <v>1978</v>
      </c>
      <c r="M136" s="364">
        <f t="shared" si="34"/>
        <v>13.527605459057073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573">
        <f>'[75]Sch C'!D138</f>
        <v>144146</v>
      </c>
      <c r="D137" s="573">
        <f>'[75]Sch C'!F138</f>
        <v>0</v>
      </c>
      <c r="E137" s="171">
        <f t="shared" si="36"/>
        <v>144146</v>
      </c>
      <c r="F137" s="171"/>
      <c r="G137" s="171">
        <f>E137+F137</f>
        <v>144146</v>
      </c>
      <c r="H137" s="172">
        <f>IF($G$208=0,0,G137/$G$208)</f>
        <v>7.1625946653959313E-2</v>
      </c>
      <c r="I137" s="337"/>
      <c r="J137" s="183">
        <v>23392</v>
      </c>
      <c r="K137" s="183">
        <v>23392</v>
      </c>
      <c r="M137" s="364">
        <f t="shared" si="34"/>
        <v>44.710297766749378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573">
        <f>'[75]Sch C'!D139</f>
        <v>0</v>
      </c>
      <c r="D138" s="573">
        <f>'[75]Sch C'!F139</f>
        <v>0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7"/>
      <c r="J138" s="183">
        <v>0</v>
      </c>
      <c r="K138" s="183">
        <v>0</v>
      </c>
      <c r="M138" s="364">
        <f t="shared" si="34"/>
        <v>0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7"/>
      <c r="J139" s="208"/>
      <c r="K139" s="208"/>
      <c r="M139" s="364"/>
      <c r="N139" s="359"/>
    </row>
    <row r="140" spans="1:14" s="167" customFormat="1">
      <c r="A140" s="169"/>
      <c r="B140" s="163" t="s">
        <v>194</v>
      </c>
      <c r="C140" s="573">
        <f>'[75]Sch C'!D141</f>
        <v>0</v>
      </c>
      <c r="D140" s="573">
        <f>'[75]Sch C'!F141</f>
        <v>29275</v>
      </c>
      <c r="E140" s="171">
        <f t="shared" ref="E140:E143" si="37">C140+D140</f>
        <v>29275</v>
      </c>
      <c r="F140" s="171"/>
      <c r="G140" s="171">
        <f>E140+F140</f>
        <v>29275</v>
      </c>
      <c r="H140" s="172">
        <f>IF($G$208=0,0,G140/$G$208)</f>
        <v>1.4546706729945048E-2</v>
      </c>
      <c r="I140" s="337"/>
      <c r="J140" s="168"/>
      <c r="K140" s="168"/>
      <c r="M140" s="364">
        <f t="shared" si="34"/>
        <v>9.0803349875930515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573">
        <f>'[75]Sch C'!D142</f>
        <v>0</v>
      </c>
      <c r="D141" s="573">
        <f>'[75]Sch C'!F142</f>
        <v>6559</v>
      </c>
      <c r="E141" s="171">
        <f t="shared" si="37"/>
        <v>6559</v>
      </c>
      <c r="F141" s="171"/>
      <c r="G141" s="171">
        <f>E141+F141</f>
        <v>6559</v>
      </c>
      <c r="H141" s="172">
        <f>IF($G$208=0,0,G141/$G$208)</f>
        <v>3.2591579655579699E-3</v>
      </c>
      <c r="I141" s="337"/>
      <c r="J141" s="168"/>
      <c r="K141" s="168"/>
      <c r="M141" s="364">
        <f t="shared" si="34"/>
        <v>2.0344292803970223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573">
        <f>'[75]Sch C'!D143</f>
        <v>0</v>
      </c>
      <c r="D142" s="573">
        <f>'[75]Sch C'!F143</f>
        <v>21678</v>
      </c>
      <c r="E142" s="171">
        <f t="shared" si="37"/>
        <v>21678</v>
      </c>
      <c r="F142" s="171"/>
      <c r="G142" s="171">
        <f>E142+F142</f>
        <v>21678</v>
      </c>
      <c r="H142" s="172">
        <f>IF($G$208=0,0,G142/$G$208)</f>
        <v>1.0771768009965798E-2</v>
      </c>
      <c r="I142" s="337"/>
      <c r="J142" s="168"/>
      <c r="K142" s="168"/>
      <c r="M142" s="364">
        <f t="shared" si="34"/>
        <v>6.7239454094292803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573">
        <f>'[75]Sch C'!D144</f>
        <v>0</v>
      </c>
      <c r="D143" s="573">
        <f>'[75]Sch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7"/>
      <c r="J143" s="168"/>
      <c r="K143" s="168"/>
      <c r="M143" s="364">
        <f t="shared" si="34"/>
        <v>0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7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573">
        <f>'[75]Sch C'!D146</f>
        <v>17500</v>
      </c>
      <c r="D145" s="573">
        <f>'[75]Sch C'!F146</f>
        <v>0</v>
      </c>
      <c r="E145" s="171">
        <f t="shared" ref="E145:E153" si="38">C145+D145</f>
        <v>17500</v>
      </c>
      <c r="F145" s="171"/>
      <c r="G145" s="171">
        <f t="shared" ref="G145:G153" si="39">E145+F145</f>
        <v>17500</v>
      </c>
      <c r="H145" s="172">
        <f t="shared" ref="H145:H153" si="40">IF($G$208=0,0,G145/$G$208)</f>
        <v>8.6957256284897807E-3</v>
      </c>
      <c r="I145" s="337"/>
      <c r="J145" s="183">
        <v>0</v>
      </c>
      <c r="K145" s="183">
        <v>0</v>
      </c>
      <c r="M145" s="364">
        <f t="shared" si="34"/>
        <v>5.4280397022332503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573">
        <f>'[75]Sch C'!D147</f>
        <v>0</v>
      </c>
      <c r="D146" s="573">
        <f>'[75]Sch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337"/>
      <c r="J146" s="183">
        <v>0</v>
      </c>
      <c r="K146" s="183">
        <v>0</v>
      </c>
      <c r="M146" s="364">
        <f t="shared" si="34"/>
        <v>0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573">
        <f>'[75]Sch C'!D148</f>
        <v>0</v>
      </c>
      <c r="D147" s="573">
        <f>'[75]Sch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7"/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573">
        <f>'[75]Sch C'!D149</f>
        <v>0</v>
      </c>
      <c r="D148" s="573">
        <f>'[75]Sch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7"/>
      <c r="J148" s="183">
        <v>0</v>
      </c>
      <c r="K148" s="183">
        <v>0</v>
      </c>
      <c r="M148" s="364">
        <f t="shared" si="34"/>
        <v>0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573">
        <f>'[75]Sch C'!D150</f>
        <v>4468</v>
      </c>
      <c r="D149" s="573">
        <f>'[75]Sch C'!F150</f>
        <v>0</v>
      </c>
      <c r="E149" s="171">
        <f t="shared" si="38"/>
        <v>4468</v>
      </c>
      <c r="F149" s="171"/>
      <c r="G149" s="171">
        <f t="shared" si="39"/>
        <v>4468</v>
      </c>
      <c r="H149" s="172">
        <f t="shared" si="40"/>
        <v>2.2201429776052767E-3</v>
      </c>
      <c r="I149" s="337"/>
      <c r="J149" s="183">
        <v>0</v>
      </c>
      <c r="K149" s="183">
        <v>0</v>
      </c>
      <c r="M149" s="364">
        <f t="shared" si="34"/>
        <v>1.3858560794044665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573">
        <f>'[75]Sch C'!D151</f>
        <v>39990</v>
      </c>
      <c r="D150" s="573">
        <f>'[75]Sch C'!F151</f>
        <v>0</v>
      </c>
      <c r="E150" s="171">
        <f t="shared" si="38"/>
        <v>39990</v>
      </c>
      <c r="F150" s="171"/>
      <c r="G150" s="171">
        <f t="shared" si="39"/>
        <v>39990</v>
      </c>
      <c r="H150" s="172">
        <f t="shared" si="40"/>
        <v>1.9870975307617507E-2</v>
      </c>
      <c r="I150" s="337"/>
      <c r="J150" s="168"/>
      <c r="K150" s="168"/>
      <c r="M150" s="364">
        <f t="shared" si="34"/>
        <v>12.403846153846153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573">
        <f>'[75]Sch C'!D152</f>
        <v>111</v>
      </c>
      <c r="D151" s="573">
        <f>'[75]Sch C'!F152</f>
        <v>0</v>
      </c>
      <c r="E151" s="171">
        <f t="shared" si="38"/>
        <v>111</v>
      </c>
      <c r="F151" s="171"/>
      <c r="G151" s="171">
        <f t="shared" si="39"/>
        <v>111</v>
      </c>
      <c r="H151" s="172">
        <f t="shared" si="40"/>
        <v>5.5155745414992328E-5</v>
      </c>
      <c r="I151" s="337"/>
      <c r="J151" s="168"/>
      <c r="K151" s="168"/>
      <c r="M151" s="364">
        <f t="shared" si="34"/>
        <v>3.4429280397022331E-2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573">
        <f>'[75]Sch C'!D153</f>
        <v>0</v>
      </c>
      <c r="D152" s="573">
        <f>'[75]Sch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7"/>
      <c r="J152" s="168"/>
      <c r="K152" s="168"/>
      <c r="M152" s="364">
        <f t="shared" si="34"/>
        <v>0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573">
        <f>'[75]Sch C'!D154</f>
        <v>0</v>
      </c>
      <c r="D153" s="573">
        <f>'[75]Sch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210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573">
        <f>'[75]Sch C'!D156</f>
        <v>0</v>
      </c>
      <c r="D155" s="573">
        <f>'[75]Sch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573">
        <f>'[75]Sch C'!D157</f>
        <v>0</v>
      </c>
      <c r="D156" s="573">
        <f>'[75]Sch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573">
        <f>'[75]Sch C'!D158</f>
        <v>0</v>
      </c>
      <c r="D157" s="573">
        <f>'[75]Sch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7"/>
      <c r="J157" s="168"/>
      <c r="K157" s="168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573">
        <f>'[75]Sch C'!D159</f>
        <v>0</v>
      </c>
      <c r="D158" s="573">
        <f>'[75]Sch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573">
        <f>'[75]Sch C'!D160</f>
        <v>0</v>
      </c>
      <c r="D159" s="573">
        <f>'[75]Sch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7"/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573">
        <f>'[75]Sch C'!D161</f>
        <v>0</v>
      </c>
      <c r="D160" s="573">
        <f>'[75]Sch C'!F161</f>
        <v>0</v>
      </c>
      <c r="E160" s="171">
        <f t="shared" si="41"/>
        <v>0</v>
      </c>
      <c r="F160" s="171"/>
      <c r="G160" s="171">
        <f t="shared" si="42"/>
        <v>0</v>
      </c>
      <c r="H160" s="172">
        <f t="shared" si="43"/>
        <v>0</v>
      </c>
      <c r="I160" s="337"/>
      <c r="J160" s="168"/>
      <c r="K160" s="168"/>
      <c r="M160" s="364">
        <f t="shared" si="34"/>
        <v>0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573">
        <f>SUM(C123:C160)</f>
        <v>545097</v>
      </c>
      <c r="D161" s="573">
        <f>SUM(D123:D160)</f>
        <v>72642</v>
      </c>
      <c r="E161" s="171">
        <f t="shared" ref="E161" si="44">SUM(E123:E160)</f>
        <v>617739</v>
      </c>
      <c r="F161" s="171">
        <f>SUM(F123:F160)</f>
        <v>0</v>
      </c>
      <c r="G161" s="171">
        <f>SUM(G123:G160)</f>
        <v>617739</v>
      </c>
      <c r="H161" s="172">
        <f t="shared" si="43"/>
        <v>0.30695364880100851</v>
      </c>
      <c r="I161" s="337"/>
      <c r="J161" s="168"/>
      <c r="K161" s="168"/>
      <c r="M161" s="364">
        <f>G161/G$228</f>
        <v>191.60638957816377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337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7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573">
        <f>'[75]Sch C'!D175</f>
        <v>0</v>
      </c>
      <c r="D164" s="573">
        <f>'[75]Sch C'!F175</f>
        <v>0</v>
      </c>
      <c r="E164" s="171">
        <f t="shared" ref="E164:E196" si="45">C164+D164</f>
        <v>0</v>
      </c>
      <c r="F164" s="665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573">
        <f>'[75]Sch C'!D176</f>
        <v>0</v>
      </c>
      <c r="D165" s="573">
        <f>'[75]Sch C'!F176</f>
        <v>0</v>
      </c>
      <c r="E165" s="171">
        <f t="shared" si="45"/>
        <v>0</v>
      </c>
      <c r="F165" s="665"/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573">
        <f>'[75]Sch C'!D177</f>
        <v>44813</v>
      </c>
      <c r="D166" s="573">
        <f>'[75]Sch C'!F177</f>
        <v>0</v>
      </c>
      <c r="E166" s="171">
        <f t="shared" si="45"/>
        <v>44813</v>
      </c>
      <c r="F166" s="665"/>
      <c r="G166" s="171">
        <f t="shared" si="46"/>
        <v>44813</v>
      </c>
      <c r="H166" s="172">
        <f t="shared" si="47"/>
        <v>2.2267517290829288E-2</v>
      </c>
      <c r="I166" s="343"/>
      <c r="J166" s="217">
        <v>0</v>
      </c>
      <c r="K166" s="217">
        <v>0</v>
      </c>
      <c r="L166" s="218"/>
      <c r="M166" s="364">
        <f t="shared" si="48"/>
        <v>13.899813895781637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573">
        <f>'[75]Sch C'!D178</f>
        <v>0</v>
      </c>
      <c r="D167" s="573">
        <f>'[75]Sch C'!F178</f>
        <v>6739</v>
      </c>
      <c r="E167" s="171">
        <f t="shared" si="45"/>
        <v>6739</v>
      </c>
      <c r="F167" s="665"/>
      <c r="G167" s="171">
        <f t="shared" si="46"/>
        <v>6739</v>
      </c>
      <c r="H167" s="172">
        <f t="shared" si="47"/>
        <v>3.348599714879579E-3</v>
      </c>
      <c r="I167" s="344"/>
      <c r="J167" s="222"/>
      <c r="K167" s="222"/>
      <c r="L167" s="218"/>
      <c r="M167" s="364">
        <f t="shared" si="48"/>
        <v>2.0902605459057071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573">
        <f>'[75]Sch C'!D179</f>
        <v>0</v>
      </c>
      <c r="D168" s="573">
        <f>'[75]Sch C'!F179</f>
        <v>0</v>
      </c>
      <c r="E168" s="171">
        <f t="shared" si="45"/>
        <v>0</v>
      </c>
      <c r="F168" s="665"/>
      <c r="G168" s="171">
        <f t="shared" si="46"/>
        <v>0</v>
      </c>
      <c r="H168" s="172">
        <f t="shared" si="47"/>
        <v>0</v>
      </c>
      <c r="I168" s="343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573">
        <f>'[75]Sch C'!D180</f>
        <v>0</v>
      </c>
      <c r="D169" s="573">
        <f>'[75]Sch C'!F180</f>
        <v>0</v>
      </c>
      <c r="E169" s="171">
        <f t="shared" si="45"/>
        <v>0</v>
      </c>
      <c r="F169" s="665"/>
      <c r="G169" s="171">
        <f t="shared" si="46"/>
        <v>0</v>
      </c>
      <c r="H169" s="172">
        <f t="shared" si="47"/>
        <v>0</v>
      </c>
      <c r="I169" s="344"/>
      <c r="J169" s="222"/>
      <c r="K169" s="222"/>
      <c r="L169" s="218"/>
      <c r="M169" s="364">
        <f t="shared" si="48"/>
        <v>0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573">
        <f>'[75]Sch C'!D181</f>
        <v>0</v>
      </c>
      <c r="D170" s="573">
        <f>'[75]Sch C'!F181</f>
        <v>0</v>
      </c>
      <c r="E170" s="171">
        <f t="shared" si="45"/>
        <v>0</v>
      </c>
      <c r="F170" s="665"/>
      <c r="G170" s="171">
        <f t="shared" si="46"/>
        <v>0</v>
      </c>
      <c r="H170" s="172">
        <f t="shared" si="47"/>
        <v>0</v>
      </c>
      <c r="I170" s="343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573">
        <f>'[75]Sch C'!D182</f>
        <v>0</v>
      </c>
      <c r="D171" s="573">
        <f>'[75]Sch C'!F182</f>
        <v>0</v>
      </c>
      <c r="E171" s="171">
        <f t="shared" si="45"/>
        <v>0</v>
      </c>
      <c r="F171" s="665"/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573">
        <f>'[75]Sch C'!D183</f>
        <v>39927</v>
      </c>
      <c r="D172" s="573">
        <f>'[75]Sch C'!F183</f>
        <v>0</v>
      </c>
      <c r="E172" s="171">
        <f t="shared" si="45"/>
        <v>39927</v>
      </c>
      <c r="F172" s="665"/>
      <c r="G172" s="171">
        <f t="shared" si="46"/>
        <v>39927</v>
      </c>
      <c r="H172" s="172">
        <f t="shared" si="47"/>
        <v>1.9839670695354941E-2</v>
      </c>
      <c r="I172" s="343"/>
      <c r="J172" s="217">
        <v>0</v>
      </c>
      <c r="K172" s="217">
        <v>0</v>
      </c>
      <c r="L172" s="218"/>
      <c r="M172" s="364">
        <f t="shared" si="48"/>
        <v>12.384305210918114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573">
        <f>'[75]Sch C'!D184</f>
        <v>0</v>
      </c>
      <c r="D173" s="573">
        <f>'[75]Sch C'!F184</f>
        <v>6005</v>
      </c>
      <c r="E173" s="171">
        <f t="shared" si="45"/>
        <v>6005</v>
      </c>
      <c r="F173" s="665"/>
      <c r="G173" s="171">
        <f t="shared" si="46"/>
        <v>6005</v>
      </c>
      <c r="H173" s="172">
        <f t="shared" si="47"/>
        <v>2.9838761370903507E-3</v>
      </c>
      <c r="I173" s="344"/>
      <c r="J173" s="222"/>
      <c r="K173" s="222"/>
      <c r="L173" s="218"/>
      <c r="M173" s="364">
        <f t="shared" si="48"/>
        <v>1.8625930521091811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573">
        <f>'[75]Sch C'!D185</f>
        <v>0</v>
      </c>
      <c r="D174" s="573">
        <f>'[75]Sch C'!F185</f>
        <v>0</v>
      </c>
      <c r="E174" s="171">
        <f t="shared" si="45"/>
        <v>0</v>
      </c>
      <c r="F174" s="665"/>
      <c r="G174" s="171">
        <f t="shared" si="46"/>
        <v>0</v>
      </c>
      <c r="H174" s="172">
        <f t="shared" si="47"/>
        <v>0</v>
      </c>
      <c r="I174" s="343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573">
        <f>'[75]Sch C'!D186</f>
        <v>0</v>
      </c>
      <c r="D175" s="573">
        <f>'[75]Sch C'!F186</f>
        <v>0</v>
      </c>
      <c r="E175" s="171">
        <f t="shared" si="45"/>
        <v>0</v>
      </c>
      <c r="F175" s="665"/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573">
        <f>'[75]Sch C'!D187</f>
        <v>0</v>
      </c>
      <c r="D176" s="573">
        <f>'[75]Sch C'!F187</f>
        <v>0</v>
      </c>
      <c r="E176" s="171">
        <f t="shared" si="45"/>
        <v>0</v>
      </c>
      <c r="F176" s="665"/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573">
        <f>'[75]Sch C'!D188</f>
        <v>9271</v>
      </c>
      <c r="D177" s="573">
        <f>'[75]Sch C'!F188</f>
        <v>0</v>
      </c>
      <c r="E177" s="171">
        <f t="shared" si="45"/>
        <v>9271</v>
      </c>
      <c r="F177" s="665"/>
      <c r="G177" s="171">
        <f t="shared" si="46"/>
        <v>9271</v>
      </c>
      <c r="H177" s="172">
        <f t="shared" si="47"/>
        <v>4.6067469886702152E-3</v>
      </c>
      <c r="I177" s="337"/>
      <c r="J177" s="223"/>
      <c r="K177" s="218"/>
      <c r="L177" s="220"/>
      <c r="M177" s="364">
        <f t="shared" si="48"/>
        <v>2.8756203473945408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573">
        <f>'[75]Sch C'!D189</f>
        <v>0</v>
      </c>
      <c r="D178" s="573">
        <f>'[75]Sch C'!F189</f>
        <v>0</v>
      </c>
      <c r="E178" s="171">
        <f t="shared" si="45"/>
        <v>0</v>
      </c>
      <c r="F178" s="665"/>
      <c r="G178" s="171">
        <f t="shared" si="46"/>
        <v>0</v>
      </c>
      <c r="H178" s="172">
        <f t="shared" si="47"/>
        <v>0</v>
      </c>
      <c r="I178" s="337"/>
      <c r="J178" s="223"/>
      <c r="K178" s="218"/>
      <c r="L178" s="220"/>
      <c r="M178" s="364">
        <f t="shared" si="48"/>
        <v>0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573">
        <f>'[75]Sch C'!D190</f>
        <v>0</v>
      </c>
      <c r="D179" s="573">
        <f>'[75]Sch C'!F190</f>
        <v>0</v>
      </c>
      <c r="E179" s="171">
        <f t="shared" si="45"/>
        <v>0</v>
      </c>
      <c r="F179" s="665"/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573">
        <f>'[75]Sch C'!D191</f>
        <v>1016</v>
      </c>
      <c r="D180" s="573">
        <f>'[75]Sch C'!F191</f>
        <v>0</v>
      </c>
      <c r="E180" s="171">
        <f t="shared" si="45"/>
        <v>1016</v>
      </c>
      <c r="F180" s="665"/>
      <c r="G180" s="171">
        <f t="shared" si="46"/>
        <v>1016</v>
      </c>
      <c r="H180" s="172">
        <f t="shared" si="47"/>
        <v>5.0484898505974961E-4</v>
      </c>
      <c r="I180" s="337"/>
      <c r="J180" s="223"/>
      <c r="K180" s="218"/>
      <c r="L180" s="220"/>
      <c r="M180" s="364">
        <f t="shared" si="48"/>
        <v>0.31513647642679898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573">
        <f>'[75]Sch C'!D192</f>
        <v>0</v>
      </c>
      <c r="D181" s="573">
        <f>'[75]Sch C'!F192</f>
        <v>0</v>
      </c>
      <c r="E181" s="171">
        <f t="shared" si="45"/>
        <v>0</v>
      </c>
      <c r="F181" s="665"/>
      <c r="G181" s="171">
        <f t="shared" si="46"/>
        <v>0</v>
      </c>
      <c r="H181" s="172">
        <f t="shared" si="47"/>
        <v>0</v>
      </c>
      <c r="I181" s="337"/>
      <c r="J181" s="223"/>
      <c r="K181" s="218"/>
      <c r="L181" s="220"/>
      <c r="M181" s="364">
        <f t="shared" si="48"/>
        <v>0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573">
        <f>'[75]Sch C'!D193</f>
        <v>0</v>
      </c>
      <c r="D182" s="573">
        <f>'[75]Sch C'!F193</f>
        <v>0</v>
      </c>
      <c r="E182" s="171">
        <f t="shared" si="45"/>
        <v>0</v>
      </c>
      <c r="F182" s="665"/>
      <c r="G182" s="171">
        <f t="shared" si="46"/>
        <v>0</v>
      </c>
      <c r="H182" s="172">
        <f t="shared" si="47"/>
        <v>0</v>
      </c>
      <c r="I182" s="337"/>
      <c r="J182" s="223"/>
      <c r="K182" s="218"/>
      <c r="L182" s="220"/>
      <c r="M182" s="364">
        <f t="shared" si="48"/>
        <v>0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573">
        <f>'[75]Sch C'!D194</f>
        <v>148367</v>
      </c>
      <c r="D183" s="573">
        <f>'[75]Sch C'!F194</f>
        <v>0</v>
      </c>
      <c r="E183" s="171">
        <f t="shared" si="45"/>
        <v>148367</v>
      </c>
      <c r="F183" s="665"/>
      <c r="G183" s="171">
        <f t="shared" si="46"/>
        <v>148367</v>
      </c>
      <c r="H183" s="172">
        <f t="shared" si="47"/>
        <v>7.372335567555105E-2</v>
      </c>
      <c r="I183" s="337"/>
      <c r="J183" s="223"/>
      <c r="K183" s="218"/>
      <c r="M183" s="364">
        <f t="shared" si="48"/>
        <v>46.019540942928039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573">
        <f>'[75]Sch C'!D195</f>
        <v>0</v>
      </c>
      <c r="D184" s="573">
        <f>'[75]Sch C'!F195</f>
        <v>0</v>
      </c>
      <c r="E184" s="171">
        <f t="shared" si="45"/>
        <v>0</v>
      </c>
      <c r="F184" s="665"/>
      <c r="G184" s="171">
        <f t="shared" si="46"/>
        <v>0</v>
      </c>
      <c r="H184" s="172">
        <f t="shared" si="47"/>
        <v>0</v>
      </c>
      <c r="I184" s="337"/>
      <c r="J184" s="223"/>
      <c r="K184" s="218"/>
      <c r="M184" s="364">
        <f t="shared" si="48"/>
        <v>0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573">
        <f>'[75]Sch C'!D196</f>
        <v>0</v>
      </c>
      <c r="D185" s="573">
        <f>'[75]Sch C'!F196</f>
        <v>0</v>
      </c>
      <c r="E185" s="171">
        <f t="shared" si="45"/>
        <v>0</v>
      </c>
      <c r="F185" s="665"/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573">
        <f>'[75]Sch C'!D197</f>
        <v>82322</v>
      </c>
      <c r="D186" s="573">
        <f>'[75]Sch C'!F197</f>
        <v>0</v>
      </c>
      <c r="E186" s="171">
        <f t="shared" si="45"/>
        <v>82322</v>
      </c>
      <c r="F186" s="665"/>
      <c r="G186" s="171">
        <f t="shared" si="46"/>
        <v>82322</v>
      </c>
      <c r="H186" s="172">
        <f t="shared" si="47"/>
        <v>4.0905687153630611E-2</v>
      </c>
      <c r="I186" s="337"/>
      <c r="J186" s="223"/>
      <c r="K186" s="218"/>
      <c r="M186" s="364">
        <f t="shared" si="48"/>
        <v>25.534119106699752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573">
        <f>'[75]Sch C'!D198</f>
        <v>16478</v>
      </c>
      <c r="D187" s="573">
        <f>'[75]Sch C'!F198</f>
        <v>0</v>
      </c>
      <c r="E187" s="171">
        <f t="shared" si="45"/>
        <v>16478</v>
      </c>
      <c r="F187" s="665"/>
      <c r="G187" s="171">
        <f t="shared" si="46"/>
        <v>16478</v>
      </c>
      <c r="H187" s="172">
        <f t="shared" si="47"/>
        <v>8.1878952517859781E-3</v>
      </c>
      <c r="I187" s="337"/>
      <c r="J187" s="223"/>
      <c r="K187" s="218"/>
      <c r="M187" s="364">
        <f t="shared" si="48"/>
        <v>5.1110421836228284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573">
        <f>'[75]Sch C'!D199</f>
        <v>0</v>
      </c>
      <c r="D188" s="573">
        <f>'[75]Sch C'!F199</f>
        <v>0</v>
      </c>
      <c r="E188" s="171">
        <f t="shared" si="45"/>
        <v>0</v>
      </c>
      <c r="F188" s="665"/>
      <c r="G188" s="171">
        <f t="shared" si="46"/>
        <v>0</v>
      </c>
      <c r="H188" s="172">
        <f t="shared" si="47"/>
        <v>0</v>
      </c>
      <c r="I188" s="337"/>
      <c r="J188" s="223"/>
      <c r="K188" s="218"/>
      <c r="M188" s="364">
        <f t="shared" si="48"/>
        <v>0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573">
        <f>'[75]Sch C'!D200</f>
        <v>0</v>
      </c>
      <c r="D189" s="573">
        <f>'[75]Sch C'!F200</f>
        <v>0</v>
      </c>
      <c r="E189" s="171">
        <f t="shared" si="45"/>
        <v>0</v>
      </c>
      <c r="F189" s="665"/>
      <c r="G189" s="171">
        <f t="shared" si="46"/>
        <v>0</v>
      </c>
      <c r="H189" s="172">
        <f t="shared" si="47"/>
        <v>0</v>
      </c>
      <c r="I189" s="337"/>
      <c r="J189" s="223"/>
      <c r="K189" s="218"/>
      <c r="M189" s="364">
        <f t="shared" si="48"/>
        <v>0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573">
        <f>'[75]Sch C'!D201</f>
        <v>0</v>
      </c>
      <c r="D190" s="573">
        <f>'[75]Sch C'!F201</f>
        <v>0</v>
      </c>
      <c r="E190" s="171">
        <f t="shared" si="45"/>
        <v>0</v>
      </c>
      <c r="F190" s="665"/>
      <c r="G190" s="171">
        <f t="shared" si="46"/>
        <v>0</v>
      </c>
      <c r="H190" s="172">
        <f t="shared" si="47"/>
        <v>0</v>
      </c>
      <c r="I190" s="337"/>
      <c r="J190" s="223"/>
      <c r="K190" s="218"/>
      <c r="M190" s="364">
        <f t="shared" si="48"/>
        <v>0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573">
        <f>'[75]Sch C'!D202</f>
        <v>0</v>
      </c>
      <c r="D191" s="573">
        <f>'[75]Sch C'!F202</f>
        <v>0</v>
      </c>
      <c r="E191" s="171">
        <f t="shared" si="45"/>
        <v>0</v>
      </c>
      <c r="F191" s="665"/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573">
        <f>'[75]Sch C'!D203</f>
        <v>0</v>
      </c>
      <c r="D192" s="573">
        <f>'[75]Sch C'!F203</f>
        <v>0</v>
      </c>
      <c r="E192" s="171">
        <f t="shared" si="45"/>
        <v>0</v>
      </c>
      <c r="F192" s="665"/>
      <c r="G192" s="171">
        <f t="shared" si="46"/>
        <v>0</v>
      </c>
      <c r="H192" s="172">
        <f t="shared" si="47"/>
        <v>0</v>
      </c>
      <c r="I192" s="337"/>
      <c r="J192" s="223"/>
      <c r="K192" s="218"/>
      <c r="M192" s="364">
        <f t="shared" si="48"/>
        <v>0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573">
        <f>'[75]Sch C'!D204</f>
        <v>0</v>
      </c>
      <c r="D193" s="573">
        <f>'[75]Sch C'!F204</f>
        <v>0</v>
      </c>
      <c r="E193" s="171">
        <f t="shared" si="45"/>
        <v>0</v>
      </c>
      <c r="F193" s="665"/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573">
        <f>'[75]Sch C'!D205</f>
        <v>94230</v>
      </c>
      <c r="D194" s="573">
        <f>'[75]Sch C'!F205</f>
        <v>0</v>
      </c>
      <c r="E194" s="171">
        <f t="shared" si="45"/>
        <v>94230</v>
      </c>
      <c r="F194" s="665"/>
      <c r="G194" s="171">
        <f t="shared" si="46"/>
        <v>94230</v>
      </c>
      <c r="H194" s="172">
        <f t="shared" si="47"/>
        <v>4.6822755769862404E-2</v>
      </c>
      <c r="I194" s="337"/>
      <c r="J194" s="223"/>
      <c r="K194" s="218"/>
      <c r="M194" s="364">
        <f t="shared" si="48"/>
        <v>29.227667493796528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573">
        <f>'[75]Sch C'!D206</f>
        <v>8086</v>
      </c>
      <c r="D195" s="573">
        <f>'[75]Sch C'!F206</f>
        <v>0</v>
      </c>
      <c r="E195" s="171">
        <f t="shared" si="45"/>
        <v>8086</v>
      </c>
      <c r="F195" s="665"/>
      <c r="G195" s="171">
        <f t="shared" si="46"/>
        <v>8086</v>
      </c>
      <c r="H195" s="172">
        <f t="shared" si="47"/>
        <v>4.0179221389696207E-3</v>
      </c>
      <c r="I195" s="337"/>
      <c r="J195" s="223"/>
      <c r="K195" s="218"/>
      <c r="M195" s="364">
        <f t="shared" si="48"/>
        <v>2.5080645161290325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573">
        <f>'[75]Sch C'!D207</f>
        <v>66</v>
      </c>
      <c r="D196" s="573">
        <f>'[75]Sch C'!F207</f>
        <v>0</v>
      </c>
      <c r="E196" s="171">
        <f t="shared" si="45"/>
        <v>66</v>
      </c>
      <c r="F196" s="665"/>
      <c r="G196" s="171">
        <f t="shared" si="46"/>
        <v>66</v>
      </c>
      <c r="H196" s="172">
        <f t="shared" si="47"/>
        <v>3.2795308084590032E-5</v>
      </c>
      <c r="I196" s="337"/>
      <c r="J196" s="223"/>
      <c r="K196" s="218"/>
      <c r="M196" s="364">
        <f t="shared" si="48"/>
        <v>2.0471464019851116E-2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573">
        <f>SUM(C164:C196)</f>
        <v>444576</v>
      </c>
      <c r="D197" s="573">
        <f>SUM(D164:D196)</f>
        <v>12744</v>
      </c>
      <c r="E197" s="171">
        <f t="shared" ref="E197" si="49">SUM(E164:E196)</f>
        <v>457320</v>
      </c>
      <c r="F197" s="171">
        <f>SUM(F164:F196)</f>
        <v>0</v>
      </c>
      <c r="G197" s="171">
        <f>SUM(G164:G196)</f>
        <v>457320</v>
      </c>
      <c r="H197" s="172">
        <f>IF($G$208=0,0,G197/$G$208)</f>
        <v>0.22724167110976837</v>
      </c>
      <c r="I197" s="337"/>
      <c r="J197" s="168"/>
      <c r="K197" s="168"/>
      <c r="M197" s="364">
        <f>G197/G$228</f>
        <v>141.84863523573202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165"/>
      <c r="G198" s="165"/>
      <c r="H198" s="198"/>
      <c r="I198" s="341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1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573">
        <f>'[75]Sch C'!D211</f>
        <v>47493</v>
      </c>
      <c r="D200" s="573">
        <f>'[75]Sch C'!F211</f>
        <v>0</v>
      </c>
      <c r="E200" s="171">
        <f t="shared" ref="E200:E205" si="50">C200+D200</f>
        <v>47493</v>
      </c>
      <c r="F200" s="171"/>
      <c r="G200" s="171">
        <f t="shared" ref="G200:G205" si="51">E200+F200</f>
        <v>47493</v>
      </c>
      <c r="H200" s="172">
        <f t="shared" ref="H200:H206" si="52">IF($G$208=0,0,G200/$G$208)</f>
        <v>2.3599205558506583E-2</v>
      </c>
      <c r="I200" s="337"/>
      <c r="J200" s="183">
        <v>3648</v>
      </c>
      <c r="K200" s="183">
        <v>3648</v>
      </c>
      <c r="M200" s="364">
        <f t="shared" ref="M200:M205" si="53">G200/G$228</f>
        <v>14.731079404466501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573">
        <f>'[75]Sch C'!D212</f>
        <v>0</v>
      </c>
      <c r="D201" s="573">
        <f>'[75]Sch C'!F212</f>
        <v>7142</v>
      </c>
      <c r="E201" s="171">
        <f t="shared" si="50"/>
        <v>7142</v>
      </c>
      <c r="F201" s="171"/>
      <c r="G201" s="171">
        <f t="shared" si="51"/>
        <v>7142</v>
      </c>
      <c r="H201" s="172">
        <f t="shared" si="52"/>
        <v>3.5488498536385151E-3</v>
      </c>
      <c r="I201" s="337"/>
      <c r="J201" s="168"/>
      <c r="K201" s="168"/>
      <c r="M201" s="364">
        <f t="shared" si="53"/>
        <v>2.2152605459057071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573">
        <f>'[75]Sch C'!D213</f>
        <v>3497</v>
      </c>
      <c r="D202" s="573">
        <f>'[75]Sch C'!F213</f>
        <v>0</v>
      </c>
      <c r="E202" s="171">
        <f t="shared" si="50"/>
        <v>3497</v>
      </c>
      <c r="F202" s="171"/>
      <c r="G202" s="171">
        <f t="shared" si="51"/>
        <v>3497</v>
      </c>
      <c r="H202" s="172">
        <f t="shared" si="52"/>
        <v>1.7376544298759295E-3</v>
      </c>
      <c r="I202" s="337"/>
      <c r="J202" s="168"/>
      <c r="K202" s="168"/>
      <c r="M202" s="364">
        <f t="shared" si="53"/>
        <v>1.0846774193548387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573">
        <f>'[75]Sch C'!D214</f>
        <v>0</v>
      </c>
      <c r="D203" s="573">
        <f>'[75]Sch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>
        <f t="shared" si="53"/>
        <v>0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573">
        <f>'[75]Sch C'!D215</f>
        <v>0</v>
      </c>
      <c r="D204" s="573">
        <f>'[75]Sch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573">
        <f>'[75]Sch C'!D216</f>
        <v>667</v>
      </c>
      <c r="D205" s="573">
        <f>'[75]Sch C'!F216</f>
        <v>0</v>
      </c>
      <c r="E205" s="171">
        <f t="shared" si="50"/>
        <v>667</v>
      </c>
      <c r="F205" s="171"/>
      <c r="G205" s="171">
        <f t="shared" si="51"/>
        <v>667</v>
      </c>
      <c r="H205" s="172">
        <f t="shared" si="52"/>
        <v>3.3143137109729621E-4</v>
      </c>
      <c r="I205" s="337"/>
      <c r="J205" s="168"/>
      <c r="K205" s="168"/>
      <c r="M205" s="364">
        <f t="shared" si="53"/>
        <v>0.20688585607940446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573">
        <f>SUM(C200:C205)</f>
        <v>51657</v>
      </c>
      <c r="D206" s="573">
        <f>SUM(D200:D205)</f>
        <v>7142</v>
      </c>
      <c r="E206" s="171">
        <f t="shared" ref="E206" si="54">SUM(E200:E205)</f>
        <v>58799</v>
      </c>
      <c r="F206" s="171">
        <f>SUM(F200:F205)</f>
        <v>0</v>
      </c>
      <c r="G206" s="171">
        <f>SUM(G200:G205)</f>
        <v>58799</v>
      </c>
      <c r="H206" s="172">
        <f t="shared" si="52"/>
        <v>2.9217141213118324E-2</v>
      </c>
      <c r="I206" s="337"/>
      <c r="J206" s="168"/>
      <c r="K206" s="168"/>
      <c r="M206" s="364">
        <f>G206/G$228</f>
        <v>18.237903225806452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573">
        <f>SUM(C25:C206)/2</f>
        <v>2035425</v>
      </c>
      <c r="D208" s="573">
        <f>SUM(D25:D206)/2</f>
        <v>-10000</v>
      </c>
      <c r="E208" s="171">
        <f t="shared" ref="E208:F208" si="55">SUM(E25:E206)/2</f>
        <v>2025425</v>
      </c>
      <c r="F208" s="171">
        <f t="shared" si="55"/>
        <v>-12942</v>
      </c>
      <c r="G208" s="171">
        <f>SUM(G25:G206)/2</f>
        <v>2012483</v>
      </c>
      <c r="H208" s="172">
        <f>IF($G$208=0,0,G208/$G$208)</f>
        <v>1</v>
      </c>
      <c r="I208" s="337"/>
      <c r="J208" s="183">
        <f>SUM(J25:J200)</f>
        <v>70226</v>
      </c>
      <c r="K208" s="183">
        <f>SUM(K25:K200)</f>
        <v>70226</v>
      </c>
      <c r="M208" s="364">
        <f>G208/G$228</f>
        <v>624.21929280397023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573">
        <f>'[75]Sch C'!D221</f>
        <v>2035425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573">
        <f>C208-C211</f>
        <v>0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619"/>
      <c r="D213" s="232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573">
        <f>C21-C208</f>
        <v>-407761</v>
      </c>
      <c r="D215" s="573">
        <f>D21-D208</f>
        <v>10000</v>
      </c>
      <c r="E215" s="171">
        <f t="shared" ref="E215:F215" si="56">E21-E208</f>
        <v>-397761</v>
      </c>
      <c r="F215" s="171">
        <f t="shared" si="56"/>
        <v>12942</v>
      </c>
      <c r="G215" s="171">
        <f>G21-G208</f>
        <v>-384819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653">
        <f>'[75]Sch D'!C9</f>
        <v>40</v>
      </c>
      <c r="D219" s="653"/>
      <c r="E219" s="235">
        <f t="shared" ref="E219:G227" si="57">C219+D219</f>
        <v>40</v>
      </c>
      <c r="F219" s="234"/>
      <c r="G219" s="235">
        <f t="shared" si="57"/>
        <v>40</v>
      </c>
      <c r="H219" s="172">
        <f t="shared" ref="H219:H228" si="58">IF($G$228=0,0,G219/$G$228)</f>
        <v>1.2406947890818859E-2</v>
      </c>
      <c r="I219" s="337"/>
      <c r="J219" s="168"/>
      <c r="K219" s="168"/>
    </row>
    <row r="220" spans="1:14">
      <c r="A220" s="163"/>
      <c r="B220" s="170" t="s">
        <v>217</v>
      </c>
      <c r="C220" s="653">
        <f>'[75]Sch D'!D9</f>
        <v>0</v>
      </c>
      <c r="D220" s="653"/>
      <c r="E220" s="235">
        <f t="shared" si="57"/>
        <v>0</v>
      </c>
      <c r="F220" s="234"/>
      <c r="G220" s="235">
        <f t="shared" si="57"/>
        <v>0</v>
      </c>
      <c r="H220" s="172">
        <f t="shared" si="58"/>
        <v>0</v>
      </c>
      <c r="I220" s="337"/>
      <c r="J220" s="168"/>
      <c r="K220" s="168"/>
    </row>
    <row r="221" spans="1:14">
      <c r="A221" s="163"/>
      <c r="B221" s="170" t="s">
        <v>72</v>
      </c>
      <c r="C221" s="653">
        <f>'[75]Sch D'!E9</f>
        <v>3009</v>
      </c>
      <c r="D221" s="653"/>
      <c r="E221" s="235">
        <f t="shared" si="57"/>
        <v>3009</v>
      </c>
      <c r="F221" s="234"/>
      <c r="G221" s="235">
        <f t="shared" si="57"/>
        <v>3009</v>
      </c>
      <c r="H221" s="172">
        <f t="shared" si="58"/>
        <v>0.93331265508684869</v>
      </c>
      <c r="I221" s="337"/>
      <c r="J221" s="168"/>
      <c r="K221" s="168"/>
    </row>
    <row r="222" spans="1:14">
      <c r="A222" s="163"/>
      <c r="B222" s="202" t="s">
        <v>334</v>
      </c>
      <c r="C222" s="653">
        <f>'[75]Sch D'!F9</f>
        <v>101</v>
      </c>
      <c r="D222" s="653"/>
      <c r="E222" s="235">
        <f>C222+D222</f>
        <v>101</v>
      </c>
      <c r="F222" s="234"/>
      <c r="G222" s="235">
        <f>E222+F222</f>
        <v>101</v>
      </c>
      <c r="H222" s="172">
        <f t="shared" si="58"/>
        <v>3.1327543424317615E-2</v>
      </c>
      <c r="I222" s="337"/>
      <c r="J222" s="168"/>
      <c r="K222" s="168"/>
    </row>
    <row r="223" spans="1:14">
      <c r="A223" s="163"/>
      <c r="B223" s="170" t="s">
        <v>73</v>
      </c>
      <c r="C223" s="653">
        <f>'[75]Sch D'!G9</f>
        <v>0</v>
      </c>
      <c r="D223" s="653"/>
      <c r="E223" s="235">
        <f t="shared" si="57"/>
        <v>0</v>
      </c>
      <c r="F223" s="234"/>
      <c r="G223" s="235">
        <f t="shared" si="57"/>
        <v>0</v>
      </c>
      <c r="H223" s="172">
        <f t="shared" si="58"/>
        <v>0</v>
      </c>
      <c r="I223" s="337"/>
      <c r="J223" s="168"/>
      <c r="K223" s="168"/>
    </row>
    <row r="224" spans="1:14">
      <c r="A224" s="163"/>
      <c r="B224" s="170" t="s">
        <v>74</v>
      </c>
      <c r="C224" s="653">
        <f>'[75]Sch D'!H9</f>
        <v>50</v>
      </c>
      <c r="D224" s="653"/>
      <c r="E224" s="235">
        <f t="shared" si="57"/>
        <v>50</v>
      </c>
      <c r="F224" s="234"/>
      <c r="G224" s="235">
        <f t="shared" si="57"/>
        <v>50</v>
      </c>
      <c r="H224" s="172">
        <f t="shared" si="58"/>
        <v>1.5508684863523574E-2</v>
      </c>
      <c r="I224" s="337"/>
      <c r="J224" s="168"/>
      <c r="K224" s="168"/>
    </row>
    <row r="225" spans="1:11">
      <c r="A225" s="163"/>
      <c r="B225" s="170" t="s">
        <v>236</v>
      </c>
      <c r="C225" s="653">
        <f>'[75]Sch D'!I9</f>
        <v>0</v>
      </c>
      <c r="D225" s="653"/>
      <c r="E225" s="235">
        <f t="shared" si="57"/>
        <v>0</v>
      </c>
      <c r="F225" s="234"/>
      <c r="G225" s="235">
        <f t="shared" si="57"/>
        <v>0</v>
      </c>
      <c r="H225" s="172">
        <f t="shared" si="58"/>
        <v>0</v>
      </c>
      <c r="I225" s="337"/>
      <c r="J225" s="168"/>
      <c r="K225" s="168"/>
    </row>
    <row r="226" spans="1:11">
      <c r="A226" s="163"/>
      <c r="B226" s="170" t="s">
        <v>235</v>
      </c>
      <c r="C226" s="653">
        <f>'[75]Sch D'!J9</f>
        <v>24</v>
      </c>
      <c r="D226" s="653"/>
      <c r="E226" s="235">
        <f>C226+D226</f>
        <v>24</v>
      </c>
      <c r="F226" s="234"/>
      <c r="G226" s="235">
        <f>E226+F226</f>
        <v>24</v>
      </c>
      <c r="H226" s="172">
        <f t="shared" si="58"/>
        <v>7.4441687344913151E-3</v>
      </c>
      <c r="I226" s="337"/>
      <c r="J226" s="168"/>
      <c r="K226" s="168"/>
    </row>
    <row r="227" spans="1:11">
      <c r="A227" s="163"/>
      <c r="B227" s="170" t="s">
        <v>179</v>
      </c>
      <c r="C227" s="653">
        <f>'[75]Sch D'!K9</f>
        <v>0</v>
      </c>
      <c r="D227" s="653"/>
      <c r="E227" s="235">
        <f t="shared" si="57"/>
        <v>0</v>
      </c>
      <c r="F227" s="234"/>
      <c r="G227" s="235">
        <f t="shared" si="57"/>
        <v>0</v>
      </c>
      <c r="H227" s="172">
        <f t="shared" si="58"/>
        <v>0</v>
      </c>
      <c r="I227" s="337"/>
      <c r="J227" s="168"/>
      <c r="K227" s="168"/>
    </row>
    <row r="228" spans="1:11" ht="13.5" thickBot="1">
      <c r="A228" s="163"/>
      <c r="B228" s="236" t="s">
        <v>75</v>
      </c>
      <c r="C228" s="653">
        <f>SUM(C219:C227)</f>
        <v>3224</v>
      </c>
      <c r="D228" s="653">
        <f>SUM(D219:D227)</f>
        <v>0</v>
      </c>
      <c r="E228" s="237">
        <f>SUM(E219:E227)</f>
        <v>3224</v>
      </c>
      <c r="F228" s="237">
        <f>SUM(F219:F227)</f>
        <v>0</v>
      </c>
      <c r="G228" s="237">
        <f>SUM(G219:G227)</f>
        <v>3224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620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619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654">
        <f>'[75]Sch D'!N22</f>
        <v>52</v>
      </c>
      <c r="D231" s="574"/>
      <c r="E231" s="235">
        <f>C231+D231</f>
        <v>52</v>
      </c>
      <c r="F231" s="235"/>
      <c r="G231" s="235">
        <f>E231+F231</f>
        <v>52</v>
      </c>
      <c r="H231" s="167"/>
      <c r="J231" s="168"/>
      <c r="K231" s="168"/>
    </row>
    <row r="232" spans="1:11">
      <c r="A232" s="163"/>
      <c r="B232" s="202" t="s">
        <v>290</v>
      </c>
      <c r="C232" s="654">
        <f>'[75]Sch D'!N24</f>
        <v>52</v>
      </c>
      <c r="D232" s="574"/>
      <c r="E232" s="235">
        <f>C232+D232</f>
        <v>52</v>
      </c>
      <c r="F232" s="235"/>
      <c r="G232" s="235">
        <f>E232+F232</f>
        <v>52</v>
      </c>
      <c r="H232" s="536" t="s">
        <v>467</v>
      </c>
      <c r="J232" s="168"/>
      <c r="K232" s="168"/>
    </row>
    <row r="233" spans="1:11">
      <c r="A233" s="163"/>
      <c r="B233" s="202" t="s">
        <v>76</v>
      </c>
      <c r="C233" s="654">
        <f>$C$4-$C$3+1</f>
        <v>161</v>
      </c>
      <c r="D233" s="489"/>
      <c r="E233" s="235">
        <f>C233+D233</f>
        <v>161</v>
      </c>
      <c r="F233" s="240"/>
      <c r="G233" s="235">
        <f>E233+F233</f>
        <v>161</v>
      </c>
      <c r="H233" s="167"/>
      <c r="J233" s="168"/>
      <c r="K233" s="168"/>
    </row>
    <row r="234" spans="1:11">
      <c r="A234" s="163"/>
      <c r="B234" s="241"/>
      <c r="C234" s="621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654">
        <f>'[75]Sch D'!N28</f>
        <v>8372</v>
      </c>
      <c r="D235" s="489"/>
      <c r="E235" s="234">
        <f>E231*E233</f>
        <v>8372</v>
      </c>
      <c r="F235" s="240"/>
      <c r="G235" s="234">
        <f>G231*G233</f>
        <v>8372</v>
      </c>
      <c r="H235" s="167"/>
      <c r="J235" s="168"/>
      <c r="K235" s="168"/>
    </row>
    <row r="236" spans="1:11" ht="26">
      <c r="A236" s="163"/>
      <c r="B236" s="244" t="s">
        <v>336</v>
      </c>
      <c r="C236" s="655">
        <f>'[75]Sch D'!N30</f>
        <v>0.38509316770186336</v>
      </c>
      <c r="D236" s="240"/>
      <c r="E236" s="245">
        <f>E228/E235</f>
        <v>0.38509316770186336</v>
      </c>
      <c r="F236" s="246"/>
      <c r="G236" s="245">
        <f>G228/G235</f>
        <v>0.38509316770186336</v>
      </c>
      <c r="H236" s="167"/>
      <c r="J236" s="168"/>
      <c r="K236" s="168"/>
    </row>
    <row r="237" spans="1:11" ht="26">
      <c r="A237" s="163"/>
      <c r="B237" s="244" t="s">
        <v>337</v>
      </c>
      <c r="C237" s="655">
        <f>'[75]Sch D'!N32</f>
        <v>4.7778308647873869E-3</v>
      </c>
      <c r="D237" s="240"/>
      <c r="E237" s="245">
        <f>(E219+E220)/E235</f>
        <v>4.7778308647873869E-3</v>
      </c>
      <c r="F237" s="246"/>
      <c r="G237" s="245">
        <f>(G219+G220)/G235</f>
        <v>4.7778308647873869E-3</v>
      </c>
      <c r="H237" s="167"/>
      <c r="J237" s="168"/>
      <c r="K237" s="168"/>
    </row>
    <row r="238" spans="1:11" ht="26">
      <c r="A238" s="163"/>
      <c r="B238" s="244" t="s">
        <v>338</v>
      </c>
      <c r="C238" s="655">
        <f>'[75]Sch D'!N34</f>
        <v>1.2406947890818859E-2</v>
      </c>
      <c r="D238" s="240"/>
      <c r="E238" s="245">
        <f>(E237/E236)</f>
        <v>1.2406947890818859E-2</v>
      </c>
      <c r="F238" s="246"/>
      <c r="G238" s="245">
        <f>(G237/G236)</f>
        <v>1.2406947890818859E-2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73" t="str">
        <f>'[75]Sch B'!C85</f>
        <v/>
      </c>
    </row>
    <row r="242" spans="2:7">
      <c r="B242" s="537" t="s">
        <v>468</v>
      </c>
      <c r="F242" s="142" t="s">
        <v>341</v>
      </c>
      <c r="G242" s="573" t="str">
        <f>'[75]Sch B'!E85</f>
        <v/>
      </c>
    </row>
    <row r="243" spans="2:7">
      <c r="B243" s="465" t="s">
        <v>469</v>
      </c>
      <c r="F243" s="142" t="s">
        <v>342</v>
      </c>
      <c r="G243" s="573" t="str">
        <f>'[75]Sch B'!G85</f>
        <v/>
      </c>
    </row>
    <row r="244" spans="2:7">
      <c r="F244" s="142" t="s">
        <v>343</v>
      </c>
      <c r="G244" s="573">
        <f>'[75]Sch B'!I85</f>
        <v>447.82</v>
      </c>
    </row>
    <row r="245" spans="2:7">
      <c r="F245" s="142"/>
    </row>
  </sheetData>
  <printOptions horizontalCentered="1"/>
  <pageMargins left="0" right="0" top="0.75" bottom="1" header="0.5" footer="0.5"/>
  <pageSetup scale="70" orientation="portrait" horizontalDpi="300" verticalDpi="300" r:id="rId1"/>
  <headerFooter alignWithMargins="0">
    <oddFooter>&amp;R&amp;D
&amp;T
&amp;F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rgb="FFE28CAB"/>
  </sheetPr>
  <dimension ref="A1:Q245"/>
  <sheetViews>
    <sheetView showGridLines="0" zoomScale="95" zoomScaleNormal="95" workbookViewId="0">
      <selection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">
        <v>692</v>
      </c>
      <c r="B1" s="139" t="s">
        <v>304</v>
      </c>
      <c r="C1" s="523" t="s">
        <v>676</v>
      </c>
      <c r="D1" s="478"/>
      <c r="E1" s="478"/>
      <c r="F1" s="478"/>
      <c r="G1" s="478"/>
      <c r="H1" s="478"/>
      <c r="I1" s="479"/>
    </row>
    <row r="2" spans="1:14" ht="23">
      <c r="B2" s="143" t="s">
        <v>189</v>
      </c>
      <c r="C2" s="247" t="s">
        <v>404</v>
      </c>
      <c r="D2" s="144"/>
      <c r="E2" s="465" t="s">
        <v>474</v>
      </c>
    </row>
    <row r="3" spans="1:14">
      <c r="A3" s="145"/>
      <c r="B3" s="140" t="s">
        <v>79</v>
      </c>
      <c r="C3" s="495">
        <v>41821</v>
      </c>
      <c r="D3" s="144"/>
      <c r="E3" s="147"/>
    </row>
    <row r="4" spans="1:14">
      <c r="A4" s="145"/>
      <c r="B4" s="148" t="s">
        <v>80</v>
      </c>
      <c r="C4" s="495">
        <v>42185</v>
      </c>
      <c r="D4" s="144"/>
      <c r="E4" s="149"/>
      <c r="G4" s="150"/>
    </row>
    <row r="5" spans="1:14">
      <c r="A5" s="145"/>
      <c r="B5" s="148"/>
      <c r="C5" s="151"/>
      <c r="D5" s="144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144"/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573">
        <f>'[76]Sch B'!E10</f>
        <v>398302</v>
      </c>
      <c r="D11" s="573">
        <f>'[76]Sch B'!G10</f>
        <v>0</v>
      </c>
      <c r="E11" s="171">
        <f>C11+D11</f>
        <v>398302</v>
      </c>
      <c r="F11" s="171"/>
      <c r="G11" s="171">
        <f t="shared" ref="G11:G20" si="0">E11+F11</f>
        <v>398302</v>
      </c>
      <c r="H11" s="172">
        <f t="shared" ref="H11:H21" si="1">IF($G$21=0,0,G11/$G$21)</f>
        <v>0.14733138446048244</v>
      </c>
      <c r="I11" s="337"/>
      <c r="J11" s="368" t="s">
        <v>344</v>
      </c>
      <c r="K11" s="369">
        <f>G21</f>
        <v>2703443</v>
      </c>
      <c r="M11" s="359">
        <f>IFERROR(G11/G219,0)</f>
        <v>170.06917164816397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573">
        <f>'[76]Sch B'!E15</f>
        <v>0</v>
      </c>
      <c r="D12" s="573">
        <f>'[76]Sch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7"/>
      <c r="J12" s="370" t="s">
        <v>345</v>
      </c>
      <c r="K12" s="371">
        <f>G208</f>
        <v>2972979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573">
        <f>'[76]Sch B'!E21</f>
        <v>2174419</v>
      </c>
      <c r="D13" s="573">
        <f>'[76]Sch B'!G21</f>
        <v>0</v>
      </c>
      <c r="E13" s="171">
        <f t="shared" si="2"/>
        <v>2174419</v>
      </c>
      <c r="F13" s="171"/>
      <c r="G13" s="171">
        <f t="shared" si="0"/>
        <v>2174419</v>
      </c>
      <c r="H13" s="172">
        <f t="shared" si="1"/>
        <v>0.80431472015500238</v>
      </c>
      <c r="I13" s="337"/>
      <c r="J13" s="370" t="s">
        <v>346</v>
      </c>
      <c r="K13" s="371">
        <f>G228</f>
        <v>7166</v>
      </c>
      <c r="M13" s="359">
        <f t="shared" si="3"/>
        <v>502.98843395789959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573">
        <f>'[76]Sch B'!E27</f>
        <v>111304</v>
      </c>
      <c r="D14" s="573">
        <f>'[76]Sch B'!G27</f>
        <v>0</v>
      </c>
      <c r="E14" s="171">
        <f t="shared" si="2"/>
        <v>111304</v>
      </c>
      <c r="F14" s="175"/>
      <c r="G14" s="175">
        <f>E14+F14</f>
        <v>111304</v>
      </c>
      <c r="H14" s="176">
        <f t="shared" si="1"/>
        <v>4.1171202795842188E-2</v>
      </c>
      <c r="I14" s="338"/>
      <c r="J14" s="370" t="s">
        <v>347</v>
      </c>
      <c r="K14" s="371">
        <f>G231</f>
        <v>30</v>
      </c>
      <c r="M14" s="359">
        <f t="shared" si="3"/>
        <v>783.83098591549299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573">
        <f>'[76]Sch B'!E32</f>
        <v>0</v>
      </c>
      <c r="D15" s="573">
        <f>'[76]Sch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7"/>
      <c r="J15" s="370" t="s">
        <v>348</v>
      </c>
      <c r="K15" s="371">
        <f>G235</f>
        <v>10950</v>
      </c>
      <c r="M15" s="359">
        <f t="shared" si="3"/>
        <v>0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573">
        <f>'[76]Sch B'!E37</f>
        <v>17974</v>
      </c>
      <c r="D16" s="573">
        <f>'[76]Sch B'!G37</f>
        <v>0</v>
      </c>
      <c r="E16" s="171">
        <f t="shared" si="2"/>
        <v>17974</v>
      </c>
      <c r="F16" s="171"/>
      <c r="G16" s="171">
        <f t="shared" si="0"/>
        <v>17974</v>
      </c>
      <c r="H16" s="172">
        <f t="shared" si="1"/>
        <v>6.6485588932335546E-3</v>
      </c>
      <c r="I16" s="337"/>
      <c r="J16" s="372"/>
      <c r="K16" s="371"/>
      <c r="M16" s="359">
        <f t="shared" si="3"/>
        <v>50.066852367688021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573">
        <f>'[76]Sch B'!E42</f>
        <v>0</v>
      </c>
      <c r="D17" s="573">
        <f>'[76]Sch B'!G42</f>
        <v>0</v>
      </c>
      <c r="E17" s="171">
        <f t="shared" si="2"/>
        <v>0</v>
      </c>
      <c r="F17" s="171"/>
      <c r="G17" s="171">
        <f>E17+F17</f>
        <v>0</v>
      </c>
      <c r="H17" s="172">
        <f t="shared" si="1"/>
        <v>0</v>
      </c>
      <c r="I17" s="337"/>
      <c r="J17" s="370" t="s">
        <v>156</v>
      </c>
      <c r="K17" s="371">
        <f>J208</f>
        <v>70226</v>
      </c>
      <c r="M17" s="359">
        <f t="shared" si="3"/>
        <v>0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573">
        <f>'[76]Sch B'!E47</f>
        <v>0</v>
      </c>
      <c r="D18" s="573">
        <f>'[76]Sch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337"/>
      <c r="J18" s="373" t="s">
        <v>252</v>
      </c>
      <c r="K18" s="374">
        <f>K208</f>
        <v>70226</v>
      </c>
      <c r="M18" s="359">
        <f t="shared" si="3"/>
        <v>0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573">
        <f>'[76]Sch B'!E52</f>
        <v>0</v>
      </c>
      <c r="D19" s="573">
        <f>'[76]Sch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337"/>
      <c r="J19" s="168"/>
      <c r="K19" s="168"/>
      <c r="M19" s="359">
        <f t="shared" si="3"/>
        <v>0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573">
        <f>'[76]Sch B'!E67</f>
        <v>1444</v>
      </c>
      <c r="D20" s="573">
        <f>'[76]Sch B'!G67</f>
        <v>0</v>
      </c>
      <c r="E20" s="171">
        <f t="shared" si="2"/>
        <v>1444</v>
      </c>
      <c r="F20" s="171"/>
      <c r="G20" s="171">
        <f t="shared" si="0"/>
        <v>1444</v>
      </c>
      <c r="H20" s="172">
        <f t="shared" si="1"/>
        <v>5.3413369543948216E-4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573">
        <f>SUM(C11:C20)</f>
        <v>2703443</v>
      </c>
      <c r="D21" s="573">
        <f>SUM(D11:D20)</f>
        <v>0</v>
      </c>
      <c r="E21" s="171">
        <f>SUM(E11:E20)</f>
        <v>2703443</v>
      </c>
      <c r="F21" s="171">
        <f>SUM(F11:F20)</f>
        <v>0</v>
      </c>
      <c r="G21" s="171">
        <f>SUM(G11:G20)</f>
        <v>2703443</v>
      </c>
      <c r="H21" s="172">
        <f t="shared" si="1"/>
        <v>1</v>
      </c>
      <c r="I21" s="337"/>
      <c r="J21" s="168"/>
      <c r="K21" s="168"/>
      <c r="M21" s="359">
        <f>IFERROR(G21/G228,0)</f>
        <v>377.25969857661175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4">
      <c r="A24" s="181" t="s">
        <v>161</v>
      </c>
      <c r="B24" s="148" t="s">
        <v>12</v>
      </c>
      <c r="M24" s="363"/>
      <c r="N24" s="363"/>
    </row>
    <row r="25" spans="1:14" s="167" customFormat="1">
      <c r="A25" s="169" t="s">
        <v>83</v>
      </c>
      <c r="B25" s="170" t="s">
        <v>14</v>
      </c>
      <c r="C25" s="573">
        <f>'[76]Sch C'!D10</f>
        <v>85350</v>
      </c>
      <c r="D25" s="573">
        <f>'[76]Sch C'!F10</f>
        <v>0</v>
      </c>
      <c r="E25" s="171">
        <f t="shared" ref="E25:E60" si="4">C25+D25</f>
        <v>85350</v>
      </c>
      <c r="F25" s="171"/>
      <c r="G25" s="182">
        <f>E25+F25</f>
        <v>85350</v>
      </c>
      <c r="H25" s="172">
        <f>IF($G$208=0,0,G25/$G$208)</f>
        <v>2.8708578163518815E-2</v>
      </c>
      <c r="I25" s="337"/>
      <c r="J25" s="183">
        <v>2088</v>
      </c>
      <c r="K25" s="183">
        <v>2088</v>
      </c>
      <c r="M25" s="359">
        <f>G25/G$228</f>
        <v>11.910410270722858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573">
        <f>'[76]Sch C'!D11</f>
        <v>0</v>
      </c>
      <c r="D26" s="573">
        <f>'[76]Sch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573">
        <f>'[76]Sch C'!D12</f>
        <v>46159</v>
      </c>
      <c r="D27" s="573">
        <f>'[76]Sch C'!F12</f>
        <v>0</v>
      </c>
      <c r="E27" s="171">
        <f t="shared" si="4"/>
        <v>46159</v>
      </c>
      <c r="F27" s="171"/>
      <c r="G27" s="171">
        <f t="shared" si="5"/>
        <v>46159</v>
      </c>
      <c r="H27" s="172">
        <f t="shared" si="6"/>
        <v>1.5526177615112652E-2</v>
      </c>
      <c r="I27" s="337"/>
      <c r="J27" s="185">
        <v>2079</v>
      </c>
      <c r="K27" s="185">
        <v>2079</v>
      </c>
      <c r="M27" s="359">
        <f t="shared" si="7"/>
        <v>6.44138989673458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573">
        <f>'[76]Sch C'!D13</f>
        <v>191304</v>
      </c>
      <c r="D28" s="573">
        <f>'[76]Sch C'!F13</f>
        <v>-170466</v>
      </c>
      <c r="E28" s="171">
        <f t="shared" si="4"/>
        <v>20838</v>
      </c>
      <c r="F28" s="171"/>
      <c r="G28" s="171">
        <f t="shared" si="5"/>
        <v>20838</v>
      </c>
      <c r="H28" s="172">
        <f t="shared" si="6"/>
        <v>7.0091312451248397E-3</v>
      </c>
      <c r="I28" s="337"/>
      <c r="J28" s="168"/>
      <c r="K28" s="168"/>
      <c r="M28" s="359">
        <f t="shared" si="7"/>
        <v>2.9078984091543401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573">
        <f>'[76]Sch C'!D14</f>
        <v>0</v>
      </c>
      <c r="D29" s="573">
        <f>'[76]Sch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573">
        <f>'[76]Sch C'!D15</f>
        <v>0</v>
      </c>
      <c r="D30" s="573">
        <f>'[76]Sch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7"/>
      <c r="J30" s="168"/>
      <c r="K30" s="168"/>
      <c r="M30" s="359">
        <f t="shared" si="7"/>
        <v>0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573">
        <f>'[76]Sch C'!D16</f>
        <v>92500</v>
      </c>
      <c r="D31" s="573">
        <f>'[76]Sch C'!F16</f>
        <v>-1335</v>
      </c>
      <c r="E31" s="171">
        <f t="shared" si="4"/>
        <v>91165</v>
      </c>
      <c r="F31" s="171">
        <v>-2509</v>
      </c>
      <c r="G31" s="171">
        <f t="shared" si="5"/>
        <v>88656</v>
      </c>
      <c r="H31" s="172">
        <f t="shared" si="6"/>
        <v>2.9820594090977433E-2</v>
      </c>
      <c r="I31" s="337"/>
      <c r="J31" s="168"/>
      <c r="K31" s="168"/>
      <c r="M31" s="359">
        <f t="shared" si="7"/>
        <v>12.371755512140664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573">
        <f>'[76]Sch C'!D17</f>
        <v>0</v>
      </c>
      <c r="D32" s="573">
        <f>'[76]Sch C'!F17</f>
        <v>0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7"/>
      <c r="J32" s="168"/>
      <c r="K32" s="168"/>
      <c r="M32" s="359">
        <f t="shared" si="7"/>
        <v>0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573">
        <f>'[76]Sch C'!D18</f>
        <v>16455</v>
      </c>
      <c r="D33" s="573">
        <f>'[76]Sch C'!F18</f>
        <v>0</v>
      </c>
      <c r="E33" s="171">
        <f t="shared" si="4"/>
        <v>16455</v>
      </c>
      <c r="F33" s="171"/>
      <c r="G33" s="171">
        <f t="shared" si="5"/>
        <v>16455</v>
      </c>
      <c r="H33" s="172">
        <f t="shared" si="6"/>
        <v>5.5348524157082845E-3</v>
      </c>
      <c r="I33" s="337"/>
      <c r="J33" s="168"/>
      <c r="K33" s="168"/>
      <c r="M33" s="359">
        <f t="shared" si="7"/>
        <v>2.2962601172202066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573">
        <f>'[76]Sch C'!D19</f>
        <v>9846</v>
      </c>
      <c r="D34" s="573">
        <f>'[76]Sch C'!F19</f>
        <v>0</v>
      </c>
      <c r="E34" s="171">
        <f t="shared" si="4"/>
        <v>9846</v>
      </c>
      <c r="F34" s="171">
        <v>-3758</v>
      </c>
      <c r="G34" s="171">
        <f t="shared" si="5"/>
        <v>6088</v>
      </c>
      <c r="H34" s="172">
        <f t="shared" si="6"/>
        <v>2.0477776667780028E-3</v>
      </c>
      <c r="I34" s="337"/>
      <c r="J34" s="168"/>
      <c r="K34" s="168"/>
      <c r="M34" s="359">
        <f t="shared" si="7"/>
        <v>0.84956740161875521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573">
        <f>'[76]Sch C'!D20</f>
        <v>6187</v>
      </c>
      <c r="D35" s="573">
        <f>'[76]Sch C'!F20</f>
        <v>0</v>
      </c>
      <c r="E35" s="171">
        <f t="shared" si="4"/>
        <v>6187</v>
      </c>
      <c r="F35" s="171"/>
      <c r="G35" s="171">
        <f t="shared" si="5"/>
        <v>6187</v>
      </c>
      <c r="H35" s="172">
        <f t="shared" si="6"/>
        <v>2.0810775992699576E-3</v>
      </c>
      <c r="I35" s="337"/>
      <c r="J35" s="168"/>
      <c r="K35" s="168"/>
      <c r="M35" s="359">
        <f t="shared" si="7"/>
        <v>0.86338264024560429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573">
        <f>'[76]Sch C'!D21</f>
        <v>7033</v>
      </c>
      <c r="D36" s="573">
        <f>'[76]Sch C'!F21</f>
        <v>0</v>
      </c>
      <c r="E36" s="171">
        <f t="shared" si="4"/>
        <v>7033</v>
      </c>
      <c r="F36" s="171"/>
      <c r="G36" s="171">
        <f t="shared" si="5"/>
        <v>7033</v>
      </c>
      <c r="H36" s="172">
        <f t="shared" si="6"/>
        <v>2.3656406587466644E-3</v>
      </c>
      <c r="I36" s="337"/>
      <c r="J36" s="168"/>
      <c r="K36" s="168"/>
      <c r="M36" s="359">
        <f t="shared" si="7"/>
        <v>0.98144013396595031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573">
        <f>'[76]Sch C'!D22</f>
        <v>0</v>
      </c>
      <c r="D37" s="573">
        <f>'[76]Sch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573">
        <f>'[76]Sch C'!D23</f>
        <v>24969</v>
      </c>
      <c r="D38" s="573">
        <f>'[76]Sch C'!F23</f>
        <v>0</v>
      </c>
      <c r="E38" s="171">
        <f t="shared" si="4"/>
        <v>24969</v>
      </c>
      <c r="F38" s="171">
        <f>-1728-1432</f>
        <v>-3160</v>
      </c>
      <c r="G38" s="171">
        <f t="shared" si="5"/>
        <v>21809</v>
      </c>
      <c r="H38" s="172">
        <f t="shared" si="6"/>
        <v>7.3357396739095705E-3</v>
      </c>
      <c r="I38" s="337"/>
      <c r="J38" s="168"/>
      <c r="K38" s="168"/>
      <c r="M38" s="359">
        <f t="shared" si="7"/>
        <v>3.0433993859893942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573">
        <f>'[76]Sch C'!D24</f>
        <v>220</v>
      </c>
      <c r="D39" s="573">
        <f>'[76]Sch C'!F24</f>
        <v>0</v>
      </c>
      <c r="E39" s="171">
        <f t="shared" si="4"/>
        <v>220</v>
      </c>
      <c r="F39" s="171">
        <v>1728</v>
      </c>
      <c r="G39" s="171">
        <f t="shared" si="5"/>
        <v>1948</v>
      </c>
      <c r="H39" s="172">
        <f t="shared" si="6"/>
        <v>6.5523503529624661E-4</v>
      </c>
      <c r="I39" s="337"/>
      <c r="J39" s="168"/>
      <c r="K39" s="168"/>
      <c r="M39" s="359">
        <f t="shared" si="7"/>
        <v>0.27183924085961486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573">
        <f>'[76]Sch C'!D25</f>
        <v>0</v>
      </c>
      <c r="D40" s="573">
        <f>'[76]Sch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337"/>
      <c r="J40" s="168"/>
      <c r="K40" s="168"/>
      <c r="M40" s="359">
        <f t="shared" si="7"/>
        <v>0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573">
        <f>'[76]Sch C'!D26</f>
        <v>37648</v>
      </c>
      <c r="D41" s="573">
        <f>'[76]Sch C'!F26</f>
        <v>0</v>
      </c>
      <c r="E41" s="171">
        <f t="shared" si="4"/>
        <v>37648</v>
      </c>
      <c r="F41" s="171">
        <v>3758</v>
      </c>
      <c r="G41" s="171">
        <f t="shared" si="5"/>
        <v>41406</v>
      </c>
      <c r="H41" s="172">
        <f t="shared" si="6"/>
        <v>1.3927444492544346E-2</v>
      </c>
      <c r="I41" s="337"/>
      <c r="J41" s="168"/>
      <c r="K41" s="168"/>
      <c r="M41" s="359">
        <f t="shared" si="7"/>
        <v>5.7781188947809099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573">
        <f>'[76]Sch C'!D27</f>
        <v>3951</v>
      </c>
      <c r="D42" s="573">
        <f>'[76]Sch C'!F27</f>
        <v>-6</v>
      </c>
      <c r="E42" s="171">
        <f t="shared" si="4"/>
        <v>3945</v>
      </c>
      <c r="F42" s="171"/>
      <c r="G42" s="171">
        <f t="shared" si="5"/>
        <v>3945</v>
      </c>
      <c r="H42" s="172">
        <f t="shared" si="6"/>
        <v>1.3269518553612387E-3</v>
      </c>
      <c r="I42" s="337"/>
      <c r="J42" s="168"/>
      <c r="K42" s="168"/>
      <c r="M42" s="359">
        <f t="shared" si="7"/>
        <v>0.55051632710019538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573">
        <f>'[76]Sch C'!D28</f>
        <v>0</v>
      </c>
      <c r="D43" s="573">
        <f>'[76]Sch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573">
        <f>'[76]Sch C'!D29</f>
        <v>-9875</v>
      </c>
      <c r="D44" s="573">
        <f>'[76]Sch C'!F29</f>
        <v>9875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573">
        <f>'[76]Sch C'!D30</f>
        <v>0</v>
      </c>
      <c r="D45" s="573">
        <f>'[76]Sch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573">
        <f>'[76]Sch C'!D31</f>
        <v>19321</v>
      </c>
      <c r="D46" s="573">
        <f>'[76]Sch C'!F31</f>
        <v>0</v>
      </c>
      <c r="E46" s="171">
        <f t="shared" si="4"/>
        <v>19321</v>
      </c>
      <c r="F46" s="171"/>
      <c r="G46" s="171">
        <f t="shared" si="5"/>
        <v>19321</v>
      </c>
      <c r="H46" s="172">
        <f t="shared" si="6"/>
        <v>6.4988686432026601E-3</v>
      </c>
      <c r="I46" s="337"/>
      <c r="J46" s="168"/>
      <c r="K46" s="168"/>
      <c r="M46" s="359">
        <f t="shared" si="7"/>
        <v>2.6962042980742393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573">
        <f>'[76]Sch C'!D32</f>
        <v>19450</v>
      </c>
      <c r="D47" s="573">
        <f>'[76]Sch C'!F32</f>
        <v>0</v>
      </c>
      <c r="E47" s="171">
        <f t="shared" si="4"/>
        <v>19450</v>
      </c>
      <c r="F47" s="171"/>
      <c r="G47" s="171">
        <f t="shared" si="5"/>
        <v>19450</v>
      </c>
      <c r="H47" s="172">
        <f t="shared" si="6"/>
        <v>6.5422594643285408E-3</v>
      </c>
      <c r="I47" s="337"/>
      <c r="J47" s="168"/>
      <c r="K47" s="168"/>
      <c r="M47" s="359">
        <f t="shared" si="7"/>
        <v>2.7142059726486183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573">
        <f>'[76]Sch C'!D33</f>
        <v>0</v>
      </c>
      <c r="D48" s="573">
        <f>'[76]Sch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573">
        <f>'[76]Sch C'!D34</f>
        <v>0</v>
      </c>
      <c r="D49" s="573">
        <f>'[76]Sch C'!F34</f>
        <v>0</v>
      </c>
      <c r="E49" s="171">
        <f t="shared" si="4"/>
        <v>0</v>
      </c>
      <c r="F49" s="171"/>
      <c r="G49" s="171">
        <f t="shared" si="5"/>
        <v>0</v>
      </c>
      <c r="H49" s="172">
        <f t="shared" si="6"/>
        <v>0</v>
      </c>
      <c r="I49" s="337"/>
      <c r="J49" s="168"/>
      <c r="K49" s="168"/>
      <c r="M49" s="359">
        <f t="shared" si="7"/>
        <v>0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573">
        <f>'[76]Sch C'!D35</f>
        <v>0</v>
      </c>
      <c r="D50" s="573">
        <f>'[76]Sch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573">
        <f>'[76]Sch C'!D36</f>
        <v>8845</v>
      </c>
      <c r="D51" s="573">
        <f>'[76]Sch C'!F36</f>
        <v>0</v>
      </c>
      <c r="E51" s="171">
        <f t="shared" si="4"/>
        <v>8845</v>
      </c>
      <c r="F51" s="171"/>
      <c r="G51" s="171">
        <f t="shared" si="5"/>
        <v>8845</v>
      </c>
      <c r="H51" s="172">
        <f t="shared" si="6"/>
        <v>2.9751303322357809E-3</v>
      </c>
      <c r="I51" s="337"/>
      <c r="J51" s="183">
        <v>921</v>
      </c>
      <c r="K51" s="183">
        <v>921</v>
      </c>
      <c r="M51" s="359">
        <f t="shared" si="7"/>
        <v>1.2343008651967624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573">
        <f>'[76]Sch C'!D37</f>
        <v>0</v>
      </c>
      <c r="D52" s="573">
        <f>'[76]Sch C'!F37</f>
        <v>1402</v>
      </c>
      <c r="E52" s="171">
        <f t="shared" si="4"/>
        <v>1402</v>
      </c>
      <c r="F52" s="171"/>
      <c r="G52" s="171">
        <f t="shared" si="5"/>
        <v>1402</v>
      </c>
      <c r="H52" s="172">
        <f t="shared" si="6"/>
        <v>4.7158086215879762E-4</v>
      </c>
      <c r="I52" s="337"/>
      <c r="J52" s="168"/>
      <c r="K52" s="168"/>
      <c r="M52" s="359">
        <f t="shared" si="7"/>
        <v>0.1956461066145688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573">
        <f>'[76]Sch C'!D38</f>
        <v>0</v>
      </c>
      <c r="D53" s="573">
        <f>'[76]Sch C'!F38</f>
        <v>0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7"/>
      <c r="J53" s="168"/>
      <c r="K53" s="168"/>
      <c r="M53" s="359">
        <f t="shared" si="7"/>
        <v>0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573">
        <f>'[76]Sch C'!D39</f>
        <v>448</v>
      </c>
      <c r="D54" s="573">
        <f>'[76]Sch C'!F39</f>
        <v>0</v>
      </c>
      <c r="E54" s="171">
        <f t="shared" si="4"/>
        <v>448</v>
      </c>
      <c r="F54" s="171"/>
      <c r="G54" s="171">
        <f t="shared" si="5"/>
        <v>448</v>
      </c>
      <c r="H54" s="172">
        <f t="shared" si="6"/>
        <v>1.5069060359995816E-4</v>
      </c>
      <c r="I54" s="337"/>
      <c r="J54" s="168"/>
      <c r="K54" s="168"/>
      <c r="M54" s="359">
        <f t="shared" si="7"/>
        <v>6.2517443483114707E-2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573">
        <f>'[76]Sch C'!D40</f>
        <v>5047</v>
      </c>
      <c r="D55" s="573">
        <f>'[76]Sch C'!F40</f>
        <v>0</v>
      </c>
      <c r="E55" s="171">
        <f t="shared" si="4"/>
        <v>5047</v>
      </c>
      <c r="F55" s="171"/>
      <c r="G55" s="171">
        <f t="shared" si="5"/>
        <v>5047</v>
      </c>
      <c r="H55" s="172">
        <f t="shared" si="6"/>
        <v>1.6976238311807786E-3</v>
      </c>
      <c r="I55" s="337"/>
      <c r="J55" s="168"/>
      <c r="K55" s="168"/>
      <c r="M55" s="359">
        <f t="shared" si="7"/>
        <v>0.70429807423946411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573">
        <f>'[76]Sch C'!D41</f>
        <v>0</v>
      </c>
      <c r="D56" s="573">
        <f>'[76]Sch C'!F41</f>
        <v>0</v>
      </c>
      <c r="E56" s="171">
        <f t="shared" si="4"/>
        <v>0</v>
      </c>
      <c r="F56" s="171">
        <v>3203</v>
      </c>
      <c r="G56" s="171">
        <f t="shared" si="5"/>
        <v>3203</v>
      </c>
      <c r="H56" s="172">
        <f t="shared" si="6"/>
        <v>1.0773705431488081E-3</v>
      </c>
      <c r="I56" s="337"/>
      <c r="J56" s="168"/>
      <c r="K56" s="168"/>
      <c r="M56" s="359">
        <f t="shared" si="7"/>
        <v>0.44697181133128661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573">
        <f>'[76]Sch C'!D42</f>
        <v>1360</v>
      </c>
      <c r="D57" s="573">
        <f>'[76]Sch C'!F42</f>
        <v>0</v>
      </c>
      <c r="E57" s="171">
        <f t="shared" si="4"/>
        <v>1360</v>
      </c>
      <c r="F57" s="171"/>
      <c r="G57" s="171">
        <f t="shared" si="5"/>
        <v>1360</v>
      </c>
      <c r="H57" s="172">
        <f t="shared" si="6"/>
        <v>4.5745361807130152E-4</v>
      </c>
      <c r="I57" s="337"/>
      <c r="J57" s="168"/>
      <c r="K57" s="168"/>
      <c r="M57" s="359">
        <f t="shared" si="7"/>
        <v>0.18978509628802678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573">
        <f>'[76]Sch C'!D43</f>
        <v>4455</v>
      </c>
      <c r="D58" s="573">
        <f>'[76]Sch C'!F43</f>
        <v>0</v>
      </c>
      <c r="E58" s="171">
        <f t="shared" si="4"/>
        <v>4455</v>
      </c>
      <c r="F58" s="171"/>
      <c r="G58" s="171">
        <f t="shared" si="5"/>
        <v>4455</v>
      </c>
      <c r="H58" s="172">
        <f t="shared" si="6"/>
        <v>1.4984969621379767E-3</v>
      </c>
      <c r="I58" s="337"/>
      <c r="J58" s="168"/>
      <c r="K58" s="168"/>
      <c r="M58" s="359">
        <f t="shared" si="7"/>
        <v>0.62168573820820539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573">
        <f>'[76]Sch C'!D44</f>
        <v>0</v>
      </c>
      <c r="D59" s="573">
        <f>'[76]Sch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7"/>
      <c r="J59" s="168"/>
      <c r="K59" s="168"/>
      <c r="M59" s="359">
        <f t="shared" si="7"/>
        <v>0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573">
        <f>'[76]Sch C'!D45</f>
        <v>8753</v>
      </c>
      <c r="D60" s="573">
        <f>'[76]Sch C'!F45</f>
        <v>0</v>
      </c>
      <c r="E60" s="171">
        <f t="shared" si="4"/>
        <v>8753</v>
      </c>
      <c r="F60" s="171"/>
      <c r="G60" s="171">
        <f t="shared" si="5"/>
        <v>8753</v>
      </c>
      <c r="H60" s="172">
        <f t="shared" si="6"/>
        <v>2.9441849404250754E-3</v>
      </c>
      <c r="I60" s="337"/>
      <c r="J60" s="168"/>
      <c r="K60" s="168"/>
      <c r="M60" s="359">
        <f t="shared" si="7"/>
        <v>1.2214624616243372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573">
        <f>SUM(C25:C60)</f>
        <v>579426</v>
      </c>
      <c r="D61" s="573">
        <f>SUM(D25:D60)</f>
        <v>-160530</v>
      </c>
      <c r="E61" s="171">
        <f t="shared" ref="E61" si="8">SUM(E25:E60)</f>
        <v>418896</v>
      </c>
      <c r="F61" s="171">
        <f>SUM(F25:F60)</f>
        <v>-738</v>
      </c>
      <c r="G61" s="171">
        <f>SUM(G25:G60)</f>
        <v>418158</v>
      </c>
      <c r="H61" s="186">
        <f t="shared" si="6"/>
        <v>0.14065286031283772</v>
      </c>
      <c r="I61" s="339"/>
      <c r="J61" s="168"/>
      <c r="K61" s="168"/>
      <c r="M61" s="364">
        <f>G61/G$228</f>
        <v>58.353056098241694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I62" s="340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573">
        <f>'[76]Sch C'!D57</f>
        <v>0</v>
      </c>
      <c r="D64" s="573">
        <f>'[76]Sch C'!F57</f>
        <v>0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I64" s="337"/>
      <c r="J64" s="190"/>
      <c r="K64" s="168"/>
      <c r="M64" s="359">
        <f t="shared" ref="M64:M79" si="12">G64/G$228</f>
        <v>0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573">
        <f>'[76]Sch C'!D58</f>
        <v>182761</v>
      </c>
      <c r="D65" s="573">
        <f>'[76]Sch C'!F58</f>
        <v>0</v>
      </c>
      <c r="E65" s="171">
        <f t="shared" si="9"/>
        <v>182761</v>
      </c>
      <c r="F65" s="171"/>
      <c r="G65" s="171">
        <f t="shared" si="10"/>
        <v>182761</v>
      </c>
      <c r="H65" s="172">
        <f t="shared" si="11"/>
        <v>6.1474029920830252E-2</v>
      </c>
      <c r="I65" s="337"/>
      <c r="J65" s="190"/>
      <c r="K65" s="168"/>
      <c r="M65" s="359">
        <f t="shared" si="12"/>
        <v>25.503907340217694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573">
        <f>'[76]Sch C'!D59</f>
        <v>134077</v>
      </c>
      <c r="D66" s="573">
        <f>'[76]Sch C'!F59</f>
        <v>0</v>
      </c>
      <c r="E66" s="171">
        <f t="shared" si="9"/>
        <v>134077</v>
      </c>
      <c r="F66" s="171"/>
      <c r="G66" s="171">
        <f t="shared" si="10"/>
        <v>134077</v>
      </c>
      <c r="H66" s="172">
        <f t="shared" si="11"/>
        <v>4.5098535845695516E-2</v>
      </c>
      <c r="I66" s="337"/>
      <c r="J66" s="190"/>
      <c r="K66" s="168"/>
      <c r="M66" s="359">
        <f t="shared" si="12"/>
        <v>18.710159084566005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573">
        <f>'[76]Sch C'!D60</f>
        <v>33240</v>
      </c>
      <c r="D67" s="573">
        <f>'[76]Sch C'!F60</f>
        <v>0</v>
      </c>
      <c r="E67" s="171">
        <f t="shared" si="9"/>
        <v>33240</v>
      </c>
      <c r="F67" s="171"/>
      <c r="G67" s="171">
        <f t="shared" si="10"/>
        <v>33240</v>
      </c>
      <c r="H67" s="172">
        <f t="shared" si="11"/>
        <v>1.1180704606389752E-2</v>
      </c>
      <c r="I67" s="337"/>
      <c r="J67" s="193"/>
      <c r="K67" s="168"/>
      <c r="M67" s="359">
        <f t="shared" si="12"/>
        <v>4.6385710298632432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573">
        <f>'[76]Sch C'!D61</f>
        <v>0</v>
      </c>
      <c r="D68" s="573">
        <f>'[76]Sch C'!F61</f>
        <v>0</v>
      </c>
      <c r="E68" s="171">
        <f t="shared" si="9"/>
        <v>0</v>
      </c>
      <c r="F68" s="171"/>
      <c r="G68" s="171">
        <f t="shared" si="10"/>
        <v>0</v>
      </c>
      <c r="H68" s="172">
        <f t="shared" si="11"/>
        <v>0</v>
      </c>
      <c r="I68" s="337"/>
      <c r="J68" s="193"/>
      <c r="K68" s="168"/>
      <c r="M68" s="359">
        <f t="shared" si="12"/>
        <v>0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573">
        <f>'[76]Sch C'!D62</f>
        <v>0</v>
      </c>
      <c r="D69" s="573">
        <f>'[76]Sch C'!F62</f>
        <v>0</v>
      </c>
      <c r="E69" s="171">
        <f t="shared" si="9"/>
        <v>0</v>
      </c>
      <c r="F69" s="171"/>
      <c r="G69" s="171">
        <f t="shared" si="10"/>
        <v>0</v>
      </c>
      <c r="H69" s="172">
        <f t="shared" si="11"/>
        <v>0</v>
      </c>
      <c r="I69" s="337"/>
      <c r="J69" s="195"/>
      <c r="K69" s="168"/>
      <c r="M69" s="359">
        <f t="shared" si="12"/>
        <v>0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573">
        <f>'[76]Sch C'!D63</f>
        <v>0</v>
      </c>
      <c r="D70" s="573">
        <f>'[76]Sch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7"/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573">
        <f>'[76]Sch C'!D64</f>
        <v>0</v>
      </c>
      <c r="D71" s="573">
        <f>'[76]Sch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573">
        <f>'[76]Sch C'!D65</f>
        <v>4480</v>
      </c>
      <c r="D72" s="573">
        <f>'[76]Sch C'!F65</f>
        <v>0</v>
      </c>
      <c r="E72" s="171">
        <f t="shared" si="9"/>
        <v>4480</v>
      </c>
      <c r="F72" s="171"/>
      <c r="G72" s="171">
        <f t="shared" si="10"/>
        <v>4480</v>
      </c>
      <c r="H72" s="172">
        <f t="shared" si="11"/>
        <v>1.5069060359995815E-3</v>
      </c>
      <c r="I72" s="337"/>
      <c r="J72" s="195"/>
      <c r="K72" s="168"/>
      <c r="M72" s="359">
        <f t="shared" si="12"/>
        <v>0.6251744348311471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573">
        <f>'[76]Sch C'!D66</f>
        <v>36582</v>
      </c>
      <c r="D73" s="573">
        <f>'[76]Sch C'!F66</f>
        <v>0</v>
      </c>
      <c r="E73" s="171">
        <f t="shared" si="9"/>
        <v>36582</v>
      </c>
      <c r="F73" s="171"/>
      <c r="G73" s="171">
        <f t="shared" si="10"/>
        <v>36582</v>
      </c>
      <c r="H73" s="172">
        <f t="shared" si="11"/>
        <v>1.2304829600209084E-2</v>
      </c>
      <c r="I73" s="337"/>
      <c r="J73" s="195"/>
      <c r="K73" s="168"/>
      <c r="M73" s="359">
        <f t="shared" si="12"/>
        <v>5.1049399944180855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573">
        <f>'[76]Sch C'!D67</f>
        <v>0</v>
      </c>
      <c r="D74" s="573">
        <f>'[76]Sch C'!F67</f>
        <v>0</v>
      </c>
      <c r="E74" s="171">
        <f t="shared" si="9"/>
        <v>0</v>
      </c>
      <c r="F74" s="171">
        <v>286</v>
      </c>
      <c r="G74" s="171">
        <f t="shared" si="10"/>
        <v>286</v>
      </c>
      <c r="H74" s="172">
        <f t="shared" si="11"/>
        <v>9.6199804976759002E-5</v>
      </c>
      <c r="I74" s="337"/>
      <c r="J74" s="195"/>
      <c r="K74" s="168"/>
      <c r="M74" s="359">
        <f t="shared" si="12"/>
        <v>3.9910689366452694E-2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573">
        <f>'[76]Sch C'!D68</f>
        <v>0</v>
      </c>
      <c r="D75" s="573">
        <f>'[76]Sch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573">
        <f>'[76]Sch C'!D69</f>
        <v>6718</v>
      </c>
      <c r="D76" s="573">
        <f>'[76]Sch C'!F69</f>
        <v>0</v>
      </c>
      <c r="E76" s="171">
        <f t="shared" si="9"/>
        <v>6718</v>
      </c>
      <c r="F76" s="171"/>
      <c r="G76" s="171">
        <f t="shared" si="10"/>
        <v>6718</v>
      </c>
      <c r="H76" s="172">
        <f t="shared" si="11"/>
        <v>2.259686328090444E-3</v>
      </c>
      <c r="I76" s="337"/>
      <c r="J76" s="195"/>
      <c r="K76" s="168"/>
      <c r="M76" s="359">
        <f t="shared" si="12"/>
        <v>0.93748255651688528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573">
        <f>'[76]Sch C'!D70</f>
        <v>0</v>
      </c>
      <c r="D77" s="573">
        <f>'[76]Sch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7"/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573">
        <f>'[76]Sch C'!D71</f>
        <v>0</v>
      </c>
      <c r="D78" s="573">
        <f>'[76]Sch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7"/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573">
        <f>SUM(C64:C78)</f>
        <v>397858</v>
      </c>
      <c r="D79" s="573">
        <f>SUM(D64:D78)</f>
        <v>0</v>
      </c>
      <c r="E79" s="171">
        <f t="shared" ref="E79" si="13">SUM(E64:E78)</f>
        <v>397858</v>
      </c>
      <c r="F79" s="171">
        <f>SUM(F64:F78)</f>
        <v>286</v>
      </c>
      <c r="G79" s="171">
        <f>SUM(G64:G78)</f>
        <v>398144</v>
      </c>
      <c r="H79" s="172">
        <f t="shared" si="11"/>
        <v>0.13392089214219138</v>
      </c>
      <c r="I79" s="337"/>
      <c r="J79" s="195"/>
      <c r="K79" s="168"/>
      <c r="M79" s="359">
        <f t="shared" si="12"/>
        <v>55.560145129779514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573">
        <f>'[76]Sch C'!D75</f>
        <v>33990</v>
      </c>
      <c r="D82" s="573">
        <f>'[76]Sch C'!F75</f>
        <v>0</v>
      </c>
      <c r="E82" s="171">
        <f t="shared" ref="E82:E92" si="14">C82+D82</f>
        <v>33990</v>
      </c>
      <c r="F82" s="171"/>
      <c r="G82" s="171">
        <f t="shared" ref="G82:G92" si="15">E82+F82</f>
        <v>33990</v>
      </c>
      <c r="H82" s="172">
        <f t="shared" ref="H82:H93" si="16">IF($G$208=0,0,G82/$G$208)</f>
        <v>1.1432976822237897E-2</v>
      </c>
      <c r="I82" s="337"/>
      <c r="J82" s="183">
        <v>1971</v>
      </c>
      <c r="K82" s="183">
        <v>1971</v>
      </c>
      <c r="M82" s="359">
        <f t="shared" ref="M82:M92" si="17">G82/G$228</f>
        <v>4.7432319285514932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573">
        <f>'[76]Sch C'!D76</f>
        <v>0</v>
      </c>
      <c r="D83" s="573">
        <f>'[76]Sch C'!F76</f>
        <v>5386</v>
      </c>
      <c r="E83" s="171">
        <f t="shared" si="14"/>
        <v>5386</v>
      </c>
      <c r="F83" s="171"/>
      <c r="G83" s="171">
        <f t="shared" si="15"/>
        <v>5386</v>
      </c>
      <c r="H83" s="172">
        <f t="shared" si="16"/>
        <v>1.8116508727441397E-3</v>
      </c>
      <c r="I83" s="337"/>
      <c r="J83" s="168"/>
      <c r="K83" s="168"/>
      <c r="M83" s="359">
        <f t="shared" si="17"/>
        <v>0.7516048004465532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573">
        <f>'[76]Sch C'!D77</f>
        <v>3300</v>
      </c>
      <c r="D84" s="573">
        <f>'[76]Sch C'!F77</f>
        <v>0</v>
      </c>
      <c r="E84" s="171">
        <f t="shared" si="14"/>
        <v>3300</v>
      </c>
      <c r="F84" s="171"/>
      <c r="G84" s="171">
        <f t="shared" si="15"/>
        <v>3300</v>
      </c>
      <c r="H84" s="172">
        <f t="shared" si="16"/>
        <v>1.1099977497318347E-3</v>
      </c>
      <c r="I84" s="337"/>
      <c r="J84" s="168"/>
      <c r="K84" s="168"/>
      <c r="M84" s="359">
        <f t="shared" si="17"/>
        <v>0.46050795422830032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573">
        <f>'[76]Sch C'!D78</f>
        <v>640</v>
      </c>
      <c r="D85" s="573">
        <f>'[76]Sch C'!F78</f>
        <v>0</v>
      </c>
      <c r="E85" s="171">
        <f t="shared" si="14"/>
        <v>640</v>
      </c>
      <c r="F85" s="171"/>
      <c r="G85" s="171">
        <f t="shared" si="15"/>
        <v>640</v>
      </c>
      <c r="H85" s="172">
        <f t="shared" si="16"/>
        <v>2.1527229085708307E-4</v>
      </c>
      <c r="I85" s="337"/>
      <c r="J85" s="168"/>
      <c r="K85" s="168"/>
      <c r="M85" s="359">
        <f t="shared" si="17"/>
        <v>8.9310633547306728E-2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573">
        <f>'[76]Sch C'!D79</f>
        <v>10051</v>
      </c>
      <c r="D86" s="573">
        <f>'[76]Sch C'!F79</f>
        <v>0</v>
      </c>
      <c r="E86" s="171">
        <f t="shared" si="14"/>
        <v>10051</v>
      </c>
      <c r="F86" s="171">
        <f>-4065-3359</f>
        <v>-7424</v>
      </c>
      <c r="G86" s="171">
        <f>E86+F86</f>
        <v>2627</v>
      </c>
      <c r="H86" s="172">
        <f t="shared" si="16"/>
        <v>8.8362548137743322E-4</v>
      </c>
      <c r="I86" s="337"/>
      <c r="J86" s="168"/>
      <c r="K86" s="168"/>
      <c r="M86" s="359">
        <f t="shared" si="17"/>
        <v>0.36659224113871058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573">
        <f>'[76]Sch C'!D80</f>
        <v>11992</v>
      </c>
      <c r="D87" s="573">
        <f>'[76]Sch C'!F80</f>
        <v>0</v>
      </c>
      <c r="E87" s="171">
        <f t="shared" si="14"/>
        <v>11992</v>
      </c>
      <c r="F87" s="171">
        <v>862</v>
      </c>
      <c r="G87" s="171">
        <f t="shared" si="15"/>
        <v>12854</v>
      </c>
      <c r="H87" s="172">
        <f t="shared" si="16"/>
        <v>4.3236094166827282E-3</v>
      </c>
      <c r="I87" s="337"/>
      <c r="J87" s="168"/>
      <c r="K87" s="168"/>
      <c r="M87" s="359">
        <f t="shared" si="17"/>
        <v>1.7937482556516886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573">
        <f>'[76]Sch C'!D81</f>
        <v>1350</v>
      </c>
      <c r="D88" s="573">
        <f>'[76]Sch C'!F81</f>
        <v>0</v>
      </c>
      <c r="E88" s="171">
        <f t="shared" si="14"/>
        <v>1350</v>
      </c>
      <c r="F88" s="171"/>
      <c r="G88" s="171">
        <f t="shared" si="15"/>
        <v>1350</v>
      </c>
      <c r="H88" s="172">
        <f t="shared" si="16"/>
        <v>4.5408998852665964E-4</v>
      </c>
      <c r="I88" s="337"/>
      <c r="J88" s="168"/>
      <c r="K88" s="168"/>
      <c r="M88" s="359">
        <f t="shared" si="17"/>
        <v>0.18838961763885012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573">
        <f>'[76]Sch C'!D82</f>
        <v>612</v>
      </c>
      <c r="D89" s="573">
        <f>'[76]Sch C'!F82</f>
        <v>0</v>
      </c>
      <c r="E89" s="171">
        <f t="shared" si="14"/>
        <v>612</v>
      </c>
      <c r="F89" s="171"/>
      <c r="G89" s="171">
        <f t="shared" si="15"/>
        <v>612</v>
      </c>
      <c r="H89" s="172">
        <f t="shared" si="16"/>
        <v>2.058541281320857E-4</v>
      </c>
      <c r="I89" s="337"/>
      <c r="J89" s="168"/>
      <c r="K89" s="168"/>
      <c r="M89" s="359">
        <f t="shared" si="17"/>
        <v>8.5403293329612051E-2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573">
        <f>'[76]Sch C'!D83</f>
        <v>8167</v>
      </c>
      <c r="D90" s="573">
        <f>'[76]Sch C'!F83</f>
        <v>0</v>
      </c>
      <c r="E90" s="171">
        <f t="shared" si="14"/>
        <v>8167</v>
      </c>
      <c r="F90" s="171"/>
      <c r="G90" s="171">
        <f t="shared" si="15"/>
        <v>8167</v>
      </c>
      <c r="H90" s="172">
        <f t="shared" si="16"/>
        <v>2.7470762491090587E-3</v>
      </c>
      <c r="I90" s="337"/>
      <c r="J90" s="168"/>
      <c r="K90" s="168"/>
      <c r="M90" s="359">
        <f t="shared" si="17"/>
        <v>1.1396874127825845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573">
        <f>'[76]Sch C'!D84</f>
        <v>45815</v>
      </c>
      <c r="D91" s="573">
        <f>'[76]Sch C'!F84</f>
        <v>0</v>
      </c>
      <c r="E91" s="171">
        <f t="shared" si="14"/>
        <v>45815</v>
      </c>
      <c r="F91" s="171"/>
      <c r="G91" s="171">
        <f t="shared" si="15"/>
        <v>45815</v>
      </c>
      <c r="H91" s="172">
        <f t="shared" si="16"/>
        <v>1.541046875877697E-2</v>
      </c>
      <c r="I91" s="337"/>
      <c r="J91" s="168"/>
      <c r="K91" s="168"/>
      <c r="M91" s="359">
        <f t="shared" si="17"/>
        <v>6.393385431202903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573">
        <f>'[76]Sch C'!D85</f>
        <v>1083</v>
      </c>
      <c r="D92" s="573">
        <f>'[76]Sch C'!F85</f>
        <v>0</v>
      </c>
      <c r="E92" s="171">
        <f t="shared" si="14"/>
        <v>1083</v>
      </c>
      <c r="F92" s="171"/>
      <c r="G92" s="171">
        <f t="shared" si="15"/>
        <v>1083</v>
      </c>
      <c r="H92" s="172">
        <f t="shared" si="16"/>
        <v>3.6428107968472029E-4</v>
      </c>
      <c r="I92" s="337"/>
      <c r="J92" s="168"/>
      <c r="K92" s="168"/>
      <c r="M92" s="359">
        <f t="shared" si="17"/>
        <v>0.15113033770583309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573">
        <f>SUM(C82:C92)</f>
        <v>117000</v>
      </c>
      <c r="D93" s="573">
        <f>SUM(D82:D92)</f>
        <v>5386</v>
      </c>
      <c r="E93" s="171">
        <f t="shared" ref="E93" si="18">SUM(E82:E92)</f>
        <v>122386</v>
      </c>
      <c r="F93" s="171">
        <f>SUM(F82:F92)</f>
        <v>-6562</v>
      </c>
      <c r="G93" s="171">
        <f>SUM(G82:G92)</f>
        <v>115824</v>
      </c>
      <c r="H93" s="172">
        <f t="shared" si="16"/>
        <v>3.8958902837860611E-2</v>
      </c>
      <c r="I93" s="337"/>
      <c r="J93" s="168"/>
      <c r="K93" s="168"/>
      <c r="M93" s="364">
        <f>G93/G$228</f>
        <v>16.162991906223834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573">
        <f>'[76]Sch C'!D89</f>
        <v>130175</v>
      </c>
      <c r="D96" s="573">
        <f>'[76]Sch C'!F89</f>
        <v>0</v>
      </c>
      <c r="E96" s="171">
        <f t="shared" ref="E96:E101" si="19">C96+D96</f>
        <v>130175</v>
      </c>
      <c r="F96" s="171"/>
      <c r="G96" s="171">
        <f t="shared" ref="G96:G101" si="20">E96+F96</f>
        <v>130175</v>
      </c>
      <c r="H96" s="172">
        <f t="shared" ref="H96:H102" si="21">IF($G$208=0,0,G96/$G$208)</f>
        <v>4.3786047597376233E-2</v>
      </c>
      <c r="I96" s="337"/>
      <c r="J96" s="183">
        <v>11991</v>
      </c>
      <c r="K96" s="183">
        <v>11991</v>
      </c>
      <c r="M96" s="364">
        <f t="shared" ref="M96:M101" si="22">G96/G$228</f>
        <v>18.16564331565727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573">
        <f>'[76]Sch C'!D90</f>
        <v>0</v>
      </c>
      <c r="D97" s="573">
        <f>'[76]Sch C'!F90</f>
        <v>20628</v>
      </c>
      <c r="E97" s="171">
        <f t="shared" si="19"/>
        <v>20628</v>
      </c>
      <c r="F97" s="171"/>
      <c r="G97" s="171">
        <f t="shared" si="20"/>
        <v>20628</v>
      </c>
      <c r="H97" s="172">
        <f t="shared" si="21"/>
        <v>6.9384950246873592E-3</v>
      </c>
      <c r="I97" s="337"/>
      <c r="J97" s="168"/>
      <c r="K97" s="168"/>
      <c r="M97" s="364">
        <f t="shared" si="22"/>
        <v>2.87859335752163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573">
        <f>'[76]Sch C'!D91</f>
        <v>6855</v>
      </c>
      <c r="D98" s="573">
        <f>'[76]Sch C'!F91</f>
        <v>0</v>
      </c>
      <c r="E98" s="171">
        <f t="shared" si="19"/>
        <v>6855</v>
      </c>
      <c r="F98" s="171"/>
      <c r="G98" s="171">
        <f t="shared" si="20"/>
        <v>6855</v>
      </c>
      <c r="H98" s="172">
        <f t="shared" si="21"/>
        <v>2.3057680528520384E-3</v>
      </c>
      <c r="I98" s="337"/>
      <c r="J98" s="168"/>
      <c r="K98" s="168"/>
      <c r="M98" s="364">
        <f t="shared" si="22"/>
        <v>0.95660061401060559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573">
        <f>'[76]Sch C'!D92</f>
        <v>62245</v>
      </c>
      <c r="D99" s="573">
        <f>'[76]Sch C'!F92</f>
        <v>-1438</v>
      </c>
      <c r="E99" s="171">
        <f t="shared" si="19"/>
        <v>60807</v>
      </c>
      <c r="F99" s="171"/>
      <c r="G99" s="171">
        <f t="shared" si="20"/>
        <v>60807</v>
      </c>
      <c r="H99" s="172">
        <f t="shared" si="21"/>
        <v>2.0453222172104144E-2</v>
      </c>
      <c r="I99" s="337"/>
      <c r="J99" s="168"/>
      <c r="K99" s="168"/>
      <c r="M99" s="364">
        <f t="shared" si="22"/>
        <v>8.485487022048563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573">
        <f>'[76]Sch C'!D93</f>
        <v>8723</v>
      </c>
      <c r="D100" s="573">
        <f>'[76]Sch C'!F93</f>
        <v>0</v>
      </c>
      <c r="E100" s="171">
        <f t="shared" si="19"/>
        <v>8723</v>
      </c>
      <c r="F100" s="171"/>
      <c r="G100" s="171">
        <f t="shared" si="20"/>
        <v>8723</v>
      </c>
      <c r="H100" s="172">
        <f t="shared" si="21"/>
        <v>2.9340940517911494E-3</v>
      </c>
      <c r="I100" s="337"/>
      <c r="J100" s="168"/>
      <c r="K100" s="168"/>
      <c r="M100" s="364">
        <f t="shared" si="22"/>
        <v>1.2172760256768071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573">
        <f>'[76]Sch C'!D94</f>
        <v>863</v>
      </c>
      <c r="D101" s="573">
        <f>'[76]Sch C'!F94</f>
        <v>0</v>
      </c>
      <c r="E101" s="171">
        <f t="shared" si="19"/>
        <v>863</v>
      </c>
      <c r="F101" s="171"/>
      <c r="G101" s="171">
        <f t="shared" si="20"/>
        <v>863</v>
      </c>
      <c r="H101" s="172">
        <f t="shared" si="21"/>
        <v>2.9028122970259796E-4</v>
      </c>
      <c r="I101" s="337"/>
      <c r="J101" s="168"/>
      <c r="K101" s="168"/>
      <c r="M101" s="364">
        <f t="shared" si="22"/>
        <v>0.12042980742394642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573">
        <f>SUM(C96:C101)</f>
        <v>208861</v>
      </c>
      <c r="D102" s="573">
        <f>SUM(D96:D101)</f>
        <v>19190</v>
      </c>
      <c r="E102" s="171">
        <f t="shared" ref="E102" si="23">SUM(E96:E101)</f>
        <v>228051</v>
      </c>
      <c r="F102" s="171">
        <f>SUM(F96:F101)</f>
        <v>0</v>
      </c>
      <c r="G102" s="171">
        <f>SUM(G96:G101)</f>
        <v>228051</v>
      </c>
      <c r="H102" s="172">
        <f t="shared" si="21"/>
        <v>7.6707908128513524E-2</v>
      </c>
      <c r="I102" s="337"/>
      <c r="J102" s="168"/>
      <c r="K102" s="168"/>
      <c r="M102" s="364">
        <f>G102/G$228</f>
        <v>31.824030142338824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573">
        <f>'[76]Sch C'!D98</f>
        <v>0</v>
      </c>
      <c r="D105" s="573">
        <f>'[76]Sch C'!F98</f>
        <v>0</v>
      </c>
      <c r="E105" s="171">
        <f t="shared" ref="E105:E110" si="24">C105+D105</f>
        <v>0</v>
      </c>
      <c r="F105" s="171"/>
      <c r="G105" s="171">
        <f t="shared" ref="G105:G110" si="25">E105+F105</f>
        <v>0</v>
      </c>
      <c r="H105" s="172">
        <f t="shared" ref="H105:H111" si="26">IF($G$208=0,0,G105/$G$208)</f>
        <v>0</v>
      </c>
      <c r="I105" s="337"/>
      <c r="J105" s="183">
        <v>0</v>
      </c>
      <c r="K105" s="183">
        <v>0</v>
      </c>
      <c r="M105" s="364">
        <f t="shared" ref="M105:M110" si="27">G105/G$228</f>
        <v>0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573">
        <f>'[76]Sch C'!D99</f>
        <v>0</v>
      </c>
      <c r="D106" s="573">
        <f>'[76]Sch C'!F99</f>
        <v>0</v>
      </c>
      <c r="E106" s="171">
        <f t="shared" si="24"/>
        <v>0</v>
      </c>
      <c r="F106" s="171"/>
      <c r="G106" s="171">
        <f t="shared" si="25"/>
        <v>0</v>
      </c>
      <c r="H106" s="172">
        <f t="shared" si="26"/>
        <v>0</v>
      </c>
      <c r="I106" s="337"/>
      <c r="J106" s="168"/>
      <c r="K106" s="168"/>
      <c r="M106" s="364">
        <f t="shared" si="27"/>
        <v>0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573">
        <f>'[76]Sch C'!D100</f>
        <v>3091</v>
      </c>
      <c r="D107" s="573">
        <f>'[76]Sch C'!F100</f>
        <v>0</v>
      </c>
      <c r="E107" s="171">
        <f t="shared" si="24"/>
        <v>3091</v>
      </c>
      <c r="F107" s="171"/>
      <c r="G107" s="171">
        <f t="shared" si="25"/>
        <v>3091</v>
      </c>
      <c r="H107" s="172">
        <f t="shared" si="26"/>
        <v>1.0396978922488185E-3</v>
      </c>
      <c r="I107" s="337"/>
      <c r="J107" s="168"/>
      <c r="K107" s="168"/>
      <c r="M107" s="364">
        <f t="shared" si="27"/>
        <v>0.43134245046050795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573">
        <f>'[76]Sch C'!D101</f>
        <v>0</v>
      </c>
      <c r="D108" s="573">
        <f>'[76]Sch C'!F101</f>
        <v>0</v>
      </c>
      <c r="E108" s="171">
        <f t="shared" si="24"/>
        <v>0</v>
      </c>
      <c r="F108" s="171"/>
      <c r="G108" s="171">
        <f t="shared" si="25"/>
        <v>0</v>
      </c>
      <c r="H108" s="172">
        <f t="shared" si="26"/>
        <v>0</v>
      </c>
      <c r="I108" s="337"/>
      <c r="J108" s="168"/>
      <c r="K108" s="168"/>
      <c r="M108" s="364">
        <f t="shared" si="27"/>
        <v>0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573">
        <f>'[76]Sch C'!D102</f>
        <v>1125</v>
      </c>
      <c r="D109" s="573">
        <f>'[76]Sch C'!F102</f>
        <v>0</v>
      </c>
      <c r="E109" s="171">
        <f t="shared" si="24"/>
        <v>1125</v>
      </c>
      <c r="F109" s="171"/>
      <c r="G109" s="171">
        <f t="shared" si="25"/>
        <v>1125</v>
      </c>
      <c r="H109" s="172">
        <f t="shared" si="26"/>
        <v>3.7840832377221634E-4</v>
      </c>
      <c r="I109" s="337"/>
      <c r="J109" s="168"/>
      <c r="K109" s="168"/>
      <c r="M109" s="364">
        <f t="shared" si="27"/>
        <v>0.15699134803237511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573">
        <f>'[76]Sch C'!D103</f>
        <v>49</v>
      </c>
      <c r="D110" s="573">
        <f>'[76]Sch C'!F103</f>
        <v>0</v>
      </c>
      <c r="E110" s="171">
        <f t="shared" si="24"/>
        <v>49</v>
      </c>
      <c r="F110" s="171"/>
      <c r="G110" s="171">
        <f t="shared" si="25"/>
        <v>49</v>
      </c>
      <c r="H110" s="172">
        <f t="shared" si="26"/>
        <v>1.6481784768745424E-5</v>
      </c>
      <c r="I110" s="337"/>
      <c r="J110" s="168"/>
      <c r="K110" s="168"/>
      <c r="M110" s="364">
        <f t="shared" si="27"/>
        <v>6.8378453809656708E-3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573">
        <f>SUM(C105:C110)</f>
        <v>4265</v>
      </c>
      <c r="D111" s="573">
        <f>SUM(D105:D110)</f>
        <v>0</v>
      </c>
      <c r="E111" s="171">
        <f t="shared" ref="E111" si="28">SUM(E105:E110)</f>
        <v>4265</v>
      </c>
      <c r="F111" s="171">
        <f>SUM(F105:F110)</f>
        <v>0</v>
      </c>
      <c r="G111" s="171">
        <f>SUM(G105:G110)</f>
        <v>4265</v>
      </c>
      <c r="H111" s="172">
        <f t="shared" si="26"/>
        <v>1.4345880007897802E-3</v>
      </c>
      <c r="I111" s="337"/>
      <c r="J111" s="168"/>
      <c r="K111" s="168"/>
      <c r="M111" s="364">
        <f>G111/G$228</f>
        <v>0.59517164387384869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573">
        <f>'[76]Sch C'!D115</f>
        <v>51705</v>
      </c>
      <c r="D114" s="573">
        <f>'[76]Sch C'!F115</f>
        <v>0</v>
      </c>
      <c r="E114" s="171">
        <f t="shared" ref="E114:E118" si="29">C114+D114</f>
        <v>51705</v>
      </c>
      <c r="F114" s="171"/>
      <c r="G114" s="171">
        <f>E114+F114</f>
        <v>51705</v>
      </c>
      <c r="H114" s="172">
        <f t="shared" ref="H114:H119" si="30">IF($G$208=0,0,G114/$G$208)</f>
        <v>1.7391646560571062E-2</v>
      </c>
      <c r="I114" s="337"/>
      <c r="J114" s="183">
        <v>6158</v>
      </c>
      <c r="K114" s="183">
        <v>6158</v>
      </c>
      <c r="M114" s="364">
        <f t="shared" ref="M114:M119" si="31">G114/G$228</f>
        <v>7.2153223555679595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573">
        <f>'[76]Sch C'!D116</f>
        <v>0</v>
      </c>
      <c r="D115" s="573">
        <f>'[76]Sch C'!F116</f>
        <v>8193</v>
      </c>
      <c r="E115" s="171">
        <f t="shared" si="29"/>
        <v>8193</v>
      </c>
      <c r="F115" s="171"/>
      <c r="G115" s="171">
        <f>E115+F115</f>
        <v>8193</v>
      </c>
      <c r="H115" s="172">
        <f t="shared" si="30"/>
        <v>2.7558216859251278E-3</v>
      </c>
      <c r="I115" s="337"/>
      <c r="J115" s="168"/>
      <c r="K115" s="168"/>
      <c r="M115" s="364">
        <f t="shared" si="31"/>
        <v>1.1433156572704437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573">
        <f>'[76]Sch C'!D117</f>
        <v>6167</v>
      </c>
      <c r="D116" s="573">
        <f>'[76]Sch C'!F117</f>
        <v>0</v>
      </c>
      <c r="E116" s="171">
        <f t="shared" si="29"/>
        <v>6167</v>
      </c>
      <c r="F116" s="171"/>
      <c r="G116" s="171">
        <f>E116+F116</f>
        <v>6167</v>
      </c>
      <c r="H116" s="172">
        <f t="shared" si="30"/>
        <v>2.074350340180674E-3</v>
      </c>
      <c r="I116" s="337"/>
      <c r="J116" s="168"/>
      <c r="K116" s="168"/>
      <c r="M116" s="364">
        <f t="shared" si="31"/>
        <v>0.86059168294725086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573">
        <f>'[76]Sch C'!D118</f>
        <v>0</v>
      </c>
      <c r="D117" s="573">
        <f>'[76]Sch C'!F118</f>
        <v>0</v>
      </c>
      <c r="E117" s="171">
        <f t="shared" si="29"/>
        <v>0</v>
      </c>
      <c r="F117" s="171"/>
      <c r="G117" s="171">
        <f>E117+F117</f>
        <v>0</v>
      </c>
      <c r="H117" s="172">
        <f t="shared" si="30"/>
        <v>0</v>
      </c>
      <c r="I117" s="337"/>
      <c r="J117" s="168"/>
      <c r="K117" s="168"/>
      <c r="M117" s="364">
        <f t="shared" si="31"/>
        <v>0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573">
        <f>'[76]Sch C'!D119</f>
        <v>383</v>
      </c>
      <c r="D118" s="573">
        <f>'[76]Sch C'!F119</f>
        <v>0</v>
      </c>
      <c r="E118" s="171">
        <f t="shared" si="29"/>
        <v>383</v>
      </c>
      <c r="F118" s="171"/>
      <c r="G118" s="171">
        <f>E118+F118</f>
        <v>383</v>
      </c>
      <c r="H118" s="172">
        <f t="shared" si="30"/>
        <v>1.2882701155978566E-4</v>
      </c>
      <c r="I118" s="337"/>
      <c r="J118" s="168"/>
      <c r="K118" s="168"/>
      <c r="M118" s="364">
        <f t="shared" si="31"/>
        <v>5.3446832263466366E-2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573">
        <f>SUM(C114:C118)</f>
        <v>58255</v>
      </c>
      <c r="D119" s="573">
        <f>SUM(D114:D118)</f>
        <v>8193</v>
      </c>
      <c r="E119" s="171">
        <f t="shared" ref="E119" si="32">SUM(E114:E118)</f>
        <v>66448</v>
      </c>
      <c r="F119" s="171">
        <f>SUM(F114:F118)</f>
        <v>0</v>
      </c>
      <c r="G119" s="171">
        <f>SUM(G114:G118)</f>
        <v>66448</v>
      </c>
      <c r="H119" s="172">
        <f t="shared" si="30"/>
        <v>2.235064559823665E-2</v>
      </c>
      <c r="I119" s="337"/>
      <c r="J119" s="168"/>
      <c r="K119" s="168"/>
      <c r="M119" s="364">
        <f t="shared" si="31"/>
        <v>9.2726765280491215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1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573">
        <f>'[76]Sch C'!D124</f>
        <v>0</v>
      </c>
      <c r="D123" s="573">
        <f>'[76]Sch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7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0.77002560279620991</v>
      </c>
    </row>
    <row r="124" spans="1:14" s="167" customFormat="1">
      <c r="B124" s="163" t="s">
        <v>194</v>
      </c>
      <c r="C124" s="573">
        <f>'[76]Sch C'!D125</f>
        <v>143126</v>
      </c>
      <c r="D124" s="573">
        <f>'[76]Sch C'!F125</f>
        <v>0</v>
      </c>
      <c r="E124" s="171">
        <f t="shared" si="33"/>
        <v>143126</v>
      </c>
      <c r="F124" s="171"/>
      <c r="G124" s="171">
        <f>E124+F124</f>
        <v>143126</v>
      </c>
      <c r="H124" s="172">
        <f>IF($G$208=0,0,G124/$G$208)</f>
        <v>4.8142284220641991E-2</v>
      </c>
      <c r="I124" s="337"/>
      <c r="J124" s="183">
        <v>2096</v>
      </c>
      <c r="K124" s="183">
        <v>2096</v>
      </c>
      <c r="M124" s="364">
        <f t="shared" si="34"/>
        <v>19.972927714205973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573">
        <f>'[76]Sch C'!D126</f>
        <v>0</v>
      </c>
      <c r="D125" s="573">
        <f>'[76]Sch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7"/>
      <c r="J125" s="183">
        <v>0</v>
      </c>
      <c r="K125" s="183">
        <v>0</v>
      </c>
      <c r="M125" s="364">
        <f t="shared" si="34"/>
        <v>0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573">
        <f>'[76]Sch C'!D127</f>
        <v>0</v>
      </c>
      <c r="D126" s="573">
        <f>'[76]Sch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7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573">
        <f>'[76]Sch C'!D128</f>
        <v>1321</v>
      </c>
      <c r="D127" s="573">
        <f>'[76]Sch C'!F128</f>
        <v>0</v>
      </c>
      <c r="E127" s="171">
        <f t="shared" si="33"/>
        <v>1321</v>
      </c>
      <c r="F127" s="171"/>
      <c r="G127" s="171">
        <f>E127+F127</f>
        <v>1321</v>
      </c>
      <c r="H127" s="172">
        <f>IF($G$208=0,0,G127/$G$208)</f>
        <v>4.4433546284719803E-4</v>
      </c>
      <c r="I127" s="337"/>
      <c r="J127" s="183">
        <v>125</v>
      </c>
      <c r="K127" s="183">
        <v>125</v>
      </c>
      <c r="M127" s="364">
        <f t="shared" si="34"/>
        <v>0.18434272955623779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205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573">
        <f>'[76]Sch C'!D130</f>
        <v>0</v>
      </c>
      <c r="D129" s="573">
        <f>'[76]Sch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7"/>
      <c r="J129" s="204"/>
      <c r="K129" s="204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573">
        <f>'[76]Sch C'!D131</f>
        <v>0</v>
      </c>
      <c r="D130" s="573">
        <f>'[76]Sch C'!F131</f>
        <v>22680</v>
      </c>
      <c r="E130" s="171">
        <f t="shared" si="35"/>
        <v>22680</v>
      </c>
      <c r="F130" s="171"/>
      <c r="G130" s="171">
        <f>E130+F130</f>
        <v>22680</v>
      </c>
      <c r="H130" s="172">
        <f>IF($G$208=0,0,G130/$G$208)</f>
        <v>7.6287118072478821E-3</v>
      </c>
      <c r="I130" s="337"/>
      <c r="J130" s="204"/>
      <c r="K130" s="204"/>
      <c r="M130" s="364">
        <f t="shared" si="34"/>
        <v>3.1649455763326819</v>
      </c>
      <c r="N130" s="359">
        <f>SUMMARY!J133</f>
        <v>1.0792348507966931</v>
      </c>
    </row>
    <row r="131" spans="1:14" s="167" customFormat="1">
      <c r="B131" s="163" t="s">
        <v>195</v>
      </c>
      <c r="C131" s="573">
        <f>'[76]Sch C'!D132</f>
        <v>0</v>
      </c>
      <c r="D131" s="573">
        <f>'[76]Sch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7"/>
      <c r="J131" s="168"/>
      <c r="K131" s="168"/>
      <c r="M131" s="364">
        <f t="shared" si="34"/>
        <v>0</v>
      </c>
      <c r="N131" s="359">
        <f>SUMMARY!J134</f>
        <v>8.2765628075518377E-2</v>
      </c>
    </row>
    <row r="132" spans="1:14" s="167" customFormat="1">
      <c r="B132" s="163" t="s">
        <v>196</v>
      </c>
      <c r="C132" s="573">
        <f>'[76]Sch C'!D133</f>
        <v>0</v>
      </c>
      <c r="D132" s="573">
        <f>'[76]Sch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573">
        <f>'[76]Sch C'!D134</f>
        <v>0</v>
      </c>
      <c r="D133" s="573">
        <f>'[76]Sch C'!F134</f>
        <v>209</v>
      </c>
      <c r="E133" s="171">
        <f t="shared" si="35"/>
        <v>209</v>
      </c>
      <c r="F133" s="171"/>
      <c r="G133" s="171">
        <f>E133+F133</f>
        <v>209</v>
      </c>
      <c r="H133" s="172">
        <f>IF($G$208=0,0,G133/$G$208)</f>
        <v>7.0299857483016191E-5</v>
      </c>
      <c r="I133" s="337"/>
      <c r="J133" s="168"/>
      <c r="K133" s="168"/>
      <c r="M133" s="364">
        <f t="shared" si="34"/>
        <v>2.9165503767792353E-2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573">
        <f>'[76]Sch C'!D136</f>
        <v>375430</v>
      </c>
      <c r="D135" s="573">
        <f>'[76]Sch C'!F136</f>
        <v>0</v>
      </c>
      <c r="E135" s="171">
        <f t="shared" ref="E135:E138" si="36">C135+D135</f>
        <v>375430</v>
      </c>
      <c r="F135" s="171"/>
      <c r="G135" s="171">
        <f>E135+F135</f>
        <v>375430</v>
      </c>
      <c r="H135" s="172">
        <f>IF($G$208=0,0,G135/$G$208)</f>
        <v>0.12628074399449171</v>
      </c>
      <c r="I135" s="337"/>
      <c r="J135" s="183">
        <v>13779</v>
      </c>
      <c r="K135" s="183">
        <v>13779</v>
      </c>
      <c r="M135" s="364">
        <f t="shared" si="34"/>
        <v>52.390454926039631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573">
        <f>'[76]Sch C'!D137</f>
        <v>40876</v>
      </c>
      <c r="D136" s="573">
        <f>'[76]Sch C'!F137</f>
        <v>0</v>
      </c>
      <c r="E136" s="171">
        <f t="shared" si="36"/>
        <v>40876</v>
      </c>
      <c r="F136" s="171"/>
      <c r="G136" s="171">
        <f>E136+F136</f>
        <v>40876</v>
      </c>
      <c r="H136" s="172">
        <f>IF($G$208=0,0,G136/$G$208)</f>
        <v>1.3749172126678325E-2</v>
      </c>
      <c r="I136" s="337"/>
      <c r="J136" s="183">
        <v>1978</v>
      </c>
      <c r="K136" s="183">
        <v>1978</v>
      </c>
      <c r="M136" s="364">
        <f t="shared" si="34"/>
        <v>5.7041585263745462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573">
        <f>'[76]Sch C'!D138</f>
        <v>246091</v>
      </c>
      <c r="D137" s="573">
        <f>'[76]Sch C'!F138</f>
        <v>0</v>
      </c>
      <c r="E137" s="171">
        <f t="shared" si="36"/>
        <v>246091</v>
      </c>
      <c r="F137" s="171"/>
      <c r="G137" s="171">
        <f>E137+F137</f>
        <v>246091</v>
      </c>
      <c r="H137" s="172">
        <f>IF($G$208=0,0,G137/$G$208)</f>
        <v>8.2775895827047558E-2</v>
      </c>
      <c r="I137" s="337"/>
      <c r="J137" s="183">
        <v>23392</v>
      </c>
      <c r="K137" s="183">
        <v>23392</v>
      </c>
      <c r="M137" s="364">
        <f t="shared" si="34"/>
        <v>34.341473625453531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573">
        <f>'[76]Sch C'!D139</f>
        <v>0</v>
      </c>
      <c r="D138" s="573">
        <f>'[76]Sch C'!F139</f>
        <v>0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7"/>
      <c r="J138" s="183">
        <v>0</v>
      </c>
      <c r="K138" s="183">
        <v>0</v>
      </c>
      <c r="M138" s="364">
        <f t="shared" si="34"/>
        <v>0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7"/>
      <c r="J139" s="208"/>
      <c r="K139" s="208"/>
      <c r="M139" s="364"/>
      <c r="N139" s="359"/>
    </row>
    <row r="140" spans="1:14" s="167" customFormat="1">
      <c r="A140" s="169"/>
      <c r="B140" s="163" t="s">
        <v>194</v>
      </c>
      <c r="C140" s="573">
        <f>'[76]Sch C'!D141</f>
        <v>0</v>
      </c>
      <c r="D140" s="573">
        <f>'[76]Sch C'!F141</f>
        <v>59491</v>
      </c>
      <c r="E140" s="171">
        <f t="shared" ref="E140:E143" si="37">C140+D140</f>
        <v>59491</v>
      </c>
      <c r="F140" s="171"/>
      <c r="G140" s="171">
        <f>E140+F140</f>
        <v>59491</v>
      </c>
      <c r="H140" s="172">
        <f>IF($G$208=0,0,G140/$G$208)</f>
        <v>2.0010568524029264E-2</v>
      </c>
      <c r="I140" s="337"/>
      <c r="J140" s="168"/>
      <c r="K140" s="168"/>
      <c r="M140" s="364">
        <f t="shared" si="34"/>
        <v>8.3018420318169124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573">
        <f>'[76]Sch C'!D142</f>
        <v>0</v>
      </c>
      <c r="D141" s="573">
        <f>'[76]Sch C'!F142</f>
        <v>6477</v>
      </c>
      <c r="E141" s="171">
        <f t="shared" si="37"/>
        <v>6477</v>
      </c>
      <c r="F141" s="171"/>
      <c r="G141" s="171">
        <f>E141+F141</f>
        <v>6477</v>
      </c>
      <c r="H141" s="172">
        <f>IF($G$208=0,0,G141/$G$208)</f>
        <v>2.1786228560645737E-3</v>
      </c>
      <c r="I141" s="337"/>
      <c r="J141" s="168"/>
      <c r="K141" s="168"/>
      <c r="M141" s="364">
        <f t="shared" si="34"/>
        <v>0.90385152107172761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573">
        <f>'[76]Sch C'!D143</f>
        <v>0</v>
      </c>
      <c r="D142" s="573">
        <f>'[76]Sch C'!F143</f>
        <v>38996</v>
      </c>
      <c r="E142" s="171">
        <f t="shared" si="37"/>
        <v>38996</v>
      </c>
      <c r="F142" s="171"/>
      <c r="G142" s="171">
        <f>E142+F142</f>
        <v>38996</v>
      </c>
      <c r="H142" s="172">
        <f>IF($G$208=0,0,G142/$G$208)</f>
        <v>1.3116809772285644E-2</v>
      </c>
      <c r="I142" s="337"/>
      <c r="J142" s="168"/>
      <c r="K142" s="168"/>
      <c r="M142" s="364">
        <f t="shared" si="34"/>
        <v>5.4418085403293333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573">
        <f>'[76]Sch C'!D144</f>
        <v>0</v>
      </c>
      <c r="D143" s="573">
        <f>'[76]Sch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7"/>
      <c r="J143" s="168"/>
      <c r="K143" s="168"/>
      <c r="M143" s="364">
        <f t="shared" si="34"/>
        <v>0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7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573">
        <f>'[76]Sch C'!D146</f>
        <v>16200</v>
      </c>
      <c r="D145" s="573">
        <f>'[76]Sch C'!F146</f>
        <v>0</v>
      </c>
      <c r="E145" s="171">
        <f t="shared" ref="E145:E153" si="38">C145+D145</f>
        <v>16200</v>
      </c>
      <c r="F145" s="171">
        <v>1350</v>
      </c>
      <c r="G145" s="171">
        <f t="shared" ref="G145:G153" si="39">E145+F145</f>
        <v>17550</v>
      </c>
      <c r="H145" s="172">
        <f t="shared" ref="H145:H153" si="40">IF($G$208=0,0,G145/$G$208)</f>
        <v>5.9031698508465753E-3</v>
      </c>
      <c r="I145" s="337"/>
      <c r="J145" s="183">
        <v>0</v>
      </c>
      <c r="K145" s="183">
        <v>0</v>
      </c>
      <c r="M145" s="364">
        <f t="shared" si="34"/>
        <v>2.4490650293050518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573">
        <f>'[76]Sch C'!D147</f>
        <v>0</v>
      </c>
      <c r="D146" s="573">
        <f>'[76]Sch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337"/>
      <c r="J146" s="183">
        <v>0</v>
      </c>
      <c r="K146" s="183">
        <v>0</v>
      </c>
      <c r="M146" s="364">
        <f t="shared" si="34"/>
        <v>0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573">
        <f>'[76]Sch C'!D148</f>
        <v>0</v>
      </c>
      <c r="D147" s="573">
        <f>'[76]Sch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7"/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573">
        <f>'[76]Sch C'!D149</f>
        <v>0</v>
      </c>
      <c r="D148" s="573">
        <f>'[76]Sch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7"/>
      <c r="J148" s="183">
        <v>0</v>
      </c>
      <c r="K148" s="183">
        <v>0</v>
      </c>
      <c r="M148" s="364">
        <f t="shared" si="34"/>
        <v>0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573">
        <f>'[76]Sch C'!D150</f>
        <v>9737</v>
      </c>
      <c r="D149" s="573">
        <f>'[76]Sch C'!F150</f>
        <v>0</v>
      </c>
      <c r="E149" s="171">
        <f t="shared" si="38"/>
        <v>9737</v>
      </c>
      <c r="F149" s="171">
        <v>-1350</v>
      </c>
      <c r="G149" s="171">
        <f t="shared" si="39"/>
        <v>8387</v>
      </c>
      <c r="H149" s="172">
        <f t="shared" si="40"/>
        <v>2.8210760990911811E-3</v>
      </c>
      <c r="I149" s="337"/>
      <c r="J149" s="183">
        <v>0</v>
      </c>
      <c r="K149" s="183">
        <v>0</v>
      </c>
      <c r="M149" s="364">
        <f t="shared" si="34"/>
        <v>1.170387943064471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573">
        <f>'[76]Sch C'!D151</f>
        <v>38728</v>
      </c>
      <c r="D150" s="573">
        <f>'[76]Sch C'!F151</f>
        <v>0</v>
      </c>
      <c r="E150" s="171">
        <f t="shared" si="38"/>
        <v>38728</v>
      </c>
      <c r="F150" s="171"/>
      <c r="G150" s="171">
        <f t="shared" si="39"/>
        <v>38728</v>
      </c>
      <c r="H150" s="172">
        <f t="shared" si="40"/>
        <v>1.3026664500489241E-2</v>
      </c>
      <c r="I150" s="337"/>
      <c r="J150" s="168"/>
      <c r="K150" s="168"/>
      <c r="M150" s="364">
        <f t="shared" si="34"/>
        <v>5.4044097125313986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573">
        <f>'[76]Sch C'!D152</f>
        <v>823</v>
      </c>
      <c r="D151" s="573">
        <f>'[76]Sch C'!F152</f>
        <v>0</v>
      </c>
      <c r="E151" s="171">
        <f t="shared" si="38"/>
        <v>823</v>
      </c>
      <c r="F151" s="171"/>
      <c r="G151" s="171">
        <f t="shared" si="39"/>
        <v>823</v>
      </c>
      <c r="H151" s="172">
        <f t="shared" si="40"/>
        <v>2.7682671152403027E-4</v>
      </c>
      <c r="I151" s="337"/>
      <c r="J151" s="168"/>
      <c r="K151" s="168"/>
      <c r="M151" s="364">
        <f t="shared" si="34"/>
        <v>0.11484789282723974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573">
        <f>'[76]Sch C'!D153</f>
        <v>0</v>
      </c>
      <c r="D152" s="573">
        <f>'[76]Sch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7"/>
      <c r="J152" s="168"/>
      <c r="K152" s="168"/>
      <c r="M152" s="364">
        <f t="shared" si="34"/>
        <v>0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573">
        <f>'[76]Sch C'!D154</f>
        <v>0</v>
      </c>
      <c r="D153" s="573">
        <f>'[76]Sch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210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573">
        <f>'[76]Sch C'!D156</f>
        <v>0</v>
      </c>
      <c r="D155" s="573">
        <f>'[76]Sch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573">
        <f>'[76]Sch C'!D157</f>
        <v>0</v>
      </c>
      <c r="D156" s="573">
        <f>'[76]Sch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573">
        <f>'[76]Sch C'!D158</f>
        <v>0</v>
      </c>
      <c r="D157" s="573">
        <f>'[76]Sch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7"/>
      <c r="J157" s="168"/>
      <c r="K157" s="168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573">
        <f>'[76]Sch C'!D159</f>
        <v>0</v>
      </c>
      <c r="D158" s="573">
        <f>'[76]Sch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573">
        <f>'[76]Sch C'!D160</f>
        <v>0</v>
      </c>
      <c r="D159" s="573">
        <f>'[76]Sch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7"/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573">
        <f>'[76]Sch C'!D161</f>
        <v>0</v>
      </c>
      <c r="D160" s="573">
        <f>'[76]Sch C'!F161</f>
        <v>0</v>
      </c>
      <c r="E160" s="171">
        <f t="shared" si="41"/>
        <v>0</v>
      </c>
      <c r="F160" s="171"/>
      <c r="G160" s="171">
        <f t="shared" si="42"/>
        <v>0</v>
      </c>
      <c r="H160" s="172">
        <f t="shared" si="43"/>
        <v>0</v>
      </c>
      <c r="I160" s="337"/>
      <c r="J160" s="168"/>
      <c r="K160" s="168"/>
      <c r="M160" s="364">
        <f t="shared" si="34"/>
        <v>0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573">
        <f>SUM(C123:C160)</f>
        <v>872332</v>
      </c>
      <c r="D161" s="573">
        <f>SUM(D123:D160)</f>
        <v>127853</v>
      </c>
      <c r="E161" s="171">
        <f t="shared" ref="E161" si="44">SUM(E123:E160)</f>
        <v>1000185</v>
      </c>
      <c r="F161" s="171">
        <f>SUM(F123:F160)</f>
        <v>0</v>
      </c>
      <c r="G161" s="171">
        <f>SUM(G123:G160)</f>
        <v>1000185</v>
      </c>
      <c r="H161" s="172">
        <f t="shared" si="43"/>
        <v>0.33642518161076818</v>
      </c>
      <c r="I161" s="337"/>
      <c r="J161" s="168"/>
      <c r="K161" s="168"/>
      <c r="M161" s="364">
        <f>G161/G$228</f>
        <v>139.57368127267654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337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7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573">
        <f>'[76]Sch C'!D175</f>
        <v>0</v>
      </c>
      <c r="D164" s="573">
        <f>'[76]Sch C'!F175</f>
        <v>0</v>
      </c>
      <c r="E164" s="171">
        <f t="shared" ref="E164:E196" si="45">C164+D164</f>
        <v>0</v>
      </c>
      <c r="F164" s="665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573">
        <f>'[76]Sch C'!D176</f>
        <v>0</v>
      </c>
      <c r="D165" s="573">
        <f>'[76]Sch C'!F176</f>
        <v>0</v>
      </c>
      <c r="E165" s="171">
        <f t="shared" si="45"/>
        <v>0</v>
      </c>
      <c r="F165" s="665"/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573">
        <f>'[76]Sch C'!D177</f>
        <v>0</v>
      </c>
      <c r="D166" s="573">
        <f>'[76]Sch C'!F177</f>
        <v>0</v>
      </c>
      <c r="E166" s="171">
        <f t="shared" si="45"/>
        <v>0</v>
      </c>
      <c r="F166" s="665"/>
      <c r="G166" s="171">
        <f t="shared" si="46"/>
        <v>0</v>
      </c>
      <c r="H166" s="172">
        <f t="shared" si="47"/>
        <v>0</v>
      </c>
      <c r="I166" s="343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573">
        <f>'[76]Sch C'!D178</f>
        <v>0</v>
      </c>
      <c r="D167" s="573">
        <f>'[76]Sch C'!F178</f>
        <v>0</v>
      </c>
      <c r="E167" s="171">
        <f t="shared" si="45"/>
        <v>0</v>
      </c>
      <c r="F167" s="665"/>
      <c r="G167" s="171">
        <f t="shared" si="46"/>
        <v>0</v>
      </c>
      <c r="H167" s="172">
        <f t="shared" si="47"/>
        <v>0</v>
      </c>
      <c r="I167" s="344"/>
      <c r="J167" s="222"/>
      <c r="K167" s="222"/>
      <c r="L167" s="218"/>
      <c r="M167" s="364">
        <f t="shared" si="48"/>
        <v>0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573">
        <f>'[76]Sch C'!D179</f>
        <v>0</v>
      </c>
      <c r="D168" s="573">
        <f>'[76]Sch C'!F179</f>
        <v>0</v>
      </c>
      <c r="E168" s="171">
        <f t="shared" si="45"/>
        <v>0</v>
      </c>
      <c r="F168" s="665"/>
      <c r="G168" s="171">
        <f t="shared" si="46"/>
        <v>0</v>
      </c>
      <c r="H168" s="172">
        <f t="shared" si="47"/>
        <v>0</v>
      </c>
      <c r="I168" s="343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573">
        <f>'[76]Sch C'!D180</f>
        <v>0</v>
      </c>
      <c r="D169" s="573">
        <f>'[76]Sch C'!F180</f>
        <v>0</v>
      </c>
      <c r="E169" s="171">
        <f t="shared" si="45"/>
        <v>0</v>
      </c>
      <c r="F169" s="665"/>
      <c r="G169" s="171">
        <f t="shared" si="46"/>
        <v>0</v>
      </c>
      <c r="H169" s="172">
        <f t="shared" si="47"/>
        <v>0</v>
      </c>
      <c r="I169" s="344"/>
      <c r="J169" s="222"/>
      <c r="K169" s="222"/>
      <c r="L169" s="218"/>
      <c r="M169" s="364">
        <f t="shared" si="48"/>
        <v>0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573">
        <f>'[76]Sch C'!D181</f>
        <v>0</v>
      </c>
      <c r="D170" s="573">
        <f>'[76]Sch C'!F181</f>
        <v>0</v>
      </c>
      <c r="E170" s="171">
        <f t="shared" si="45"/>
        <v>0</v>
      </c>
      <c r="F170" s="665"/>
      <c r="G170" s="171">
        <f t="shared" si="46"/>
        <v>0</v>
      </c>
      <c r="H170" s="172">
        <f t="shared" si="47"/>
        <v>0</v>
      </c>
      <c r="I170" s="343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573">
        <f>'[76]Sch C'!D182</f>
        <v>0</v>
      </c>
      <c r="D171" s="573">
        <f>'[76]Sch C'!F182</f>
        <v>0</v>
      </c>
      <c r="E171" s="171">
        <f t="shared" si="45"/>
        <v>0</v>
      </c>
      <c r="F171" s="665"/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573">
        <f>'[76]Sch C'!D183</f>
        <v>0</v>
      </c>
      <c r="D172" s="573">
        <f>'[76]Sch C'!F183</f>
        <v>0</v>
      </c>
      <c r="E172" s="171">
        <f t="shared" si="45"/>
        <v>0</v>
      </c>
      <c r="F172" s="665"/>
      <c r="G172" s="171">
        <f t="shared" si="46"/>
        <v>0</v>
      </c>
      <c r="H172" s="172">
        <f t="shared" si="47"/>
        <v>0</v>
      </c>
      <c r="I172" s="343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573">
        <f>'[76]Sch C'!D184</f>
        <v>0</v>
      </c>
      <c r="D173" s="573">
        <f>'[76]Sch C'!F184</f>
        <v>0</v>
      </c>
      <c r="E173" s="171">
        <f t="shared" si="45"/>
        <v>0</v>
      </c>
      <c r="F173" s="665"/>
      <c r="G173" s="171">
        <f t="shared" si="46"/>
        <v>0</v>
      </c>
      <c r="H173" s="172">
        <f t="shared" si="47"/>
        <v>0</v>
      </c>
      <c r="I173" s="344"/>
      <c r="J173" s="222"/>
      <c r="K173" s="222"/>
      <c r="L173" s="218"/>
      <c r="M173" s="364">
        <f t="shared" si="48"/>
        <v>0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573">
        <f>'[76]Sch C'!D185</f>
        <v>0</v>
      </c>
      <c r="D174" s="573">
        <f>'[76]Sch C'!F185</f>
        <v>0</v>
      </c>
      <c r="E174" s="171">
        <f t="shared" si="45"/>
        <v>0</v>
      </c>
      <c r="F174" s="665"/>
      <c r="G174" s="171">
        <f t="shared" si="46"/>
        <v>0</v>
      </c>
      <c r="H174" s="172">
        <f t="shared" si="47"/>
        <v>0</v>
      </c>
      <c r="I174" s="343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573">
        <f>'[76]Sch C'!D186</f>
        <v>0</v>
      </c>
      <c r="D175" s="573">
        <f>'[76]Sch C'!F186</f>
        <v>0</v>
      </c>
      <c r="E175" s="171">
        <f t="shared" si="45"/>
        <v>0</v>
      </c>
      <c r="F175" s="665"/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573">
        <f>'[76]Sch C'!D187</f>
        <v>0</v>
      </c>
      <c r="D176" s="573">
        <f>'[76]Sch C'!F187</f>
        <v>0</v>
      </c>
      <c r="E176" s="171">
        <f t="shared" si="45"/>
        <v>0</v>
      </c>
      <c r="F176" s="665"/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573">
        <f>'[76]Sch C'!D188</f>
        <v>4130</v>
      </c>
      <c r="D177" s="573">
        <f>'[76]Sch C'!F188</f>
        <v>0</v>
      </c>
      <c r="E177" s="171">
        <f t="shared" si="45"/>
        <v>4130</v>
      </c>
      <c r="F177" s="665"/>
      <c r="G177" s="171">
        <f t="shared" si="46"/>
        <v>4130</v>
      </c>
      <c r="H177" s="172">
        <f t="shared" si="47"/>
        <v>1.3891790019371142E-3</v>
      </c>
      <c r="I177" s="337"/>
      <c r="J177" s="223"/>
      <c r="K177" s="218"/>
      <c r="L177" s="220"/>
      <c r="M177" s="364">
        <f t="shared" si="48"/>
        <v>0.57633268210996369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573">
        <f>'[76]Sch C'!D189</f>
        <v>0</v>
      </c>
      <c r="D178" s="573">
        <f>'[76]Sch C'!F189</f>
        <v>0</v>
      </c>
      <c r="E178" s="171">
        <f t="shared" si="45"/>
        <v>0</v>
      </c>
      <c r="F178" s="665"/>
      <c r="G178" s="171">
        <f t="shared" si="46"/>
        <v>0</v>
      </c>
      <c r="H178" s="172">
        <f t="shared" si="47"/>
        <v>0</v>
      </c>
      <c r="I178" s="337"/>
      <c r="J178" s="223"/>
      <c r="K178" s="218"/>
      <c r="L178" s="220"/>
      <c r="M178" s="364">
        <f t="shared" si="48"/>
        <v>0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573">
        <f>'[76]Sch C'!D190</f>
        <v>0</v>
      </c>
      <c r="D179" s="573">
        <f>'[76]Sch C'!F190</f>
        <v>0</v>
      </c>
      <c r="E179" s="171">
        <f t="shared" si="45"/>
        <v>0</v>
      </c>
      <c r="F179" s="665"/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573">
        <f>'[76]Sch C'!D191</f>
        <v>0</v>
      </c>
      <c r="D180" s="573">
        <f>'[76]Sch C'!F191</f>
        <v>0</v>
      </c>
      <c r="E180" s="171">
        <f t="shared" si="45"/>
        <v>0</v>
      </c>
      <c r="F180" s="665"/>
      <c r="G180" s="171">
        <f t="shared" si="46"/>
        <v>0</v>
      </c>
      <c r="H180" s="172">
        <f t="shared" si="47"/>
        <v>0</v>
      </c>
      <c r="I180" s="337"/>
      <c r="J180" s="223"/>
      <c r="K180" s="218"/>
      <c r="L180" s="220"/>
      <c r="M180" s="364">
        <f t="shared" si="48"/>
        <v>0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573">
        <f>'[76]Sch C'!D192</f>
        <v>0</v>
      </c>
      <c r="D181" s="573">
        <f>'[76]Sch C'!F192</f>
        <v>0</v>
      </c>
      <c r="E181" s="171">
        <f t="shared" si="45"/>
        <v>0</v>
      </c>
      <c r="F181" s="665"/>
      <c r="G181" s="171">
        <f t="shared" si="46"/>
        <v>0</v>
      </c>
      <c r="H181" s="172">
        <f t="shared" si="47"/>
        <v>0</v>
      </c>
      <c r="I181" s="337"/>
      <c r="J181" s="223"/>
      <c r="K181" s="218"/>
      <c r="L181" s="220"/>
      <c r="M181" s="364">
        <f t="shared" si="48"/>
        <v>0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573">
        <f>'[76]Sch C'!D193</f>
        <v>0</v>
      </c>
      <c r="D182" s="573">
        <f>'[76]Sch C'!F193</f>
        <v>0</v>
      </c>
      <c r="E182" s="171">
        <f t="shared" si="45"/>
        <v>0</v>
      </c>
      <c r="F182" s="665"/>
      <c r="G182" s="171">
        <f t="shared" si="46"/>
        <v>0</v>
      </c>
      <c r="H182" s="172">
        <f t="shared" si="47"/>
        <v>0</v>
      </c>
      <c r="I182" s="337"/>
      <c r="J182" s="223"/>
      <c r="K182" s="218"/>
      <c r="L182" s="220"/>
      <c r="M182" s="364">
        <f t="shared" si="48"/>
        <v>0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573">
        <f>'[76]Sch C'!D194</f>
        <v>449983</v>
      </c>
      <c r="D183" s="573">
        <f>'[76]Sch C'!F194</f>
        <v>0</v>
      </c>
      <c r="E183" s="171">
        <f t="shared" si="45"/>
        <v>449983</v>
      </c>
      <c r="F183" s="665"/>
      <c r="G183" s="171">
        <f t="shared" si="46"/>
        <v>449983</v>
      </c>
      <c r="H183" s="172">
        <f t="shared" si="47"/>
        <v>0.15135761133866066</v>
      </c>
      <c r="I183" s="337"/>
      <c r="J183" s="223"/>
      <c r="K183" s="218"/>
      <c r="M183" s="364">
        <f t="shared" si="48"/>
        <v>62.794166899246441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573">
        <f>'[76]Sch C'!D195</f>
        <v>0</v>
      </c>
      <c r="D184" s="573">
        <f>'[76]Sch C'!F195</f>
        <v>0</v>
      </c>
      <c r="E184" s="171">
        <f t="shared" si="45"/>
        <v>0</v>
      </c>
      <c r="F184" s="665"/>
      <c r="G184" s="171">
        <f t="shared" si="46"/>
        <v>0</v>
      </c>
      <c r="H184" s="172">
        <f t="shared" si="47"/>
        <v>0</v>
      </c>
      <c r="I184" s="337"/>
      <c r="J184" s="223"/>
      <c r="K184" s="218"/>
      <c r="M184" s="364">
        <f t="shared" si="48"/>
        <v>0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573">
        <f>'[76]Sch C'!D196</f>
        <v>0</v>
      </c>
      <c r="D185" s="573">
        <f>'[76]Sch C'!F196</f>
        <v>0</v>
      </c>
      <c r="E185" s="171">
        <f t="shared" si="45"/>
        <v>0</v>
      </c>
      <c r="F185" s="665"/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573">
        <f>'[76]Sch C'!D197</f>
        <v>0</v>
      </c>
      <c r="D186" s="573">
        <f>'[76]Sch C'!F197</f>
        <v>0</v>
      </c>
      <c r="E186" s="171">
        <f t="shared" si="45"/>
        <v>0</v>
      </c>
      <c r="F186" s="665"/>
      <c r="G186" s="171">
        <f t="shared" si="46"/>
        <v>0</v>
      </c>
      <c r="H186" s="172">
        <f t="shared" si="47"/>
        <v>0</v>
      </c>
      <c r="I186" s="337"/>
      <c r="J186" s="223"/>
      <c r="K186" s="218"/>
      <c r="M186" s="364">
        <f t="shared" si="48"/>
        <v>0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573">
        <f>'[76]Sch C'!D198</f>
        <v>18593</v>
      </c>
      <c r="D187" s="573">
        <f>'[76]Sch C'!F198</f>
        <v>0</v>
      </c>
      <c r="E187" s="171">
        <f t="shared" si="45"/>
        <v>18593</v>
      </c>
      <c r="F187" s="665"/>
      <c r="G187" s="171">
        <f t="shared" si="46"/>
        <v>18593</v>
      </c>
      <c r="H187" s="172">
        <f t="shared" si="47"/>
        <v>6.2539964123527279E-3</v>
      </c>
      <c r="I187" s="337"/>
      <c r="J187" s="223"/>
      <c r="K187" s="218"/>
      <c r="M187" s="364">
        <f t="shared" si="48"/>
        <v>2.594613452414178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573">
        <f>'[76]Sch C'!D199</f>
        <v>0</v>
      </c>
      <c r="D188" s="573">
        <f>'[76]Sch C'!F199</f>
        <v>0</v>
      </c>
      <c r="E188" s="171">
        <f t="shared" si="45"/>
        <v>0</v>
      </c>
      <c r="F188" s="665"/>
      <c r="G188" s="171">
        <f t="shared" si="46"/>
        <v>0</v>
      </c>
      <c r="H188" s="172">
        <f t="shared" si="47"/>
        <v>0</v>
      </c>
      <c r="I188" s="337"/>
      <c r="J188" s="223"/>
      <c r="K188" s="218"/>
      <c r="M188" s="364">
        <f t="shared" si="48"/>
        <v>0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573">
        <f>'[76]Sch C'!D200</f>
        <v>0</v>
      </c>
      <c r="D189" s="573">
        <f>'[76]Sch C'!F200</f>
        <v>0</v>
      </c>
      <c r="E189" s="171">
        <f t="shared" si="45"/>
        <v>0</v>
      </c>
      <c r="F189" s="665"/>
      <c r="G189" s="171">
        <f t="shared" si="46"/>
        <v>0</v>
      </c>
      <c r="H189" s="172">
        <f t="shared" si="47"/>
        <v>0</v>
      </c>
      <c r="I189" s="337"/>
      <c r="J189" s="223"/>
      <c r="K189" s="218"/>
      <c r="M189" s="364">
        <f t="shared" si="48"/>
        <v>0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573">
        <f>'[76]Sch C'!D201</f>
        <v>0</v>
      </c>
      <c r="D190" s="573">
        <f>'[76]Sch C'!F201</f>
        <v>0</v>
      </c>
      <c r="E190" s="171">
        <f t="shared" si="45"/>
        <v>0</v>
      </c>
      <c r="F190" s="665"/>
      <c r="G190" s="171">
        <f t="shared" si="46"/>
        <v>0</v>
      </c>
      <c r="H190" s="172">
        <f t="shared" si="47"/>
        <v>0</v>
      </c>
      <c r="I190" s="337"/>
      <c r="J190" s="223"/>
      <c r="K190" s="218"/>
      <c r="M190" s="364">
        <f t="shared" si="48"/>
        <v>0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573">
        <f>'[76]Sch C'!D202</f>
        <v>0</v>
      </c>
      <c r="D191" s="573">
        <f>'[76]Sch C'!F202</f>
        <v>0</v>
      </c>
      <c r="E191" s="171">
        <f t="shared" si="45"/>
        <v>0</v>
      </c>
      <c r="F191" s="665"/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573">
        <f>'[76]Sch C'!D203</f>
        <v>0</v>
      </c>
      <c r="D192" s="573">
        <f>'[76]Sch C'!F203</f>
        <v>0</v>
      </c>
      <c r="E192" s="171">
        <f t="shared" si="45"/>
        <v>0</v>
      </c>
      <c r="F192" s="665"/>
      <c r="G192" s="171">
        <f t="shared" si="46"/>
        <v>0</v>
      </c>
      <c r="H192" s="172">
        <f t="shared" si="47"/>
        <v>0</v>
      </c>
      <c r="I192" s="337"/>
      <c r="J192" s="223"/>
      <c r="K192" s="218"/>
      <c r="M192" s="364">
        <f t="shared" si="48"/>
        <v>0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573">
        <f>'[76]Sch C'!D204</f>
        <v>0</v>
      </c>
      <c r="D193" s="573">
        <f>'[76]Sch C'!F204</f>
        <v>0</v>
      </c>
      <c r="E193" s="171">
        <f t="shared" si="45"/>
        <v>0</v>
      </c>
      <c r="F193" s="665"/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573">
        <f>'[76]Sch C'!D205</f>
        <v>190801</v>
      </c>
      <c r="D194" s="573">
        <f>'[76]Sch C'!F205</f>
        <v>0</v>
      </c>
      <c r="E194" s="171">
        <f t="shared" si="45"/>
        <v>190801</v>
      </c>
      <c r="F194" s="665"/>
      <c r="G194" s="171">
        <f t="shared" si="46"/>
        <v>190801</v>
      </c>
      <c r="H194" s="172">
        <f t="shared" si="47"/>
        <v>6.4178388074722356E-2</v>
      </c>
      <c r="I194" s="337"/>
      <c r="J194" s="223"/>
      <c r="K194" s="218"/>
      <c r="M194" s="364">
        <f t="shared" si="48"/>
        <v>26.625872174155734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573">
        <f>'[76]Sch C'!D206</f>
        <v>12266</v>
      </c>
      <c r="D195" s="573">
        <f>'[76]Sch C'!F206</f>
        <v>0</v>
      </c>
      <c r="E195" s="171">
        <f t="shared" si="45"/>
        <v>12266</v>
      </c>
      <c r="F195" s="665"/>
      <c r="G195" s="171">
        <f t="shared" si="46"/>
        <v>12266</v>
      </c>
      <c r="H195" s="172">
        <f t="shared" si="47"/>
        <v>4.1258279994577833E-3</v>
      </c>
      <c r="I195" s="337"/>
      <c r="J195" s="223"/>
      <c r="K195" s="218"/>
      <c r="M195" s="364">
        <f t="shared" si="48"/>
        <v>1.7116941110801005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573">
        <f>'[76]Sch C'!D207</f>
        <v>1173</v>
      </c>
      <c r="D196" s="573">
        <f>'[76]Sch C'!F207</f>
        <v>0</v>
      </c>
      <c r="E196" s="171">
        <f t="shared" si="45"/>
        <v>1173</v>
      </c>
      <c r="F196" s="665"/>
      <c r="G196" s="171">
        <f t="shared" si="46"/>
        <v>1173</v>
      </c>
      <c r="H196" s="172">
        <f t="shared" si="47"/>
        <v>3.9455374558649756E-4</v>
      </c>
      <c r="I196" s="337"/>
      <c r="J196" s="223"/>
      <c r="K196" s="218"/>
      <c r="M196" s="364">
        <f t="shared" si="48"/>
        <v>0.16368964554842311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573">
        <f>SUM(C164:C196)</f>
        <v>676946</v>
      </c>
      <c r="D197" s="573">
        <f>SUM(D164:D196)</f>
        <v>0</v>
      </c>
      <c r="E197" s="171">
        <f t="shared" ref="E197" si="49">SUM(E164:E196)</f>
        <v>676946</v>
      </c>
      <c r="F197" s="171">
        <f>SUM(F164:F196)</f>
        <v>0</v>
      </c>
      <c r="G197" s="171">
        <f>SUM(G164:G196)</f>
        <v>676946</v>
      </c>
      <c r="H197" s="172">
        <f>IF($G$208=0,0,G197/$G$208)</f>
        <v>0.22769955657271712</v>
      </c>
      <c r="I197" s="337"/>
      <c r="J197" s="168"/>
      <c r="K197" s="168"/>
      <c r="M197" s="364">
        <f>G197/G$228</f>
        <v>94.466368964554846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165"/>
      <c r="G198" s="165"/>
      <c r="H198" s="198"/>
      <c r="I198" s="341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1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573">
        <f>'[76]Sch C'!D211</f>
        <v>44203</v>
      </c>
      <c r="D200" s="573">
        <f>'[76]Sch C'!F211</f>
        <v>0</v>
      </c>
      <c r="E200" s="171">
        <f t="shared" ref="E200:E205" si="50">C200+D200</f>
        <v>44203</v>
      </c>
      <c r="F200" s="171"/>
      <c r="G200" s="171">
        <f t="shared" ref="G200:G205" si="51">E200+F200</f>
        <v>44203</v>
      </c>
      <c r="H200" s="172">
        <f t="shared" ref="H200:H206" si="52">IF($G$208=0,0,G200/$G$208)</f>
        <v>1.4868251676180692E-2</v>
      </c>
      <c r="I200" s="337"/>
      <c r="J200" s="183">
        <v>3648</v>
      </c>
      <c r="K200" s="183">
        <v>3648</v>
      </c>
      <c r="M200" s="364">
        <f t="shared" ref="M200:M205" si="53">G200/G$228</f>
        <v>6.1684342729556239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573">
        <f>'[76]Sch C'!D212</f>
        <v>0</v>
      </c>
      <c r="D201" s="573">
        <f>'[76]Sch C'!F212</f>
        <v>7004</v>
      </c>
      <c r="E201" s="171">
        <f t="shared" si="50"/>
        <v>7004</v>
      </c>
      <c r="F201" s="171"/>
      <c r="G201" s="171">
        <f t="shared" si="51"/>
        <v>7004</v>
      </c>
      <c r="H201" s="172">
        <f t="shared" si="52"/>
        <v>2.3558861330672028E-3</v>
      </c>
      <c r="I201" s="337"/>
      <c r="J201" s="168"/>
      <c r="K201" s="168"/>
      <c r="M201" s="364">
        <f t="shared" si="53"/>
        <v>0.97739324588333798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573">
        <f>'[76]Sch C'!D213</f>
        <v>10584</v>
      </c>
      <c r="D202" s="573">
        <f>'[76]Sch C'!F213</f>
        <v>0</v>
      </c>
      <c r="E202" s="171">
        <f t="shared" si="50"/>
        <v>10584</v>
      </c>
      <c r="F202" s="171"/>
      <c r="G202" s="171">
        <f t="shared" si="51"/>
        <v>10584</v>
      </c>
      <c r="H202" s="172">
        <f t="shared" si="52"/>
        <v>3.5600655100490116E-3</v>
      </c>
      <c r="I202" s="337"/>
      <c r="J202" s="168"/>
      <c r="K202" s="168"/>
      <c r="M202" s="364">
        <f t="shared" si="53"/>
        <v>1.476974602288585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573">
        <f>'[76]Sch C'!D214</f>
        <v>0</v>
      </c>
      <c r="D203" s="573">
        <f>'[76]Sch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>
        <f t="shared" si="53"/>
        <v>0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573">
        <f>'[76]Sch C'!D215</f>
        <v>0</v>
      </c>
      <c r="D204" s="573">
        <f>'[76]Sch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573">
        <f>'[76]Sch C'!D216</f>
        <v>3167</v>
      </c>
      <c r="D205" s="573">
        <f>'[76]Sch C'!F216</f>
        <v>0</v>
      </c>
      <c r="E205" s="171">
        <f t="shared" si="50"/>
        <v>3167</v>
      </c>
      <c r="F205" s="171"/>
      <c r="G205" s="171">
        <f t="shared" si="51"/>
        <v>3167</v>
      </c>
      <c r="H205" s="172">
        <f t="shared" si="52"/>
        <v>1.0652614767880971E-3</v>
      </c>
      <c r="I205" s="337"/>
      <c r="J205" s="168"/>
      <c r="K205" s="168"/>
      <c r="M205" s="364">
        <f t="shared" si="53"/>
        <v>0.44194808819425063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573">
        <f>SUM(C200:C205)</f>
        <v>57954</v>
      </c>
      <c r="D206" s="573">
        <f>SUM(D200:D205)</f>
        <v>7004</v>
      </c>
      <c r="E206" s="171">
        <f t="shared" ref="E206" si="54">SUM(E200:E205)</f>
        <v>64958</v>
      </c>
      <c r="F206" s="171">
        <f>SUM(F200:F205)</f>
        <v>0</v>
      </c>
      <c r="G206" s="171">
        <f>SUM(G200:G205)</f>
        <v>64958</v>
      </c>
      <c r="H206" s="172">
        <f t="shared" si="52"/>
        <v>2.1849464796085006E-2</v>
      </c>
      <c r="I206" s="337"/>
      <c r="J206" s="168"/>
      <c r="K206" s="168"/>
      <c r="M206" s="364">
        <f>G206/G$228</f>
        <v>9.0647502093217973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573">
        <f>SUM(C25:C206)/2</f>
        <v>2972897</v>
      </c>
      <c r="D208" s="573">
        <f>SUM(D25:D206)/2</f>
        <v>7096</v>
      </c>
      <c r="E208" s="171">
        <f t="shared" ref="E208:F208" si="55">SUM(E25:E206)/2</f>
        <v>2979993</v>
      </c>
      <c r="F208" s="171">
        <f t="shared" si="55"/>
        <v>-7014</v>
      </c>
      <c r="G208" s="171">
        <f>SUM(G25:G206)/2</f>
        <v>2972979</v>
      </c>
      <c r="H208" s="172">
        <f>IF($G$208=0,0,G208/$G$208)</f>
        <v>1</v>
      </c>
      <c r="I208" s="337"/>
      <c r="J208" s="183">
        <f>SUM(J25:J200)</f>
        <v>70226</v>
      </c>
      <c r="K208" s="183">
        <f>SUM(K25:K200)</f>
        <v>70226</v>
      </c>
      <c r="M208" s="364">
        <f>G208/G$228</f>
        <v>414.87287189506003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573">
        <f>'[76]Sch C'!D221</f>
        <v>2972897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573">
        <f>C208-C211</f>
        <v>0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619"/>
      <c r="D213" s="232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573">
        <f>C21-C208</f>
        <v>-269454</v>
      </c>
      <c r="D215" s="573">
        <f>D21-D208</f>
        <v>-7096</v>
      </c>
      <c r="E215" s="171">
        <f t="shared" ref="E215:F215" si="56">E21-E208</f>
        <v>-276550</v>
      </c>
      <c r="F215" s="171">
        <f t="shared" si="56"/>
        <v>7014</v>
      </c>
      <c r="G215" s="171">
        <f>G21-G208</f>
        <v>-269536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653">
        <f>'[76]Sch D'!C9</f>
        <v>2342</v>
      </c>
      <c r="D219" s="653"/>
      <c r="E219" s="235">
        <f t="shared" ref="E219:G227" si="57">C219+D219</f>
        <v>2342</v>
      </c>
      <c r="F219" s="234"/>
      <c r="G219" s="235">
        <f t="shared" si="57"/>
        <v>2342</v>
      </c>
      <c r="H219" s="172">
        <f t="shared" ref="H219:H228" si="58">IF($G$228=0,0,G219/$G$228)</f>
        <v>0.32682109963717554</v>
      </c>
      <c r="I219" s="337"/>
      <c r="J219" s="168"/>
      <c r="K219" s="168"/>
    </row>
    <row r="220" spans="1:14">
      <c r="A220" s="163"/>
      <c r="B220" s="170" t="s">
        <v>217</v>
      </c>
      <c r="C220" s="653">
        <f>'[76]Sch D'!D9</f>
        <v>0</v>
      </c>
      <c r="D220" s="653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7"/>
      <c r="J220" s="168"/>
      <c r="K220" s="168"/>
    </row>
    <row r="221" spans="1:14">
      <c r="A221" s="163"/>
      <c r="B221" s="170" t="s">
        <v>72</v>
      </c>
      <c r="C221" s="653">
        <f>'[76]Sch D'!E9</f>
        <v>4323</v>
      </c>
      <c r="D221" s="653"/>
      <c r="E221" s="235">
        <f t="shared" si="59"/>
        <v>4323</v>
      </c>
      <c r="F221" s="234"/>
      <c r="G221" s="235">
        <f t="shared" si="57"/>
        <v>4323</v>
      </c>
      <c r="H221" s="172">
        <f t="shared" si="58"/>
        <v>0.60326542003907335</v>
      </c>
      <c r="I221" s="337"/>
      <c r="J221" s="168"/>
      <c r="K221" s="168"/>
    </row>
    <row r="222" spans="1:14">
      <c r="A222" s="163"/>
      <c r="B222" s="202" t="s">
        <v>334</v>
      </c>
      <c r="C222" s="653">
        <f>'[76]Sch D'!F9</f>
        <v>142</v>
      </c>
      <c r="D222" s="653"/>
      <c r="E222" s="235">
        <f>C222+D222</f>
        <v>142</v>
      </c>
      <c r="F222" s="234"/>
      <c r="G222" s="235">
        <f>E222+F222</f>
        <v>142</v>
      </c>
      <c r="H222" s="172">
        <f t="shared" si="58"/>
        <v>1.9815796818308681E-2</v>
      </c>
      <c r="I222" s="337"/>
      <c r="J222" s="168"/>
      <c r="K222" s="168"/>
    </row>
    <row r="223" spans="1:14">
      <c r="A223" s="163"/>
      <c r="B223" s="170" t="s">
        <v>73</v>
      </c>
      <c r="C223" s="653">
        <f>'[76]Sch D'!G9</f>
        <v>0</v>
      </c>
      <c r="D223" s="653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7"/>
      <c r="J223" s="168"/>
      <c r="K223" s="168"/>
    </row>
    <row r="224" spans="1:14">
      <c r="A224" s="163"/>
      <c r="B224" s="170" t="s">
        <v>74</v>
      </c>
      <c r="C224" s="653">
        <f>'[76]Sch D'!H9</f>
        <v>359</v>
      </c>
      <c r="D224" s="653"/>
      <c r="E224" s="235">
        <f t="shared" si="59"/>
        <v>359</v>
      </c>
      <c r="F224" s="234"/>
      <c r="G224" s="235">
        <f t="shared" si="57"/>
        <v>359</v>
      </c>
      <c r="H224" s="172">
        <f t="shared" si="58"/>
        <v>5.0097683505442366E-2</v>
      </c>
      <c r="I224" s="337"/>
      <c r="J224" s="168"/>
      <c r="K224" s="168"/>
    </row>
    <row r="225" spans="1:11">
      <c r="A225" s="163"/>
      <c r="B225" s="170" t="s">
        <v>236</v>
      </c>
      <c r="C225" s="653">
        <f>'[76]Sch D'!I9</f>
        <v>0</v>
      </c>
      <c r="D225" s="653"/>
      <c r="E225" s="235">
        <f t="shared" si="59"/>
        <v>0</v>
      </c>
      <c r="F225" s="234"/>
      <c r="G225" s="235">
        <f t="shared" si="57"/>
        <v>0</v>
      </c>
      <c r="H225" s="172">
        <f t="shared" si="58"/>
        <v>0</v>
      </c>
      <c r="I225" s="337"/>
      <c r="J225" s="168"/>
      <c r="K225" s="168"/>
    </row>
    <row r="226" spans="1:11">
      <c r="A226" s="163"/>
      <c r="B226" s="170" t="s">
        <v>235</v>
      </c>
      <c r="C226" s="653">
        <f>'[76]Sch D'!J9</f>
        <v>0</v>
      </c>
      <c r="D226" s="653"/>
      <c r="E226" s="235">
        <f>C226+D226</f>
        <v>0</v>
      </c>
      <c r="F226" s="234"/>
      <c r="G226" s="235">
        <f>E226+F226</f>
        <v>0</v>
      </c>
      <c r="H226" s="172">
        <f t="shared" si="58"/>
        <v>0</v>
      </c>
      <c r="I226" s="337"/>
      <c r="J226" s="168"/>
      <c r="K226" s="168"/>
    </row>
    <row r="227" spans="1:11">
      <c r="A227" s="163"/>
      <c r="B227" s="170" t="s">
        <v>179</v>
      </c>
      <c r="C227" s="653">
        <f>'[76]Sch D'!K9</f>
        <v>0</v>
      </c>
      <c r="D227" s="653"/>
      <c r="E227" s="235">
        <f t="shared" si="59"/>
        <v>0</v>
      </c>
      <c r="F227" s="234"/>
      <c r="G227" s="235">
        <f t="shared" si="57"/>
        <v>0</v>
      </c>
      <c r="H227" s="172">
        <f t="shared" si="58"/>
        <v>0</v>
      </c>
      <c r="I227" s="337"/>
      <c r="J227" s="168"/>
      <c r="K227" s="168"/>
    </row>
    <row r="228" spans="1:11" ht="13.5" thickBot="1">
      <c r="A228" s="163"/>
      <c r="B228" s="236" t="s">
        <v>75</v>
      </c>
      <c r="C228" s="653">
        <f>SUM(C219:C227)</f>
        <v>7166</v>
      </c>
      <c r="D228" s="653">
        <f>SUM(D219:D227)</f>
        <v>0</v>
      </c>
      <c r="E228" s="237">
        <f>SUM(E219:E227)</f>
        <v>7166</v>
      </c>
      <c r="F228" s="237">
        <f>SUM(F219:F227)</f>
        <v>0</v>
      </c>
      <c r="G228" s="237">
        <f>SUM(G219:G227)</f>
        <v>7166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620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619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654">
        <f>'[76]Sch D'!N22</f>
        <v>30</v>
      </c>
      <c r="D231" s="574"/>
      <c r="E231" s="235">
        <f>C231+D231</f>
        <v>30</v>
      </c>
      <c r="F231" s="235"/>
      <c r="G231" s="235">
        <f>E231+F231</f>
        <v>30</v>
      </c>
      <c r="H231" s="167"/>
      <c r="J231" s="168"/>
      <c r="K231" s="168"/>
    </row>
    <row r="232" spans="1:11">
      <c r="A232" s="163"/>
      <c r="B232" s="202" t="s">
        <v>290</v>
      </c>
      <c r="C232" s="654">
        <f>'[76]Sch D'!N24</f>
        <v>30</v>
      </c>
      <c r="D232" s="574"/>
      <c r="E232" s="235">
        <f>C232+D232</f>
        <v>30</v>
      </c>
      <c r="F232" s="235">
        <v>-22</v>
      </c>
      <c r="G232" s="235">
        <f>E232+F232</f>
        <v>8</v>
      </c>
      <c r="H232" s="656" t="s">
        <v>693</v>
      </c>
      <c r="J232" s="168"/>
      <c r="K232" s="168"/>
    </row>
    <row r="233" spans="1:11">
      <c r="A233" s="163"/>
      <c r="B233" s="202" t="s">
        <v>76</v>
      </c>
      <c r="C233" s="654">
        <f>$C$4-$C$3+1</f>
        <v>365</v>
      </c>
      <c r="D233" s="489"/>
      <c r="E233" s="235">
        <f>C233+D233</f>
        <v>365</v>
      </c>
      <c r="F233" s="240"/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621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654">
        <f>'[76]Sch D'!N28</f>
        <v>10950</v>
      </c>
      <c r="D235" s="489"/>
      <c r="E235" s="234">
        <f>E231*E233</f>
        <v>10950</v>
      </c>
      <c r="F235" s="240"/>
      <c r="G235" s="234">
        <f>G231*G233</f>
        <v>10950</v>
      </c>
      <c r="H235" s="167"/>
      <c r="J235" s="168"/>
      <c r="K235" s="168"/>
    </row>
    <row r="236" spans="1:11" ht="26">
      <c r="A236" s="163"/>
      <c r="B236" s="244" t="s">
        <v>336</v>
      </c>
      <c r="C236" s="655">
        <f>'[76]Sch D'!N30</f>
        <v>0.65442922374429224</v>
      </c>
      <c r="D236" s="240"/>
      <c r="E236" s="245">
        <f>E228/E235</f>
        <v>0.65442922374429224</v>
      </c>
      <c r="F236" s="246"/>
      <c r="G236" s="245">
        <f>G228/G235</f>
        <v>0.65442922374429224</v>
      </c>
      <c r="H236" s="167"/>
      <c r="J236" s="168"/>
      <c r="K236" s="168"/>
    </row>
    <row r="237" spans="1:11" ht="26">
      <c r="A237" s="163"/>
      <c r="B237" s="244" t="s">
        <v>337</v>
      </c>
      <c r="C237" s="655">
        <f>'[76]Sch D'!N32</f>
        <v>0.21388127853881278</v>
      </c>
      <c r="D237" s="240"/>
      <c r="E237" s="245">
        <f>(E219+E220)/E235</f>
        <v>0.21388127853881278</v>
      </c>
      <c r="F237" s="246"/>
      <c r="G237" s="245">
        <f>(G219+G220)/G235</f>
        <v>0.21388127853881278</v>
      </c>
      <c r="H237" s="167"/>
      <c r="J237" s="168"/>
      <c r="K237" s="168"/>
    </row>
    <row r="238" spans="1:11" ht="26">
      <c r="A238" s="163"/>
      <c r="B238" s="244" t="s">
        <v>338</v>
      </c>
      <c r="C238" s="655">
        <f>'[76]Sch D'!N34</f>
        <v>0.32682109963717554</v>
      </c>
      <c r="D238" s="240"/>
      <c r="E238" s="245">
        <f>(E237/E236)</f>
        <v>0.32682109963717554</v>
      </c>
      <c r="F238" s="246"/>
      <c r="G238" s="245">
        <f>(G237/G236)</f>
        <v>0.32682109963717554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73">
        <f>'[76]Sch B'!C85</f>
        <v>50</v>
      </c>
    </row>
    <row r="242" spans="2:7">
      <c r="B242" s="537" t="s">
        <v>468</v>
      </c>
      <c r="F242" s="142" t="s">
        <v>341</v>
      </c>
      <c r="G242" s="573">
        <f>'[76]Sch B'!E85</f>
        <v>50</v>
      </c>
    </row>
    <row r="243" spans="2:7">
      <c r="B243" s="465" t="s">
        <v>469</v>
      </c>
      <c r="F243" s="142" t="s">
        <v>342</v>
      </c>
      <c r="G243" s="573">
        <f>'[76]Sch B'!G85</f>
        <v>50.192982456140349</v>
      </c>
    </row>
    <row r="244" spans="2:7">
      <c r="F244" s="142" t="s">
        <v>343</v>
      </c>
      <c r="G244" s="573">
        <f>'[76]Sch B'!I85</f>
        <v>50.024390243902438</v>
      </c>
    </row>
    <row r="245" spans="2:7">
      <c r="F245" s="142"/>
    </row>
  </sheetData>
  <printOptions horizontalCentered="1"/>
  <pageMargins left="0" right="0" top="0.75" bottom="1" header="0.5" footer="0.5"/>
  <pageSetup scale="70" orientation="portrait" horizontalDpi="300" verticalDpi="300" r:id="rId1"/>
  <headerFooter alignWithMargins="0">
    <oddFooter>&amp;R&amp;D
&amp;T
&amp;F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68">
    <tabColor rgb="FFE28CAB"/>
  </sheetPr>
  <dimension ref="A1:Q245"/>
  <sheetViews>
    <sheetView showGridLines="0" zoomScale="97" zoomScaleNormal="97" workbookViewId="0">
      <selection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478"/>
      <c r="E1" s="478"/>
      <c r="F1" s="478"/>
      <c r="G1" s="478"/>
      <c r="H1" s="478"/>
      <c r="I1" s="479"/>
    </row>
    <row r="2" spans="1:14" ht="23">
      <c r="B2" s="143" t="s">
        <v>189</v>
      </c>
      <c r="C2" s="247" t="s">
        <v>399</v>
      </c>
      <c r="D2" s="247"/>
      <c r="E2" s="144"/>
    </row>
    <row r="3" spans="1:14">
      <c r="A3" s="145"/>
      <c r="B3" s="140" t="s">
        <v>79</v>
      </c>
      <c r="C3" s="495">
        <v>41821</v>
      </c>
      <c r="D3" s="144"/>
      <c r="E3" s="147"/>
    </row>
    <row r="4" spans="1:14">
      <c r="A4" s="145"/>
      <c r="B4" s="148" t="s">
        <v>80</v>
      </c>
      <c r="C4" s="495">
        <v>42185</v>
      </c>
      <c r="D4" s="144"/>
      <c r="E4" s="149"/>
      <c r="G4" s="150"/>
    </row>
    <row r="5" spans="1:14">
      <c r="A5" s="145"/>
      <c r="B5" s="148"/>
      <c r="C5" s="151"/>
      <c r="D5" s="144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144"/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599">
        <f>'[77]Sch B'!E10</f>
        <v>2786319.45</v>
      </c>
      <c r="D11" s="599">
        <f>'[77]Sch B'!G10</f>
        <v>0</v>
      </c>
      <c r="E11" s="171">
        <f>C11+D11</f>
        <v>2786319.45</v>
      </c>
      <c r="F11" s="171"/>
      <c r="G11" s="171">
        <f t="shared" ref="G11:G20" si="0">E11+F11</f>
        <v>2786319.45</v>
      </c>
      <c r="H11" s="172">
        <f t="shared" ref="H11:H21" si="1">IF($G$21=0,0,G11/$G$21)</f>
        <v>0.41690956732607776</v>
      </c>
      <c r="I11" s="337"/>
      <c r="J11" s="368" t="s">
        <v>344</v>
      </c>
      <c r="K11" s="369">
        <f>G21</f>
        <v>6683270.5899999999</v>
      </c>
      <c r="M11" s="359">
        <f>IFERROR(G11/G219,0)</f>
        <v>168.17476158860455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599">
        <f>'[77]Sch B'!E15</f>
        <v>0</v>
      </c>
      <c r="D12" s="599">
        <f>'[77]Sch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7"/>
      <c r="J12" s="370" t="s">
        <v>345</v>
      </c>
      <c r="K12" s="371">
        <f>G208</f>
        <v>6882467.6499999994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599">
        <f>'[77]Sch B'!E21</f>
        <v>1845285.7699999998</v>
      </c>
      <c r="D13" s="599">
        <f>'[77]Sch B'!G21</f>
        <v>0</v>
      </c>
      <c r="E13" s="171">
        <f t="shared" si="2"/>
        <v>1845285.7699999998</v>
      </c>
      <c r="F13" s="171"/>
      <c r="G13" s="171">
        <f t="shared" si="0"/>
        <v>1845285.7699999998</v>
      </c>
      <c r="H13" s="172">
        <f t="shared" si="1"/>
        <v>0.27610520106144615</v>
      </c>
      <c r="I13" s="337"/>
      <c r="J13" s="370" t="s">
        <v>346</v>
      </c>
      <c r="K13" s="371">
        <f>G228</f>
        <v>32892</v>
      </c>
      <c r="M13" s="359">
        <f t="shared" si="3"/>
        <v>409.608384017758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599">
        <f>'[77]Sch B'!E27</f>
        <v>667427.93999999994</v>
      </c>
      <c r="D14" s="599">
        <f>'[77]Sch B'!G27</f>
        <v>-13650</v>
      </c>
      <c r="E14" s="171">
        <f t="shared" si="2"/>
        <v>653777.93999999994</v>
      </c>
      <c r="F14" s="175"/>
      <c r="G14" s="175">
        <f>E14+F14</f>
        <v>653777.93999999994</v>
      </c>
      <c r="H14" s="176">
        <f t="shared" si="1"/>
        <v>9.7823054026606446E-2</v>
      </c>
      <c r="I14" s="338"/>
      <c r="J14" s="370" t="s">
        <v>347</v>
      </c>
      <c r="K14" s="371">
        <f>G231</f>
        <v>172</v>
      </c>
      <c r="M14" s="359">
        <f t="shared" si="3"/>
        <v>285.74210664335664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599">
        <f>'[77]Sch B'!E32</f>
        <v>0</v>
      </c>
      <c r="D15" s="599">
        <f>'[77]Sch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7"/>
      <c r="J15" s="370" t="s">
        <v>348</v>
      </c>
      <c r="K15" s="371">
        <f>G235</f>
        <v>62780</v>
      </c>
      <c r="M15" s="359">
        <f t="shared" si="3"/>
        <v>0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599">
        <f>'[77]Sch B'!E37</f>
        <v>1014233.89</v>
      </c>
      <c r="D16" s="599">
        <f>'[77]Sch B'!G37</f>
        <v>0</v>
      </c>
      <c r="E16" s="171">
        <f t="shared" si="2"/>
        <v>1014233.89</v>
      </c>
      <c r="F16" s="171"/>
      <c r="G16" s="171">
        <f t="shared" si="0"/>
        <v>1014233.89</v>
      </c>
      <c r="H16" s="172">
        <f t="shared" si="1"/>
        <v>0.15175711896471336</v>
      </c>
      <c r="I16" s="337"/>
      <c r="J16" s="372"/>
      <c r="K16" s="371"/>
      <c r="M16" s="359">
        <f t="shared" si="3"/>
        <v>139.5862771813928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599">
        <f>'[77]Sch B'!E42</f>
        <v>258887.19999999998</v>
      </c>
      <c r="D17" s="599">
        <f>'[77]Sch B'!G42</f>
        <v>0</v>
      </c>
      <c r="E17" s="171">
        <f t="shared" si="2"/>
        <v>258887.19999999998</v>
      </c>
      <c r="F17" s="171"/>
      <c r="G17" s="171">
        <f>E17+F17</f>
        <v>258887.19999999998</v>
      </c>
      <c r="H17" s="172">
        <f t="shared" si="1"/>
        <v>3.8736603061885005E-2</v>
      </c>
      <c r="I17" s="337"/>
      <c r="J17" s="370" t="s">
        <v>156</v>
      </c>
      <c r="K17" s="371">
        <f>J208</f>
        <v>226649.12</v>
      </c>
      <c r="M17" s="359">
        <f t="shared" si="3"/>
        <v>147.01147075525267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599">
        <f>'[77]Sch B'!E47</f>
        <v>0</v>
      </c>
      <c r="D18" s="599">
        <f>'[77]Sch B'!G47</f>
        <v>13650</v>
      </c>
      <c r="E18" s="171">
        <f t="shared" si="2"/>
        <v>13650</v>
      </c>
      <c r="F18" s="171"/>
      <c r="G18" s="171">
        <f>E18+F18</f>
        <v>13650</v>
      </c>
      <c r="H18" s="172">
        <f t="shared" si="1"/>
        <v>2.0424131891987334E-3</v>
      </c>
      <c r="I18" s="337"/>
      <c r="J18" s="373" t="s">
        <v>252</v>
      </c>
      <c r="K18" s="374">
        <f>K208</f>
        <v>242446.68</v>
      </c>
      <c r="M18" s="359">
        <f t="shared" si="3"/>
        <v>195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599">
        <f>'[77]Sch B'!E52</f>
        <v>76105.789999999994</v>
      </c>
      <c r="D19" s="599">
        <f>'[77]Sch B'!G52</f>
        <v>0</v>
      </c>
      <c r="E19" s="171">
        <f t="shared" si="2"/>
        <v>76105.789999999994</v>
      </c>
      <c r="F19" s="171"/>
      <c r="G19" s="171">
        <f t="shared" si="0"/>
        <v>76105.789999999994</v>
      </c>
      <c r="H19" s="172">
        <f t="shared" si="1"/>
        <v>1.1387506906255609E-2</v>
      </c>
      <c r="I19" s="337"/>
      <c r="J19" s="168"/>
      <c r="K19" s="168"/>
      <c r="M19" s="359">
        <f t="shared" si="3"/>
        <v>175.35896313364054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599">
        <f>'[77]Sch B'!E67</f>
        <v>35010.550000000003</v>
      </c>
      <c r="D20" s="599">
        <f>'[77]Sch B'!G67</f>
        <v>0</v>
      </c>
      <c r="E20" s="171">
        <f t="shared" si="2"/>
        <v>35010.550000000003</v>
      </c>
      <c r="F20" s="171"/>
      <c r="G20" s="171">
        <f t="shared" si="0"/>
        <v>35010.550000000003</v>
      </c>
      <c r="H20" s="172">
        <f t="shared" si="1"/>
        <v>5.238535463816976E-3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599">
        <f>SUM(C11:C20)</f>
        <v>6683270.5899999999</v>
      </c>
      <c r="D21" s="599">
        <f>SUM(D11:D20)</f>
        <v>0</v>
      </c>
      <c r="E21" s="171">
        <f>SUM(E11:E20)</f>
        <v>6683270.5899999999</v>
      </c>
      <c r="F21" s="171">
        <f>SUM(F11:F20)</f>
        <v>0</v>
      </c>
      <c r="G21" s="171">
        <f>SUM(G11:G20)</f>
        <v>6683270.5899999999</v>
      </c>
      <c r="H21" s="172">
        <f t="shared" si="1"/>
        <v>1</v>
      </c>
      <c r="I21" s="337"/>
      <c r="J21" s="168"/>
      <c r="K21" s="168"/>
      <c r="M21" s="359">
        <f>IFERROR(G21/G228,0)</f>
        <v>203.18833120515626</v>
      </c>
      <c r="N21" s="359">
        <f>SUMMARY!J24</f>
        <v>264.67475627099196</v>
      </c>
    </row>
    <row r="22" spans="1:14" ht="12" customHeight="1">
      <c r="A22" s="145"/>
      <c r="B22" s="179"/>
      <c r="C22" s="600"/>
      <c r="D22" s="601"/>
      <c r="F22" s="144"/>
      <c r="G22" s="144"/>
      <c r="M22" s="363"/>
      <c r="N22" s="363"/>
    </row>
    <row r="23" spans="1:14" ht="26">
      <c r="A23" s="180" t="s">
        <v>231</v>
      </c>
      <c r="B23" s="179" t="s">
        <v>222</v>
      </c>
      <c r="C23" s="600"/>
      <c r="D23" s="601"/>
      <c r="F23" s="144"/>
      <c r="G23" s="144"/>
      <c r="M23" s="363"/>
      <c r="N23" s="363"/>
    </row>
    <row r="24" spans="1:14" ht="15.5">
      <c r="A24" s="181" t="s">
        <v>161</v>
      </c>
      <c r="B24" s="148" t="s">
        <v>12</v>
      </c>
      <c r="C24"/>
      <c r="D24"/>
      <c r="M24" s="363"/>
      <c r="N24" s="363"/>
    </row>
    <row r="25" spans="1:14" s="167" customFormat="1">
      <c r="A25" s="169" t="s">
        <v>83</v>
      </c>
      <c r="B25" s="170" t="s">
        <v>14</v>
      </c>
      <c r="C25" s="599">
        <f>'[77]Sch C'!D10</f>
        <v>74928.55</v>
      </c>
      <c r="D25" s="599">
        <f>'[77]Sch C'!F10</f>
        <v>0</v>
      </c>
      <c r="E25" s="171">
        <f t="shared" ref="E25:E60" si="4">C25+D25</f>
        <v>74928.55</v>
      </c>
      <c r="F25" s="171"/>
      <c r="G25" s="182">
        <f>E25+F25</f>
        <v>74928.55</v>
      </c>
      <c r="H25" s="172">
        <f>IF($G$208=0,0,G25/$G$208)</f>
        <v>1.0886872820971415E-2</v>
      </c>
      <c r="I25" s="337"/>
      <c r="J25" s="183">
        <v>2032</v>
      </c>
      <c r="K25" s="183">
        <v>2080</v>
      </c>
      <c r="M25" s="359">
        <f>G25/G$228</f>
        <v>2.2780174510519275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599">
        <f>'[77]Sch C'!D11</f>
        <v>0</v>
      </c>
      <c r="D26" s="599">
        <f>'[77]Sch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599">
        <f>'[77]Sch C'!D12</f>
        <v>103962.99</v>
      </c>
      <c r="D27" s="599">
        <f>'[77]Sch C'!F12</f>
        <v>0</v>
      </c>
      <c r="E27" s="171">
        <f t="shared" si="4"/>
        <v>103962.99</v>
      </c>
      <c r="F27" s="171"/>
      <c r="G27" s="171">
        <f t="shared" si="5"/>
        <v>103962.99</v>
      </c>
      <c r="H27" s="172">
        <f t="shared" si="6"/>
        <v>1.5105481825257836E-2</v>
      </c>
      <c r="I27" s="337"/>
      <c r="J27" s="185">
        <v>9064</v>
      </c>
      <c r="K27" s="185">
        <v>9808</v>
      </c>
      <c r="M27" s="359">
        <f t="shared" si="7"/>
        <v>3.1607378693907333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599">
        <f>'[77]Sch C'!D13</f>
        <v>25918.63</v>
      </c>
      <c r="D28" s="599">
        <f>'[77]Sch C'!F13</f>
        <v>0</v>
      </c>
      <c r="E28" s="171">
        <f t="shared" si="4"/>
        <v>25918.63</v>
      </c>
      <c r="F28" s="171"/>
      <c r="G28" s="171">
        <f t="shared" si="5"/>
        <v>25918.63</v>
      </c>
      <c r="H28" s="172">
        <f t="shared" si="6"/>
        <v>3.7658920198484339E-3</v>
      </c>
      <c r="I28" s="337"/>
      <c r="J28" s="168"/>
      <c r="K28" s="168"/>
      <c r="M28" s="359">
        <f t="shared" si="7"/>
        <v>0.78799191292715554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599">
        <f>'[77]Sch C'!D14</f>
        <v>30490.99</v>
      </c>
      <c r="D29" s="599">
        <f>'[77]Sch C'!F14</f>
        <v>0</v>
      </c>
      <c r="E29" s="171">
        <f t="shared" si="4"/>
        <v>30490.99</v>
      </c>
      <c r="F29" s="171"/>
      <c r="G29" s="171">
        <f t="shared" si="5"/>
        <v>30490.99</v>
      </c>
      <c r="H29" s="172">
        <f t="shared" si="6"/>
        <v>4.4302409470824032E-3</v>
      </c>
      <c r="I29" s="337"/>
      <c r="J29" s="168"/>
      <c r="K29" s="168"/>
      <c r="M29" s="359">
        <f t="shared" si="7"/>
        <v>0.92700322266812607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599">
        <f>'[77]Sch C'!D15</f>
        <v>0</v>
      </c>
      <c r="D30" s="599">
        <f>'[77]Sch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7"/>
      <c r="J30" s="168"/>
      <c r="K30" s="168"/>
      <c r="M30" s="359">
        <f t="shared" si="7"/>
        <v>0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599">
        <f>'[77]Sch C'!D16</f>
        <v>0</v>
      </c>
      <c r="D31" s="599">
        <f>'[77]Sch C'!F16</f>
        <v>0</v>
      </c>
      <c r="E31" s="171">
        <f t="shared" si="4"/>
        <v>0</v>
      </c>
      <c r="F31" s="171"/>
      <c r="G31" s="171">
        <f t="shared" si="5"/>
        <v>0</v>
      </c>
      <c r="H31" s="172">
        <f t="shared" si="6"/>
        <v>0</v>
      </c>
      <c r="I31" s="337"/>
      <c r="J31" s="168"/>
      <c r="K31" s="168"/>
      <c r="M31" s="359">
        <f t="shared" si="7"/>
        <v>0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599">
        <f>'[77]Sch C'!D17</f>
        <v>-226.41</v>
      </c>
      <c r="D32" s="599">
        <f>'[77]Sch C'!F17</f>
        <v>0</v>
      </c>
      <c r="E32" s="171">
        <f t="shared" si="4"/>
        <v>-226.41</v>
      </c>
      <c r="F32" s="171"/>
      <c r="G32" s="171">
        <f t="shared" si="5"/>
        <v>-226.41</v>
      </c>
      <c r="H32" s="172">
        <f t="shared" si="6"/>
        <v>-3.28966311959345E-5</v>
      </c>
      <c r="I32" s="337"/>
      <c r="J32" s="168"/>
      <c r="K32" s="168"/>
      <c r="M32" s="359">
        <f t="shared" si="7"/>
        <v>-6.8834367019336004E-3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599">
        <f>'[77]Sch C'!D18</f>
        <v>10517.3</v>
      </c>
      <c r="D33" s="599">
        <f>'[77]Sch C'!F18</f>
        <v>0</v>
      </c>
      <c r="E33" s="171">
        <f t="shared" si="4"/>
        <v>10517.3</v>
      </c>
      <c r="F33" s="171"/>
      <c r="G33" s="171">
        <f t="shared" si="5"/>
        <v>10517.3</v>
      </c>
      <c r="H33" s="172">
        <f t="shared" si="6"/>
        <v>1.5281292313811311E-3</v>
      </c>
      <c r="I33" s="337"/>
      <c r="J33" s="168"/>
      <c r="K33" s="168"/>
      <c r="M33" s="359">
        <f t="shared" si="7"/>
        <v>0.3197525234099477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599">
        <f>'[77]Sch C'!D19</f>
        <v>483920.11</v>
      </c>
      <c r="D34" s="599">
        <f>'[77]Sch C'!F19</f>
        <v>0</v>
      </c>
      <c r="E34" s="171">
        <f t="shared" si="4"/>
        <v>483920.11</v>
      </c>
      <c r="F34" s="171"/>
      <c r="G34" s="171">
        <f t="shared" si="5"/>
        <v>483920.11</v>
      </c>
      <c r="H34" s="172">
        <f t="shared" si="6"/>
        <v>7.0312006479245862E-2</v>
      </c>
      <c r="I34" s="337"/>
      <c r="J34" s="168"/>
      <c r="K34" s="168"/>
      <c r="M34" s="359">
        <f t="shared" si="7"/>
        <v>14.712395415298552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599">
        <f>'[77]Sch C'!D20</f>
        <v>15709.3</v>
      </c>
      <c r="D35" s="599">
        <f>'[77]Sch C'!F20</f>
        <v>0</v>
      </c>
      <c r="E35" s="171">
        <f t="shared" si="4"/>
        <v>15709.3</v>
      </c>
      <c r="F35" s="171"/>
      <c r="G35" s="171">
        <f t="shared" si="5"/>
        <v>15709.3</v>
      </c>
      <c r="H35" s="172">
        <f t="shared" si="6"/>
        <v>2.2825098204420913E-3</v>
      </c>
      <c r="I35" s="337"/>
      <c r="J35" s="168"/>
      <c r="K35" s="168"/>
      <c r="M35" s="359">
        <f t="shared" si="7"/>
        <v>0.47760245652438282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599">
        <f>'[77]Sch C'!D21</f>
        <v>0</v>
      </c>
      <c r="D36" s="599">
        <f>'[77]Sch C'!F21</f>
        <v>0</v>
      </c>
      <c r="E36" s="171">
        <f t="shared" si="4"/>
        <v>0</v>
      </c>
      <c r="F36" s="171"/>
      <c r="G36" s="171">
        <f t="shared" si="5"/>
        <v>0</v>
      </c>
      <c r="H36" s="172">
        <f t="shared" si="6"/>
        <v>0</v>
      </c>
      <c r="I36" s="337"/>
      <c r="J36" s="168"/>
      <c r="K36" s="168"/>
      <c r="M36" s="359">
        <f t="shared" si="7"/>
        <v>0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599">
        <f>'[77]Sch C'!D22</f>
        <v>0</v>
      </c>
      <c r="D37" s="599">
        <f>'[77]Sch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599">
        <f>'[77]Sch C'!D23</f>
        <v>8867.84</v>
      </c>
      <c r="D38" s="599">
        <f>'[77]Sch C'!F23</f>
        <v>0</v>
      </c>
      <c r="E38" s="171">
        <f t="shared" si="4"/>
        <v>8867.84</v>
      </c>
      <c r="F38" s="171"/>
      <c r="G38" s="171">
        <f t="shared" si="5"/>
        <v>8867.84</v>
      </c>
      <c r="H38" s="172">
        <f t="shared" si="6"/>
        <v>1.2884680976306515E-3</v>
      </c>
      <c r="I38" s="337"/>
      <c r="J38" s="168"/>
      <c r="K38" s="168"/>
      <c r="M38" s="359">
        <f t="shared" si="7"/>
        <v>0.26960476711662412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599">
        <f>'[77]Sch C'!D24</f>
        <v>9109.0499999999993</v>
      </c>
      <c r="D39" s="599">
        <f>'[77]Sch C'!F24</f>
        <v>0</v>
      </c>
      <c r="E39" s="171">
        <f t="shared" si="4"/>
        <v>9109.0499999999993</v>
      </c>
      <c r="F39" s="171"/>
      <c r="G39" s="171">
        <f t="shared" si="5"/>
        <v>9109.0499999999993</v>
      </c>
      <c r="H39" s="172">
        <f t="shared" si="6"/>
        <v>1.3235151203362357E-3</v>
      </c>
      <c r="I39" s="337"/>
      <c r="J39" s="168"/>
      <c r="K39" s="168"/>
      <c r="M39" s="359">
        <f t="shared" si="7"/>
        <v>0.27693816125501641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599">
        <f>'[77]Sch C'!D25</f>
        <v>8169.43</v>
      </c>
      <c r="D40" s="599">
        <f>'[77]Sch C'!F25</f>
        <v>0</v>
      </c>
      <c r="E40" s="171">
        <f t="shared" si="4"/>
        <v>8169.43</v>
      </c>
      <c r="F40" s="171"/>
      <c r="G40" s="171">
        <f t="shared" si="5"/>
        <v>8169.43</v>
      </c>
      <c r="H40" s="172">
        <f t="shared" si="6"/>
        <v>1.1869914128837208E-3</v>
      </c>
      <c r="I40" s="337"/>
      <c r="J40" s="168"/>
      <c r="K40" s="168"/>
      <c r="M40" s="359">
        <f t="shared" si="7"/>
        <v>0.24837133649519641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599">
        <f>'[77]Sch C'!D26</f>
        <v>0</v>
      </c>
      <c r="D41" s="599">
        <f>'[77]Sch C'!F26</f>
        <v>0</v>
      </c>
      <c r="E41" s="171">
        <f t="shared" si="4"/>
        <v>0</v>
      </c>
      <c r="F41" s="171"/>
      <c r="G41" s="171">
        <f t="shared" si="5"/>
        <v>0</v>
      </c>
      <c r="H41" s="172">
        <f t="shared" si="6"/>
        <v>0</v>
      </c>
      <c r="I41" s="337"/>
      <c r="J41" s="168"/>
      <c r="K41" s="168"/>
      <c r="M41" s="359">
        <f t="shared" si="7"/>
        <v>0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599">
        <f>'[77]Sch C'!D27</f>
        <v>23832.23</v>
      </c>
      <c r="D42" s="599">
        <f>'[77]Sch C'!F27</f>
        <v>0</v>
      </c>
      <c r="E42" s="171">
        <f t="shared" si="4"/>
        <v>23832.23</v>
      </c>
      <c r="F42" s="171"/>
      <c r="G42" s="171">
        <f t="shared" si="5"/>
        <v>23832.23</v>
      </c>
      <c r="H42" s="172">
        <f t="shared" si="6"/>
        <v>3.4627449356772495E-3</v>
      </c>
      <c r="I42" s="337"/>
      <c r="J42" s="168"/>
      <c r="K42" s="168"/>
      <c r="M42" s="359">
        <f t="shared" si="7"/>
        <v>0.72456007539827316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599">
        <f>'[77]Sch C'!D28</f>
        <v>0</v>
      </c>
      <c r="D43" s="599">
        <f>'[77]Sch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599">
        <f>'[77]Sch C'!D29</f>
        <v>155523.91</v>
      </c>
      <c r="D44" s="599">
        <f>'[77]Sch C'!F29</f>
        <v>-155523.91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599">
        <f>'[77]Sch C'!D30</f>
        <v>0</v>
      </c>
      <c r="D45" s="599">
        <f>'[77]Sch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599">
        <f>'[77]Sch C'!D31</f>
        <v>15257.28</v>
      </c>
      <c r="D46" s="599">
        <f>'[77]Sch C'!F31</f>
        <v>0</v>
      </c>
      <c r="E46" s="171">
        <f t="shared" si="4"/>
        <v>15257.28</v>
      </c>
      <c r="F46" s="171"/>
      <c r="G46" s="171">
        <f t="shared" si="5"/>
        <v>15257.28</v>
      </c>
      <c r="H46" s="172">
        <f t="shared" si="6"/>
        <v>2.2168327954291225E-3</v>
      </c>
      <c r="I46" s="337"/>
      <c r="J46" s="168"/>
      <c r="K46" s="168"/>
      <c r="M46" s="359">
        <f t="shared" si="7"/>
        <v>0.46385990514410802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599">
        <f>'[77]Sch C'!D32</f>
        <v>-1559.03</v>
      </c>
      <c r="D47" s="599">
        <f>'[77]Sch C'!F32</f>
        <v>0</v>
      </c>
      <c r="E47" s="171">
        <f t="shared" si="4"/>
        <v>-1559.03</v>
      </c>
      <c r="F47" s="171"/>
      <c r="G47" s="171">
        <f t="shared" si="5"/>
        <v>-1559.03</v>
      </c>
      <c r="H47" s="172">
        <f t="shared" si="6"/>
        <v>-2.2652195103307169E-4</v>
      </c>
      <c r="I47" s="337"/>
      <c r="J47" s="168"/>
      <c r="K47" s="168"/>
      <c r="M47" s="359">
        <f t="shared" si="7"/>
        <v>-4.7398455551501885E-2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599">
        <f>'[77]Sch C'!D33</f>
        <v>0</v>
      </c>
      <c r="D48" s="599">
        <f>'[77]Sch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599">
        <f>'[77]Sch C'!D34</f>
        <v>0</v>
      </c>
      <c r="D49" s="599">
        <f>'[77]Sch C'!F34</f>
        <v>0</v>
      </c>
      <c r="E49" s="171">
        <f t="shared" si="4"/>
        <v>0</v>
      </c>
      <c r="F49" s="171"/>
      <c r="G49" s="171">
        <f t="shared" si="5"/>
        <v>0</v>
      </c>
      <c r="H49" s="172">
        <f t="shared" si="6"/>
        <v>0</v>
      </c>
      <c r="I49" s="337"/>
      <c r="J49" s="168"/>
      <c r="K49" s="168"/>
      <c r="M49" s="359">
        <f t="shared" si="7"/>
        <v>0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599">
        <f>'[77]Sch C'!D35</f>
        <v>0</v>
      </c>
      <c r="D50" s="599">
        <f>'[77]Sch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599">
        <f>'[77]Sch C'!D36</f>
        <v>44850.04</v>
      </c>
      <c r="D51" s="599">
        <f>'[77]Sch C'!F36</f>
        <v>0</v>
      </c>
      <c r="E51" s="171">
        <f t="shared" si="4"/>
        <v>44850.04</v>
      </c>
      <c r="F51" s="171"/>
      <c r="G51" s="171">
        <f t="shared" si="5"/>
        <v>44850.04</v>
      </c>
      <c r="H51" s="172">
        <f t="shared" si="6"/>
        <v>6.5165638664498489E-3</v>
      </c>
      <c r="I51" s="337"/>
      <c r="J51" s="183">
        <v>3394</v>
      </c>
      <c r="K51" s="183">
        <v>4749</v>
      </c>
      <c r="M51" s="359">
        <f t="shared" si="7"/>
        <v>1.3635546637480238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599">
        <f>'[77]Sch C'!D37</f>
        <v>14119.02</v>
      </c>
      <c r="D52" s="599">
        <f>'[77]Sch C'!F37</f>
        <v>0</v>
      </c>
      <c r="E52" s="171">
        <f t="shared" si="4"/>
        <v>14119.02</v>
      </c>
      <c r="F52" s="171"/>
      <c r="G52" s="171">
        <f t="shared" si="5"/>
        <v>14119.02</v>
      </c>
      <c r="H52" s="172">
        <f t="shared" si="6"/>
        <v>2.0514473467957385E-3</v>
      </c>
      <c r="I52" s="337"/>
      <c r="J52" s="168"/>
      <c r="K52" s="168"/>
      <c r="M52" s="359">
        <f t="shared" si="7"/>
        <v>0.42925392192630429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599">
        <f>'[77]Sch C'!D38</f>
        <v>379.58</v>
      </c>
      <c r="D53" s="599">
        <f>'[77]Sch C'!F38</f>
        <v>0</v>
      </c>
      <c r="E53" s="171">
        <f t="shared" si="4"/>
        <v>379.58</v>
      </c>
      <c r="F53" s="171"/>
      <c r="G53" s="171">
        <f t="shared" si="5"/>
        <v>379.58</v>
      </c>
      <c r="H53" s="172">
        <f t="shared" si="6"/>
        <v>5.5151730353574569E-5</v>
      </c>
      <c r="I53" s="337"/>
      <c r="J53" s="168"/>
      <c r="K53" s="168"/>
      <c r="M53" s="359">
        <f t="shared" si="7"/>
        <v>1.154019214398638E-2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599">
        <f>'[77]Sch C'!D39</f>
        <v>8453.73</v>
      </c>
      <c r="D54" s="599">
        <f>'[77]Sch C'!F39</f>
        <v>0</v>
      </c>
      <c r="E54" s="171">
        <f t="shared" si="4"/>
        <v>8453.73</v>
      </c>
      <c r="F54" s="171"/>
      <c r="G54" s="171">
        <f t="shared" si="5"/>
        <v>8453.73</v>
      </c>
      <c r="H54" s="172">
        <f t="shared" si="6"/>
        <v>1.2282992714103059E-3</v>
      </c>
      <c r="I54" s="337"/>
      <c r="J54" s="168"/>
      <c r="K54" s="168"/>
      <c r="M54" s="359">
        <f t="shared" si="7"/>
        <v>0.25701477562933234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599">
        <f>'[77]Sch C'!D40</f>
        <v>208.14</v>
      </c>
      <c r="D55" s="599">
        <f>'[77]Sch C'!F40</f>
        <v>0</v>
      </c>
      <c r="E55" s="171">
        <f t="shared" si="4"/>
        <v>208.14</v>
      </c>
      <c r="F55" s="171"/>
      <c r="G55" s="171">
        <f t="shared" si="5"/>
        <v>208.14</v>
      </c>
      <c r="H55" s="172">
        <f t="shared" si="6"/>
        <v>3.0242060055305892E-5</v>
      </c>
      <c r="I55" s="337"/>
      <c r="J55" s="168"/>
      <c r="K55" s="168"/>
      <c r="M55" s="359">
        <f t="shared" si="7"/>
        <v>6.3279824881430132E-3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599">
        <f>'[77]Sch C'!D41</f>
        <v>40237.550000000003</v>
      </c>
      <c r="D56" s="599">
        <f>'[77]Sch C'!F41</f>
        <v>0</v>
      </c>
      <c r="E56" s="171">
        <f t="shared" si="4"/>
        <v>40237.550000000003</v>
      </c>
      <c r="F56" s="171"/>
      <c r="G56" s="171">
        <f t="shared" si="5"/>
        <v>40237.550000000003</v>
      </c>
      <c r="H56" s="172">
        <f t="shared" si="6"/>
        <v>5.8463841816968082E-3</v>
      </c>
      <c r="I56" s="337"/>
      <c r="J56" s="168"/>
      <c r="K56" s="168"/>
      <c r="M56" s="359">
        <f t="shared" si="7"/>
        <v>1.2233233004986015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599">
        <f>'[77]Sch C'!D42</f>
        <v>631.20000000000005</v>
      </c>
      <c r="D57" s="599">
        <f>'[77]Sch C'!F42</f>
        <v>0</v>
      </c>
      <c r="E57" s="171">
        <f t="shared" si="4"/>
        <v>631.20000000000005</v>
      </c>
      <c r="F57" s="171"/>
      <c r="G57" s="171">
        <f t="shared" si="5"/>
        <v>631.20000000000005</v>
      </c>
      <c r="H57" s="172">
        <f t="shared" si="6"/>
        <v>9.1711291952095125E-5</v>
      </c>
      <c r="I57" s="337"/>
      <c r="J57" s="168"/>
      <c r="K57" s="168"/>
      <c r="M57" s="359">
        <f t="shared" si="7"/>
        <v>1.9190076614374316E-2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599">
        <f>'[77]Sch C'!D43</f>
        <v>19524.29</v>
      </c>
      <c r="D58" s="599">
        <f>'[77]Sch C'!F43</f>
        <v>0</v>
      </c>
      <c r="E58" s="171">
        <f t="shared" si="4"/>
        <v>19524.29</v>
      </c>
      <c r="F58" s="171"/>
      <c r="G58" s="171">
        <f t="shared" si="5"/>
        <v>19524.29</v>
      </c>
      <c r="H58" s="172">
        <f t="shared" si="6"/>
        <v>2.8368153681042007E-3</v>
      </c>
      <c r="I58" s="337"/>
      <c r="J58" s="168"/>
      <c r="K58" s="168"/>
      <c r="M58" s="359">
        <f t="shared" si="7"/>
        <v>0.5935878025051684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599">
        <f>'[77]Sch C'!D44</f>
        <v>0</v>
      </c>
      <c r="D59" s="599">
        <f>'[77]Sch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7"/>
      <c r="J59" s="168"/>
      <c r="K59" s="168"/>
      <c r="M59" s="359">
        <f t="shared" si="7"/>
        <v>0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599">
        <f>'[77]Sch C'!D45</f>
        <v>208.05</v>
      </c>
      <c r="D60" s="599">
        <f>'[77]Sch C'!F45</f>
        <v>0</v>
      </c>
      <c r="E60" s="171">
        <f t="shared" si="4"/>
        <v>208.05</v>
      </c>
      <c r="F60" s="171"/>
      <c r="G60" s="171">
        <f t="shared" si="5"/>
        <v>208.05</v>
      </c>
      <c r="H60" s="172">
        <f t="shared" si="6"/>
        <v>3.0228983350179644E-5</v>
      </c>
      <c r="I60" s="337"/>
      <c r="J60" s="168"/>
      <c r="K60" s="168"/>
      <c r="M60" s="359">
        <f t="shared" si="7"/>
        <v>6.3252462604888732E-3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599">
        <f>SUM(C25:C60)</f>
        <v>1093033.77</v>
      </c>
      <c r="D61" s="599">
        <f>SUM(D25:D60)</f>
        <v>-155523.91</v>
      </c>
      <c r="E61" s="171">
        <f t="shared" ref="E61:F61" si="8">SUM(E25:E60)</f>
        <v>937509.8600000001</v>
      </c>
      <c r="F61" s="171">
        <f t="shared" si="8"/>
        <v>0</v>
      </c>
      <c r="G61" s="171">
        <f>SUM(G25:G60)</f>
        <v>937509.8600000001</v>
      </c>
      <c r="H61" s="186">
        <f t="shared" si="6"/>
        <v>0.1362171110241252</v>
      </c>
      <c r="I61" s="339"/>
      <c r="J61" s="168"/>
      <c r="K61" s="168"/>
      <c r="M61" s="364">
        <f>G61/G$228</f>
        <v>28.502671166241033</v>
      </c>
      <c r="N61" s="359">
        <f>SUMMARY!J64</f>
        <v>50.526072695090264</v>
      </c>
    </row>
    <row r="62" spans="1:14" s="167" customFormat="1">
      <c r="A62" s="163"/>
      <c r="C62" s="602"/>
      <c r="D62" s="602"/>
      <c r="E62" s="165"/>
      <c r="F62" s="165"/>
      <c r="G62" s="165"/>
      <c r="H62" s="187"/>
      <c r="I62" s="340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602"/>
      <c r="D63" s="602"/>
      <c r="E63" s="165"/>
      <c r="F63" s="165"/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599">
        <f>'[77]Sch C'!D57</f>
        <v>0</v>
      </c>
      <c r="D64" s="599">
        <f>'[77]Sch C'!F57</f>
        <v>0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I64" s="337"/>
      <c r="J64" s="190"/>
      <c r="K64" s="168"/>
      <c r="M64" s="359">
        <f t="shared" ref="M64:M79" si="12">G64/G$228</f>
        <v>0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599">
        <f>'[77]Sch C'!D58</f>
        <v>508206.92</v>
      </c>
      <c r="D65" s="599">
        <f>'[77]Sch C'!F58</f>
        <v>0</v>
      </c>
      <c r="E65" s="171">
        <f t="shared" si="9"/>
        <v>508206.92</v>
      </c>
      <c r="F65" s="171"/>
      <c r="G65" s="171">
        <f t="shared" si="10"/>
        <v>508206.92</v>
      </c>
      <c r="H65" s="172">
        <f t="shared" si="11"/>
        <v>7.3840800399548559E-2</v>
      </c>
      <c r="I65" s="337"/>
      <c r="J65" s="190"/>
      <c r="K65" s="168"/>
      <c r="M65" s="359">
        <f t="shared" si="12"/>
        <v>15.450775872552596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599">
        <f>'[77]Sch C'!D59</f>
        <v>0</v>
      </c>
      <c r="D66" s="599">
        <f>'[77]Sch C'!F59</f>
        <v>0</v>
      </c>
      <c r="E66" s="171">
        <f t="shared" si="9"/>
        <v>0</v>
      </c>
      <c r="F66" s="171"/>
      <c r="G66" s="171">
        <f t="shared" si="10"/>
        <v>0</v>
      </c>
      <c r="H66" s="172">
        <f t="shared" si="11"/>
        <v>0</v>
      </c>
      <c r="I66" s="337"/>
      <c r="J66" s="190"/>
      <c r="K66" s="168"/>
      <c r="M66" s="359">
        <f t="shared" si="12"/>
        <v>0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599">
        <f>'[77]Sch C'!D60</f>
        <v>0</v>
      </c>
      <c r="D67" s="599">
        <f>'[77]Sch C'!F60</f>
        <v>0</v>
      </c>
      <c r="E67" s="171">
        <f t="shared" si="9"/>
        <v>0</v>
      </c>
      <c r="F67" s="171"/>
      <c r="G67" s="171">
        <f t="shared" si="10"/>
        <v>0</v>
      </c>
      <c r="H67" s="172">
        <f t="shared" si="11"/>
        <v>0</v>
      </c>
      <c r="I67" s="337"/>
      <c r="J67" s="193"/>
      <c r="K67" s="168"/>
      <c r="M67" s="359">
        <f t="shared" si="12"/>
        <v>0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599">
        <f>'[77]Sch C'!D61</f>
        <v>0</v>
      </c>
      <c r="D68" s="599">
        <f>'[77]Sch C'!F61</f>
        <v>0</v>
      </c>
      <c r="E68" s="171">
        <f t="shared" si="9"/>
        <v>0</v>
      </c>
      <c r="F68" s="171"/>
      <c r="G68" s="171">
        <f t="shared" si="10"/>
        <v>0</v>
      </c>
      <c r="H68" s="172">
        <f t="shared" si="11"/>
        <v>0</v>
      </c>
      <c r="I68" s="337"/>
      <c r="J68" s="193"/>
      <c r="K68" s="168"/>
      <c r="M68" s="359">
        <f t="shared" si="12"/>
        <v>0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599">
        <f>'[77]Sch C'!D62</f>
        <v>0</v>
      </c>
      <c r="D69" s="599">
        <f>'[77]Sch C'!F62</f>
        <v>0</v>
      </c>
      <c r="E69" s="171">
        <f t="shared" si="9"/>
        <v>0</v>
      </c>
      <c r="F69" s="171"/>
      <c r="G69" s="171">
        <f t="shared" si="10"/>
        <v>0</v>
      </c>
      <c r="H69" s="172">
        <f t="shared" si="11"/>
        <v>0</v>
      </c>
      <c r="I69" s="337"/>
      <c r="J69" s="195"/>
      <c r="K69" s="168"/>
      <c r="M69" s="359">
        <f t="shared" si="12"/>
        <v>0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599">
        <f>'[77]Sch C'!D63</f>
        <v>0</v>
      </c>
      <c r="D70" s="599">
        <f>'[77]Sch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7"/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599">
        <f>'[77]Sch C'!D64</f>
        <v>0</v>
      </c>
      <c r="D71" s="599">
        <f>'[77]Sch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599">
        <f>'[77]Sch C'!D65</f>
        <v>0</v>
      </c>
      <c r="D72" s="599">
        <f>'[77]Sch C'!F65</f>
        <v>0</v>
      </c>
      <c r="E72" s="171">
        <f t="shared" si="9"/>
        <v>0</v>
      </c>
      <c r="F72" s="171"/>
      <c r="G72" s="171">
        <f t="shared" si="10"/>
        <v>0</v>
      </c>
      <c r="H72" s="172">
        <f t="shared" si="11"/>
        <v>0</v>
      </c>
      <c r="I72" s="337"/>
      <c r="J72" s="195"/>
      <c r="K72" s="168"/>
      <c r="M72" s="359">
        <f t="shared" si="12"/>
        <v>0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599">
        <f>'[77]Sch C'!D66</f>
        <v>4442.6099999999997</v>
      </c>
      <c r="D73" s="599">
        <f>'[77]Sch C'!F66</f>
        <v>0</v>
      </c>
      <c r="E73" s="171">
        <f t="shared" si="9"/>
        <v>4442.6099999999997</v>
      </c>
      <c r="F73" s="171"/>
      <c r="G73" s="171">
        <f t="shared" si="10"/>
        <v>4442.6099999999997</v>
      </c>
      <c r="H73" s="172">
        <f t="shared" si="11"/>
        <v>6.4549667734362689E-4</v>
      </c>
      <c r="I73" s="337"/>
      <c r="J73" s="195"/>
      <c r="K73" s="168"/>
      <c r="M73" s="359">
        <f t="shared" si="12"/>
        <v>0.13506658153958409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599">
        <f>'[77]Sch C'!D67</f>
        <v>173444.34</v>
      </c>
      <c r="D74" s="599">
        <f>'[77]Sch C'!F67</f>
        <v>0</v>
      </c>
      <c r="E74" s="171">
        <f t="shared" si="9"/>
        <v>173444.34</v>
      </c>
      <c r="F74" s="171"/>
      <c r="G74" s="171">
        <f t="shared" si="10"/>
        <v>173444.34</v>
      </c>
      <c r="H74" s="172">
        <f t="shared" si="11"/>
        <v>2.5200894333299192E-2</v>
      </c>
      <c r="I74" s="337"/>
      <c r="J74" s="195"/>
      <c r="K74" s="168"/>
      <c r="M74" s="359">
        <f t="shared" si="12"/>
        <v>5.2731466618022615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599">
        <f>'[77]Sch C'!D68</f>
        <v>0</v>
      </c>
      <c r="D75" s="599">
        <f>'[77]Sch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599">
        <f>'[77]Sch C'!D69</f>
        <v>0</v>
      </c>
      <c r="D76" s="599">
        <f>'[77]Sch C'!F69</f>
        <v>0</v>
      </c>
      <c r="E76" s="171">
        <f t="shared" si="9"/>
        <v>0</v>
      </c>
      <c r="F76" s="171"/>
      <c r="G76" s="171">
        <f t="shared" si="10"/>
        <v>0</v>
      </c>
      <c r="H76" s="172">
        <f t="shared" si="11"/>
        <v>0</v>
      </c>
      <c r="I76" s="337"/>
      <c r="J76" s="195"/>
      <c r="K76" s="168"/>
      <c r="M76" s="359">
        <f t="shared" si="12"/>
        <v>0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599">
        <f>'[77]Sch C'!D70</f>
        <v>0</v>
      </c>
      <c r="D77" s="599">
        <f>'[77]Sch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7"/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599">
        <f>'[77]Sch C'!D71</f>
        <v>0</v>
      </c>
      <c r="D78" s="599">
        <f>'[77]Sch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7"/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599">
        <f>SUM(C64:C78)</f>
        <v>686093.87</v>
      </c>
      <c r="D79" s="599">
        <f>SUM(D64:D78)</f>
        <v>0</v>
      </c>
      <c r="E79" s="171">
        <f t="shared" ref="E79:F79" si="13">SUM(E64:E78)</f>
        <v>686093.87</v>
      </c>
      <c r="F79" s="171">
        <f t="shared" si="13"/>
        <v>0</v>
      </c>
      <c r="G79" s="171">
        <f>SUM(G64:G78)</f>
        <v>686093.87</v>
      </c>
      <c r="H79" s="172">
        <f t="shared" si="11"/>
        <v>9.9687191410191375E-2</v>
      </c>
      <c r="I79" s="337"/>
      <c r="J79" s="195"/>
      <c r="K79" s="168"/>
      <c r="M79" s="359">
        <f t="shared" si="12"/>
        <v>20.858989115894442</v>
      </c>
      <c r="N79" s="359">
        <f>SUMMARY!J82</f>
        <v>21.548739024618541</v>
      </c>
    </row>
    <row r="80" spans="1:14" s="167" customFormat="1">
      <c r="A80" s="163"/>
      <c r="B80" s="170"/>
      <c r="C80" s="603"/>
      <c r="D80" s="603"/>
      <c r="E80" s="196"/>
      <c r="F80" s="196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602"/>
      <c r="D81" s="602"/>
      <c r="E81" s="165"/>
      <c r="F81" s="165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599">
        <f>'[77]Sch C'!D75</f>
        <v>58174.48</v>
      </c>
      <c r="D82" s="599">
        <f>'[77]Sch C'!F75</f>
        <v>0</v>
      </c>
      <c r="E82" s="171">
        <f t="shared" ref="E82:E92" si="14">C82+D82</f>
        <v>58174.48</v>
      </c>
      <c r="F82" s="171"/>
      <c r="G82" s="171">
        <f t="shared" ref="G82:G92" si="15">E82+F82</f>
        <v>58174.48</v>
      </c>
      <c r="H82" s="172">
        <f t="shared" ref="H82:H93" si="16">IF($G$208=0,0,G82/$G$208)</f>
        <v>8.4525613425876413E-3</v>
      </c>
      <c r="I82" s="337"/>
      <c r="J82" s="183">
        <v>2610</v>
      </c>
      <c r="K82" s="183">
        <v>3310</v>
      </c>
      <c r="M82" s="359">
        <f t="shared" ref="M82:M92" si="17">G82/G$228</f>
        <v>1.7686513437918037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599">
        <f>'[77]Sch C'!D76</f>
        <v>5450.24</v>
      </c>
      <c r="D83" s="599">
        <f>'[77]Sch C'!F76</f>
        <v>0</v>
      </c>
      <c r="E83" s="171">
        <f t="shared" si="14"/>
        <v>5450.24</v>
      </c>
      <c r="F83" s="171"/>
      <c r="G83" s="171">
        <f t="shared" si="15"/>
        <v>5450.24</v>
      </c>
      <c r="H83" s="172">
        <f t="shared" si="16"/>
        <v>7.9190201496987791E-4</v>
      </c>
      <c r="I83" s="337"/>
      <c r="J83" s="168"/>
      <c r="K83" s="168"/>
      <c r="M83" s="359">
        <f t="shared" si="17"/>
        <v>0.16570108233004985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599">
        <f>'[77]Sch C'!D77</f>
        <v>-142.75</v>
      </c>
      <c r="D84" s="599">
        <f>'[77]Sch C'!F77</f>
        <v>0</v>
      </c>
      <c r="E84" s="171">
        <f t="shared" si="14"/>
        <v>-142.75</v>
      </c>
      <c r="F84" s="171"/>
      <c r="G84" s="171">
        <f t="shared" si="15"/>
        <v>-142.75</v>
      </c>
      <c r="H84" s="172">
        <f t="shared" si="16"/>
        <v>-2.0741107297467647E-5</v>
      </c>
      <c r="I84" s="337"/>
      <c r="J84" s="168"/>
      <c r="K84" s="168"/>
      <c r="M84" s="359">
        <f t="shared" si="17"/>
        <v>-4.3399610847622526E-3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599">
        <f>'[77]Sch C'!D78</f>
        <v>4121.74</v>
      </c>
      <c r="D85" s="599">
        <f>'[77]Sch C'!F78</f>
        <v>0</v>
      </c>
      <c r="E85" s="171">
        <f t="shared" si="14"/>
        <v>4121.74</v>
      </c>
      <c r="F85" s="171"/>
      <c r="G85" s="171">
        <f t="shared" si="15"/>
        <v>4121.74</v>
      </c>
      <c r="H85" s="172">
        <f t="shared" si="16"/>
        <v>5.9887531763407563E-4</v>
      </c>
      <c r="I85" s="337"/>
      <c r="J85" s="168"/>
      <c r="K85" s="168"/>
      <c r="M85" s="359">
        <f t="shared" si="17"/>
        <v>0.12531132190198224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599">
        <f>'[77]Sch C'!D79</f>
        <v>0</v>
      </c>
      <c r="D86" s="599">
        <f>'[77]Sch C'!F79</f>
        <v>0</v>
      </c>
      <c r="E86" s="171">
        <f t="shared" si="14"/>
        <v>0</v>
      </c>
      <c r="F86" s="171"/>
      <c r="G86" s="171">
        <f>E86+F86</f>
        <v>0</v>
      </c>
      <c r="H86" s="172">
        <f t="shared" si="16"/>
        <v>0</v>
      </c>
      <c r="I86" s="337"/>
      <c r="J86" s="168"/>
      <c r="K86" s="168"/>
      <c r="M86" s="359">
        <f t="shared" si="17"/>
        <v>0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599">
        <f>'[77]Sch C'!D80</f>
        <v>73571.28</v>
      </c>
      <c r="D87" s="599">
        <f>'[77]Sch C'!F80</f>
        <v>0</v>
      </c>
      <c r="E87" s="171">
        <f t="shared" si="14"/>
        <v>73571.28</v>
      </c>
      <c r="F87" s="171"/>
      <c r="G87" s="171">
        <f t="shared" si="15"/>
        <v>73571.28</v>
      </c>
      <c r="H87" s="172">
        <f t="shared" si="16"/>
        <v>1.0689665936896922E-2</v>
      </c>
      <c r="I87" s="337"/>
      <c r="J87" s="168"/>
      <c r="K87" s="168"/>
      <c r="M87" s="359">
        <f t="shared" si="17"/>
        <v>2.2367530098504194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599">
        <f>'[77]Sch C'!D81</f>
        <v>45885.42</v>
      </c>
      <c r="D88" s="599">
        <f>'[77]Sch C'!F81</f>
        <v>0</v>
      </c>
      <c r="E88" s="171">
        <f t="shared" si="14"/>
        <v>45885.42</v>
      </c>
      <c r="F88" s="171"/>
      <c r="G88" s="171">
        <f t="shared" si="15"/>
        <v>45885.42</v>
      </c>
      <c r="H88" s="172">
        <f t="shared" si="16"/>
        <v>6.667001188156693E-3</v>
      </c>
      <c r="I88" s="337"/>
      <c r="J88" s="168"/>
      <c r="K88" s="168"/>
      <c r="M88" s="359">
        <f t="shared" si="17"/>
        <v>1.3950328347318497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599">
        <f>'[77]Sch C'!D82</f>
        <v>65144.25</v>
      </c>
      <c r="D89" s="599">
        <f>'[77]Sch C'!F82</f>
        <v>0</v>
      </c>
      <c r="E89" s="171">
        <f t="shared" si="14"/>
        <v>65144.25</v>
      </c>
      <c r="F89" s="171"/>
      <c r="G89" s="171">
        <f t="shared" si="15"/>
        <v>65144.25</v>
      </c>
      <c r="H89" s="172">
        <f t="shared" si="16"/>
        <v>9.4652460880074035E-3</v>
      </c>
      <c r="I89" s="337"/>
      <c r="J89" s="168"/>
      <c r="K89" s="168"/>
      <c r="M89" s="359">
        <f t="shared" si="17"/>
        <v>1.9805499817584824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599">
        <f>'[77]Sch C'!D83</f>
        <v>8871.7099999999991</v>
      </c>
      <c r="D90" s="599">
        <f>'[77]Sch C'!F83</f>
        <v>0</v>
      </c>
      <c r="E90" s="171">
        <f t="shared" si="14"/>
        <v>8871.7099999999991</v>
      </c>
      <c r="F90" s="171"/>
      <c r="G90" s="171">
        <f t="shared" si="15"/>
        <v>8871.7099999999991</v>
      </c>
      <c r="H90" s="172">
        <f t="shared" si="16"/>
        <v>1.2890303959510801E-3</v>
      </c>
      <c r="I90" s="337"/>
      <c r="J90" s="168"/>
      <c r="K90" s="168"/>
      <c r="M90" s="359">
        <f t="shared" si="17"/>
        <v>0.26972242490575216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599">
        <f>'[77]Sch C'!D84</f>
        <v>132577.96</v>
      </c>
      <c r="D91" s="599">
        <f>'[77]Sch C'!F84</f>
        <v>0</v>
      </c>
      <c r="E91" s="171">
        <f t="shared" si="14"/>
        <v>132577.96</v>
      </c>
      <c r="F91" s="171"/>
      <c r="G91" s="171">
        <f t="shared" si="15"/>
        <v>132577.96</v>
      </c>
      <c r="H91" s="172">
        <f t="shared" si="16"/>
        <v>1.9263143212885279E-2</v>
      </c>
      <c r="I91" s="337"/>
      <c r="J91" s="168"/>
      <c r="K91" s="168"/>
      <c r="M91" s="359">
        <f t="shared" si="17"/>
        <v>4.0307053386841787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599">
        <f>'[77]Sch C'!D85</f>
        <v>0</v>
      </c>
      <c r="D92" s="599">
        <f>'[77]Sch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7"/>
      <c r="J92" s="168"/>
      <c r="K92" s="168"/>
      <c r="M92" s="359">
        <f t="shared" si="17"/>
        <v>0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599">
        <f>SUM(C82:C92)</f>
        <v>393654.32999999996</v>
      </c>
      <c r="D93" s="599">
        <f>SUM(D82:D92)</f>
        <v>0</v>
      </c>
      <c r="E93" s="171">
        <f t="shared" ref="E93:F93" si="18">SUM(E82:E92)</f>
        <v>393654.32999999996</v>
      </c>
      <c r="F93" s="171">
        <f t="shared" si="18"/>
        <v>0</v>
      </c>
      <c r="G93" s="171">
        <f>SUM(G82:G92)</f>
        <v>393654.32999999996</v>
      </c>
      <c r="H93" s="172">
        <f t="shared" si="16"/>
        <v>5.7196684389791502E-2</v>
      </c>
      <c r="I93" s="337"/>
      <c r="J93" s="168"/>
      <c r="K93" s="168"/>
      <c r="M93" s="364">
        <f>G93/G$228</f>
        <v>11.968087376869754</v>
      </c>
      <c r="N93" s="359">
        <f>SUMMARY!J96</f>
        <v>11.17524664351876</v>
      </c>
    </row>
    <row r="94" spans="1:14" s="167" customFormat="1">
      <c r="A94" s="163"/>
      <c r="C94" s="602"/>
      <c r="D94" s="602"/>
      <c r="E94" s="165"/>
      <c r="F94" s="165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602"/>
      <c r="D95" s="602"/>
      <c r="E95" s="165"/>
      <c r="F95" s="16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599">
        <f>'[77]Sch C'!D89</f>
        <v>234662.5</v>
      </c>
      <c r="D96" s="599">
        <f>'[77]Sch C'!F89</f>
        <v>0</v>
      </c>
      <c r="E96" s="171">
        <f t="shared" ref="E96:E101" si="19">C96+D96</f>
        <v>234662.5</v>
      </c>
      <c r="F96" s="171"/>
      <c r="G96" s="171">
        <f t="shared" ref="G96:G101" si="20">E96+F96</f>
        <v>234662.5</v>
      </c>
      <c r="H96" s="172">
        <f t="shared" ref="H96:H102" si="21">IF($G$208=0,0,G96/$G$208)</f>
        <v>3.4095692407649751E-2</v>
      </c>
      <c r="I96" s="337"/>
      <c r="J96" s="183">
        <v>22954</v>
      </c>
      <c r="K96" s="183">
        <v>23751</v>
      </c>
      <c r="M96" s="364">
        <f t="shared" ref="M96:M101" si="22">G96/G$228</f>
        <v>7.1343335765535691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599">
        <f>'[77]Sch C'!D90</f>
        <v>36809.35</v>
      </c>
      <c r="D97" s="599">
        <f>'[77]Sch C'!F90</f>
        <v>0</v>
      </c>
      <c r="E97" s="171">
        <f t="shared" si="19"/>
        <v>36809.35</v>
      </c>
      <c r="F97" s="171"/>
      <c r="G97" s="171">
        <f t="shared" si="20"/>
        <v>36809.35</v>
      </c>
      <c r="H97" s="172">
        <f t="shared" si="21"/>
        <v>5.3482779537656093E-3</v>
      </c>
      <c r="I97" s="337"/>
      <c r="J97" s="168"/>
      <c r="K97" s="168"/>
      <c r="M97" s="364">
        <f t="shared" si="22"/>
        <v>1.1190973488994285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599">
        <f>'[77]Sch C'!D91</f>
        <v>5809.1</v>
      </c>
      <c r="D98" s="599">
        <f>'[77]Sch C'!F91</f>
        <v>0</v>
      </c>
      <c r="E98" s="171">
        <f t="shared" si="19"/>
        <v>5809.1</v>
      </c>
      <c r="F98" s="171"/>
      <c r="G98" s="171">
        <f t="shared" si="20"/>
        <v>5809.1</v>
      </c>
      <c r="H98" s="172">
        <f t="shared" si="21"/>
        <v>8.4404319720994265E-4</v>
      </c>
      <c r="I98" s="337"/>
      <c r="J98" s="168"/>
      <c r="K98" s="168"/>
      <c r="M98" s="364">
        <f t="shared" si="22"/>
        <v>0.17661133406299406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599">
        <f>'[77]Sch C'!D92</f>
        <v>235567.54</v>
      </c>
      <c r="D99" s="599">
        <f>'[77]Sch C'!F92</f>
        <v>0</v>
      </c>
      <c r="E99" s="171">
        <f t="shared" si="19"/>
        <v>235567.54</v>
      </c>
      <c r="F99" s="171"/>
      <c r="G99" s="171">
        <f t="shared" si="20"/>
        <v>235567.54</v>
      </c>
      <c r="H99" s="172">
        <f t="shared" si="21"/>
        <v>3.4227191754399318E-2</v>
      </c>
      <c r="I99" s="337"/>
      <c r="J99" s="168"/>
      <c r="K99" s="168"/>
      <c r="M99" s="364">
        <f t="shared" si="22"/>
        <v>7.1618490818436094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599">
        <f>'[77]Sch C'!D93</f>
        <v>22191.91</v>
      </c>
      <c r="D100" s="599">
        <f>'[77]Sch C'!F93</f>
        <v>0</v>
      </c>
      <c r="E100" s="171">
        <f t="shared" si="19"/>
        <v>22191.91</v>
      </c>
      <c r="F100" s="171"/>
      <c r="G100" s="171">
        <f t="shared" si="20"/>
        <v>22191.91</v>
      </c>
      <c r="H100" s="172">
        <f t="shared" si="21"/>
        <v>3.2244118139807022E-3</v>
      </c>
      <c r="I100" s="337"/>
      <c r="J100" s="168"/>
      <c r="K100" s="168"/>
      <c r="M100" s="364">
        <f t="shared" si="22"/>
        <v>0.67469019822449228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599">
        <f>'[77]Sch C'!D94</f>
        <v>1298.6600000000001</v>
      </c>
      <c r="D101" s="599">
        <f>'[77]Sch C'!F94</f>
        <v>0</v>
      </c>
      <c r="E101" s="171">
        <f t="shared" si="19"/>
        <v>1298.6600000000001</v>
      </c>
      <c r="F101" s="171"/>
      <c r="G101" s="171">
        <f t="shared" si="20"/>
        <v>1298.6600000000001</v>
      </c>
      <c r="H101" s="172">
        <f t="shared" si="21"/>
        <v>1.8869104310283247E-4</v>
      </c>
      <c r="I101" s="337"/>
      <c r="J101" s="168"/>
      <c r="K101" s="168"/>
      <c r="M101" s="364">
        <f t="shared" si="22"/>
        <v>3.9482548948072481E-2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599">
        <f>SUM(C96:C101)</f>
        <v>536339.06000000006</v>
      </c>
      <c r="D102" s="599">
        <f>SUM(D96:D101)</f>
        <v>0</v>
      </c>
      <c r="E102" s="171">
        <f t="shared" ref="E102:F102" si="23">SUM(E96:E101)</f>
        <v>536339.06000000006</v>
      </c>
      <c r="F102" s="171">
        <f t="shared" si="23"/>
        <v>0</v>
      </c>
      <c r="G102" s="171">
        <f>SUM(G96:G101)</f>
        <v>536339.06000000006</v>
      </c>
      <c r="H102" s="172">
        <f t="shared" si="21"/>
        <v>7.7928308170108165E-2</v>
      </c>
      <c r="I102" s="337"/>
      <c r="J102" s="168"/>
      <c r="K102" s="168"/>
      <c r="M102" s="364">
        <f>G102/G$228</f>
        <v>16.306064088532167</v>
      </c>
      <c r="N102" s="359">
        <f>SUMMARY!J105</f>
        <v>18.68930531346383</v>
      </c>
    </row>
    <row r="103" spans="1:14" s="167" customFormat="1">
      <c r="A103" s="163"/>
      <c r="C103" s="602"/>
      <c r="D103" s="602"/>
      <c r="E103" s="165"/>
      <c r="F103" s="165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602"/>
      <c r="D104" s="602"/>
      <c r="E104" s="165"/>
      <c r="F104" s="165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599">
        <f>'[77]Sch C'!D98</f>
        <v>44865.15</v>
      </c>
      <c r="D105" s="599">
        <f>'[77]Sch C'!F98</f>
        <v>0</v>
      </c>
      <c r="E105" s="171">
        <f t="shared" ref="E105:E110" si="24">C105+D105</f>
        <v>44865.15</v>
      </c>
      <c r="F105" s="171"/>
      <c r="G105" s="171">
        <f t="shared" ref="G105:G110" si="25">E105+F105</f>
        <v>44865.15</v>
      </c>
      <c r="H105" s="172">
        <f t="shared" ref="H105:H111" si="26">IF($G$208=0,0,G105/$G$208)</f>
        <v>6.5187592999438222E-3</v>
      </c>
      <c r="I105" s="337"/>
      <c r="J105" s="183">
        <v>3964</v>
      </c>
      <c r="K105" s="183">
        <v>4185</v>
      </c>
      <c r="M105" s="364">
        <f t="shared" ref="M105:M110" si="27">G105/G$228</f>
        <v>1.3640140459686247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599">
        <f>'[77]Sch C'!D99</f>
        <v>5675.39</v>
      </c>
      <c r="D106" s="599">
        <f>'[77]Sch C'!F99</f>
        <v>0</v>
      </c>
      <c r="E106" s="171">
        <f t="shared" si="24"/>
        <v>5675.39</v>
      </c>
      <c r="F106" s="171"/>
      <c r="G106" s="171">
        <f t="shared" si="25"/>
        <v>5675.39</v>
      </c>
      <c r="H106" s="172">
        <f t="shared" si="26"/>
        <v>8.2461557229404495E-4</v>
      </c>
      <c r="I106" s="337"/>
      <c r="J106" s="168"/>
      <c r="K106" s="168"/>
      <c r="M106" s="364">
        <f t="shared" si="27"/>
        <v>0.17254621184482549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599">
        <f>'[77]Sch C'!D100</f>
        <v>8096.45</v>
      </c>
      <c r="D107" s="599">
        <f>'[77]Sch C'!F100</f>
        <v>0</v>
      </c>
      <c r="E107" s="171">
        <f t="shared" si="24"/>
        <v>8096.45</v>
      </c>
      <c r="F107" s="171"/>
      <c r="G107" s="171">
        <f t="shared" si="25"/>
        <v>8096.45</v>
      </c>
      <c r="H107" s="172">
        <f t="shared" si="26"/>
        <v>1.1763876579935688E-3</v>
      </c>
      <c r="I107" s="337"/>
      <c r="J107" s="168"/>
      <c r="K107" s="168"/>
      <c r="M107" s="364">
        <f t="shared" si="27"/>
        <v>0.2461525598929831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599">
        <f>'[77]Sch C'!D101</f>
        <v>100</v>
      </c>
      <c r="D108" s="599">
        <f>'[77]Sch C'!F101</f>
        <v>0</v>
      </c>
      <c r="E108" s="171">
        <f t="shared" si="24"/>
        <v>100</v>
      </c>
      <c r="F108" s="171"/>
      <c r="G108" s="171">
        <f t="shared" si="25"/>
        <v>100</v>
      </c>
      <c r="H108" s="172">
        <f t="shared" si="26"/>
        <v>1.4529672362499228E-5</v>
      </c>
      <c r="I108" s="337"/>
      <c r="J108" s="168"/>
      <c r="K108" s="168"/>
      <c r="M108" s="364">
        <f t="shared" si="27"/>
        <v>3.0402529490453608E-3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599">
        <f>'[77]Sch C'!D102</f>
        <v>20622.189999999999</v>
      </c>
      <c r="D109" s="599">
        <f>'[77]Sch C'!F102</f>
        <v>0</v>
      </c>
      <c r="E109" s="171">
        <f t="shared" si="24"/>
        <v>20622.189999999999</v>
      </c>
      <c r="F109" s="171"/>
      <c r="G109" s="171">
        <f t="shared" si="25"/>
        <v>20622.189999999999</v>
      </c>
      <c r="H109" s="172">
        <f t="shared" si="26"/>
        <v>2.9963366409720793E-3</v>
      </c>
      <c r="I109" s="337"/>
      <c r="J109" s="168"/>
      <c r="K109" s="168"/>
      <c r="M109" s="364">
        <f t="shared" si="27"/>
        <v>0.62696673963273741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599">
        <f>'[77]Sch C'!D103</f>
        <v>98.35</v>
      </c>
      <c r="D110" s="599">
        <f>'[77]Sch C'!F103</f>
        <v>0</v>
      </c>
      <c r="E110" s="171">
        <f t="shared" si="24"/>
        <v>98.35</v>
      </c>
      <c r="F110" s="171"/>
      <c r="G110" s="171">
        <f t="shared" si="25"/>
        <v>98.35</v>
      </c>
      <c r="H110" s="172">
        <f t="shared" si="26"/>
        <v>1.428993276851799E-5</v>
      </c>
      <c r="I110" s="337"/>
      <c r="J110" s="168"/>
      <c r="K110" s="168"/>
      <c r="M110" s="364">
        <f t="shared" si="27"/>
        <v>2.9900887753861118E-3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599">
        <f>SUM(C105:C110)</f>
        <v>79457.53</v>
      </c>
      <c r="D111" s="599">
        <f>SUM(D105:D110)</f>
        <v>0</v>
      </c>
      <c r="E111" s="171">
        <f t="shared" ref="E111:F111" si="28">SUM(E105:E110)</f>
        <v>79457.53</v>
      </c>
      <c r="F111" s="171">
        <f t="shared" si="28"/>
        <v>0</v>
      </c>
      <c r="G111" s="171">
        <f>SUM(G105:G110)</f>
        <v>79457.53</v>
      </c>
      <c r="H111" s="172">
        <f t="shared" si="26"/>
        <v>1.1544918776334533E-2</v>
      </c>
      <c r="I111" s="337"/>
      <c r="J111" s="168"/>
      <c r="K111" s="168"/>
      <c r="M111" s="364">
        <f>G111/G$228</f>
        <v>2.4157098990636019</v>
      </c>
      <c r="N111" s="359">
        <f>SUMMARY!J114</f>
        <v>2.269671356169523</v>
      </c>
    </row>
    <row r="112" spans="1:14" s="167" customFormat="1">
      <c r="A112" s="163"/>
      <c r="C112" s="602"/>
      <c r="D112" s="602"/>
      <c r="E112" s="165"/>
      <c r="F112" s="165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602"/>
      <c r="D113" s="602"/>
      <c r="E113" s="165"/>
      <c r="F113" s="165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599">
        <f>'[77]Sch C'!D115</f>
        <v>154176.87</v>
      </c>
      <c r="D114" s="599">
        <f>'[77]Sch C'!F115</f>
        <v>0</v>
      </c>
      <c r="E114" s="171">
        <f t="shared" ref="E114:E118" si="29">C114+D114</f>
        <v>154176.87</v>
      </c>
      <c r="F114" s="171"/>
      <c r="G114" s="171">
        <f>E114+F114</f>
        <v>154176.87</v>
      </c>
      <c r="H114" s="172">
        <f t="shared" ref="H114:H119" si="30">IF($G$208=0,0,G114/$G$208)</f>
        <v>2.2401394069756362E-2</v>
      </c>
      <c r="I114" s="337"/>
      <c r="J114" s="183">
        <v>13010</v>
      </c>
      <c r="K114" s="183">
        <v>14286</v>
      </c>
      <c r="M114" s="364">
        <f t="shared" ref="M114:M119" si="31">G114/G$228</f>
        <v>4.6873668369208321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599">
        <f>'[77]Sch C'!D116</f>
        <v>52116.87</v>
      </c>
      <c r="D115" s="599">
        <f>'[77]Sch C'!F116</f>
        <v>0</v>
      </c>
      <c r="E115" s="171">
        <f t="shared" si="29"/>
        <v>52116.87</v>
      </c>
      <c r="F115" s="171"/>
      <c r="G115" s="171">
        <f>E115+F115</f>
        <v>52116.87</v>
      </c>
      <c r="H115" s="172">
        <f t="shared" si="30"/>
        <v>7.5724104565896514E-3</v>
      </c>
      <c r="I115" s="337"/>
      <c r="J115" s="168"/>
      <c r="K115" s="168"/>
      <c r="M115" s="364">
        <f t="shared" si="31"/>
        <v>1.5844846771251369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599">
        <f>'[77]Sch C'!D117</f>
        <v>14614.87</v>
      </c>
      <c r="D116" s="599">
        <f>'[77]Sch C'!F117</f>
        <v>0</v>
      </c>
      <c r="E116" s="171">
        <f t="shared" si="29"/>
        <v>14614.87</v>
      </c>
      <c r="F116" s="171"/>
      <c r="G116" s="171">
        <f>E116+F116</f>
        <v>14614.87</v>
      </c>
      <c r="H116" s="172">
        <f t="shared" si="30"/>
        <v>2.1234927272051909E-3</v>
      </c>
      <c r="I116" s="337"/>
      <c r="J116" s="168"/>
      <c r="K116" s="168"/>
      <c r="M116" s="364">
        <f t="shared" si="31"/>
        <v>0.44432901617414572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599">
        <f>'[77]Sch C'!D118</f>
        <v>0</v>
      </c>
      <c r="D117" s="599">
        <f>'[77]Sch C'!F118</f>
        <v>0</v>
      </c>
      <c r="E117" s="171">
        <f t="shared" si="29"/>
        <v>0</v>
      </c>
      <c r="F117" s="171"/>
      <c r="G117" s="171">
        <f>E117+F117</f>
        <v>0</v>
      </c>
      <c r="H117" s="172">
        <f t="shared" si="30"/>
        <v>0</v>
      </c>
      <c r="I117" s="337"/>
      <c r="J117" s="168"/>
      <c r="K117" s="168"/>
      <c r="M117" s="364">
        <f t="shared" si="31"/>
        <v>0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599">
        <f>'[77]Sch C'!D119</f>
        <v>0</v>
      </c>
      <c r="D118" s="599">
        <f>'[77]Sch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337"/>
      <c r="J118" s="168"/>
      <c r="K118" s="168"/>
      <c r="M118" s="364">
        <f t="shared" si="31"/>
        <v>0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599">
        <f>SUM(C114:C118)</f>
        <v>220908.61</v>
      </c>
      <c r="D119" s="599">
        <f>SUM(D114:D118)</f>
        <v>0</v>
      </c>
      <c r="E119" s="171">
        <f t="shared" ref="E119:F119" si="32">SUM(E114:E118)</f>
        <v>220908.61</v>
      </c>
      <c r="F119" s="171">
        <f t="shared" si="32"/>
        <v>0</v>
      </c>
      <c r="G119" s="171">
        <f>SUM(G114:G118)</f>
        <v>220908.61</v>
      </c>
      <c r="H119" s="172">
        <f t="shared" si="30"/>
        <v>3.2097297253551205E-2</v>
      </c>
      <c r="I119" s="337"/>
      <c r="J119" s="168"/>
      <c r="K119" s="168"/>
      <c r="M119" s="364">
        <f t="shared" si="31"/>
        <v>6.7161805302201136</v>
      </c>
      <c r="N119" s="359">
        <f>SUMMARY!J122</f>
        <v>5.7499401387004214</v>
      </c>
    </row>
    <row r="120" spans="1:14" s="167" customFormat="1">
      <c r="A120" s="163"/>
      <c r="B120" s="170"/>
      <c r="C120" s="603"/>
      <c r="D120" s="603"/>
      <c r="E120" s="196"/>
      <c r="F120" s="196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602"/>
      <c r="D121" s="602"/>
      <c r="E121" s="165"/>
      <c r="F121" s="165"/>
      <c r="G121" s="165"/>
      <c r="H121" s="198"/>
      <c r="I121" s="341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602"/>
      <c r="D122" s="602"/>
      <c r="E122" s="165"/>
      <c r="F122" s="165"/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599">
        <f>'[77]Sch C'!D124</f>
        <v>0</v>
      </c>
      <c r="D123" s="599">
        <f>'[77]Sch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7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0.77002560279620991</v>
      </c>
    </row>
    <row r="124" spans="1:14" s="167" customFormat="1">
      <c r="B124" s="163" t="s">
        <v>194</v>
      </c>
      <c r="C124" s="599">
        <f>'[77]Sch C'!D125</f>
        <v>177279.7</v>
      </c>
      <c r="D124" s="599">
        <f>'[77]Sch C'!F125</f>
        <v>0</v>
      </c>
      <c r="E124" s="171">
        <f t="shared" si="33"/>
        <v>177279.7</v>
      </c>
      <c r="F124" s="171"/>
      <c r="G124" s="171">
        <f>E124+F124</f>
        <v>177279.7</v>
      </c>
      <c r="H124" s="172">
        <f>IF($G$208=0,0,G124/$G$208)</f>
        <v>2.5758159575221547E-2</v>
      </c>
      <c r="I124" s="337"/>
      <c r="J124" s="183">
        <v>7411.88</v>
      </c>
      <c r="K124" s="183">
        <v>8347</v>
      </c>
      <c r="M124" s="364">
        <f t="shared" si="34"/>
        <v>5.3897513073087682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599">
        <f>'[77]Sch C'!D126</f>
        <v>0</v>
      </c>
      <c r="D125" s="599">
        <f>'[77]Sch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7"/>
      <c r="J125" s="183">
        <v>0</v>
      </c>
      <c r="K125" s="183">
        <v>0</v>
      </c>
      <c r="M125" s="364">
        <f t="shared" si="34"/>
        <v>0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599">
        <f>'[77]Sch C'!D127</f>
        <v>29319.3</v>
      </c>
      <c r="D126" s="599">
        <f>'[77]Sch C'!F127</f>
        <v>0</v>
      </c>
      <c r="E126" s="171">
        <f t="shared" si="33"/>
        <v>29319.3</v>
      </c>
      <c r="F126" s="171"/>
      <c r="G126" s="171">
        <f>E126+F126</f>
        <v>29319.3</v>
      </c>
      <c r="H126" s="172">
        <f>IF($G$208=0,0,G126/$G$208)</f>
        <v>4.2599982289782358E-3</v>
      </c>
      <c r="I126" s="337"/>
      <c r="J126" s="183">
        <v>1755</v>
      </c>
      <c r="K126" s="183">
        <v>1955</v>
      </c>
      <c r="M126" s="364">
        <f t="shared" si="34"/>
        <v>0.89138088288945638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599">
        <f>'[77]Sch C'!D128</f>
        <v>92138.92</v>
      </c>
      <c r="D127" s="599">
        <f>'[77]Sch C'!F128</f>
        <v>0</v>
      </c>
      <c r="E127" s="171">
        <f t="shared" si="33"/>
        <v>92138.92</v>
      </c>
      <c r="F127" s="171"/>
      <c r="G127" s="171">
        <f>E127+F127</f>
        <v>92138.92</v>
      </c>
      <c r="H127" s="172">
        <f>IF($G$208=0,0,G127/$G$208)</f>
        <v>1.3387483194345273E-2</v>
      </c>
      <c r="I127" s="337"/>
      <c r="J127" s="183">
        <v>1856</v>
      </c>
      <c r="K127" s="183">
        <v>2000</v>
      </c>
      <c r="M127" s="364">
        <f t="shared" si="34"/>
        <v>2.8012562325185453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604"/>
      <c r="D128" s="604"/>
      <c r="E128" s="205"/>
      <c r="F128" s="205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599">
        <f>'[77]Sch C'!D130</f>
        <v>0</v>
      </c>
      <c r="D129" s="599">
        <f>'[77]Sch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7"/>
      <c r="J129" s="204"/>
      <c r="K129" s="204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599">
        <f>'[77]Sch C'!D131</f>
        <v>55509.97</v>
      </c>
      <c r="D130" s="599">
        <f>'[77]Sch C'!F131</f>
        <v>-22569</v>
      </c>
      <c r="E130" s="171">
        <f t="shared" si="35"/>
        <v>32940.97</v>
      </c>
      <c r="F130" s="171"/>
      <c r="G130" s="171">
        <f>E130+F130</f>
        <v>32940.97</v>
      </c>
      <c r="H130" s="172">
        <f>IF($G$208=0,0,G130/$G$208)</f>
        <v>4.7862150140291623E-3</v>
      </c>
      <c r="I130" s="337"/>
      <c r="J130" s="204"/>
      <c r="K130" s="204"/>
      <c r="M130" s="364">
        <f t="shared" si="34"/>
        <v>1.0014888118691476</v>
      </c>
      <c r="N130" s="359">
        <f>SUMMARY!J133</f>
        <v>1.0792348507966931</v>
      </c>
    </row>
    <row r="131" spans="1:14" s="167" customFormat="1">
      <c r="B131" s="163" t="s">
        <v>195</v>
      </c>
      <c r="C131" s="599">
        <f>'[77]Sch C'!D132</f>
        <v>0</v>
      </c>
      <c r="D131" s="599">
        <f>'[77]Sch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7"/>
      <c r="J131" s="168"/>
      <c r="K131" s="168"/>
      <c r="M131" s="364">
        <f t="shared" si="34"/>
        <v>0</v>
      </c>
      <c r="N131" s="359">
        <f>SUMMARY!J134</f>
        <v>8.2765628075518377E-2</v>
      </c>
    </row>
    <row r="132" spans="1:14" s="167" customFormat="1">
      <c r="B132" s="163" t="s">
        <v>196</v>
      </c>
      <c r="C132" s="599">
        <f>'[77]Sch C'!D133</f>
        <v>0</v>
      </c>
      <c r="D132" s="599">
        <f>'[77]Sch C'!F133</f>
        <v>5448</v>
      </c>
      <c r="E132" s="171">
        <f t="shared" si="35"/>
        <v>5448</v>
      </c>
      <c r="F132" s="171"/>
      <c r="G132" s="171">
        <f>E132+F132</f>
        <v>5448</v>
      </c>
      <c r="H132" s="172">
        <f>IF($G$208=0,0,G132/$G$208)</f>
        <v>7.9157655030895791E-4</v>
      </c>
      <c r="I132" s="337"/>
      <c r="J132" s="168"/>
      <c r="K132" s="168"/>
      <c r="M132" s="364">
        <f t="shared" si="34"/>
        <v>0.16563298066399124</v>
      </c>
      <c r="N132" s="359">
        <f>SUMMARY!J135</f>
        <v>2.4827298902786038E-2</v>
      </c>
    </row>
    <row r="133" spans="1:14" s="167" customFormat="1">
      <c r="B133" s="163" t="s">
        <v>197</v>
      </c>
      <c r="C133" s="599">
        <f>'[77]Sch C'!D134</f>
        <v>0</v>
      </c>
      <c r="D133" s="599">
        <f>'[77]Sch C'!F134</f>
        <v>17121</v>
      </c>
      <c r="E133" s="171">
        <f t="shared" si="35"/>
        <v>17121</v>
      </c>
      <c r="F133" s="171"/>
      <c r="G133" s="171">
        <f>E133+F133</f>
        <v>17121</v>
      </c>
      <c r="H133" s="172">
        <f>IF($G$208=0,0,G133/$G$208)</f>
        <v>2.4876252051834928E-3</v>
      </c>
      <c r="I133" s="337"/>
      <c r="J133" s="168"/>
      <c r="K133" s="168"/>
      <c r="M133" s="364">
        <f t="shared" si="34"/>
        <v>0.52052170740605619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603"/>
      <c r="D134" s="603"/>
      <c r="E134" s="196"/>
      <c r="F134" s="196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599">
        <f>'[77]Sch C'!D136</f>
        <v>503205.21</v>
      </c>
      <c r="D135" s="599">
        <f>'[77]Sch C'!F136</f>
        <v>0</v>
      </c>
      <c r="E135" s="171">
        <f t="shared" ref="E135:E138" si="36">C135+D135</f>
        <v>503205.21</v>
      </c>
      <c r="F135" s="171"/>
      <c r="G135" s="171">
        <f>E135+F135</f>
        <v>503205.21</v>
      </c>
      <c r="H135" s="172">
        <f>IF($G$208=0,0,G135/$G$208)</f>
        <v>7.3114068324026199E-2</v>
      </c>
      <c r="I135" s="337"/>
      <c r="J135" s="183">
        <v>24534.58</v>
      </c>
      <c r="K135" s="183">
        <v>27239.19</v>
      </c>
      <c r="M135" s="364">
        <f t="shared" si="34"/>
        <v>15.298711236774901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599">
        <f>'[77]Sch C'!D137</f>
        <v>419502.76</v>
      </c>
      <c r="D136" s="599">
        <f>'[77]Sch C'!F137</f>
        <v>0</v>
      </c>
      <c r="E136" s="171">
        <f t="shared" si="36"/>
        <v>419502.76</v>
      </c>
      <c r="F136" s="171"/>
      <c r="G136" s="171">
        <f>E136+F136</f>
        <v>419502.76</v>
      </c>
      <c r="H136" s="172">
        <f>IF($G$208=0,0,G136/$G$208)</f>
        <v>6.0952376579641469E-2</v>
      </c>
      <c r="I136" s="337"/>
      <c r="J136" s="183">
        <v>24121.99</v>
      </c>
      <c r="K136" s="183">
        <v>25926.11</v>
      </c>
      <c r="M136" s="364">
        <f t="shared" si="34"/>
        <v>12.753945032226682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599">
        <f>'[77]Sch C'!D138</f>
        <v>980276.63</v>
      </c>
      <c r="D137" s="599">
        <f>'[77]Sch C'!F138</f>
        <v>0</v>
      </c>
      <c r="E137" s="171">
        <f t="shared" si="36"/>
        <v>980276.63</v>
      </c>
      <c r="F137" s="171"/>
      <c r="G137" s="171">
        <f>E137+F137</f>
        <v>980276.63</v>
      </c>
      <c r="H137" s="172">
        <f>IF($G$208=0,0,G137/$G$208)</f>
        <v>0.1424309825851488</v>
      </c>
      <c r="I137" s="337"/>
      <c r="J137" s="183">
        <v>91739.67</v>
      </c>
      <c r="K137" s="183">
        <v>95194.38</v>
      </c>
      <c r="M137" s="364">
        <f t="shared" si="34"/>
        <v>29.802889152377478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599">
        <f>'[77]Sch C'!D139</f>
        <v>0</v>
      </c>
      <c r="D138" s="599">
        <f>'[77]Sch C'!F139</f>
        <v>0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7"/>
      <c r="J138" s="183">
        <v>0</v>
      </c>
      <c r="K138" s="183">
        <v>0</v>
      </c>
      <c r="M138" s="364">
        <f t="shared" si="34"/>
        <v>0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603"/>
      <c r="D139" s="603"/>
      <c r="E139" s="196"/>
      <c r="F139" s="196"/>
      <c r="G139" s="196"/>
      <c r="H139" s="197"/>
      <c r="I139" s="337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599">
        <f>'[77]Sch C'!D141</f>
        <v>0</v>
      </c>
      <c r="D140" s="599">
        <f>'[77]Sch C'!F141</f>
        <v>84734</v>
      </c>
      <c r="E140" s="171">
        <f t="shared" ref="E140:E143" si="37">C140+D140</f>
        <v>84734</v>
      </c>
      <c r="F140" s="171"/>
      <c r="G140" s="171">
        <f>E140+F140</f>
        <v>84734</v>
      </c>
      <c r="H140" s="172">
        <f>IF($G$208=0,0,G140/$G$208)</f>
        <v>1.2311572579640096E-2</v>
      </c>
      <c r="I140" s="337"/>
      <c r="J140" s="168"/>
      <c r="K140" s="168"/>
      <c r="M140" s="364">
        <f t="shared" si="34"/>
        <v>2.5761279338440959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599">
        <f>'[77]Sch C'!D142</f>
        <v>0</v>
      </c>
      <c r="D141" s="599">
        <f>'[77]Sch C'!F142</f>
        <v>70640</v>
      </c>
      <c r="E141" s="171">
        <f t="shared" si="37"/>
        <v>70640</v>
      </c>
      <c r="F141" s="171"/>
      <c r="G141" s="171">
        <f>E141+F141</f>
        <v>70640</v>
      </c>
      <c r="H141" s="172">
        <f>IF($G$208=0,0,G141/$G$208)</f>
        <v>1.0263760556869455E-2</v>
      </c>
      <c r="I141" s="337"/>
      <c r="J141" s="168"/>
      <c r="K141" s="168"/>
      <c r="M141" s="364">
        <f t="shared" si="34"/>
        <v>2.1476346832056428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599">
        <f>'[77]Sch C'!D143</f>
        <v>320441.55</v>
      </c>
      <c r="D142" s="599">
        <f>'[77]Sch C'!F143</f>
        <v>-155374</v>
      </c>
      <c r="E142" s="171">
        <f t="shared" si="37"/>
        <v>165067.54999999999</v>
      </c>
      <c r="F142" s="171"/>
      <c r="G142" s="171">
        <f>E142+F142</f>
        <v>165067.54999999999</v>
      </c>
      <c r="H142" s="172">
        <f>IF($G$208=0,0,G142/$G$208)</f>
        <v>2.3983774191804592E-2</v>
      </c>
      <c r="I142" s="337"/>
      <c r="J142" s="168"/>
      <c r="K142" s="168"/>
      <c r="M142" s="364">
        <f t="shared" si="34"/>
        <v>5.0184710567919248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599">
        <f>'[77]Sch C'!D144</f>
        <v>0</v>
      </c>
      <c r="D143" s="599">
        <f>'[77]Sch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7"/>
      <c r="J143" s="168"/>
      <c r="K143" s="168"/>
      <c r="M143" s="364">
        <f t="shared" si="34"/>
        <v>0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603"/>
      <c r="D144" s="603"/>
      <c r="E144" s="196"/>
      <c r="F144" s="196"/>
      <c r="G144" s="196"/>
      <c r="H144" s="197"/>
      <c r="I144" s="337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599">
        <f>'[77]Sch C'!D146</f>
        <v>41627.08</v>
      </c>
      <c r="D145" s="599">
        <f>'[77]Sch C'!F146</f>
        <v>0</v>
      </c>
      <c r="E145" s="171">
        <f t="shared" ref="E145:E153" si="38">C145+D145</f>
        <v>41627.08</v>
      </c>
      <c r="F145" s="171"/>
      <c r="G145" s="171">
        <f t="shared" ref="G145:G153" si="39">E145+F145</f>
        <v>41627.08</v>
      </c>
      <c r="H145" s="172">
        <f t="shared" ref="H145:H153" si="40">IF($G$208=0,0,G145/$G$208)</f>
        <v>6.0482783380754442E-3</v>
      </c>
      <c r="I145" s="337"/>
      <c r="J145" s="183">
        <v>757</v>
      </c>
      <c r="K145" s="183">
        <v>757</v>
      </c>
      <c r="M145" s="364">
        <f t="shared" si="34"/>
        <v>1.2655685273014716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599">
        <f>'[77]Sch C'!D147</f>
        <v>0</v>
      </c>
      <c r="D146" s="599">
        <f>'[77]Sch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337"/>
      <c r="J146" s="183">
        <v>0</v>
      </c>
      <c r="K146" s="183">
        <v>0</v>
      </c>
      <c r="M146" s="364">
        <f t="shared" si="34"/>
        <v>0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599">
        <f>'[77]Sch C'!D148</f>
        <v>0</v>
      </c>
      <c r="D147" s="599">
        <f>'[77]Sch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7"/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599">
        <f>'[77]Sch C'!D149</f>
        <v>0</v>
      </c>
      <c r="D148" s="599">
        <f>'[77]Sch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7"/>
      <c r="J148" s="183">
        <v>0</v>
      </c>
      <c r="K148" s="183">
        <v>0</v>
      </c>
      <c r="M148" s="364">
        <f t="shared" si="34"/>
        <v>0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599">
        <f>'[77]Sch C'!D150</f>
        <v>0</v>
      </c>
      <c r="D149" s="599">
        <f>'[77]Sch C'!F150</f>
        <v>0</v>
      </c>
      <c r="E149" s="171">
        <f t="shared" si="38"/>
        <v>0</v>
      </c>
      <c r="F149" s="171"/>
      <c r="G149" s="171">
        <f t="shared" si="39"/>
        <v>0</v>
      </c>
      <c r="H149" s="172">
        <f t="shared" si="40"/>
        <v>0</v>
      </c>
      <c r="I149" s="337"/>
      <c r="J149" s="183">
        <v>0</v>
      </c>
      <c r="K149" s="183">
        <v>0</v>
      </c>
      <c r="M149" s="364">
        <f t="shared" si="34"/>
        <v>0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599">
        <f>'[77]Sch C'!D151</f>
        <v>136975.98000000001</v>
      </c>
      <c r="D150" s="599">
        <f>'[77]Sch C'!F151</f>
        <v>0</v>
      </c>
      <c r="E150" s="171">
        <f t="shared" si="38"/>
        <v>136975.98000000001</v>
      </c>
      <c r="F150" s="171"/>
      <c r="G150" s="171">
        <f t="shared" si="39"/>
        <v>136975.98000000001</v>
      </c>
      <c r="H150" s="172">
        <f t="shared" si="40"/>
        <v>1.9902161109322473E-2</v>
      </c>
      <c r="I150" s="337"/>
      <c r="J150" s="168"/>
      <c r="K150" s="168"/>
      <c r="M150" s="364">
        <f t="shared" si="34"/>
        <v>4.164416271433784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599">
        <f>'[77]Sch C'!D152</f>
        <v>38226.239999999998</v>
      </c>
      <c r="D151" s="599">
        <f>'[77]Sch C'!F152</f>
        <v>0</v>
      </c>
      <c r="E151" s="171">
        <f t="shared" si="38"/>
        <v>38226.239999999998</v>
      </c>
      <c r="F151" s="171"/>
      <c r="G151" s="171">
        <f t="shared" si="39"/>
        <v>38226.239999999998</v>
      </c>
      <c r="H151" s="172">
        <f t="shared" si="40"/>
        <v>5.5541474285026246E-3</v>
      </c>
      <c r="I151" s="337"/>
      <c r="J151" s="168"/>
      <c r="K151" s="168"/>
      <c r="M151" s="364">
        <f t="shared" si="34"/>
        <v>1.1621743889091571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599">
        <f>'[77]Sch C'!D153</f>
        <v>0</v>
      </c>
      <c r="D152" s="599">
        <f>'[77]Sch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7"/>
      <c r="J152" s="168"/>
      <c r="K152" s="168"/>
      <c r="M152" s="364">
        <f t="shared" si="34"/>
        <v>0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599">
        <f>'[77]Sch C'!D154</f>
        <v>0</v>
      </c>
      <c r="D153" s="599">
        <f>'[77]Sch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605"/>
      <c r="D154" s="605"/>
      <c r="E154" s="210"/>
      <c r="F154" s="210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599">
        <f>'[77]Sch C'!D156</f>
        <v>749.4</v>
      </c>
      <c r="D155" s="599">
        <f>'[77]Sch C'!F156</f>
        <v>0</v>
      </c>
      <c r="E155" s="171">
        <f t="shared" ref="E155:E160" si="41">C155+D155</f>
        <v>749.4</v>
      </c>
      <c r="F155" s="171"/>
      <c r="G155" s="171">
        <f t="shared" ref="G155:G160" si="42">E155+F155</f>
        <v>749.4</v>
      </c>
      <c r="H155" s="172">
        <f t="shared" ref="H155:H161" si="43">IF($G$208=0,0,G155/$G$208)</f>
        <v>1.088853646845692E-4</v>
      </c>
      <c r="I155" s="337"/>
      <c r="J155" s="168"/>
      <c r="K155" s="168"/>
      <c r="M155" s="364">
        <f t="shared" si="34"/>
        <v>2.2783655600145933E-2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599">
        <f>'[77]Sch C'!D157</f>
        <v>0</v>
      </c>
      <c r="D156" s="599">
        <f>'[77]Sch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599">
        <f>'[77]Sch C'!D158</f>
        <v>0</v>
      </c>
      <c r="D157" s="599">
        <f>'[77]Sch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7"/>
      <c r="J157" s="168"/>
      <c r="K157" s="168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599">
        <f>'[77]Sch C'!D159</f>
        <v>0</v>
      </c>
      <c r="D158" s="599">
        <f>'[77]Sch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599">
        <f>'[77]Sch C'!D160</f>
        <v>0</v>
      </c>
      <c r="D159" s="599">
        <f>'[77]Sch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7"/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599">
        <f>'[77]Sch C'!D161</f>
        <v>0</v>
      </c>
      <c r="D160" s="599">
        <f>'[77]Sch C'!F161</f>
        <v>0</v>
      </c>
      <c r="E160" s="171">
        <f t="shared" si="41"/>
        <v>0</v>
      </c>
      <c r="F160" s="171"/>
      <c r="G160" s="171">
        <f t="shared" si="42"/>
        <v>0</v>
      </c>
      <c r="H160" s="172">
        <f t="shared" si="43"/>
        <v>0</v>
      </c>
      <c r="I160" s="337"/>
      <c r="J160" s="168"/>
      <c r="K160" s="168"/>
      <c r="M160" s="364">
        <f t="shared" si="34"/>
        <v>0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599">
        <f>SUM(C123:C160)</f>
        <v>2795252.74</v>
      </c>
      <c r="D161" s="599">
        <f>SUM(D123:D160)</f>
        <v>0</v>
      </c>
      <c r="E161" s="171">
        <f t="shared" ref="E161:F161" si="44">SUM(E123:E160)</f>
        <v>2795252.74</v>
      </c>
      <c r="F161" s="171">
        <f t="shared" si="44"/>
        <v>0</v>
      </c>
      <c r="G161" s="171">
        <f>SUM(G123:G160)</f>
        <v>2795252.74</v>
      </c>
      <c r="H161" s="172">
        <f t="shared" si="43"/>
        <v>0.40614106482578244</v>
      </c>
      <c r="I161" s="337"/>
      <c r="J161" s="168"/>
      <c r="K161" s="168"/>
      <c r="M161" s="364">
        <f>G161/G$228</f>
        <v>84.982753861121253</v>
      </c>
      <c r="N161" s="359">
        <f>SUMMARY!J164</f>
        <v>98.597321527877028</v>
      </c>
    </row>
    <row r="162" spans="1:17" s="167" customFormat="1">
      <c r="A162" s="169"/>
      <c r="B162" s="170"/>
      <c r="C162" s="603"/>
      <c r="D162" s="603"/>
      <c r="E162" s="196"/>
      <c r="F162" s="196"/>
      <c r="G162" s="196"/>
      <c r="H162" s="197"/>
      <c r="I162" s="337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606"/>
      <c r="D163" s="606"/>
      <c r="E163" s="213"/>
      <c r="F163" s="213"/>
      <c r="G163" s="213"/>
      <c r="H163" s="214"/>
      <c r="I163" s="337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599">
        <f>'[77]Sch C'!D175</f>
        <v>0</v>
      </c>
      <c r="D164" s="599">
        <f>'[77]Sch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510">
        <v>0</v>
      </c>
      <c r="K164" s="510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599">
        <f>'[77]Sch C'!D176</f>
        <v>0</v>
      </c>
      <c r="D165" s="599">
        <f>'[77]Sch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4"/>
      <c r="J165" s="511"/>
      <c r="K165" s="511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599">
        <f>'[77]Sch C'!D177</f>
        <v>80828.259999999995</v>
      </c>
      <c r="D166" s="599">
        <f>'[77]Sch C'!F177</f>
        <v>0</v>
      </c>
      <c r="E166" s="171">
        <f t="shared" si="45"/>
        <v>80828.259999999995</v>
      </c>
      <c r="F166" s="216"/>
      <c r="G166" s="171">
        <f t="shared" si="46"/>
        <v>80828.259999999995</v>
      </c>
      <c r="H166" s="172">
        <f t="shared" si="47"/>
        <v>1.1744081354309018E-2</v>
      </c>
      <c r="I166" s="343"/>
      <c r="J166" s="510">
        <v>3640</v>
      </c>
      <c r="K166" s="510">
        <v>4050</v>
      </c>
      <c r="L166" s="218"/>
      <c r="M166" s="364">
        <f t="shared" si="48"/>
        <v>2.4573835583120514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599">
        <f>'[77]Sch C'!D178</f>
        <v>52891.76</v>
      </c>
      <c r="D167" s="599">
        <f>'[77]Sch C'!F178</f>
        <v>-31725</v>
      </c>
      <c r="E167" s="171">
        <f t="shared" si="45"/>
        <v>21166.760000000002</v>
      </c>
      <c r="F167" s="216"/>
      <c r="G167" s="171">
        <f t="shared" si="46"/>
        <v>21166.760000000002</v>
      </c>
      <c r="H167" s="172">
        <f t="shared" si="47"/>
        <v>3.0754608777565418E-3</v>
      </c>
      <c r="I167" s="344"/>
      <c r="J167" s="511"/>
      <c r="K167" s="511"/>
      <c r="L167" s="218"/>
      <c r="M167" s="364">
        <f t="shared" si="48"/>
        <v>0.64352304511735381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599">
        <f>'[77]Sch C'!D179</f>
        <v>26843.17</v>
      </c>
      <c r="D168" s="599">
        <f>'[77]Sch C'!F179</f>
        <v>0</v>
      </c>
      <c r="E168" s="171">
        <f t="shared" si="45"/>
        <v>26843.17</v>
      </c>
      <c r="F168" s="216"/>
      <c r="G168" s="171">
        <f t="shared" si="46"/>
        <v>26843.17</v>
      </c>
      <c r="H168" s="172">
        <f t="shared" si="47"/>
        <v>3.9002246527086839E-3</v>
      </c>
      <c r="I168" s="343"/>
      <c r="J168" s="510">
        <v>403</v>
      </c>
      <c r="K168" s="510">
        <v>447</v>
      </c>
      <c r="L168" s="218"/>
      <c r="M168" s="364">
        <f t="shared" si="48"/>
        <v>0.81610026754225951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599">
        <f>'[77]Sch C'!D180</f>
        <v>0</v>
      </c>
      <c r="D169" s="599">
        <f>'[77]Sch C'!F180</f>
        <v>7030</v>
      </c>
      <c r="E169" s="171">
        <f t="shared" si="45"/>
        <v>7030</v>
      </c>
      <c r="F169" s="216"/>
      <c r="G169" s="171">
        <f t="shared" si="46"/>
        <v>7030</v>
      </c>
      <c r="H169" s="172">
        <f t="shared" si="47"/>
        <v>1.0214359670836957E-3</v>
      </c>
      <c r="I169" s="344"/>
      <c r="J169" s="511"/>
      <c r="K169" s="511"/>
      <c r="L169" s="218"/>
      <c r="M169" s="364">
        <f t="shared" si="48"/>
        <v>0.21372978231788886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599">
        <f>'[77]Sch C'!D181</f>
        <v>0</v>
      </c>
      <c r="D170" s="599">
        <f>'[77]Sch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3"/>
      <c r="J170" s="510">
        <v>0</v>
      </c>
      <c r="K170" s="510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599">
        <f>'[77]Sch C'!D182</f>
        <v>0</v>
      </c>
      <c r="D171" s="599">
        <f>'[77]Sch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4"/>
      <c r="J171" s="511"/>
      <c r="K171" s="511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599">
        <f>'[77]Sch C'!D183</f>
        <v>94301.11</v>
      </c>
      <c r="D172" s="599">
        <f>'[77]Sch C'!F183</f>
        <v>0</v>
      </c>
      <c r="E172" s="171">
        <f t="shared" si="45"/>
        <v>94301.11</v>
      </c>
      <c r="F172" s="216"/>
      <c r="G172" s="171">
        <f t="shared" si="46"/>
        <v>94301.11</v>
      </c>
      <c r="H172" s="172">
        <f t="shared" si="47"/>
        <v>1.3701642317199995E-2</v>
      </c>
      <c r="I172" s="343"/>
      <c r="J172" s="510">
        <v>2838</v>
      </c>
      <c r="K172" s="510">
        <v>3018</v>
      </c>
      <c r="L172" s="218"/>
      <c r="M172" s="364">
        <f t="shared" si="48"/>
        <v>2.8669922777575096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599">
        <f>'[77]Sch C'!D184</f>
        <v>0</v>
      </c>
      <c r="D173" s="599">
        <f>'[77]Sch C'!F184</f>
        <v>24695</v>
      </c>
      <c r="E173" s="171">
        <f t="shared" si="45"/>
        <v>24695</v>
      </c>
      <c r="F173" s="216"/>
      <c r="G173" s="171">
        <f t="shared" si="46"/>
        <v>24695</v>
      </c>
      <c r="H173" s="172">
        <f t="shared" si="47"/>
        <v>3.5881025899191844E-3</v>
      </c>
      <c r="I173" s="344"/>
      <c r="J173" s="511"/>
      <c r="K173" s="511"/>
      <c r="L173" s="218"/>
      <c r="M173" s="364">
        <f t="shared" si="48"/>
        <v>0.75079046576675179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599">
        <f>'[77]Sch C'!D185</f>
        <v>0</v>
      </c>
      <c r="D174" s="599">
        <f>'[77]Sch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3"/>
      <c r="J174" s="510">
        <v>0</v>
      </c>
      <c r="K174" s="510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599">
        <f>'[77]Sch C'!D186</f>
        <v>0</v>
      </c>
      <c r="D175" s="599">
        <f>'[77]Sch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599">
        <f>'[77]Sch C'!D187</f>
        <v>0</v>
      </c>
      <c r="D176" s="599">
        <f>'[77]Sch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599">
        <f>'[77]Sch C'!D188</f>
        <v>1908.16</v>
      </c>
      <c r="D177" s="599">
        <f>'[77]Sch C'!F188</f>
        <v>0</v>
      </c>
      <c r="E177" s="171">
        <f t="shared" si="45"/>
        <v>1908.16</v>
      </c>
      <c r="F177" s="216"/>
      <c r="G177" s="171">
        <f t="shared" si="46"/>
        <v>1908.16</v>
      </c>
      <c r="H177" s="172">
        <f t="shared" si="47"/>
        <v>2.7724939615226526E-4</v>
      </c>
      <c r="I177" s="337"/>
      <c r="J177" s="223"/>
      <c r="K177" s="218"/>
      <c r="L177" s="220"/>
      <c r="M177" s="364">
        <f t="shared" si="48"/>
        <v>5.8012890672503953E-2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599">
        <f>'[77]Sch C'!D189</f>
        <v>0</v>
      </c>
      <c r="D178" s="599">
        <f>'[77]Sch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337"/>
      <c r="J178" s="223"/>
      <c r="K178" s="218"/>
      <c r="L178" s="220"/>
      <c r="M178" s="364">
        <f t="shared" si="48"/>
        <v>0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599">
        <f>'[77]Sch C'!D190</f>
        <v>0</v>
      </c>
      <c r="D179" s="599">
        <f>'[77]Sch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599">
        <f>'[77]Sch C'!D191</f>
        <v>0</v>
      </c>
      <c r="D180" s="599">
        <f>'[77]Sch C'!F191</f>
        <v>0</v>
      </c>
      <c r="E180" s="171">
        <f t="shared" si="45"/>
        <v>0</v>
      </c>
      <c r="F180" s="216"/>
      <c r="G180" s="171">
        <f t="shared" si="46"/>
        <v>0</v>
      </c>
      <c r="H180" s="172">
        <f t="shared" si="47"/>
        <v>0</v>
      </c>
      <c r="I180" s="337"/>
      <c r="J180" s="223"/>
      <c r="K180" s="218"/>
      <c r="L180" s="220"/>
      <c r="M180" s="364">
        <f t="shared" si="48"/>
        <v>0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599">
        <f>'[77]Sch C'!D192</f>
        <v>49150.5</v>
      </c>
      <c r="D181" s="599">
        <f>'[77]Sch C'!F192</f>
        <v>0</v>
      </c>
      <c r="E181" s="171">
        <f t="shared" si="45"/>
        <v>49150.5</v>
      </c>
      <c r="F181" s="216"/>
      <c r="G181" s="171">
        <f t="shared" si="46"/>
        <v>49150.5</v>
      </c>
      <c r="H181" s="172">
        <f t="shared" si="47"/>
        <v>7.1414066145301831E-3</v>
      </c>
      <c r="I181" s="337"/>
      <c r="J181" s="223"/>
      <c r="K181" s="218"/>
      <c r="L181" s="220"/>
      <c r="M181" s="364">
        <f t="shared" si="48"/>
        <v>1.49429952572054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599">
        <f>'[77]Sch C'!D193</f>
        <v>0</v>
      </c>
      <c r="D182" s="599">
        <f>'[77]Sch C'!F193</f>
        <v>0</v>
      </c>
      <c r="E182" s="171">
        <f t="shared" si="45"/>
        <v>0</v>
      </c>
      <c r="F182" s="216"/>
      <c r="G182" s="171">
        <f t="shared" si="46"/>
        <v>0</v>
      </c>
      <c r="H182" s="172">
        <f t="shared" si="47"/>
        <v>0</v>
      </c>
      <c r="I182" s="337"/>
      <c r="J182" s="223"/>
      <c r="K182" s="218"/>
      <c r="L182" s="220"/>
      <c r="M182" s="364">
        <f t="shared" si="48"/>
        <v>0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599">
        <f>'[77]Sch C'!D194</f>
        <v>386313.95</v>
      </c>
      <c r="D183" s="599">
        <f>'[77]Sch C'!F194</f>
        <v>-210734</v>
      </c>
      <c r="E183" s="171">
        <f t="shared" si="45"/>
        <v>175579.95</v>
      </c>
      <c r="F183" s="216"/>
      <c r="G183" s="171">
        <f t="shared" si="46"/>
        <v>175579.95</v>
      </c>
      <c r="H183" s="172">
        <f t="shared" si="47"/>
        <v>2.5511191469239965E-2</v>
      </c>
      <c r="I183" s="337"/>
      <c r="J183" s="223"/>
      <c r="K183" s="218"/>
      <c r="M183" s="364">
        <f t="shared" si="48"/>
        <v>5.3380746078073695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599">
        <f>'[77]Sch C'!D195</f>
        <v>0</v>
      </c>
      <c r="D184" s="599">
        <f>'[77]Sch C'!F195</f>
        <v>42765</v>
      </c>
      <c r="E184" s="171">
        <f t="shared" si="45"/>
        <v>42765</v>
      </c>
      <c r="F184" s="216"/>
      <c r="G184" s="171">
        <f t="shared" si="46"/>
        <v>42765</v>
      </c>
      <c r="H184" s="172">
        <f t="shared" si="47"/>
        <v>6.2136143858227948E-3</v>
      </c>
      <c r="I184" s="337"/>
      <c r="J184" s="223"/>
      <c r="K184" s="218"/>
      <c r="M184" s="364">
        <f t="shared" si="48"/>
        <v>1.3001641736592484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599">
        <f>'[77]Sch C'!D196</f>
        <v>0</v>
      </c>
      <c r="D185" s="599">
        <f>'[77]Sch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599">
        <f>'[77]Sch C'!D197</f>
        <v>0</v>
      </c>
      <c r="D186" s="599">
        <f>'[77]Sch C'!F197</f>
        <v>167969</v>
      </c>
      <c r="E186" s="171">
        <f t="shared" si="45"/>
        <v>167969</v>
      </c>
      <c r="F186" s="216"/>
      <c r="G186" s="171">
        <f t="shared" si="46"/>
        <v>167969</v>
      </c>
      <c r="H186" s="172">
        <f t="shared" si="47"/>
        <v>2.440534537056633E-2</v>
      </c>
      <c r="I186" s="337"/>
      <c r="J186" s="223"/>
      <c r="K186" s="218"/>
      <c r="M186" s="364">
        <f t="shared" si="48"/>
        <v>5.1066824759820015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599">
        <f>'[77]Sch C'!D198</f>
        <v>0</v>
      </c>
      <c r="D187" s="599">
        <f>'[77]Sch C'!F198</f>
        <v>0</v>
      </c>
      <c r="E187" s="171">
        <f t="shared" si="45"/>
        <v>0</v>
      </c>
      <c r="F187" s="216"/>
      <c r="G187" s="171">
        <f t="shared" si="46"/>
        <v>0</v>
      </c>
      <c r="H187" s="172">
        <f t="shared" si="47"/>
        <v>0</v>
      </c>
      <c r="I187" s="337"/>
      <c r="J187" s="223"/>
      <c r="K187" s="218"/>
      <c r="M187" s="364">
        <f t="shared" si="48"/>
        <v>0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599">
        <f>'[77]Sch C'!D199</f>
        <v>0</v>
      </c>
      <c r="D188" s="599">
        <f>'[77]Sch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7"/>
      <c r="J188" s="223"/>
      <c r="K188" s="218"/>
      <c r="M188" s="364">
        <f t="shared" si="48"/>
        <v>0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599">
        <f>'[77]Sch C'!D200</f>
        <v>0</v>
      </c>
      <c r="D189" s="599">
        <f>'[77]Sch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7"/>
      <c r="J189" s="223"/>
      <c r="K189" s="218"/>
      <c r="M189" s="364">
        <f t="shared" si="48"/>
        <v>0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599">
        <f>'[77]Sch C'!D201</f>
        <v>0</v>
      </c>
      <c r="D190" s="599">
        <f>'[77]Sch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7"/>
      <c r="J190" s="223"/>
      <c r="K190" s="218"/>
      <c r="M190" s="364">
        <f t="shared" si="48"/>
        <v>0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599">
        <f>'[77]Sch C'!D202</f>
        <v>0</v>
      </c>
      <c r="D191" s="599">
        <f>'[77]Sch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599">
        <f>'[77]Sch C'!D203</f>
        <v>0</v>
      </c>
      <c r="D192" s="599">
        <f>'[77]Sch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7"/>
      <c r="J192" s="223"/>
      <c r="K192" s="218"/>
      <c r="M192" s="364">
        <f t="shared" si="48"/>
        <v>0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599">
        <f>'[77]Sch C'!D204</f>
        <v>0</v>
      </c>
      <c r="D193" s="599">
        <f>'[77]Sch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599">
        <f>'[77]Sch C'!D205</f>
        <v>310135.93</v>
      </c>
      <c r="D194" s="599">
        <f>'[77]Sch C'!F205</f>
        <v>0</v>
      </c>
      <c r="E194" s="171">
        <f t="shared" si="45"/>
        <v>310135.93</v>
      </c>
      <c r="F194" s="216"/>
      <c r="G194" s="171">
        <f t="shared" si="46"/>
        <v>310135.93</v>
      </c>
      <c r="H194" s="172">
        <f t="shared" si="47"/>
        <v>4.5061734507389949E-2</v>
      </c>
      <c r="I194" s="337"/>
      <c r="J194" s="223"/>
      <c r="K194" s="218"/>
      <c r="M194" s="364">
        <f t="shared" si="48"/>
        <v>9.428916757874255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599">
        <f>'[77]Sch C'!D206</f>
        <v>14720.52</v>
      </c>
      <c r="D195" s="599">
        <f>'[77]Sch C'!F206</f>
        <v>0</v>
      </c>
      <c r="E195" s="171">
        <f t="shared" si="45"/>
        <v>14720.52</v>
      </c>
      <c r="F195" s="216"/>
      <c r="G195" s="171">
        <f t="shared" si="46"/>
        <v>14720.52</v>
      </c>
      <c r="H195" s="172">
        <f t="shared" si="47"/>
        <v>2.1388433260561713E-3</v>
      </c>
      <c r="I195" s="337"/>
      <c r="J195" s="223"/>
      <c r="K195" s="218"/>
      <c r="M195" s="364">
        <f t="shared" si="48"/>
        <v>0.4475410434148121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599">
        <f>'[77]Sch C'!D207</f>
        <v>0</v>
      </c>
      <c r="D196" s="599">
        <f>'[77]Sch C'!F207</f>
        <v>0</v>
      </c>
      <c r="E196" s="171">
        <f t="shared" si="45"/>
        <v>0</v>
      </c>
      <c r="F196" s="216"/>
      <c r="G196" s="171">
        <f t="shared" si="46"/>
        <v>0</v>
      </c>
      <c r="H196" s="172">
        <f t="shared" si="47"/>
        <v>0</v>
      </c>
      <c r="I196" s="337"/>
      <c r="J196" s="223"/>
      <c r="K196" s="218"/>
      <c r="M196" s="364">
        <f t="shared" si="48"/>
        <v>0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599">
        <f>SUM(C164:C196)</f>
        <v>1017093.3599999999</v>
      </c>
      <c r="D197" s="599">
        <f>SUM(D164:D196)</f>
        <v>0</v>
      </c>
      <c r="E197" s="171">
        <f t="shared" ref="E197:F197" si="49">SUM(E164:E196)</f>
        <v>1017093.3599999999</v>
      </c>
      <c r="F197" s="171">
        <f t="shared" si="49"/>
        <v>0</v>
      </c>
      <c r="G197" s="171">
        <f>SUM(G164:G196)</f>
        <v>1017093.3599999999</v>
      </c>
      <c r="H197" s="172">
        <f>IF($G$208=0,0,G197/$G$208)</f>
        <v>0.14778033282873476</v>
      </c>
      <c r="I197" s="337"/>
      <c r="J197" s="168"/>
      <c r="K197" s="168"/>
      <c r="M197" s="364">
        <f>G197/G$228</f>
        <v>30.922210871944543</v>
      </c>
      <c r="N197" s="359">
        <f>SUMMARY!J200</f>
        <v>35.91740838389223</v>
      </c>
    </row>
    <row r="198" spans="1:16" s="167" customFormat="1">
      <c r="A198" s="163"/>
      <c r="C198" s="602"/>
      <c r="D198" s="602"/>
      <c r="E198" s="165"/>
      <c r="F198" s="165"/>
      <c r="G198" s="165"/>
      <c r="H198" s="198"/>
      <c r="I198" s="341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602"/>
      <c r="D199" s="602"/>
      <c r="E199" s="165"/>
      <c r="F199" s="165"/>
      <c r="G199" s="165"/>
      <c r="H199" s="198"/>
      <c r="I199" s="341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599">
        <f>'[77]Sch C'!D211</f>
        <v>170007.66</v>
      </c>
      <c r="D200" s="599">
        <f>'[77]Sch C'!F211</f>
        <v>0</v>
      </c>
      <c r="E200" s="171">
        <f t="shared" ref="E200:E205" si="50">C200+D200</f>
        <v>170007.66</v>
      </c>
      <c r="F200" s="171"/>
      <c r="G200" s="171">
        <f t="shared" ref="G200:G205" si="51">E200+F200</f>
        <v>170007.66</v>
      </c>
      <c r="H200" s="172">
        <f t="shared" ref="H200:H206" si="52">IF($G$208=0,0,G200/$G$208)</f>
        <v>2.4701555989151656E-2</v>
      </c>
      <c r="I200" s="337"/>
      <c r="J200" s="183">
        <v>10564</v>
      </c>
      <c r="K200" s="183">
        <v>11344</v>
      </c>
      <c r="M200" s="364">
        <f t="shared" ref="M200:M205" si="53">G200/G$228</f>
        <v>5.1686628967530099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599">
        <f>'[77]Sch C'!D212</f>
        <v>41926.18</v>
      </c>
      <c r="D201" s="599">
        <f>'[77]Sch C'!F212</f>
        <v>0</v>
      </c>
      <c r="E201" s="171">
        <f t="shared" si="50"/>
        <v>41926.18</v>
      </c>
      <c r="F201" s="171"/>
      <c r="G201" s="171">
        <f t="shared" si="51"/>
        <v>41926.18</v>
      </c>
      <c r="H201" s="172">
        <f t="shared" si="52"/>
        <v>6.0917365881116787E-3</v>
      </c>
      <c r="I201" s="337"/>
      <c r="J201" s="168"/>
      <c r="K201" s="168"/>
      <c r="M201" s="364">
        <f t="shared" si="53"/>
        <v>1.2746619238720662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599">
        <f>'[77]Sch C'!D213</f>
        <v>3057.9</v>
      </c>
      <c r="D202" s="599">
        <f>'[77]Sch C'!F213</f>
        <v>0</v>
      </c>
      <c r="E202" s="171">
        <f t="shared" si="50"/>
        <v>3057.9</v>
      </c>
      <c r="F202" s="171"/>
      <c r="G202" s="171">
        <f t="shared" si="51"/>
        <v>3057.9</v>
      </c>
      <c r="H202" s="172">
        <f t="shared" si="52"/>
        <v>4.443028511728639E-4</v>
      </c>
      <c r="I202" s="337"/>
      <c r="J202" s="168"/>
      <c r="K202" s="168"/>
      <c r="M202" s="364">
        <f t="shared" si="53"/>
        <v>9.2967894928858083E-2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599">
        <f>'[77]Sch C'!D214</f>
        <v>0</v>
      </c>
      <c r="D203" s="599">
        <f>'[77]Sch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>
        <f t="shared" si="53"/>
        <v>0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599">
        <f>'[77]Sch C'!D215</f>
        <v>0</v>
      </c>
      <c r="D204" s="599">
        <f>'[77]Sch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599">
        <f>'[77]Sch C'!D216</f>
        <v>1166.55</v>
      </c>
      <c r="D205" s="599">
        <f>'[77]Sch C'!F216</f>
        <v>0</v>
      </c>
      <c r="E205" s="171">
        <f t="shared" si="50"/>
        <v>1166.55</v>
      </c>
      <c r="F205" s="171"/>
      <c r="G205" s="171">
        <f t="shared" si="51"/>
        <v>1166.55</v>
      </c>
      <c r="H205" s="172">
        <f t="shared" si="52"/>
        <v>1.6949589294473473E-4</v>
      </c>
      <c r="I205" s="337"/>
      <c r="J205" s="168"/>
      <c r="K205" s="168"/>
      <c r="M205" s="364">
        <f t="shared" si="53"/>
        <v>3.5466070777088653E-2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599">
        <f>SUM(C200:C205)</f>
        <v>216158.28999999998</v>
      </c>
      <c r="D206" s="599">
        <f>SUM(D200:D205)</f>
        <v>0</v>
      </c>
      <c r="E206" s="171">
        <f t="shared" ref="E206:F206" si="54">SUM(E200:E205)</f>
        <v>216158.28999999998</v>
      </c>
      <c r="F206" s="171">
        <f t="shared" si="54"/>
        <v>0</v>
      </c>
      <c r="G206" s="171">
        <f>SUM(G200:G205)</f>
        <v>216158.28999999998</v>
      </c>
      <c r="H206" s="172">
        <f t="shared" si="52"/>
        <v>3.1407091321380927E-2</v>
      </c>
      <c r="I206" s="337"/>
      <c r="J206" s="168"/>
      <c r="K206" s="168"/>
      <c r="M206" s="364">
        <f>G206/G$228</f>
        <v>6.5717587863310225</v>
      </c>
      <c r="N206" s="359">
        <f>SUMMARY!J209</f>
        <v>6.7083892503318125</v>
      </c>
    </row>
    <row r="207" spans="1:16" s="167" customFormat="1">
      <c r="A207" s="163"/>
      <c r="C207" s="602"/>
      <c r="D207" s="602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599">
        <f>SUM(C25:C206)/2</f>
        <v>7037991.5599999987</v>
      </c>
      <c r="D208" s="599">
        <f>SUM(D25:D206)/2</f>
        <v>-155523.91</v>
      </c>
      <c r="E208" s="171">
        <f t="shared" ref="E208:F208" si="55">SUM(E25:E206)/2</f>
        <v>6882467.6499999994</v>
      </c>
      <c r="F208" s="171">
        <f t="shared" si="55"/>
        <v>0</v>
      </c>
      <c r="G208" s="171">
        <f>SUM(G25:G206)/2</f>
        <v>6882467.6499999994</v>
      </c>
      <c r="H208" s="172">
        <f>IF($G$208=0,0,G208/$G$208)</f>
        <v>1</v>
      </c>
      <c r="I208" s="337"/>
      <c r="J208" s="183">
        <f>SUM(J25:J200)</f>
        <v>226649.12</v>
      </c>
      <c r="K208" s="183">
        <f>SUM(K25:K200)</f>
        <v>242446.68</v>
      </c>
      <c r="M208" s="364">
        <f>G208/G$228</f>
        <v>209.24442569621792</v>
      </c>
      <c r="N208" s="359">
        <f>SUMMARY!J211</f>
        <v>251.18209433366243</v>
      </c>
    </row>
    <row r="209" spans="1:14" s="167" customFormat="1" ht="15.5">
      <c r="A209" s="163"/>
      <c r="B209" s="170"/>
      <c r="C209" s="602"/>
      <c r="D209" s="602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602"/>
      <c r="D210" s="602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599">
        <f>'[77]Sch C'!D221</f>
        <v>7037991.54</v>
      </c>
      <c r="D211" s="603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599">
        <f>C208-C211</f>
        <v>1.999999862164259E-2</v>
      </c>
      <c r="D212" s="607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608"/>
      <c r="D213" s="609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602"/>
      <c r="D214" s="602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599">
        <f>C21-C208</f>
        <v>-354720.96999999881</v>
      </c>
      <c r="D215" s="599">
        <f>D21-D208</f>
        <v>155523.91</v>
      </c>
      <c r="E215" s="171">
        <f t="shared" ref="E215:F215" si="56">E21-E208</f>
        <v>-199197.05999999959</v>
      </c>
      <c r="F215" s="171">
        <f t="shared" si="56"/>
        <v>0</v>
      </c>
      <c r="G215" s="171">
        <f>G21-G208</f>
        <v>-199197.05999999959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603"/>
      <c r="D216" s="603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603"/>
      <c r="D217" s="603"/>
      <c r="E217" s="196"/>
      <c r="F217" s="196"/>
      <c r="G217" s="196"/>
      <c r="I217" s="333"/>
      <c r="J217" s="168"/>
      <c r="K217" s="168"/>
    </row>
    <row r="218" spans="1:14">
      <c r="A218" s="163"/>
      <c r="B218" s="233" t="s">
        <v>159</v>
      </c>
      <c r="C218" s="602"/>
      <c r="D218" s="602"/>
      <c r="E218" s="165"/>
      <c r="F218" s="16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610">
        <f>'[77]Sch D'!C9</f>
        <v>16568</v>
      </c>
      <c r="D219" s="610"/>
      <c r="E219" s="235">
        <f t="shared" ref="E219:G227" si="57">C219+D219</f>
        <v>16568</v>
      </c>
      <c r="F219" s="234"/>
      <c r="G219" s="235">
        <f t="shared" si="57"/>
        <v>16568</v>
      </c>
      <c r="H219" s="172">
        <f t="shared" ref="H219:H228" si="58">IF($G$228=0,0,G219/$G$228)</f>
        <v>0.50370910859783535</v>
      </c>
      <c r="I219" s="337"/>
      <c r="J219" s="168"/>
      <c r="K219" s="168"/>
    </row>
    <row r="220" spans="1:14">
      <c r="A220" s="163"/>
      <c r="B220" s="170" t="s">
        <v>217</v>
      </c>
      <c r="C220" s="610">
        <f>'[77]Sch D'!D9</f>
        <v>0</v>
      </c>
      <c r="D220" s="610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7"/>
      <c r="J220" s="168"/>
      <c r="K220" s="168"/>
    </row>
    <row r="221" spans="1:14">
      <c r="A221" s="163"/>
      <c r="B221" s="170" t="s">
        <v>72</v>
      </c>
      <c r="C221" s="610">
        <f>'[77]Sch D'!E9</f>
        <v>4505</v>
      </c>
      <c r="D221" s="610"/>
      <c r="E221" s="235">
        <f t="shared" si="59"/>
        <v>4505</v>
      </c>
      <c r="F221" s="234"/>
      <c r="G221" s="235">
        <f t="shared" si="57"/>
        <v>4505</v>
      </c>
      <c r="H221" s="172">
        <f t="shared" si="58"/>
        <v>0.13696339535449351</v>
      </c>
      <c r="I221" s="337"/>
      <c r="J221" s="168"/>
      <c r="K221" s="168"/>
    </row>
    <row r="222" spans="1:14">
      <c r="A222" s="163"/>
      <c r="B222" s="202" t="s">
        <v>334</v>
      </c>
      <c r="C222" s="610">
        <f>'[77]Sch D'!F9</f>
        <v>2288</v>
      </c>
      <c r="D222" s="610"/>
      <c r="E222" s="235">
        <f>C222+D222</f>
        <v>2288</v>
      </c>
      <c r="F222" s="234"/>
      <c r="G222" s="235">
        <f>E222+F222</f>
        <v>2288</v>
      </c>
      <c r="H222" s="172">
        <f t="shared" si="58"/>
        <v>6.9560987474157857E-2</v>
      </c>
      <c r="I222" s="337"/>
      <c r="J222" s="168"/>
      <c r="K222" s="168"/>
    </row>
    <row r="223" spans="1:14">
      <c r="A223" s="163"/>
      <c r="B223" s="170" t="s">
        <v>73</v>
      </c>
      <c r="C223" s="610">
        <f>'[77]Sch D'!G9</f>
        <v>0</v>
      </c>
      <c r="D223" s="610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7"/>
      <c r="J223" s="168"/>
      <c r="K223" s="168"/>
    </row>
    <row r="224" spans="1:14">
      <c r="A224" s="163"/>
      <c r="B224" s="170" t="s">
        <v>74</v>
      </c>
      <c r="C224" s="610">
        <f>'[77]Sch D'!H9</f>
        <v>7266</v>
      </c>
      <c r="D224" s="610"/>
      <c r="E224" s="235">
        <f t="shared" si="59"/>
        <v>7266</v>
      </c>
      <c r="F224" s="234"/>
      <c r="G224" s="235">
        <f t="shared" si="57"/>
        <v>7266</v>
      </c>
      <c r="H224" s="172">
        <f t="shared" si="58"/>
        <v>0.22090477927763591</v>
      </c>
      <c r="I224" s="337"/>
      <c r="J224" s="168"/>
      <c r="K224" s="168"/>
    </row>
    <row r="225" spans="1:11">
      <c r="A225" s="163"/>
      <c r="B225" s="170" t="s">
        <v>236</v>
      </c>
      <c r="C225" s="610">
        <f>'[77]Sch D'!I9</f>
        <v>1761</v>
      </c>
      <c r="D225" s="610"/>
      <c r="E225" s="235">
        <f t="shared" si="59"/>
        <v>1761</v>
      </c>
      <c r="F225" s="234"/>
      <c r="G225" s="235">
        <f t="shared" si="57"/>
        <v>1761</v>
      </c>
      <c r="H225" s="172">
        <f t="shared" si="58"/>
        <v>5.3538854432688798E-2</v>
      </c>
      <c r="I225" s="337"/>
      <c r="J225" s="168"/>
      <c r="K225" s="168"/>
    </row>
    <row r="226" spans="1:11">
      <c r="A226" s="163"/>
      <c r="B226" s="170" t="s">
        <v>235</v>
      </c>
      <c r="C226" s="610">
        <f>'[77]Sch D'!J9</f>
        <v>70</v>
      </c>
      <c r="D226" s="610"/>
      <c r="E226" s="235">
        <f>C226+D226</f>
        <v>70</v>
      </c>
      <c r="F226" s="234"/>
      <c r="G226" s="235">
        <f>E226+F226</f>
        <v>70</v>
      </c>
      <c r="H226" s="172">
        <f t="shared" si="58"/>
        <v>2.1281770643317524E-3</v>
      </c>
      <c r="I226" s="337"/>
      <c r="J226" s="168"/>
      <c r="K226" s="168"/>
    </row>
    <row r="227" spans="1:11">
      <c r="A227" s="163"/>
      <c r="B227" s="170" t="s">
        <v>179</v>
      </c>
      <c r="C227" s="610">
        <f>'[77]Sch D'!K9</f>
        <v>434</v>
      </c>
      <c r="D227" s="610"/>
      <c r="E227" s="235">
        <f t="shared" si="59"/>
        <v>434</v>
      </c>
      <c r="F227" s="234"/>
      <c r="G227" s="235">
        <f t="shared" si="57"/>
        <v>434</v>
      </c>
      <c r="H227" s="172">
        <f t="shared" si="58"/>
        <v>1.3194697798856864E-2</v>
      </c>
      <c r="I227" s="337"/>
      <c r="J227" s="168"/>
      <c r="K227" s="168"/>
    </row>
    <row r="228" spans="1:11" ht="13.5" thickBot="1">
      <c r="A228" s="163"/>
      <c r="B228" s="236" t="s">
        <v>75</v>
      </c>
      <c r="C228" s="610">
        <f>SUM(C219:C227)</f>
        <v>32892</v>
      </c>
      <c r="D228" s="610">
        <f>SUM(D219:D227)</f>
        <v>0</v>
      </c>
      <c r="E228" s="237">
        <f>SUM(E219:E227)</f>
        <v>32892</v>
      </c>
      <c r="F228" s="237">
        <f>SUM(F219:F227)</f>
        <v>0</v>
      </c>
      <c r="G228" s="237">
        <f>SUM(G219:G227)</f>
        <v>32892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611"/>
      <c r="D229" s="612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608"/>
      <c r="D230" s="609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613">
        <f>'[77]Sch D'!N22</f>
        <v>172</v>
      </c>
      <c r="D231" s="614"/>
      <c r="E231" s="235">
        <f>C231+D231</f>
        <v>172</v>
      </c>
      <c r="F231" s="235"/>
      <c r="G231" s="235">
        <f>E231+F231</f>
        <v>172</v>
      </c>
      <c r="H231" s="167"/>
      <c r="J231" s="168"/>
      <c r="K231" s="168"/>
    </row>
    <row r="232" spans="1:11">
      <c r="A232" s="163"/>
      <c r="B232" s="202" t="s">
        <v>290</v>
      </c>
      <c r="C232" s="613">
        <f>'[77]Sch D'!N24</f>
        <v>172</v>
      </c>
      <c r="D232" s="614"/>
      <c r="E232" s="235">
        <f>C232+D232</f>
        <v>172</v>
      </c>
      <c r="F232" s="235"/>
      <c r="G232" s="235">
        <f>E232+F232</f>
        <v>172</v>
      </c>
      <c r="H232" s="167"/>
      <c r="J232" s="168"/>
      <c r="K232" s="168"/>
    </row>
    <row r="233" spans="1:11">
      <c r="A233" s="163"/>
      <c r="B233" s="202" t="s">
        <v>76</v>
      </c>
      <c r="C233" s="613">
        <f>$C$4-$C$3+1</f>
        <v>365</v>
      </c>
      <c r="D233" s="615"/>
      <c r="E233" s="235">
        <f>C233+D233</f>
        <v>365</v>
      </c>
      <c r="F233" s="240"/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616"/>
      <c r="D234" s="617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613">
        <f>'[77]Sch D'!N28</f>
        <v>62780</v>
      </c>
      <c r="D235" s="615"/>
      <c r="E235" s="234">
        <f>E231*E233</f>
        <v>62780</v>
      </c>
      <c r="F235" s="240"/>
      <c r="G235" s="234">
        <f>G231*G233</f>
        <v>62780</v>
      </c>
      <c r="H235" s="167"/>
      <c r="J235" s="168"/>
      <c r="K235" s="168"/>
    </row>
    <row r="236" spans="1:11" ht="26">
      <c r="A236" s="163"/>
      <c r="B236" s="244" t="s">
        <v>336</v>
      </c>
      <c r="C236" s="618">
        <f>'[77]Sch D'!N30</f>
        <v>0.52392481682064351</v>
      </c>
      <c r="D236" s="617"/>
      <c r="E236" s="245">
        <f>E228/E235</f>
        <v>0.52392481682064351</v>
      </c>
      <c r="F236" s="246"/>
      <c r="G236" s="245">
        <f>G228/G235</f>
        <v>0.52392481682064351</v>
      </c>
      <c r="H236" s="167"/>
      <c r="J236" s="168"/>
      <c r="K236" s="168"/>
    </row>
    <row r="237" spans="1:11" ht="26">
      <c r="A237" s="163"/>
      <c r="B237" s="244" t="s">
        <v>337</v>
      </c>
      <c r="C237" s="618">
        <f>'[77]Sch D'!N32</f>
        <v>0.26390570245301054</v>
      </c>
      <c r="D237" s="617"/>
      <c r="E237" s="245">
        <f>(E219+E220)/E235</f>
        <v>0.26390570245301054</v>
      </c>
      <c r="F237" s="246"/>
      <c r="G237" s="245">
        <f>(G219+G220)/G235</f>
        <v>0.26390570245301054</v>
      </c>
      <c r="H237" s="167"/>
      <c r="J237" s="168"/>
      <c r="K237" s="168"/>
    </row>
    <row r="238" spans="1:11" ht="26">
      <c r="A238" s="163"/>
      <c r="B238" s="244" t="s">
        <v>338</v>
      </c>
      <c r="C238" s="618">
        <f>'[77]Sch D'!N34</f>
        <v>0.50370910859783535</v>
      </c>
      <c r="D238" s="617"/>
      <c r="E238" s="245">
        <f>(E237/E236)</f>
        <v>0.50370910859783535</v>
      </c>
      <c r="F238" s="246"/>
      <c r="G238" s="245">
        <f>(G237/G236)</f>
        <v>0.50370910859783535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599">
        <f>'[77]Sch B'!C85</f>
        <v>198.08154706430568</v>
      </c>
    </row>
    <row r="242" spans="2:7">
      <c r="F242" s="142" t="s">
        <v>341</v>
      </c>
      <c r="G242" s="599">
        <f>'[77]Sch B'!E85</f>
        <v>89.096558317399612</v>
      </c>
    </row>
    <row r="243" spans="2:7">
      <c r="F243" s="142" t="s">
        <v>342</v>
      </c>
      <c r="G243" s="599">
        <f>'[77]Sch B'!G85</f>
        <v>112.96809680968097</v>
      </c>
    </row>
    <row r="244" spans="2:7">
      <c r="F244" s="142" t="s">
        <v>343</v>
      </c>
      <c r="G244" s="599">
        <f>'[77]Sch B'!I85</f>
        <v>163.12809917355372</v>
      </c>
    </row>
    <row r="245" spans="2:7">
      <c r="F245" s="142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69">
    <tabColor rgb="FFE28CAB"/>
  </sheetPr>
  <dimension ref="A1:Q245"/>
  <sheetViews>
    <sheetView showGridLines="0" zoomScale="90" zoomScaleNormal="90" workbookViewId="0">
      <pane xSplit="2" topLeftCell="C1" activePane="topRight" state="frozen"/>
      <selection activeCell="N1" sqref="N1"/>
      <selection pane="topRight"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478"/>
      <c r="E1" s="478"/>
      <c r="F1" s="478"/>
      <c r="G1" s="478"/>
      <c r="H1" s="478"/>
      <c r="I1" s="479"/>
    </row>
    <row r="2" spans="1:14" ht="23">
      <c r="B2" s="143" t="s">
        <v>189</v>
      </c>
      <c r="C2" s="247" t="s">
        <v>634</v>
      </c>
      <c r="D2" s="247"/>
      <c r="E2" s="144"/>
    </row>
    <row r="3" spans="1:14">
      <c r="A3" s="145"/>
      <c r="B3" s="140" t="s">
        <v>79</v>
      </c>
      <c r="C3" s="495">
        <v>41821</v>
      </c>
      <c r="D3" s="144"/>
      <c r="E3" s="147"/>
    </row>
    <row r="4" spans="1:14">
      <c r="A4" s="145"/>
      <c r="B4" s="148" t="s">
        <v>80</v>
      </c>
      <c r="C4" s="495">
        <v>42185</v>
      </c>
      <c r="D4" s="144"/>
      <c r="E4" s="149"/>
      <c r="G4" s="150"/>
    </row>
    <row r="5" spans="1:14">
      <c r="A5" s="145"/>
      <c r="B5" s="148"/>
      <c r="C5" s="151"/>
      <c r="D5" s="144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144"/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490">
        <f>'[78]Sch B'!E10</f>
        <v>2838730</v>
      </c>
      <c r="D11" s="490">
        <f>'[78]Sch B'!G10</f>
        <v>30157</v>
      </c>
      <c r="E11" s="171">
        <f>C11+D11</f>
        <v>2868887</v>
      </c>
      <c r="F11" s="171"/>
      <c r="G11" s="171">
        <f t="shared" ref="G11:G20" si="0">E11+F11</f>
        <v>2868887</v>
      </c>
      <c r="H11" s="172">
        <f t="shared" ref="H11:H21" si="1">IF($G$21=0,0,G11/$G$21)</f>
        <v>0.60301151904563621</v>
      </c>
      <c r="I11" s="337"/>
      <c r="J11" s="368" t="s">
        <v>344</v>
      </c>
      <c r="K11" s="369">
        <f>G21</f>
        <v>4757599</v>
      </c>
      <c r="M11" s="359">
        <f>IFERROR(G11/G219,0)</f>
        <v>185.86893424036282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490">
        <f>'[78]Sch B'!E15</f>
        <v>0</v>
      </c>
      <c r="D12" s="490">
        <f>'[78]Sch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7"/>
      <c r="J12" s="370" t="s">
        <v>345</v>
      </c>
      <c r="K12" s="371">
        <f>G208</f>
        <v>4785515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490">
        <f>'[78]Sch B'!E21</f>
        <v>1210664</v>
      </c>
      <c r="D13" s="490">
        <f>'[78]Sch B'!G21</f>
        <v>-679</v>
      </c>
      <c r="E13" s="171">
        <f t="shared" si="2"/>
        <v>1209985</v>
      </c>
      <c r="F13" s="171"/>
      <c r="G13" s="171">
        <f t="shared" si="0"/>
        <v>1209985</v>
      </c>
      <c r="H13" s="172">
        <f t="shared" si="1"/>
        <v>0.25432681484925485</v>
      </c>
      <c r="I13" s="337"/>
      <c r="J13" s="370" t="s">
        <v>346</v>
      </c>
      <c r="K13" s="371">
        <f>G228</f>
        <v>19769</v>
      </c>
      <c r="M13" s="359">
        <f t="shared" si="3"/>
        <v>617.65441551812148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490">
        <f>'[78]Sch B'!E27</f>
        <v>168855</v>
      </c>
      <c r="D14" s="490">
        <f>'[78]Sch B'!G27</f>
        <v>16414</v>
      </c>
      <c r="E14" s="171">
        <f t="shared" si="2"/>
        <v>185269</v>
      </c>
      <c r="F14" s="175"/>
      <c r="G14" s="175">
        <f>E14+F14</f>
        <v>185269</v>
      </c>
      <c r="H14" s="176">
        <f t="shared" si="1"/>
        <v>3.8941701475891516E-2</v>
      </c>
      <c r="I14" s="338"/>
      <c r="J14" s="370" t="s">
        <v>347</v>
      </c>
      <c r="K14" s="371">
        <f>G231</f>
        <v>99</v>
      </c>
      <c r="M14" s="359">
        <f t="shared" si="3"/>
        <v>511.79281767955803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490">
        <f>'[78]Sch B'!E32</f>
        <v>0</v>
      </c>
      <c r="D15" s="490">
        <f>'[78]Sch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7"/>
      <c r="J15" s="370" t="s">
        <v>348</v>
      </c>
      <c r="K15" s="371">
        <f>G235</f>
        <v>36135</v>
      </c>
      <c r="M15" s="359">
        <f t="shared" si="3"/>
        <v>0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490">
        <f>'[78]Sch B'!E37</f>
        <v>194745</v>
      </c>
      <c r="D16" s="490">
        <f>'[78]Sch B'!G37</f>
        <v>-32150</v>
      </c>
      <c r="E16" s="171">
        <f t="shared" si="2"/>
        <v>162595</v>
      </c>
      <c r="F16" s="171"/>
      <c r="G16" s="171">
        <f t="shared" si="0"/>
        <v>162595</v>
      </c>
      <c r="H16" s="172">
        <f t="shared" si="1"/>
        <v>3.4175852147270085E-2</v>
      </c>
      <c r="I16" s="337"/>
      <c r="J16" s="372"/>
      <c r="K16" s="371"/>
      <c r="M16" s="359">
        <f t="shared" si="3"/>
        <v>195.1920768307323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490">
        <f>'[78]Sch B'!E42</f>
        <v>82580</v>
      </c>
      <c r="D17" s="490">
        <f>'[78]Sch B'!G42</f>
        <v>0</v>
      </c>
      <c r="E17" s="171">
        <f t="shared" si="2"/>
        <v>82580</v>
      </c>
      <c r="F17" s="171"/>
      <c r="G17" s="171">
        <f>E17+F17</f>
        <v>82580</v>
      </c>
      <c r="H17" s="172">
        <f t="shared" si="1"/>
        <v>1.7357494820391547E-2</v>
      </c>
      <c r="I17" s="337"/>
      <c r="J17" s="370" t="s">
        <v>156</v>
      </c>
      <c r="K17" s="371">
        <f>J208</f>
        <v>92554</v>
      </c>
      <c r="M17" s="359">
        <f t="shared" si="3"/>
        <v>174.58773784355179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490">
        <f>'[78]Sch B'!E47</f>
        <v>0</v>
      </c>
      <c r="D18" s="490">
        <f>'[78]Sch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337"/>
      <c r="J18" s="373" t="s">
        <v>252</v>
      </c>
      <c r="K18" s="374">
        <f>K208</f>
        <v>95391</v>
      </c>
      <c r="M18" s="359">
        <f t="shared" si="3"/>
        <v>0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490">
        <f>'[78]Sch B'!E52</f>
        <v>267033</v>
      </c>
      <c r="D19" s="490">
        <f>'[78]Sch B'!G52</f>
        <v>-18836</v>
      </c>
      <c r="E19" s="171">
        <f t="shared" si="2"/>
        <v>248197</v>
      </c>
      <c r="F19" s="171"/>
      <c r="G19" s="171">
        <f t="shared" si="0"/>
        <v>248197</v>
      </c>
      <c r="H19" s="172">
        <f t="shared" si="1"/>
        <v>5.2168541316744012E-2</v>
      </c>
      <c r="I19" s="337"/>
      <c r="J19" s="168"/>
      <c r="K19" s="168"/>
      <c r="M19" s="359">
        <f t="shared" si="3"/>
        <v>351.05657708628007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490">
        <f>'[78]Sch B'!E67</f>
        <v>-938</v>
      </c>
      <c r="D20" s="490">
        <f>'[78]Sch B'!G67</f>
        <v>1024</v>
      </c>
      <c r="E20" s="171">
        <f t="shared" si="2"/>
        <v>86</v>
      </c>
      <c r="F20" s="171"/>
      <c r="G20" s="171">
        <f t="shared" si="0"/>
        <v>86</v>
      </c>
      <c r="H20" s="172">
        <f t="shared" si="1"/>
        <v>1.8076344811742226E-5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490">
        <f>SUM(C11:C20)</f>
        <v>4761669</v>
      </c>
      <c r="D21" s="490">
        <f>SUM(D11:D20)</f>
        <v>-4070</v>
      </c>
      <c r="E21" s="171">
        <f>SUM(E11:E20)</f>
        <v>4757599</v>
      </c>
      <c r="F21" s="171">
        <f>SUM(F11:F20)</f>
        <v>0</v>
      </c>
      <c r="G21" s="171">
        <f>SUM(G11:G20)</f>
        <v>4757599</v>
      </c>
      <c r="H21" s="172">
        <f t="shared" si="1"/>
        <v>1</v>
      </c>
      <c r="I21" s="337"/>
      <c r="J21" s="168"/>
      <c r="K21" s="168"/>
      <c r="M21" s="359">
        <f>IFERROR(G21/G228,0)</f>
        <v>240.65956801052153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4">
      <c r="A24" s="181" t="s">
        <v>161</v>
      </c>
      <c r="B24" s="148" t="s">
        <v>12</v>
      </c>
      <c r="M24" s="363"/>
      <c r="N24" s="363"/>
    </row>
    <row r="25" spans="1:14" s="167" customFormat="1">
      <c r="A25" s="169" t="s">
        <v>83</v>
      </c>
      <c r="B25" s="170" t="s">
        <v>14</v>
      </c>
      <c r="C25" s="490">
        <f>'[78]Sch C'!D10</f>
        <v>109718</v>
      </c>
      <c r="D25" s="490">
        <f>'[78]Sch C'!F10</f>
        <v>2808</v>
      </c>
      <c r="E25" s="171">
        <f t="shared" ref="E25:E60" si="4">C25+D25</f>
        <v>112526</v>
      </c>
      <c r="F25" s="171"/>
      <c r="G25" s="182">
        <f>E25+F25</f>
        <v>112526</v>
      </c>
      <c r="H25" s="172">
        <f>IF($G$208=0,0,G25/$G$208)</f>
        <v>2.351387468224423E-2</v>
      </c>
      <c r="I25" s="337"/>
      <c r="J25" s="183">
        <v>2056</v>
      </c>
      <c r="K25" s="183">
        <v>2120</v>
      </c>
      <c r="M25" s="359">
        <f>G25/G$228</f>
        <v>5.6920430977793517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490">
        <f>'[78]Sch C'!D11</f>
        <v>0</v>
      </c>
      <c r="D26" s="490">
        <f>'[78]Sch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490">
        <f>'[78]Sch C'!D12</f>
        <v>142505</v>
      </c>
      <c r="D27" s="490">
        <f>'[78]Sch C'!F12</f>
        <v>-2808</v>
      </c>
      <c r="E27" s="171">
        <f t="shared" si="4"/>
        <v>139697</v>
      </c>
      <c r="F27" s="171"/>
      <c r="G27" s="171">
        <f t="shared" si="5"/>
        <v>139697</v>
      </c>
      <c r="H27" s="172">
        <f t="shared" si="6"/>
        <v>2.9191633502350323E-2</v>
      </c>
      <c r="I27" s="337"/>
      <c r="J27" s="185">
        <v>5828</v>
      </c>
      <c r="K27" s="185">
        <v>6183</v>
      </c>
      <c r="M27" s="359">
        <f t="shared" si="7"/>
        <v>7.0664677019576105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490">
        <f>'[78]Sch C'!D13</f>
        <v>53833</v>
      </c>
      <c r="D28" s="490">
        <f>'[78]Sch C'!F13</f>
        <v>-25151</v>
      </c>
      <c r="E28" s="171">
        <f t="shared" si="4"/>
        <v>28682</v>
      </c>
      <c r="F28" s="171"/>
      <c r="G28" s="171">
        <f t="shared" si="5"/>
        <v>28682</v>
      </c>
      <c r="H28" s="172">
        <f t="shared" si="6"/>
        <v>5.9935033115558096E-3</v>
      </c>
      <c r="I28" s="337"/>
      <c r="J28" s="168"/>
      <c r="K28" s="168"/>
      <c r="M28" s="359">
        <f t="shared" si="7"/>
        <v>1.4508574030047043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490">
        <f>'[78]Sch C'!D14</f>
        <v>0</v>
      </c>
      <c r="D29" s="490">
        <f>'[78]Sch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490">
        <f>'[78]Sch C'!D15</f>
        <v>0</v>
      </c>
      <c r="D30" s="490">
        <f>'[78]Sch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7"/>
      <c r="J30" s="168"/>
      <c r="K30" s="168"/>
      <c r="M30" s="359">
        <f t="shared" si="7"/>
        <v>0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490">
        <f>'[78]Sch C'!D16</f>
        <v>382592</v>
      </c>
      <c r="D31" s="490">
        <f>'[78]Sch C'!F16</f>
        <v>-103535</v>
      </c>
      <c r="E31" s="171">
        <f t="shared" si="4"/>
        <v>279057</v>
      </c>
      <c r="F31" s="171"/>
      <c r="G31" s="171">
        <f t="shared" si="5"/>
        <v>279057</v>
      </c>
      <c r="H31" s="172">
        <f t="shared" si="6"/>
        <v>5.8312846161802857E-2</v>
      </c>
      <c r="I31" s="337"/>
      <c r="J31" s="168"/>
      <c r="K31" s="168"/>
      <c r="M31" s="359">
        <f t="shared" si="7"/>
        <v>14.115888512317264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490">
        <f>'[78]Sch C'!D17</f>
        <v>6036</v>
      </c>
      <c r="D32" s="490">
        <f>'[78]Sch C'!F17</f>
        <v>-6036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7"/>
      <c r="J32" s="168"/>
      <c r="K32" s="168"/>
      <c r="M32" s="359">
        <f t="shared" si="7"/>
        <v>0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490">
        <f>'[78]Sch C'!D18</f>
        <v>41547</v>
      </c>
      <c r="D33" s="490">
        <f>'[78]Sch C'!F18</f>
        <v>0</v>
      </c>
      <c r="E33" s="171">
        <f t="shared" si="4"/>
        <v>41547</v>
      </c>
      <c r="F33" s="171"/>
      <c r="G33" s="171">
        <f t="shared" si="5"/>
        <v>41547</v>
      </c>
      <c r="H33" s="172">
        <f t="shared" si="6"/>
        <v>8.6818242132769407E-3</v>
      </c>
      <c r="I33" s="337"/>
      <c r="J33" s="168"/>
      <c r="K33" s="168"/>
      <c r="M33" s="359">
        <f t="shared" si="7"/>
        <v>2.1016237543628913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490">
        <f>'[78]Sch C'!D19</f>
        <v>9136</v>
      </c>
      <c r="D34" s="490">
        <f>'[78]Sch C'!F19</f>
        <v>-2425</v>
      </c>
      <c r="E34" s="171">
        <f t="shared" si="4"/>
        <v>6711</v>
      </c>
      <c r="F34" s="171"/>
      <c r="G34" s="171">
        <f t="shared" si="5"/>
        <v>6711</v>
      </c>
      <c r="H34" s="172">
        <f t="shared" si="6"/>
        <v>1.4023569041158579E-3</v>
      </c>
      <c r="I34" s="337"/>
      <c r="J34" s="168"/>
      <c r="K34" s="168"/>
      <c r="M34" s="359">
        <f t="shared" si="7"/>
        <v>0.33947088876523851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490">
        <f>'[78]Sch C'!D20</f>
        <v>15005</v>
      </c>
      <c r="D35" s="490">
        <f>'[78]Sch C'!F20</f>
        <v>0</v>
      </c>
      <c r="E35" s="171">
        <f t="shared" si="4"/>
        <v>15005</v>
      </c>
      <c r="F35" s="171"/>
      <c r="G35" s="171">
        <f t="shared" si="5"/>
        <v>15005</v>
      </c>
      <c r="H35" s="172">
        <f t="shared" si="6"/>
        <v>3.1355037023183502E-3</v>
      </c>
      <c r="I35" s="337"/>
      <c r="J35" s="168"/>
      <c r="K35" s="168"/>
      <c r="M35" s="359">
        <f t="shared" si="7"/>
        <v>0.75901664221761345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490">
        <f>'[78]Sch C'!D21</f>
        <v>14247</v>
      </c>
      <c r="D36" s="490">
        <f>'[78]Sch C'!F21</f>
        <v>4000</v>
      </c>
      <c r="E36" s="171">
        <f t="shared" si="4"/>
        <v>18247</v>
      </c>
      <c r="F36" s="171"/>
      <c r="G36" s="171">
        <f t="shared" si="5"/>
        <v>18247</v>
      </c>
      <c r="H36" s="172">
        <f t="shared" si="6"/>
        <v>3.8129647488305855E-3</v>
      </c>
      <c r="I36" s="337"/>
      <c r="J36" s="168"/>
      <c r="K36" s="168"/>
      <c r="M36" s="359">
        <f t="shared" si="7"/>
        <v>0.92301077444483792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490">
        <f>'[78]Sch C'!D22</f>
        <v>0</v>
      </c>
      <c r="D37" s="490">
        <f>'[78]Sch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490">
        <f>'[78]Sch C'!D23</f>
        <v>32813</v>
      </c>
      <c r="D38" s="490">
        <f>'[78]Sch C'!F23</f>
        <v>0</v>
      </c>
      <c r="E38" s="171">
        <f t="shared" si="4"/>
        <v>32813</v>
      </c>
      <c r="F38" s="171"/>
      <c r="G38" s="171">
        <f t="shared" si="5"/>
        <v>32813</v>
      </c>
      <c r="H38" s="172">
        <f t="shared" si="6"/>
        <v>6.8567332878488518E-3</v>
      </c>
      <c r="I38" s="337"/>
      <c r="J38" s="168"/>
      <c r="K38" s="168"/>
      <c r="M38" s="359">
        <f t="shared" si="7"/>
        <v>1.6598209317618493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490">
        <f>'[78]Sch C'!D24</f>
        <v>0</v>
      </c>
      <c r="D39" s="490">
        <f>'[78]Sch C'!F24</f>
        <v>0</v>
      </c>
      <c r="E39" s="171">
        <f t="shared" si="4"/>
        <v>0</v>
      </c>
      <c r="F39" s="171"/>
      <c r="G39" s="171">
        <f t="shared" si="5"/>
        <v>0</v>
      </c>
      <c r="H39" s="172">
        <f t="shared" si="6"/>
        <v>0</v>
      </c>
      <c r="I39" s="337"/>
      <c r="J39" s="168"/>
      <c r="K39" s="168"/>
      <c r="M39" s="359">
        <f t="shared" si="7"/>
        <v>0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490">
        <f>'[78]Sch C'!D25</f>
        <v>0</v>
      </c>
      <c r="D40" s="490">
        <f>'[78]Sch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337"/>
      <c r="J40" s="168"/>
      <c r="K40" s="168"/>
      <c r="M40" s="359">
        <f t="shared" si="7"/>
        <v>0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490">
        <f>'[78]Sch C'!D26</f>
        <v>268160</v>
      </c>
      <c r="D41" s="490">
        <f>'[78]Sch C'!F26</f>
        <v>0</v>
      </c>
      <c r="E41" s="171">
        <f t="shared" si="4"/>
        <v>268160</v>
      </c>
      <c r="F41" s="171"/>
      <c r="G41" s="171">
        <f t="shared" si="5"/>
        <v>268160</v>
      </c>
      <c r="H41" s="172">
        <f t="shared" si="6"/>
        <v>5.6035766265490755E-2</v>
      </c>
      <c r="I41" s="337"/>
      <c r="J41" s="168"/>
      <c r="K41" s="168"/>
      <c r="M41" s="359">
        <f t="shared" si="7"/>
        <v>13.564671961151298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490">
        <f>'[78]Sch C'!D27</f>
        <v>0</v>
      </c>
      <c r="D42" s="490">
        <f>'[78]Sch C'!F27</f>
        <v>0</v>
      </c>
      <c r="E42" s="171">
        <f t="shared" si="4"/>
        <v>0</v>
      </c>
      <c r="F42" s="171"/>
      <c r="G42" s="171">
        <f t="shared" si="5"/>
        <v>0</v>
      </c>
      <c r="H42" s="172">
        <f t="shared" si="6"/>
        <v>0</v>
      </c>
      <c r="I42" s="337"/>
      <c r="J42" s="168"/>
      <c r="K42" s="168"/>
      <c r="M42" s="359">
        <f t="shared" si="7"/>
        <v>0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490">
        <f>'[78]Sch C'!D28</f>
        <v>0</v>
      </c>
      <c r="D43" s="490">
        <f>'[78]Sch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490">
        <f>'[78]Sch C'!D29</f>
        <v>79974</v>
      </c>
      <c r="D44" s="490">
        <f>'[78]Sch C'!F29</f>
        <v>-79974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490">
        <f>'[78]Sch C'!D30</f>
        <v>0</v>
      </c>
      <c r="D45" s="490">
        <f>'[78]Sch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490">
        <f>'[78]Sch C'!D31</f>
        <v>0</v>
      </c>
      <c r="D46" s="490">
        <f>'[78]Sch C'!F31</f>
        <v>0</v>
      </c>
      <c r="E46" s="171">
        <f t="shared" si="4"/>
        <v>0</v>
      </c>
      <c r="F46" s="171"/>
      <c r="G46" s="171">
        <f t="shared" si="5"/>
        <v>0</v>
      </c>
      <c r="H46" s="172">
        <f t="shared" si="6"/>
        <v>0</v>
      </c>
      <c r="I46" s="337"/>
      <c r="J46" s="168"/>
      <c r="K46" s="168"/>
      <c r="M46" s="359">
        <f t="shared" si="7"/>
        <v>0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490">
        <f>'[78]Sch C'!D32</f>
        <v>25562</v>
      </c>
      <c r="D47" s="490">
        <f>'[78]Sch C'!F32</f>
        <v>0</v>
      </c>
      <c r="E47" s="171">
        <f t="shared" si="4"/>
        <v>25562</v>
      </c>
      <c r="F47" s="171"/>
      <c r="G47" s="171">
        <f t="shared" si="5"/>
        <v>25562</v>
      </c>
      <c r="H47" s="172">
        <f t="shared" si="6"/>
        <v>5.3415358639561259E-3</v>
      </c>
      <c r="I47" s="337"/>
      <c r="J47" s="168"/>
      <c r="K47" s="168"/>
      <c r="M47" s="359">
        <f t="shared" si="7"/>
        <v>1.2930345490414286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490">
        <f>'[78]Sch C'!D33</f>
        <v>0</v>
      </c>
      <c r="D48" s="490">
        <f>'[78]Sch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490">
        <f>'[78]Sch C'!D34</f>
        <v>4019</v>
      </c>
      <c r="D49" s="490">
        <f>'[78]Sch C'!F34</f>
        <v>0</v>
      </c>
      <c r="E49" s="171">
        <f t="shared" si="4"/>
        <v>4019</v>
      </c>
      <c r="F49" s="171"/>
      <c r="G49" s="171">
        <f t="shared" si="5"/>
        <v>4019</v>
      </c>
      <c r="H49" s="172">
        <f t="shared" si="6"/>
        <v>8.3982601663561813E-4</v>
      </c>
      <c r="I49" s="337"/>
      <c r="J49" s="168"/>
      <c r="K49" s="168"/>
      <c r="M49" s="359">
        <f t="shared" si="7"/>
        <v>0.20329809297384793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490">
        <f>'[78]Sch C'!D35</f>
        <v>0</v>
      </c>
      <c r="D50" s="490">
        <f>'[78]Sch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490">
        <f>'[78]Sch C'!D36</f>
        <v>0</v>
      </c>
      <c r="D51" s="490">
        <f>'[78]Sch C'!F36</f>
        <v>0</v>
      </c>
      <c r="E51" s="171">
        <f t="shared" si="4"/>
        <v>0</v>
      </c>
      <c r="F51" s="171"/>
      <c r="G51" s="171">
        <f t="shared" si="5"/>
        <v>0</v>
      </c>
      <c r="H51" s="172">
        <f t="shared" si="6"/>
        <v>0</v>
      </c>
      <c r="I51" s="337"/>
      <c r="J51" s="183">
        <v>0</v>
      </c>
      <c r="K51" s="183">
        <v>0</v>
      </c>
      <c r="M51" s="359">
        <f t="shared" si="7"/>
        <v>0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490">
        <f>'[78]Sch C'!D37</f>
        <v>0</v>
      </c>
      <c r="D52" s="490">
        <f>'[78]Sch C'!F37</f>
        <v>0</v>
      </c>
      <c r="E52" s="171">
        <f t="shared" si="4"/>
        <v>0</v>
      </c>
      <c r="F52" s="171"/>
      <c r="G52" s="171">
        <f t="shared" si="5"/>
        <v>0</v>
      </c>
      <c r="H52" s="172">
        <f t="shared" si="6"/>
        <v>0</v>
      </c>
      <c r="I52" s="337"/>
      <c r="J52" s="168"/>
      <c r="K52" s="168"/>
      <c r="M52" s="359">
        <f t="shared" si="7"/>
        <v>0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490">
        <f>'[78]Sch C'!D38</f>
        <v>0</v>
      </c>
      <c r="D53" s="490">
        <f>'[78]Sch C'!F38</f>
        <v>0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7"/>
      <c r="J53" s="168"/>
      <c r="K53" s="168"/>
      <c r="M53" s="359">
        <f t="shared" si="7"/>
        <v>0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490">
        <f>'[78]Sch C'!D39</f>
        <v>9969</v>
      </c>
      <c r="D54" s="490">
        <f>'[78]Sch C'!F39</f>
        <v>0</v>
      </c>
      <c r="E54" s="171">
        <f t="shared" si="4"/>
        <v>9969</v>
      </c>
      <c r="F54" s="171"/>
      <c r="G54" s="171">
        <f t="shared" si="5"/>
        <v>9969</v>
      </c>
      <c r="H54" s="172">
        <f t="shared" si="6"/>
        <v>2.0831613734362967E-3</v>
      </c>
      <c r="I54" s="337"/>
      <c r="J54" s="168"/>
      <c r="K54" s="168"/>
      <c r="M54" s="359">
        <f t="shared" si="7"/>
        <v>0.50427436896150535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490">
        <f>'[78]Sch C'!D40</f>
        <v>0</v>
      </c>
      <c r="D55" s="490">
        <f>'[78]Sch C'!F40</f>
        <v>0</v>
      </c>
      <c r="E55" s="171">
        <f t="shared" si="4"/>
        <v>0</v>
      </c>
      <c r="F55" s="171"/>
      <c r="G55" s="171">
        <f t="shared" si="5"/>
        <v>0</v>
      </c>
      <c r="H55" s="172">
        <f t="shared" si="6"/>
        <v>0</v>
      </c>
      <c r="I55" s="337"/>
      <c r="J55" s="168"/>
      <c r="K55" s="168"/>
      <c r="M55" s="359">
        <f t="shared" si="7"/>
        <v>0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490">
        <f>'[78]Sch C'!D41</f>
        <v>21087</v>
      </c>
      <c r="D56" s="490">
        <f>'[78]Sch C'!F41</f>
        <v>1668</v>
      </c>
      <c r="E56" s="171">
        <f t="shared" si="4"/>
        <v>22755</v>
      </c>
      <c r="F56" s="171"/>
      <c r="G56" s="171">
        <f t="shared" si="5"/>
        <v>22755</v>
      </c>
      <c r="H56" s="172">
        <f t="shared" si="6"/>
        <v>4.7549741250419233E-3</v>
      </c>
      <c r="I56" s="337"/>
      <c r="J56" s="168"/>
      <c r="K56" s="168"/>
      <c r="M56" s="359">
        <f t="shared" si="7"/>
        <v>1.1510445647225453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490">
        <f>'[78]Sch C'!D42</f>
        <v>664</v>
      </c>
      <c r="D57" s="490">
        <f>'[78]Sch C'!F42</f>
        <v>0</v>
      </c>
      <c r="E57" s="171">
        <f t="shared" si="4"/>
        <v>664</v>
      </c>
      <c r="F57" s="171"/>
      <c r="G57" s="171">
        <f t="shared" si="5"/>
        <v>664</v>
      </c>
      <c r="H57" s="172">
        <f t="shared" si="6"/>
        <v>1.3875204654044548E-4</v>
      </c>
      <c r="I57" s="337"/>
      <c r="J57" s="168"/>
      <c r="K57" s="168"/>
      <c r="M57" s="359">
        <f t="shared" si="7"/>
        <v>3.3587940715261271E-2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490">
        <f>'[78]Sch C'!D43</f>
        <v>7644</v>
      </c>
      <c r="D58" s="490">
        <f>'[78]Sch C'!F43</f>
        <v>-7644</v>
      </c>
      <c r="E58" s="171">
        <f t="shared" si="4"/>
        <v>0</v>
      </c>
      <c r="F58" s="171"/>
      <c r="G58" s="171">
        <f t="shared" si="5"/>
        <v>0</v>
      </c>
      <c r="H58" s="172">
        <f t="shared" si="6"/>
        <v>0</v>
      </c>
      <c r="I58" s="337"/>
      <c r="J58" s="168"/>
      <c r="K58" s="168"/>
      <c r="M58" s="359">
        <f t="shared" si="7"/>
        <v>0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490">
        <f>'[78]Sch C'!D44</f>
        <v>0</v>
      </c>
      <c r="D59" s="490">
        <f>'[78]Sch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7"/>
      <c r="J59" s="168"/>
      <c r="K59" s="168"/>
      <c r="M59" s="359">
        <f t="shared" si="7"/>
        <v>0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490">
        <f>'[78]Sch C'!D45</f>
        <v>26173</v>
      </c>
      <c r="D60" s="490">
        <f>'[78]Sch C'!F45</f>
        <v>-13339</v>
      </c>
      <c r="E60" s="171">
        <f t="shared" si="4"/>
        <v>12834</v>
      </c>
      <c r="F60" s="171"/>
      <c r="G60" s="171">
        <f t="shared" si="5"/>
        <v>12834</v>
      </c>
      <c r="H60" s="172">
        <f t="shared" si="6"/>
        <v>2.6818430200302372E-3</v>
      </c>
      <c r="I60" s="337"/>
      <c r="J60" s="168"/>
      <c r="K60" s="168"/>
      <c r="M60" s="359">
        <f t="shared" si="7"/>
        <v>0.64919823966816737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490">
        <f>SUM(C25:C60)</f>
        <v>1250684</v>
      </c>
      <c r="D61" s="490">
        <f>SUM(D25:D60)</f>
        <v>-232436</v>
      </c>
      <c r="E61" s="171">
        <f t="shared" ref="E61:F61" si="8">SUM(E25:E60)</f>
        <v>1018248</v>
      </c>
      <c r="F61" s="171">
        <f t="shared" si="8"/>
        <v>0</v>
      </c>
      <c r="G61" s="171">
        <f>SUM(G25:G60)</f>
        <v>1018248</v>
      </c>
      <c r="H61" s="186">
        <f t="shared" si="6"/>
        <v>0.21277709922547522</v>
      </c>
      <c r="I61" s="339"/>
      <c r="J61" s="168"/>
      <c r="K61" s="168"/>
      <c r="M61" s="364">
        <f>G61/G$228</f>
        <v>51.507309423845413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I62" s="340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490">
        <f>'[78]Sch C'!D57</f>
        <v>307836</v>
      </c>
      <c r="D64" s="490">
        <f>'[78]Sch C'!F57</f>
        <v>-307836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I64" s="337"/>
      <c r="J64" s="190"/>
      <c r="K64" s="168"/>
      <c r="M64" s="359">
        <f t="shared" ref="M64:M79" si="12">G64/G$228</f>
        <v>0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490">
        <f>'[78]Sch C'!D58</f>
        <v>0</v>
      </c>
      <c r="D65" s="490">
        <f>'[78]Sch C'!F58</f>
        <v>26931</v>
      </c>
      <c r="E65" s="171">
        <f t="shared" si="9"/>
        <v>26931</v>
      </c>
      <c r="F65" s="171"/>
      <c r="G65" s="171">
        <f t="shared" si="10"/>
        <v>26931</v>
      </c>
      <c r="H65" s="172">
        <f t="shared" si="11"/>
        <v>5.6276074779830383E-3</v>
      </c>
      <c r="I65" s="337"/>
      <c r="J65" s="190"/>
      <c r="K65" s="168"/>
      <c r="M65" s="359">
        <f t="shared" si="12"/>
        <v>1.3622843846426222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490">
        <f>'[78]Sch C'!D59</f>
        <v>0</v>
      </c>
      <c r="D66" s="490">
        <f>'[78]Sch C'!F59</f>
        <v>74680</v>
      </c>
      <c r="E66" s="171">
        <f t="shared" si="9"/>
        <v>74680</v>
      </c>
      <c r="F66" s="171"/>
      <c r="G66" s="171">
        <f t="shared" si="10"/>
        <v>74680</v>
      </c>
      <c r="H66" s="172">
        <f t="shared" si="11"/>
        <v>1.5605425957289863E-2</v>
      </c>
      <c r="I66" s="337"/>
      <c r="J66" s="190"/>
      <c r="K66" s="168"/>
      <c r="M66" s="359">
        <f t="shared" si="12"/>
        <v>3.7776316455055894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490">
        <f>'[78]Sch C'!D60</f>
        <v>0</v>
      </c>
      <c r="D67" s="490">
        <f>'[78]Sch C'!F60</f>
        <v>27514</v>
      </c>
      <c r="E67" s="171">
        <f t="shared" si="9"/>
        <v>27514</v>
      </c>
      <c r="F67" s="171"/>
      <c r="G67" s="171">
        <f t="shared" si="10"/>
        <v>27514</v>
      </c>
      <c r="H67" s="172">
        <f t="shared" si="11"/>
        <v>5.7494334465569537E-3</v>
      </c>
      <c r="I67" s="337"/>
      <c r="J67" s="193"/>
      <c r="K67" s="168"/>
      <c r="M67" s="359">
        <f t="shared" si="12"/>
        <v>1.3917750012646062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490">
        <f>'[78]Sch C'!D61</f>
        <v>11084</v>
      </c>
      <c r="D68" s="490">
        <f>'[78]Sch C'!F61</f>
        <v>-7551</v>
      </c>
      <c r="E68" s="171">
        <f t="shared" si="9"/>
        <v>3533</v>
      </c>
      <c r="F68" s="171"/>
      <c r="G68" s="171">
        <f t="shared" si="10"/>
        <v>3533</v>
      </c>
      <c r="H68" s="172">
        <f t="shared" si="11"/>
        <v>7.3826954883643664E-4</v>
      </c>
      <c r="I68" s="337"/>
      <c r="J68" s="193"/>
      <c r="K68" s="168"/>
      <c r="M68" s="359">
        <f t="shared" si="12"/>
        <v>0.17871414841418382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490">
        <f>'[78]Sch C'!D62</f>
        <v>48</v>
      </c>
      <c r="D69" s="490">
        <f>'[78]Sch C'!F62</f>
        <v>-48</v>
      </c>
      <c r="E69" s="171">
        <f t="shared" si="9"/>
        <v>0</v>
      </c>
      <c r="F69" s="171"/>
      <c r="G69" s="171">
        <f t="shared" si="10"/>
        <v>0</v>
      </c>
      <c r="H69" s="172">
        <f t="shared" si="11"/>
        <v>0</v>
      </c>
      <c r="I69" s="337"/>
      <c r="J69" s="195"/>
      <c r="K69" s="168"/>
      <c r="M69" s="359">
        <f t="shared" si="12"/>
        <v>0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490">
        <f>'[78]Sch C'!D63</f>
        <v>47</v>
      </c>
      <c r="D70" s="490">
        <f>'[78]Sch C'!F63</f>
        <v>0</v>
      </c>
      <c r="E70" s="171">
        <f t="shared" si="9"/>
        <v>47</v>
      </c>
      <c r="F70" s="171"/>
      <c r="G70" s="171">
        <f t="shared" si="10"/>
        <v>47</v>
      </c>
      <c r="H70" s="172">
        <f t="shared" si="11"/>
        <v>9.8213044990977991E-6</v>
      </c>
      <c r="I70" s="337"/>
      <c r="J70" s="195"/>
      <c r="K70" s="168"/>
      <c r="M70" s="359">
        <f t="shared" si="12"/>
        <v>2.3774596590621679E-3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490">
        <f>'[78]Sch C'!D64</f>
        <v>0</v>
      </c>
      <c r="D71" s="490">
        <f>'[78]Sch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490">
        <f>'[78]Sch C'!D65</f>
        <v>0</v>
      </c>
      <c r="D72" s="490">
        <f>'[78]Sch C'!F65</f>
        <v>11084</v>
      </c>
      <c r="E72" s="171">
        <f t="shared" si="9"/>
        <v>11084</v>
      </c>
      <c r="F72" s="171"/>
      <c r="G72" s="171">
        <f t="shared" si="10"/>
        <v>11084</v>
      </c>
      <c r="H72" s="172">
        <f t="shared" si="11"/>
        <v>2.3161561503829788E-3</v>
      </c>
      <c r="I72" s="337"/>
      <c r="J72" s="195"/>
      <c r="K72" s="168"/>
      <c r="M72" s="359">
        <f t="shared" si="12"/>
        <v>0.56067580555415042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490">
        <f>'[78]Sch C'!D66</f>
        <v>0</v>
      </c>
      <c r="D73" s="490">
        <f>'[78]Sch C'!F66</f>
        <v>0</v>
      </c>
      <c r="E73" s="171">
        <f t="shared" si="9"/>
        <v>0</v>
      </c>
      <c r="F73" s="171"/>
      <c r="G73" s="171">
        <f t="shared" si="10"/>
        <v>0</v>
      </c>
      <c r="H73" s="172">
        <f t="shared" si="11"/>
        <v>0</v>
      </c>
      <c r="I73" s="337"/>
      <c r="J73" s="195"/>
      <c r="K73" s="168"/>
      <c r="M73" s="359">
        <f t="shared" si="12"/>
        <v>0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490">
        <f>'[78]Sch C'!D67</f>
        <v>0</v>
      </c>
      <c r="D74" s="490">
        <f>'[78]Sch C'!F67</f>
        <v>0</v>
      </c>
      <c r="E74" s="171">
        <f t="shared" si="9"/>
        <v>0</v>
      </c>
      <c r="F74" s="171"/>
      <c r="G74" s="171">
        <f t="shared" si="10"/>
        <v>0</v>
      </c>
      <c r="H74" s="172">
        <f t="shared" si="11"/>
        <v>0</v>
      </c>
      <c r="I74" s="337"/>
      <c r="J74" s="195"/>
      <c r="K74" s="168"/>
      <c r="M74" s="359">
        <f t="shared" si="12"/>
        <v>0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490">
        <f>'[78]Sch C'!D68</f>
        <v>0</v>
      </c>
      <c r="D75" s="490">
        <f>'[78]Sch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490">
        <f>'[78]Sch C'!D69</f>
        <v>0</v>
      </c>
      <c r="D76" s="490">
        <f>'[78]Sch C'!F69</f>
        <v>0</v>
      </c>
      <c r="E76" s="171">
        <f t="shared" si="9"/>
        <v>0</v>
      </c>
      <c r="F76" s="171"/>
      <c r="G76" s="171">
        <f t="shared" si="10"/>
        <v>0</v>
      </c>
      <c r="H76" s="172">
        <f t="shared" si="11"/>
        <v>0</v>
      </c>
      <c r="I76" s="337"/>
      <c r="J76" s="195"/>
      <c r="K76" s="168"/>
      <c r="M76" s="359">
        <f t="shared" si="12"/>
        <v>0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490">
        <f>'[78]Sch C'!D70</f>
        <v>0</v>
      </c>
      <c r="D77" s="490">
        <f>'[78]Sch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7"/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490">
        <f>'[78]Sch C'!D71</f>
        <v>0</v>
      </c>
      <c r="D78" s="490">
        <f>'[78]Sch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7"/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490">
        <f>SUM(C64:C78)</f>
        <v>319015</v>
      </c>
      <c r="D79" s="490">
        <f>SUM(D64:D78)</f>
        <v>-175226</v>
      </c>
      <c r="E79" s="171">
        <f t="shared" ref="E79:F79" si="13">SUM(E64:E78)</f>
        <v>143789</v>
      </c>
      <c r="F79" s="171">
        <f t="shared" si="13"/>
        <v>0</v>
      </c>
      <c r="G79" s="171">
        <f>SUM(G64:G78)</f>
        <v>143789</v>
      </c>
      <c r="H79" s="172">
        <f t="shared" si="11"/>
        <v>3.004671388554837E-2</v>
      </c>
      <c r="I79" s="337"/>
      <c r="J79" s="195"/>
      <c r="K79" s="168"/>
      <c r="M79" s="359">
        <f t="shared" si="12"/>
        <v>7.2734584450402142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490">
        <f>'[78]Sch C'!D75</f>
        <v>71705</v>
      </c>
      <c r="D82" s="490">
        <f>'[78]Sch C'!F75</f>
        <v>0</v>
      </c>
      <c r="E82" s="171">
        <f t="shared" ref="E82:E92" si="14">C82+D82</f>
        <v>71705</v>
      </c>
      <c r="F82" s="171"/>
      <c r="G82" s="171">
        <f t="shared" ref="G82:G92" si="15">E82+F82</f>
        <v>71705</v>
      </c>
      <c r="H82" s="172">
        <f t="shared" ref="H82:H93" si="16">IF($G$208=0,0,G82/$G$208)</f>
        <v>1.4983758278889524E-2</v>
      </c>
      <c r="I82" s="337"/>
      <c r="J82" s="183">
        <v>4175</v>
      </c>
      <c r="K82" s="183">
        <v>4365</v>
      </c>
      <c r="M82" s="359">
        <f t="shared" ref="M82:M92" si="17">G82/G$228</f>
        <v>3.6271435075117608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490">
        <f>'[78]Sch C'!D76</f>
        <v>7468</v>
      </c>
      <c r="D83" s="490">
        <f>'[78]Sch C'!F76</f>
        <v>1143</v>
      </c>
      <c r="E83" s="171">
        <f t="shared" si="14"/>
        <v>8611</v>
      </c>
      <c r="F83" s="171"/>
      <c r="G83" s="171">
        <f t="shared" si="15"/>
        <v>8611</v>
      </c>
      <c r="H83" s="172">
        <f t="shared" si="16"/>
        <v>1.7993883625900243E-3</v>
      </c>
      <c r="I83" s="337"/>
      <c r="J83" s="168"/>
      <c r="K83" s="168"/>
      <c r="M83" s="359">
        <f t="shared" si="17"/>
        <v>0.4355809600890283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490">
        <f>'[78]Sch C'!D77</f>
        <v>14298</v>
      </c>
      <c r="D84" s="490">
        <f>'[78]Sch C'!F77</f>
        <v>0</v>
      </c>
      <c r="E84" s="171">
        <f t="shared" si="14"/>
        <v>14298</v>
      </c>
      <c r="F84" s="171"/>
      <c r="G84" s="171">
        <f t="shared" si="15"/>
        <v>14298</v>
      </c>
      <c r="H84" s="172">
        <f t="shared" si="16"/>
        <v>2.987766206980858E-3</v>
      </c>
      <c r="I84" s="337"/>
      <c r="J84" s="168"/>
      <c r="K84" s="168"/>
      <c r="M84" s="359">
        <f t="shared" si="17"/>
        <v>0.72325357883555064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490">
        <f>'[78]Sch C'!D78</f>
        <v>1625</v>
      </c>
      <c r="D85" s="490">
        <f>'[78]Sch C'!F78</f>
        <v>0</v>
      </c>
      <c r="E85" s="171">
        <f t="shared" si="14"/>
        <v>1625</v>
      </c>
      <c r="F85" s="171"/>
      <c r="G85" s="171">
        <f t="shared" si="15"/>
        <v>1625</v>
      </c>
      <c r="H85" s="172">
        <f t="shared" si="16"/>
        <v>3.3956637895816858E-4</v>
      </c>
      <c r="I85" s="337"/>
      <c r="J85" s="168"/>
      <c r="K85" s="168"/>
      <c r="M85" s="359">
        <f t="shared" si="17"/>
        <v>8.2199403105872829E-2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490">
        <f>'[78]Sch C'!D79</f>
        <v>6375</v>
      </c>
      <c r="D86" s="490">
        <f>'[78]Sch C'!F79</f>
        <v>0</v>
      </c>
      <c r="E86" s="171">
        <f t="shared" si="14"/>
        <v>6375</v>
      </c>
      <c r="F86" s="171"/>
      <c r="G86" s="171">
        <f>E86+F86</f>
        <v>6375</v>
      </c>
      <c r="H86" s="172">
        <f t="shared" si="16"/>
        <v>1.3321450251435843E-3</v>
      </c>
      <c r="I86" s="337"/>
      <c r="J86" s="168"/>
      <c r="K86" s="168"/>
      <c r="M86" s="359">
        <f t="shared" si="17"/>
        <v>0.32247458141534724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490">
        <f>'[78]Sch C'!D80</f>
        <v>8728</v>
      </c>
      <c r="D87" s="490">
        <f>'[78]Sch C'!F80</f>
        <v>0</v>
      </c>
      <c r="E87" s="171">
        <f t="shared" si="14"/>
        <v>8728</v>
      </c>
      <c r="F87" s="171"/>
      <c r="G87" s="171">
        <f t="shared" si="15"/>
        <v>8728</v>
      </c>
      <c r="H87" s="172">
        <f t="shared" si="16"/>
        <v>1.8238371418750124E-3</v>
      </c>
      <c r="I87" s="337"/>
      <c r="J87" s="168"/>
      <c r="K87" s="168"/>
      <c r="M87" s="359">
        <f t="shared" si="17"/>
        <v>0.44149931711265111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490">
        <f>'[78]Sch C'!D81</f>
        <v>40673</v>
      </c>
      <c r="D88" s="490">
        <f>'[78]Sch C'!F81</f>
        <v>0</v>
      </c>
      <c r="E88" s="171">
        <f t="shared" si="14"/>
        <v>40673</v>
      </c>
      <c r="F88" s="171"/>
      <c r="G88" s="171">
        <f t="shared" si="15"/>
        <v>40673</v>
      </c>
      <c r="H88" s="172">
        <f t="shared" si="16"/>
        <v>8.4991897423788241E-3</v>
      </c>
      <c r="I88" s="337"/>
      <c r="J88" s="168"/>
      <c r="K88" s="168"/>
      <c r="M88" s="359">
        <f t="shared" si="17"/>
        <v>2.0574131215539482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490">
        <f>'[78]Sch C'!D82</f>
        <v>0</v>
      </c>
      <c r="D89" s="490">
        <f>'[78]Sch C'!F82</f>
        <v>0</v>
      </c>
      <c r="E89" s="171">
        <f t="shared" si="14"/>
        <v>0</v>
      </c>
      <c r="F89" s="171"/>
      <c r="G89" s="171">
        <f t="shared" si="15"/>
        <v>0</v>
      </c>
      <c r="H89" s="172">
        <f t="shared" si="16"/>
        <v>0</v>
      </c>
      <c r="I89" s="337"/>
      <c r="J89" s="168"/>
      <c r="K89" s="168"/>
      <c r="M89" s="359">
        <f t="shared" si="17"/>
        <v>0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490">
        <f>'[78]Sch C'!D83</f>
        <v>5808</v>
      </c>
      <c r="D90" s="490">
        <f>'[78]Sch C'!F83</f>
        <v>0</v>
      </c>
      <c r="E90" s="171">
        <f t="shared" si="14"/>
        <v>5808</v>
      </c>
      <c r="F90" s="171"/>
      <c r="G90" s="171">
        <f t="shared" si="15"/>
        <v>5808</v>
      </c>
      <c r="H90" s="172">
        <f t="shared" si="16"/>
        <v>1.2136624793778726E-3</v>
      </c>
      <c r="I90" s="337"/>
      <c r="J90" s="168"/>
      <c r="K90" s="168"/>
      <c r="M90" s="359">
        <f t="shared" si="17"/>
        <v>0.29379331276240578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490">
        <f>'[78]Sch C'!D84</f>
        <v>91222</v>
      </c>
      <c r="D91" s="490">
        <f>'[78]Sch C'!F84</f>
        <v>0</v>
      </c>
      <c r="E91" s="171">
        <f t="shared" si="14"/>
        <v>91222</v>
      </c>
      <c r="F91" s="171"/>
      <c r="G91" s="171">
        <f t="shared" si="15"/>
        <v>91222</v>
      </c>
      <c r="H91" s="172">
        <f t="shared" si="16"/>
        <v>1.9062107213121262E-2</v>
      </c>
      <c r="I91" s="337"/>
      <c r="J91" s="168"/>
      <c r="K91" s="168"/>
      <c r="M91" s="359">
        <f t="shared" si="17"/>
        <v>4.6143962769993427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490">
        <f>'[78]Sch C'!D85</f>
        <v>10128</v>
      </c>
      <c r="D92" s="490">
        <f>'[78]Sch C'!F85</f>
        <v>40992</v>
      </c>
      <c r="E92" s="171">
        <f t="shared" si="14"/>
        <v>51120</v>
      </c>
      <c r="F92" s="171"/>
      <c r="G92" s="171">
        <f t="shared" si="15"/>
        <v>51120</v>
      </c>
      <c r="H92" s="172">
        <f t="shared" si="16"/>
        <v>1.0682235872210202E-2</v>
      </c>
      <c r="I92" s="337"/>
      <c r="J92" s="168"/>
      <c r="K92" s="168"/>
      <c r="M92" s="359">
        <f t="shared" si="17"/>
        <v>2.5858667610905965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490">
        <f>SUM(C82:C92)</f>
        <v>258030</v>
      </c>
      <c r="D93" s="490">
        <f>SUM(D82:D92)</f>
        <v>42135</v>
      </c>
      <c r="E93" s="171">
        <f t="shared" ref="E93:F93" si="18">SUM(E82:E92)</f>
        <v>300165</v>
      </c>
      <c r="F93" s="171">
        <f t="shared" si="18"/>
        <v>0</v>
      </c>
      <c r="G93" s="171">
        <f>SUM(G82:G92)</f>
        <v>300165</v>
      </c>
      <c r="H93" s="172">
        <f t="shared" si="16"/>
        <v>6.2723656701525327E-2</v>
      </c>
      <c r="I93" s="337"/>
      <c r="J93" s="168"/>
      <c r="K93" s="168"/>
      <c r="M93" s="364">
        <f>G93/G$228</f>
        <v>15.183620820476504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490">
        <f>'[78]Sch C'!D89</f>
        <v>0</v>
      </c>
      <c r="D96" s="490">
        <f>'[78]Sch C'!F89</f>
        <v>0</v>
      </c>
      <c r="E96" s="171">
        <f t="shared" ref="E96:E101" si="19">C96+D96</f>
        <v>0</v>
      </c>
      <c r="F96" s="171"/>
      <c r="G96" s="171">
        <f t="shared" ref="G96:G101" si="20">E96+F96</f>
        <v>0</v>
      </c>
      <c r="H96" s="172">
        <f t="shared" ref="H96:H102" si="21">IF($G$208=0,0,G96/$G$208)</f>
        <v>0</v>
      </c>
      <c r="I96" s="337"/>
      <c r="J96" s="183">
        <v>0</v>
      </c>
      <c r="K96" s="183">
        <v>0</v>
      </c>
      <c r="M96" s="364">
        <f t="shared" ref="M96:M101" si="22">G96/G$228</f>
        <v>0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490">
        <f>'[78]Sch C'!D90</f>
        <v>0</v>
      </c>
      <c r="D97" s="490">
        <f>'[78]Sch C'!F90</f>
        <v>0</v>
      </c>
      <c r="E97" s="171">
        <f t="shared" si="19"/>
        <v>0</v>
      </c>
      <c r="F97" s="171"/>
      <c r="G97" s="171">
        <f t="shared" si="20"/>
        <v>0</v>
      </c>
      <c r="H97" s="172">
        <f t="shared" si="21"/>
        <v>0</v>
      </c>
      <c r="I97" s="337"/>
      <c r="J97" s="168"/>
      <c r="K97" s="168"/>
      <c r="M97" s="364">
        <f t="shared" si="22"/>
        <v>0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490">
        <f>'[78]Sch C'!D91</f>
        <v>415289</v>
      </c>
      <c r="D98" s="490">
        <f>'[78]Sch C'!F91</f>
        <v>-123801</v>
      </c>
      <c r="E98" s="171">
        <f t="shared" si="19"/>
        <v>291488</v>
      </c>
      <c r="F98" s="171"/>
      <c r="G98" s="171">
        <f t="shared" si="20"/>
        <v>291488</v>
      </c>
      <c r="H98" s="172">
        <f t="shared" si="21"/>
        <v>6.0910476719851468E-2</v>
      </c>
      <c r="I98" s="337"/>
      <c r="J98" s="168"/>
      <c r="K98" s="168"/>
      <c r="M98" s="364">
        <f t="shared" si="22"/>
        <v>14.744701300015175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490">
        <f>'[78]Sch C'!D92</f>
        <v>2379</v>
      </c>
      <c r="D99" s="490">
        <f>'[78]Sch C'!F92</f>
        <v>123801</v>
      </c>
      <c r="E99" s="171">
        <f t="shared" si="19"/>
        <v>126180</v>
      </c>
      <c r="F99" s="171"/>
      <c r="G99" s="171">
        <f t="shared" si="20"/>
        <v>126180</v>
      </c>
      <c r="H99" s="172">
        <f t="shared" si="21"/>
        <v>2.6367068121194898E-2</v>
      </c>
      <c r="I99" s="337"/>
      <c r="J99" s="168"/>
      <c r="K99" s="168"/>
      <c r="M99" s="364">
        <f t="shared" si="22"/>
        <v>6.3827204208609443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490">
        <f>'[78]Sch C'!D93</f>
        <v>1738</v>
      </c>
      <c r="D100" s="490">
        <f>'[78]Sch C'!F93</f>
        <v>0</v>
      </c>
      <c r="E100" s="171">
        <f t="shared" si="19"/>
        <v>1738</v>
      </c>
      <c r="F100" s="171"/>
      <c r="G100" s="171">
        <f t="shared" si="20"/>
        <v>1738</v>
      </c>
      <c r="H100" s="172">
        <f t="shared" si="21"/>
        <v>3.6317930254110582E-4</v>
      </c>
      <c r="I100" s="337"/>
      <c r="J100" s="168"/>
      <c r="K100" s="168"/>
      <c r="M100" s="364">
        <f t="shared" si="22"/>
        <v>8.7915423137235063E-2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490">
        <f>'[78]Sch C'!D94</f>
        <v>29</v>
      </c>
      <c r="D101" s="490">
        <f>'[78]Sch C'!F94</f>
        <v>244</v>
      </c>
      <c r="E101" s="171">
        <f t="shared" si="19"/>
        <v>273</v>
      </c>
      <c r="F101" s="171"/>
      <c r="G101" s="171">
        <f t="shared" si="20"/>
        <v>273</v>
      </c>
      <c r="H101" s="172">
        <f t="shared" si="21"/>
        <v>5.704715166497232E-5</v>
      </c>
      <c r="I101" s="337"/>
      <c r="J101" s="168"/>
      <c r="K101" s="168"/>
      <c r="M101" s="364">
        <f t="shared" si="22"/>
        <v>1.3809499721786635E-2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490">
        <f>SUM(C96:C101)</f>
        <v>419435</v>
      </c>
      <c r="D102" s="490">
        <f>SUM(D96:D101)</f>
        <v>244</v>
      </c>
      <c r="E102" s="171">
        <f t="shared" ref="E102:F102" si="23">SUM(E96:E101)</f>
        <v>419679</v>
      </c>
      <c r="F102" s="171">
        <f t="shared" si="23"/>
        <v>0</v>
      </c>
      <c r="G102" s="171">
        <f>SUM(G96:G101)</f>
        <v>419679</v>
      </c>
      <c r="H102" s="172">
        <f t="shared" si="21"/>
        <v>8.7697771295252441E-2</v>
      </c>
      <c r="I102" s="337"/>
      <c r="J102" s="168"/>
      <c r="K102" s="168"/>
      <c r="M102" s="364">
        <f>G102/G$228</f>
        <v>21.229146643735142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490">
        <f>'[78]Sch C'!D98</f>
        <v>0</v>
      </c>
      <c r="D105" s="490">
        <f>'[78]Sch C'!F98</f>
        <v>0</v>
      </c>
      <c r="E105" s="171">
        <f t="shared" ref="E105:E110" si="24">C105+D105</f>
        <v>0</v>
      </c>
      <c r="F105" s="171"/>
      <c r="G105" s="171">
        <f t="shared" ref="G105:G110" si="25">E105+F105</f>
        <v>0</v>
      </c>
      <c r="H105" s="172">
        <f t="shared" ref="H105:H111" si="26">IF($G$208=0,0,G105/$G$208)</f>
        <v>0</v>
      </c>
      <c r="I105" s="337"/>
      <c r="J105" s="183">
        <v>0</v>
      </c>
      <c r="K105" s="183">
        <v>0</v>
      </c>
      <c r="M105" s="364">
        <f t="shared" ref="M105:M110" si="27">G105/G$228</f>
        <v>0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490">
        <f>'[78]Sch C'!D99</f>
        <v>0</v>
      </c>
      <c r="D106" s="490">
        <f>'[78]Sch C'!F99</f>
        <v>0</v>
      </c>
      <c r="E106" s="171">
        <f t="shared" si="24"/>
        <v>0</v>
      </c>
      <c r="F106" s="171"/>
      <c r="G106" s="171">
        <f t="shared" si="25"/>
        <v>0</v>
      </c>
      <c r="H106" s="172">
        <f t="shared" si="26"/>
        <v>0</v>
      </c>
      <c r="I106" s="337"/>
      <c r="J106" s="168"/>
      <c r="K106" s="168"/>
      <c r="M106" s="364">
        <f t="shared" si="27"/>
        <v>0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490">
        <f>'[78]Sch C'!D100</f>
        <v>834</v>
      </c>
      <c r="D107" s="490">
        <f>'[78]Sch C'!F100</f>
        <v>0</v>
      </c>
      <c r="E107" s="171">
        <f t="shared" si="24"/>
        <v>834</v>
      </c>
      <c r="F107" s="171"/>
      <c r="G107" s="171">
        <f t="shared" si="25"/>
        <v>834</v>
      </c>
      <c r="H107" s="172">
        <f t="shared" si="26"/>
        <v>1.7427591387760775E-4</v>
      </c>
      <c r="I107" s="337"/>
      <c r="J107" s="168"/>
      <c r="K107" s="168"/>
      <c r="M107" s="364">
        <f t="shared" si="27"/>
        <v>4.2187262886337194E-2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490">
        <f>'[78]Sch C'!D101</f>
        <v>83043</v>
      </c>
      <c r="D108" s="490">
        <f>'[78]Sch C'!F101</f>
        <v>0</v>
      </c>
      <c r="E108" s="171">
        <f t="shared" si="24"/>
        <v>83043</v>
      </c>
      <c r="F108" s="171"/>
      <c r="G108" s="171">
        <f t="shared" si="25"/>
        <v>83043</v>
      </c>
      <c r="H108" s="172">
        <f t="shared" si="26"/>
        <v>1.7352991266352733E-2</v>
      </c>
      <c r="I108" s="337"/>
      <c r="J108" s="168"/>
      <c r="K108" s="168"/>
      <c r="M108" s="364">
        <f t="shared" si="27"/>
        <v>4.20066771207446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490">
        <f>'[78]Sch C'!D102</f>
        <v>333</v>
      </c>
      <c r="D109" s="490">
        <f>'[78]Sch C'!F102</f>
        <v>0</v>
      </c>
      <c r="E109" s="171">
        <f t="shared" si="24"/>
        <v>333</v>
      </c>
      <c r="F109" s="171"/>
      <c r="G109" s="171">
        <f t="shared" si="25"/>
        <v>333</v>
      </c>
      <c r="H109" s="172">
        <f t="shared" si="26"/>
        <v>6.9584987195735467E-5</v>
      </c>
      <c r="I109" s="337"/>
      <c r="J109" s="168"/>
      <c r="K109" s="168"/>
      <c r="M109" s="364">
        <f t="shared" si="27"/>
        <v>1.6844554605695786E-2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490">
        <f>'[78]Sch C'!D103</f>
        <v>0</v>
      </c>
      <c r="D110" s="490">
        <f>'[78]Sch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7"/>
      <c r="J110" s="168"/>
      <c r="K110" s="168"/>
      <c r="M110" s="364">
        <f t="shared" si="27"/>
        <v>0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490">
        <f>SUM(C105:C110)</f>
        <v>84210</v>
      </c>
      <c r="D111" s="490">
        <f>SUM(D105:D110)</f>
        <v>0</v>
      </c>
      <c r="E111" s="171">
        <f t="shared" ref="E111:F111" si="28">SUM(E105:E110)</f>
        <v>84210</v>
      </c>
      <c r="F111" s="171">
        <f t="shared" si="28"/>
        <v>0</v>
      </c>
      <c r="G111" s="171">
        <f>SUM(G105:G110)</f>
        <v>84210</v>
      </c>
      <c r="H111" s="172">
        <f t="shared" si="26"/>
        <v>1.7596852167426076E-2</v>
      </c>
      <c r="I111" s="337"/>
      <c r="J111" s="168"/>
      <c r="K111" s="168"/>
      <c r="M111" s="364">
        <f>G111/G$228</f>
        <v>4.2596995295664932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490">
        <f>'[78]Sch C'!D115</f>
        <v>0</v>
      </c>
      <c r="D114" s="490">
        <f>'[78]Sch C'!F115</f>
        <v>0</v>
      </c>
      <c r="E114" s="171">
        <f t="shared" ref="E114:E118" si="29">C114+D114</f>
        <v>0</v>
      </c>
      <c r="F114" s="171"/>
      <c r="G114" s="171">
        <f>E114+F114</f>
        <v>0</v>
      </c>
      <c r="H114" s="172">
        <f t="shared" ref="H114:H119" si="30">IF($G$208=0,0,G114/$G$208)</f>
        <v>0</v>
      </c>
      <c r="I114" s="337"/>
      <c r="J114" s="183">
        <v>0</v>
      </c>
      <c r="K114" s="183">
        <v>0</v>
      </c>
      <c r="M114" s="364">
        <f t="shared" ref="M114:M119" si="31">G114/G$228</f>
        <v>0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490">
        <f>'[78]Sch C'!D116</f>
        <v>0</v>
      </c>
      <c r="D115" s="490">
        <f>'[78]Sch C'!F116</f>
        <v>0</v>
      </c>
      <c r="E115" s="171">
        <f t="shared" si="29"/>
        <v>0</v>
      </c>
      <c r="F115" s="171"/>
      <c r="G115" s="171">
        <f>E115+F115</f>
        <v>0</v>
      </c>
      <c r="H115" s="172">
        <f t="shared" si="30"/>
        <v>0</v>
      </c>
      <c r="I115" s="337"/>
      <c r="J115" s="168"/>
      <c r="K115" s="168"/>
      <c r="M115" s="364">
        <f t="shared" si="31"/>
        <v>0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490">
        <f>'[78]Sch C'!D117</f>
        <v>0</v>
      </c>
      <c r="D116" s="490">
        <f>'[78]Sch C'!F117</f>
        <v>0</v>
      </c>
      <c r="E116" s="171">
        <f t="shared" si="29"/>
        <v>0</v>
      </c>
      <c r="F116" s="171"/>
      <c r="G116" s="171">
        <f>E116+F116</f>
        <v>0</v>
      </c>
      <c r="H116" s="172">
        <f t="shared" si="30"/>
        <v>0</v>
      </c>
      <c r="I116" s="337"/>
      <c r="J116" s="168"/>
      <c r="K116" s="168"/>
      <c r="M116" s="364">
        <f t="shared" si="31"/>
        <v>0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490">
        <f>'[78]Sch C'!D118</f>
        <v>124565</v>
      </c>
      <c r="D117" s="490">
        <f>'[78]Sch C'!F118</f>
        <v>0</v>
      </c>
      <c r="E117" s="171">
        <f t="shared" si="29"/>
        <v>124565</v>
      </c>
      <c r="F117" s="171"/>
      <c r="G117" s="171">
        <f>E117+F117</f>
        <v>124565</v>
      </c>
      <c r="H117" s="172">
        <f t="shared" si="30"/>
        <v>2.6029591381491857E-2</v>
      </c>
      <c r="I117" s="337"/>
      <c r="J117" s="168"/>
      <c r="K117" s="168"/>
      <c r="M117" s="364">
        <f t="shared" si="31"/>
        <v>6.3010268602357229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490">
        <f>'[78]Sch C'!D119</f>
        <v>0</v>
      </c>
      <c r="D118" s="490">
        <f>'[78]Sch C'!F119</f>
        <v>19</v>
      </c>
      <c r="E118" s="171">
        <f t="shared" si="29"/>
        <v>19</v>
      </c>
      <c r="F118" s="171"/>
      <c r="G118" s="171">
        <f>E118+F118</f>
        <v>19</v>
      </c>
      <c r="H118" s="172">
        <f t="shared" si="30"/>
        <v>3.9703145847416632E-6</v>
      </c>
      <c r="I118" s="337"/>
      <c r="J118" s="168"/>
      <c r="K118" s="168"/>
      <c r="M118" s="364">
        <f t="shared" si="31"/>
        <v>9.6110071323789767E-4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490">
        <f>SUM(C114:C118)</f>
        <v>124565</v>
      </c>
      <c r="D119" s="490">
        <f>SUM(D114:D118)</f>
        <v>19</v>
      </c>
      <c r="E119" s="171">
        <f t="shared" ref="E119:F119" si="32">SUM(E114:E118)</f>
        <v>124584</v>
      </c>
      <c r="F119" s="171">
        <f t="shared" si="32"/>
        <v>0</v>
      </c>
      <c r="G119" s="171">
        <f>SUM(G114:G118)</f>
        <v>124584</v>
      </c>
      <c r="H119" s="172">
        <f t="shared" si="30"/>
        <v>2.6033561696076599E-2</v>
      </c>
      <c r="I119" s="337"/>
      <c r="J119" s="168"/>
      <c r="K119" s="168"/>
      <c r="M119" s="364">
        <f t="shared" si="31"/>
        <v>6.3019879609489609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1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490">
        <f>'[78]Sch C'!D124</f>
        <v>0</v>
      </c>
      <c r="D123" s="490">
        <f>'[78]Sch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7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0.77002560279620991</v>
      </c>
    </row>
    <row r="124" spans="1:14" s="167" customFormat="1">
      <c r="B124" s="163" t="s">
        <v>194</v>
      </c>
      <c r="C124" s="490">
        <f>'[78]Sch C'!D125</f>
        <v>319910</v>
      </c>
      <c r="D124" s="490">
        <f>'[78]Sch C'!F125</f>
        <v>0</v>
      </c>
      <c r="E124" s="171">
        <f t="shared" si="33"/>
        <v>319910</v>
      </c>
      <c r="F124" s="171"/>
      <c r="G124" s="171">
        <f>E124+F124</f>
        <v>319910</v>
      </c>
      <c r="H124" s="172">
        <f>IF($G$208=0,0,G124/$G$208)</f>
        <v>6.6849649410773967E-2</v>
      </c>
      <c r="I124" s="337"/>
      <c r="J124" s="183">
        <v>8453</v>
      </c>
      <c r="K124" s="183">
        <v>8795</v>
      </c>
      <c r="M124" s="364">
        <f t="shared" si="34"/>
        <v>16.182406798522941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490">
        <f>'[78]Sch C'!D126</f>
        <v>0</v>
      </c>
      <c r="D125" s="490">
        <f>'[78]Sch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7"/>
      <c r="J125" s="183">
        <v>0</v>
      </c>
      <c r="K125" s="183">
        <v>0</v>
      </c>
      <c r="M125" s="364">
        <f t="shared" si="34"/>
        <v>0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490">
        <f>'[78]Sch C'!D127</f>
        <v>0</v>
      </c>
      <c r="D126" s="490">
        <f>'[78]Sch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7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490">
        <f>'[78]Sch C'!D128</f>
        <v>55866</v>
      </c>
      <c r="D127" s="490">
        <f>'[78]Sch C'!F128</f>
        <v>0</v>
      </c>
      <c r="E127" s="171">
        <f t="shared" si="33"/>
        <v>55866</v>
      </c>
      <c r="F127" s="171"/>
      <c r="G127" s="171">
        <f>E127+F127</f>
        <v>55866</v>
      </c>
      <c r="H127" s="172">
        <f>IF($G$208=0,0,G127/$G$208)</f>
        <v>1.1673978662693566E-2</v>
      </c>
      <c r="I127" s="337"/>
      <c r="J127" s="183">
        <v>3732</v>
      </c>
      <c r="K127" s="183">
        <v>3920</v>
      </c>
      <c r="M127" s="364">
        <f t="shared" si="34"/>
        <v>2.8259396024078103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205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490">
        <f>'[78]Sch C'!D130</f>
        <v>0</v>
      </c>
      <c r="D129" s="490">
        <f>'[78]Sch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7"/>
      <c r="J129" s="204"/>
      <c r="K129" s="204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490">
        <f>'[78]Sch C'!D131</f>
        <v>31492</v>
      </c>
      <c r="D130" s="490">
        <f>'[78]Sch C'!F131</f>
        <v>5101</v>
      </c>
      <c r="E130" s="171">
        <f t="shared" si="35"/>
        <v>36593</v>
      </c>
      <c r="F130" s="171"/>
      <c r="G130" s="171">
        <f>E130+F130</f>
        <v>36593</v>
      </c>
      <c r="H130" s="172">
        <f>IF($G$208=0,0,G130/$G$208)</f>
        <v>7.6466169262869301E-3</v>
      </c>
      <c r="I130" s="337"/>
      <c r="J130" s="204"/>
      <c r="K130" s="204"/>
      <c r="M130" s="364">
        <f t="shared" si="34"/>
        <v>1.8510293894481258</v>
      </c>
      <c r="N130" s="359">
        <f>SUMMARY!J133</f>
        <v>1.0792348507966931</v>
      </c>
    </row>
    <row r="131" spans="1:14" s="167" customFormat="1">
      <c r="B131" s="163" t="s">
        <v>195</v>
      </c>
      <c r="C131" s="490">
        <f>'[78]Sch C'!D132</f>
        <v>0</v>
      </c>
      <c r="D131" s="490">
        <f>'[78]Sch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7"/>
      <c r="J131" s="168"/>
      <c r="K131" s="168"/>
      <c r="M131" s="364">
        <f t="shared" si="34"/>
        <v>0</v>
      </c>
      <c r="N131" s="359">
        <f>SUMMARY!J134</f>
        <v>8.2765628075518377E-2</v>
      </c>
    </row>
    <row r="132" spans="1:14" s="167" customFormat="1">
      <c r="B132" s="163" t="s">
        <v>196</v>
      </c>
      <c r="C132" s="490">
        <f>'[78]Sch C'!D133</f>
        <v>0</v>
      </c>
      <c r="D132" s="490">
        <f>'[78]Sch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490">
        <f>'[78]Sch C'!D134</f>
        <v>5677</v>
      </c>
      <c r="D133" s="490">
        <f>'[78]Sch C'!F134</f>
        <v>891</v>
      </c>
      <c r="E133" s="171">
        <f t="shared" si="35"/>
        <v>6568</v>
      </c>
      <c r="F133" s="171"/>
      <c r="G133" s="171">
        <f>E133+F133</f>
        <v>6568</v>
      </c>
      <c r="H133" s="172">
        <f>IF($G$208=0,0,G133/$G$208)</f>
        <v>1.3724750627675392E-3</v>
      </c>
      <c r="I133" s="337"/>
      <c r="J133" s="168"/>
      <c r="K133" s="168"/>
      <c r="M133" s="364">
        <f t="shared" si="34"/>
        <v>0.33223734129192167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490">
        <f>'[78]Sch C'!D136</f>
        <v>136221</v>
      </c>
      <c r="D135" s="490">
        <f>'[78]Sch C'!F136</f>
        <v>3329</v>
      </c>
      <c r="E135" s="171">
        <f t="shared" ref="E135:E138" si="36">C135+D135</f>
        <v>139550</v>
      </c>
      <c r="F135" s="171"/>
      <c r="G135" s="171">
        <f>E135+F135</f>
        <v>139550</v>
      </c>
      <c r="H135" s="172">
        <f>IF($G$208=0,0,G135/$G$208)</f>
        <v>2.9160915805299951E-2</v>
      </c>
      <c r="I135" s="337"/>
      <c r="J135" s="183">
        <v>5357</v>
      </c>
      <c r="K135" s="183">
        <v>5470</v>
      </c>
      <c r="M135" s="364">
        <f t="shared" si="34"/>
        <v>7.0590318174920332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490">
        <f>'[78]Sch C'!D137</f>
        <v>407983</v>
      </c>
      <c r="D136" s="490">
        <f>'[78]Sch C'!F137</f>
        <v>9588</v>
      </c>
      <c r="E136" s="171">
        <f t="shared" si="36"/>
        <v>417571</v>
      </c>
      <c r="F136" s="171"/>
      <c r="G136" s="171">
        <f>E136+F136</f>
        <v>417571</v>
      </c>
      <c r="H136" s="172">
        <f>IF($G$208=0,0,G136/$G$208)</f>
        <v>8.7257275340271626E-2</v>
      </c>
      <c r="I136" s="337"/>
      <c r="J136" s="183">
        <v>16534</v>
      </c>
      <c r="K136" s="183">
        <v>17021</v>
      </c>
      <c r="M136" s="364">
        <f t="shared" si="34"/>
        <v>21.122515048813799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490">
        <f>'[78]Sch C'!D138</f>
        <v>480002</v>
      </c>
      <c r="D137" s="490">
        <f>'[78]Sch C'!F138</f>
        <v>11048</v>
      </c>
      <c r="E137" s="171">
        <f t="shared" si="36"/>
        <v>491050</v>
      </c>
      <c r="F137" s="171"/>
      <c r="G137" s="171">
        <f>E137+F137</f>
        <v>491050</v>
      </c>
      <c r="H137" s="172">
        <f>IF($G$208=0,0,G137/$G$208)</f>
        <v>0.10261173562302071</v>
      </c>
      <c r="I137" s="337"/>
      <c r="J137" s="183">
        <v>41005</v>
      </c>
      <c r="K137" s="183">
        <v>41865</v>
      </c>
      <c r="M137" s="364">
        <f t="shared" si="34"/>
        <v>24.83939501239314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490">
        <f>'[78]Sch C'!D139</f>
        <v>23965</v>
      </c>
      <c r="D138" s="490">
        <f>'[78]Sch C'!F139</f>
        <v>-23965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7"/>
      <c r="J138" s="183">
        <v>0</v>
      </c>
      <c r="K138" s="183">
        <v>0</v>
      </c>
      <c r="M138" s="364">
        <f t="shared" si="34"/>
        <v>0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7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490">
        <f>'[78]Sch C'!D141</f>
        <v>0</v>
      </c>
      <c r="D140" s="490">
        <f>'[78]Sch C'!F141</f>
        <v>22418</v>
      </c>
      <c r="E140" s="171">
        <f t="shared" ref="E140:E143" si="37">C140+D140</f>
        <v>22418</v>
      </c>
      <c r="F140" s="171"/>
      <c r="G140" s="171">
        <f>E140+F140</f>
        <v>22418</v>
      </c>
      <c r="H140" s="172">
        <f>IF($G$208=0,0,G140/$G$208)</f>
        <v>4.6845532821441372E-3</v>
      </c>
      <c r="I140" s="337"/>
      <c r="J140" s="168"/>
      <c r="K140" s="168"/>
      <c r="M140" s="364">
        <f t="shared" si="34"/>
        <v>1.1339976731245891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490">
        <f>'[78]Sch C'!D142</f>
        <v>0</v>
      </c>
      <c r="D141" s="490">
        <f>'[78]Sch C'!F142</f>
        <v>50678</v>
      </c>
      <c r="E141" s="171">
        <f t="shared" si="37"/>
        <v>50678</v>
      </c>
      <c r="F141" s="171"/>
      <c r="G141" s="171">
        <f>E141+F141</f>
        <v>50678</v>
      </c>
      <c r="H141" s="172">
        <f>IF($G$208=0,0,G141/$G$208)</f>
        <v>1.0589873817133579E-2</v>
      </c>
      <c r="I141" s="337"/>
      <c r="J141" s="168"/>
      <c r="K141" s="168"/>
      <c r="M141" s="364">
        <f t="shared" si="34"/>
        <v>2.5635085234457988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490">
        <f>'[78]Sch C'!D143</f>
        <v>0</v>
      </c>
      <c r="D142" s="490">
        <f>'[78]Sch C'!F143</f>
        <v>54112</v>
      </c>
      <c r="E142" s="171">
        <f t="shared" si="37"/>
        <v>54112</v>
      </c>
      <c r="F142" s="171"/>
      <c r="G142" s="171">
        <f>E142+F142</f>
        <v>54112</v>
      </c>
      <c r="H142" s="172">
        <f>IF($G$208=0,0,G142/$G$208)</f>
        <v>1.1307455937344257E-2</v>
      </c>
      <c r="I142" s="337"/>
      <c r="J142" s="168"/>
      <c r="K142" s="168"/>
      <c r="M142" s="364">
        <f t="shared" si="34"/>
        <v>2.7372148313015328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490">
        <f>'[78]Sch C'!D144</f>
        <v>110494</v>
      </c>
      <c r="D143" s="490">
        <f>'[78]Sch C'!F144</f>
        <v>-110494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7"/>
      <c r="J143" s="168"/>
      <c r="K143" s="168"/>
      <c r="M143" s="364">
        <f t="shared" si="34"/>
        <v>0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7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490">
        <f>'[78]Sch C'!D146</f>
        <v>25400</v>
      </c>
      <c r="D145" s="490">
        <f>'[78]Sch C'!F146</f>
        <v>0</v>
      </c>
      <c r="E145" s="171">
        <f t="shared" ref="E145:E153" si="38">C145+D145</f>
        <v>25400</v>
      </c>
      <c r="F145" s="171"/>
      <c r="G145" s="171">
        <f t="shared" ref="G145:G153" si="39">E145+F145</f>
        <v>25400</v>
      </c>
      <c r="H145" s="172">
        <f t="shared" ref="H145:H153" si="40">IF($G$208=0,0,G145/$G$208)</f>
        <v>5.3076837080230652E-3</v>
      </c>
      <c r="I145" s="337"/>
      <c r="J145" s="183">
        <v>252</v>
      </c>
      <c r="K145" s="183">
        <v>252</v>
      </c>
      <c r="M145" s="364">
        <f t="shared" si="34"/>
        <v>1.2848399008548739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490">
        <f>'[78]Sch C'!D147</f>
        <v>463</v>
      </c>
      <c r="D146" s="490">
        <f>'[78]Sch C'!F147</f>
        <v>0</v>
      </c>
      <c r="E146" s="171">
        <f t="shared" si="38"/>
        <v>463</v>
      </c>
      <c r="F146" s="171"/>
      <c r="G146" s="171">
        <f t="shared" si="39"/>
        <v>463</v>
      </c>
      <c r="H146" s="172">
        <f t="shared" si="40"/>
        <v>9.6750297512388945E-5</v>
      </c>
      <c r="I146" s="337"/>
      <c r="J146" s="183">
        <v>0</v>
      </c>
      <c r="K146" s="183">
        <v>0</v>
      </c>
      <c r="M146" s="364">
        <f t="shared" si="34"/>
        <v>2.3420506854165614E-2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490">
        <f>'[78]Sch C'!D148</f>
        <v>0</v>
      </c>
      <c r="D147" s="490">
        <f>'[78]Sch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7"/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490">
        <f>'[78]Sch C'!D149</f>
        <v>0</v>
      </c>
      <c r="D148" s="490">
        <f>'[78]Sch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7"/>
      <c r="J148" s="183">
        <v>0</v>
      </c>
      <c r="K148" s="183">
        <v>0</v>
      </c>
      <c r="M148" s="364">
        <f t="shared" si="34"/>
        <v>0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490">
        <f>'[78]Sch C'!D150</f>
        <v>33348</v>
      </c>
      <c r="D149" s="490">
        <f>'[78]Sch C'!F150</f>
        <v>0</v>
      </c>
      <c r="E149" s="171">
        <f t="shared" si="38"/>
        <v>33348</v>
      </c>
      <c r="F149" s="171"/>
      <c r="G149" s="171">
        <f t="shared" si="39"/>
        <v>33348</v>
      </c>
      <c r="H149" s="172">
        <f t="shared" si="40"/>
        <v>6.9685289879981571E-3</v>
      </c>
      <c r="I149" s="337"/>
      <c r="J149" s="183">
        <v>0</v>
      </c>
      <c r="K149" s="183">
        <v>0</v>
      </c>
      <c r="M149" s="364">
        <f t="shared" si="34"/>
        <v>1.6868835044767059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490">
        <f>'[78]Sch C'!D151</f>
        <v>85896</v>
      </c>
      <c r="D150" s="490">
        <f>'[78]Sch C'!F151</f>
        <v>193</v>
      </c>
      <c r="E150" s="171">
        <f t="shared" si="38"/>
        <v>86089</v>
      </c>
      <c r="F150" s="171"/>
      <c r="G150" s="171">
        <f t="shared" si="39"/>
        <v>86089</v>
      </c>
      <c r="H150" s="172">
        <f t="shared" si="40"/>
        <v>1.7989495383464477E-2</v>
      </c>
      <c r="I150" s="337"/>
      <c r="J150" s="168"/>
      <c r="K150" s="168"/>
      <c r="M150" s="364">
        <f t="shared" si="34"/>
        <v>4.3547473316809144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490">
        <f>'[78]Sch C'!D152</f>
        <v>3898</v>
      </c>
      <c r="D151" s="490">
        <f>'[78]Sch C'!F152</f>
        <v>0</v>
      </c>
      <c r="E151" s="171">
        <f t="shared" si="38"/>
        <v>3898</v>
      </c>
      <c r="F151" s="171"/>
      <c r="G151" s="171">
        <f t="shared" si="39"/>
        <v>3898</v>
      </c>
      <c r="H151" s="172">
        <f t="shared" si="40"/>
        <v>8.1454138164857907E-4</v>
      </c>
      <c r="I151" s="337"/>
      <c r="J151" s="168"/>
      <c r="K151" s="168"/>
      <c r="M151" s="364">
        <f t="shared" si="34"/>
        <v>0.19717739895796449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490">
        <f>'[78]Sch C'!D153</f>
        <v>17905</v>
      </c>
      <c r="D152" s="490">
        <f>'[78]Sch C'!F153</f>
        <v>0</v>
      </c>
      <c r="E152" s="171">
        <f t="shared" si="38"/>
        <v>17905</v>
      </c>
      <c r="F152" s="171"/>
      <c r="G152" s="171">
        <f t="shared" si="39"/>
        <v>17905</v>
      </c>
      <c r="H152" s="172">
        <f t="shared" si="40"/>
        <v>3.7414990863052357E-3</v>
      </c>
      <c r="I152" s="337"/>
      <c r="J152" s="168"/>
      <c r="K152" s="168"/>
      <c r="M152" s="364">
        <f t="shared" si="34"/>
        <v>0.90571096160655573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490">
        <f>'[78]Sch C'!D154</f>
        <v>0</v>
      </c>
      <c r="D153" s="490">
        <f>'[78]Sch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210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490">
        <f>'[78]Sch C'!D156</f>
        <v>0</v>
      </c>
      <c r="D155" s="490">
        <f>'[78]Sch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490">
        <f>'[78]Sch C'!D157</f>
        <v>0</v>
      </c>
      <c r="D156" s="490">
        <f>'[78]Sch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490">
        <f>'[78]Sch C'!D158</f>
        <v>0</v>
      </c>
      <c r="D157" s="490">
        <f>'[78]Sch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7"/>
      <c r="J157" s="168"/>
      <c r="K157" s="168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490">
        <f>'[78]Sch C'!D159</f>
        <v>0</v>
      </c>
      <c r="D158" s="490">
        <f>'[78]Sch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490">
        <f>'[78]Sch C'!D160</f>
        <v>0</v>
      </c>
      <c r="D159" s="490">
        <f>'[78]Sch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7"/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490">
        <f>'[78]Sch C'!D161</f>
        <v>93146</v>
      </c>
      <c r="D160" s="490">
        <f>'[78]Sch C'!F161</f>
        <v>64691</v>
      </c>
      <c r="E160" s="171">
        <f t="shared" si="41"/>
        <v>157837</v>
      </c>
      <c r="F160" s="171"/>
      <c r="G160" s="171">
        <f t="shared" si="42"/>
        <v>157837</v>
      </c>
      <c r="H160" s="172">
        <f t="shared" si="43"/>
        <v>3.2982239111151043E-2</v>
      </c>
      <c r="I160" s="337"/>
      <c r="J160" s="168"/>
      <c r="K160" s="168"/>
      <c r="M160" s="364">
        <f t="shared" si="34"/>
        <v>7.9840659618594767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490">
        <f>SUM(C123:C160)</f>
        <v>1831666</v>
      </c>
      <c r="D161" s="490">
        <f>SUM(D123:D160)</f>
        <v>87590</v>
      </c>
      <c r="E161" s="171">
        <f t="shared" ref="E161:F161" si="44">SUM(E123:E160)</f>
        <v>1919256</v>
      </c>
      <c r="F161" s="171">
        <f t="shared" si="44"/>
        <v>0</v>
      </c>
      <c r="G161" s="171">
        <f>SUM(G123:G160)</f>
        <v>1919256</v>
      </c>
      <c r="H161" s="172">
        <f t="shared" si="43"/>
        <v>0.40105526782383921</v>
      </c>
      <c r="I161" s="337"/>
      <c r="J161" s="168"/>
      <c r="K161" s="168"/>
      <c r="M161" s="364">
        <f>G161/G$228</f>
        <v>97.084121604532342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337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7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490">
        <f>'[78]Sch C'!D175</f>
        <v>0</v>
      </c>
      <c r="D164" s="490">
        <f>'[78]Sch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490">
        <f>'[78]Sch C'!D176</f>
        <v>0</v>
      </c>
      <c r="D165" s="490">
        <f>'[78]Sch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490">
        <f>'[78]Sch C'!D177</f>
        <v>0</v>
      </c>
      <c r="D166" s="490">
        <f>'[78]Sch C'!F177</f>
        <v>0</v>
      </c>
      <c r="E166" s="171">
        <f t="shared" si="45"/>
        <v>0</v>
      </c>
      <c r="F166" s="216"/>
      <c r="G166" s="171">
        <f t="shared" si="46"/>
        <v>0</v>
      </c>
      <c r="H166" s="172">
        <f t="shared" si="47"/>
        <v>0</v>
      </c>
      <c r="I166" s="343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490">
        <f>'[78]Sch C'!D178</f>
        <v>0</v>
      </c>
      <c r="D167" s="490">
        <f>'[78]Sch C'!F178</f>
        <v>0</v>
      </c>
      <c r="E167" s="171">
        <f t="shared" si="45"/>
        <v>0</v>
      </c>
      <c r="F167" s="216"/>
      <c r="G167" s="171">
        <f t="shared" si="46"/>
        <v>0</v>
      </c>
      <c r="H167" s="172">
        <f t="shared" si="47"/>
        <v>0</v>
      </c>
      <c r="I167" s="344"/>
      <c r="J167" s="222"/>
      <c r="K167" s="222"/>
      <c r="L167" s="218"/>
      <c r="M167" s="364">
        <f t="shared" si="48"/>
        <v>0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490">
        <f>'[78]Sch C'!D179</f>
        <v>0</v>
      </c>
      <c r="D168" s="490">
        <f>'[78]Sch C'!F179</f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343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490">
        <f>'[78]Sch C'!D180</f>
        <v>0</v>
      </c>
      <c r="D169" s="490">
        <f>'[78]Sch C'!F180</f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344"/>
      <c r="J169" s="222"/>
      <c r="K169" s="222"/>
      <c r="L169" s="218"/>
      <c r="M169" s="364">
        <f t="shared" si="48"/>
        <v>0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490">
        <f>'[78]Sch C'!D181</f>
        <v>0</v>
      </c>
      <c r="D170" s="490">
        <f>'[78]Sch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3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490">
        <f>'[78]Sch C'!D182</f>
        <v>0</v>
      </c>
      <c r="D171" s="490">
        <f>'[78]Sch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490">
        <f>'[78]Sch C'!D183</f>
        <v>0</v>
      </c>
      <c r="D172" s="490">
        <f>'[78]Sch C'!F183</f>
        <v>0</v>
      </c>
      <c r="E172" s="171">
        <f t="shared" si="45"/>
        <v>0</v>
      </c>
      <c r="F172" s="216"/>
      <c r="G172" s="171">
        <f t="shared" si="46"/>
        <v>0</v>
      </c>
      <c r="H172" s="172">
        <f t="shared" si="47"/>
        <v>0</v>
      </c>
      <c r="I172" s="343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490">
        <f>'[78]Sch C'!D184</f>
        <v>0</v>
      </c>
      <c r="D173" s="490">
        <f>'[78]Sch C'!F184</f>
        <v>0</v>
      </c>
      <c r="E173" s="171">
        <f t="shared" si="45"/>
        <v>0</v>
      </c>
      <c r="F173" s="216"/>
      <c r="G173" s="171">
        <f t="shared" si="46"/>
        <v>0</v>
      </c>
      <c r="H173" s="172">
        <f t="shared" si="47"/>
        <v>0</v>
      </c>
      <c r="I173" s="344"/>
      <c r="J173" s="222"/>
      <c r="K173" s="222"/>
      <c r="L173" s="218"/>
      <c r="M173" s="364">
        <f t="shared" si="48"/>
        <v>0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490">
        <f>'[78]Sch C'!D185</f>
        <v>0</v>
      </c>
      <c r="D174" s="490">
        <f>'[78]Sch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3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490">
        <f>'[78]Sch C'!D186</f>
        <v>0</v>
      </c>
      <c r="D175" s="490">
        <f>'[78]Sch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490">
        <f>'[78]Sch C'!D187</f>
        <v>0</v>
      </c>
      <c r="D176" s="490">
        <f>'[78]Sch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490">
        <f>'[78]Sch C'!D188</f>
        <v>8920</v>
      </c>
      <c r="D177" s="490">
        <f>'[78]Sch C'!F188</f>
        <v>1</v>
      </c>
      <c r="E177" s="171">
        <f t="shared" si="45"/>
        <v>8921</v>
      </c>
      <c r="F177" s="216"/>
      <c r="G177" s="171">
        <f t="shared" si="46"/>
        <v>8921</v>
      </c>
      <c r="H177" s="172">
        <f t="shared" si="47"/>
        <v>1.8641671794989672E-3</v>
      </c>
      <c r="I177" s="337"/>
      <c r="J177" s="223"/>
      <c r="K177" s="218"/>
      <c r="L177" s="220"/>
      <c r="M177" s="364">
        <f t="shared" si="48"/>
        <v>0.45126207698922555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490">
        <f>'[78]Sch C'!D189</f>
        <v>0</v>
      </c>
      <c r="D178" s="490">
        <f>'[78]Sch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337"/>
      <c r="J178" s="223"/>
      <c r="K178" s="218"/>
      <c r="L178" s="220"/>
      <c r="M178" s="364">
        <f t="shared" si="48"/>
        <v>0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490">
        <f>'[78]Sch C'!D190</f>
        <v>0</v>
      </c>
      <c r="D179" s="490">
        <f>'[78]Sch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490">
        <f>'[78]Sch C'!D191</f>
        <v>8920</v>
      </c>
      <c r="D180" s="490">
        <f>'[78]Sch C'!F191</f>
        <v>0</v>
      </c>
      <c r="E180" s="171">
        <f t="shared" si="45"/>
        <v>8920</v>
      </c>
      <c r="F180" s="216"/>
      <c r="G180" s="171">
        <f t="shared" si="46"/>
        <v>8920</v>
      </c>
      <c r="H180" s="172">
        <f t="shared" si="47"/>
        <v>1.8639582155734545E-3</v>
      </c>
      <c r="I180" s="337"/>
      <c r="J180" s="223"/>
      <c r="K180" s="218"/>
      <c r="L180" s="220"/>
      <c r="M180" s="364">
        <f t="shared" si="48"/>
        <v>0.4512114927411604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490">
        <f>'[78]Sch C'!D192</f>
        <v>6592</v>
      </c>
      <c r="D181" s="490">
        <f>'[78]Sch C'!F192</f>
        <v>0</v>
      </c>
      <c r="E181" s="171">
        <f t="shared" si="45"/>
        <v>6592</v>
      </c>
      <c r="F181" s="216"/>
      <c r="G181" s="171">
        <f t="shared" si="46"/>
        <v>6592</v>
      </c>
      <c r="H181" s="172">
        <f t="shared" si="47"/>
        <v>1.3774901969798444E-3</v>
      </c>
      <c r="I181" s="337"/>
      <c r="J181" s="223"/>
      <c r="K181" s="218"/>
      <c r="L181" s="220"/>
      <c r="M181" s="364">
        <f t="shared" si="48"/>
        <v>0.33345136324548535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490">
        <f>'[78]Sch C'!D193</f>
        <v>0</v>
      </c>
      <c r="D182" s="490">
        <f>'[78]Sch C'!F193</f>
        <v>0</v>
      </c>
      <c r="E182" s="171">
        <f t="shared" si="45"/>
        <v>0</v>
      </c>
      <c r="F182" s="216"/>
      <c r="G182" s="171">
        <f t="shared" si="46"/>
        <v>0</v>
      </c>
      <c r="H182" s="172">
        <f t="shared" si="47"/>
        <v>0</v>
      </c>
      <c r="I182" s="337"/>
      <c r="J182" s="223"/>
      <c r="K182" s="218"/>
      <c r="L182" s="220"/>
      <c r="M182" s="364">
        <f t="shared" si="48"/>
        <v>0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490">
        <f>'[78]Sch C'!D194</f>
        <v>187062</v>
      </c>
      <c r="D183" s="490">
        <f>'[78]Sch C'!F194</f>
        <v>-2347</v>
      </c>
      <c r="E183" s="171">
        <f t="shared" si="45"/>
        <v>184715</v>
      </c>
      <c r="F183" s="216"/>
      <c r="G183" s="171">
        <f t="shared" si="46"/>
        <v>184715</v>
      </c>
      <c r="H183" s="172">
        <f t="shared" si="47"/>
        <v>3.8598771501081909E-2</v>
      </c>
      <c r="I183" s="337"/>
      <c r="J183" s="223"/>
      <c r="K183" s="218"/>
      <c r="M183" s="364">
        <f t="shared" si="48"/>
        <v>9.3436693813546459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490">
        <f>'[78]Sch C'!D195</f>
        <v>111701</v>
      </c>
      <c r="D184" s="490">
        <f>'[78]Sch C'!F195</f>
        <v>11503</v>
      </c>
      <c r="E184" s="171">
        <f t="shared" si="45"/>
        <v>123204</v>
      </c>
      <c r="F184" s="216"/>
      <c r="G184" s="171">
        <f t="shared" si="46"/>
        <v>123204</v>
      </c>
      <c r="H184" s="172">
        <f t="shared" si="47"/>
        <v>2.5745191478869046E-2</v>
      </c>
      <c r="I184" s="337"/>
      <c r="J184" s="223"/>
      <c r="K184" s="218"/>
      <c r="M184" s="364">
        <f t="shared" si="48"/>
        <v>6.2321816986190504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490">
        <f>'[78]Sch C'!D196</f>
        <v>0</v>
      </c>
      <c r="D185" s="490">
        <f>'[78]Sch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490">
        <f>'[78]Sch C'!D197</f>
        <v>183931</v>
      </c>
      <c r="D186" s="490">
        <f>'[78]Sch C'!F197</f>
        <v>-40247</v>
      </c>
      <c r="E186" s="171">
        <f t="shared" si="45"/>
        <v>143684</v>
      </c>
      <c r="F186" s="216"/>
      <c r="G186" s="171">
        <f t="shared" si="46"/>
        <v>143684</v>
      </c>
      <c r="H186" s="172">
        <f t="shared" si="47"/>
        <v>3.0024772673369532E-2</v>
      </c>
      <c r="I186" s="337"/>
      <c r="J186" s="223"/>
      <c r="K186" s="218"/>
      <c r="M186" s="364">
        <f t="shared" si="48"/>
        <v>7.2681470989933734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490">
        <f>'[78]Sch C'!D198</f>
        <v>0</v>
      </c>
      <c r="D187" s="490">
        <f>'[78]Sch C'!F198</f>
        <v>0</v>
      </c>
      <c r="E187" s="171">
        <f t="shared" si="45"/>
        <v>0</v>
      </c>
      <c r="F187" s="216"/>
      <c r="G187" s="171">
        <f t="shared" si="46"/>
        <v>0</v>
      </c>
      <c r="H187" s="172">
        <f t="shared" si="47"/>
        <v>0</v>
      </c>
      <c r="I187" s="337"/>
      <c r="J187" s="223"/>
      <c r="K187" s="218"/>
      <c r="M187" s="364">
        <f t="shared" si="48"/>
        <v>0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490">
        <f>'[78]Sch C'!D199</f>
        <v>0</v>
      </c>
      <c r="D188" s="490">
        <f>'[78]Sch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7"/>
      <c r="J188" s="223"/>
      <c r="K188" s="218"/>
      <c r="M188" s="364">
        <f t="shared" si="48"/>
        <v>0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490">
        <f>'[78]Sch C'!D200</f>
        <v>0</v>
      </c>
      <c r="D189" s="490">
        <f>'[78]Sch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7"/>
      <c r="J189" s="223"/>
      <c r="K189" s="218"/>
      <c r="M189" s="364">
        <f t="shared" si="48"/>
        <v>0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490">
        <f>'[78]Sch C'!D201</f>
        <v>0</v>
      </c>
      <c r="D190" s="490">
        <f>'[78]Sch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7"/>
      <c r="J190" s="223"/>
      <c r="K190" s="218"/>
      <c r="M190" s="364">
        <f t="shared" si="48"/>
        <v>0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490">
        <f>'[78]Sch C'!D202</f>
        <v>0</v>
      </c>
      <c r="D191" s="490">
        <f>'[78]Sch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490">
        <f>'[78]Sch C'!D203</f>
        <v>0</v>
      </c>
      <c r="D192" s="490">
        <f>'[78]Sch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7"/>
      <c r="J192" s="223"/>
      <c r="K192" s="218"/>
      <c r="M192" s="364">
        <f t="shared" si="48"/>
        <v>0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490">
        <f>'[78]Sch C'!D204</f>
        <v>0</v>
      </c>
      <c r="D193" s="490">
        <f>'[78]Sch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490">
        <f>'[78]Sch C'!D205</f>
        <v>172229</v>
      </c>
      <c r="D194" s="490">
        <f>'[78]Sch C'!F205</f>
        <v>0</v>
      </c>
      <c r="E194" s="171">
        <f t="shared" si="45"/>
        <v>172229</v>
      </c>
      <c r="F194" s="216"/>
      <c r="G194" s="171">
        <f t="shared" si="46"/>
        <v>172229</v>
      </c>
      <c r="H194" s="172">
        <f t="shared" si="47"/>
        <v>3.5989647927130101E-2</v>
      </c>
      <c r="I194" s="337"/>
      <c r="J194" s="223"/>
      <c r="K194" s="218"/>
      <c r="M194" s="364">
        <f t="shared" si="48"/>
        <v>8.7120744600131523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490">
        <f>'[78]Sch C'!D206</f>
        <v>0</v>
      </c>
      <c r="D195" s="490">
        <f>'[78]Sch C'!F206</f>
        <v>0</v>
      </c>
      <c r="E195" s="171">
        <f t="shared" si="45"/>
        <v>0</v>
      </c>
      <c r="F195" s="216"/>
      <c r="G195" s="171">
        <f t="shared" si="46"/>
        <v>0</v>
      </c>
      <c r="H195" s="172">
        <f t="shared" si="47"/>
        <v>0</v>
      </c>
      <c r="I195" s="337"/>
      <c r="J195" s="223"/>
      <c r="K195" s="218"/>
      <c r="M195" s="364">
        <f t="shared" si="48"/>
        <v>0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490">
        <f>'[78]Sch C'!D207</f>
        <v>6310</v>
      </c>
      <c r="D196" s="490">
        <f>'[78]Sch C'!F207</f>
        <v>0</v>
      </c>
      <c r="E196" s="171">
        <f t="shared" si="45"/>
        <v>6310</v>
      </c>
      <c r="F196" s="216"/>
      <c r="G196" s="171">
        <f t="shared" si="46"/>
        <v>6310</v>
      </c>
      <c r="H196" s="172">
        <f t="shared" si="47"/>
        <v>1.3185623699852576E-3</v>
      </c>
      <c r="I196" s="337"/>
      <c r="J196" s="223"/>
      <c r="K196" s="218"/>
      <c r="M196" s="364">
        <f t="shared" si="48"/>
        <v>0.31918660529111237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490">
        <f>SUM(C164:C196)</f>
        <v>685665</v>
      </c>
      <c r="D197" s="490">
        <f>SUM(D164:D196)</f>
        <v>-31090</v>
      </c>
      <c r="E197" s="171">
        <f t="shared" ref="E197:F197" si="49">SUM(E164:E196)</f>
        <v>654575</v>
      </c>
      <c r="F197" s="171">
        <f t="shared" si="49"/>
        <v>0</v>
      </c>
      <c r="G197" s="171">
        <f>SUM(G164:G196)</f>
        <v>654575</v>
      </c>
      <c r="H197" s="172">
        <f>IF($G$208=0,0,G197/$G$208)</f>
        <v>0.13678256154248811</v>
      </c>
      <c r="I197" s="337"/>
      <c r="J197" s="168"/>
      <c r="K197" s="168"/>
      <c r="M197" s="364">
        <f>G197/G$228</f>
        <v>33.111184177247203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165"/>
      <c r="G198" s="165"/>
      <c r="H198" s="198"/>
      <c r="I198" s="341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1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490">
        <f>'[78]Sch C'!D211</f>
        <v>81662</v>
      </c>
      <c r="D200" s="490">
        <f>'[78]Sch C'!F211</f>
        <v>0</v>
      </c>
      <c r="E200" s="171">
        <f t="shared" ref="E200:E205" si="50">C200+D200</f>
        <v>81662</v>
      </c>
      <c r="F200" s="171"/>
      <c r="G200" s="171">
        <f t="shared" ref="G200:G205" si="51">E200+F200</f>
        <v>81662</v>
      </c>
      <c r="H200" s="172">
        <f t="shared" ref="H200:H206" si="52">IF($G$208=0,0,G200/$G$208)</f>
        <v>1.7064412085219669E-2</v>
      </c>
      <c r="I200" s="337"/>
      <c r="J200" s="183">
        <v>5162</v>
      </c>
      <c r="K200" s="183">
        <v>5400</v>
      </c>
      <c r="M200" s="364">
        <f t="shared" ref="M200:M205" si="53">G200/G$228</f>
        <v>4.1308108654964846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490">
        <f>'[78]Sch C'!D212</f>
        <v>8405</v>
      </c>
      <c r="D201" s="490">
        <f>'[78]Sch C'!F212</f>
        <v>1302</v>
      </c>
      <c r="E201" s="171">
        <f t="shared" si="50"/>
        <v>9707</v>
      </c>
      <c r="F201" s="171"/>
      <c r="G201" s="171">
        <f t="shared" si="51"/>
        <v>9707</v>
      </c>
      <c r="H201" s="172">
        <f t="shared" si="52"/>
        <v>2.0284128249519642E-3</v>
      </c>
      <c r="I201" s="337"/>
      <c r="J201" s="168"/>
      <c r="K201" s="168"/>
      <c r="M201" s="364">
        <f t="shared" si="53"/>
        <v>0.49102129596843541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490">
        <f>'[78]Sch C'!D213</f>
        <v>18097</v>
      </c>
      <c r="D202" s="490">
        <f>'[78]Sch C'!F213</f>
        <v>0</v>
      </c>
      <c r="E202" s="171">
        <f t="shared" si="50"/>
        <v>18097</v>
      </c>
      <c r="F202" s="171"/>
      <c r="G202" s="171">
        <f t="shared" si="51"/>
        <v>18097</v>
      </c>
      <c r="H202" s="172">
        <f t="shared" si="52"/>
        <v>3.7816201600036777E-3</v>
      </c>
      <c r="I202" s="337"/>
      <c r="J202" s="168"/>
      <c r="K202" s="168"/>
      <c r="M202" s="364">
        <f t="shared" si="53"/>
        <v>0.91542313723506497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490">
        <f>'[78]Sch C'!D214</f>
        <v>0</v>
      </c>
      <c r="D203" s="490">
        <f>'[78]Sch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>
        <f t="shared" si="53"/>
        <v>0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490">
        <f>'[78]Sch C'!D215</f>
        <v>0</v>
      </c>
      <c r="D204" s="490">
        <f>'[78]Sch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490">
        <f>'[78]Sch C'!D216</f>
        <v>11529</v>
      </c>
      <c r="D205" s="490">
        <f>'[78]Sch C'!F216</f>
        <v>14</v>
      </c>
      <c r="E205" s="171">
        <f t="shared" si="50"/>
        <v>11543</v>
      </c>
      <c r="F205" s="171"/>
      <c r="G205" s="171">
        <f t="shared" si="51"/>
        <v>11543</v>
      </c>
      <c r="H205" s="172">
        <f t="shared" si="52"/>
        <v>2.4120705921933166E-3</v>
      </c>
      <c r="I205" s="337"/>
      <c r="J205" s="168"/>
      <c r="K205" s="168"/>
      <c r="M205" s="364">
        <f t="shared" si="53"/>
        <v>0.58389397541605548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490">
        <f>SUM(C200:C205)</f>
        <v>119693</v>
      </c>
      <c r="D206" s="490">
        <f>SUM(D200:D205)</f>
        <v>1316</v>
      </c>
      <c r="E206" s="171">
        <f t="shared" ref="E206:F206" si="54">SUM(E200:E205)</f>
        <v>121009</v>
      </c>
      <c r="F206" s="171">
        <f t="shared" si="54"/>
        <v>0</v>
      </c>
      <c r="G206" s="171">
        <f>SUM(G200:G205)</f>
        <v>121009</v>
      </c>
      <c r="H206" s="172">
        <f t="shared" si="52"/>
        <v>2.5286515662368628E-2</v>
      </c>
      <c r="I206" s="337"/>
      <c r="J206" s="168"/>
      <c r="K206" s="168"/>
      <c r="M206" s="364">
        <f>G206/G$228</f>
        <v>6.12114927411604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490">
        <f>SUM(C25:C206)/2</f>
        <v>5092963</v>
      </c>
      <c r="D208" s="490">
        <f>SUM(D25:D206)/2</f>
        <v>-307448</v>
      </c>
      <c r="E208" s="171">
        <f t="shared" ref="E208:F208" si="55">SUM(E25:E206)/2</f>
        <v>4785515</v>
      </c>
      <c r="F208" s="171">
        <f t="shared" si="55"/>
        <v>0</v>
      </c>
      <c r="G208" s="171">
        <f>SUM(G25:G206)/2</f>
        <v>4785515</v>
      </c>
      <c r="H208" s="172">
        <f>IF($G$208=0,0,G208/$G$208)</f>
        <v>1</v>
      </c>
      <c r="I208" s="337"/>
      <c r="J208" s="183">
        <f>SUM(J25:J200)</f>
        <v>92554</v>
      </c>
      <c r="K208" s="183">
        <f>SUM(K25:K200)</f>
        <v>95391</v>
      </c>
      <c r="M208" s="364">
        <f>G208/G$228</f>
        <v>242.07167787950831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490">
        <f>'[78]Sch C'!D221</f>
        <v>5092963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490">
        <f>C208-C211</f>
        <v>0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619"/>
      <c r="D213" s="232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490">
        <f>C21-C208</f>
        <v>-331294</v>
      </c>
      <c r="D215" s="490">
        <f>D21-D208</f>
        <v>303378</v>
      </c>
      <c r="E215" s="171">
        <f t="shared" ref="E215:F215" si="56">E21-E208</f>
        <v>-27916</v>
      </c>
      <c r="F215" s="171">
        <f t="shared" si="56"/>
        <v>0</v>
      </c>
      <c r="G215" s="171">
        <f>G21-G208</f>
        <v>-27916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491">
        <f>'[78]Sch D'!C9</f>
        <v>15435</v>
      </c>
      <c r="D219" s="491"/>
      <c r="E219" s="235">
        <f t="shared" ref="E219:G227" si="57">C219+D219</f>
        <v>15435</v>
      </c>
      <c r="F219" s="234"/>
      <c r="G219" s="235">
        <f t="shared" si="57"/>
        <v>15435</v>
      </c>
      <c r="H219" s="172">
        <f t="shared" ref="H219:H228" si="58">IF($G$228=0,0,G219/$G$228)</f>
        <v>0.78076786888562899</v>
      </c>
      <c r="I219" s="337"/>
      <c r="J219" s="168"/>
      <c r="K219" s="168"/>
    </row>
    <row r="220" spans="1:14">
      <c r="A220" s="163"/>
      <c r="B220" s="170" t="s">
        <v>217</v>
      </c>
      <c r="C220" s="491">
        <f>'[78]Sch D'!D9</f>
        <v>0</v>
      </c>
      <c r="D220" s="491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7"/>
      <c r="J220" s="168"/>
      <c r="K220" s="168"/>
    </row>
    <row r="221" spans="1:14">
      <c r="A221" s="163"/>
      <c r="B221" s="170" t="s">
        <v>72</v>
      </c>
      <c r="C221" s="491">
        <f>'[78]Sch D'!E9</f>
        <v>1959</v>
      </c>
      <c r="D221" s="491"/>
      <c r="E221" s="235">
        <f t="shared" si="59"/>
        <v>1959</v>
      </c>
      <c r="F221" s="234"/>
      <c r="G221" s="235">
        <f t="shared" si="57"/>
        <v>1959</v>
      </c>
      <c r="H221" s="172">
        <f t="shared" si="58"/>
        <v>9.909454195963377E-2</v>
      </c>
      <c r="I221" s="337"/>
      <c r="J221" s="168"/>
      <c r="K221" s="168"/>
    </row>
    <row r="222" spans="1:14">
      <c r="A222" s="163"/>
      <c r="B222" s="202" t="s">
        <v>334</v>
      </c>
      <c r="C222" s="491">
        <f>'[78]Sch D'!F9</f>
        <v>362</v>
      </c>
      <c r="D222" s="491"/>
      <c r="E222" s="235">
        <f>C222+D222</f>
        <v>362</v>
      </c>
      <c r="F222" s="234"/>
      <c r="G222" s="235">
        <f>E222+F222</f>
        <v>362</v>
      </c>
      <c r="H222" s="172">
        <f t="shared" si="58"/>
        <v>1.831149779958521E-2</v>
      </c>
      <c r="I222" s="337"/>
      <c r="J222" s="168"/>
      <c r="K222" s="168"/>
    </row>
    <row r="223" spans="1:14">
      <c r="A223" s="163"/>
      <c r="B223" s="170" t="s">
        <v>73</v>
      </c>
      <c r="C223" s="491">
        <f>'[78]Sch D'!G9</f>
        <v>0</v>
      </c>
      <c r="D223" s="491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7"/>
      <c r="J223" s="168"/>
      <c r="K223" s="168"/>
    </row>
    <row r="224" spans="1:14">
      <c r="A224" s="163"/>
      <c r="B224" s="170" t="s">
        <v>74</v>
      </c>
      <c r="C224" s="491">
        <f>'[78]Sch D'!H9</f>
        <v>833</v>
      </c>
      <c r="D224" s="491"/>
      <c r="E224" s="235">
        <f t="shared" si="59"/>
        <v>833</v>
      </c>
      <c r="F224" s="234"/>
      <c r="G224" s="235">
        <f t="shared" si="57"/>
        <v>833</v>
      </c>
      <c r="H224" s="172">
        <f t="shared" si="58"/>
        <v>4.2136678638272043E-2</v>
      </c>
      <c r="I224" s="337"/>
      <c r="J224" s="168"/>
      <c r="K224" s="168"/>
    </row>
    <row r="225" spans="1:11">
      <c r="A225" s="163"/>
      <c r="B225" s="170" t="s">
        <v>236</v>
      </c>
      <c r="C225" s="491">
        <f>'[78]Sch D'!I9</f>
        <v>473</v>
      </c>
      <c r="D225" s="491"/>
      <c r="E225" s="235">
        <f t="shared" si="59"/>
        <v>473</v>
      </c>
      <c r="F225" s="234"/>
      <c r="G225" s="235">
        <f t="shared" si="57"/>
        <v>473</v>
      </c>
      <c r="H225" s="172">
        <f t="shared" si="58"/>
        <v>2.3926349334817139E-2</v>
      </c>
      <c r="I225" s="337"/>
      <c r="J225" s="168"/>
      <c r="K225" s="168"/>
    </row>
    <row r="226" spans="1:11">
      <c r="A226" s="163"/>
      <c r="B226" s="170" t="s">
        <v>235</v>
      </c>
      <c r="C226" s="491">
        <f>'[78]Sch D'!J9</f>
        <v>0</v>
      </c>
      <c r="D226" s="491"/>
      <c r="E226" s="235">
        <f>C226+D226</f>
        <v>0</v>
      </c>
      <c r="F226" s="234"/>
      <c r="G226" s="235">
        <f>E226+F226</f>
        <v>0</v>
      </c>
      <c r="H226" s="172">
        <f t="shared" si="58"/>
        <v>0</v>
      </c>
      <c r="I226" s="337"/>
      <c r="J226" s="168"/>
      <c r="K226" s="168"/>
    </row>
    <row r="227" spans="1:11">
      <c r="A227" s="163"/>
      <c r="B227" s="170" t="s">
        <v>179</v>
      </c>
      <c r="C227" s="491">
        <f>'[78]Sch D'!K9</f>
        <v>707</v>
      </c>
      <c r="D227" s="491"/>
      <c r="E227" s="235">
        <f t="shared" si="59"/>
        <v>707</v>
      </c>
      <c r="F227" s="234"/>
      <c r="G227" s="235">
        <f t="shared" si="57"/>
        <v>707</v>
      </c>
      <c r="H227" s="172">
        <f t="shared" si="58"/>
        <v>3.5763063382062824E-2</v>
      </c>
      <c r="I227" s="337"/>
      <c r="J227" s="168"/>
      <c r="K227" s="168"/>
    </row>
    <row r="228" spans="1:11" ht="13.5" thickBot="1">
      <c r="A228" s="163"/>
      <c r="B228" s="236" t="s">
        <v>75</v>
      </c>
      <c r="C228" s="491">
        <f>SUM(C219:C227)</f>
        <v>19769</v>
      </c>
      <c r="D228" s="491">
        <f>SUM(D219:D227)</f>
        <v>0</v>
      </c>
      <c r="E228" s="237">
        <f>SUM(E219:E227)</f>
        <v>19769</v>
      </c>
      <c r="F228" s="237">
        <f>SUM(F219:F227)</f>
        <v>0</v>
      </c>
      <c r="G228" s="237">
        <f>SUM(G219:G227)</f>
        <v>19769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620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619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492">
        <f>'[78]Sch D'!N22</f>
        <v>99</v>
      </c>
      <c r="D231" s="526"/>
      <c r="E231" s="235">
        <f>C231+D231</f>
        <v>99</v>
      </c>
      <c r="F231" s="235"/>
      <c r="G231" s="235">
        <f>E231+F231</f>
        <v>99</v>
      </c>
      <c r="H231" s="167"/>
      <c r="J231" s="168"/>
      <c r="K231" s="168"/>
    </row>
    <row r="232" spans="1:11">
      <c r="A232" s="163"/>
      <c r="B232" s="202" t="s">
        <v>290</v>
      </c>
      <c r="C232" s="492">
        <f>'[78]Sch D'!N24</f>
        <v>99</v>
      </c>
      <c r="D232" s="526"/>
      <c r="E232" s="235">
        <f>C232+D232</f>
        <v>99</v>
      </c>
      <c r="F232" s="235"/>
      <c r="G232" s="235">
        <f>E232+F232</f>
        <v>99</v>
      </c>
      <c r="H232" s="167"/>
      <c r="J232" s="168"/>
      <c r="K232" s="168"/>
    </row>
    <row r="233" spans="1:11">
      <c r="A233" s="163"/>
      <c r="B233" s="202" t="s">
        <v>76</v>
      </c>
      <c r="C233" s="492">
        <f>$C$4-$C$3+1</f>
        <v>365</v>
      </c>
      <c r="D233" s="489"/>
      <c r="E233" s="235">
        <f>C233+D233</f>
        <v>365</v>
      </c>
      <c r="F233" s="240"/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621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492">
        <f>'[78]Sch D'!N28</f>
        <v>36135</v>
      </c>
      <c r="D235" s="489"/>
      <c r="E235" s="234">
        <f>E231*E233</f>
        <v>36135</v>
      </c>
      <c r="F235" s="240"/>
      <c r="G235" s="234">
        <f>G231*G233</f>
        <v>36135</v>
      </c>
      <c r="H235" s="167"/>
      <c r="J235" s="168"/>
      <c r="K235" s="168"/>
    </row>
    <row r="236" spans="1:11" ht="26">
      <c r="A236" s="163"/>
      <c r="B236" s="244" t="s">
        <v>336</v>
      </c>
      <c r="C236" s="493">
        <f>'[78]Sch D'!N30</f>
        <v>0.54708731147087308</v>
      </c>
      <c r="D236" s="240"/>
      <c r="E236" s="245">
        <f>E228/E235</f>
        <v>0.54708731147087308</v>
      </c>
      <c r="F236" s="246"/>
      <c r="G236" s="245">
        <f>G228/G235</f>
        <v>0.54708731147087308</v>
      </c>
      <c r="H236" s="167"/>
      <c r="J236" s="168"/>
      <c r="K236" s="168"/>
    </row>
    <row r="237" spans="1:11" ht="26">
      <c r="A237" s="163"/>
      <c r="B237" s="244" t="s">
        <v>337</v>
      </c>
      <c r="C237" s="493">
        <f>'[78]Sch D'!N32</f>
        <v>0.42714819427148193</v>
      </c>
      <c r="D237" s="240"/>
      <c r="E237" s="245">
        <f>(E219+E220)/E235</f>
        <v>0.42714819427148193</v>
      </c>
      <c r="F237" s="246"/>
      <c r="G237" s="245">
        <f>(G219+G220)/G235</f>
        <v>0.42714819427148193</v>
      </c>
      <c r="H237" s="167"/>
      <c r="J237" s="168"/>
      <c r="K237" s="168"/>
    </row>
    <row r="238" spans="1:11" ht="26">
      <c r="A238" s="163"/>
      <c r="B238" s="244" t="s">
        <v>338</v>
      </c>
      <c r="C238" s="493">
        <f>'[78]Sch D'!N34</f>
        <v>0.78076786888562899</v>
      </c>
      <c r="D238" s="240"/>
      <c r="E238" s="245">
        <f>(E237/E236)</f>
        <v>0.78076786888562899</v>
      </c>
      <c r="F238" s="246"/>
      <c r="G238" s="245">
        <f>(G237/G236)</f>
        <v>0.78076786888562899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490">
        <f>'[78]Sch B'!C85</f>
        <v>190</v>
      </c>
    </row>
    <row r="242" spans="2:7">
      <c r="F242" s="142" t="s">
        <v>341</v>
      </c>
      <c r="G242" s="490">
        <f>'[78]Sch B'!E85</f>
        <v>190</v>
      </c>
    </row>
    <row r="243" spans="2:7">
      <c r="F243" s="142" t="s">
        <v>342</v>
      </c>
      <c r="G243" s="490">
        <f>'[78]Sch B'!G85</f>
        <v>190.10638297872342</v>
      </c>
    </row>
    <row r="244" spans="2:7">
      <c r="F244" s="142" t="s">
        <v>343</v>
      </c>
      <c r="G244" s="490">
        <f>'[78]Sch B'!I85</f>
        <v>199.33839479392626</v>
      </c>
    </row>
    <row r="245" spans="2:7">
      <c r="F245" s="142"/>
    </row>
  </sheetData>
  <customSheetViews>
    <customSheetView guid="{8B6AA640-12E9-11D5-ABB1-E7A21A3D4A14}" showGridLines="0" showRuler="0">
      <pageMargins left="0.75" right="0.75" top="1" bottom="1" header="0.5" footer="0.5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 topLeftCell="C1">
      <selection activeCell="J16" sqref="J16"/>
      <pageMargins left="0" right="0" top="1" bottom="1" header="0.5" footer="0.5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8">
    <tabColor rgb="FFE28CAB"/>
  </sheetPr>
  <dimension ref="A1:Q245"/>
  <sheetViews>
    <sheetView showGridLines="0" zoomScale="90" zoomScaleNormal="90" workbookViewId="0">
      <pane xSplit="2" topLeftCell="C1" activePane="topRight" state="frozen"/>
      <selection activeCell="N1" sqref="N1"/>
      <selection pane="topRight"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7" width="14.164062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478"/>
      <c r="E1" s="478"/>
      <c r="F1" s="478"/>
      <c r="G1" s="478"/>
      <c r="H1" s="478"/>
      <c r="I1" s="479"/>
    </row>
    <row r="2" spans="1:14" ht="23">
      <c r="B2" s="143" t="s">
        <v>189</v>
      </c>
      <c r="C2" s="247" t="s">
        <v>400</v>
      </c>
      <c r="D2" s="247"/>
      <c r="E2" s="144"/>
    </row>
    <row r="3" spans="1:14">
      <c r="A3" s="145"/>
      <c r="B3" s="140" t="s">
        <v>79</v>
      </c>
      <c r="C3" s="495">
        <v>41821</v>
      </c>
      <c r="D3" s="144"/>
      <c r="E3" s="147"/>
    </row>
    <row r="4" spans="1:14">
      <c r="A4" s="145"/>
      <c r="B4" s="148" t="s">
        <v>80</v>
      </c>
      <c r="C4" s="495">
        <v>42185</v>
      </c>
      <c r="D4" s="630" t="s">
        <v>591</v>
      </c>
      <c r="E4" s="149"/>
      <c r="G4" s="150"/>
    </row>
    <row r="5" spans="1:14" ht="17.5">
      <c r="A5" s="145"/>
      <c r="B5" s="148"/>
      <c r="C5" s="151"/>
      <c r="D5" s="651" t="s">
        <v>632</v>
      </c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144"/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490">
        <f>'[79]Sch B'!E10</f>
        <v>2771574</v>
      </c>
      <c r="D11" s="490">
        <f>'[79]Sch B'!G10</f>
        <v>0</v>
      </c>
      <c r="E11" s="171">
        <f>C11+D11</f>
        <v>2771574</v>
      </c>
      <c r="F11" s="171"/>
      <c r="G11" s="171">
        <f t="shared" ref="G11:G20" si="0">E11+F11</f>
        <v>2771574</v>
      </c>
      <c r="H11" s="172">
        <f t="shared" ref="H11:H21" si="1">IF($G$21=0,0,G11/$G$21)</f>
        <v>0.53187417745451027</v>
      </c>
      <c r="I11" s="337"/>
      <c r="J11" s="368" t="s">
        <v>344</v>
      </c>
      <c r="K11" s="369">
        <f>G21</f>
        <v>5210958</v>
      </c>
      <c r="M11" s="359">
        <f>IFERROR(G11/G219,0)</f>
        <v>160.43843704775688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490">
        <f>'[79]Sch B'!E15</f>
        <v>0</v>
      </c>
      <c r="D12" s="490">
        <f>'[79]Sch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7"/>
      <c r="J12" s="370" t="s">
        <v>345</v>
      </c>
      <c r="K12" s="371">
        <f>G208</f>
        <v>6124031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490">
        <f>'[79]Sch B'!E21</f>
        <v>1509343</v>
      </c>
      <c r="D13" s="490">
        <f>'[79]Sch B'!G21</f>
        <v>0</v>
      </c>
      <c r="E13" s="171">
        <f t="shared" si="2"/>
        <v>1509343</v>
      </c>
      <c r="F13" s="171"/>
      <c r="G13" s="171">
        <f t="shared" si="0"/>
        <v>1509343</v>
      </c>
      <c r="H13" s="172">
        <f t="shared" si="1"/>
        <v>0.28964789199989716</v>
      </c>
      <c r="I13" s="337"/>
      <c r="J13" s="370" t="s">
        <v>346</v>
      </c>
      <c r="K13" s="371">
        <f>G228</f>
        <v>25399</v>
      </c>
      <c r="M13" s="359">
        <f t="shared" si="3"/>
        <v>458.62746885445154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490">
        <f>'[79]Sch B'!E27</f>
        <v>0</v>
      </c>
      <c r="D14" s="490">
        <f>'[79]Sch B'!G27</f>
        <v>0</v>
      </c>
      <c r="E14" s="171">
        <f t="shared" si="2"/>
        <v>0</v>
      </c>
      <c r="F14" s="175"/>
      <c r="G14" s="175">
        <f>E14+F14</f>
        <v>0</v>
      </c>
      <c r="H14" s="176">
        <f t="shared" si="1"/>
        <v>0</v>
      </c>
      <c r="I14" s="338"/>
      <c r="J14" s="370" t="s">
        <v>347</v>
      </c>
      <c r="K14" s="371">
        <f>G231</f>
        <v>90</v>
      </c>
      <c r="M14" s="359">
        <f t="shared" si="3"/>
        <v>0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490">
        <f>'[79]Sch B'!E32</f>
        <v>0</v>
      </c>
      <c r="D15" s="490">
        <f>'[79]Sch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7"/>
      <c r="J15" s="370" t="s">
        <v>348</v>
      </c>
      <c r="K15" s="371">
        <f>G235</f>
        <v>32850</v>
      </c>
      <c r="M15" s="359">
        <f t="shared" si="3"/>
        <v>0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490">
        <f>'[79]Sch B'!E37</f>
        <v>902788</v>
      </c>
      <c r="D16" s="490">
        <f>'[79]Sch B'!G37</f>
        <v>0</v>
      </c>
      <c r="E16" s="171">
        <f t="shared" si="2"/>
        <v>902788</v>
      </c>
      <c r="F16" s="171"/>
      <c r="G16" s="171">
        <f t="shared" si="0"/>
        <v>902788</v>
      </c>
      <c r="H16" s="172">
        <f t="shared" si="1"/>
        <v>0.17324799010086053</v>
      </c>
      <c r="I16" s="337"/>
      <c r="J16" s="372"/>
      <c r="K16" s="371"/>
      <c r="M16" s="359">
        <f t="shared" si="3"/>
        <v>186.79660666252846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490">
        <f>'[79]Sch B'!E42</f>
        <v>0</v>
      </c>
      <c r="D17" s="490">
        <f>'[79]Sch B'!G42</f>
        <v>0</v>
      </c>
      <c r="E17" s="171">
        <f t="shared" si="2"/>
        <v>0</v>
      </c>
      <c r="F17" s="171"/>
      <c r="G17" s="171">
        <f>E17+F17</f>
        <v>0</v>
      </c>
      <c r="H17" s="172">
        <f t="shared" si="1"/>
        <v>0</v>
      </c>
      <c r="I17" s="337"/>
      <c r="J17" s="370" t="s">
        <v>156</v>
      </c>
      <c r="K17" s="371">
        <f>J208</f>
        <v>0</v>
      </c>
      <c r="M17" s="359">
        <f t="shared" si="3"/>
        <v>0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490">
        <f>'[79]Sch B'!E47</f>
        <v>0</v>
      </c>
      <c r="D18" s="490">
        <f>'[79]Sch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337"/>
      <c r="J18" s="373" t="s">
        <v>252</v>
      </c>
      <c r="K18" s="374">
        <f>K208</f>
        <v>0</v>
      </c>
      <c r="M18" s="359">
        <f t="shared" si="3"/>
        <v>0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490">
        <f>'[79]Sch B'!E52</f>
        <v>0</v>
      </c>
      <c r="D19" s="490">
        <f>'[79]Sch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337"/>
      <c r="J19" s="168"/>
      <c r="K19" s="168"/>
      <c r="M19" s="359">
        <f t="shared" si="3"/>
        <v>0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490">
        <f>'[79]Sch B'!E67</f>
        <v>27253</v>
      </c>
      <c r="D20" s="490">
        <f>'[79]Sch B'!G67</f>
        <v>0</v>
      </c>
      <c r="E20" s="171">
        <f t="shared" si="2"/>
        <v>27253</v>
      </c>
      <c r="F20" s="171"/>
      <c r="G20" s="171">
        <f t="shared" si="0"/>
        <v>27253</v>
      </c>
      <c r="H20" s="172">
        <f t="shared" si="1"/>
        <v>5.2299404447320435E-3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490">
        <f>SUM(C11:C20)</f>
        <v>5210958</v>
      </c>
      <c r="D21" s="490">
        <f>SUM(D11:D20)</f>
        <v>0</v>
      </c>
      <c r="E21" s="171">
        <f>SUM(E11:E20)</f>
        <v>5210958</v>
      </c>
      <c r="F21" s="171">
        <f>SUM(F11:F20)</f>
        <v>0</v>
      </c>
      <c r="G21" s="171">
        <f>SUM(G11:G20)</f>
        <v>5210958</v>
      </c>
      <c r="H21" s="172">
        <f t="shared" si="1"/>
        <v>1</v>
      </c>
      <c r="I21" s="337"/>
      <c r="J21" s="168"/>
      <c r="K21" s="168"/>
      <c r="M21" s="359">
        <f>IFERROR(G21/G228,0)</f>
        <v>205.16390409071224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4">
      <c r="A24" s="181" t="s">
        <v>161</v>
      </c>
      <c r="B24" s="148" t="s">
        <v>12</v>
      </c>
      <c r="M24" s="363"/>
      <c r="N24" s="363"/>
    </row>
    <row r="25" spans="1:14" s="167" customFormat="1">
      <c r="A25" s="169" t="s">
        <v>83</v>
      </c>
      <c r="B25" s="170" t="s">
        <v>14</v>
      </c>
      <c r="C25" s="490">
        <f>'[79]Sch C'!D10</f>
        <v>92783</v>
      </c>
      <c r="D25" s="490">
        <f>'[79]Sch C'!F10</f>
        <v>0</v>
      </c>
      <c r="E25" s="171">
        <f t="shared" ref="E25:E60" si="4">C25+D25</f>
        <v>92783</v>
      </c>
      <c r="F25" s="171"/>
      <c r="G25" s="182">
        <f>E25+F25</f>
        <v>92783</v>
      </c>
      <c r="H25" s="172">
        <f>IF($G$208=0,0,G25/$G$208)</f>
        <v>1.5150641791329926E-2</v>
      </c>
      <c r="I25" s="337"/>
      <c r="J25" s="183">
        <v>0</v>
      </c>
      <c r="K25" s="183">
        <v>0</v>
      </c>
      <c r="M25" s="359">
        <f>G25/G$228</f>
        <v>3.6530178353478484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490">
        <f>'[79]Sch C'!D11</f>
        <v>0</v>
      </c>
      <c r="D26" s="490">
        <f>'[79]Sch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490">
        <f>'[79]Sch C'!D12</f>
        <v>69511</v>
      </c>
      <c r="D27" s="490">
        <f>'[79]Sch C'!F12</f>
        <v>0</v>
      </c>
      <c r="E27" s="171">
        <f t="shared" si="4"/>
        <v>69511</v>
      </c>
      <c r="F27" s="171"/>
      <c r="G27" s="171">
        <f t="shared" si="5"/>
        <v>69511</v>
      </c>
      <c r="H27" s="172">
        <f t="shared" si="6"/>
        <v>1.1350530394114596E-2</v>
      </c>
      <c r="I27" s="337"/>
      <c r="J27" s="185">
        <v>0</v>
      </c>
      <c r="K27" s="185">
        <v>0</v>
      </c>
      <c r="M27" s="359">
        <f t="shared" si="7"/>
        <v>2.7367612898145595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490">
        <f>'[79]Sch C'!D13</f>
        <v>57542</v>
      </c>
      <c r="D28" s="490">
        <f>'[79]Sch C'!F13</f>
        <v>0</v>
      </c>
      <c r="E28" s="171">
        <f t="shared" si="4"/>
        <v>57542</v>
      </c>
      <c r="F28" s="171"/>
      <c r="G28" s="171">
        <f t="shared" si="5"/>
        <v>57542</v>
      </c>
      <c r="H28" s="172">
        <f t="shared" si="6"/>
        <v>9.3960987460710108E-3</v>
      </c>
      <c r="I28" s="337"/>
      <c r="J28" s="168"/>
      <c r="K28" s="168"/>
      <c r="M28" s="359">
        <f t="shared" si="7"/>
        <v>2.2655222646560889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490">
        <f>'[79]Sch C'!D14</f>
        <v>0</v>
      </c>
      <c r="D29" s="490">
        <f>'[79]Sch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490">
        <f>'[79]Sch C'!D15</f>
        <v>232063</v>
      </c>
      <c r="D30" s="490">
        <f>'[79]Sch C'!F15</f>
        <v>0</v>
      </c>
      <c r="E30" s="171">
        <f t="shared" si="4"/>
        <v>232063</v>
      </c>
      <c r="F30" s="171"/>
      <c r="G30" s="171">
        <f t="shared" si="5"/>
        <v>232063</v>
      </c>
      <c r="H30" s="172">
        <f t="shared" si="6"/>
        <v>3.7893831693536495E-2</v>
      </c>
      <c r="I30" s="337"/>
      <c r="J30" s="168"/>
      <c r="K30" s="168"/>
      <c r="M30" s="359">
        <f t="shared" si="7"/>
        <v>9.1366982952084737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490">
        <f>'[79]Sch C'!D16</f>
        <v>0</v>
      </c>
      <c r="D31" s="490">
        <f>'[79]Sch C'!F16</f>
        <v>0</v>
      </c>
      <c r="E31" s="171">
        <f t="shared" si="4"/>
        <v>0</v>
      </c>
      <c r="F31" s="171"/>
      <c r="G31" s="171">
        <f t="shared" si="5"/>
        <v>0</v>
      </c>
      <c r="H31" s="172">
        <f t="shared" si="6"/>
        <v>0</v>
      </c>
      <c r="I31" s="337"/>
      <c r="J31" s="168"/>
      <c r="K31" s="168"/>
      <c r="M31" s="359">
        <f t="shared" si="7"/>
        <v>0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490">
        <f>'[79]Sch C'!D17</f>
        <v>2865</v>
      </c>
      <c r="D32" s="490">
        <f>'[79]Sch C'!F17</f>
        <v>-2865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7"/>
      <c r="J32" s="168"/>
      <c r="K32" s="168"/>
      <c r="M32" s="359">
        <f t="shared" si="7"/>
        <v>0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490">
        <f>'[79]Sch C'!D18</f>
        <v>14224</v>
      </c>
      <c r="D33" s="490">
        <f>'[79]Sch C'!F18</f>
        <v>0</v>
      </c>
      <c r="E33" s="171">
        <f t="shared" si="4"/>
        <v>14224</v>
      </c>
      <c r="F33" s="171"/>
      <c r="G33" s="171">
        <f t="shared" si="5"/>
        <v>14224</v>
      </c>
      <c r="H33" s="172">
        <f t="shared" si="6"/>
        <v>2.3226531674970293E-3</v>
      </c>
      <c r="I33" s="337"/>
      <c r="J33" s="168"/>
      <c r="K33" s="168"/>
      <c r="M33" s="359">
        <f t="shared" si="7"/>
        <v>0.56002204811213041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490">
        <f>'[79]Sch C'!D19</f>
        <v>12498</v>
      </c>
      <c r="D34" s="490">
        <f>'[79]Sch C'!F19</f>
        <v>0</v>
      </c>
      <c r="E34" s="171">
        <f t="shared" si="4"/>
        <v>12498</v>
      </c>
      <c r="F34" s="171"/>
      <c r="G34" s="171">
        <f t="shared" si="5"/>
        <v>12498</v>
      </c>
      <c r="H34" s="172">
        <f t="shared" si="6"/>
        <v>2.0408126608111553E-3</v>
      </c>
      <c r="I34" s="337"/>
      <c r="J34" s="168"/>
      <c r="K34" s="168"/>
      <c r="M34" s="359">
        <f t="shared" si="7"/>
        <v>0.49206661679593683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490">
        <f>'[79]Sch C'!D20</f>
        <v>42666</v>
      </c>
      <c r="D35" s="490">
        <f>'[79]Sch C'!F20</f>
        <v>0</v>
      </c>
      <c r="E35" s="171">
        <f t="shared" si="4"/>
        <v>42666</v>
      </c>
      <c r="F35" s="171"/>
      <c r="G35" s="171">
        <f t="shared" si="5"/>
        <v>42666</v>
      </c>
      <c r="H35" s="172">
        <f t="shared" si="6"/>
        <v>6.9669797556544044E-3</v>
      </c>
      <c r="I35" s="337"/>
      <c r="J35" s="168"/>
      <c r="K35" s="168"/>
      <c r="M35" s="359">
        <f t="shared" si="7"/>
        <v>1.6798299145635656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490">
        <f>'[79]Sch C'!D21</f>
        <v>0</v>
      </c>
      <c r="D36" s="490">
        <f>'[79]Sch C'!F21</f>
        <v>0</v>
      </c>
      <c r="E36" s="171">
        <f t="shared" si="4"/>
        <v>0</v>
      </c>
      <c r="F36" s="171"/>
      <c r="G36" s="171">
        <f t="shared" si="5"/>
        <v>0</v>
      </c>
      <c r="H36" s="172">
        <f t="shared" si="6"/>
        <v>0</v>
      </c>
      <c r="I36" s="337"/>
      <c r="J36" s="168"/>
      <c r="K36" s="168"/>
      <c r="M36" s="359">
        <f t="shared" si="7"/>
        <v>0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490">
        <f>'[79]Sch C'!D22</f>
        <v>0</v>
      </c>
      <c r="D37" s="490">
        <f>'[79]Sch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490">
        <f>'[79]Sch C'!D23</f>
        <v>9073</v>
      </c>
      <c r="D38" s="490">
        <f>'[79]Sch C'!F23</f>
        <v>0</v>
      </c>
      <c r="E38" s="171">
        <f t="shared" si="4"/>
        <v>9073</v>
      </c>
      <c r="F38" s="171"/>
      <c r="G38" s="171">
        <f t="shared" si="5"/>
        <v>9073</v>
      </c>
      <c r="H38" s="172">
        <f t="shared" si="6"/>
        <v>1.4815405082044817E-3</v>
      </c>
      <c r="I38" s="337"/>
      <c r="J38" s="168"/>
      <c r="K38" s="168"/>
      <c r="M38" s="359">
        <f t="shared" si="7"/>
        <v>0.3572187881412654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490">
        <f>'[79]Sch C'!D24</f>
        <v>0</v>
      </c>
      <c r="D39" s="490">
        <f>'[79]Sch C'!F24</f>
        <v>0</v>
      </c>
      <c r="E39" s="171">
        <f t="shared" si="4"/>
        <v>0</v>
      </c>
      <c r="F39" s="171"/>
      <c r="G39" s="171">
        <f t="shared" si="5"/>
        <v>0</v>
      </c>
      <c r="H39" s="172">
        <f t="shared" si="6"/>
        <v>0</v>
      </c>
      <c r="I39" s="337"/>
      <c r="J39" s="168"/>
      <c r="K39" s="168"/>
      <c r="M39" s="359">
        <f t="shared" si="7"/>
        <v>0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490">
        <f>'[79]Sch C'!D25</f>
        <v>0</v>
      </c>
      <c r="D40" s="490">
        <f>'[79]Sch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337"/>
      <c r="J40" s="168"/>
      <c r="K40" s="168"/>
      <c r="M40" s="359">
        <f t="shared" si="7"/>
        <v>0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490">
        <f>'[79]Sch C'!D26</f>
        <v>343704</v>
      </c>
      <c r="D41" s="490">
        <f>'[79]Sch C'!F26</f>
        <v>0</v>
      </c>
      <c r="E41" s="171">
        <f t="shared" si="4"/>
        <v>343704</v>
      </c>
      <c r="F41" s="171"/>
      <c r="G41" s="171">
        <f t="shared" si="5"/>
        <v>343704</v>
      </c>
      <c r="H41" s="172">
        <f t="shared" si="6"/>
        <v>5.6123817792561793E-2</v>
      </c>
      <c r="I41" s="337"/>
      <c r="J41" s="168"/>
      <c r="K41" s="168"/>
      <c r="M41" s="359">
        <f t="shared" si="7"/>
        <v>13.532186306547501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490">
        <f>'[79]Sch C'!D27</f>
        <v>0</v>
      </c>
      <c r="D42" s="490">
        <f>'[79]Sch C'!F27</f>
        <v>0</v>
      </c>
      <c r="E42" s="171">
        <f t="shared" si="4"/>
        <v>0</v>
      </c>
      <c r="F42" s="171"/>
      <c r="G42" s="171">
        <f t="shared" si="5"/>
        <v>0</v>
      </c>
      <c r="H42" s="172">
        <f t="shared" si="6"/>
        <v>0</v>
      </c>
      <c r="I42" s="337"/>
      <c r="J42" s="168"/>
      <c r="K42" s="168"/>
      <c r="M42" s="359">
        <f t="shared" si="7"/>
        <v>0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490">
        <f>'[79]Sch C'!D28</f>
        <v>0</v>
      </c>
      <c r="D43" s="490">
        <f>'[79]Sch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490">
        <f>'[79]Sch C'!D29</f>
        <v>12996</v>
      </c>
      <c r="D44" s="490">
        <f>'[79]Sch C'!F29</f>
        <v>-12996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490">
        <f>'[79]Sch C'!D30</f>
        <v>0</v>
      </c>
      <c r="D45" s="490">
        <f>'[79]Sch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490">
        <f>'[79]Sch C'!D31</f>
        <v>0</v>
      </c>
      <c r="D46" s="490">
        <f>'[79]Sch C'!F31</f>
        <v>0</v>
      </c>
      <c r="E46" s="171">
        <f t="shared" si="4"/>
        <v>0</v>
      </c>
      <c r="F46" s="171"/>
      <c r="G46" s="171">
        <f t="shared" si="5"/>
        <v>0</v>
      </c>
      <c r="H46" s="172">
        <f t="shared" si="6"/>
        <v>0</v>
      </c>
      <c r="I46" s="337"/>
      <c r="J46" s="168"/>
      <c r="K46" s="168"/>
      <c r="M46" s="359">
        <f t="shared" si="7"/>
        <v>0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490">
        <f>'[79]Sch C'!D32</f>
        <v>40495</v>
      </c>
      <c r="D47" s="490">
        <f>'[79]Sch C'!F32</f>
        <v>0</v>
      </c>
      <c r="E47" s="171">
        <f t="shared" si="4"/>
        <v>40495</v>
      </c>
      <c r="F47" s="171"/>
      <c r="G47" s="171">
        <f t="shared" si="5"/>
        <v>40495</v>
      </c>
      <c r="H47" s="172">
        <f t="shared" si="6"/>
        <v>6.6124746919145249E-3</v>
      </c>
      <c r="I47" s="337"/>
      <c r="J47" s="168"/>
      <c r="K47" s="168"/>
      <c r="M47" s="359">
        <f t="shared" si="7"/>
        <v>1.5943541084294657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490">
        <f>'[79]Sch C'!D33</f>
        <v>0</v>
      </c>
      <c r="D48" s="490">
        <f>'[79]Sch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490">
        <f>'[79]Sch C'!D34</f>
        <v>0</v>
      </c>
      <c r="D49" s="490">
        <f>'[79]Sch C'!F34</f>
        <v>0</v>
      </c>
      <c r="E49" s="171">
        <f t="shared" si="4"/>
        <v>0</v>
      </c>
      <c r="F49" s="171"/>
      <c r="G49" s="171">
        <f t="shared" si="5"/>
        <v>0</v>
      </c>
      <c r="H49" s="172">
        <f t="shared" si="6"/>
        <v>0</v>
      </c>
      <c r="I49" s="337"/>
      <c r="J49" s="168"/>
      <c r="K49" s="168"/>
      <c r="M49" s="359">
        <f t="shared" si="7"/>
        <v>0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490">
        <f>'[79]Sch C'!D35</f>
        <v>0</v>
      </c>
      <c r="D50" s="490">
        <f>'[79]Sch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490">
        <f>'[79]Sch C'!D36</f>
        <v>6926</v>
      </c>
      <c r="D51" s="490">
        <f>'[79]Sch C'!F36</f>
        <v>0</v>
      </c>
      <c r="E51" s="171">
        <f t="shared" si="4"/>
        <v>6926</v>
      </c>
      <c r="F51" s="171"/>
      <c r="G51" s="171">
        <f t="shared" si="5"/>
        <v>6926</v>
      </c>
      <c r="H51" s="172">
        <f t="shared" si="6"/>
        <v>1.1309544318113347E-3</v>
      </c>
      <c r="I51" s="337"/>
      <c r="J51" s="183">
        <v>0</v>
      </c>
      <c r="K51" s="183">
        <v>0</v>
      </c>
      <c r="M51" s="359">
        <f t="shared" si="7"/>
        <v>0.27268790109846847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490">
        <f>'[79]Sch C'!D37</f>
        <v>0</v>
      </c>
      <c r="D52" s="490">
        <f>'[79]Sch C'!F37</f>
        <v>0</v>
      </c>
      <c r="E52" s="171">
        <f t="shared" si="4"/>
        <v>0</v>
      </c>
      <c r="F52" s="171"/>
      <c r="G52" s="171">
        <f t="shared" si="5"/>
        <v>0</v>
      </c>
      <c r="H52" s="172">
        <f t="shared" si="6"/>
        <v>0</v>
      </c>
      <c r="I52" s="337"/>
      <c r="J52" s="168"/>
      <c r="K52" s="168"/>
      <c r="M52" s="359">
        <f t="shared" si="7"/>
        <v>0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490">
        <f>'[79]Sch C'!D38</f>
        <v>0</v>
      </c>
      <c r="D53" s="490">
        <f>'[79]Sch C'!F38</f>
        <v>0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7"/>
      <c r="J53" s="168"/>
      <c r="K53" s="168"/>
      <c r="M53" s="359">
        <f t="shared" si="7"/>
        <v>0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490">
        <f>'[79]Sch C'!D39</f>
        <v>0</v>
      </c>
      <c r="D54" s="490">
        <f>'[79]Sch C'!F39</f>
        <v>0</v>
      </c>
      <c r="E54" s="171">
        <f t="shared" si="4"/>
        <v>0</v>
      </c>
      <c r="F54" s="171"/>
      <c r="G54" s="171">
        <f t="shared" si="5"/>
        <v>0</v>
      </c>
      <c r="H54" s="172">
        <f t="shared" si="6"/>
        <v>0</v>
      </c>
      <c r="I54" s="337"/>
      <c r="J54" s="168"/>
      <c r="K54" s="168"/>
      <c r="M54" s="359">
        <f t="shared" si="7"/>
        <v>0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490">
        <f>'[79]Sch C'!D40</f>
        <v>0</v>
      </c>
      <c r="D55" s="490">
        <f>'[79]Sch C'!F40</f>
        <v>0</v>
      </c>
      <c r="E55" s="171">
        <f t="shared" si="4"/>
        <v>0</v>
      </c>
      <c r="F55" s="171"/>
      <c r="G55" s="171">
        <f t="shared" si="5"/>
        <v>0</v>
      </c>
      <c r="H55" s="172">
        <f t="shared" si="6"/>
        <v>0</v>
      </c>
      <c r="I55" s="337"/>
      <c r="J55" s="168"/>
      <c r="K55" s="168"/>
      <c r="M55" s="359">
        <f t="shared" si="7"/>
        <v>0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490">
        <f>'[79]Sch C'!D41</f>
        <v>656</v>
      </c>
      <c r="D56" s="490">
        <f>'[79]Sch C'!F41</f>
        <v>0</v>
      </c>
      <c r="E56" s="171">
        <f t="shared" si="4"/>
        <v>656</v>
      </c>
      <c r="F56" s="171"/>
      <c r="G56" s="171">
        <f t="shared" si="5"/>
        <v>656</v>
      </c>
      <c r="H56" s="172">
        <f t="shared" si="6"/>
        <v>1.071189874773658E-4</v>
      </c>
      <c r="I56" s="337"/>
      <c r="J56" s="168"/>
      <c r="K56" s="168"/>
      <c r="M56" s="359">
        <f t="shared" si="7"/>
        <v>2.5827788495610064E-2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490">
        <f>'[79]Sch C'!D42</f>
        <v>3985</v>
      </c>
      <c r="D57" s="490">
        <f>'[79]Sch C'!F42</f>
        <v>0</v>
      </c>
      <c r="E57" s="171">
        <f t="shared" si="4"/>
        <v>3985</v>
      </c>
      <c r="F57" s="171"/>
      <c r="G57" s="171">
        <f t="shared" si="5"/>
        <v>3985</v>
      </c>
      <c r="H57" s="172">
        <f t="shared" si="6"/>
        <v>6.507151906971078E-4</v>
      </c>
      <c r="I57" s="337"/>
      <c r="J57" s="168"/>
      <c r="K57" s="168"/>
      <c r="M57" s="359">
        <f t="shared" si="7"/>
        <v>0.15689594078507027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490">
        <f>'[79]Sch C'!D43</f>
        <v>8721</v>
      </c>
      <c r="D58" s="490">
        <f>'[79]Sch C'!F43</f>
        <v>-8721</v>
      </c>
      <c r="E58" s="171">
        <f t="shared" si="4"/>
        <v>0</v>
      </c>
      <c r="F58" s="171"/>
      <c r="G58" s="171">
        <f t="shared" si="5"/>
        <v>0</v>
      </c>
      <c r="H58" s="172">
        <f t="shared" si="6"/>
        <v>0</v>
      </c>
      <c r="I58" s="337"/>
      <c r="J58" s="168"/>
      <c r="K58" s="168"/>
      <c r="M58" s="359">
        <f t="shared" si="7"/>
        <v>0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490">
        <f>'[79]Sch C'!D44</f>
        <v>0</v>
      </c>
      <c r="D59" s="490">
        <f>'[79]Sch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7"/>
      <c r="J59" s="168"/>
      <c r="K59" s="168"/>
      <c r="M59" s="359">
        <f t="shared" si="7"/>
        <v>0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490">
        <f>'[79]Sch C'!D45</f>
        <v>0</v>
      </c>
      <c r="D60" s="490">
        <f>'[79]Sch C'!F45</f>
        <v>0</v>
      </c>
      <c r="E60" s="171">
        <f t="shared" si="4"/>
        <v>0</v>
      </c>
      <c r="F60" s="171"/>
      <c r="G60" s="171">
        <f t="shared" si="5"/>
        <v>0</v>
      </c>
      <c r="H60" s="172">
        <f t="shared" si="6"/>
        <v>0</v>
      </c>
      <c r="I60" s="337"/>
      <c r="J60" s="168"/>
      <c r="K60" s="168"/>
      <c r="M60" s="359">
        <f t="shared" si="7"/>
        <v>0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490">
        <f>SUM(C25:C60)</f>
        <v>950708</v>
      </c>
      <c r="D61" s="490">
        <f>SUM(D25:D60)</f>
        <v>-24582</v>
      </c>
      <c r="E61" s="171">
        <f t="shared" ref="E61:F61" si="8">SUM(E25:E60)</f>
        <v>926126</v>
      </c>
      <c r="F61" s="171">
        <f t="shared" si="8"/>
        <v>0</v>
      </c>
      <c r="G61" s="171">
        <f>SUM(G25:G60)</f>
        <v>926126</v>
      </c>
      <c r="H61" s="186">
        <f t="shared" si="6"/>
        <v>0.15122816981168122</v>
      </c>
      <c r="I61" s="339"/>
      <c r="J61" s="168"/>
      <c r="K61" s="168"/>
      <c r="M61" s="364">
        <f>G61/G$228</f>
        <v>36.463089097995983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I62" s="340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490">
        <f>'[79]Sch C'!D57</f>
        <v>0</v>
      </c>
      <c r="D64" s="490">
        <f>'[79]Sch C'!F57</f>
        <v>0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I64" s="337"/>
      <c r="J64" s="190"/>
      <c r="K64" s="168"/>
      <c r="M64" s="359">
        <f t="shared" ref="M64:M79" si="12">G64/G$228</f>
        <v>0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490">
        <f>'[79]Sch C'!D58</f>
        <v>644523</v>
      </c>
      <c r="D65" s="490">
        <f>'[79]Sch C'!F58</f>
        <v>0</v>
      </c>
      <c r="E65" s="171">
        <f t="shared" si="9"/>
        <v>644523</v>
      </c>
      <c r="F65" s="171"/>
      <c r="G65" s="171">
        <f t="shared" si="10"/>
        <v>644523</v>
      </c>
      <c r="H65" s="172">
        <f t="shared" si="11"/>
        <v>0.10524489506993025</v>
      </c>
      <c r="I65" s="337"/>
      <c r="J65" s="190"/>
      <c r="K65" s="168"/>
      <c r="M65" s="359">
        <f t="shared" si="12"/>
        <v>25.3759203118233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490">
        <f>'[79]Sch C'!D59</f>
        <v>0</v>
      </c>
      <c r="D66" s="490">
        <f>'[79]Sch C'!F59</f>
        <v>0</v>
      </c>
      <c r="E66" s="171">
        <f t="shared" si="9"/>
        <v>0</v>
      </c>
      <c r="F66" s="171"/>
      <c r="G66" s="171">
        <f t="shared" si="10"/>
        <v>0</v>
      </c>
      <c r="H66" s="172">
        <f t="shared" si="11"/>
        <v>0</v>
      </c>
      <c r="I66" s="337"/>
      <c r="J66" s="190"/>
      <c r="K66" s="168"/>
      <c r="M66" s="359">
        <f t="shared" si="12"/>
        <v>0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490">
        <f>'[79]Sch C'!D60</f>
        <v>0</v>
      </c>
      <c r="D67" s="490">
        <f>'[79]Sch C'!F60</f>
        <v>0</v>
      </c>
      <c r="E67" s="171">
        <f t="shared" si="9"/>
        <v>0</v>
      </c>
      <c r="F67" s="171"/>
      <c r="G67" s="171">
        <f t="shared" si="10"/>
        <v>0</v>
      </c>
      <c r="H67" s="172">
        <f t="shared" si="11"/>
        <v>0</v>
      </c>
      <c r="I67" s="337"/>
      <c r="J67" s="193"/>
      <c r="K67" s="168"/>
      <c r="M67" s="359">
        <f t="shared" si="12"/>
        <v>0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490">
        <f>'[79]Sch C'!D61</f>
        <v>0</v>
      </c>
      <c r="D68" s="490">
        <f>'[79]Sch C'!F61</f>
        <v>0</v>
      </c>
      <c r="E68" s="171">
        <f t="shared" si="9"/>
        <v>0</v>
      </c>
      <c r="F68" s="171"/>
      <c r="G68" s="171">
        <f t="shared" si="10"/>
        <v>0</v>
      </c>
      <c r="H68" s="172">
        <f t="shared" si="11"/>
        <v>0</v>
      </c>
      <c r="I68" s="337"/>
      <c r="J68" s="193"/>
      <c r="K68" s="168"/>
      <c r="M68" s="359">
        <f t="shared" si="12"/>
        <v>0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490">
        <f>'[79]Sch C'!D62</f>
        <v>0</v>
      </c>
      <c r="D69" s="490">
        <f>'[79]Sch C'!F62</f>
        <v>0</v>
      </c>
      <c r="E69" s="171">
        <f t="shared" si="9"/>
        <v>0</v>
      </c>
      <c r="F69" s="171"/>
      <c r="G69" s="171">
        <f t="shared" si="10"/>
        <v>0</v>
      </c>
      <c r="H69" s="172">
        <f t="shared" si="11"/>
        <v>0</v>
      </c>
      <c r="I69" s="337"/>
      <c r="J69" s="195"/>
      <c r="K69" s="168"/>
      <c r="M69" s="359">
        <f t="shared" si="12"/>
        <v>0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490">
        <f>'[79]Sch C'!D63</f>
        <v>0</v>
      </c>
      <c r="D70" s="490">
        <f>'[79]Sch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7"/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490">
        <f>'[79]Sch C'!D64</f>
        <v>0</v>
      </c>
      <c r="D71" s="490">
        <f>'[79]Sch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490">
        <f>'[79]Sch C'!D65</f>
        <v>0</v>
      </c>
      <c r="D72" s="490">
        <f>'[79]Sch C'!F65</f>
        <v>0</v>
      </c>
      <c r="E72" s="171">
        <f t="shared" si="9"/>
        <v>0</v>
      </c>
      <c r="F72" s="171"/>
      <c r="G72" s="171">
        <f t="shared" si="10"/>
        <v>0</v>
      </c>
      <c r="H72" s="172">
        <f t="shared" si="11"/>
        <v>0</v>
      </c>
      <c r="I72" s="337"/>
      <c r="J72" s="195"/>
      <c r="K72" s="168"/>
      <c r="M72" s="359">
        <f t="shared" si="12"/>
        <v>0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490">
        <f>'[79]Sch C'!D66</f>
        <v>0</v>
      </c>
      <c r="D73" s="490">
        <f>'[79]Sch C'!F66</f>
        <v>0</v>
      </c>
      <c r="E73" s="171">
        <f t="shared" si="9"/>
        <v>0</v>
      </c>
      <c r="F73" s="171"/>
      <c r="G73" s="171">
        <f t="shared" si="10"/>
        <v>0</v>
      </c>
      <c r="H73" s="172">
        <f t="shared" si="11"/>
        <v>0</v>
      </c>
      <c r="I73" s="337"/>
      <c r="J73" s="195"/>
      <c r="K73" s="168"/>
      <c r="M73" s="359">
        <f t="shared" si="12"/>
        <v>0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490">
        <f>'[79]Sch C'!D67</f>
        <v>84464</v>
      </c>
      <c r="D74" s="490">
        <f>'[79]Sch C'!F67</f>
        <v>0</v>
      </c>
      <c r="E74" s="171">
        <f t="shared" si="9"/>
        <v>84464</v>
      </c>
      <c r="F74" s="171"/>
      <c r="G74" s="171">
        <f t="shared" si="10"/>
        <v>84464</v>
      </c>
      <c r="H74" s="172">
        <f t="shared" si="11"/>
        <v>1.3792222802268637E-2</v>
      </c>
      <c r="I74" s="337"/>
      <c r="J74" s="195"/>
      <c r="K74" s="168"/>
      <c r="M74" s="359">
        <f t="shared" si="12"/>
        <v>3.3254852553250127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490">
        <f>'[79]Sch C'!D68</f>
        <v>0</v>
      </c>
      <c r="D75" s="490">
        <f>'[79]Sch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490">
        <f>'[79]Sch C'!D69</f>
        <v>0</v>
      </c>
      <c r="D76" s="490">
        <f>'[79]Sch C'!F69</f>
        <v>0</v>
      </c>
      <c r="E76" s="171">
        <f t="shared" si="9"/>
        <v>0</v>
      </c>
      <c r="F76" s="171"/>
      <c r="G76" s="171">
        <f t="shared" si="10"/>
        <v>0</v>
      </c>
      <c r="H76" s="172">
        <f t="shared" si="11"/>
        <v>0</v>
      </c>
      <c r="I76" s="337"/>
      <c r="J76" s="195"/>
      <c r="K76" s="168"/>
      <c r="M76" s="359">
        <f t="shared" si="12"/>
        <v>0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490">
        <f>'[79]Sch C'!D70</f>
        <v>0</v>
      </c>
      <c r="D77" s="490">
        <f>'[79]Sch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7"/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490">
        <f>'[79]Sch C'!D71</f>
        <v>0</v>
      </c>
      <c r="D78" s="490">
        <f>'[79]Sch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7"/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490">
        <f>SUM(C64:C78)</f>
        <v>728987</v>
      </c>
      <c r="D79" s="490">
        <f>SUM(D64:D78)</f>
        <v>0</v>
      </c>
      <c r="E79" s="171">
        <f t="shared" ref="E79:F79" si="13">SUM(E64:E78)</f>
        <v>728987</v>
      </c>
      <c r="F79" s="171">
        <f t="shared" si="13"/>
        <v>0</v>
      </c>
      <c r="G79" s="171">
        <f>SUM(G64:G78)</f>
        <v>728987</v>
      </c>
      <c r="H79" s="172">
        <f t="shared" si="11"/>
        <v>0.11903711787219888</v>
      </c>
      <c r="I79" s="337"/>
      <c r="J79" s="195"/>
      <c r="K79" s="168"/>
      <c r="M79" s="359">
        <f t="shared" si="12"/>
        <v>28.701405567148313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490">
        <f>'[79]Sch C'!D75</f>
        <v>33821</v>
      </c>
      <c r="D82" s="490">
        <f>'[79]Sch C'!F75</f>
        <v>0</v>
      </c>
      <c r="E82" s="171">
        <f t="shared" ref="E82:E92" si="14">C82+D82</f>
        <v>33821</v>
      </c>
      <c r="F82" s="171"/>
      <c r="G82" s="171">
        <f t="shared" ref="G82:G92" si="15">E82+F82</f>
        <v>33821</v>
      </c>
      <c r="H82" s="172">
        <f t="shared" ref="H82:H93" si="16">IF($G$208=0,0,G82/$G$208)</f>
        <v>5.5226696272438853E-3</v>
      </c>
      <c r="I82" s="337"/>
      <c r="J82" s="183">
        <v>0</v>
      </c>
      <c r="K82" s="183">
        <v>0</v>
      </c>
      <c r="M82" s="359">
        <f t="shared" ref="M82:M92" si="17">G82/G$228</f>
        <v>1.3315878577896767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490">
        <f>'[79]Sch C'!D76</f>
        <v>16406</v>
      </c>
      <c r="D83" s="490">
        <f>'[79]Sch C'!F76</f>
        <v>0</v>
      </c>
      <c r="E83" s="171">
        <f t="shared" si="14"/>
        <v>16406</v>
      </c>
      <c r="F83" s="171"/>
      <c r="G83" s="171">
        <f t="shared" si="15"/>
        <v>16406</v>
      </c>
      <c r="H83" s="172">
        <f t="shared" si="16"/>
        <v>2.6789544337708286E-3</v>
      </c>
      <c r="I83" s="337"/>
      <c r="J83" s="168"/>
      <c r="K83" s="168"/>
      <c r="M83" s="359">
        <f t="shared" si="17"/>
        <v>0.64593094216307734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490">
        <f>'[79]Sch C'!D77</f>
        <v>3947</v>
      </c>
      <c r="D84" s="490">
        <f>'[79]Sch C'!F77</f>
        <v>0</v>
      </c>
      <c r="E84" s="171">
        <f t="shared" si="14"/>
        <v>3947</v>
      </c>
      <c r="F84" s="171"/>
      <c r="G84" s="171">
        <f t="shared" si="15"/>
        <v>3947</v>
      </c>
      <c r="H84" s="172">
        <f t="shared" si="16"/>
        <v>6.4451012739811413E-4</v>
      </c>
      <c r="I84" s="337"/>
      <c r="J84" s="168"/>
      <c r="K84" s="168"/>
      <c r="M84" s="359">
        <f t="shared" si="17"/>
        <v>0.1553998188905075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490">
        <f>'[79]Sch C'!D78</f>
        <v>331</v>
      </c>
      <c r="D85" s="490">
        <f>'[79]Sch C'!F78</f>
        <v>0</v>
      </c>
      <c r="E85" s="171">
        <f t="shared" si="14"/>
        <v>331</v>
      </c>
      <c r="F85" s="171"/>
      <c r="G85" s="171">
        <f t="shared" si="15"/>
        <v>331</v>
      </c>
      <c r="H85" s="172">
        <f t="shared" si="16"/>
        <v>5.4049367157024514E-5</v>
      </c>
      <c r="I85" s="337"/>
      <c r="J85" s="168"/>
      <c r="K85" s="168"/>
      <c r="M85" s="359">
        <f t="shared" si="17"/>
        <v>1.3032009134217882E-2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490">
        <f>'[79]Sch C'!D79</f>
        <v>1719</v>
      </c>
      <c r="D86" s="490">
        <f>'[79]Sch C'!F79</f>
        <v>0</v>
      </c>
      <c r="E86" s="171">
        <f t="shared" si="14"/>
        <v>1719</v>
      </c>
      <c r="F86" s="171"/>
      <c r="G86" s="171">
        <f>E86+F86</f>
        <v>1719</v>
      </c>
      <c r="H86" s="172">
        <f t="shared" si="16"/>
        <v>2.8069746870974365E-4</v>
      </c>
      <c r="I86" s="337"/>
      <c r="J86" s="168"/>
      <c r="K86" s="168"/>
      <c r="M86" s="359">
        <f t="shared" si="17"/>
        <v>6.7679829914563561E-2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490">
        <f>'[79]Sch C'!D80</f>
        <v>0</v>
      </c>
      <c r="D87" s="490">
        <f>'[79]Sch C'!F80</f>
        <v>0</v>
      </c>
      <c r="E87" s="171">
        <f t="shared" si="14"/>
        <v>0</v>
      </c>
      <c r="F87" s="171"/>
      <c r="G87" s="171">
        <f t="shared" si="15"/>
        <v>0</v>
      </c>
      <c r="H87" s="172">
        <f t="shared" si="16"/>
        <v>0</v>
      </c>
      <c r="I87" s="337"/>
      <c r="J87" s="168"/>
      <c r="K87" s="168"/>
      <c r="M87" s="359">
        <f t="shared" si="17"/>
        <v>0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490">
        <f>'[79]Sch C'!D81</f>
        <v>64635</v>
      </c>
      <c r="D88" s="490">
        <f>'[79]Sch C'!F81</f>
        <v>0</v>
      </c>
      <c r="E88" s="171">
        <f t="shared" si="14"/>
        <v>64635</v>
      </c>
      <c r="F88" s="171"/>
      <c r="G88" s="171">
        <f t="shared" si="15"/>
        <v>64635</v>
      </c>
      <c r="H88" s="172">
        <f t="shared" si="16"/>
        <v>1.0554322798170028E-2</v>
      </c>
      <c r="I88" s="337"/>
      <c r="J88" s="168"/>
      <c r="K88" s="168"/>
      <c r="M88" s="359">
        <f t="shared" si="17"/>
        <v>2.5447852277648728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490">
        <f>'[79]Sch C'!D82</f>
        <v>0</v>
      </c>
      <c r="D89" s="490">
        <f>'[79]Sch C'!F82</f>
        <v>0</v>
      </c>
      <c r="E89" s="171">
        <f t="shared" si="14"/>
        <v>0</v>
      </c>
      <c r="F89" s="171"/>
      <c r="G89" s="171">
        <f t="shared" si="15"/>
        <v>0</v>
      </c>
      <c r="H89" s="172">
        <f t="shared" si="16"/>
        <v>0</v>
      </c>
      <c r="I89" s="337"/>
      <c r="J89" s="168"/>
      <c r="K89" s="168"/>
      <c r="M89" s="359">
        <f t="shared" si="17"/>
        <v>0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490">
        <f>'[79]Sch C'!D83</f>
        <v>3374</v>
      </c>
      <c r="D90" s="490">
        <f>'[79]Sch C'!F83</f>
        <v>0</v>
      </c>
      <c r="E90" s="171">
        <f t="shared" si="14"/>
        <v>3374</v>
      </c>
      <c r="F90" s="171"/>
      <c r="G90" s="171">
        <f t="shared" si="15"/>
        <v>3374</v>
      </c>
      <c r="H90" s="172">
        <f t="shared" si="16"/>
        <v>5.5094430449486621E-4</v>
      </c>
      <c r="I90" s="337"/>
      <c r="J90" s="168"/>
      <c r="K90" s="168"/>
      <c r="M90" s="359">
        <f t="shared" si="17"/>
        <v>0.13283987558565297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490">
        <f>'[79]Sch C'!D84</f>
        <v>121980</v>
      </c>
      <c r="D91" s="490">
        <f>'[79]Sch C'!F84</f>
        <v>0</v>
      </c>
      <c r="E91" s="171">
        <f t="shared" si="14"/>
        <v>121980</v>
      </c>
      <c r="F91" s="171"/>
      <c r="G91" s="171">
        <f t="shared" si="15"/>
        <v>121980</v>
      </c>
      <c r="H91" s="172">
        <f t="shared" si="16"/>
        <v>1.991825318976994E-2</v>
      </c>
      <c r="I91" s="337"/>
      <c r="J91" s="168"/>
      <c r="K91" s="168"/>
      <c r="M91" s="359">
        <f t="shared" si="17"/>
        <v>4.8025512815465179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490">
        <f>'[79]Sch C'!D85</f>
        <v>0</v>
      </c>
      <c r="D92" s="490">
        <f>'[79]Sch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7"/>
      <c r="J92" s="168"/>
      <c r="K92" s="168"/>
      <c r="M92" s="359">
        <f t="shared" si="17"/>
        <v>0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490">
        <f>SUM(C82:C92)</f>
        <v>246213</v>
      </c>
      <c r="D93" s="490">
        <f>SUM(D82:D92)</f>
        <v>0</v>
      </c>
      <c r="E93" s="171">
        <f t="shared" ref="E93:F93" si="18">SUM(E82:E92)</f>
        <v>246213</v>
      </c>
      <c r="F93" s="171">
        <f t="shared" si="18"/>
        <v>0</v>
      </c>
      <c r="G93" s="171">
        <f>SUM(G82:G92)</f>
        <v>246213</v>
      </c>
      <c r="H93" s="172">
        <f t="shared" si="16"/>
        <v>4.0204401316714433E-2</v>
      </c>
      <c r="I93" s="337"/>
      <c r="J93" s="168"/>
      <c r="K93" s="168"/>
      <c r="M93" s="364">
        <f>G93/G$228</f>
        <v>9.6938068427890869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490">
        <f>'[79]Sch C'!D89</f>
        <v>250679</v>
      </c>
      <c r="D96" s="490">
        <f>'[79]Sch C'!F89</f>
        <v>0</v>
      </c>
      <c r="E96" s="171">
        <f t="shared" ref="E96:E101" si="19">C96+D96</f>
        <v>250679</v>
      </c>
      <c r="F96" s="171"/>
      <c r="G96" s="171">
        <f t="shared" ref="G96:G101" si="20">E96+F96</f>
        <v>250679</v>
      </c>
      <c r="H96" s="172">
        <f t="shared" ref="H96:H102" si="21">IF($G$208=0,0,G96/$G$208)</f>
        <v>4.0933659545485647E-2</v>
      </c>
      <c r="I96" s="337"/>
      <c r="J96" s="183">
        <v>0</v>
      </c>
      <c r="K96" s="183">
        <v>0</v>
      </c>
      <c r="M96" s="364">
        <f t="shared" ref="M96:M101" si="22">G96/G$228</f>
        <v>9.8696405370290172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490">
        <f>'[79]Sch C'!D90</f>
        <v>59446</v>
      </c>
      <c r="D97" s="490">
        <f>'[79]Sch C'!F90</f>
        <v>0</v>
      </c>
      <c r="E97" s="171">
        <f t="shared" si="19"/>
        <v>59446</v>
      </c>
      <c r="F97" s="171"/>
      <c r="G97" s="171">
        <f t="shared" si="20"/>
        <v>59446</v>
      </c>
      <c r="H97" s="172">
        <f t="shared" si="21"/>
        <v>9.7070050755784874E-3</v>
      </c>
      <c r="I97" s="337"/>
      <c r="J97" s="168"/>
      <c r="K97" s="168"/>
      <c r="M97" s="364">
        <f t="shared" si="22"/>
        <v>2.3404858458994449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490">
        <f>'[79]Sch C'!D91</f>
        <v>9507</v>
      </c>
      <c r="D98" s="490">
        <f>'[79]Sch C'!F91</f>
        <v>0</v>
      </c>
      <c r="E98" s="171">
        <f t="shared" si="19"/>
        <v>9507</v>
      </c>
      <c r="F98" s="171"/>
      <c r="G98" s="171">
        <f t="shared" si="20"/>
        <v>9507</v>
      </c>
      <c r="H98" s="172">
        <f t="shared" si="21"/>
        <v>1.5524088627245681E-3</v>
      </c>
      <c r="I98" s="337"/>
      <c r="J98" s="168"/>
      <c r="K98" s="168"/>
      <c r="M98" s="364">
        <f t="shared" si="22"/>
        <v>0.37430607504232449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490">
        <f>'[79]Sch C'!D92</f>
        <v>222196</v>
      </c>
      <c r="D99" s="490">
        <f>'[79]Sch C'!F92</f>
        <v>0</v>
      </c>
      <c r="E99" s="171">
        <f t="shared" si="19"/>
        <v>222196</v>
      </c>
      <c r="F99" s="171"/>
      <c r="G99" s="171">
        <f t="shared" si="20"/>
        <v>222196</v>
      </c>
      <c r="H99" s="172">
        <f t="shared" si="21"/>
        <v>3.6282638020610936E-2</v>
      </c>
      <c r="I99" s="337"/>
      <c r="J99" s="168"/>
      <c r="K99" s="168"/>
      <c r="M99" s="364">
        <f t="shared" si="22"/>
        <v>8.7482184337966054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490">
        <f>'[79]Sch C'!D93</f>
        <v>22662</v>
      </c>
      <c r="D100" s="490">
        <f>'[79]Sch C'!F93</f>
        <v>0</v>
      </c>
      <c r="E100" s="171">
        <f t="shared" si="19"/>
        <v>22662</v>
      </c>
      <c r="F100" s="171"/>
      <c r="G100" s="171">
        <f t="shared" si="20"/>
        <v>22662</v>
      </c>
      <c r="H100" s="172">
        <f t="shared" si="21"/>
        <v>3.7005038021525366E-3</v>
      </c>
      <c r="I100" s="337"/>
      <c r="J100" s="168"/>
      <c r="K100" s="168"/>
      <c r="M100" s="364">
        <f t="shared" si="22"/>
        <v>0.89223985196267575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490">
        <f>'[79]Sch C'!D94</f>
        <v>0</v>
      </c>
      <c r="D101" s="490">
        <f>'[79]Sch C'!F94</f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I101" s="337"/>
      <c r="J101" s="168"/>
      <c r="K101" s="168"/>
      <c r="M101" s="364">
        <f t="shared" si="22"/>
        <v>0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490">
        <f>SUM(C96:C101)</f>
        <v>564490</v>
      </c>
      <c r="D102" s="490">
        <f>SUM(D96:D101)</f>
        <v>0</v>
      </c>
      <c r="E102" s="171">
        <f t="shared" ref="E102:F102" si="23">SUM(E96:E101)</f>
        <v>564490</v>
      </c>
      <c r="F102" s="171">
        <f t="shared" si="23"/>
        <v>0</v>
      </c>
      <c r="G102" s="171">
        <f>SUM(G96:G101)</f>
        <v>564490</v>
      </c>
      <c r="H102" s="172">
        <f t="shared" si="21"/>
        <v>9.2176215306552164E-2</v>
      </c>
      <c r="I102" s="337"/>
      <c r="J102" s="168"/>
      <c r="K102" s="168"/>
      <c r="M102" s="364">
        <f>G102/G$228</f>
        <v>22.224890743730068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490">
        <f>'[79]Sch C'!D98</f>
        <v>58943</v>
      </c>
      <c r="D105" s="490">
        <f>'[79]Sch C'!F98</f>
        <v>0</v>
      </c>
      <c r="E105" s="171">
        <f t="shared" ref="E105:E110" si="24">C105+D105</f>
        <v>58943</v>
      </c>
      <c r="F105" s="171"/>
      <c r="G105" s="171">
        <f t="shared" ref="G105:G110" si="25">E105+F105</f>
        <v>58943</v>
      </c>
      <c r="H105" s="172">
        <f t="shared" ref="H105:H111" si="26">IF($G$208=0,0,G105/$G$208)</f>
        <v>9.6248696324365435E-3</v>
      </c>
      <c r="I105" s="337"/>
      <c r="J105" s="183">
        <v>0</v>
      </c>
      <c r="K105" s="183">
        <v>0</v>
      </c>
      <c r="M105" s="364">
        <f t="shared" ref="M105:M110" si="27">G105/G$228</f>
        <v>2.3206819166108903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490">
        <f>'[79]Sch C'!D99</f>
        <v>18209</v>
      </c>
      <c r="D106" s="490">
        <f>'[79]Sch C'!F99</f>
        <v>0</v>
      </c>
      <c r="E106" s="171">
        <f t="shared" si="24"/>
        <v>18209</v>
      </c>
      <c r="F106" s="171"/>
      <c r="G106" s="171">
        <f t="shared" si="25"/>
        <v>18209</v>
      </c>
      <c r="H106" s="172">
        <f t="shared" si="26"/>
        <v>2.9733683581941372E-3</v>
      </c>
      <c r="I106" s="337"/>
      <c r="J106" s="168"/>
      <c r="K106" s="168"/>
      <c r="M106" s="364">
        <f t="shared" si="27"/>
        <v>0.71691798889720071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490">
        <f>'[79]Sch C'!D100</f>
        <v>6501</v>
      </c>
      <c r="D107" s="490">
        <f>'[79]Sch C'!F100</f>
        <v>0</v>
      </c>
      <c r="E107" s="171">
        <f t="shared" si="24"/>
        <v>6501</v>
      </c>
      <c r="F107" s="171"/>
      <c r="G107" s="171">
        <f t="shared" si="25"/>
        <v>6501</v>
      </c>
      <c r="H107" s="172">
        <f t="shared" si="26"/>
        <v>1.061555697546273E-3</v>
      </c>
      <c r="I107" s="337"/>
      <c r="J107" s="168"/>
      <c r="K107" s="168"/>
      <c r="M107" s="364">
        <f t="shared" si="27"/>
        <v>0.25595495885664787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490">
        <f>'[79]Sch C'!D101</f>
        <v>0</v>
      </c>
      <c r="D108" s="490">
        <f>'[79]Sch C'!F101</f>
        <v>0</v>
      </c>
      <c r="E108" s="171">
        <f t="shared" si="24"/>
        <v>0</v>
      </c>
      <c r="F108" s="171"/>
      <c r="G108" s="171">
        <f t="shared" si="25"/>
        <v>0</v>
      </c>
      <c r="H108" s="172">
        <f t="shared" si="26"/>
        <v>0</v>
      </c>
      <c r="I108" s="337"/>
      <c r="J108" s="168"/>
      <c r="K108" s="168"/>
      <c r="M108" s="364">
        <f t="shared" si="27"/>
        <v>0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490">
        <f>'[79]Sch C'!D102</f>
        <v>7418</v>
      </c>
      <c r="D109" s="490">
        <f>'[79]Sch C'!F102</f>
        <v>0</v>
      </c>
      <c r="E109" s="171">
        <f t="shared" si="24"/>
        <v>7418</v>
      </c>
      <c r="F109" s="171"/>
      <c r="G109" s="171">
        <f t="shared" si="25"/>
        <v>7418</v>
      </c>
      <c r="H109" s="172">
        <f t="shared" si="26"/>
        <v>1.2112936724193591E-3</v>
      </c>
      <c r="I109" s="337"/>
      <c r="J109" s="168"/>
      <c r="K109" s="168"/>
      <c r="M109" s="364">
        <f t="shared" si="27"/>
        <v>0.29205874247017599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490">
        <f>'[79]Sch C'!D103</f>
        <v>0</v>
      </c>
      <c r="D110" s="490">
        <f>'[79]Sch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7"/>
      <c r="J110" s="168"/>
      <c r="K110" s="168"/>
      <c r="M110" s="364">
        <f t="shared" si="27"/>
        <v>0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490">
        <f>SUM(C105:C110)</f>
        <v>91071</v>
      </c>
      <c r="D111" s="490">
        <f>SUM(D105:D110)</f>
        <v>0</v>
      </c>
      <c r="E111" s="171">
        <f t="shared" ref="E111:F111" si="28">SUM(E105:E110)</f>
        <v>91071</v>
      </c>
      <c r="F111" s="171">
        <f t="shared" si="28"/>
        <v>0</v>
      </c>
      <c r="G111" s="171">
        <f>SUM(G105:G110)</f>
        <v>91071</v>
      </c>
      <c r="H111" s="172">
        <f t="shared" si="26"/>
        <v>1.4871087360596313E-2</v>
      </c>
      <c r="I111" s="337"/>
      <c r="J111" s="168"/>
      <c r="K111" s="168"/>
      <c r="M111" s="364">
        <f>G111/G$228</f>
        <v>3.5856136068349147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490">
        <f>'[79]Sch C'!D115</f>
        <v>146695</v>
      </c>
      <c r="D114" s="490">
        <f>'[79]Sch C'!F115</f>
        <v>0</v>
      </c>
      <c r="E114" s="171">
        <f t="shared" ref="E114:E118" si="29">C114+D114</f>
        <v>146695</v>
      </c>
      <c r="F114" s="171"/>
      <c r="G114" s="171">
        <f>E114+F114</f>
        <v>146695</v>
      </c>
      <c r="H114" s="172">
        <f t="shared" ref="H114:H119" si="30">IF($G$208=0,0,G114/$G$208)</f>
        <v>2.3953993701207588E-2</v>
      </c>
      <c r="I114" s="337"/>
      <c r="J114" s="183">
        <v>0</v>
      </c>
      <c r="K114" s="183">
        <v>0</v>
      </c>
      <c r="M114" s="364">
        <f t="shared" ref="M114:M119" si="31">G114/G$228</f>
        <v>5.7756210874443878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490">
        <f>'[79]Sch C'!D116</f>
        <v>64572</v>
      </c>
      <c r="D115" s="490">
        <f>'[79]Sch C'!F116</f>
        <v>0</v>
      </c>
      <c r="E115" s="171">
        <f t="shared" si="29"/>
        <v>64572</v>
      </c>
      <c r="F115" s="171"/>
      <c r="G115" s="171">
        <f>E115+F115</f>
        <v>64572</v>
      </c>
      <c r="H115" s="172">
        <f t="shared" si="30"/>
        <v>1.0544035456384855E-2</v>
      </c>
      <c r="I115" s="337"/>
      <c r="J115" s="168"/>
      <c r="K115" s="168"/>
      <c r="M115" s="364">
        <f t="shared" si="31"/>
        <v>2.5423048151502026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490">
        <f>'[79]Sch C'!D117</f>
        <v>59551</v>
      </c>
      <c r="D116" s="490">
        <f>'[79]Sch C'!F117</f>
        <v>0</v>
      </c>
      <c r="E116" s="171">
        <f t="shared" si="29"/>
        <v>59551</v>
      </c>
      <c r="F116" s="171"/>
      <c r="G116" s="171">
        <f>E116+F116</f>
        <v>59551</v>
      </c>
      <c r="H116" s="172">
        <f t="shared" si="30"/>
        <v>9.7241506452204439E-3</v>
      </c>
      <c r="I116" s="337"/>
      <c r="J116" s="168"/>
      <c r="K116" s="168"/>
      <c r="M116" s="364">
        <f t="shared" si="31"/>
        <v>2.3446198669238947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490">
        <f>'[79]Sch C'!D118</f>
        <v>0</v>
      </c>
      <c r="D117" s="490">
        <f>'[79]Sch C'!F118</f>
        <v>0</v>
      </c>
      <c r="E117" s="171">
        <f t="shared" si="29"/>
        <v>0</v>
      </c>
      <c r="F117" s="171"/>
      <c r="G117" s="171">
        <f>E117+F117</f>
        <v>0</v>
      </c>
      <c r="H117" s="172">
        <f t="shared" si="30"/>
        <v>0</v>
      </c>
      <c r="I117" s="337"/>
      <c r="J117" s="168"/>
      <c r="K117" s="168"/>
      <c r="M117" s="364">
        <f t="shared" si="31"/>
        <v>0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490">
        <f>'[79]Sch C'!D119</f>
        <v>0</v>
      </c>
      <c r="D118" s="490">
        <f>'[79]Sch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337"/>
      <c r="J118" s="168"/>
      <c r="K118" s="168"/>
      <c r="M118" s="364">
        <f t="shared" si="31"/>
        <v>0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490">
        <f>SUM(C114:C118)</f>
        <v>270818</v>
      </c>
      <c r="D119" s="490">
        <f>SUM(D114:D118)</f>
        <v>0</v>
      </c>
      <c r="E119" s="171">
        <f t="shared" ref="E119:F119" si="32">SUM(E114:E118)</f>
        <v>270818</v>
      </c>
      <c r="F119" s="171">
        <f t="shared" si="32"/>
        <v>0</v>
      </c>
      <c r="G119" s="171">
        <f>SUM(G114:G118)</f>
        <v>270818</v>
      </c>
      <c r="H119" s="172">
        <f t="shared" si="30"/>
        <v>4.4222179802812886E-2</v>
      </c>
      <c r="I119" s="337"/>
      <c r="J119" s="168"/>
      <c r="K119" s="168"/>
      <c r="M119" s="364">
        <f t="shared" si="31"/>
        <v>10.662545769518484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1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490">
        <f>'[79]Sch C'!D124</f>
        <v>166773</v>
      </c>
      <c r="D123" s="490">
        <f>'[79]Sch C'!F124</f>
        <v>0</v>
      </c>
      <c r="E123" s="171">
        <f t="shared" ref="E123:E127" si="33">C123+D123</f>
        <v>166773</v>
      </c>
      <c r="F123" s="171"/>
      <c r="G123" s="171">
        <f>E123+F123</f>
        <v>166773</v>
      </c>
      <c r="H123" s="172">
        <f>IF($G$208=0,0,G123/$G$208)</f>
        <v>2.7232553199028547E-2</v>
      </c>
      <c r="I123" s="337"/>
      <c r="J123" s="183">
        <v>0</v>
      </c>
      <c r="K123" s="183">
        <v>0</v>
      </c>
      <c r="M123" s="364">
        <f t="shared" ref="M123:M160" si="34">G123/G$228</f>
        <v>6.5661246505767945</v>
      </c>
      <c r="N123" s="359">
        <f>SUMMARY!J126</f>
        <v>0.77002560279620991</v>
      </c>
    </row>
    <row r="124" spans="1:14" s="167" customFormat="1">
      <c r="B124" s="163" t="s">
        <v>194</v>
      </c>
      <c r="C124" s="490">
        <f>'[79]Sch C'!D125</f>
        <v>0</v>
      </c>
      <c r="D124" s="490">
        <f>'[79]Sch C'!F125</f>
        <v>73791</v>
      </c>
      <c r="E124" s="171">
        <f t="shared" si="33"/>
        <v>73791</v>
      </c>
      <c r="F124" s="171"/>
      <c r="G124" s="171">
        <f>E124+F124</f>
        <v>73791</v>
      </c>
      <c r="H124" s="172">
        <f>IF($G$208=0,0,G124/$G$208)</f>
        <v>1.2049416470948628E-2</v>
      </c>
      <c r="I124" s="337"/>
      <c r="J124" s="183">
        <v>0</v>
      </c>
      <c r="K124" s="183">
        <v>0</v>
      </c>
      <c r="M124" s="364">
        <f t="shared" si="34"/>
        <v>2.9052718610968937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490">
        <f>'[79]Sch C'!D126</f>
        <v>0</v>
      </c>
      <c r="D125" s="490">
        <f>'[79]Sch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7"/>
      <c r="J125" s="183">
        <v>0</v>
      </c>
      <c r="K125" s="183">
        <v>0</v>
      </c>
      <c r="M125" s="364">
        <f t="shared" si="34"/>
        <v>0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490">
        <f>'[79]Sch C'!D127</f>
        <v>0</v>
      </c>
      <c r="D126" s="490">
        <f>'[79]Sch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7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490">
        <f>'[79]Sch C'!D128</f>
        <v>0</v>
      </c>
      <c r="D127" s="490">
        <f>'[79]Sch C'!F128</f>
        <v>0</v>
      </c>
      <c r="E127" s="171">
        <f t="shared" si="33"/>
        <v>0</v>
      </c>
      <c r="F127" s="171"/>
      <c r="G127" s="171">
        <f>E127+F127</f>
        <v>0</v>
      </c>
      <c r="H127" s="172">
        <f>IF($G$208=0,0,G127/$G$208)</f>
        <v>0</v>
      </c>
      <c r="I127" s="337"/>
      <c r="J127" s="183">
        <v>0</v>
      </c>
      <c r="K127" s="183">
        <v>0</v>
      </c>
      <c r="M127" s="364">
        <f t="shared" si="34"/>
        <v>0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205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490">
        <f>'[79]Sch C'!D130</f>
        <v>0</v>
      </c>
      <c r="D129" s="490">
        <f>'[79]Sch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7"/>
      <c r="J129" s="204"/>
      <c r="K129" s="204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490">
        <f>'[79]Sch C'!D131</f>
        <v>0</v>
      </c>
      <c r="D130" s="490">
        <f>'[79]Sch C'!F131</f>
        <v>24104</v>
      </c>
      <c r="E130" s="171">
        <f t="shared" si="35"/>
        <v>24104</v>
      </c>
      <c r="F130" s="171"/>
      <c r="G130" s="171">
        <f>E130+F130</f>
        <v>24104</v>
      </c>
      <c r="H130" s="172">
        <f>IF($G$208=0,0,G130/$G$208)</f>
        <v>3.9359696252354043E-3</v>
      </c>
      <c r="I130" s="337"/>
      <c r="J130" s="204"/>
      <c r="K130" s="204"/>
      <c r="M130" s="364">
        <f t="shared" si="34"/>
        <v>0.94901374069845268</v>
      </c>
      <c r="N130" s="359">
        <f>SUMMARY!J133</f>
        <v>1.0792348507966931</v>
      </c>
    </row>
    <row r="131" spans="1:14" s="167" customFormat="1">
      <c r="B131" s="163" t="s">
        <v>195</v>
      </c>
      <c r="C131" s="490">
        <f>'[79]Sch C'!D132</f>
        <v>0</v>
      </c>
      <c r="D131" s="490">
        <f>'[79]Sch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7"/>
      <c r="J131" s="168"/>
      <c r="K131" s="168"/>
      <c r="M131" s="364">
        <f t="shared" si="34"/>
        <v>0</v>
      </c>
      <c r="N131" s="359">
        <f>SUMMARY!J134</f>
        <v>8.2765628075518377E-2</v>
      </c>
    </row>
    <row r="132" spans="1:14" s="167" customFormat="1">
      <c r="B132" s="163" t="s">
        <v>196</v>
      </c>
      <c r="C132" s="490">
        <f>'[79]Sch C'!D133</f>
        <v>0</v>
      </c>
      <c r="D132" s="490">
        <f>'[79]Sch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490">
        <f>'[79]Sch C'!D134</f>
        <v>0</v>
      </c>
      <c r="D133" s="490">
        <f>'[79]Sch C'!F134</f>
        <v>0</v>
      </c>
      <c r="E133" s="171">
        <f t="shared" si="35"/>
        <v>0</v>
      </c>
      <c r="F133" s="171"/>
      <c r="G133" s="171">
        <f>E133+F133</f>
        <v>0</v>
      </c>
      <c r="H133" s="172">
        <f>IF($G$208=0,0,G133/$G$208)</f>
        <v>0</v>
      </c>
      <c r="I133" s="337"/>
      <c r="J133" s="168"/>
      <c r="K133" s="168"/>
      <c r="M133" s="364">
        <f t="shared" si="34"/>
        <v>0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490">
        <f>'[79]Sch C'!D136</f>
        <v>342370</v>
      </c>
      <c r="D135" s="490">
        <f>'[79]Sch C'!F136</f>
        <v>-73791</v>
      </c>
      <c r="E135" s="171">
        <f t="shared" ref="E135:E138" si="36">C135+D135</f>
        <v>268579</v>
      </c>
      <c r="F135" s="171"/>
      <c r="G135" s="171">
        <f>E135+F135</f>
        <v>268579</v>
      </c>
      <c r="H135" s="172">
        <f>IF($G$208=0,0,G135/$G$208)</f>
        <v>4.3856570941590595E-2</v>
      </c>
      <c r="I135" s="337"/>
      <c r="J135" s="183">
        <v>0</v>
      </c>
      <c r="K135" s="183">
        <v>0</v>
      </c>
      <c r="M135" s="364">
        <f t="shared" si="34"/>
        <v>10.574392692625693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490">
        <f>'[79]Sch C'!D137</f>
        <v>459174</v>
      </c>
      <c r="D136" s="490">
        <f>'[79]Sch C'!F137</f>
        <v>0</v>
      </c>
      <c r="E136" s="171">
        <f t="shared" si="36"/>
        <v>459174</v>
      </c>
      <c r="F136" s="171"/>
      <c r="G136" s="171">
        <f>E136+F136</f>
        <v>459174</v>
      </c>
      <c r="H136" s="172">
        <f>IF($G$208=0,0,G136/$G$208)</f>
        <v>7.4979045664530439E-2</v>
      </c>
      <c r="I136" s="337"/>
      <c r="J136" s="183">
        <v>0</v>
      </c>
      <c r="K136" s="183">
        <v>0</v>
      </c>
      <c r="M136" s="364">
        <f t="shared" si="34"/>
        <v>18.078428284578134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490">
        <f>'[79]Sch C'!D138</f>
        <v>916155</v>
      </c>
      <c r="D137" s="490">
        <f>'[79]Sch C'!F138</f>
        <v>0</v>
      </c>
      <c r="E137" s="171">
        <f t="shared" si="36"/>
        <v>916155</v>
      </c>
      <c r="F137" s="171"/>
      <c r="G137" s="171">
        <f>E137+F137</f>
        <v>916155</v>
      </c>
      <c r="H137" s="172">
        <f>IF($G$208=0,0,G137/$G$208)</f>
        <v>0.14959999386025316</v>
      </c>
      <c r="I137" s="337"/>
      <c r="J137" s="183">
        <v>0</v>
      </c>
      <c r="K137" s="183">
        <v>0</v>
      </c>
      <c r="M137" s="364">
        <f t="shared" si="34"/>
        <v>36.07051458718847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490">
        <f>'[79]Sch C'!D139</f>
        <v>12112</v>
      </c>
      <c r="D138" s="490">
        <f>'[79]Sch C'!F139</f>
        <v>0</v>
      </c>
      <c r="E138" s="171">
        <f t="shared" si="36"/>
        <v>12112</v>
      </c>
      <c r="F138" s="171"/>
      <c r="G138" s="171">
        <f>E138+F138</f>
        <v>12112</v>
      </c>
      <c r="H138" s="172">
        <f>IF($G$208=0,0,G138/$G$208)</f>
        <v>1.9777822809845347E-3</v>
      </c>
      <c r="I138" s="337"/>
      <c r="J138" s="183">
        <v>0</v>
      </c>
      <c r="K138" s="183">
        <v>0</v>
      </c>
      <c r="M138" s="364">
        <f t="shared" si="34"/>
        <v>0.47686916807748336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7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490">
        <f>'[79]Sch C'!D141</f>
        <v>0</v>
      </c>
      <c r="D140" s="490">
        <f>'[79]Sch C'!F141</f>
        <v>0</v>
      </c>
      <c r="E140" s="171">
        <f t="shared" ref="E140:E143" si="37">C140+D140</f>
        <v>0</v>
      </c>
      <c r="F140" s="171"/>
      <c r="G140" s="171">
        <f>E140+F140</f>
        <v>0</v>
      </c>
      <c r="H140" s="172">
        <f>IF($G$208=0,0,G140/$G$208)</f>
        <v>0</v>
      </c>
      <c r="I140" s="337"/>
      <c r="J140" s="168"/>
      <c r="K140" s="168"/>
      <c r="M140" s="364">
        <f t="shared" si="34"/>
        <v>0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490">
        <f>'[79]Sch C'!D142</f>
        <v>0</v>
      </c>
      <c r="D141" s="490">
        <f>'[79]Sch C'!F142</f>
        <v>0</v>
      </c>
      <c r="E141" s="171">
        <f t="shared" si="37"/>
        <v>0</v>
      </c>
      <c r="F141" s="171"/>
      <c r="G141" s="171">
        <f>E141+F141</f>
        <v>0</v>
      </c>
      <c r="H141" s="172">
        <f>IF($G$208=0,0,G141/$G$208)</f>
        <v>0</v>
      </c>
      <c r="I141" s="337"/>
      <c r="J141" s="168"/>
      <c r="K141" s="168"/>
      <c r="M141" s="364">
        <f t="shared" si="34"/>
        <v>0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490">
        <f>'[79]Sch C'!D143</f>
        <v>514470</v>
      </c>
      <c r="D142" s="490">
        <f>'[79]Sch C'!F143</f>
        <v>-24104</v>
      </c>
      <c r="E142" s="171">
        <f t="shared" si="37"/>
        <v>490366</v>
      </c>
      <c r="F142" s="171"/>
      <c r="G142" s="171">
        <f>E142+F142</f>
        <v>490366</v>
      </c>
      <c r="H142" s="172">
        <f>IF($G$208=0,0,G142/$G$208)</f>
        <v>8.007242288616763E-2</v>
      </c>
      <c r="I142" s="337"/>
      <c r="J142" s="168"/>
      <c r="K142" s="168"/>
      <c r="M142" s="364">
        <f t="shared" si="34"/>
        <v>19.306508130241347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490">
        <f>'[79]Sch C'!D144</f>
        <v>0</v>
      </c>
      <c r="D143" s="490">
        <f>'[79]Sch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7"/>
      <c r="J143" s="168"/>
      <c r="K143" s="168"/>
      <c r="M143" s="364">
        <f t="shared" si="34"/>
        <v>0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7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490">
        <f>'[79]Sch C'!D146</f>
        <v>0</v>
      </c>
      <c r="D145" s="490">
        <f>'[79]Sch C'!F146</f>
        <v>0</v>
      </c>
      <c r="E145" s="171">
        <f t="shared" ref="E145:E153" si="38">C145+D145</f>
        <v>0</v>
      </c>
      <c r="F145" s="171"/>
      <c r="G145" s="171">
        <f t="shared" ref="G145:G153" si="39">E145+F145</f>
        <v>0</v>
      </c>
      <c r="H145" s="172">
        <f t="shared" ref="H145:H153" si="40">IF($G$208=0,0,G145/$G$208)</f>
        <v>0</v>
      </c>
      <c r="I145" s="337"/>
      <c r="J145" s="183">
        <v>0</v>
      </c>
      <c r="K145" s="183">
        <v>0</v>
      </c>
      <c r="M145" s="364">
        <f t="shared" si="34"/>
        <v>0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490">
        <f>'[79]Sch C'!D147</f>
        <v>66955</v>
      </c>
      <c r="D146" s="490">
        <f>'[79]Sch C'!F147</f>
        <v>0</v>
      </c>
      <c r="E146" s="171">
        <f t="shared" si="38"/>
        <v>66955</v>
      </c>
      <c r="F146" s="171"/>
      <c r="G146" s="171">
        <f t="shared" si="39"/>
        <v>66955</v>
      </c>
      <c r="H146" s="172">
        <f t="shared" si="40"/>
        <v>1.0933158241687542E-2</v>
      </c>
      <c r="I146" s="337"/>
      <c r="J146" s="183">
        <v>0</v>
      </c>
      <c r="K146" s="183">
        <v>0</v>
      </c>
      <c r="M146" s="364">
        <f t="shared" si="34"/>
        <v>2.6361274065908105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490">
        <f>'[79]Sch C'!D148</f>
        <v>0</v>
      </c>
      <c r="D147" s="490">
        <f>'[79]Sch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7"/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490">
        <f>'[79]Sch C'!D149</f>
        <v>0</v>
      </c>
      <c r="D148" s="490">
        <f>'[79]Sch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7"/>
      <c r="J148" s="183">
        <v>0</v>
      </c>
      <c r="K148" s="183">
        <v>0</v>
      </c>
      <c r="M148" s="364">
        <f t="shared" si="34"/>
        <v>0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490">
        <f>'[79]Sch C'!D150</f>
        <v>0</v>
      </c>
      <c r="D149" s="490">
        <f>'[79]Sch C'!F150</f>
        <v>0</v>
      </c>
      <c r="E149" s="171">
        <f t="shared" si="38"/>
        <v>0</v>
      </c>
      <c r="F149" s="171"/>
      <c r="G149" s="171">
        <f t="shared" si="39"/>
        <v>0</v>
      </c>
      <c r="H149" s="172">
        <f t="shared" si="40"/>
        <v>0</v>
      </c>
      <c r="I149" s="337"/>
      <c r="J149" s="183">
        <v>0</v>
      </c>
      <c r="K149" s="183">
        <v>0</v>
      </c>
      <c r="M149" s="364">
        <f t="shared" si="34"/>
        <v>0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490">
        <f>'[79]Sch C'!D151</f>
        <v>211766</v>
      </c>
      <c r="D150" s="490">
        <f>'[79]Sch C'!F151</f>
        <v>0</v>
      </c>
      <c r="E150" s="171">
        <f t="shared" si="38"/>
        <v>211766</v>
      </c>
      <c r="F150" s="171"/>
      <c r="G150" s="171">
        <f t="shared" si="39"/>
        <v>211766</v>
      </c>
      <c r="H150" s="172">
        <f t="shared" si="40"/>
        <v>3.4579511436176595E-2</v>
      </c>
      <c r="I150" s="337"/>
      <c r="J150" s="168"/>
      <c r="K150" s="168"/>
      <c r="M150" s="364">
        <f t="shared" si="34"/>
        <v>8.3375723453679278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490">
        <f>'[79]Sch C'!D152</f>
        <v>0</v>
      </c>
      <c r="D151" s="490">
        <f>'[79]Sch C'!F152</f>
        <v>0</v>
      </c>
      <c r="E151" s="171">
        <f t="shared" si="38"/>
        <v>0</v>
      </c>
      <c r="F151" s="171"/>
      <c r="G151" s="171">
        <f t="shared" si="39"/>
        <v>0</v>
      </c>
      <c r="H151" s="172">
        <f t="shared" si="40"/>
        <v>0</v>
      </c>
      <c r="I151" s="337"/>
      <c r="J151" s="168"/>
      <c r="K151" s="168"/>
      <c r="M151" s="364">
        <f t="shared" si="34"/>
        <v>0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490">
        <f>'[79]Sch C'!D153</f>
        <v>0</v>
      </c>
      <c r="D152" s="490">
        <f>'[79]Sch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7"/>
      <c r="J152" s="168"/>
      <c r="K152" s="168"/>
      <c r="M152" s="364">
        <f t="shared" si="34"/>
        <v>0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490">
        <f>'[79]Sch C'!D154</f>
        <v>0</v>
      </c>
      <c r="D153" s="490">
        <f>'[79]Sch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210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490">
        <f>'[79]Sch C'!D156</f>
        <v>0</v>
      </c>
      <c r="D155" s="490">
        <f>'[79]Sch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490">
        <f>'[79]Sch C'!D157</f>
        <v>0</v>
      </c>
      <c r="D156" s="490">
        <f>'[79]Sch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490">
        <f>'[79]Sch C'!D158</f>
        <v>0</v>
      </c>
      <c r="D157" s="490">
        <f>'[79]Sch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7"/>
      <c r="J157" s="168"/>
      <c r="K157" s="168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490">
        <f>'[79]Sch C'!D159</f>
        <v>0</v>
      </c>
      <c r="D158" s="490">
        <f>'[79]Sch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490">
        <f>'[79]Sch C'!D160</f>
        <v>0</v>
      </c>
      <c r="D159" s="490">
        <f>'[79]Sch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7"/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490">
        <f>'[79]Sch C'!D161</f>
        <v>0</v>
      </c>
      <c r="D160" s="490">
        <f>'[79]Sch C'!F161</f>
        <v>0</v>
      </c>
      <c r="E160" s="171">
        <f t="shared" si="41"/>
        <v>0</v>
      </c>
      <c r="F160" s="171"/>
      <c r="G160" s="171">
        <f t="shared" si="42"/>
        <v>0</v>
      </c>
      <c r="H160" s="172">
        <f t="shared" si="43"/>
        <v>0</v>
      </c>
      <c r="I160" s="337"/>
      <c r="J160" s="168"/>
      <c r="K160" s="168"/>
      <c r="M160" s="364">
        <f t="shared" si="34"/>
        <v>0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490">
        <f>SUM(C123:C160)</f>
        <v>2689775</v>
      </c>
      <c r="D161" s="490">
        <f>SUM(D123:D160)</f>
        <v>0</v>
      </c>
      <c r="E161" s="171">
        <f t="shared" ref="E161:F161" si="44">SUM(E123:E160)</f>
        <v>2689775</v>
      </c>
      <c r="F161" s="171">
        <f t="shared" si="44"/>
        <v>0</v>
      </c>
      <c r="G161" s="171">
        <f>SUM(G123:G160)</f>
        <v>2689775</v>
      </c>
      <c r="H161" s="172">
        <f t="shared" si="43"/>
        <v>0.4392164246066031</v>
      </c>
      <c r="I161" s="337"/>
      <c r="J161" s="168"/>
      <c r="K161" s="168"/>
      <c r="M161" s="364">
        <f>G161/G$228</f>
        <v>105.90082286704201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337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7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490">
        <f>'[79]Sch C'!D175</f>
        <v>0</v>
      </c>
      <c r="D164" s="490">
        <f>'[79]Sch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490">
        <f>'[79]Sch C'!D176</f>
        <v>0</v>
      </c>
      <c r="D165" s="490">
        <f>'[79]Sch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490">
        <f>'[79]Sch C'!D177</f>
        <v>162312</v>
      </c>
      <c r="D166" s="490">
        <f>'[79]Sch C'!F177</f>
        <v>0</v>
      </c>
      <c r="E166" s="171">
        <f t="shared" si="45"/>
        <v>162312</v>
      </c>
      <c r="F166" s="216"/>
      <c r="G166" s="171">
        <f t="shared" si="46"/>
        <v>162312</v>
      </c>
      <c r="H166" s="172">
        <f t="shared" si="47"/>
        <v>2.6504111425954571E-2</v>
      </c>
      <c r="I166" s="343"/>
      <c r="J166" s="217">
        <v>0</v>
      </c>
      <c r="K166" s="217">
        <v>0</v>
      </c>
      <c r="L166" s="218"/>
      <c r="M166" s="364">
        <f t="shared" si="48"/>
        <v>6.3904878144808848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490">
        <f>'[79]Sch C'!D178</f>
        <v>58521</v>
      </c>
      <c r="D167" s="490">
        <f>'[79]Sch C'!F178</f>
        <v>0</v>
      </c>
      <c r="E167" s="171">
        <f t="shared" si="45"/>
        <v>58521</v>
      </c>
      <c r="F167" s="216"/>
      <c r="G167" s="171">
        <f t="shared" si="46"/>
        <v>58521</v>
      </c>
      <c r="H167" s="172">
        <f t="shared" si="47"/>
        <v>9.5559607715898238E-3</v>
      </c>
      <c r="I167" s="344"/>
      <c r="J167" s="222"/>
      <c r="K167" s="222"/>
      <c r="L167" s="218"/>
      <c r="M167" s="364">
        <f t="shared" si="48"/>
        <v>2.3040670892554824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490">
        <f>'[79]Sch C'!D179</f>
        <v>0</v>
      </c>
      <c r="D168" s="490">
        <f>'[79]Sch C'!F179</f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343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490">
        <f>'[79]Sch C'!D180</f>
        <v>0</v>
      </c>
      <c r="D169" s="490">
        <f>'[79]Sch C'!F180</f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344"/>
      <c r="J169" s="222"/>
      <c r="K169" s="222"/>
      <c r="L169" s="218"/>
      <c r="M169" s="364">
        <f t="shared" si="48"/>
        <v>0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490">
        <f>'[79]Sch C'!D181</f>
        <v>0</v>
      </c>
      <c r="D170" s="490">
        <f>'[79]Sch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3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490">
        <f>'[79]Sch C'!D182</f>
        <v>0</v>
      </c>
      <c r="D171" s="490">
        <f>'[79]Sch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490">
        <f>'[79]Sch C'!D183</f>
        <v>0</v>
      </c>
      <c r="D172" s="490">
        <f>'[79]Sch C'!F183</f>
        <v>0</v>
      </c>
      <c r="E172" s="171">
        <f t="shared" si="45"/>
        <v>0</v>
      </c>
      <c r="F172" s="216"/>
      <c r="G172" s="171">
        <f t="shared" si="46"/>
        <v>0</v>
      </c>
      <c r="H172" s="172">
        <f t="shared" si="47"/>
        <v>0</v>
      </c>
      <c r="I172" s="343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490">
        <f>'[79]Sch C'!D184</f>
        <v>0</v>
      </c>
      <c r="D173" s="490">
        <f>'[79]Sch C'!F184</f>
        <v>0</v>
      </c>
      <c r="E173" s="171">
        <f t="shared" si="45"/>
        <v>0</v>
      </c>
      <c r="F173" s="216"/>
      <c r="G173" s="171">
        <f t="shared" si="46"/>
        <v>0</v>
      </c>
      <c r="H173" s="172">
        <f t="shared" si="47"/>
        <v>0</v>
      </c>
      <c r="I173" s="344"/>
      <c r="J173" s="222"/>
      <c r="K173" s="222"/>
      <c r="L173" s="218"/>
      <c r="M173" s="364">
        <f t="shared" si="48"/>
        <v>0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490">
        <f>'[79]Sch C'!D185</f>
        <v>0</v>
      </c>
      <c r="D174" s="490">
        <f>'[79]Sch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3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490">
        <f>'[79]Sch C'!D186</f>
        <v>0</v>
      </c>
      <c r="D175" s="490">
        <f>'[79]Sch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490">
        <f>'[79]Sch C'!D187</f>
        <v>0</v>
      </c>
      <c r="D176" s="490">
        <f>'[79]Sch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490">
        <f>'[79]Sch C'!D188</f>
        <v>0</v>
      </c>
      <c r="D177" s="490">
        <f>'[79]Sch C'!F188</f>
        <v>0</v>
      </c>
      <c r="E177" s="171">
        <f t="shared" si="45"/>
        <v>0</v>
      </c>
      <c r="F177" s="216"/>
      <c r="G177" s="171">
        <f t="shared" si="46"/>
        <v>0</v>
      </c>
      <c r="H177" s="172">
        <f t="shared" si="47"/>
        <v>0</v>
      </c>
      <c r="I177" s="337"/>
      <c r="J177" s="223"/>
      <c r="K177" s="218"/>
      <c r="L177" s="220"/>
      <c r="M177" s="364">
        <f t="shared" si="48"/>
        <v>0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490">
        <f>'[79]Sch C'!D189</f>
        <v>0</v>
      </c>
      <c r="D178" s="490">
        <f>'[79]Sch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337"/>
      <c r="J178" s="223"/>
      <c r="K178" s="218"/>
      <c r="L178" s="220"/>
      <c r="M178" s="364">
        <f t="shared" si="48"/>
        <v>0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490">
        <f>'[79]Sch C'!D190</f>
        <v>0</v>
      </c>
      <c r="D179" s="490">
        <f>'[79]Sch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490">
        <f>'[79]Sch C'!D191</f>
        <v>0</v>
      </c>
      <c r="D180" s="490">
        <f>'[79]Sch C'!F191</f>
        <v>0</v>
      </c>
      <c r="E180" s="171">
        <f t="shared" si="45"/>
        <v>0</v>
      </c>
      <c r="F180" s="216"/>
      <c r="G180" s="171">
        <f t="shared" si="46"/>
        <v>0</v>
      </c>
      <c r="H180" s="172">
        <f t="shared" si="47"/>
        <v>0</v>
      </c>
      <c r="I180" s="337"/>
      <c r="J180" s="223"/>
      <c r="K180" s="218"/>
      <c r="L180" s="220"/>
      <c r="M180" s="364">
        <f t="shared" si="48"/>
        <v>0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490">
        <f>'[79]Sch C'!D192</f>
        <v>0</v>
      </c>
      <c r="D181" s="490">
        <f>'[79]Sch C'!F192</f>
        <v>0</v>
      </c>
      <c r="E181" s="171">
        <f t="shared" si="45"/>
        <v>0</v>
      </c>
      <c r="F181" s="216"/>
      <c r="G181" s="171">
        <f t="shared" si="46"/>
        <v>0</v>
      </c>
      <c r="H181" s="172">
        <f t="shared" si="47"/>
        <v>0</v>
      </c>
      <c r="I181" s="337"/>
      <c r="J181" s="223"/>
      <c r="K181" s="218"/>
      <c r="L181" s="220"/>
      <c r="M181" s="364">
        <f t="shared" si="48"/>
        <v>0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490">
        <f>'[79]Sch C'!D193</f>
        <v>0</v>
      </c>
      <c r="D182" s="490">
        <f>'[79]Sch C'!F193</f>
        <v>0</v>
      </c>
      <c r="E182" s="171">
        <f t="shared" si="45"/>
        <v>0</v>
      </c>
      <c r="F182" s="216"/>
      <c r="G182" s="171">
        <f t="shared" si="46"/>
        <v>0</v>
      </c>
      <c r="H182" s="172">
        <f t="shared" si="47"/>
        <v>0</v>
      </c>
      <c r="I182" s="337"/>
      <c r="J182" s="223"/>
      <c r="K182" s="218"/>
      <c r="L182" s="220"/>
      <c r="M182" s="364">
        <f t="shared" si="48"/>
        <v>0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490">
        <f>'[79]Sch C'!D194</f>
        <v>9288</v>
      </c>
      <c r="D183" s="490">
        <f>'[79]Sch C'!F194</f>
        <v>0</v>
      </c>
      <c r="E183" s="171">
        <f t="shared" si="45"/>
        <v>9288</v>
      </c>
      <c r="F183" s="216"/>
      <c r="G183" s="171">
        <f t="shared" si="46"/>
        <v>9288</v>
      </c>
      <c r="H183" s="172">
        <f t="shared" si="47"/>
        <v>1.5166481031856306E-3</v>
      </c>
      <c r="I183" s="337"/>
      <c r="J183" s="223"/>
      <c r="K183" s="218"/>
      <c r="M183" s="364">
        <f t="shared" si="48"/>
        <v>0.36568368833418641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490">
        <f>'[79]Sch C'!D195</f>
        <v>0</v>
      </c>
      <c r="D184" s="490">
        <f>'[79]Sch C'!F195</f>
        <v>0</v>
      </c>
      <c r="E184" s="171">
        <f t="shared" si="45"/>
        <v>0</v>
      </c>
      <c r="F184" s="216"/>
      <c r="G184" s="171">
        <f t="shared" si="46"/>
        <v>0</v>
      </c>
      <c r="H184" s="172">
        <f t="shared" si="47"/>
        <v>0</v>
      </c>
      <c r="I184" s="337"/>
      <c r="J184" s="223"/>
      <c r="K184" s="218"/>
      <c r="M184" s="364">
        <f t="shared" si="48"/>
        <v>0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490">
        <f>'[79]Sch C'!D196</f>
        <v>0</v>
      </c>
      <c r="D185" s="490">
        <f>'[79]Sch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490">
        <f>'[79]Sch C'!D197</f>
        <v>1327</v>
      </c>
      <c r="D186" s="490">
        <f>'[79]Sch C'!F197</f>
        <v>0</v>
      </c>
      <c r="E186" s="171">
        <f t="shared" si="45"/>
        <v>1327</v>
      </c>
      <c r="F186" s="216"/>
      <c r="G186" s="171">
        <f t="shared" si="46"/>
        <v>1327</v>
      </c>
      <c r="H186" s="172">
        <f t="shared" si="47"/>
        <v>2.1668734204643967E-4</v>
      </c>
      <c r="I186" s="337"/>
      <c r="J186" s="223"/>
      <c r="K186" s="218"/>
      <c r="M186" s="364">
        <f t="shared" si="48"/>
        <v>5.2246151423284384E-2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490">
        <f>'[79]Sch C'!D198</f>
        <v>28298</v>
      </c>
      <c r="D187" s="490">
        <f>'[79]Sch C'!F198</f>
        <v>0</v>
      </c>
      <c r="E187" s="171">
        <f t="shared" si="45"/>
        <v>28298</v>
      </c>
      <c r="F187" s="216"/>
      <c r="G187" s="171">
        <f t="shared" si="46"/>
        <v>28298</v>
      </c>
      <c r="H187" s="172">
        <f t="shared" si="47"/>
        <v>4.6208126640769785E-3</v>
      </c>
      <c r="I187" s="337"/>
      <c r="J187" s="223"/>
      <c r="K187" s="218"/>
      <c r="M187" s="364">
        <f t="shared" si="48"/>
        <v>1.1141383519036183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490">
        <f>'[79]Sch C'!D199</f>
        <v>0</v>
      </c>
      <c r="D188" s="490">
        <f>'[79]Sch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7"/>
      <c r="J188" s="223"/>
      <c r="K188" s="218"/>
      <c r="M188" s="364">
        <f t="shared" si="48"/>
        <v>0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490">
        <f>'[79]Sch C'!D200</f>
        <v>0</v>
      </c>
      <c r="D189" s="490">
        <f>'[79]Sch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7"/>
      <c r="J189" s="223"/>
      <c r="K189" s="218"/>
      <c r="M189" s="364">
        <f t="shared" si="48"/>
        <v>0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490">
        <f>'[79]Sch C'!D201</f>
        <v>0</v>
      </c>
      <c r="D190" s="490">
        <f>'[79]Sch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7"/>
      <c r="J190" s="223"/>
      <c r="K190" s="218"/>
      <c r="M190" s="364">
        <f t="shared" si="48"/>
        <v>0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490">
        <f>'[79]Sch C'!D202</f>
        <v>0</v>
      </c>
      <c r="D191" s="490">
        <f>'[79]Sch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490">
        <f>'[79]Sch C'!D203</f>
        <v>0</v>
      </c>
      <c r="D192" s="490">
        <f>'[79]Sch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7"/>
      <c r="J192" s="223"/>
      <c r="K192" s="218"/>
      <c r="M192" s="364">
        <f t="shared" si="48"/>
        <v>0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490">
        <f>'[79]Sch C'!D204</f>
        <v>0</v>
      </c>
      <c r="D193" s="490">
        <f>'[79]Sch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490">
        <f>'[79]Sch C'!D205</f>
        <v>173965</v>
      </c>
      <c r="D194" s="490">
        <f>'[79]Sch C'!F205</f>
        <v>0</v>
      </c>
      <c r="E194" s="171">
        <f t="shared" si="45"/>
        <v>173965</v>
      </c>
      <c r="F194" s="216"/>
      <c r="G194" s="171">
        <f t="shared" si="46"/>
        <v>173965</v>
      </c>
      <c r="H194" s="172">
        <f t="shared" si="47"/>
        <v>2.8406943073932839E-2</v>
      </c>
      <c r="I194" s="337"/>
      <c r="J194" s="223"/>
      <c r="K194" s="218"/>
      <c r="M194" s="364">
        <f t="shared" si="48"/>
        <v>6.8492854049372021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490">
        <f>'[79]Sch C'!D206</f>
        <v>22735</v>
      </c>
      <c r="D195" s="490">
        <f>'[79]Sch C'!F206</f>
        <v>0</v>
      </c>
      <c r="E195" s="171">
        <f t="shared" si="45"/>
        <v>22735</v>
      </c>
      <c r="F195" s="216"/>
      <c r="G195" s="171">
        <f t="shared" si="46"/>
        <v>22735</v>
      </c>
      <c r="H195" s="172">
        <f t="shared" si="47"/>
        <v>3.7124240553321822E-3</v>
      </c>
      <c r="I195" s="337"/>
      <c r="J195" s="223"/>
      <c r="K195" s="218"/>
      <c r="M195" s="364">
        <f t="shared" si="48"/>
        <v>0.8951139808653884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490">
        <f>'[79]Sch C'!D207</f>
        <v>0</v>
      </c>
      <c r="D196" s="490">
        <f>'[79]Sch C'!F207</f>
        <v>0</v>
      </c>
      <c r="E196" s="171">
        <f t="shared" si="45"/>
        <v>0</v>
      </c>
      <c r="F196" s="216"/>
      <c r="G196" s="171">
        <f t="shared" si="46"/>
        <v>0</v>
      </c>
      <c r="H196" s="172">
        <f t="shared" si="47"/>
        <v>0</v>
      </c>
      <c r="I196" s="337"/>
      <c r="J196" s="223"/>
      <c r="K196" s="218"/>
      <c r="M196" s="364">
        <f t="shared" si="48"/>
        <v>0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490">
        <f>SUM(C164:C196)</f>
        <v>456446</v>
      </c>
      <c r="D197" s="490">
        <f>SUM(D164:D196)</f>
        <v>0</v>
      </c>
      <c r="E197" s="171">
        <f t="shared" ref="E197:F197" si="49">SUM(E164:E196)</f>
        <v>456446</v>
      </c>
      <c r="F197" s="171">
        <f t="shared" si="49"/>
        <v>0</v>
      </c>
      <c r="G197" s="171">
        <f>SUM(G164:G196)</f>
        <v>456446</v>
      </c>
      <c r="H197" s="172">
        <f>IF($G$208=0,0,G197/$G$208)</f>
        <v>7.4533587436118459E-2</v>
      </c>
      <c r="I197" s="337"/>
      <c r="J197" s="168"/>
      <c r="K197" s="168"/>
      <c r="M197" s="364">
        <f>G197/G$228</f>
        <v>17.971022481200048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165"/>
      <c r="G198" s="165"/>
      <c r="H198" s="198"/>
      <c r="I198" s="341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1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490">
        <f>'[79]Sch C'!D211</f>
        <v>94621</v>
      </c>
      <c r="D200" s="490">
        <f>'[79]Sch C'!F211</f>
        <v>0</v>
      </c>
      <c r="E200" s="171">
        <f t="shared" ref="E200:E205" si="50">C200+D200</f>
        <v>94621</v>
      </c>
      <c r="F200" s="171"/>
      <c r="G200" s="171">
        <f t="shared" ref="G200:G205" si="51">E200+F200</f>
        <v>94621</v>
      </c>
      <c r="H200" s="172">
        <f t="shared" ref="H200:H206" si="52">IF($G$208=0,0,G200/$G$208)</f>
        <v>1.5450770905633886E-2</v>
      </c>
      <c r="I200" s="337"/>
      <c r="J200" s="183">
        <v>0</v>
      </c>
      <c r="K200" s="183">
        <v>0</v>
      </c>
      <c r="M200" s="364">
        <f t="shared" ref="M200:M205" si="53">G200/G$228</f>
        <v>3.7253828890901217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490">
        <f>'[79]Sch C'!D212</f>
        <v>25037</v>
      </c>
      <c r="D201" s="490">
        <f>'[79]Sch C'!F212</f>
        <v>0</v>
      </c>
      <c r="E201" s="171">
        <f t="shared" si="50"/>
        <v>25037</v>
      </c>
      <c r="F201" s="171"/>
      <c r="G201" s="171">
        <f t="shared" si="51"/>
        <v>25037</v>
      </c>
      <c r="H201" s="172">
        <f t="shared" si="52"/>
        <v>4.088320258339646E-3</v>
      </c>
      <c r="I201" s="337"/>
      <c r="J201" s="168"/>
      <c r="K201" s="168"/>
      <c r="M201" s="364">
        <f t="shared" si="53"/>
        <v>0.98574747037284938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490">
        <f>'[79]Sch C'!D213</f>
        <v>25491</v>
      </c>
      <c r="D202" s="490">
        <f>'[79]Sch C'!F213</f>
        <v>0</v>
      </c>
      <c r="E202" s="171">
        <f t="shared" si="50"/>
        <v>25491</v>
      </c>
      <c r="F202" s="171"/>
      <c r="G202" s="171">
        <f t="shared" si="51"/>
        <v>25491</v>
      </c>
      <c r="H202" s="172">
        <f t="shared" si="52"/>
        <v>4.1624544356486763E-3</v>
      </c>
      <c r="I202" s="337"/>
      <c r="J202" s="168"/>
      <c r="K202" s="168"/>
      <c r="M202" s="364">
        <f t="shared" si="53"/>
        <v>1.0036221898499942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490">
        <f>'[79]Sch C'!D214</f>
        <v>0</v>
      </c>
      <c r="D203" s="490">
        <f>'[79]Sch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>
        <f t="shared" si="53"/>
        <v>0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490">
        <f>'[79]Sch C'!D215</f>
        <v>0</v>
      </c>
      <c r="D204" s="490">
        <f>'[79]Sch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490">
        <f>'[79]Sch C'!D216</f>
        <v>4956</v>
      </c>
      <c r="D205" s="490">
        <f>'[79]Sch C'!F216</f>
        <v>0</v>
      </c>
      <c r="E205" s="171">
        <f t="shared" si="50"/>
        <v>4956</v>
      </c>
      <c r="F205" s="171"/>
      <c r="G205" s="171">
        <f t="shared" si="51"/>
        <v>4956</v>
      </c>
      <c r="H205" s="172">
        <f t="shared" si="52"/>
        <v>8.092708871003429E-4</v>
      </c>
      <c r="I205" s="337"/>
      <c r="J205" s="168"/>
      <c r="K205" s="168"/>
      <c r="M205" s="364">
        <f t="shared" si="53"/>
        <v>0.19512579235402969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490">
        <f>SUM(C200:C205)</f>
        <v>150105</v>
      </c>
      <c r="D206" s="490">
        <f>SUM(D200:D205)</f>
        <v>0</v>
      </c>
      <c r="E206" s="171">
        <f t="shared" ref="E206:F206" si="54">SUM(E200:E205)</f>
        <v>150105</v>
      </c>
      <c r="F206" s="171">
        <f t="shared" si="54"/>
        <v>0</v>
      </c>
      <c r="G206" s="171">
        <f>SUM(G200:G205)</f>
        <v>150105</v>
      </c>
      <c r="H206" s="172">
        <f t="shared" si="52"/>
        <v>2.4510816486722552E-2</v>
      </c>
      <c r="I206" s="337"/>
      <c r="J206" s="168"/>
      <c r="K206" s="168"/>
      <c r="M206" s="364">
        <f>G206/G$228</f>
        <v>5.9098783416669951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490">
        <f>SUM(C25:C206)/2</f>
        <v>6148613</v>
      </c>
      <c r="D208" s="490">
        <f>SUM(D25:D206)/2</f>
        <v>-24582</v>
      </c>
      <c r="E208" s="171">
        <f t="shared" ref="E208:F208" si="55">SUM(E25:E206)/2</f>
        <v>6124031</v>
      </c>
      <c r="F208" s="171">
        <f t="shared" si="55"/>
        <v>0</v>
      </c>
      <c r="G208" s="171">
        <f>SUM(G25:G206)/2</f>
        <v>6124031</v>
      </c>
      <c r="H208" s="172">
        <f>IF($G$208=0,0,G208/$G$208)</f>
        <v>1</v>
      </c>
      <c r="I208" s="337"/>
      <c r="J208" s="183">
        <f>SUM(J25:J200)</f>
        <v>0</v>
      </c>
      <c r="K208" s="183">
        <f>SUM(K25:K200)</f>
        <v>0</v>
      </c>
      <c r="M208" s="364">
        <f>G208/G$228</f>
        <v>241.1130753179259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490">
        <f>'[79]Sch C'!D221</f>
        <v>6148613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490">
        <f>C208-C211</f>
        <v>0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619"/>
      <c r="D213" s="232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490">
        <f>C21-C208</f>
        <v>-937655</v>
      </c>
      <c r="D215" s="490">
        <f>D21-D208</f>
        <v>24582</v>
      </c>
      <c r="E215" s="171">
        <f t="shared" ref="E215:F215" si="56">E21-E208</f>
        <v>-913073</v>
      </c>
      <c r="F215" s="171">
        <f t="shared" si="56"/>
        <v>0</v>
      </c>
      <c r="G215" s="171">
        <f>G21-G208</f>
        <v>-913073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491">
        <f>'[79]Sch D'!C9</f>
        <v>17275</v>
      </c>
      <c r="D219" s="491"/>
      <c r="E219" s="235">
        <f t="shared" ref="E219:G227" si="57">C219+D219</f>
        <v>17275</v>
      </c>
      <c r="F219" s="234"/>
      <c r="G219" s="235">
        <f t="shared" si="57"/>
        <v>17275</v>
      </c>
      <c r="H219" s="172">
        <f t="shared" ref="H219:H228" si="58">IF($G$228=0,0,G219/$G$228)</f>
        <v>0.68014488759399971</v>
      </c>
      <c r="I219" s="337"/>
      <c r="J219" s="168"/>
      <c r="K219" s="168"/>
    </row>
    <row r="220" spans="1:14">
      <c r="A220" s="163"/>
      <c r="B220" s="170" t="s">
        <v>217</v>
      </c>
      <c r="C220" s="491">
        <f>'[79]Sch D'!D9</f>
        <v>0</v>
      </c>
      <c r="D220" s="491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7"/>
      <c r="J220" s="168"/>
      <c r="K220" s="168"/>
    </row>
    <row r="221" spans="1:14">
      <c r="A221" s="163"/>
      <c r="B221" s="170" t="s">
        <v>72</v>
      </c>
      <c r="C221" s="491">
        <f>'[79]Sch D'!E9</f>
        <v>3291</v>
      </c>
      <c r="D221" s="491"/>
      <c r="E221" s="235">
        <f t="shared" si="59"/>
        <v>3291</v>
      </c>
      <c r="F221" s="234"/>
      <c r="G221" s="235">
        <f t="shared" si="57"/>
        <v>3291</v>
      </c>
      <c r="H221" s="172">
        <f t="shared" si="58"/>
        <v>0.12957203039489743</v>
      </c>
      <c r="I221" s="337"/>
      <c r="J221" s="168"/>
      <c r="K221" s="168"/>
    </row>
    <row r="222" spans="1:14">
      <c r="A222" s="163"/>
      <c r="B222" s="202" t="s">
        <v>334</v>
      </c>
      <c r="C222" s="491">
        <f>'[79]Sch D'!F9</f>
        <v>0</v>
      </c>
      <c r="D222" s="491"/>
      <c r="E222" s="235">
        <f>C222+D222</f>
        <v>0</v>
      </c>
      <c r="F222" s="234"/>
      <c r="G222" s="235">
        <f>E222+F222</f>
        <v>0</v>
      </c>
      <c r="H222" s="172">
        <f t="shared" si="58"/>
        <v>0</v>
      </c>
      <c r="I222" s="337"/>
      <c r="J222" s="168"/>
      <c r="K222" s="168"/>
    </row>
    <row r="223" spans="1:14">
      <c r="A223" s="163"/>
      <c r="B223" s="170" t="s">
        <v>73</v>
      </c>
      <c r="C223" s="491">
        <f>'[79]Sch D'!G9</f>
        <v>0</v>
      </c>
      <c r="D223" s="491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7"/>
      <c r="J223" s="168"/>
      <c r="K223" s="168"/>
    </row>
    <row r="224" spans="1:14">
      <c r="A224" s="163"/>
      <c r="B224" s="170" t="s">
        <v>74</v>
      </c>
      <c r="C224" s="491">
        <f>'[79]Sch D'!H9</f>
        <v>4833</v>
      </c>
      <c r="D224" s="491"/>
      <c r="E224" s="235">
        <f t="shared" si="59"/>
        <v>4833</v>
      </c>
      <c r="F224" s="234"/>
      <c r="G224" s="235">
        <f t="shared" si="57"/>
        <v>4833</v>
      </c>
      <c r="H224" s="172">
        <f t="shared" si="58"/>
        <v>0.19028308201110281</v>
      </c>
      <c r="I224" s="337"/>
      <c r="J224" s="168"/>
      <c r="K224" s="168"/>
    </row>
    <row r="225" spans="1:11">
      <c r="A225" s="163"/>
      <c r="B225" s="170" t="s">
        <v>236</v>
      </c>
      <c r="C225" s="491">
        <f>'[79]Sch D'!I9</f>
        <v>0</v>
      </c>
      <c r="D225" s="491"/>
      <c r="E225" s="235">
        <f t="shared" si="59"/>
        <v>0</v>
      </c>
      <c r="F225" s="234"/>
      <c r="G225" s="235">
        <f t="shared" si="57"/>
        <v>0</v>
      </c>
      <c r="H225" s="172">
        <f t="shared" si="58"/>
        <v>0</v>
      </c>
      <c r="I225" s="337"/>
      <c r="J225" s="168"/>
      <c r="K225" s="168"/>
    </row>
    <row r="226" spans="1:11">
      <c r="A226" s="163"/>
      <c r="B226" s="170" t="s">
        <v>235</v>
      </c>
      <c r="C226" s="491">
        <f>'[79]Sch D'!J9</f>
        <v>0</v>
      </c>
      <c r="D226" s="491"/>
      <c r="E226" s="235">
        <f>C226+D226</f>
        <v>0</v>
      </c>
      <c r="F226" s="234"/>
      <c r="G226" s="235">
        <f>E226+F226</f>
        <v>0</v>
      </c>
      <c r="H226" s="172">
        <f t="shared" si="58"/>
        <v>0</v>
      </c>
      <c r="I226" s="337"/>
      <c r="J226" s="168"/>
      <c r="K226" s="168"/>
    </row>
    <row r="227" spans="1:11">
      <c r="A227" s="163"/>
      <c r="B227" s="170" t="s">
        <v>179</v>
      </c>
      <c r="C227" s="491">
        <f>'[79]Sch D'!K9</f>
        <v>0</v>
      </c>
      <c r="D227" s="491"/>
      <c r="E227" s="235">
        <f t="shared" si="59"/>
        <v>0</v>
      </c>
      <c r="F227" s="234"/>
      <c r="G227" s="235">
        <f t="shared" si="57"/>
        <v>0</v>
      </c>
      <c r="H227" s="172">
        <f t="shared" si="58"/>
        <v>0</v>
      </c>
      <c r="I227" s="337"/>
      <c r="J227" s="168"/>
      <c r="K227" s="168"/>
    </row>
    <row r="228" spans="1:11" ht="13.5" thickBot="1">
      <c r="A228" s="163"/>
      <c r="B228" s="236" t="s">
        <v>75</v>
      </c>
      <c r="C228" s="491">
        <f>SUM(C219:C227)</f>
        <v>25399</v>
      </c>
      <c r="D228" s="491">
        <f>SUM(D219:D227)</f>
        <v>0</v>
      </c>
      <c r="E228" s="237">
        <f>SUM(E219:E227)</f>
        <v>25399</v>
      </c>
      <c r="F228" s="237">
        <f>SUM(F219:F227)</f>
        <v>0</v>
      </c>
      <c r="G228" s="237">
        <f>SUM(G219:G227)</f>
        <v>25399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620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619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492">
        <f>'[79]Sch D'!N22</f>
        <v>90</v>
      </c>
      <c r="D231" s="526"/>
      <c r="E231" s="235">
        <f>C231+D231</f>
        <v>90</v>
      </c>
      <c r="F231" s="235"/>
      <c r="G231" s="235">
        <f>E231+F231</f>
        <v>90</v>
      </c>
      <c r="H231" s="167"/>
      <c r="J231" s="168"/>
      <c r="K231" s="168"/>
    </row>
    <row r="232" spans="1:11">
      <c r="A232" s="163"/>
      <c r="B232" s="202" t="s">
        <v>290</v>
      </c>
      <c r="C232" s="492">
        <f>'[79]Sch D'!N24</f>
        <v>90</v>
      </c>
      <c r="D232" s="526"/>
      <c r="E232" s="235">
        <f>C232+D232</f>
        <v>90</v>
      </c>
      <c r="F232" s="235"/>
      <c r="G232" s="235">
        <f>E232+F232</f>
        <v>90</v>
      </c>
      <c r="H232" s="167"/>
      <c r="J232" s="168"/>
      <c r="K232" s="168"/>
    </row>
    <row r="233" spans="1:11">
      <c r="A233" s="163"/>
      <c r="B233" s="202" t="s">
        <v>76</v>
      </c>
      <c r="C233" s="492">
        <f>$C$4-$C$3+1</f>
        <v>365</v>
      </c>
      <c r="D233" s="489"/>
      <c r="E233" s="235">
        <f>C233+D233</f>
        <v>365</v>
      </c>
      <c r="F233" s="240"/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621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492">
        <f>'[79]Sch D'!N28</f>
        <v>32850</v>
      </c>
      <c r="D235" s="489"/>
      <c r="E235" s="234">
        <f>E231*E233</f>
        <v>32850</v>
      </c>
      <c r="F235" s="240"/>
      <c r="G235" s="234">
        <f>G231*G233</f>
        <v>32850</v>
      </c>
      <c r="H235" s="167"/>
      <c r="J235" s="168"/>
      <c r="K235" s="168"/>
    </row>
    <row r="236" spans="1:11" ht="26">
      <c r="A236" s="163"/>
      <c r="B236" s="244" t="s">
        <v>336</v>
      </c>
      <c r="C236" s="493">
        <f>'[79]Sch D'!N30</f>
        <v>0.77318112633181124</v>
      </c>
      <c r="D236" s="240"/>
      <c r="E236" s="245">
        <f>E228/E235</f>
        <v>0.77318112633181124</v>
      </c>
      <c r="F236" s="246"/>
      <c r="G236" s="245">
        <f>G228/G235</f>
        <v>0.77318112633181124</v>
      </c>
      <c r="H236" s="167"/>
      <c r="J236" s="168"/>
      <c r="K236" s="168"/>
    </row>
    <row r="237" spans="1:11" ht="26">
      <c r="A237" s="163"/>
      <c r="B237" s="244" t="s">
        <v>337</v>
      </c>
      <c r="C237" s="493">
        <f>'[79]Sch D'!N32</f>
        <v>0.52587519025875196</v>
      </c>
      <c r="D237" s="240"/>
      <c r="E237" s="245">
        <f>(E219+E220)/E235</f>
        <v>0.52587519025875196</v>
      </c>
      <c r="F237" s="246"/>
      <c r="G237" s="245">
        <f>(G219+G220)/G235</f>
        <v>0.52587519025875196</v>
      </c>
      <c r="H237" s="167"/>
      <c r="J237" s="168"/>
      <c r="K237" s="168"/>
    </row>
    <row r="238" spans="1:11" ht="26">
      <c r="A238" s="163"/>
      <c r="B238" s="244" t="s">
        <v>338</v>
      </c>
      <c r="C238" s="493">
        <f>'[79]Sch D'!N34</f>
        <v>0.68014488759399983</v>
      </c>
      <c r="D238" s="240"/>
      <c r="E238" s="245">
        <f>(E237/E236)</f>
        <v>0.68014488759399983</v>
      </c>
      <c r="F238" s="246"/>
      <c r="G238" s="245">
        <f>(G237/G236)</f>
        <v>0.68014488759399983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490">
        <f>'[79]Sch B'!C85</f>
        <v>177.45</v>
      </c>
    </row>
    <row r="242" spans="2:7">
      <c r="F242" s="142" t="s">
        <v>341</v>
      </c>
      <c r="G242" s="490">
        <f>'[79]Sch B'!E85</f>
        <v>185.50882352941179</v>
      </c>
    </row>
    <row r="243" spans="2:7">
      <c r="F243" s="142" t="s">
        <v>342</v>
      </c>
      <c r="G243" s="490">
        <f>'[79]Sch B'!G85</f>
        <v>196.9462037735849</v>
      </c>
    </row>
    <row r="244" spans="2:7">
      <c r="F244" s="142" t="s">
        <v>343</v>
      </c>
      <c r="G244" s="490">
        <f>'[79]Sch B'!I85</f>
        <v>185.85222967309303</v>
      </c>
    </row>
    <row r="245" spans="2:7">
      <c r="F245" s="142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 topLeftCell="A127">
      <selection activeCell="F131" sqref="F131"/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0">
    <tabColor rgb="FFE28CAB"/>
  </sheetPr>
  <dimension ref="A1:Q246"/>
  <sheetViews>
    <sheetView showGridLines="0" zoomScale="90" zoomScaleNormal="90" workbookViewId="0">
      <selection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8203125" style="140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478"/>
      <c r="E1" s="478"/>
      <c r="F1" s="478"/>
      <c r="G1" s="478"/>
      <c r="H1" s="478"/>
    </row>
    <row r="2" spans="1:14" ht="23">
      <c r="B2" s="143" t="s">
        <v>189</v>
      </c>
      <c r="C2" s="247" t="s">
        <v>366</v>
      </c>
      <c r="D2" s="247"/>
      <c r="E2" s="144"/>
    </row>
    <row r="3" spans="1:14">
      <c r="A3" s="145"/>
      <c r="B3" s="140" t="s">
        <v>79</v>
      </c>
      <c r="C3" s="495">
        <v>41821</v>
      </c>
      <c r="D3" s="144"/>
      <c r="E3" s="147"/>
      <c r="F3" s="140" t="s">
        <v>489</v>
      </c>
    </row>
    <row r="4" spans="1:14">
      <c r="A4" s="145"/>
      <c r="B4" s="148" t="s">
        <v>80</v>
      </c>
      <c r="C4" s="495">
        <v>42185</v>
      </c>
      <c r="D4" s="144"/>
      <c r="E4" s="149"/>
      <c r="F4" s="140" t="s">
        <v>490</v>
      </c>
      <c r="G4" s="150"/>
    </row>
    <row r="5" spans="1:14">
      <c r="A5" s="145"/>
      <c r="B5" s="148"/>
      <c r="C5" s="151"/>
      <c r="D5" s="144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144"/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J10" s="168"/>
      <c r="K10" s="168"/>
    </row>
    <row r="11" spans="1:14" s="167" customFormat="1">
      <c r="A11" s="169" t="s">
        <v>13</v>
      </c>
      <c r="B11" s="170" t="s">
        <v>213</v>
      </c>
      <c r="C11" s="573">
        <f>'[80]Sch B'!E10</f>
        <v>3242182.91</v>
      </c>
      <c r="D11" s="573">
        <f>'[80]Sch B'!G10</f>
        <v>0</v>
      </c>
      <c r="E11" s="171">
        <f>C11+D11</f>
        <v>3242182.91</v>
      </c>
      <c r="F11" s="171"/>
      <c r="G11" s="171">
        <f t="shared" ref="G11:G20" si="0">E11+F11</f>
        <v>3242182.91</v>
      </c>
      <c r="H11" s="172">
        <f t="shared" ref="H11:H21" si="1">IF($G$21=0,0,G11/$G$21)</f>
        <v>0.42044943929564721</v>
      </c>
      <c r="J11" s="368" t="s">
        <v>344</v>
      </c>
      <c r="K11" s="369">
        <f>G21</f>
        <v>7711231.3800000008</v>
      </c>
      <c r="M11" s="359">
        <f>IFERROR(G11/G219,0)</f>
        <v>171.79858573548114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573">
        <f>'[80]Sch B'!E15</f>
        <v>0</v>
      </c>
      <c r="D12" s="573">
        <f>'[80]Sch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J12" s="370" t="s">
        <v>345</v>
      </c>
      <c r="K12" s="371">
        <f>G208</f>
        <v>7732320.8273587814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573">
        <f>'[80]Sch B'!E21</f>
        <v>493769.41000000003</v>
      </c>
      <c r="D13" s="573">
        <f>'[80]Sch B'!G21</f>
        <v>0</v>
      </c>
      <c r="E13" s="171">
        <f t="shared" si="2"/>
        <v>493769.41000000003</v>
      </c>
      <c r="F13" s="171"/>
      <c r="G13" s="171">
        <f t="shared" si="0"/>
        <v>493769.41000000003</v>
      </c>
      <c r="H13" s="172">
        <f t="shared" si="1"/>
        <v>6.4032498270075247E-2</v>
      </c>
      <c r="J13" s="370" t="s">
        <v>346</v>
      </c>
      <c r="K13" s="371">
        <f>G228</f>
        <v>30006</v>
      </c>
      <c r="M13" s="359">
        <f t="shared" si="3"/>
        <v>339.82753613214044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573">
        <f>'[80]Sch B'!E27</f>
        <v>134436.53</v>
      </c>
      <c r="D14" s="573">
        <f>'[80]Sch B'!G27</f>
        <v>-125000</v>
      </c>
      <c r="E14" s="171">
        <f t="shared" si="2"/>
        <v>9436.5299999999988</v>
      </c>
      <c r="F14" s="175"/>
      <c r="G14" s="175">
        <f>E14+F14</f>
        <v>9436.5299999999988</v>
      </c>
      <c r="H14" s="176">
        <f t="shared" si="1"/>
        <v>1.2237384063555356E-3</v>
      </c>
      <c r="J14" s="370" t="s">
        <v>347</v>
      </c>
      <c r="K14" s="371">
        <f>G231</f>
        <v>110</v>
      </c>
      <c r="M14" s="359">
        <f t="shared" si="3"/>
        <v>262.12583333333328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573">
        <f>'[80]Sch B'!E32</f>
        <v>34264.32</v>
      </c>
      <c r="D15" s="573">
        <f>'[80]Sch B'!G32</f>
        <v>0</v>
      </c>
      <c r="E15" s="171">
        <f t="shared" si="2"/>
        <v>34264.32</v>
      </c>
      <c r="F15" s="171"/>
      <c r="G15" s="171">
        <f t="shared" si="0"/>
        <v>34264.32</v>
      </c>
      <c r="H15" s="172">
        <f t="shared" si="1"/>
        <v>4.4434304083869934E-3</v>
      </c>
      <c r="J15" s="370" t="s">
        <v>348</v>
      </c>
      <c r="K15" s="371">
        <f>G235</f>
        <v>40150</v>
      </c>
      <c r="M15" s="359">
        <f t="shared" si="3"/>
        <v>184.21677419354839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573">
        <f>'[80]Sch B'!E37</f>
        <v>1772599.3900000001</v>
      </c>
      <c r="D16" s="573">
        <f>'[80]Sch B'!G37</f>
        <v>0</v>
      </c>
      <c r="E16" s="171">
        <f t="shared" si="2"/>
        <v>1772599.3900000001</v>
      </c>
      <c r="F16" s="171"/>
      <c r="G16" s="171">
        <f t="shared" si="0"/>
        <v>1772599.3900000001</v>
      </c>
      <c r="H16" s="172">
        <f t="shared" si="1"/>
        <v>0.22987241630402225</v>
      </c>
      <c r="J16" s="372"/>
      <c r="K16" s="371"/>
      <c r="M16" s="359">
        <f t="shared" si="3"/>
        <v>187.3981805687705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573">
        <f>'[80]Sch B'!E42</f>
        <v>0</v>
      </c>
      <c r="D17" s="573">
        <f>'[80]Sch B'!G42</f>
        <v>0</v>
      </c>
      <c r="E17" s="171">
        <f t="shared" si="2"/>
        <v>0</v>
      </c>
      <c r="F17" s="171"/>
      <c r="G17" s="171">
        <f>E17+F17</f>
        <v>0</v>
      </c>
      <c r="H17" s="172">
        <f t="shared" si="1"/>
        <v>0</v>
      </c>
      <c r="I17" s="522" t="s">
        <v>473</v>
      </c>
      <c r="J17" s="370" t="s">
        <v>156</v>
      </c>
      <c r="K17" s="371">
        <f>J208</f>
        <v>204304.52999999997</v>
      </c>
      <c r="M17" s="359">
        <f t="shared" si="3"/>
        <v>0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573">
        <f>'[80]Sch B'!E47</f>
        <v>0</v>
      </c>
      <c r="D18" s="573">
        <f>'[80]Sch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522" t="s">
        <v>473</v>
      </c>
      <c r="J18" s="373" t="s">
        <v>252</v>
      </c>
      <c r="K18" s="374">
        <f>K208</f>
        <v>221008.71999999997</v>
      </c>
      <c r="M18" s="359">
        <f t="shared" si="3"/>
        <v>0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573">
        <f>'[80]Sch B'!E52</f>
        <v>0</v>
      </c>
      <c r="D19" s="573">
        <f>'[80]Sch B'!G52</f>
        <v>0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J19" s="168"/>
      <c r="K19" s="168"/>
      <c r="M19" s="359">
        <f t="shared" si="3"/>
        <v>0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573">
        <f>'[80]Sch B'!E67</f>
        <v>2158978.8199999998</v>
      </c>
      <c r="D20" s="573">
        <f>'[80]Sch B'!G67</f>
        <v>0</v>
      </c>
      <c r="E20" s="171">
        <f t="shared" si="2"/>
        <v>2158978.8199999998</v>
      </c>
      <c r="F20" s="171"/>
      <c r="G20" s="171">
        <f t="shared" si="0"/>
        <v>2158978.8199999998</v>
      </c>
      <c r="H20" s="172">
        <f t="shared" si="1"/>
        <v>0.27997847731551267</v>
      </c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573">
        <f>SUM(C11:C20)</f>
        <v>7836231.3800000008</v>
      </c>
      <c r="D21" s="573">
        <f>SUM(D11:D20)</f>
        <v>-125000</v>
      </c>
      <c r="E21" s="171">
        <f>SUM(E11:E20)</f>
        <v>7711231.3800000008</v>
      </c>
      <c r="F21" s="171">
        <f>SUM(F11:F20)</f>
        <v>0</v>
      </c>
      <c r="G21" s="171">
        <f>SUM(G11:G20)</f>
        <v>7711231.3800000008</v>
      </c>
      <c r="H21" s="172">
        <f t="shared" si="1"/>
        <v>1</v>
      </c>
      <c r="J21" s="168"/>
      <c r="K21" s="168"/>
      <c r="M21" s="359">
        <f>IFERROR(G21/G228,0)</f>
        <v>256.98964807038595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4">
      <c r="A24" s="181" t="s">
        <v>161</v>
      </c>
      <c r="B24" s="148" t="s">
        <v>12</v>
      </c>
      <c r="M24" s="363"/>
      <c r="N24" s="363"/>
    </row>
    <row r="25" spans="1:14" s="167" customFormat="1">
      <c r="A25" s="169" t="s">
        <v>83</v>
      </c>
      <c r="B25" s="170" t="s">
        <v>14</v>
      </c>
      <c r="C25" s="573">
        <f>'[80]Sch C'!D10</f>
        <v>100114.46</v>
      </c>
      <c r="D25" s="573">
        <f>'[80]Sch C'!F10</f>
        <v>0</v>
      </c>
      <c r="E25" s="171">
        <f t="shared" ref="E25:E60" si="4">C25+D25</f>
        <v>100114.46</v>
      </c>
      <c r="F25" s="171"/>
      <c r="G25" s="182">
        <f>E25+F25</f>
        <v>100114.46</v>
      </c>
      <c r="H25" s="172">
        <f>IF($G$208=0,0,G25/$G$208)</f>
        <v>1.2947530532588786E-2</v>
      </c>
      <c r="J25" s="183">
        <v>1796.23</v>
      </c>
      <c r="K25" s="183">
        <v>2080.08</v>
      </c>
      <c r="M25" s="359">
        <f>G25/G$228</f>
        <v>3.3364813703925882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573">
        <f>'[80]Sch C'!D11</f>
        <v>0</v>
      </c>
      <c r="D26" s="573">
        <f>'[80]Sch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573">
        <f>'[80]Sch C'!D12</f>
        <v>131034.09</v>
      </c>
      <c r="D27" s="573">
        <f>'[80]Sch C'!F12</f>
        <v>0</v>
      </c>
      <c r="E27" s="171">
        <f t="shared" si="4"/>
        <v>131034.09</v>
      </c>
      <c r="F27" s="171"/>
      <c r="G27" s="171">
        <f t="shared" si="5"/>
        <v>131034.09</v>
      </c>
      <c r="H27" s="172">
        <f t="shared" si="6"/>
        <v>1.6946282096362373E-2</v>
      </c>
      <c r="J27" s="185">
        <v>5792.51</v>
      </c>
      <c r="K27" s="185">
        <v>6387.2</v>
      </c>
      <c r="M27" s="359">
        <f t="shared" si="7"/>
        <v>4.3669296140771845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573">
        <f>'[80]Sch C'!D13</f>
        <v>1796094.4</v>
      </c>
      <c r="D28" s="573">
        <f>'[80]Sch C'!F13</f>
        <v>-1686948</v>
      </c>
      <c r="E28" s="171">
        <f t="shared" si="4"/>
        <v>109146.39999999991</v>
      </c>
      <c r="F28" s="171"/>
      <c r="G28" s="171">
        <f t="shared" si="5"/>
        <v>109146.39999999991</v>
      </c>
      <c r="H28" s="172">
        <f t="shared" si="6"/>
        <v>1.4115606741744873E-2</v>
      </c>
      <c r="J28" s="168"/>
      <c r="K28" s="168"/>
      <c r="M28" s="359">
        <f t="shared" si="7"/>
        <v>3.6374858361660971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573">
        <f>'[80]Sch C'!D14</f>
        <v>0</v>
      </c>
      <c r="D29" s="573">
        <f>'[80]Sch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573">
        <f>'[80]Sch C'!D15</f>
        <v>184127.42</v>
      </c>
      <c r="D30" s="573">
        <f>'[80]Sch C'!F15</f>
        <v>-184127</v>
      </c>
      <c r="E30" s="171">
        <f t="shared" si="4"/>
        <v>0.42000000001280569</v>
      </c>
      <c r="F30" s="171"/>
      <c r="G30" s="171">
        <f t="shared" si="5"/>
        <v>0.42000000001280569</v>
      </c>
      <c r="H30" s="172">
        <f t="shared" si="6"/>
        <v>5.4317456477846374E-8</v>
      </c>
      <c r="J30" s="168"/>
      <c r="K30" s="168"/>
      <c r="M30" s="359">
        <f t="shared" si="7"/>
        <v>1.3997200560314794E-5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573">
        <f>'[80]Sch C'!D16</f>
        <v>0</v>
      </c>
      <c r="D31" s="573">
        <f>'[80]Sch C'!F16</f>
        <v>200061</v>
      </c>
      <c r="E31" s="171">
        <f t="shared" si="4"/>
        <v>200061</v>
      </c>
      <c r="F31" s="171"/>
      <c r="G31" s="171">
        <f t="shared" si="5"/>
        <v>200061</v>
      </c>
      <c r="H31" s="172">
        <f t="shared" si="6"/>
        <v>2.587334442876928E-2</v>
      </c>
      <c r="J31" s="168"/>
      <c r="K31" s="168"/>
      <c r="M31" s="359">
        <f t="shared" si="7"/>
        <v>6.6673665266946607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573">
        <f>'[80]Sch C'!D17</f>
        <v>0</v>
      </c>
      <c r="D32" s="573">
        <f>'[80]Sch C'!F17</f>
        <v>0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J32" s="168"/>
      <c r="K32" s="168"/>
      <c r="M32" s="359">
        <f t="shared" si="7"/>
        <v>0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573">
        <f>'[80]Sch C'!D18</f>
        <v>31584.720000000001</v>
      </c>
      <c r="D33" s="573">
        <f>'[80]Sch C'!F18</f>
        <v>0</v>
      </c>
      <c r="E33" s="171">
        <f t="shared" si="4"/>
        <v>31584.720000000001</v>
      </c>
      <c r="F33" s="171"/>
      <c r="G33" s="171">
        <f t="shared" si="5"/>
        <v>31584.720000000001</v>
      </c>
      <c r="H33" s="172">
        <f t="shared" si="6"/>
        <v>4.0847658426491802E-3</v>
      </c>
      <c r="J33" s="168"/>
      <c r="K33" s="168"/>
      <c r="M33" s="359">
        <f t="shared" si="7"/>
        <v>1.052613477304539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573">
        <f>'[80]Sch C'!D19</f>
        <v>14911.65</v>
      </c>
      <c r="D34" s="573">
        <f>'[80]Sch C'!F19</f>
        <v>0</v>
      </c>
      <c r="E34" s="171">
        <f t="shared" si="4"/>
        <v>14911.65</v>
      </c>
      <c r="F34" s="171"/>
      <c r="G34" s="171">
        <f t="shared" si="5"/>
        <v>14911.65</v>
      </c>
      <c r="H34" s="172">
        <f t="shared" si="6"/>
        <v>1.928483094912339E-3</v>
      </c>
      <c r="J34" s="168"/>
      <c r="K34" s="168"/>
      <c r="M34" s="359">
        <f t="shared" si="7"/>
        <v>0.49695560887822432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573">
        <f>'[80]Sch C'!D20</f>
        <v>13084.68</v>
      </c>
      <c r="D35" s="573">
        <f>'[80]Sch C'!F20</f>
        <v>0</v>
      </c>
      <c r="E35" s="171">
        <f t="shared" si="4"/>
        <v>13084.68</v>
      </c>
      <c r="F35" s="171"/>
      <c r="G35" s="171">
        <f t="shared" si="5"/>
        <v>13084.68</v>
      </c>
      <c r="H35" s="172">
        <f t="shared" si="6"/>
        <v>1.692206039059231E-3</v>
      </c>
      <c r="J35" s="168"/>
      <c r="K35" s="168"/>
      <c r="M35" s="359">
        <f t="shared" si="7"/>
        <v>0.43606878624275147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573">
        <f>'[80]Sch C'!D21</f>
        <v>12990</v>
      </c>
      <c r="D36" s="573">
        <f>'[80]Sch C'!F21</f>
        <v>0</v>
      </c>
      <c r="E36" s="171">
        <f t="shared" si="4"/>
        <v>12990</v>
      </c>
      <c r="F36" s="171"/>
      <c r="G36" s="171">
        <f t="shared" si="5"/>
        <v>12990</v>
      </c>
      <c r="H36" s="172">
        <f t="shared" si="6"/>
        <v>1.6799613324421699E-3</v>
      </c>
      <c r="J36" s="168"/>
      <c r="K36" s="168"/>
      <c r="M36" s="359">
        <f t="shared" si="7"/>
        <v>0.43291341731653671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573">
        <f>'[80]Sch C'!D22</f>
        <v>0</v>
      </c>
      <c r="D37" s="573">
        <f>'[80]Sch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573">
        <f>'[80]Sch C'!D23</f>
        <v>18267.560000000001</v>
      </c>
      <c r="D38" s="573">
        <f>'[80]Sch C'!F23</f>
        <v>0</v>
      </c>
      <c r="E38" s="171">
        <f t="shared" si="4"/>
        <v>18267.560000000001</v>
      </c>
      <c r="F38" s="171"/>
      <c r="G38" s="171">
        <f t="shared" si="5"/>
        <v>18267.560000000001</v>
      </c>
      <c r="H38" s="172">
        <f t="shared" si="6"/>
        <v>2.3624937981576049E-3</v>
      </c>
      <c r="J38" s="168"/>
      <c r="K38" s="168"/>
      <c r="M38" s="359">
        <f t="shared" si="7"/>
        <v>0.60879690728520963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573">
        <f>'[80]Sch C'!D24</f>
        <v>15822.16</v>
      </c>
      <c r="D39" s="573">
        <f>'[80]Sch C'!F24</f>
        <v>0</v>
      </c>
      <c r="E39" s="171">
        <f t="shared" si="4"/>
        <v>15822.16</v>
      </c>
      <c r="F39" s="171">
        <v>16833</v>
      </c>
      <c r="G39" s="171">
        <f t="shared" si="5"/>
        <v>32655.16</v>
      </c>
      <c r="H39" s="172">
        <f t="shared" si="6"/>
        <v>4.2232029333881642E-3</v>
      </c>
      <c r="J39" s="168"/>
      <c r="K39" s="168"/>
      <c r="M39" s="359">
        <f t="shared" si="7"/>
        <v>1.0882876757981736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573">
        <f>'[80]Sch C'!D25</f>
        <v>0</v>
      </c>
      <c r="D40" s="573">
        <f>'[80]Sch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J40" s="168"/>
      <c r="K40" s="168"/>
      <c r="M40" s="359">
        <f t="shared" si="7"/>
        <v>0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573">
        <f>'[80]Sch C'!D26</f>
        <v>439410.45</v>
      </c>
      <c r="D41" s="573">
        <f>'[80]Sch C'!F26</f>
        <v>0</v>
      </c>
      <c r="E41" s="171">
        <f t="shared" si="4"/>
        <v>439410.45</v>
      </c>
      <c r="F41" s="171"/>
      <c r="G41" s="171">
        <f t="shared" si="5"/>
        <v>439410.45</v>
      </c>
      <c r="H41" s="172">
        <f t="shared" si="6"/>
        <v>5.6827757126328982E-2</v>
      </c>
      <c r="J41" s="168"/>
      <c r="K41" s="168"/>
      <c r="M41" s="359">
        <f t="shared" si="7"/>
        <v>14.644086182763449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573">
        <f>'[80]Sch C'!D27</f>
        <v>50.97</v>
      </c>
      <c r="D42" s="573">
        <f>'[80]Sch C'!F27</f>
        <v>0</v>
      </c>
      <c r="E42" s="171">
        <f t="shared" si="4"/>
        <v>50.97</v>
      </c>
      <c r="F42" s="171"/>
      <c r="G42" s="171">
        <f t="shared" si="5"/>
        <v>50.97</v>
      </c>
      <c r="H42" s="172">
        <f t="shared" si="6"/>
        <v>6.59181132521766E-6</v>
      </c>
      <c r="J42" s="168"/>
      <c r="K42" s="168"/>
      <c r="M42" s="359">
        <f t="shared" si="7"/>
        <v>1.6986602679464108E-3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573">
        <f>'[80]Sch C'!D28</f>
        <v>0</v>
      </c>
      <c r="D43" s="573">
        <f>'[80]Sch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573">
        <f>'[80]Sch C'!D29</f>
        <v>17159.14</v>
      </c>
      <c r="D44" s="573">
        <f>'[80]Sch C'!F29</f>
        <v>-17159.14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573">
        <f>'[80]Sch C'!D30</f>
        <v>0</v>
      </c>
      <c r="D45" s="573">
        <f>'[80]Sch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573">
        <f>'[80]Sch C'!D31</f>
        <v>87335.92</v>
      </c>
      <c r="D46" s="573">
        <f>'[80]Sch C'!F31</f>
        <v>0</v>
      </c>
      <c r="E46" s="171">
        <f t="shared" si="4"/>
        <v>87335.92</v>
      </c>
      <c r="F46" s="171"/>
      <c r="G46" s="171">
        <f t="shared" si="5"/>
        <v>87335.92</v>
      </c>
      <c r="H46" s="172">
        <f t="shared" si="6"/>
        <v>1.1294916746209603E-2</v>
      </c>
      <c r="J46" s="168"/>
      <c r="K46" s="168"/>
      <c r="M46" s="359">
        <f t="shared" si="7"/>
        <v>2.910615210291275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573">
        <f>'[80]Sch C'!D32</f>
        <v>29017.9</v>
      </c>
      <c r="D47" s="573">
        <f>'[80]Sch C'!F32</f>
        <v>0</v>
      </c>
      <c r="E47" s="171">
        <f t="shared" si="4"/>
        <v>29017.9</v>
      </c>
      <c r="F47" s="171"/>
      <c r="G47" s="171">
        <f t="shared" si="5"/>
        <v>29017.9</v>
      </c>
      <c r="H47" s="172">
        <f t="shared" si="6"/>
        <v>3.7528060006677172E-3</v>
      </c>
      <c r="J47" s="168"/>
      <c r="K47" s="168"/>
      <c r="M47" s="359">
        <f t="shared" si="7"/>
        <v>0.96706991934946351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573">
        <f>'[80]Sch C'!D33</f>
        <v>0</v>
      </c>
      <c r="D48" s="573">
        <f>'[80]Sch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573">
        <f>'[80]Sch C'!D34</f>
        <v>0</v>
      </c>
      <c r="D49" s="573">
        <f>'[80]Sch C'!F34</f>
        <v>0</v>
      </c>
      <c r="E49" s="171">
        <f t="shared" si="4"/>
        <v>0</v>
      </c>
      <c r="F49" s="171"/>
      <c r="G49" s="171">
        <f t="shared" si="5"/>
        <v>0</v>
      </c>
      <c r="H49" s="172">
        <f t="shared" si="6"/>
        <v>0</v>
      </c>
      <c r="J49" s="168"/>
      <c r="K49" s="168"/>
      <c r="M49" s="359">
        <f t="shared" si="7"/>
        <v>0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573">
        <f>'[80]Sch C'!D35</f>
        <v>8</v>
      </c>
      <c r="D50" s="573">
        <f>'[80]Sch C'!F35</f>
        <v>-8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573">
        <f>'[80]Sch C'!D36</f>
        <v>0</v>
      </c>
      <c r="D51" s="573">
        <f>'[80]Sch C'!F36</f>
        <v>0</v>
      </c>
      <c r="E51" s="171">
        <f t="shared" si="4"/>
        <v>0</v>
      </c>
      <c r="F51" s="171"/>
      <c r="G51" s="171">
        <f t="shared" si="5"/>
        <v>0</v>
      </c>
      <c r="H51" s="172">
        <f t="shared" si="6"/>
        <v>0</v>
      </c>
      <c r="J51" s="183">
        <v>0</v>
      </c>
      <c r="K51" s="183">
        <v>0</v>
      </c>
      <c r="M51" s="359">
        <f t="shared" si="7"/>
        <v>0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573">
        <f>'[80]Sch C'!D37</f>
        <v>0</v>
      </c>
      <c r="D52" s="573">
        <f>'[80]Sch C'!F37</f>
        <v>0</v>
      </c>
      <c r="E52" s="171">
        <f t="shared" si="4"/>
        <v>0</v>
      </c>
      <c r="F52" s="171"/>
      <c r="G52" s="171">
        <f t="shared" si="5"/>
        <v>0</v>
      </c>
      <c r="H52" s="172">
        <f t="shared" si="6"/>
        <v>0</v>
      </c>
      <c r="J52" s="168"/>
      <c r="K52" s="168"/>
      <c r="M52" s="359">
        <f t="shared" si="7"/>
        <v>0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573">
        <f>'[80]Sch C'!D38</f>
        <v>0</v>
      </c>
      <c r="D53" s="573">
        <f>'[80]Sch C'!F38</f>
        <v>0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J53" s="168"/>
      <c r="K53" s="168"/>
      <c r="M53" s="359">
        <f t="shared" si="7"/>
        <v>0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573">
        <f>'[80]Sch C'!D39</f>
        <v>9827.8700000000008</v>
      </c>
      <c r="D54" s="573">
        <f>'[80]Sch C'!F39</f>
        <v>0</v>
      </c>
      <c r="E54" s="171">
        <f t="shared" si="4"/>
        <v>9827.8700000000008</v>
      </c>
      <c r="F54" s="171"/>
      <c r="G54" s="171">
        <f t="shared" si="5"/>
        <v>9827.8700000000008</v>
      </c>
      <c r="H54" s="172">
        <f t="shared" si="6"/>
        <v>1.2710116689967999E-3</v>
      </c>
      <c r="J54" s="168"/>
      <c r="K54" s="168"/>
      <c r="M54" s="359">
        <f t="shared" si="7"/>
        <v>0.32753016063453977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573">
        <f>'[80]Sch C'!D40</f>
        <v>11680.4</v>
      </c>
      <c r="D55" s="573">
        <f>'[80]Sch C'!F40</f>
        <v>-11680</v>
      </c>
      <c r="E55" s="171">
        <f t="shared" si="4"/>
        <v>0.3999999999996362</v>
      </c>
      <c r="F55" s="171"/>
      <c r="G55" s="171">
        <f t="shared" si="5"/>
        <v>0.3999999999996362</v>
      </c>
      <c r="H55" s="172">
        <f t="shared" si="6"/>
        <v>5.1730910929657954E-8</v>
      </c>
      <c r="J55" s="168"/>
      <c r="K55" s="168"/>
      <c r="M55" s="359">
        <f t="shared" si="7"/>
        <v>1.3330667199881231E-5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573">
        <f>'[80]Sch C'!D41</f>
        <v>0</v>
      </c>
      <c r="D56" s="573">
        <f>'[80]Sch C'!F41</f>
        <v>0</v>
      </c>
      <c r="E56" s="171">
        <f t="shared" si="4"/>
        <v>0</v>
      </c>
      <c r="F56" s="171"/>
      <c r="G56" s="171">
        <f t="shared" si="5"/>
        <v>0</v>
      </c>
      <c r="H56" s="172">
        <f t="shared" si="6"/>
        <v>0</v>
      </c>
      <c r="J56" s="168"/>
      <c r="K56" s="168"/>
      <c r="M56" s="359">
        <f t="shared" si="7"/>
        <v>0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573">
        <f>'[80]Sch C'!D42</f>
        <v>683.75</v>
      </c>
      <c r="D57" s="573">
        <f>'[80]Sch C'!F42</f>
        <v>0</v>
      </c>
      <c r="E57" s="171">
        <f t="shared" si="4"/>
        <v>683.75</v>
      </c>
      <c r="F57" s="171"/>
      <c r="G57" s="171">
        <f t="shared" si="5"/>
        <v>683.75</v>
      </c>
      <c r="H57" s="172">
        <f t="shared" si="6"/>
        <v>8.8427525870464482E-5</v>
      </c>
      <c r="J57" s="168"/>
      <c r="K57" s="168"/>
      <c r="M57" s="359">
        <f t="shared" si="7"/>
        <v>2.2787109244817704E-2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573">
        <f>'[80]Sch C'!D43</f>
        <v>0</v>
      </c>
      <c r="D58" s="573">
        <f>'[80]Sch C'!F43</f>
        <v>0</v>
      </c>
      <c r="E58" s="171">
        <f t="shared" si="4"/>
        <v>0</v>
      </c>
      <c r="F58" s="171"/>
      <c r="G58" s="171">
        <f t="shared" si="5"/>
        <v>0</v>
      </c>
      <c r="H58" s="172">
        <f t="shared" si="6"/>
        <v>0</v>
      </c>
      <c r="J58" s="168"/>
      <c r="K58" s="168"/>
      <c r="M58" s="359">
        <f t="shared" si="7"/>
        <v>0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573">
        <f>'[80]Sch C'!D44</f>
        <v>0</v>
      </c>
      <c r="D59" s="573">
        <f>'[80]Sch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J59" s="168"/>
      <c r="K59" s="168"/>
      <c r="M59" s="359">
        <f t="shared" si="7"/>
        <v>0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573">
        <f>'[80]Sch C'!D45</f>
        <v>636018.94999999995</v>
      </c>
      <c r="D60" s="573">
        <f>'[80]Sch C'!F45</f>
        <v>-636019</v>
      </c>
      <c r="E60" s="171">
        <f t="shared" si="4"/>
        <v>-5.0000000046566129E-2</v>
      </c>
      <c r="F60" s="171"/>
      <c r="G60" s="171">
        <f t="shared" si="5"/>
        <v>-5.0000000046566129E-2</v>
      </c>
      <c r="H60" s="172">
        <f t="shared" si="6"/>
        <v>-6.4663638722353957E-9</v>
      </c>
      <c r="J60" s="168"/>
      <c r="K60" s="168"/>
      <c r="M60" s="359">
        <f t="shared" si="7"/>
        <v>-1.6663334015385632E-6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573">
        <f>SUM(C25:C60)</f>
        <v>3549224.4900000012</v>
      </c>
      <c r="D61" s="573">
        <f>SUM(D25:D60)</f>
        <v>-2335880.1399999997</v>
      </c>
      <c r="E61" s="171">
        <f t="shared" ref="E61" si="8">SUM(E25:E60)</f>
        <v>1213344.3499999999</v>
      </c>
      <c r="F61" s="171">
        <f>SUM(F25:F60)</f>
        <v>16833</v>
      </c>
      <c r="G61" s="171">
        <f>SUM(G25:G60)</f>
        <v>1230177.3499999999</v>
      </c>
      <c r="H61" s="186">
        <f t="shared" si="6"/>
        <v>0.15909548730147632</v>
      </c>
      <c r="J61" s="168"/>
      <c r="K61" s="168"/>
      <c r="M61" s="364">
        <f>G61/G$228</f>
        <v>40.997712124241815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573">
        <f>'[80]Sch C'!D57</f>
        <v>0</v>
      </c>
      <c r="D64" s="573">
        <f>'[80]Sch C'!F57</f>
        <v>0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J64" s="190"/>
      <c r="K64" s="168"/>
      <c r="M64" s="359">
        <f t="shared" ref="M64:M79" si="12">G64/G$228</f>
        <v>0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573">
        <f>'[80]Sch C'!D58</f>
        <v>198451.72</v>
      </c>
      <c r="D65" s="573">
        <f>'[80]Sch C'!F58</f>
        <v>0</v>
      </c>
      <c r="E65" s="171">
        <f t="shared" si="9"/>
        <v>198451.72</v>
      </c>
      <c r="F65" s="171"/>
      <c r="G65" s="171">
        <f t="shared" si="10"/>
        <v>198451.72</v>
      </c>
      <c r="H65" s="172">
        <f t="shared" si="11"/>
        <v>2.5665220627916891E-2</v>
      </c>
      <c r="J65" s="190"/>
      <c r="K65" s="168"/>
      <c r="M65" s="359">
        <f t="shared" si="12"/>
        <v>6.6137345864160499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573">
        <f>'[80]Sch C'!D59</f>
        <v>0</v>
      </c>
      <c r="D66" s="573">
        <f>'[80]Sch C'!F59</f>
        <v>0</v>
      </c>
      <c r="E66" s="171">
        <f t="shared" si="9"/>
        <v>0</v>
      </c>
      <c r="F66" s="171"/>
      <c r="G66" s="171">
        <f t="shared" si="10"/>
        <v>0</v>
      </c>
      <c r="H66" s="172">
        <f t="shared" si="11"/>
        <v>0</v>
      </c>
      <c r="J66" s="190"/>
      <c r="K66" s="168"/>
      <c r="M66" s="359">
        <f t="shared" si="12"/>
        <v>0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573">
        <f>'[80]Sch C'!D60</f>
        <v>0</v>
      </c>
      <c r="D67" s="573">
        <f>'[80]Sch C'!F60</f>
        <v>0</v>
      </c>
      <c r="E67" s="171">
        <f t="shared" si="9"/>
        <v>0</v>
      </c>
      <c r="F67" s="171"/>
      <c r="G67" s="171">
        <f t="shared" si="10"/>
        <v>0</v>
      </c>
      <c r="H67" s="172">
        <f t="shared" si="11"/>
        <v>0</v>
      </c>
      <c r="J67" s="193"/>
      <c r="K67" s="168"/>
      <c r="M67" s="359">
        <f t="shared" si="12"/>
        <v>0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573">
        <f>'[80]Sch C'!D61</f>
        <v>5399.76</v>
      </c>
      <c r="D68" s="573">
        <f>'[80]Sch C'!F61</f>
        <v>0</v>
      </c>
      <c r="E68" s="171">
        <f t="shared" si="9"/>
        <v>5399.76</v>
      </c>
      <c r="F68" s="171"/>
      <c r="G68" s="171">
        <f t="shared" si="10"/>
        <v>5399.76</v>
      </c>
      <c r="H68" s="172">
        <f t="shared" si="11"/>
        <v>6.9833625900445973E-4</v>
      </c>
      <c r="J68" s="193"/>
      <c r="K68" s="168"/>
      <c r="M68" s="359">
        <f t="shared" si="12"/>
        <v>0.17995600879824036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573">
        <f>'[80]Sch C'!D62</f>
        <v>8590.75</v>
      </c>
      <c r="D69" s="573">
        <f>'[80]Sch C'!F62</f>
        <v>0</v>
      </c>
      <c r="E69" s="171">
        <f t="shared" si="9"/>
        <v>8590.75</v>
      </c>
      <c r="F69" s="171"/>
      <c r="G69" s="171">
        <f t="shared" si="10"/>
        <v>8590.75</v>
      </c>
      <c r="H69" s="172">
        <f t="shared" si="11"/>
        <v>1.1110183076734081E-3</v>
      </c>
      <c r="J69" s="195"/>
      <c r="K69" s="168"/>
      <c r="M69" s="359">
        <f t="shared" si="12"/>
        <v>0.28630107311870961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573">
        <f>'[80]Sch C'!D63</f>
        <v>0</v>
      </c>
      <c r="D70" s="573">
        <f>'[80]Sch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573">
        <f>'[80]Sch C'!D64</f>
        <v>0</v>
      </c>
      <c r="D71" s="573">
        <f>'[80]Sch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573">
        <f>'[80]Sch C'!D65</f>
        <v>2025.62</v>
      </c>
      <c r="D72" s="573">
        <f>'[80]Sch C'!F65</f>
        <v>0</v>
      </c>
      <c r="E72" s="171">
        <f t="shared" si="9"/>
        <v>2025.62</v>
      </c>
      <c r="F72" s="171"/>
      <c r="G72" s="171">
        <f t="shared" si="10"/>
        <v>2025.62</v>
      </c>
      <c r="H72" s="172">
        <f t="shared" si="11"/>
        <v>2.6196791949357258E-4</v>
      </c>
      <c r="J72" s="195"/>
      <c r="K72" s="168"/>
      <c r="M72" s="359">
        <f t="shared" si="12"/>
        <v>6.7507165233619937E-2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573">
        <f>'[80]Sch C'!D66</f>
        <v>0</v>
      </c>
      <c r="D73" s="573">
        <f>'[80]Sch C'!F66</f>
        <v>0</v>
      </c>
      <c r="E73" s="171">
        <f t="shared" si="9"/>
        <v>0</v>
      </c>
      <c r="F73" s="171"/>
      <c r="G73" s="171">
        <f t="shared" si="10"/>
        <v>0</v>
      </c>
      <c r="H73" s="172">
        <f t="shared" si="11"/>
        <v>0</v>
      </c>
      <c r="J73" s="195"/>
      <c r="K73" s="168"/>
      <c r="M73" s="359">
        <f t="shared" si="12"/>
        <v>0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573">
        <f>'[80]Sch C'!D67</f>
        <v>-145.38999999999999</v>
      </c>
      <c r="D74" s="573">
        <f>'[80]Sch C'!F67</f>
        <v>0</v>
      </c>
      <c r="E74" s="171">
        <f t="shared" si="9"/>
        <v>-145.38999999999999</v>
      </c>
      <c r="F74" s="171"/>
      <c r="G74" s="171">
        <f t="shared" si="10"/>
        <v>-145.38999999999999</v>
      </c>
      <c r="H74" s="172">
        <f t="shared" si="11"/>
        <v>-1.8802892850174522E-5</v>
      </c>
      <c r="J74" s="195"/>
      <c r="K74" s="168"/>
      <c r="M74" s="359">
        <f t="shared" si="12"/>
        <v>-4.8453642604812368E-3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573">
        <f>'[80]Sch C'!D68</f>
        <v>0</v>
      </c>
      <c r="D75" s="573">
        <f>'[80]Sch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573">
        <f>'[80]Sch C'!D69</f>
        <v>0</v>
      </c>
      <c r="D76" s="573">
        <f>'[80]Sch C'!F69</f>
        <v>0</v>
      </c>
      <c r="E76" s="171">
        <f t="shared" si="9"/>
        <v>0</v>
      </c>
      <c r="F76" s="171"/>
      <c r="G76" s="171">
        <f t="shared" si="10"/>
        <v>0</v>
      </c>
      <c r="H76" s="172">
        <f t="shared" si="11"/>
        <v>0</v>
      </c>
      <c r="J76" s="195"/>
      <c r="K76" s="168"/>
      <c r="M76" s="359">
        <f t="shared" si="12"/>
        <v>0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573">
        <f>'[80]Sch C'!D70</f>
        <v>0</v>
      </c>
      <c r="D77" s="573">
        <f>'[80]Sch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573">
        <f>'[80]Sch C'!D71</f>
        <v>0</v>
      </c>
      <c r="D78" s="573">
        <f>'[80]Sch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573">
        <f>SUM(C64:C78)</f>
        <v>214322.46</v>
      </c>
      <c r="D79" s="573">
        <f>SUM(D64:D78)</f>
        <v>0</v>
      </c>
      <c r="E79" s="171">
        <f t="shared" ref="E79" si="13">SUM(E64:E78)</f>
        <v>214322.46</v>
      </c>
      <c r="F79" s="171">
        <f>SUM(F64:F78)</f>
        <v>0</v>
      </c>
      <c r="G79" s="171">
        <f>SUM(G64:G78)</f>
        <v>214322.46</v>
      </c>
      <c r="H79" s="172">
        <f t="shared" si="11"/>
        <v>2.7717740221238157E-2</v>
      </c>
      <c r="J79" s="195"/>
      <c r="K79" s="168"/>
      <c r="M79" s="359">
        <f t="shared" si="12"/>
        <v>7.1426534693061381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573">
        <f>'[80]Sch C'!D75</f>
        <v>164570.35999999999</v>
      </c>
      <c r="D82" s="573">
        <f>'[80]Sch C'!F75</f>
        <v>0</v>
      </c>
      <c r="E82" s="171">
        <f t="shared" ref="E82:E92" si="14">C82+D82</f>
        <v>164570.35999999999</v>
      </c>
      <c r="F82" s="171"/>
      <c r="G82" s="171">
        <f t="shared" ref="G82:G92" si="15">E82+F82</f>
        <v>164570.35999999999</v>
      </c>
      <c r="H82" s="172">
        <f t="shared" ref="H82:H93" si="16">IF($G$208=0,0,G82/$G$208)</f>
        <v>2.1283436587073715E-2</v>
      </c>
      <c r="J82" s="183">
        <v>6928.51</v>
      </c>
      <c r="K82" s="183">
        <v>7441.44</v>
      </c>
      <c r="M82" s="359">
        <f t="shared" ref="M82:M92" si="17">G82/G$228</f>
        <v>5.484581750316603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573">
        <f>'[80]Sch C'!D76</f>
        <v>0</v>
      </c>
      <c r="D83" s="573">
        <f>'[80]Sch C'!F76</f>
        <v>77708.69103632748</v>
      </c>
      <c r="E83" s="171">
        <f t="shared" si="14"/>
        <v>77708.69103632748</v>
      </c>
      <c r="F83" s="171"/>
      <c r="G83" s="171">
        <f t="shared" si="15"/>
        <v>77708.69103632748</v>
      </c>
      <c r="H83" s="172">
        <f t="shared" si="16"/>
        <v>1.0049853436160557E-2</v>
      </c>
      <c r="J83" s="168"/>
      <c r="K83" s="168"/>
      <c r="M83" s="359">
        <f t="shared" si="17"/>
        <v>2.5897717468615435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573">
        <f>'[80]Sch C'!D77</f>
        <v>-3532.92</v>
      </c>
      <c r="D84" s="573">
        <f>'[80]Sch C'!F77</f>
        <v>0</v>
      </c>
      <c r="E84" s="171">
        <f t="shared" si="14"/>
        <v>-3532.92</v>
      </c>
      <c r="F84" s="171"/>
      <c r="G84" s="171">
        <f t="shared" si="15"/>
        <v>-3532.92</v>
      </c>
      <c r="H84" s="172">
        <f t="shared" si="16"/>
        <v>-4.5690292460443351E-4</v>
      </c>
      <c r="J84" s="168"/>
      <c r="K84" s="168"/>
      <c r="M84" s="359">
        <f t="shared" si="17"/>
        <v>-0.11774045190961809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573">
        <f>'[80]Sch C'!D78</f>
        <v>0</v>
      </c>
      <c r="D85" s="573">
        <f>'[80]Sch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J85" s="168"/>
      <c r="K85" s="168"/>
      <c r="M85" s="359">
        <f t="shared" si="17"/>
        <v>0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573">
        <f>'[80]Sch C'!D79</f>
        <v>25185.61</v>
      </c>
      <c r="D86" s="573">
        <f>'[80]Sch C'!F79</f>
        <v>0</v>
      </c>
      <c r="E86" s="171">
        <f t="shared" si="14"/>
        <v>25185.61</v>
      </c>
      <c r="F86" s="171">
        <v>-10587</v>
      </c>
      <c r="G86" s="171">
        <f>E86+F86</f>
        <v>14598.61</v>
      </c>
      <c r="H86" s="172">
        <f t="shared" si="16"/>
        <v>1.8879984840187518E-3</v>
      </c>
      <c r="J86" s="168"/>
      <c r="K86" s="168"/>
      <c r="M86" s="359">
        <f t="shared" si="17"/>
        <v>0.48652302872758785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573">
        <f>'[80]Sch C'!D80</f>
        <v>23471.759999999998</v>
      </c>
      <c r="D87" s="573">
        <f>'[80]Sch C'!F80</f>
        <v>0</v>
      </c>
      <c r="E87" s="171">
        <f t="shared" si="14"/>
        <v>23471.759999999998</v>
      </c>
      <c r="F87" s="171"/>
      <c r="G87" s="171">
        <f t="shared" si="15"/>
        <v>23471.759999999998</v>
      </c>
      <c r="H87" s="172">
        <f t="shared" si="16"/>
        <v>3.0355388148085314E-3</v>
      </c>
      <c r="J87" s="168"/>
      <c r="K87" s="168"/>
      <c r="M87" s="359">
        <f t="shared" si="17"/>
        <v>0.78223555288942204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573">
        <f>'[80]Sch C'!D81</f>
        <v>33527.25</v>
      </c>
      <c r="D88" s="573">
        <f>'[80]Sch C'!F81</f>
        <v>0</v>
      </c>
      <c r="E88" s="171">
        <f t="shared" si="14"/>
        <v>33527.25</v>
      </c>
      <c r="F88" s="171"/>
      <c r="G88" s="171">
        <f t="shared" si="15"/>
        <v>33527.25</v>
      </c>
      <c r="H88" s="172">
        <f t="shared" si="16"/>
        <v>4.3359879586698799E-3</v>
      </c>
      <c r="J88" s="168"/>
      <c r="K88" s="168"/>
      <c r="M88" s="359">
        <f t="shared" si="17"/>
        <v>1.1173515296940613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573">
        <f>'[80]Sch C'!D82</f>
        <v>47060.94</v>
      </c>
      <c r="D89" s="573">
        <f>'[80]Sch C'!F82</f>
        <v>0</v>
      </c>
      <c r="E89" s="171">
        <f t="shared" si="14"/>
        <v>47060.94</v>
      </c>
      <c r="F89" s="171"/>
      <c r="G89" s="171">
        <f t="shared" si="15"/>
        <v>47060.94</v>
      </c>
      <c r="H89" s="172">
        <f t="shared" si="16"/>
        <v>6.0862632385204783E-3</v>
      </c>
      <c r="J89" s="168"/>
      <c r="K89" s="168"/>
      <c r="M89" s="359">
        <f t="shared" si="17"/>
        <v>1.5683843231353729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573">
        <f>'[80]Sch C'!D83</f>
        <v>3869.1</v>
      </c>
      <c r="D90" s="573">
        <f>'[80]Sch C'!F83</f>
        <v>0</v>
      </c>
      <c r="E90" s="171">
        <f t="shared" si="14"/>
        <v>3869.1</v>
      </c>
      <c r="F90" s="171"/>
      <c r="G90" s="171">
        <f t="shared" si="15"/>
        <v>3869.1</v>
      </c>
      <c r="H90" s="172">
        <f t="shared" si="16"/>
        <v>5.0038016869530407E-4</v>
      </c>
      <c r="J90" s="168"/>
      <c r="K90" s="168"/>
      <c r="M90" s="359">
        <f t="shared" si="17"/>
        <v>0.12894421115776844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573">
        <f>'[80]Sch C'!D84</f>
        <v>195251.27</v>
      </c>
      <c r="D91" s="573">
        <f>'[80]Sch C'!F84</f>
        <v>0</v>
      </c>
      <c r="E91" s="171">
        <f t="shared" si="14"/>
        <v>195251.27</v>
      </c>
      <c r="F91" s="171"/>
      <c r="G91" s="171">
        <f t="shared" si="15"/>
        <v>195251.27</v>
      </c>
      <c r="H91" s="172">
        <f t="shared" si="16"/>
        <v>2.5251315143204455E-2</v>
      </c>
      <c r="J91" s="168"/>
      <c r="K91" s="168"/>
      <c r="M91" s="359">
        <f t="shared" si="17"/>
        <v>6.5070742518163032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573">
        <f>'[80]Sch C'!D85</f>
        <v>0</v>
      </c>
      <c r="D92" s="573">
        <f>'[80]Sch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J92" s="168"/>
      <c r="K92" s="168"/>
      <c r="M92" s="359">
        <f t="shared" si="17"/>
        <v>0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573">
        <f>SUM(C82:C92)</f>
        <v>489403.37</v>
      </c>
      <c r="D93" s="573">
        <f>SUM(D82:D92)</f>
        <v>77708.69103632748</v>
      </c>
      <c r="E93" s="171">
        <f t="shared" ref="E93" si="18">SUM(E82:E92)</f>
        <v>567112.06103632739</v>
      </c>
      <c r="F93" s="171">
        <f>SUM(F82:F92)</f>
        <v>-10587</v>
      </c>
      <c r="G93" s="171">
        <f>SUM(G82:G92)</f>
        <v>556525.06103632739</v>
      </c>
      <c r="H93" s="172">
        <f t="shared" si="16"/>
        <v>7.1973870906547222E-2</v>
      </c>
      <c r="J93" s="168"/>
      <c r="K93" s="168"/>
      <c r="M93" s="364">
        <f>G93/G$228</f>
        <v>18.547125942689043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573">
        <f>'[80]Sch C'!D89</f>
        <v>283803.78999999998</v>
      </c>
      <c r="D96" s="573">
        <f>'[80]Sch C'!F89</f>
        <v>0</v>
      </c>
      <c r="E96" s="171">
        <f t="shared" ref="E96:E101" si="19">C96+D96</f>
        <v>283803.78999999998</v>
      </c>
      <c r="F96" s="171"/>
      <c r="G96" s="171">
        <f t="shared" ref="G96:G101" si="20">E96+F96</f>
        <v>283803.78999999998</v>
      </c>
      <c r="H96" s="172">
        <f t="shared" ref="H96:H102" si="21">IF($G$208=0,0,G96/$G$208)</f>
        <v>3.6703571455006752E-2</v>
      </c>
      <c r="J96" s="183">
        <v>21108.95</v>
      </c>
      <c r="K96" s="183">
        <v>22659.89</v>
      </c>
      <c r="M96" s="364">
        <f t="shared" ref="M96:M101" si="22">G96/G$228</f>
        <v>9.4582346863960538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573">
        <f>'[80]Sch C'!D90</f>
        <v>0</v>
      </c>
      <c r="D97" s="573">
        <f>'[80]Sch C'!F90</f>
        <v>134009.67848675037</v>
      </c>
      <c r="E97" s="171">
        <f t="shared" si="19"/>
        <v>134009.67848675037</v>
      </c>
      <c r="F97" s="171"/>
      <c r="G97" s="171">
        <f t="shared" si="20"/>
        <v>134009.67848675037</v>
      </c>
      <c r="H97" s="172">
        <f t="shared" si="21"/>
        <v>1.7331106853791221E-2</v>
      </c>
      <c r="J97" s="168"/>
      <c r="K97" s="168"/>
      <c r="M97" s="364">
        <f t="shared" si="22"/>
        <v>4.4660960636789433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573">
        <f>'[80]Sch C'!D91</f>
        <v>8833.52</v>
      </c>
      <c r="D98" s="573">
        <f>'[80]Sch C'!F91</f>
        <v>0</v>
      </c>
      <c r="E98" s="171">
        <f t="shared" si="19"/>
        <v>8833.52</v>
      </c>
      <c r="F98" s="171"/>
      <c r="G98" s="171">
        <f t="shared" si="20"/>
        <v>8833.52</v>
      </c>
      <c r="H98" s="172">
        <f t="shared" si="21"/>
        <v>1.1424150907894193E-3</v>
      </c>
      <c r="J98" s="168"/>
      <c r="K98" s="168"/>
      <c r="M98" s="364">
        <f t="shared" si="22"/>
        <v>0.29439178830900486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573">
        <f>'[80]Sch C'!D92</f>
        <v>259969.57</v>
      </c>
      <c r="D99" s="573">
        <f>'[80]Sch C'!F92</f>
        <v>0</v>
      </c>
      <c r="E99" s="171">
        <f t="shared" si="19"/>
        <v>259969.57</v>
      </c>
      <c r="F99" s="171"/>
      <c r="G99" s="171">
        <f t="shared" si="20"/>
        <v>259969.57</v>
      </c>
      <c r="H99" s="172">
        <f t="shared" si="21"/>
        <v>3.3621156675259271E-2</v>
      </c>
      <c r="J99" s="168"/>
      <c r="K99" s="168"/>
      <c r="M99" s="364">
        <f t="shared" si="22"/>
        <v>8.6639195494234489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573">
        <f>'[80]Sch C'!D93</f>
        <v>34179.1</v>
      </c>
      <c r="D100" s="573">
        <f>'[80]Sch C'!F93</f>
        <v>0</v>
      </c>
      <c r="E100" s="171">
        <f t="shared" si="19"/>
        <v>34179.1</v>
      </c>
      <c r="F100" s="171">
        <v>-700</v>
      </c>
      <c r="G100" s="171">
        <f t="shared" si="20"/>
        <v>33479.1</v>
      </c>
      <c r="H100" s="172">
        <f t="shared" si="21"/>
        <v>4.3297608502667166E-3</v>
      </c>
      <c r="J100" s="168"/>
      <c r="K100" s="168"/>
      <c r="M100" s="364">
        <f t="shared" si="22"/>
        <v>1.115746850629874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573">
        <f>'[80]Sch C'!D94</f>
        <v>0</v>
      </c>
      <c r="D101" s="573">
        <f>'[80]Sch C'!F94</f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J101" s="168"/>
      <c r="K101" s="168"/>
      <c r="M101" s="364">
        <f t="shared" si="22"/>
        <v>0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573">
        <f>SUM(C96:C101)</f>
        <v>586785.98</v>
      </c>
      <c r="D102" s="573">
        <f>SUM(D96:D101)</f>
        <v>134009.67848675037</v>
      </c>
      <c r="E102" s="171">
        <f t="shared" ref="E102" si="23">SUM(E96:E101)</f>
        <v>720795.65848675033</v>
      </c>
      <c r="F102" s="171">
        <f>SUM(F96:F101)</f>
        <v>-700</v>
      </c>
      <c r="G102" s="171">
        <f>SUM(G96:G101)</f>
        <v>720095.65848675033</v>
      </c>
      <c r="H102" s="172">
        <f t="shared" si="21"/>
        <v>9.3128010925113386E-2</v>
      </c>
      <c r="J102" s="168"/>
      <c r="K102" s="168"/>
      <c r="M102" s="364">
        <f>G102/G$228</f>
        <v>23.998388938437323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573">
        <f>'[80]Sch C'!D98</f>
        <v>26266.55</v>
      </c>
      <c r="D105" s="573">
        <f>'[80]Sch C'!F98</f>
        <v>0</v>
      </c>
      <c r="E105" s="171">
        <f t="shared" ref="E105:E110" si="24">C105+D105</f>
        <v>26266.55</v>
      </c>
      <c r="F105" s="171"/>
      <c r="G105" s="171">
        <f t="shared" ref="G105:G110" si="25">E105+F105</f>
        <v>26266.55</v>
      </c>
      <c r="H105" s="172">
        <f t="shared" ref="H105:H111" si="26">IF($G$208=0,0,G105/$G$208)</f>
        <v>3.396981396201607E-3</v>
      </c>
      <c r="J105" s="183">
        <v>1803.24</v>
      </c>
      <c r="K105" s="183">
        <v>2004.97</v>
      </c>
      <c r="M105" s="364">
        <f t="shared" ref="M105:M110" si="27">G105/G$228</f>
        <v>0.87537659134839696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573">
        <f>'[80]Sch C'!D99</f>
        <v>0</v>
      </c>
      <c r="D106" s="573">
        <f>'[80]Sch C'!F99</f>
        <v>12402.836200517806</v>
      </c>
      <c r="E106" s="171">
        <f t="shared" si="24"/>
        <v>12402.836200517806</v>
      </c>
      <c r="F106" s="171"/>
      <c r="G106" s="171">
        <f t="shared" si="25"/>
        <v>12402.836200517806</v>
      </c>
      <c r="H106" s="172">
        <f t="shared" si="26"/>
        <v>1.6040250369117686E-3</v>
      </c>
      <c r="J106" s="168"/>
      <c r="K106" s="168"/>
      <c r="M106" s="364">
        <f t="shared" si="27"/>
        <v>0.4133452043097316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573">
        <f>'[80]Sch C'!D100</f>
        <v>1565.19</v>
      </c>
      <c r="D107" s="573">
        <f>'[80]Sch C'!F100</f>
        <v>0</v>
      </c>
      <c r="E107" s="171">
        <f t="shared" si="24"/>
        <v>1565.19</v>
      </c>
      <c r="F107" s="171"/>
      <c r="G107" s="171">
        <f t="shared" si="25"/>
        <v>1565.19</v>
      </c>
      <c r="H107" s="172">
        <f t="shared" si="26"/>
        <v>2.0242176119516242E-4</v>
      </c>
      <c r="J107" s="168"/>
      <c r="K107" s="168"/>
      <c r="M107" s="364">
        <f t="shared" si="27"/>
        <v>5.2162567486502699E-2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573">
        <f>'[80]Sch C'!D101</f>
        <v>0</v>
      </c>
      <c r="D108" s="573">
        <f>'[80]Sch C'!F101</f>
        <v>0</v>
      </c>
      <c r="E108" s="171">
        <f t="shared" si="24"/>
        <v>0</v>
      </c>
      <c r="F108" s="171"/>
      <c r="G108" s="171">
        <f t="shared" si="25"/>
        <v>0</v>
      </c>
      <c r="H108" s="172">
        <f t="shared" si="26"/>
        <v>0</v>
      </c>
      <c r="J108" s="168"/>
      <c r="K108" s="168"/>
      <c r="M108" s="364">
        <f t="shared" si="27"/>
        <v>0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573">
        <f>'[80]Sch C'!D102</f>
        <v>1122.51</v>
      </c>
      <c r="D109" s="573">
        <f>'[80]Sch C'!F102</f>
        <v>0</v>
      </c>
      <c r="E109" s="171">
        <f t="shared" si="24"/>
        <v>1122.51</v>
      </c>
      <c r="F109" s="171"/>
      <c r="G109" s="171">
        <f t="shared" si="25"/>
        <v>1122.51</v>
      </c>
      <c r="H109" s="172">
        <f t="shared" si="26"/>
        <v>1.451711620692579E-4</v>
      </c>
      <c r="J109" s="168"/>
      <c r="K109" s="168"/>
      <c r="M109" s="364">
        <f t="shared" si="27"/>
        <v>3.7409518096380726E-2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573">
        <f>'[80]Sch C'!D103</f>
        <v>0</v>
      </c>
      <c r="D110" s="573">
        <f>'[80]Sch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J110" s="168"/>
      <c r="K110" s="168"/>
      <c r="M110" s="364">
        <f t="shared" si="27"/>
        <v>0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573">
        <f>SUM(C105:C110)</f>
        <v>28954.249999999996</v>
      </c>
      <c r="D111" s="573">
        <f>SUM(D105:D110)</f>
        <v>12402.836200517806</v>
      </c>
      <c r="E111" s="171">
        <f t="shared" ref="E111" si="28">SUM(E105:E110)</f>
        <v>41357.086200517813</v>
      </c>
      <c r="F111" s="171">
        <f>SUM(F105:F110)</f>
        <v>0</v>
      </c>
      <c r="G111" s="171">
        <f>SUM(G105:G110)</f>
        <v>41357.086200517813</v>
      </c>
      <c r="H111" s="172">
        <f t="shared" si="26"/>
        <v>5.348599356377797E-3</v>
      </c>
      <c r="J111" s="168"/>
      <c r="K111" s="168"/>
      <c r="M111" s="364">
        <f>G111/G$228</f>
        <v>1.3782938812410122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573">
        <f>'[80]Sch C'!D115</f>
        <v>229194.91</v>
      </c>
      <c r="D114" s="573">
        <f>'[80]Sch C'!F115</f>
        <v>0</v>
      </c>
      <c r="E114" s="171">
        <f t="shared" ref="E114:E118" si="29">C114+D114</f>
        <v>229194.91</v>
      </c>
      <c r="F114" s="171"/>
      <c r="G114" s="171">
        <f>E114+F114</f>
        <v>229194.91</v>
      </c>
      <c r="H114" s="172">
        <f t="shared" ref="H114:H119" si="30">IF($G$208=0,0,G114/$G$208)</f>
        <v>2.9641153686879387E-2</v>
      </c>
      <c r="J114" s="183">
        <v>17300.7</v>
      </c>
      <c r="K114" s="183">
        <v>18793.099999999999</v>
      </c>
      <c r="M114" s="364">
        <f t="shared" ref="M114:M119" si="31">G114/G$228</f>
        <v>7.6383026727987735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573">
        <f>'[80]Sch C'!D116</f>
        <v>0</v>
      </c>
      <c r="D115" s="573">
        <f>'[80]Sch C'!F116</f>
        <v>108223.84084405529</v>
      </c>
      <c r="E115" s="171">
        <f t="shared" si="29"/>
        <v>108223.84084405529</v>
      </c>
      <c r="F115" s="171"/>
      <c r="G115" s="171">
        <f>E115+F115</f>
        <v>108223.84084405529</v>
      </c>
      <c r="H115" s="172">
        <f t="shared" si="30"/>
        <v>1.3996294677935986E-2</v>
      </c>
      <c r="J115" s="168"/>
      <c r="K115" s="168"/>
      <c r="M115" s="364">
        <f t="shared" si="31"/>
        <v>3.6067400134658163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573">
        <f>'[80]Sch C'!D117</f>
        <v>57893.14</v>
      </c>
      <c r="D116" s="573">
        <f>'[80]Sch C'!F117</f>
        <v>0</v>
      </c>
      <c r="E116" s="171">
        <f t="shared" si="29"/>
        <v>57893.14</v>
      </c>
      <c r="F116" s="171"/>
      <c r="G116" s="171">
        <f>E116+F116</f>
        <v>57893.14</v>
      </c>
      <c r="H116" s="172">
        <f t="shared" si="30"/>
        <v>7.4871621719523546E-3</v>
      </c>
      <c r="J116" s="168"/>
      <c r="K116" s="168"/>
      <c r="M116" s="364">
        <f t="shared" si="31"/>
        <v>1.9293854562420849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573">
        <f>'[80]Sch C'!D118</f>
        <v>0</v>
      </c>
      <c r="D117" s="573">
        <f>'[80]Sch C'!F118</f>
        <v>0</v>
      </c>
      <c r="E117" s="171">
        <f t="shared" si="29"/>
        <v>0</v>
      </c>
      <c r="F117" s="171"/>
      <c r="G117" s="171">
        <f>E117+F117</f>
        <v>0</v>
      </c>
      <c r="H117" s="172">
        <f t="shared" si="30"/>
        <v>0</v>
      </c>
      <c r="J117" s="168"/>
      <c r="K117" s="168"/>
      <c r="M117" s="364">
        <f t="shared" si="31"/>
        <v>0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573">
        <f>'[80]Sch C'!D119</f>
        <v>0</v>
      </c>
      <c r="D118" s="573">
        <f>'[80]Sch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J118" s="168"/>
      <c r="K118" s="168"/>
      <c r="M118" s="364">
        <f t="shared" si="31"/>
        <v>0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573">
        <f>SUM(C114:C118)</f>
        <v>287088.05</v>
      </c>
      <c r="D119" s="573">
        <f>SUM(D114:D118)</f>
        <v>108223.84084405529</v>
      </c>
      <c r="E119" s="171">
        <f t="shared" ref="E119" si="32">SUM(E114:E118)</f>
        <v>395311.89084405534</v>
      </c>
      <c r="F119" s="171">
        <f>SUM(F114:F118)</f>
        <v>0</v>
      </c>
      <c r="G119" s="171">
        <f>SUM(G114:G118)</f>
        <v>395311.89084405534</v>
      </c>
      <c r="H119" s="172">
        <f t="shared" si="30"/>
        <v>5.1124610536767728E-2</v>
      </c>
      <c r="J119" s="168"/>
      <c r="K119" s="168"/>
      <c r="M119" s="364">
        <f t="shared" si="31"/>
        <v>13.174428142506677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J122" s="204"/>
      <c r="K122" s="204"/>
      <c r="M122" s="359"/>
      <c r="N122" s="359"/>
    </row>
    <row r="123" spans="1:14" s="167" customFormat="1">
      <c r="B123" s="163" t="s">
        <v>232</v>
      </c>
      <c r="C123" s="573">
        <f>'[80]Sch C'!D124</f>
        <v>0</v>
      </c>
      <c r="D123" s="573">
        <f>'[80]Sch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0.77002560279620991</v>
      </c>
    </row>
    <row r="124" spans="1:14" s="167" customFormat="1">
      <c r="B124" s="163" t="s">
        <v>194</v>
      </c>
      <c r="C124" s="573">
        <f>'[80]Sch C'!D125</f>
        <v>84047.18</v>
      </c>
      <c r="D124" s="573">
        <f>'[80]Sch C'!F125</f>
        <v>0</v>
      </c>
      <c r="E124" s="171">
        <f t="shared" si="33"/>
        <v>84047.18</v>
      </c>
      <c r="F124" s="171"/>
      <c r="G124" s="171">
        <f>E124+F124</f>
        <v>84047.18</v>
      </c>
      <c r="H124" s="172">
        <f>IF($G$208=0,0,G124/$G$208)</f>
        <v>1.0869592956182209E-2</v>
      </c>
      <c r="J124" s="183">
        <v>1824.08</v>
      </c>
      <c r="K124" s="183">
        <v>2080.08</v>
      </c>
      <c r="M124" s="364">
        <f t="shared" si="34"/>
        <v>2.8010124641738319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573">
        <f>'[80]Sch C'!D126</f>
        <v>70250.899999999994</v>
      </c>
      <c r="D125" s="573">
        <f>'[80]Sch C'!F126</f>
        <v>0</v>
      </c>
      <c r="E125" s="171">
        <f t="shared" si="33"/>
        <v>70250.899999999994</v>
      </c>
      <c r="F125" s="171">
        <v>-70250.899999999994</v>
      </c>
      <c r="G125" s="171">
        <f>E125+F125</f>
        <v>0</v>
      </c>
      <c r="H125" s="172">
        <f>IF($G$208=0,0,G125/$G$208)</f>
        <v>0</v>
      </c>
      <c r="J125" s="183">
        <v>3496.45</v>
      </c>
      <c r="K125" s="183">
        <v>3896.82</v>
      </c>
      <c r="M125" s="364">
        <f t="shared" si="34"/>
        <v>0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573">
        <f>'[80]Sch C'!D127</f>
        <v>37269.71</v>
      </c>
      <c r="D126" s="573">
        <f>'[80]Sch C'!F127</f>
        <v>0</v>
      </c>
      <c r="E126" s="171">
        <f t="shared" si="33"/>
        <v>37269.71</v>
      </c>
      <c r="F126" s="171"/>
      <c r="G126" s="171">
        <f>E126+F126</f>
        <v>37269.71</v>
      </c>
      <c r="H126" s="172">
        <f>IF($G$208=0,0,G126/$G$208)</f>
        <v>4.8199901209648394E-3</v>
      </c>
      <c r="J126" s="183">
        <v>1922.18</v>
      </c>
      <c r="K126" s="183">
        <v>2125.1999999999998</v>
      </c>
      <c r="M126" s="364">
        <f t="shared" si="34"/>
        <v>1.2420752516163434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573">
        <f>'[80]Sch C'!D128</f>
        <v>0</v>
      </c>
      <c r="D127" s="573">
        <f>'[80]Sch C'!F128</f>
        <v>0</v>
      </c>
      <c r="E127" s="171">
        <f t="shared" si="33"/>
        <v>0</v>
      </c>
      <c r="F127" s="171">
        <v>70251</v>
      </c>
      <c r="G127" s="171">
        <f>E127+F127</f>
        <v>70251</v>
      </c>
      <c r="H127" s="172">
        <f>IF($G$208=0,0,G127/$G$208)</f>
        <v>9.0853705593067647E-3</v>
      </c>
      <c r="J127" s="183">
        <v>0</v>
      </c>
      <c r="K127" s="183">
        <v>0</v>
      </c>
      <c r="M127" s="364">
        <f t="shared" si="34"/>
        <v>2.3412317536492702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205"/>
      <c r="G128" s="205"/>
      <c r="H128" s="206"/>
      <c r="I128" s="407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573">
        <f>'[80]Sch C'!D130</f>
        <v>0</v>
      </c>
      <c r="D129" s="573">
        <f>'[80]Sch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J129" s="204"/>
      <c r="K129" s="204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573">
        <f>'[80]Sch C'!D131</f>
        <v>0</v>
      </c>
      <c r="D130" s="573">
        <f>'[80]Sch C'!F131</f>
        <v>39686.346575984899</v>
      </c>
      <c r="E130" s="171">
        <f t="shared" si="35"/>
        <v>39686.346575984899</v>
      </c>
      <c r="F130" s="171"/>
      <c r="G130" s="171">
        <f>E130+F130</f>
        <v>39686.346575984899</v>
      </c>
      <c r="H130" s="172">
        <f>IF($G$208=0,0,G130/$G$208)</f>
        <v>5.1325271496191942E-3</v>
      </c>
      <c r="J130" s="204"/>
      <c r="K130" s="204"/>
      <c r="M130" s="364">
        <f t="shared" si="34"/>
        <v>1.3226136964602047</v>
      </c>
      <c r="N130" s="359">
        <f>SUMMARY!J133</f>
        <v>1.0792348507966931</v>
      </c>
    </row>
    <row r="131" spans="1:14" s="167" customFormat="1">
      <c r="B131" s="163" t="s">
        <v>195</v>
      </c>
      <c r="C131" s="573">
        <f>'[80]Sch C'!D132</f>
        <v>0</v>
      </c>
      <c r="D131" s="573">
        <f>'[80]Sch C'!F132</f>
        <v>33171.863287677916</v>
      </c>
      <c r="E131" s="171">
        <f t="shared" si="35"/>
        <v>33171.863287677916</v>
      </c>
      <c r="F131" s="171">
        <v>-33171.86</v>
      </c>
      <c r="G131" s="171">
        <f>E131+F131</f>
        <v>3.2876779150683433E-3</v>
      </c>
      <c r="H131" s="172">
        <f>IF($G$208=0,0,G131/$G$208)</f>
        <v>4.2518643347489676E-10</v>
      </c>
      <c r="J131" s="168"/>
      <c r="K131" s="168"/>
      <c r="M131" s="364">
        <f t="shared" si="34"/>
        <v>1.0956735036553833E-7</v>
      </c>
      <c r="N131" s="359">
        <f>SUMMARY!J134</f>
        <v>8.2765628075518377E-2</v>
      </c>
    </row>
    <row r="132" spans="1:14" s="167" customFormat="1">
      <c r="B132" s="163" t="s">
        <v>196</v>
      </c>
      <c r="C132" s="573">
        <f>'[80]Sch C'!D133</f>
        <v>0</v>
      </c>
      <c r="D132" s="573">
        <f>'[80]Sch C'!F133</f>
        <v>17598.432545225791</v>
      </c>
      <c r="E132" s="171">
        <f t="shared" si="35"/>
        <v>17598.432545225791</v>
      </c>
      <c r="F132" s="171"/>
      <c r="G132" s="171">
        <f>E132+F132</f>
        <v>17598.432545225791</v>
      </c>
      <c r="H132" s="172">
        <f>IF($G$208=0,0,G132/$G$208)</f>
        <v>2.2759573662487426E-3</v>
      </c>
      <c r="J132" s="168"/>
      <c r="K132" s="168"/>
      <c r="M132" s="364">
        <f t="shared" si="34"/>
        <v>0.58649711875044297</v>
      </c>
      <c r="N132" s="359">
        <f>SUMMARY!J135</f>
        <v>2.4827298902786038E-2</v>
      </c>
    </row>
    <row r="133" spans="1:14" s="167" customFormat="1">
      <c r="B133" s="163" t="s">
        <v>197</v>
      </c>
      <c r="C133" s="573">
        <f>'[80]Sch C'!D134</f>
        <v>0</v>
      </c>
      <c r="D133" s="573">
        <f>'[80]Sch C'!F134</f>
        <v>0</v>
      </c>
      <c r="E133" s="171">
        <f t="shared" si="35"/>
        <v>0</v>
      </c>
      <c r="F133" s="171">
        <v>33172</v>
      </c>
      <c r="G133" s="171">
        <f>E133+F133</f>
        <v>33172</v>
      </c>
      <c r="H133" s="172">
        <f>IF($G$208=0,0,G133/$G$208)</f>
        <v>4.290044443400436E-3</v>
      </c>
      <c r="J133" s="168"/>
      <c r="K133" s="168"/>
      <c r="M133" s="364">
        <f t="shared" si="34"/>
        <v>1.1055122308871559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408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573">
        <f>'[80]Sch C'!D136</f>
        <v>568976.18999999994</v>
      </c>
      <c r="D135" s="573">
        <f>'[80]Sch C'!F136</f>
        <v>0</v>
      </c>
      <c r="E135" s="171">
        <f t="shared" ref="E135:E138" si="36">C135+D135</f>
        <v>568976.18999999994</v>
      </c>
      <c r="F135" s="171"/>
      <c r="G135" s="171">
        <f>E135+F135</f>
        <v>568976.18999999994</v>
      </c>
      <c r="H135" s="172">
        <f>IF($G$208=0,0,G135/$G$208)</f>
        <v>7.3584141515032273E-2</v>
      </c>
      <c r="J135" s="183">
        <v>18629.64</v>
      </c>
      <c r="K135" s="183">
        <v>20229.46</v>
      </c>
      <c r="M135" s="364">
        <f t="shared" si="34"/>
        <v>18.962080583883221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573">
        <f>'[80]Sch C'!D137</f>
        <v>498520.79</v>
      </c>
      <c r="D136" s="573">
        <f>'[80]Sch C'!F137</f>
        <v>0</v>
      </c>
      <c r="E136" s="171">
        <f t="shared" si="36"/>
        <v>498520.79</v>
      </c>
      <c r="F136" s="171"/>
      <c r="G136" s="171">
        <f>E136+F136</f>
        <v>498520.79</v>
      </c>
      <c r="H136" s="172">
        <f>IF($G$208=0,0,G136/$G$208)</f>
        <v>6.447233646024042E-2</v>
      </c>
      <c r="J136" s="183">
        <v>23909.05</v>
      </c>
      <c r="K136" s="183">
        <v>25920.31</v>
      </c>
      <c r="M136" s="364">
        <f t="shared" si="34"/>
        <v>16.614036859294806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573">
        <f>'[80]Sch C'!D138</f>
        <v>1170041.45</v>
      </c>
      <c r="D137" s="573">
        <f>'[80]Sch C'!F138</f>
        <v>0</v>
      </c>
      <c r="E137" s="171">
        <f t="shared" si="36"/>
        <v>1170041.45</v>
      </c>
      <c r="F137" s="171"/>
      <c r="G137" s="171">
        <f>E137+F137</f>
        <v>1170041.45</v>
      </c>
      <c r="H137" s="172">
        <f>IF($G$208=0,0,G137/$G$208)</f>
        <v>0.15131827508503221</v>
      </c>
      <c r="J137" s="183">
        <v>77804.13</v>
      </c>
      <c r="K137" s="183">
        <v>82607.23</v>
      </c>
      <c r="M137" s="364">
        <f t="shared" si="34"/>
        <v>38.99358295007665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573">
        <f>'[80]Sch C'!D139</f>
        <v>0</v>
      </c>
      <c r="D138" s="573">
        <f>'[80]Sch C'!F139</f>
        <v>0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J138" s="183">
        <v>0</v>
      </c>
      <c r="K138" s="183">
        <v>0</v>
      </c>
      <c r="M138" s="364">
        <f t="shared" si="34"/>
        <v>0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408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573">
        <f>'[80]Sch C'!D141</f>
        <v>0</v>
      </c>
      <c r="D140" s="573">
        <f>'[80]Sch C'!F141</f>
        <v>268665.60269866796</v>
      </c>
      <c r="E140" s="171">
        <f t="shared" ref="E140:E143" si="37">C140+D140</f>
        <v>268665.60269866796</v>
      </c>
      <c r="F140" s="171"/>
      <c r="G140" s="171">
        <f>E140+F140</f>
        <v>268665.60269866796</v>
      </c>
      <c r="H140" s="172">
        <f>IF($G$208=0,0,G140/$G$208)</f>
        <v>3.474579090770076E-2</v>
      </c>
      <c r="J140" s="168"/>
      <c r="K140" s="168"/>
      <c r="M140" s="364">
        <f t="shared" si="34"/>
        <v>8.9537293440867813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573">
        <f>'[80]Sch C'!D142</f>
        <v>0</v>
      </c>
      <c r="D141" s="573">
        <f>'[80]Sch C'!F142</f>
        <v>235397.17629162318</v>
      </c>
      <c r="E141" s="171">
        <f t="shared" si="37"/>
        <v>235397.17629162318</v>
      </c>
      <c r="F141" s="171"/>
      <c r="G141" s="171">
        <f>E141+F141</f>
        <v>235397.17629162318</v>
      </c>
      <c r="H141" s="172">
        <f>IF($G$208=0,0,G141/$G$208)</f>
        <v>3.0443275899615062E-2</v>
      </c>
      <c r="J141" s="168"/>
      <c r="K141" s="168"/>
      <c r="M141" s="364">
        <f t="shared" si="34"/>
        <v>7.845003542345637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573">
        <f>'[80]Sch C'!D143</f>
        <v>0</v>
      </c>
      <c r="D142" s="573">
        <f>'[80]Sch C'!F143</f>
        <v>552483.3848437022</v>
      </c>
      <c r="E142" s="171">
        <f t="shared" si="37"/>
        <v>552483.3848437022</v>
      </c>
      <c r="F142" s="171"/>
      <c r="G142" s="171">
        <f>E142+F142</f>
        <v>552483.3848437022</v>
      </c>
      <c r="H142" s="172">
        <f>IF($G$208=0,0,G142/$G$208)</f>
        <v>7.1451171928728727E-2</v>
      </c>
      <c r="J142" s="168"/>
      <c r="K142" s="168"/>
      <c r="M142" s="364">
        <f t="shared" si="34"/>
        <v>18.412430342054996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573">
        <f>'[80]Sch C'!D144</f>
        <v>0</v>
      </c>
      <c r="D143" s="573">
        <f>'[80]Sch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J143" s="168"/>
      <c r="K143" s="168"/>
      <c r="M143" s="364">
        <f t="shared" si="34"/>
        <v>0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408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573">
        <f>'[80]Sch C'!D146</f>
        <v>16800</v>
      </c>
      <c r="D145" s="573">
        <f>'[80]Sch C'!F146</f>
        <v>0</v>
      </c>
      <c r="E145" s="171">
        <f t="shared" ref="E145:E153" si="38">C145+D145</f>
        <v>16800</v>
      </c>
      <c r="F145" s="171"/>
      <c r="G145" s="171">
        <f t="shared" ref="G145:G153" si="39">E145+F145</f>
        <v>16800</v>
      </c>
      <c r="H145" s="172">
        <f t="shared" ref="H145:H153" si="40">IF($G$208=0,0,G145/$G$208)</f>
        <v>2.17269825904761E-3</v>
      </c>
      <c r="J145" s="183">
        <v>0</v>
      </c>
      <c r="K145" s="183">
        <v>0</v>
      </c>
      <c r="M145" s="364">
        <f t="shared" si="34"/>
        <v>0.55988802239552093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573">
        <f>'[80]Sch C'!D147</f>
        <v>0</v>
      </c>
      <c r="D146" s="573">
        <f>'[80]Sch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J146" s="183">
        <v>0</v>
      </c>
      <c r="K146" s="183">
        <v>0</v>
      </c>
      <c r="M146" s="364">
        <f t="shared" si="34"/>
        <v>0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573">
        <f>'[80]Sch C'!D148</f>
        <v>0</v>
      </c>
      <c r="D147" s="573">
        <f>'[80]Sch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573">
        <f>'[80]Sch C'!D149</f>
        <v>0</v>
      </c>
      <c r="D148" s="573">
        <f>'[80]Sch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J148" s="183">
        <v>0</v>
      </c>
      <c r="K148" s="183">
        <v>0</v>
      </c>
      <c r="M148" s="364">
        <f t="shared" si="34"/>
        <v>0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573">
        <f>'[80]Sch C'!D150</f>
        <v>6085.43</v>
      </c>
      <c r="D149" s="573">
        <f>'[80]Sch C'!F150</f>
        <v>0</v>
      </c>
      <c r="E149" s="171">
        <f t="shared" si="38"/>
        <v>6085.43</v>
      </c>
      <c r="F149" s="171"/>
      <c r="G149" s="171">
        <f t="shared" si="39"/>
        <v>6085.43</v>
      </c>
      <c r="H149" s="172">
        <f t="shared" si="40"/>
        <v>7.8701209324738683E-4</v>
      </c>
      <c r="J149" s="183">
        <v>0</v>
      </c>
      <c r="K149" s="183">
        <v>0</v>
      </c>
      <c r="M149" s="364">
        <f t="shared" si="34"/>
        <v>0.20280710524561754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573">
        <f>'[80]Sch C'!D151</f>
        <v>190433.86</v>
      </c>
      <c r="D150" s="573">
        <f>'[80]Sch C'!F151</f>
        <v>0</v>
      </c>
      <c r="E150" s="171">
        <f t="shared" si="38"/>
        <v>190433.86</v>
      </c>
      <c r="F150" s="171">
        <v>-55</v>
      </c>
      <c r="G150" s="171">
        <f t="shared" si="39"/>
        <v>190378.86</v>
      </c>
      <c r="H150" s="172">
        <f t="shared" si="40"/>
        <v>2.4621179623896945E-2</v>
      </c>
      <c r="I150" s="522" t="s">
        <v>467</v>
      </c>
      <c r="J150" s="168"/>
      <c r="K150" s="168"/>
      <c r="M150" s="364">
        <f t="shared" si="34"/>
        <v>6.3446930613877219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573">
        <f>'[80]Sch C'!D152</f>
        <v>1366.91</v>
      </c>
      <c r="D151" s="573">
        <f>'[80]Sch C'!F152</f>
        <v>0</v>
      </c>
      <c r="E151" s="171">
        <f t="shared" si="38"/>
        <v>1366.91</v>
      </c>
      <c r="F151" s="171"/>
      <c r="G151" s="171">
        <f t="shared" si="39"/>
        <v>1366.91</v>
      </c>
      <c r="H151" s="172">
        <f t="shared" si="40"/>
        <v>1.7677874864730766E-4</v>
      </c>
      <c r="J151" s="168"/>
      <c r="K151" s="168"/>
      <c r="M151" s="364">
        <f t="shared" si="34"/>
        <v>4.5554555755515563E-2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573">
        <f>'[80]Sch C'!D153</f>
        <v>1876.4</v>
      </c>
      <c r="D152" s="573">
        <f>'[80]Sch C'!F153</f>
        <v>0</v>
      </c>
      <c r="E152" s="171">
        <f t="shared" si="38"/>
        <v>1876.4</v>
      </c>
      <c r="F152" s="171"/>
      <c r="G152" s="171">
        <f t="shared" si="39"/>
        <v>1876.4</v>
      </c>
      <c r="H152" s="172">
        <f t="shared" si="40"/>
        <v>2.4266970317124618E-4</v>
      </c>
      <c r="J152" s="168"/>
      <c r="K152" s="168"/>
      <c r="M152" s="364">
        <f t="shared" si="34"/>
        <v>6.2534159834699732E-2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573">
        <f>'[80]Sch C'!D154</f>
        <v>0</v>
      </c>
      <c r="D153" s="573">
        <f>'[80]Sch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210"/>
      <c r="G154" s="210"/>
      <c r="H154" s="211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573">
        <f>'[80]Sch C'!D156</f>
        <v>0</v>
      </c>
      <c r="D155" s="573">
        <f>'[80]Sch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573">
        <f>'[80]Sch C'!D157</f>
        <v>0</v>
      </c>
      <c r="D156" s="573">
        <f>'[80]Sch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J156" s="168"/>
      <c r="K156" s="168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573">
        <f>'[80]Sch C'!D158</f>
        <v>0</v>
      </c>
      <c r="D157" s="573">
        <f>'[80]Sch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J157" s="168"/>
      <c r="K157" s="168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573">
        <f>'[80]Sch C'!D159</f>
        <v>0</v>
      </c>
      <c r="D158" s="573">
        <f>'[80]Sch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573">
        <f>'[80]Sch C'!D160</f>
        <v>0</v>
      </c>
      <c r="D159" s="573">
        <f>'[80]Sch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573">
        <f>'[80]Sch C'!D161</f>
        <v>0</v>
      </c>
      <c r="D160" s="573">
        <f>'[80]Sch C'!F161</f>
        <v>0</v>
      </c>
      <c r="E160" s="171">
        <f t="shared" si="41"/>
        <v>0</v>
      </c>
      <c r="F160" s="171"/>
      <c r="G160" s="171">
        <f t="shared" si="42"/>
        <v>0</v>
      </c>
      <c r="H160" s="172">
        <f t="shared" si="43"/>
        <v>0</v>
      </c>
      <c r="J160" s="168"/>
      <c r="K160" s="168"/>
      <c r="M160" s="364">
        <f t="shared" si="34"/>
        <v>0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573">
        <f>SUM(C123:C160)</f>
        <v>2645668.8199999998</v>
      </c>
      <c r="D161" s="573">
        <f>SUM(D123:D160)</f>
        <v>1147002.8062428818</v>
      </c>
      <c r="E161" s="171">
        <f t="shared" ref="E161" si="44">SUM(E123:E160)</f>
        <v>3792671.6262428821</v>
      </c>
      <c r="F161" s="171">
        <f>SUM(F123:F160)</f>
        <v>-54.759999999994761</v>
      </c>
      <c r="G161" s="171">
        <f>SUM(G123:G160)</f>
        <v>3792616.8662428823</v>
      </c>
      <c r="H161" s="172">
        <f t="shared" si="43"/>
        <v>0.49048881324526861</v>
      </c>
      <c r="J161" s="168"/>
      <c r="K161" s="168"/>
      <c r="M161" s="364">
        <f>G161/G$228</f>
        <v>126.39528315146579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573">
        <f>'[80]Sch C'!D175</f>
        <v>0</v>
      </c>
      <c r="D164" s="573">
        <f>'[80]Sch C'!F175</f>
        <v>0</v>
      </c>
      <c r="E164" s="171">
        <f t="shared" ref="E164:E196" si="45">C164+D164</f>
        <v>0</v>
      </c>
      <c r="F164" s="665"/>
      <c r="G164" s="171">
        <f t="shared" ref="G164:G196" si="46">E164+F164</f>
        <v>0</v>
      </c>
      <c r="H164" s="172">
        <f t="shared" ref="H164:H196" si="47">IF($G$208=0,0,G164/$G$208)</f>
        <v>0</v>
      </c>
      <c r="I164" s="409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573">
        <f>'[80]Sch C'!D176</f>
        <v>0</v>
      </c>
      <c r="D165" s="573">
        <f>'[80]Sch C'!F176</f>
        <v>0</v>
      </c>
      <c r="E165" s="171">
        <f t="shared" si="45"/>
        <v>0</v>
      </c>
      <c r="F165" s="665"/>
      <c r="G165" s="171">
        <f t="shared" si="46"/>
        <v>0</v>
      </c>
      <c r="H165" s="172">
        <f t="shared" si="47"/>
        <v>0</v>
      </c>
      <c r="I165" s="410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573">
        <f>'[80]Sch C'!D177</f>
        <v>172046.43</v>
      </c>
      <c r="D166" s="573">
        <f>'[80]Sch C'!F177</f>
        <v>0</v>
      </c>
      <c r="E166" s="171">
        <f t="shared" si="45"/>
        <v>172046.43</v>
      </c>
      <c r="F166" s="665"/>
      <c r="G166" s="171">
        <f t="shared" si="46"/>
        <v>172046.43</v>
      </c>
      <c r="H166" s="172">
        <f t="shared" si="47"/>
        <v>2.2250296365259315E-2</v>
      </c>
      <c r="I166" s="409"/>
      <c r="J166" s="217">
        <v>6784.27</v>
      </c>
      <c r="K166" s="217">
        <v>7585.03</v>
      </c>
      <c r="L166" s="218"/>
      <c r="M166" s="364">
        <f t="shared" si="48"/>
        <v>5.73373425314937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573">
        <f>'[80]Sch C'!D178</f>
        <v>0</v>
      </c>
      <c r="D167" s="573">
        <f>'[80]Sch C'!F178</f>
        <v>81238.826194298555</v>
      </c>
      <c r="E167" s="171">
        <f t="shared" si="45"/>
        <v>81238.826194298555</v>
      </c>
      <c r="F167" s="665"/>
      <c r="G167" s="171">
        <f t="shared" si="46"/>
        <v>81238.826194298555</v>
      </c>
      <c r="H167" s="172">
        <f t="shared" si="47"/>
        <v>1.0506396204727611E-2</v>
      </c>
      <c r="I167" s="410"/>
      <c r="J167" s="222"/>
      <c r="K167" s="222"/>
      <c r="L167" s="218"/>
      <c r="M167" s="364">
        <f t="shared" si="48"/>
        <v>2.7074193892654321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573">
        <f>'[80]Sch C'!D179</f>
        <v>0</v>
      </c>
      <c r="D168" s="573">
        <f>'[80]Sch C'!F179</f>
        <v>0</v>
      </c>
      <c r="E168" s="171">
        <f t="shared" si="45"/>
        <v>0</v>
      </c>
      <c r="F168" s="665"/>
      <c r="G168" s="171">
        <f t="shared" si="46"/>
        <v>0</v>
      </c>
      <c r="H168" s="172">
        <f t="shared" si="47"/>
        <v>0</v>
      </c>
      <c r="I168" s="409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573">
        <f>'[80]Sch C'!D180</f>
        <v>0</v>
      </c>
      <c r="D169" s="573">
        <f>'[80]Sch C'!F180</f>
        <v>0</v>
      </c>
      <c r="E169" s="171">
        <f t="shared" si="45"/>
        <v>0</v>
      </c>
      <c r="F169" s="665"/>
      <c r="G169" s="171">
        <f t="shared" si="46"/>
        <v>0</v>
      </c>
      <c r="H169" s="172">
        <f t="shared" si="47"/>
        <v>0</v>
      </c>
      <c r="I169" s="410"/>
      <c r="J169" s="222"/>
      <c r="K169" s="222"/>
      <c r="L169" s="218"/>
      <c r="M169" s="364">
        <f t="shared" si="48"/>
        <v>0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573">
        <f>'[80]Sch C'!D181</f>
        <v>0</v>
      </c>
      <c r="D170" s="573">
        <f>'[80]Sch C'!F181</f>
        <v>0</v>
      </c>
      <c r="E170" s="171">
        <f t="shared" si="45"/>
        <v>0</v>
      </c>
      <c r="F170" s="665"/>
      <c r="G170" s="171">
        <f t="shared" si="46"/>
        <v>0</v>
      </c>
      <c r="H170" s="172">
        <f t="shared" si="47"/>
        <v>0</v>
      </c>
      <c r="I170" s="409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573">
        <f>'[80]Sch C'!D182</f>
        <v>0</v>
      </c>
      <c r="D171" s="573">
        <f>'[80]Sch C'!F182</f>
        <v>0</v>
      </c>
      <c r="E171" s="171">
        <f t="shared" si="45"/>
        <v>0</v>
      </c>
      <c r="F171" s="665"/>
      <c r="G171" s="171">
        <f t="shared" si="46"/>
        <v>0</v>
      </c>
      <c r="H171" s="172">
        <f t="shared" si="47"/>
        <v>0</v>
      </c>
      <c r="I171" s="410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573">
        <f>'[80]Sch C'!D183</f>
        <v>59501.43</v>
      </c>
      <c r="D172" s="573">
        <f>'[80]Sch C'!F183</f>
        <v>0</v>
      </c>
      <c r="E172" s="171">
        <f t="shared" si="45"/>
        <v>59501.43</v>
      </c>
      <c r="F172" s="665"/>
      <c r="G172" s="171">
        <f t="shared" si="46"/>
        <v>59501.43</v>
      </c>
      <c r="H172" s="172">
        <f t="shared" si="47"/>
        <v>7.6951579388001923E-3</v>
      </c>
      <c r="I172" s="409"/>
      <c r="J172" s="217">
        <v>1457.93</v>
      </c>
      <c r="K172" s="217">
        <v>1461.96</v>
      </c>
      <c r="L172" s="218"/>
      <c r="M172" s="364">
        <f t="shared" si="48"/>
        <v>1.9829844031193762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573">
        <f>'[80]Sch C'!D184</f>
        <v>0</v>
      </c>
      <c r="D173" s="573">
        <f>'[80]Sch C'!F184</f>
        <v>28096.057152027053</v>
      </c>
      <c r="E173" s="171">
        <f t="shared" si="45"/>
        <v>28096.057152027053</v>
      </c>
      <c r="F173" s="665"/>
      <c r="G173" s="171">
        <f t="shared" si="46"/>
        <v>28096.057152027053</v>
      </c>
      <c r="H173" s="172">
        <f t="shared" si="47"/>
        <v>3.6335865750185318E-3</v>
      </c>
      <c r="I173" s="410"/>
      <c r="J173" s="222"/>
      <c r="K173" s="222"/>
      <c r="L173" s="218"/>
      <c r="M173" s="364">
        <f t="shared" si="48"/>
        <v>0.93634796880714033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573">
        <f>'[80]Sch C'!D185</f>
        <v>0</v>
      </c>
      <c r="D174" s="573">
        <f>'[80]Sch C'!F185</f>
        <v>0</v>
      </c>
      <c r="E174" s="171">
        <f t="shared" si="45"/>
        <v>0</v>
      </c>
      <c r="F174" s="665"/>
      <c r="G174" s="171">
        <f t="shared" si="46"/>
        <v>0</v>
      </c>
      <c r="H174" s="172">
        <f t="shared" si="47"/>
        <v>0</v>
      </c>
      <c r="I174" s="409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573">
        <f>'[80]Sch C'!D186</f>
        <v>0</v>
      </c>
      <c r="D175" s="573">
        <f>'[80]Sch C'!F186</f>
        <v>0</v>
      </c>
      <c r="E175" s="171">
        <f t="shared" si="45"/>
        <v>0</v>
      </c>
      <c r="F175" s="665"/>
      <c r="G175" s="171">
        <f t="shared" si="46"/>
        <v>0</v>
      </c>
      <c r="H175" s="172">
        <f t="shared" si="47"/>
        <v>0</v>
      </c>
      <c r="I175" s="223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573">
        <f>'[80]Sch C'!D187</f>
        <v>0</v>
      </c>
      <c r="D176" s="573">
        <f>'[80]Sch C'!F187</f>
        <v>0</v>
      </c>
      <c r="E176" s="171">
        <f t="shared" si="45"/>
        <v>0</v>
      </c>
      <c r="F176" s="665"/>
      <c r="G176" s="171">
        <f t="shared" si="46"/>
        <v>0</v>
      </c>
      <c r="H176" s="172">
        <f t="shared" si="47"/>
        <v>0</v>
      </c>
      <c r="I176" s="223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573">
        <f>'[80]Sch C'!D188</f>
        <v>1151.92</v>
      </c>
      <c r="D177" s="573">
        <f>'[80]Sch C'!F188</f>
        <v>0</v>
      </c>
      <c r="E177" s="171">
        <f t="shared" si="45"/>
        <v>1151.92</v>
      </c>
      <c r="F177" s="665"/>
      <c r="G177" s="171">
        <f t="shared" si="46"/>
        <v>1151.92</v>
      </c>
      <c r="H177" s="172">
        <f t="shared" si="47"/>
        <v>1.4897467729536447E-4</v>
      </c>
      <c r="I177" s="223"/>
      <c r="J177" s="223"/>
      <c r="K177" s="218"/>
      <c r="L177" s="220"/>
      <c r="M177" s="364">
        <f t="shared" si="48"/>
        <v>3.8389655402252885E-2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573">
        <f>'[80]Sch C'!D189</f>
        <v>0</v>
      </c>
      <c r="D178" s="573">
        <f>'[80]Sch C'!F189</f>
        <v>0</v>
      </c>
      <c r="E178" s="171">
        <f t="shared" si="45"/>
        <v>0</v>
      </c>
      <c r="F178" s="665"/>
      <c r="G178" s="171">
        <f t="shared" si="46"/>
        <v>0</v>
      </c>
      <c r="H178" s="172">
        <f t="shared" si="47"/>
        <v>0</v>
      </c>
      <c r="I178" s="223"/>
      <c r="J178" s="223"/>
      <c r="K178" s="218"/>
      <c r="L178" s="220"/>
      <c r="M178" s="364">
        <f t="shared" si="48"/>
        <v>0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573">
        <f>'[80]Sch C'!D190</f>
        <v>0</v>
      </c>
      <c r="D179" s="573">
        <f>'[80]Sch C'!F190</f>
        <v>0</v>
      </c>
      <c r="E179" s="171">
        <f t="shared" si="45"/>
        <v>0</v>
      </c>
      <c r="F179" s="665"/>
      <c r="G179" s="171">
        <f t="shared" si="46"/>
        <v>0</v>
      </c>
      <c r="H179" s="172">
        <f t="shared" si="47"/>
        <v>0</v>
      </c>
      <c r="I179" s="223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573">
        <f>'[80]Sch C'!D191</f>
        <v>50.35</v>
      </c>
      <c r="D180" s="573">
        <f>'[80]Sch C'!F191</f>
        <v>0</v>
      </c>
      <c r="E180" s="171">
        <f t="shared" si="45"/>
        <v>50.35</v>
      </c>
      <c r="F180" s="665"/>
      <c r="G180" s="171">
        <f t="shared" si="46"/>
        <v>50.35</v>
      </c>
      <c r="H180" s="172">
        <f t="shared" si="47"/>
        <v>6.5116284132766173E-6</v>
      </c>
      <c r="I180" s="223"/>
      <c r="J180" s="223"/>
      <c r="K180" s="218"/>
      <c r="L180" s="220"/>
      <c r="M180" s="364">
        <f t="shared" si="48"/>
        <v>1.6779977337865761E-3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573">
        <f>'[80]Sch C'!D192</f>
        <v>0</v>
      </c>
      <c r="D181" s="573">
        <f>'[80]Sch C'!F192</f>
        <v>0</v>
      </c>
      <c r="E181" s="171">
        <f t="shared" si="45"/>
        <v>0</v>
      </c>
      <c r="F181" s="665"/>
      <c r="G181" s="171">
        <f t="shared" si="46"/>
        <v>0</v>
      </c>
      <c r="H181" s="172">
        <f t="shared" si="47"/>
        <v>0</v>
      </c>
      <c r="I181" s="223"/>
      <c r="J181" s="223"/>
      <c r="K181" s="218"/>
      <c r="L181" s="220"/>
      <c r="M181" s="364">
        <f t="shared" si="48"/>
        <v>0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573">
        <f>'[80]Sch C'!D193</f>
        <v>669.47</v>
      </c>
      <c r="D182" s="573">
        <f>'[80]Sch C'!F193</f>
        <v>0</v>
      </c>
      <c r="E182" s="171">
        <f t="shared" si="45"/>
        <v>669.47</v>
      </c>
      <c r="F182" s="665"/>
      <c r="G182" s="171">
        <f t="shared" si="46"/>
        <v>669.47</v>
      </c>
      <c r="H182" s="172">
        <f t="shared" si="47"/>
        <v>8.6580732350274026E-5</v>
      </c>
      <c r="I182" s="223"/>
      <c r="J182" s="223"/>
      <c r="K182" s="218"/>
      <c r="L182" s="220"/>
      <c r="M182" s="364">
        <f t="shared" si="48"/>
        <v>2.2311204425781512E-2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573">
        <f>'[80]Sch C'!D194</f>
        <v>0</v>
      </c>
      <c r="D183" s="573">
        <f>'[80]Sch C'!F194</f>
        <v>0</v>
      </c>
      <c r="E183" s="171">
        <f t="shared" si="45"/>
        <v>0</v>
      </c>
      <c r="F183" s="665"/>
      <c r="G183" s="171">
        <f t="shared" si="46"/>
        <v>0</v>
      </c>
      <c r="H183" s="172">
        <f t="shared" si="47"/>
        <v>0</v>
      </c>
      <c r="I183" s="223"/>
      <c r="J183" s="223"/>
      <c r="K183" s="218"/>
      <c r="M183" s="364">
        <f t="shared" si="48"/>
        <v>0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573">
        <f>'[80]Sch C'!D195</f>
        <v>0</v>
      </c>
      <c r="D184" s="573">
        <f>'[80]Sch C'!F195</f>
        <v>0</v>
      </c>
      <c r="E184" s="171">
        <f t="shared" si="45"/>
        <v>0</v>
      </c>
      <c r="F184" s="665"/>
      <c r="G184" s="171">
        <f t="shared" si="46"/>
        <v>0</v>
      </c>
      <c r="H184" s="172">
        <f t="shared" si="47"/>
        <v>0</v>
      </c>
      <c r="I184" s="223"/>
      <c r="J184" s="223"/>
      <c r="K184" s="218"/>
      <c r="M184" s="364">
        <f t="shared" si="48"/>
        <v>0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573">
        <f>'[80]Sch C'!D196</f>
        <v>0</v>
      </c>
      <c r="D185" s="573">
        <f>'[80]Sch C'!F196</f>
        <v>0</v>
      </c>
      <c r="E185" s="171">
        <f t="shared" si="45"/>
        <v>0</v>
      </c>
      <c r="F185" s="665"/>
      <c r="G185" s="171">
        <f t="shared" si="46"/>
        <v>0</v>
      </c>
      <c r="H185" s="172">
        <f t="shared" si="47"/>
        <v>0</v>
      </c>
      <c r="I185" s="223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573">
        <f>'[80]Sch C'!D197</f>
        <v>0</v>
      </c>
      <c r="D186" s="573">
        <f>'[80]Sch C'!F197</f>
        <v>0</v>
      </c>
      <c r="E186" s="171">
        <f t="shared" si="45"/>
        <v>0</v>
      </c>
      <c r="F186" s="665"/>
      <c r="G186" s="171">
        <f t="shared" si="46"/>
        <v>0</v>
      </c>
      <c r="H186" s="172">
        <f t="shared" si="47"/>
        <v>0</v>
      </c>
      <c r="I186" s="223"/>
      <c r="J186" s="223"/>
      <c r="K186" s="218"/>
      <c r="M186" s="364">
        <f t="shared" si="48"/>
        <v>0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573">
        <f>'[80]Sch C'!D198</f>
        <v>4320.6400000000003</v>
      </c>
      <c r="D187" s="573">
        <f>'[80]Sch C'!F198</f>
        <v>0</v>
      </c>
      <c r="E187" s="171">
        <f t="shared" si="45"/>
        <v>4320.6400000000003</v>
      </c>
      <c r="F187" s="665"/>
      <c r="G187" s="171">
        <f t="shared" si="46"/>
        <v>4320.6400000000003</v>
      </c>
      <c r="H187" s="172">
        <f t="shared" si="47"/>
        <v>5.5877660749830153E-4</v>
      </c>
      <c r="I187" s="223"/>
      <c r="J187" s="223"/>
      <c r="K187" s="218"/>
      <c r="M187" s="364">
        <f t="shared" si="48"/>
        <v>0.14399253482636806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573">
        <f>'[80]Sch C'!D199</f>
        <v>0</v>
      </c>
      <c r="D188" s="573">
        <f>'[80]Sch C'!F199</f>
        <v>0</v>
      </c>
      <c r="E188" s="171">
        <f t="shared" si="45"/>
        <v>0</v>
      </c>
      <c r="F188" s="665"/>
      <c r="G188" s="171">
        <f t="shared" si="46"/>
        <v>0</v>
      </c>
      <c r="H188" s="172">
        <f t="shared" si="47"/>
        <v>0</v>
      </c>
      <c r="I188" s="223"/>
      <c r="J188" s="223"/>
      <c r="K188" s="218"/>
      <c r="M188" s="364">
        <f t="shared" si="48"/>
        <v>0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573">
        <f>'[80]Sch C'!D200</f>
        <v>0</v>
      </c>
      <c r="D189" s="573">
        <f>'[80]Sch C'!F200</f>
        <v>0</v>
      </c>
      <c r="E189" s="171">
        <f t="shared" si="45"/>
        <v>0</v>
      </c>
      <c r="F189" s="665"/>
      <c r="G189" s="171">
        <f t="shared" si="46"/>
        <v>0</v>
      </c>
      <c r="H189" s="172">
        <f t="shared" si="47"/>
        <v>0</v>
      </c>
      <c r="I189" s="223"/>
      <c r="J189" s="223"/>
      <c r="K189" s="218"/>
      <c r="M189" s="364">
        <f t="shared" si="48"/>
        <v>0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573">
        <f>'[80]Sch C'!D201</f>
        <v>0</v>
      </c>
      <c r="D190" s="573">
        <f>'[80]Sch C'!F201</f>
        <v>0</v>
      </c>
      <c r="E190" s="171">
        <f t="shared" si="45"/>
        <v>0</v>
      </c>
      <c r="F190" s="665"/>
      <c r="G190" s="171">
        <f t="shared" si="46"/>
        <v>0</v>
      </c>
      <c r="H190" s="172">
        <f t="shared" si="47"/>
        <v>0</v>
      </c>
      <c r="I190" s="223"/>
      <c r="J190" s="223"/>
      <c r="K190" s="218"/>
      <c r="M190" s="364">
        <f t="shared" si="48"/>
        <v>0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573">
        <f>'[80]Sch C'!D202</f>
        <v>0</v>
      </c>
      <c r="D191" s="573">
        <f>'[80]Sch C'!F202</f>
        <v>0</v>
      </c>
      <c r="E191" s="171">
        <f t="shared" si="45"/>
        <v>0</v>
      </c>
      <c r="F191" s="665"/>
      <c r="G191" s="171">
        <f t="shared" si="46"/>
        <v>0</v>
      </c>
      <c r="H191" s="172">
        <f t="shared" si="47"/>
        <v>0</v>
      </c>
      <c r="I191" s="223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573">
        <f>'[80]Sch C'!D203</f>
        <v>0</v>
      </c>
      <c r="D192" s="573">
        <f>'[80]Sch C'!F203</f>
        <v>0</v>
      </c>
      <c r="E192" s="171">
        <f t="shared" si="45"/>
        <v>0</v>
      </c>
      <c r="F192" s="665"/>
      <c r="G192" s="171">
        <f t="shared" si="46"/>
        <v>0</v>
      </c>
      <c r="H192" s="172">
        <f t="shared" si="47"/>
        <v>0</v>
      </c>
      <c r="I192" s="223"/>
      <c r="J192" s="223"/>
      <c r="K192" s="218"/>
      <c r="M192" s="364">
        <f t="shared" si="48"/>
        <v>0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573">
        <f>'[80]Sch C'!D204</f>
        <v>0</v>
      </c>
      <c r="D193" s="573">
        <f>'[80]Sch C'!F204</f>
        <v>0</v>
      </c>
      <c r="E193" s="171">
        <f t="shared" si="45"/>
        <v>0</v>
      </c>
      <c r="F193" s="665"/>
      <c r="G193" s="171">
        <f t="shared" si="46"/>
        <v>0</v>
      </c>
      <c r="H193" s="172">
        <f t="shared" si="47"/>
        <v>0</v>
      </c>
      <c r="I193" s="223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573">
        <f>'[80]Sch C'!D205</f>
        <v>90300.33</v>
      </c>
      <c r="D194" s="573">
        <f>'[80]Sch C'!F205</f>
        <v>0</v>
      </c>
      <c r="E194" s="171">
        <f t="shared" si="45"/>
        <v>90300.33</v>
      </c>
      <c r="F194" s="665"/>
      <c r="G194" s="171">
        <f t="shared" si="46"/>
        <v>90300.33</v>
      </c>
      <c r="H194" s="172">
        <f t="shared" si="47"/>
        <v>1.1678295820382422E-2</v>
      </c>
      <c r="I194" s="223"/>
      <c r="J194" s="223"/>
      <c r="K194" s="218"/>
      <c r="M194" s="364">
        <f t="shared" si="48"/>
        <v>3.0094091181763649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573">
        <f>'[80]Sch C'!D206</f>
        <v>23965.040000000001</v>
      </c>
      <c r="D195" s="573">
        <f>'[80]Sch C'!F206</f>
        <v>0</v>
      </c>
      <c r="E195" s="171">
        <f t="shared" si="45"/>
        <v>23965.040000000001</v>
      </c>
      <c r="F195" s="665"/>
      <c r="G195" s="171">
        <f t="shared" si="46"/>
        <v>23965.040000000001</v>
      </c>
      <c r="H195" s="172">
        <f t="shared" si="47"/>
        <v>3.0993333741670438E-3</v>
      </c>
      <c r="I195" s="223"/>
      <c r="J195" s="223"/>
      <c r="K195" s="218"/>
      <c r="M195" s="364">
        <f t="shared" si="48"/>
        <v>0.79867493168033066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573">
        <f>'[80]Sch C'!D207</f>
        <v>0</v>
      </c>
      <c r="D196" s="573">
        <f>'[80]Sch C'!F207</f>
        <v>0</v>
      </c>
      <c r="E196" s="171">
        <f t="shared" si="45"/>
        <v>0</v>
      </c>
      <c r="F196" s="665"/>
      <c r="G196" s="171">
        <f t="shared" si="46"/>
        <v>0</v>
      </c>
      <c r="H196" s="172">
        <f t="shared" si="47"/>
        <v>0</v>
      </c>
      <c r="I196" s="223"/>
      <c r="J196" s="223"/>
      <c r="K196" s="218"/>
      <c r="M196" s="364">
        <f t="shared" si="48"/>
        <v>0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573">
        <f>SUM(C164:C196)</f>
        <v>352005.61</v>
      </c>
      <c r="D197" s="573">
        <f>SUM(D164:D196)</f>
        <v>109334.8833463256</v>
      </c>
      <c r="E197" s="171">
        <f t="shared" ref="E197" si="49">SUM(E164:E196)</f>
        <v>461340.49334632553</v>
      </c>
      <c r="F197" s="171">
        <f>SUM(F164:F196)</f>
        <v>0</v>
      </c>
      <c r="G197" s="171">
        <f>SUM(G164:G196)</f>
        <v>461340.49334632553</v>
      </c>
      <c r="H197" s="172">
        <f>IF($G$208=0,0,G197/$G$208)</f>
        <v>5.9663909923912323E-2</v>
      </c>
      <c r="J197" s="168"/>
      <c r="K197" s="168"/>
      <c r="M197" s="364">
        <f>G197/G$228</f>
        <v>15.3749414565862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165"/>
      <c r="G198" s="165"/>
      <c r="H198" s="198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573">
        <f>'[80]Sch C'!D211</f>
        <v>208104.92</v>
      </c>
      <c r="D200" s="573">
        <f>'[80]Sch C'!F211</f>
        <v>0</v>
      </c>
      <c r="E200" s="171">
        <f t="shared" ref="E200:E205" si="50">C200+D200</f>
        <v>208104.92</v>
      </c>
      <c r="F200" s="171"/>
      <c r="G200" s="171">
        <f t="shared" ref="G200:G205" si="51">E200+F200</f>
        <v>208104.92</v>
      </c>
      <c r="H200" s="172">
        <f t="shared" ref="H200:H206" si="52">IF($G$208=0,0,G200/$G$208)</f>
        <v>2.6913642701383463E-2</v>
      </c>
      <c r="J200" s="183">
        <v>13746.66</v>
      </c>
      <c r="K200" s="183">
        <v>15735.95</v>
      </c>
      <c r="M200" s="364">
        <f t="shared" ref="M200:M205" si="53">G200/G$228</f>
        <v>6.9354435779510766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573">
        <f>'[80]Sch C'!D212</f>
        <v>0</v>
      </c>
      <c r="D201" s="573">
        <f>'[80]Sch C'!F212</f>
        <v>98265.331201922687</v>
      </c>
      <c r="E201" s="171">
        <f t="shared" si="50"/>
        <v>98265.331201922687</v>
      </c>
      <c r="F201" s="171"/>
      <c r="G201" s="171">
        <f t="shared" si="51"/>
        <v>98265.331201922687</v>
      </c>
      <c r="H201" s="172">
        <f t="shared" si="52"/>
        <v>1.2708387739711561E-2</v>
      </c>
      <c r="J201" s="168"/>
      <c r="K201" s="168"/>
      <c r="M201" s="364">
        <f t="shared" si="53"/>
        <v>3.2748560688503194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573">
        <f>'[80]Sch C'!D213</f>
        <v>14148.71</v>
      </c>
      <c r="D202" s="573">
        <f>'[80]Sch C'!F213</f>
        <v>0</v>
      </c>
      <c r="E202" s="171">
        <f t="shared" si="50"/>
        <v>14148.71</v>
      </c>
      <c r="F202" s="171"/>
      <c r="G202" s="171">
        <f t="shared" si="51"/>
        <v>14148.71</v>
      </c>
      <c r="H202" s="172">
        <f t="shared" si="52"/>
        <v>1.829814141950566E-3</v>
      </c>
      <c r="J202" s="168"/>
      <c r="K202" s="168"/>
      <c r="M202" s="364">
        <f t="shared" si="53"/>
        <v>0.47152936079450775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573">
        <f>'[80]Sch C'!D214</f>
        <v>0</v>
      </c>
      <c r="D203" s="573">
        <f>'[80]Sch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J203" s="168"/>
      <c r="K203" s="168"/>
      <c r="M203" s="364">
        <f t="shared" si="53"/>
        <v>0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573">
        <f>'[80]Sch C'!D215</f>
        <v>0</v>
      </c>
      <c r="D204" s="573">
        <f>'[80]Sch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573">
        <f>'[80]Sch C'!D216</f>
        <v>0</v>
      </c>
      <c r="D205" s="573">
        <f>'[80]Sch C'!F216</f>
        <v>0</v>
      </c>
      <c r="E205" s="171">
        <f t="shared" si="50"/>
        <v>0</v>
      </c>
      <c r="F205" s="171">
        <v>55</v>
      </c>
      <c r="G205" s="171">
        <f t="shared" si="51"/>
        <v>55</v>
      </c>
      <c r="H205" s="172">
        <f t="shared" si="52"/>
        <v>7.1130002528344375E-6</v>
      </c>
      <c r="I205" s="522" t="s">
        <v>467</v>
      </c>
      <c r="J205" s="168"/>
      <c r="K205" s="168"/>
      <c r="M205" s="364">
        <f t="shared" si="53"/>
        <v>1.8329667399853364E-3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573">
        <f>SUM(C200:C205)</f>
        <v>222253.63</v>
      </c>
      <c r="D206" s="573">
        <f>SUM(D200:D205)</f>
        <v>98265.331201922687</v>
      </c>
      <c r="E206" s="171">
        <f t="shared" ref="E206" si="54">SUM(E200:E205)</f>
        <v>320518.96120192274</v>
      </c>
      <c r="F206" s="171">
        <f>SUM(F200:F205)</f>
        <v>55</v>
      </c>
      <c r="G206" s="171">
        <f>SUM(G200:G205)</f>
        <v>320573.96120192274</v>
      </c>
      <c r="H206" s="172">
        <f t="shared" si="52"/>
        <v>4.1458957583298428E-2</v>
      </c>
      <c r="J206" s="168"/>
      <c r="K206" s="168"/>
      <c r="M206" s="364">
        <f>G206/G$228</f>
        <v>10.683661974335891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165"/>
      <c r="G207" s="165"/>
      <c r="H207" s="198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573">
        <f>SUM(C25:C206)/2</f>
        <v>8375706.6600000011</v>
      </c>
      <c r="D208" s="573">
        <f>SUM(D25:D206)/2</f>
        <v>-648932.07264121901</v>
      </c>
      <c r="E208" s="171">
        <f t="shared" ref="E208:F208" si="55">SUM(E25:E206)/2</f>
        <v>7726774.5873587811</v>
      </c>
      <c r="F208" s="171">
        <f t="shared" si="55"/>
        <v>5546.2400000000052</v>
      </c>
      <c r="G208" s="171">
        <f>SUM(G25:G206)/2</f>
        <v>7732320.8273587814</v>
      </c>
      <c r="H208" s="172">
        <f>IF($G$208=0,0,G208/$G$208)</f>
        <v>1</v>
      </c>
      <c r="J208" s="183">
        <f>SUM(J25:J200)</f>
        <v>204304.52999999997</v>
      </c>
      <c r="K208" s="183">
        <f>SUM(K25:K200)</f>
        <v>221008.71999999997</v>
      </c>
      <c r="M208" s="364">
        <f>G208/G$228</f>
        <v>257.69248908080988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J210" s="168"/>
      <c r="K210" s="168"/>
    </row>
    <row r="211" spans="1:14" s="167" customFormat="1" ht="15.5">
      <c r="A211" s="163"/>
      <c r="B211" s="228" t="s">
        <v>181</v>
      </c>
      <c r="C211" s="573">
        <f>'[80]Sch C'!D221</f>
        <v>8375706.6600000001</v>
      </c>
      <c r="D211" s="196"/>
      <c r="E211" s="165"/>
      <c r="F211"/>
      <c r="G211"/>
      <c r="J211" s="168"/>
      <c r="K211" s="168"/>
    </row>
    <row r="212" spans="1:14" s="167" customFormat="1" ht="15.5">
      <c r="A212" s="163"/>
      <c r="B212" s="170" t="s">
        <v>147</v>
      </c>
      <c r="C212" s="573">
        <f>C208-C211</f>
        <v>0</v>
      </c>
      <c r="D212" s="229"/>
      <c r="E212" s="165"/>
      <c r="F212"/>
      <c r="G212"/>
      <c r="J212" s="168"/>
      <c r="K212" s="168"/>
    </row>
    <row r="213" spans="1:14" s="167" customFormat="1">
      <c r="A213" s="163"/>
      <c r="B213" s="230"/>
      <c r="C213" s="619"/>
      <c r="D213" s="232"/>
      <c r="E213" s="232"/>
      <c r="F213" s="232"/>
      <c r="G213" s="232"/>
      <c r="H213" s="16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J214" s="168"/>
      <c r="K214" s="168"/>
    </row>
    <row r="215" spans="1:14" s="167" customFormat="1">
      <c r="A215" s="163"/>
      <c r="B215" s="228" t="s">
        <v>78</v>
      </c>
      <c r="C215" s="573">
        <f>C21-C208</f>
        <v>-539475.28000000026</v>
      </c>
      <c r="D215" s="573">
        <f>D21-D208</f>
        <v>523932.07264121901</v>
      </c>
      <c r="E215" s="171">
        <f t="shared" ref="E215:F215" si="56">E21-E208</f>
        <v>-15543.207358780317</v>
      </c>
      <c r="F215" s="171">
        <f t="shared" si="56"/>
        <v>-5546.2400000000052</v>
      </c>
      <c r="G215" s="171">
        <f>G21-G208</f>
        <v>-21089.447358780541</v>
      </c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167"/>
      <c r="J218" s="168"/>
      <c r="K218" s="168"/>
    </row>
    <row r="219" spans="1:14">
      <c r="A219" s="163"/>
      <c r="B219" s="170" t="s">
        <v>218</v>
      </c>
      <c r="C219" s="653">
        <f>'[80]Sch D'!C9</f>
        <v>18872</v>
      </c>
      <c r="D219" s="653"/>
      <c r="E219" s="235">
        <f t="shared" ref="E219:G227" si="57">C219+D219</f>
        <v>18872</v>
      </c>
      <c r="F219" s="234"/>
      <c r="G219" s="235">
        <f t="shared" si="57"/>
        <v>18872</v>
      </c>
      <c r="H219" s="172">
        <f t="shared" ref="H219:H228" si="58">IF($G$228=0,0,G219/$G$228)</f>
        <v>0.62894087849096847</v>
      </c>
      <c r="I219" s="167"/>
      <c r="J219" s="168"/>
      <c r="K219" s="168"/>
    </row>
    <row r="220" spans="1:14">
      <c r="A220" s="163"/>
      <c r="B220" s="170" t="s">
        <v>217</v>
      </c>
      <c r="C220" s="653">
        <f>'[80]Sch D'!D9</f>
        <v>0</v>
      </c>
      <c r="D220" s="653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167"/>
      <c r="J220" s="168"/>
      <c r="K220" s="168"/>
    </row>
    <row r="221" spans="1:14">
      <c r="A221" s="163"/>
      <c r="B221" s="170" t="s">
        <v>72</v>
      </c>
      <c r="C221" s="653">
        <f>'[80]Sch D'!E9</f>
        <v>1453</v>
      </c>
      <c r="D221" s="653"/>
      <c r="E221" s="235">
        <f t="shared" si="59"/>
        <v>1453</v>
      </c>
      <c r="F221" s="234"/>
      <c r="G221" s="235">
        <f t="shared" si="57"/>
        <v>1453</v>
      </c>
      <c r="H221" s="172">
        <f t="shared" si="58"/>
        <v>4.8423648603612611E-2</v>
      </c>
      <c r="I221" s="167"/>
      <c r="J221" s="168"/>
      <c r="K221" s="168"/>
    </row>
    <row r="222" spans="1:14">
      <c r="A222" s="163"/>
      <c r="B222" s="202" t="s">
        <v>334</v>
      </c>
      <c r="C222" s="653">
        <f>'[80]Sch D'!F9</f>
        <v>36</v>
      </c>
      <c r="D222" s="653"/>
      <c r="E222" s="235">
        <f>C222+D222</f>
        <v>36</v>
      </c>
      <c r="F222" s="234"/>
      <c r="G222" s="235">
        <f>E222+F222</f>
        <v>36</v>
      </c>
      <c r="H222" s="172">
        <f t="shared" si="58"/>
        <v>1.1997600479904018E-3</v>
      </c>
      <c r="I222" s="167"/>
      <c r="J222" s="168"/>
      <c r="K222" s="168"/>
    </row>
    <row r="223" spans="1:14">
      <c r="A223" s="163"/>
      <c r="B223" s="170" t="s">
        <v>73</v>
      </c>
      <c r="C223" s="653">
        <f>'[80]Sch D'!G9</f>
        <v>186</v>
      </c>
      <c r="D223" s="653"/>
      <c r="E223" s="235">
        <f t="shared" si="59"/>
        <v>186</v>
      </c>
      <c r="F223" s="234"/>
      <c r="G223" s="235">
        <f t="shared" si="57"/>
        <v>186</v>
      </c>
      <c r="H223" s="172">
        <f t="shared" si="58"/>
        <v>6.1987602479504095E-3</v>
      </c>
      <c r="I223" s="167"/>
      <c r="J223" s="168"/>
      <c r="K223" s="168"/>
    </row>
    <row r="224" spans="1:14">
      <c r="A224" s="163"/>
      <c r="B224" s="170" t="s">
        <v>74</v>
      </c>
      <c r="C224" s="653">
        <f>'[80]Sch D'!H9</f>
        <v>9459</v>
      </c>
      <c r="D224" s="653"/>
      <c r="E224" s="235">
        <f t="shared" si="59"/>
        <v>9459</v>
      </c>
      <c r="F224" s="234"/>
      <c r="G224" s="235">
        <f t="shared" si="57"/>
        <v>9459</v>
      </c>
      <c r="H224" s="172">
        <f t="shared" si="58"/>
        <v>0.31523695260947809</v>
      </c>
      <c r="I224" s="522" t="s">
        <v>475</v>
      </c>
      <c r="J224" s="168"/>
      <c r="K224" s="168"/>
    </row>
    <row r="225" spans="1:11">
      <c r="A225" s="163"/>
      <c r="B225" s="170" t="s">
        <v>236</v>
      </c>
      <c r="C225" s="653">
        <f>'[80]Sch D'!I9</f>
        <v>0</v>
      </c>
      <c r="D225" s="653"/>
      <c r="E225" s="235">
        <f t="shared" si="59"/>
        <v>0</v>
      </c>
      <c r="F225" s="234"/>
      <c r="G225" s="235">
        <f t="shared" si="57"/>
        <v>0</v>
      </c>
      <c r="H225" s="172">
        <f t="shared" si="58"/>
        <v>0</v>
      </c>
      <c r="I225" s="167"/>
      <c r="J225" s="168"/>
      <c r="K225" s="168"/>
    </row>
    <row r="226" spans="1:11">
      <c r="A226" s="163"/>
      <c r="B226" s="170" t="s">
        <v>235</v>
      </c>
      <c r="C226" s="653">
        <f>'[80]Sch D'!J9</f>
        <v>0</v>
      </c>
      <c r="D226" s="653"/>
      <c r="E226" s="235">
        <f>C226+D226</f>
        <v>0</v>
      </c>
      <c r="F226" s="234"/>
      <c r="G226" s="235">
        <f>E226+F226</f>
        <v>0</v>
      </c>
      <c r="H226" s="172">
        <f t="shared" si="58"/>
        <v>0</v>
      </c>
      <c r="I226" s="522" t="s">
        <v>475</v>
      </c>
      <c r="J226" s="168"/>
      <c r="K226" s="168"/>
    </row>
    <row r="227" spans="1:11">
      <c r="A227" s="163"/>
      <c r="B227" s="170" t="s">
        <v>179</v>
      </c>
      <c r="C227" s="653">
        <f>'[80]Sch D'!K9</f>
        <v>0</v>
      </c>
      <c r="D227" s="653"/>
      <c r="E227" s="235">
        <f t="shared" si="59"/>
        <v>0</v>
      </c>
      <c r="F227" s="234"/>
      <c r="G227" s="235">
        <f t="shared" si="57"/>
        <v>0</v>
      </c>
      <c r="H227" s="172">
        <f t="shared" si="58"/>
        <v>0</v>
      </c>
      <c r="I227" s="167"/>
      <c r="J227" s="168"/>
      <c r="K227" s="168"/>
    </row>
    <row r="228" spans="1:11" ht="13.5" thickBot="1">
      <c r="A228" s="163"/>
      <c r="B228" s="236" t="s">
        <v>75</v>
      </c>
      <c r="C228" s="653">
        <f>SUM(C219:C227)</f>
        <v>30006</v>
      </c>
      <c r="D228" s="653">
        <f>SUM(D219:D227)</f>
        <v>0</v>
      </c>
      <c r="E228" s="237">
        <f>SUM(E219:E227)</f>
        <v>30006</v>
      </c>
      <c r="F228" s="237">
        <f>SUM(F219:F227)</f>
        <v>0</v>
      </c>
      <c r="G228" s="237">
        <f>SUM(G219:G227)</f>
        <v>30006</v>
      </c>
      <c r="H228" s="172">
        <f t="shared" si="58"/>
        <v>1</v>
      </c>
      <c r="I228" s="167"/>
      <c r="J228" s="168"/>
      <c r="K228" s="168"/>
    </row>
    <row r="229" spans="1:11" ht="13.5" thickTop="1">
      <c r="A229" s="163"/>
      <c r="B229" s="167"/>
      <c r="C229" s="620"/>
      <c r="D229" s="239"/>
      <c r="E229" s="232"/>
      <c r="F229" s="239"/>
      <c r="G229" s="232"/>
      <c r="H229" s="167"/>
      <c r="I229" s="167"/>
      <c r="J229" s="168"/>
      <c r="K229" s="168"/>
    </row>
    <row r="230" spans="1:11">
      <c r="A230" s="163"/>
      <c r="B230" s="233" t="s">
        <v>160</v>
      </c>
      <c r="C230" s="619"/>
      <c r="D230" s="232"/>
      <c r="E230" s="232"/>
      <c r="F230" s="232"/>
      <c r="G230" s="232"/>
      <c r="H230" s="167"/>
      <c r="I230" s="167"/>
      <c r="J230" s="168"/>
      <c r="K230" s="168"/>
    </row>
    <row r="231" spans="1:11">
      <c r="A231" s="163"/>
      <c r="B231" s="202" t="s">
        <v>219</v>
      </c>
      <c r="C231" s="654">
        <f>'[80]Sch D'!N22</f>
        <v>110</v>
      </c>
      <c r="D231" s="574"/>
      <c r="E231" s="235">
        <f>C231+D231</f>
        <v>110</v>
      </c>
      <c r="F231" s="235"/>
      <c r="G231" s="235">
        <f>E231+F231</f>
        <v>110</v>
      </c>
      <c r="H231" s="167"/>
      <c r="I231" s="167"/>
      <c r="J231" s="168"/>
      <c r="K231" s="168"/>
    </row>
    <row r="232" spans="1:11">
      <c r="A232" s="163"/>
      <c r="B232" s="202" t="s">
        <v>290</v>
      </c>
      <c r="C232" s="654">
        <f>'[80]Sch D'!N24</f>
        <v>110</v>
      </c>
      <c r="D232" s="574"/>
      <c r="E232" s="235">
        <f>C232+D232</f>
        <v>110</v>
      </c>
      <c r="F232" s="235"/>
      <c r="G232" s="235">
        <f>E232+F232</f>
        <v>110</v>
      </c>
      <c r="H232" s="167"/>
      <c r="I232" s="167"/>
      <c r="J232" s="168"/>
      <c r="K232" s="168"/>
    </row>
    <row r="233" spans="1:11">
      <c r="A233" s="163"/>
      <c r="B233" s="202" t="s">
        <v>76</v>
      </c>
      <c r="C233" s="654">
        <f>$C$4-$C$3+1</f>
        <v>365</v>
      </c>
      <c r="D233" s="489"/>
      <c r="E233" s="235">
        <f>C233+D233</f>
        <v>365</v>
      </c>
      <c r="F233" s="240"/>
      <c r="G233" s="235">
        <f>E233+F233</f>
        <v>365</v>
      </c>
      <c r="H233" s="167"/>
      <c r="I233" s="167"/>
      <c r="J233" s="168"/>
      <c r="K233" s="168"/>
    </row>
    <row r="234" spans="1:11">
      <c r="A234" s="163"/>
      <c r="B234" s="241"/>
      <c r="C234" s="621"/>
      <c r="D234" s="240"/>
      <c r="E234" s="243"/>
      <c r="F234" s="240"/>
      <c r="G234" s="243"/>
      <c r="H234" s="167"/>
      <c r="I234" s="167"/>
      <c r="J234" s="168"/>
      <c r="K234" s="168"/>
    </row>
    <row r="235" spans="1:11" ht="26">
      <c r="A235" s="163"/>
      <c r="B235" s="244" t="s">
        <v>335</v>
      </c>
      <c r="C235" s="654">
        <f>'[80]Sch D'!N28</f>
        <v>40150</v>
      </c>
      <c r="D235" s="489"/>
      <c r="E235" s="234">
        <f>E231*E233</f>
        <v>40150</v>
      </c>
      <c r="F235" s="240"/>
      <c r="G235" s="234">
        <f>G231*G233</f>
        <v>40150</v>
      </c>
      <c r="H235" s="167"/>
      <c r="I235" s="167"/>
      <c r="J235" s="168"/>
      <c r="K235" s="168"/>
    </row>
    <row r="236" spans="1:11" ht="26">
      <c r="A236" s="163"/>
      <c r="B236" s="244" t="s">
        <v>336</v>
      </c>
      <c r="C236" s="655">
        <f>'[80]Sch D'!N30</f>
        <v>0.74734744707347445</v>
      </c>
      <c r="D236" s="240"/>
      <c r="E236" s="245">
        <f>E228/E235</f>
        <v>0.74734744707347445</v>
      </c>
      <c r="F236" s="246"/>
      <c r="G236" s="245">
        <f>G228/G235</f>
        <v>0.74734744707347445</v>
      </c>
      <c r="H236" s="167"/>
      <c r="I236" s="167"/>
      <c r="J236" s="168"/>
      <c r="K236" s="168"/>
    </row>
    <row r="237" spans="1:11" ht="26">
      <c r="A237" s="163"/>
      <c r="B237" s="244" t="s">
        <v>337</v>
      </c>
      <c r="C237" s="655">
        <f>'[80]Sch D'!N32</f>
        <v>0.4700373599003736</v>
      </c>
      <c r="D237" s="240"/>
      <c r="E237" s="245">
        <f>(E219+E220)/E235</f>
        <v>0.4700373599003736</v>
      </c>
      <c r="F237" s="246"/>
      <c r="G237" s="245">
        <f>(G219+G220)/G235</f>
        <v>0.4700373599003736</v>
      </c>
      <c r="H237" s="167"/>
      <c r="I237" s="167"/>
      <c r="J237" s="168"/>
      <c r="K237" s="168"/>
    </row>
    <row r="238" spans="1:11" ht="26">
      <c r="A238" s="163"/>
      <c r="B238" s="244" t="s">
        <v>338</v>
      </c>
      <c r="C238" s="655">
        <f>'[80]Sch D'!N34</f>
        <v>0.62894087849096847</v>
      </c>
      <c r="D238" s="240"/>
      <c r="E238" s="245">
        <f>(E237/E236)</f>
        <v>0.62894087849096847</v>
      </c>
      <c r="F238" s="246"/>
      <c r="G238" s="245">
        <f>(G237/G236)</f>
        <v>0.62894087849096847</v>
      </c>
      <c r="H238" s="167"/>
      <c r="I238" s="167"/>
      <c r="J238" s="168"/>
      <c r="K238" s="168"/>
    </row>
    <row r="241" spans="2:7">
      <c r="B241" s="148" t="s">
        <v>339</v>
      </c>
      <c r="F241" s="142" t="s">
        <v>340</v>
      </c>
      <c r="G241" s="573">
        <f>'[80]Sch B'!C85</f>
        <v>183.71951732673267</v>
      </c>
    </row>
    <row r="242" spans="2:7">
      <c r="F242" s="142" t="s">
        <v>341</v>
      </c>
      <c r="G242" s="573">
        <f>'[80]Sch B'!E85</f>
        <v>194.58</v>
      </c>
    </row>
    <row r="243" spans="2:7">
      <c r="B243" s="465" t="s">
        <v>485</v>
      </c>
      <c r="F243" s="142" t="s">
        <v>342</v>
      </c>
      <c r="G243" s="573">
        <f>'[80]Sch B'!G85</f>
        <v>178.06091549295775</v>
      </c>
    </row>
    <row r="244" spans="2:7" ht="15">
      <c r="B244" s="463" t="s">
        <v>486</v>
      </c>
      <c r="F244" s="142" t="s">
        <v>343</v>
      </c>
      <c r="G244" s="573">
        <f>'[80]Sch B'!I85</f>
        <v>192.77341312056734</v>
      </c>
    </row>
    <row r="245" spans="2:7" ht="15">
      <c r="B245" s="463" t="s">
        <v>487</v>
      </c>
      <c r="F245" s="142"/>
    </row>
    <row r="246" spans="2:7" ht="15">
      <c r="B246" s="463" t="s">
        <v>488</v>
      </c>
    </row>
  </sheetData>
  <customSheetViews>
    <customSheetView guid="{8B6AA640-12E9-11D5-ABB1-E7A21A3D4A14}" showGridLines="0" showRuler="0">
      <pageMargins left="0.75" right="0.75" top="1" bottom="1" header="0.5" footer="0.5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T16" sqref="T16"/>
      <pageMargins left="0.75" right="0.75" top="1" bottom="1" header="0.5" footer="0.5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rgb="FFE28CAB"/>
  </sheetPr>
  <dimension ref="A1:Q245"/>
  <sheetViews>
    <sheetView workbookViewId="0">
      <selection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478"/>
      <c r="E1" s="478"/>
      <c r="F1" s="478"/>
      <c r="G1" s="478"/>
      <c r="H1" s="478"/>
      <c r="I1" s="479"/>
    </row>
    <row r="2" spans="1:14" ht="23">
      <c r="B2" s="143" t="s">
        <v>189</v>
      </c>
      <c r="C2" s="247" t="s">
        <v>442</v>
      </c>
      <c r="D2" s="247"/>
      <c r="E2" s="144"/>
    </row>
    <row r="3" spans="1:14">
      <c r="A3" s="145"/>
      <c r="B3" s="140" t="s">
        <v>79</v>
      </c>
      <c r="C3" s="495">
        <v>41821</v>
      </c>
      <c r="D3" s="144"/>
      <c r="E3" s="147"/>
    </row>
    <row r="4" spans="1:14">
      <c r="A4" s="145"/>
      <c r="B4" s="148" t="s">
        <v>80</v>
      </c>
      <c r="C4" s="495">
        <v>42185</v>
      </c>
      <c r="D4" s="144"/>
      <c r="E4" s="149"/>
      <c r="G4" s="150"/>
    </row>
    <row r="5" spans="1:14">
      <c r="A5" s="145"/>
      <c r="B5" s="148"/>
      <c r="C5" s="151"/>
      <c r="D5" s="144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144"/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490">
        <f>'[81]Sch B'!E10</f>
        <v>177676</v>
      </c>
      <c r="D11" s="490">
        <f>'[81]Sch B'!G10</f>
        <v>0</v>
      </c>
      <c r="E11" s="171">
        <f>C11+D11</f>
        <v>177676</v>
      </c>
      <c r="F11" s="171"/>
      <c r="G11" s="171">
        <f t="shared" ref="G11:G20" si="0">E11+F11</f>
        <v>177676</v>
      </c>
      <c r="H11" s="172">
        <f t="shared" ref="H11:H21" si="1">IF($G$21=0,0,G11/$G$21)</f>
        <v>2.7057323436253885E-2</v>
      </c>
      <c r="I11" s="337"/>
      <c r="J11" s="368" t="s">
        <v>344</v>
      </c>
      <c r="K11" s="369">
        <f>G21</f>
        <v>6566651</v>
      </c>
      <c r="M11" s="359">
        <f>IFERROR(G11/G219,0)</f>
        <v>180.74872838250255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490">
        <f>'[81]Sch B'!E15</f>
        <v>0</v>
      </c>
      <c r="D12" s="490">
        <f>'[81]Sch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7"/>
      <c r="J12" s="370" t="s">
        <v>345</v>
      </c>
      <c r="K12" s="371">
        <f>G208</f>
        <v>5687731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490">
        <f>'[81]Sch B'!E21</f>
        <v>748914</v>
      </c>
      <c r="D13" s="490">
        <f>'[81]Sch B'!G21</f>
        <v>0</v>
      </c>
      <c r="E13" s="171">
        <f t="shared" si="2"/>
        <v>748914</v>
      </c>
      <c r="F13" s="171"/>
      <c r="G13" s="171">
        <f t="shared" si="0"/>
        <v>748914</v>
      </c>
      <c r="H13" s="172">
        <f t="shared" si="1"/>
        <v>0.11404808935330962</v>
      </c>
      <c r="I13" s="337"/>
      <c r="J13" s="370" t="s">
        <v>346</v>
      </c>
      <c r="K13" s="371">
        <f>G228</f>
        <v>28592</v>
      </c>
      <c r="M13" s="359">
        <f t="shared" si="3"/>
        <v>530.0169851380042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490">
        <f>'[81]Sch B'!E27</f>
        <v>155511</v>
      </c>
      <c r="D14" s="490">
        <f>'[81]Sch B'!G27</f>
        <v>0</v>
      </c>
      <c r="E14" s="171">
        <f t="shared" si="2"/>
        <v>155511</v>
      </c>
      <c r="F14" s="175"/>
      <c r="G14" s="175">
        <f>E14+F14</f>
        <v>155511</v>
      </c>
      <c r="H14" s="176">
        <f t="shared" si="1"/>
        <v>2.3681934672636022E-2</v>
      </c>
      <c r="I14" s="338"/>
      <c r="J14" s="370" t="s">
        <v>347</v>
      </c>
      <c r="K14" s="371">
        <f>G231</f>
        <v>81</v>
      </c>
      <c r="M14" s="359">
        <f t="shared" si="3"/>
        <v>472.677811550152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490">
        <f>'[81]Sch B'!E32</f>
        <v>3890260</v>
      </c>
      <c r="D15" s="490">
        <f>'[81]Sch B'!G32</f>
        <v>-2323808</v>
      </c>
      <c r="E15" s="171">
        <f t="shared" si="2"/>
        <v>1566452</v>
      </c>
      <c r="F15" s="171"/>
      <c r="G15" s="171">
        <f t="shared" si="0"/>
        <v>1566452</v>
      </c>
      <c r="H15" s="172">
        <f t="shared" si="1"/>
        <v>0.2385465589689478</v>
      </c>
      <c r="I15" s="337"/>
      <c r="J15" s="370" t="s">
        <v>348</v>
      </c>
      <c r="K15" s="371">
        <f>G235</f>
        <v>29565</v>
      </c>
      <c r="M15" s="359">
        <f t="shared" si="3"/>
        <v>382.99559902200491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490">
        <f>'[81]Sch B'!E37</f>
        <v>1557787</v>
      </c>
      <c r="D16" s="490">
        <f>'[81]Sch B'!G37</f>
        <v>2322089</v>
      </c>
      <c r="E16" s="171">
        <f t="shared" si="2"/>
        <v>3879876</v>
      </c>
      <c r="F16" s="171"/>
      <c r="G16" s="171">
        <f t="shared" si="0"/>
        <v>3879876</v>
      </c>
      <c r="H16" s="172">
        <f t="shared" si="1"/>
        <v>0.59084547054503123</v>
      </c>
      <c r="I16" s="337"/>
      <c r="J16" s="372"/>
      <c r="K16" s="371"/>
      <c r="M16" s="359">
        <f t="shared" si="3"/>
        <v>179.52415324819546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490">
        <f>'[81]Sch B'!E42</f>
        <v>34220</v>
      </c>
      <c r="D17" s="490">
        <f>'[81]Sch B'!G42</f>
        <v>0</v>
      </c>
      <c r="E17" s="171">
        <f t="shared" si="2"/>
        <v>34220</v>
      </c>
      <c r="F17" s="171"/>
      <c r="G17" s="171">
        <f>E17+F17</f>
        <v>34220</v>
      </c>
      <c r="H17" s="172">
        <f t="shared" si="1"/>
        <v>5.2111799454546918E-3</v>
      </c>
      <c r="I17" s="337"/>
      <c r="J17" s="370" t="s">
        <v>156</v>
      </c>
      <c r="K17" s="371">
        <f>J208</f>
        <v>187741</v>
      </c>
      <c r="M17" s="359">
        <f t="shared" si="3"/>
        <v>207.39393939393941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490">
        <f>'[81]Sch B'!E47</f>
        <v>0</v>
      </c>
      <c r="D18" s="490">
        <f>'[81]Sch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337"/>
      <c r="J18" s="373" t="s">
        <v>252</v>
      </c>
      <c r="K18" s="374">
        <f>K208</f>
        <v>222975</v>
      </c>
      <c r="M18" s="359">
        <f t="shared" si="3"/>
        <v>0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490">
        <f>'[81]Sch B'!E52</f>
        <v>-1719</v>
      </c>
      <c r="D19" s="490">
        <f>'[81]Sch B'!G52</f>
        <v>1719</v>
      </c>
      <c r="E19" s="171">
        <f t="shared" si="2"/>
        <v>0</v>
      </c>
      <c r="F19" s="171"/>
      <c r="G19" s="171">
        <f t="shared" si="0"/>
        <v>0</v>
      </c>
      <c r="H19" s="172">
        <f t="shared" si="1"/>
        <v>0</v>
      </c>
      <c r="I19" s="337"/>
      <c r="J19" s="168"/>
      <c r="K19" s="168"/>
      <c r="M19" s="359">
        <f t="shared" si="3"/>
        <v>0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490">
        <f>'[81]Sch B'!E67</f>
        <v>14871</v>
      </c>
      <c r="D20" s="490">
        <f>'[81]Sch B'!G67</f>
        <v>-10869</v>
      </c>
      <c r="E20" s="171">
        <f t="shared" si="2"/>
        <v>4002</v>
      </c>
      <c r="F20" s="171"/>
      <c r="G20" s="171">
        <f t="shared" si="0"/>
        <v>4002</v>
      </c>
      <c r="H20" s="172">
        <f t="shared" si="1"/>
        <v>6.0944307836673518E-4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490">
        <f>SUM(C11:C20)</f>
        <v>6577520</v>
      </c>
      <c r="D21" s="490">
        <f>SUM(D11:D20)</f>
        <v>-10869</v>
      </c>
      <c r="E21" s="171">
        <f>SUM(E11:E20)</f>
        <v>6566651</v>
      </c>
      <c r="F21" s="171">
        <f>SUM(F11:F20)</f>
        <v>0</v>
      </c>
      <c r="G21" s="171">
        <f>SUM(G11:G20)</f>
        <v>6566651</v>
      </c>
      <c r="H21" s="172">
        <f t="shared" si="1"/>
        <v>1</v>
      </c>
      <c r="I21" s="337"/>
      <c r="J21" s="168"/>
      <c r="K21" s="168"/>
      <c r="M21" s="359">
        <f>IFERROR(G21/G228,0)</f>
        <v>229.66742445439283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4">
      <c r="A24" s="181" t="s">
        <v>161</v>
      </c>
      <c r="B24" s="148" t="s">
        <v>12</v>
      </c>
      <c r="M24" s="363"/>
      <c r="N24" s="363"/>
    </row>
    <row r="25" spans="1:14" s="167" customFormat="1">
      <c r="A25" s="169" t="s">
        <v>83</v>
      </c>
      <c r="B25" s="170" t="s">
        <v>14</v>
      </c>
      <c r="C25" s="490">
        <f>'[81]Sch C'!D10</f>
        <v>0</v>
      </c>
      <c r="D25" s="490">
        <f>'[81]Sch C'!F10</f>
        <v>134692</v>
      </c>
      <c r="E25" s="171">
        <f t="shared" ref="E25:E60" si="4">C25+D25</f>
        <v>134692</v>
      </c>
      <c r="F25" s="171"/>
      <c r="G25" s="182">
        <f>E25+F25</f>
        <v>134692</v>
      </c>
      <c r="H25" s="172">
        <f>IF($G$208=0,0,G25/$G$208)</f>
        <v>2.3681148071172844E-2</v>
      </c>
      <c r="I25" s="337"/>
      <c r="J25" s="183">
        <v>1984</v>
      </c>
      <c r="K25" s="183">
        <v>2152</v>
      </c>
      <c r="M25" s="359">
        <f>G25/G$228</f>
        <v>4.7108282036933407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490">
        <f>'[81]Sch C'!D11</f>
        <v>0</v>
      </c>
      <c r="D26" s="490">
        <f>'[81]Sch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490">
        <f>'[81]Sch C'!D12</f>
        <v>288842</v>
      </c>
      <c r="D27" s="490">
        <f>'[81]Sch C'!F12</f>
        <v>-134692</v>
      </c>
      <c r="E27" s="171">
        <f t="shared" si="4"/>
        <v>154150</v>
      </c>
      <c r="F27" s="171"/>
      <c r="G27" s="171">
        <f t="shared" si="5"/>
        <v>154150</v>
      </c>
      <c r="H27" s="172">
        <f t="shared" si="6"/>
        <v>2.7102195937184794E-2</v>
      </c>
      <c r="I27" s="337"/>
      <c r="J27" s="185">
        <v>7730</v>
      </c>
      <c r="K27" s="185">
        <v>8373</v>
      </c>
      <c r="M27" s="359">
        <f t="shared" si="7"/>
        <v>5.3913682148852828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490">
        <f>'[81]Sch C'!D13</f>
        <v>36444</v>
      </c>
      <c r="D28" s="490">
        <f>'[81]Sch C'!F13</f>
        <v>0</v>
      </c>
      <c r="E28" s="171">
        <f t="shared" si="4"/>
        <v>36444</v>
      </c>
      <c r="F28" s="171"/>
      <c r="G28" s="171">
        <f t="shared" si="5"/>
        <v>36444</v>
      </c>
      <c r="H28" s="172">
        <f t="shared" si="6"/>
        <v>6.4074760216332313E-3</v>
      </c>
      <c r="I28" s="337"/>
      <c r="J28" s="168"/>
      <c r="K28" s="168"/>
      <c r="M28" s="359">
        <f t="shared" si="7"/>
        <v>1.2746222719641858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490">
        <f>'[81]Sch C'!D14</f>
        <v>0</v>
      </c>
      <c r="D29" s="490">
        <f>'[81]Sch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490">
        <f>'[81]Sch C'!D15</f>
        <v>0</v>
      </c>
      <c r="D30" s="490">
        <f>'[81]Sch C'!F15</f>
        <v>328415</v>
      </c>
      <c r="E30" s="171">
        <f t="shared" si="4"/>
        <v>328415</v>
      </c>
      <c r="F30" s="171"/>
      <c r="G30" s="171">
        <f t="shared" si="5"/>
        <v>328415</v>
      </c>
      <c r="H30" s="172">
        <f t="shared" si="6"/>
        <v>5.7740951532342162E-2</v>
      </c>
      <c r="I30" s="337"/>
      <c r="J30" s="168"/>
      <c r="K30" s="168"/>
      <c r="M30" s="359">
        <f t="shared" si="7"/>
        <v>11.486254896474538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490">
        <f>'[81]Sch C'!D16</f>
        <v>328415</v>
      </c>
      <c r="D31" s="490">
        <f>'[81]Sch C'!F16</f>
        <v>-328415</v>
      </c>
      <c r="E31" s="171">
        <f t="shared" si="4"/>
        <v>0</v>
      </c>
      <c r="F31" s="171"/>
      <c r="G31" s="171">
        <f t="shared" si="5"/>
        <v>0</v>
      </c>
      <c r="H31" s="172">
        <f t="shared" si="6"/>
        <v>0</v>
      </c>
      <c r="I31" s="337"/>
      <c r="J31" s="168"/>
      <c r="K31" s="168"/>
      <c r="M31" s="359">
        <f t="shared" si="7"/>
        <v>0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490">
        <f>'[81]Sch C'!D17</f>
        <v>1175</v>
      </c>
      <c r="D32" s="490">
        <f>'[81]Sch C'!F17</f>
        <v>-1175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7"/>
      <c r="J32" s="168"/>
      <c r="K32" s="168"/>
      <c r="M32" s="359">
        <f t="shared" si="7"/>
        <v>0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490">
        <f>'[81]Sch C'!D18</f>
        <v>44881</v>
      </c>
      <c r="D33" s="490">
        <f>'[81]Sch C'!F18</f>
        <v>0</v>
      </c>
      <c r="E33" s="171">
        <f t="shared" si="4"/>
        <v>44881</v>
      </c>
      <c r="F33" s="171"/>
      <c r="G33" s="171">
        <f t="shared" si="5"/>
        <v>44881</v>
      </c>
      <c r="H33" s="172">
        <f t="shared" si="6"/>
        <v>7.8908443454868034E-3</v>
      </c>
      <c r="I33" s="337"/>
      <c r="J33" s="168"/>
      <c r="K33" s="168"/>
      <c r="M33" s="359">
        <f t="shared" si="7"/>
        <v>1.5697048125349748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490">
        <f>'[81]Sch C'!D19</f>
        <v>12497</v>
      </c>
      <c r="D34" s="490">
        <f>'[81]Sch C'!F19</f>
        <v>0</v>
      </c>
      <c r="E34" s="171">
        <f t="shared" si="4"/>
        <v>12497</v>
      </c>
      <c r="F34" s="171"/>
      <c r="G34" s="171">
        <f t="shared" si="5"/>
        <v>12497</v>
      </c>
      <c r="H34" s="172">
        <f t="shared" si="6"/>
        <v>2.1971854857411504E-3</v>
      </c>
      <c r="I34" s="337"/>
      <c r="J34" s="168"/>
      <c r="K34" s="168"/>
      <c r="M34" s="359">
        <f t="shared" si="7"/>
        <v>0.43708030218242866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490">
        <f>'[81]Sch C'!D20</f>
        <v>17883</v>
      </c>
      <c r="D35" s="490">
        <f>'[81]Sch C'!F20</f>
        <v>0</v>
      </c>
      <c r="E35" s="171">
        <f t="shared" si="4"/>
        <v>17883</v>
      </c>
      <c r="F35" s="171"/>
      <c r="G35" s="171">
        <f t="shared" si="5"/>
        <v>17883</v>
      </c>
      <c r="H35" s="172">
        <f t="shared" si="6"/>
        <v>3.1441360359693521E-3</v>
      </c>
      <c r="I35" s="337"/>
      <c r="J35" s="168"/>
      <c r="K35" s="168"/>
      <c r="M35" s="359">
        <f t="shared" si="7"/>
        <v>0.62545467263570231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490">
        <f>'[81]Sch C'!D21</f>
        <v>3511</v>
      </c>
      <c r="D36" s="490">
        <f>'[81]Sch C'!F21</f>
        <v>0</v>
      </c>
      <c r="E36" s="171">
        <f t="shared" si="4"/>
        <v>3511</v>
      </c>
      <c r="F36" s="171"/>
      <c r="G36" s="171">
        <f t="shared" si="5"/>
        <v>3511</v>
      </c>
      <c r="H36" s="172">
        <f t="shared" si="6"/>
        <v>6.1729360970130267E-4</v>
      </c>
      <c r="I36" s="337"/>
      <c r="J36" s="168"/>
      <c r="K36" s="168"/>
      <c r="M36" s="359">
        <f t="shared" si="7"/>
        <v>0.12279658645775042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490">
        <f>'[81]Sch C'!D22</f>
        <v>0</v>
      </c>
      <c r="D37" s="490">
        <f>'[81]Sch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490">
        <f>'[81]Sch C'!D23</f>
        <v>13048</v>
      </c>
      <c r="D38" s="490">
        <f>'[81]Sch C'!F23</f>
        <v>0</v>
      </c>
      <c r="E38" s="171">
        <f t="shared" si="4"/>
        <v>13048</v>
      </c>
      <c r="F38" s="171"/>
      <c r="G38" s="171">
        <f t="shared" si="5"/>
        <v>13048</v>
      </c>
      <c r="H38" s="172">
        <f t="shared" si="6"/>
        <v>2.294060671997322E-3</v>
      </c>
      <c r="I38" s="337"/>
      <c r="J38" s="168"/>
      <c r="K38" s="168"/>
      <c r="M38" s="359">
        <f t="shared" si="7"/>
        <v>0.45635142697257974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490">
        <f>'[81]Sch C'!D24</f>
        <v>3736</v>
      </c>
      <c r="D39" s="490">
        <f>'[81]Sch C'!F24</f>
        <v>0</v>
      </c>
      <c r="E39" s="171">
        <f t="shared" si="4"/>
        <v>3736</v>
      </c>
      <c r="F39" s="171"/>
      <c r="G39" s="171">
        <f t="shared" si="5"/>
        <v>3736</v>
      </c>
      <c r="H39" s="172">
        <f t="shared" si="6"/>
        <v>6.5685244256453057E-4</v>
      </c>
      <c r="I39" s="337"/>
      <c r="J39" s="168"/>
      <c r="K39" s="168"/>
      <c r="M39" s="359">
        <f t="shared" si="7"/>
        <v>0.13066592053721321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490">
        <f>'[81]Sch C'!D25</f>
        <v>0</v>
      </c>
      <c r="D40" s="490">
        <f>'[81]Sch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337"/>
      <c r="J40" s="168"/>
      <c r="K40" s="168"/>
      <c r="M40" s="359">
        <f t="shared" si="7"/>
        <v>0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490">
        <f>'[81]Sch C'!D26</f>
        <v>0</v>
      </c>
      <c r="D41" s="490">
        <f>'[81]Sch C'!F26</f>
        <v>0</v>
      </c>
      <c r="E41" s="171">
        <f t="shared" si="4"/>
        <v>0</v>
      </c>
      <c r="F41" s="171"/>
      <c r="G41" s="171">
        <f t="shared" si="5"/>
        <v>0</v>
      </c>
      <c r="H41" s="172">
        <f t="shared" si="6"/>
        <v>0</v>
      </c>
      <c r="I41" s="337"/>
      <c r="J41" s="168"/>
      <c r="K41" s="168"/>
      <c r="M41" s="359">
        <f t="shared" si="7"/>
        <v>0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490">
        <f>'[81]Sch C'!D27</f>
        <v>902</v>
      </c>
      <c r="D42" s="490">
        <f>'[81]Sch C'!F27</f>
        <v>-7</v>
      </c>
      <c r="E42" s="171">
        <f t="shared" si="4"/>
        <v>895</v>
      </c>
      <c r="F42" s="171"/>
      <c r="G42" s="171">
        <f t="shared" si="5"/>
        <v>895</v>
      </c>
      <c r="H42" s="172">
        <f t="shared" si="6"/>
        <v>1.5735624627817314E-4</v>
      </c>
      <c r="I42" s="337"/>
      <c r="J42" s="168"/>
      <c r="K42" s="168"/>
      <c r="M42" s="359">
        <f t="shared" si="7"/>
        <v>3.1302462227196418E-2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490">
        <f>'[81]Sch C'!D28</f>
        <v>0</v>
      </c>
      <c r="D43" s="490">
        <f>'[81]Sch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490">
        <f>'[81]Sch C'!D29</f>
        <v>7883</v>
      </c>
      <c r="D44" s="490">
        <f>'[81]Sch C'!F29</f>
        <v>-7883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490">
        <f>'[81]Sch C'!D30</f>
        <v>0</v>
      </c>
      <c r="D45" s="490">
        <f>'[81]Sch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490">
        <f>'[81]Sch C'!D31</f>
        <v>0</v>
      </c>
      <c r="D46" s="490">
        <f>'[81]Sch C'!F31</f>
        <v>0</v>
      </c>
      <c r="E46" s="171">
        <f t="shared" si="4"/>
        <v>0</v>
      </c>
      <c r="F46" s="171"/>
      <c r="G46" s="171">
        <f t="shared" si="5"/>
        <v>0</v>
      </c>
      <c r="H46" s="172">
        <f t="shared" si="6"/>
        <v>0</v>
      </c>
      <c r="I46" s="337"/>
      <c r="J46" s="168"/>
      <c r="K46" s="168"/>
      <c r="M46" s="359">
        <f t="shared" si="7"/>
        <v>0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490">
        <f>'[81]Sch C'!D32</f>
        <v>64493</v>
      </c>
      <c r="D47" s="490">
        <f>'[81]Sch C'!F32</f>
        <v>0</v>
      </c>
      <c r="E47" s="171">
        <f t="shared" si="4"/>
        <v>64493</v>
      </c>
      <c r="F47" s="171"/>
      <c r="G47" s="171">
        <f t="shared" si="5"/>
        <v>64493</v>
      </c>
      <c r="H47" s="172">
        <f t="shared" si="6"/>
        <v>1.1338968034880693E-2</v>
      </c>
      <c r="I47" s="337"/>
      <c r="J47" s="168"/>
      <c r="K47" s="168"/>
      <c r="M47" s="359">
        <f t="shared" si="7"/>
        <v>2.2556309457190822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490">
        <f>'[81]Sch C'!D33</f>
        <v>0</v>
      </c>
      <c r="D48" s="490">
        <f>'[81]Sch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490">
        <f>'[81]Sch C'!D34</f>
        <v>663</v>
      </c>
      <c r="D49" s="490">
        <f>'[81]Sch C'!F34</f>
        <v>0</v>
      </c>
      <c r="E49" s="171">
        <f t="shared" si="4"/>
        <v>663</v>
      </c>
      <c r="F49" s="171"/>
      <c r="G49" s="171">
        <f t="shared" si="5"/>
        <v>663</v>
      </c>
      <c r="H49" s="172">
        <f t="shared" si="6"/>
        <v>1.1656669417031151E-4</v>
      </c>
      <c r="I49" s="337"/>
      <c r="J49" s="168"/>
      <c r="K49" s="168"/>
      <c r="M49" s="359">
        <f t="shared" si="7"/>
        <v>2.3188304420817013E-2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490">
        <f>'[81]Sch C'!D35</f>
        <v>0</v>
      </c>
      <c r="D50" s="490">
        <f>'[81]Sch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490">
        <f>'[81]Sch C'!D36</f>
        <v>3732</v>
      </c>
      <c r="D51" s="490">
        <f>'[81]Sch C'!F36</f>
        <v>0</v>
      </c>
      <c r="E51" s="171">
        <f t="shared" si="4"/>
        <v>3732</v>
      </c>
      <c r="F51" s="171"/>
      <c r="G51" s="171">
        <f t="shared" si="5"/>
        <v>3732</v>
      </c>
      <c r="H51" s="172">
        <f t="shared" si="6"/>
        <v>6.5614917442473981E-4</v>
      </c>
      <c r="I51" s="337"/>
      <c r="J51" s="183">
        <v>281</v>
      </c>
      <c r="K51" s="183">
        <v>281</v>
      </c>
      <c r="M51" s="359">
        <f t="shared" si="7"/>
        <v>0.13052602126468943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490">
        <f>'[81]Sch C'!D37</f>
        <v>96</v>
      </c>
      <c r="D52" s="490">
        <f>'[81]Sch C'!F37</f>
        <v>0</v>
      </c>
      <c r="E52" s="171">
        <f t="shared" si="4"/>
        <v>96</v>
      </c>
      <c r="F52" s="171"/>
      <c r="G52" s="171">
        <f t="shared" si="5"/>
        <v>96</v>
      </c>
      <c r="H52" s="172">
        <f t="shared" si="6"/>
        <v>1.6878435354977231E-5</v>
      </c>
      <c r="I52" s="337"/>
      <c r="J52" s="168"/>
      <c r="K52" s="168"/>
      <c r="M52" s="359">
        <f t="shared" si="7"/>
        <v>3.3575825405707891E-3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490">
        <f>'[81]Sch C'!D38</f>
        <v>130</v>
      </c>
      <c r="D53" s="490">
        <f>'[81]Sch C'!F38</f>
        <v>-130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7"/>
      <c r="J53" s="168"/>
      <c r="K53" s="168"/>
      <c r="M53" s="359">
        <f t="shared" si="7"/>
        <v>0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490">
        <f>'[81]Sch C'!D39</f>
        <v>9253</v>
      </c>
      <c r="D54" s="490">
        <f>'[81]Sch C'!F39</f>
        <v>0</v>
      </c>
      <c r="E54" s="171">
        <f t="shared" si="4"/>
        <v>9253</v>
      </c>
      <c r="F54" s="171"/>
      <c r="G54" s="171">
        <f t="shared" si="5"/>
        <v>9253</v>
      </c>
      <c r="H54" s="172">
        <f t="shared" si="6"/>
        <v>1.6268350243708782E-3</v>
      </c>
      <c r="I54" s="337"/>
      <c r="J54" s="168"/>
      <c r="K54" s="168"/>
      <c r="M54" s="359">
        <f t="shared" si="7"/>
        <v>0.32362199216564075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490">
        <f>'[81]Sch C'!D40</f>
        <v>13604</v>
      </c>
      <c r="D55" s="490">
        <f>'[81]Sch C'!F40</f>
        <v>-13604</v>
      </c>
      <c r="E55" s="171">
        <f t="shared" si="4"/>
        <v>0</v>
      </c>
      <c r="F55" s="171"/>
      <c r="G55" s="171">
        <f t="shared" si="5"/>
        <v>0</v>
      </c>
      <c r="H55" s="172">
        <f t="shared" si="6"/>
        <v>0</v>
      </c>
      <c r="I55" s="337"/>
      <c r="J55" s="168"/>
      <c r="K55" s="168"/>
      <c r="M55" s="359">
        <f t="shared" si="7"/>
        <v>0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490">
        <f>'[81]Sch C'!D41</f>
        <v>74768</v>
      </c>
      <c r="D56" s="490">
        <f>'[81]Sch C'!F41</f>
        <v>0</v>
      </c>
      <c r="E56" s="171">
        <f t="shared" si="4"/>
        <v>74768</v>
      </c>
      <c r="F56" s="171"/>
      <c r="G56" s="171">
        <f t="shared" si="5"/>
        <v>74768</v>
      </c>
      <c r="H56" s="172">
        <f t="shared" si="6"/>
        <v>1.3145488068968101E-2</v>
      </c>
      <c r="I56" s="337"/>
      <c r="J56" s="168"/>
      <c r="K56" s="168"/>
      <c r="M56" s="359">
        <f t="shared" si="7"/>
        <v>2.6149972020145493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490">
        <f>'[81]Sch C'!D42</f>
        <v>349</v>
      </c>
      <c r="D57" s="490">
        <f>'[81]Sch C'!F42</f>
        <v>0</v>
      </c>
      <c r="E57" s="171">
        <f t="shared" si="4"/>
        <v>349</v>
      </c>
      <c r="F57" s="171"/>
      <c r="G57" s="171">
        <f t="shared" si="5"/>
        <v>349</v>
      </c>
      <c r="H57" s="172">
        <f t="shared" si="6"/>
        <v>6.1360145196740138E-5</v>
      </c>
      <c r="I57" s="337"/>
      <c r="J57" s="168"/>
      <c r="K57" s="168"/>
      <c r="M57" s="359">
        <f t="shared" si="7"/>
        <v>1.2206211527700055E-2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490">
        <f>'[81]Sch C'!D43</f>
        <v>12241</v>
      </c>
      <c r="D58" s="490">
        <f>'[81]Sch C'!F43</f>
        <v>-12241</v>
      </c>
      <c r="E58" s="171">
        <f t="shared" si="4"/>
        <v>0</v>
      </c>
      <c r="F58" s="171"/>
      <c r="G58" s="171">
        <f t="shared" si="5"/>
        <v>0</v>
      </c>
      <c r="H58" s="172">
        <f t="shared" si="6"/>
        <v>0</v>
      </c>
      <c r="I58" s="337"/>
      <c r="J58" s="168"/>
      <c r="K58" s="168"/>
      <c r="M58" s="359">
        <f t="shared" si="7"/>
        <v>0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490">
        <f>'[81]Sch C'!D44</f>
        <v>0</v>
      </c>
      <c r="D59" s="490">
        <f>'[81]Sch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7"/>
      <c r="J59" s="168"/>
      <c r="K59" s="168"/>
      <c r="M59" s="359">
        <f t="shared" si="7"/>
        <v>0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490">
        <f>'[81]Sch C'!D45</f>
        <v>313580</v>
      </c>
      <c r="D60" s="490">
        <f>'[81]Sch C'!F45</f>
        <v>-288835</v>
      </c>
      <c r="E60" s="171">
        <f t="shared" si="4"/>
        <v>24745</v>
      </c>
      <c r="F60" s="171"/>
      <c r="G60" s="171">
        <f t="shared" si="5"/>
        <v>24745</v>
      </c>
      <c r="H60" s="172">
        <f t="shared" si="6"/>
        <v>4.3505925297803293E-3</v>
      </c>
      <c r="I60" s="337"/>
      <c r="J60" s="168"/>
      <c r="K60" s="168"/>
      <c r="M60" s="359">
        <f t="shared" si="7"/>
        <v>0.86545187465025186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490">
        <f>SUM(C25:C60)</f>
        <v>1252126</v>
      </c>
      <c r="D61" s="490">
        <f>SUM(D25:D60)</f>
        <v>-323875</v>
      </c>
      <c r="E61" s="171">
        <f t="shared" ref="E61:F61" si="8">SUM(E25:E60)</f>
        <v>928251</v>
      </c>
      <c r="F61" s="171">
        <f t="shared" si="8"/>
        <v>0</v>
      </c>
      <c r="G61" s="171">
        <f>SUM(G25:G60)</f>
        <v>928251</v>
      </c>
      <c r="H61" s="186">
        <f t="shared" si="6"/>
        <v>0.16320233850721844</v>
      </c>
      <c r="I61" s="339"/>
      <c r="J61" s="168"/>
      <c r="K61" s="168"/>
      <c r="M61" s="364">
        <f>G61/G$228</f>
        <v>32.465409904868494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I62" s="340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490">
        <f>'[81]Sch C'!D57</f>
        <v>0</v>
      </c>
      <c r="D64" s="490">
        <f>'[81]Sch C'!F57</f>
        <v>0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I64" s="337"/>
      <c r="J64" s="190"/>
      <c r="K64" s="168"/>
      <c r="M64" s="359">
        <f t="shared" ref="M64:M79" si="12">G64/G$228</f>
        <v>0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490">
        <f>'[81]Sch C'!D58</f>
        <v>727</v>
      </c>
      <c r="D65" s="490">
        <f>'[81]Sch C'!F58</f>
        <v>0</v>
      </c>
      <c r="E65" s="171">
        <f t="shared" si="9"/>
        <v>727</v>
      </c>
      <c r="F65" s="171"/>
      <c r="G65" s="171">
        <f t="shared" si="10"/>
        <v>727</v>
      </c>
      <c r="H65" s="172">
        <f t="shared" si="11"/>
        <v>1.2781898440696298E-4</v>
      </c>
      <c r="I65" s="337"/>
      <c r="J65" s="190"/>
      <c r="K65" s="168"/>
      <c r="M65" s="359">
        <f t="shared" si="12"/>
        <v>2.5426692781197538E-2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490">
        <f>'[81]Sch C'!D59</f>
        <v>0</v>
      </c>
      <c r="D66" s="490">
        <f>'[81]Sch C'!F59</f>
        <v>0</v>
      </c>
      <c r="E66" s="171">
        <f t="shared" si="9"/>
        <v>0</v>
      </c>
      <c r="F66" s="171"/>
      <c r="G66" s="171">
        <f t="shared" si="10"/>
        <v>0</v>
      </c>
      <c r="H66" s="172">
        <f t="shared" si="11"/>
        <v>0</v>
      </c>
      <c r="I66" s="337"/>
      <c r="J66" s="190"/>
      <c r="K66" s="168"/>
      <c r="M66" s="359">
        <f t="shared" si="12"/>
        <v>0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490">
        <f>'[81]Sch C'!D60</f>
        <v>0</v>
      </c>
      <c r="D67" s="490">
        <f>'[81]Sch C'!F60</f>
        <v>0</v>
      </c>
      <c r="E67" s="171">
        <f t="shared" si="9"/>
        <v>0</v>
      </c>
      <c r="F67" s="171"/>
      <c r="G67" s="171">
        <f t="shared" si="10"/>
        <v>0</v>
      </c>
      <c r="H67" s="172">
        <f t="shared" si="11"/>
        <v>0</v>
      </c>
      <c r="I67" s="337"/>
      <c r="J67" s="193"/>
      <c r="K67" s="168"/>
      <c r="M67" s="359">
        <f t="shared" si="12"/>
        <v>0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490">
        <f>'[81]Sch C'!D61</f>
        <v>23553</v>
      </c>
      <c r="D68" s="490">
        <f>'[81]Sch C'!F61</f>
        <v>0</v>
      </c>
      <c r="E68" s="171">
        <f t="shared" si="9"/>
        <v>23553</v>
      </c>
      <c r="F68" s="171"/>
      <c r="G68" s="171">
        <f t="shared" si="10"/>
        <v>23553</v>
      </c>
      <c r="H68" s="172">
        <f t="shared" si="11"/>
        <v>4.1410186241226951E-3</v>
      </c>
      <c r="I68" s="337"/>
      <c r="J68" s="193"/>
      <c r="K68" s="168"/>
      <c r="M68" s="359">
        <f t="shared" si="12"/>
        <v>0.82376189143816447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490">
        <f>'[81]Sch C'!D62</f>
        <v>0</v>
      </c>
      <c r="D69" s="490">
        <f>'[81]Sch C'!F62</f>
        <v>0</v>
      </c>
      <c r="E69" s="171">
        <f t="shared" si="9"/>
        <v>0</v>
      </c>
      <c r="F69" s="171"/>
      <c r="G69" s="171">
        <f t="shared" si="10"/>
        <v>0</v>
      </c>
      <c r="H69" s="172">
        <f t="shared" si="11"/>
        <v>0</v>
      </c>
      <c r="I69" s="337"/>
      <c r="J69" s="195"/>
      <c r="K69" s="168"/>
      <c r="M69" s="359">
        <f t="shared" si="12"/>
        <v>0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490">
        <f>'[81]Sch C'!D63</f>
        <v>0</v>
      </c>
      <c r="D70" s="490">
        <f>'[81]Sch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7"/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490">
        <f>'[81]Sch C'!D64</f>
        <v>0</v>
      </c>
      <c r="D71" s="490">
        <f>'[81]Sch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490">
        <f>'[81]Sch C'!D65</f>
        <v>2992</v>
      </c>
      <c r="D72" s="490">
        <f>'[81]Sch C'!F65</f>
        <v>0</v>
      </c>
      <c r="E72" s="171">
        <f t="shared" si="9"/>
        <v>2992</v>
      </c>
      <c r="F72" s="171"/>
      <c r="G72" s="171">
        <f t="shared" si="10"/>
        <v>2992</v>
      </c>
      <c r="H72" s="172">
        <f t="shared" si="11"/>
        <v>5.2604456856345698E-4</v>
      </c>
      <c r="I72" s="337"/>
      <c r="J72" s="195"/>
      <c r="K72" s="168"/>
      <c r="M72" s="359">
        <f t="shared" si="12"/>
        <v>0.10464465584778959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490">
        <f>'[81]Sch C'!D66</f>
        <v>21399</v>
      </c>
      <c r="D73" s="490">
        <f>'[81]Sch C'!F66</f>
        <v>0</v>
      </c>
      <c r="E73" s="171">
        <f t="shared" si="9"/>
        <v>21399</v>
      </c>
      <c r="F73" s="171"/>
      <c r="G73" s="171">
        <f t="shared" si="10"/>
        <v>21399</v>
      </c>
      <c r="H73" s="172">
        <f t="shared" si="11"/>
        <v>3.7623087308453936E-3</v>
      </c>
      <c r="I73" s="337"/>
      <c r="J73" s="195"/>
      <c r="K73" s="168"/>
      <c r="M73" s="359">
        <f t="shared" si="12"/>
        <v>0.74842613318410744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490">
        <f>'[81]Sch C'!D67</f>
        <v>18644</v>
      </c>
      <c r="D74" s="490">
        <f>'[81]Sch C'!F67</f>
        <v>0</v>
      </c>
      <c r="E74" s="171">
        <f t="shared" si="9"/>
        <v>18644</v>
      </c>
      <c r="F74" s="171"/>
      <c r="G74" s="171">
        <f t="shared" si="10"/>
        <v>18644</v>
      </c>
      <c r="H74" s="172">
        <f t="shared" si="11"/>
        <v>3.2779327995645364E-3</v>
      </c>
      <c r="I74" s="337"/>
      <c r="J74" s="195"/>
      <c r="K74" s="168"/>
      <c r="M74" s="359">
        <f t="shared" si="12"/>
        <v>0.65207050923335197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490">
        <f>'[81]Sch C'!D68</f>
        <v>0</v>
      </c>
      <c r="D75" s="490">
        <f>'[81]Sch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490">
        <f>'[81]Sch C'!D69</f>
        <v>0</v>
      </c>
      <c r="D76" s="490">
        <f>'[81]Sch C'!F69</f>
        <v>0</v>
      </c>
      <c r="E76" s="171">
        <f t="shared" si="9"/>
        <v>0</v>
      </c>
      <c r="F76" s="171"/>
      <c r="G76" s="171">
        <f t="shared" si="10"/>
        <v>0</v>
      </c>
      <c r="H76" s="172">
        <f t="shared" si="11"/>
        <v>0</v>
      </c>
      <c r="I76" s="337"/>
      <c r="J76" s="195"/>
      <c r="K76" s="168"/>
      <c r="M76" s="359">
        <f t="shared" si="12"/>
        <v>0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490">
        <f>'[81]Sch C'!D70</f>
        <v>0</v>
      </c>
      <c r="D77" s="490">
        <f>'[81]Sch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7"/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490">
        <f>'[81]Sch C'!D71</f>
        <v>0</v>
      </c>
      <c r="D78" s="490">
        <f>'[81]Sch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7"/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490">
        <f>SUM(C64:C78)</f>
        <v>67315</v>
      </c>
      <c r="D79" s="490">
        <f>SUM(D64:D78)</f>
        <v>0</v>
      </c>
      <c r="E79" s="171">
        <f t="shared" ref="E79:F79" si="13">SUM(E64:E78)</f>
        <v>67315</v>
      </c>
      <c r="F79" s="171">
        <f t="shared" si="13"/>
        <v>0</v>
      </c>
      <c r="G79" s="171">
        <f>SUM(G64:G78)</f>
        <v>67315</v>
      </c>
      <c r="H79" s="172">
        <f t="shared" si="11"/>
        <v>1.1835123707503045E-2</v>
      </c>
      <c r="I79" s="337"/>
      <c r="J79" s="195"/>
      <c r="K79" s="168"/>
      <c r="M79" s="359">
        <f t="shared" si="12"/>
        <v>2.3543298824846111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490">
        <f>'[81]Sch C'!D75</f>
        <v>67586</v>
      </c>
      <c r="D82" s="490">
        <f>'[81]Sch C'!F75</f>
        <v>0</v>
      </c>
      <c r="E82" s="171">
        <f t="shared" ref="E82:E92" si="14">C82+D82</f>
        <v>67586</v>
      </c>
      <c r="F82" s="171"/>
      <c r="G82" s="171">
        <f t="shared" ref="G82:G92" si="15">E82+F82</f>
        <v>67586</v>
      </c>
      <c r="H82" s="172">
        <f t="shared" ref="H82:H93" si="16">IF($G$208=0,0,G82/$G$208)</f>
        <v>1.1882770123973865E-2</v>
      </c>
      <c r="I82" s="337"/>
      <c r="J82" s="183">
        <v>3976</v>
      </c>
      <c r="K82" s="183">
        <v>4468</v>
      </c>
      <c r="M82" s="359">
        <f t="shared" ref="M82:M92" si="17">G82/G$228</f>
        <v>2.3638080581980976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490">
        <f>'[81]Sch C'!D76</f>
        <v>16460</v>
      </c>
      <c r="D83" s="490">
        <f>'[81]Sch C'!F76</f>
        <v>0</v>
      </c>
      <c r="E83" s="171">
        <f t="shared" si="14"/>
        <v>16460</v>
      </c>
      <c r="F83" s="171"/>
      <c r="G83" s="171">
        <f t="shared" si="15"/>
        <v>16460</v>
      </c>
      <c r="H83" s="172">
        <f t="shared" si="16"/>
        <v>2.8939483952388043E-3</v>
      </c>
      <c r="I83" s="337"/>
      <c r="J83" s="168"/>
      <c r="K83" s="168"/>
      <c r="M83" s="359">
        <f t="shared" si="17"/>
        <v>0.57568550643536653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490">
        <f>'[81]Sch C'!D77</f>
        <v>11883</v>
      </c>
      <c r="D84" s="490">
        <f>'[81]Sch C'!F77</f>
        <v>0</v>
      </c>
      <c r="E84" s="171">
        <f t="shared" si="14"/>
        <v>11883</v>
      </c>
      <c r="F84" s="171"/>
      <c r="G84" s="171">
        <f t="shared" si="15"/>
        <v>11883</v>
      </c>
      <c r="H84" s="172">
        <f t="shared" si="16"/>
        <v>2.0892338262832755E-3</v>
      </c>
      <c r="I84" s="337"/>
      <c r="J84" s="168"/>
      <c r="K84" s="168"/>
      <c r="M84" s="359">
        <f t="shared" si="17"/>
        <v>0.41560576385002795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490">
        <f>'[81]Sch C'!D78</f>
        <v>0</v>
      </c>
      <c r="D85" s="490">
        <f>'[81]Sch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I85" s="337"/>
      <c r="J85" s="168"/>
      <c r="K85" s="168"/>
      <c r="M85" s="359">
        <f t="shared" si="17"/>
        <v>0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490">
        <f>'[81]Sch C'!D79</f>
        <v>3421</v>
      </c>
      <c r="D86" s="490">
        <f>'[81]Sch C'!F79</f>
        <v>0</v>
      </c>
      <c r="E86" s="171">
        <f t="shared" si="14"/>
        <v>3421</v>
      </c>
      <c r="F86" s="171"/>
      <c r="G86" s="171">
        <f>E86+F86</f>
        <v>3421</v>
      </c>
      <c r="H86" s="172">
        <f t="shared" si="16"/>
        <v>6.0147007655601153E-4</v>
      </c>
      <c r="I86" s="337"/>
      <c r="J86" s="168"/>
      <c r="K86" s="168"/>
      <c r="M86" s="359">
        <f t="shared" si="17"/>
        <v>0.11964885282596531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490">
        <f>'[81]Sch C'!D80</f>
        <v>12726</v>
      </c>
      <c r="D87" s="490">
        <f>'[81]Sch C'!F80</f>
        <v>0</v>
      </c>
      <c r="E87" s="171">
        <f t="shared" si="14"/>
        <v>12726</v>
      </c>
      <c r="F87" s="171"/>
      <c r="G87" s="171">
        <f t="shared" si="15"/>
        <v>12726</v>
      </c>
      <c r="H87" s="172">
        <f t="shared" si="16"/>
        <v>2.2374475867441694E-3</v>
      </c>
      <c r="I87" s="337"/>
      <c r="J87" s="168"/>
      <c r="K87" s="168"/>
      <c r="M87" s="359">
        <f t="shared" si="17"/>
        <v>0.44508953553441521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490">
        <f>'[81]Sch C'!D81</f>
        <v>22571</v>
      </c>
      <c r="D88" s="490">
        <f>'[81]Sch C'!F81</f>
        <v>0</v>
      </c>
      <c r="E88" s="171">
        <f t="shared" si="14"/>
        <v>22571</v>
      </c>
      <c r="F88" s="171"/>
      <c r="G88" s="171">
        <f t="shared" si="15"/>
        <v>22571</v>
      </c>
      <c r="H88" s="172">
        <f t="shared" si="16"/>
        <v>3.968366295804074E-3</v>
      </c>
      <c r="I88" s="337"/>
      <c r="J88" s="168"/>
      <c r="K88" s="168"/>
      <c r="M88" s="359">
        <f t="shared" si="17"/>
        <v>0.78941662003357582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490">
        <f>'[81]Sch C'!D82</f>
        <v>22059</v>
      </c>
      <c r="D89" s="490">
        <f>'[81]Sch C'!F82</f>
        <v>0</v>
      </c>
      <c r="E89" s="171">
        <f t="shared" si="14"/>
        <v>22059</v>
      </c>
      <c r="F89" s="171"/>
      <c r="G89" s="171">
        <f t="shared" si="15"/>
        <v>22059</v>
      </c>
      <c r="H89" s="172">
        <f t="shared" si="16"/>
        <v>3.878347973910862E-3</v>
      </c>
      <c r="I89" s="337"/>
      <c r="J89" s="168"/>
      <c r="K89" s="168"/>
      <c r="M89" s="359">
        <f t="shared" si="17"/>
        <v>0.77150951315053162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490">
        <f>'[81]Sch C'!D83</f>
        <v>11023</v>
      </c>
      <c r="D90" s="490">
        <f>'[81]Sch C'!F83</f>
        <v>0</v>
      </c>
      <c r="E90" s="171">
        <f t="shared" si="14"/>
        <v>11023</v>
      </c>
      <c r="F90" s="171"/>
      <c r="G90" s="171">
        <f t="shared" si="15"/>
        <v>11023</v>
      </c>
      <c r="H90" s="172">
        <f t="shared" si="16"/>
        <v>1.9380311762282709E-3</v>
      </c>
      <c r="I90" s="337"/>
      <c r="J90" s="168"/>
      <c r="K90" s="168"/>
      <c r="M90" s="359">
        <f t="shared" si="17"/>
        <v>0.38552742025741465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490">
        <f>'[81]Sch C'!D84</f>
        <v>164775</v>
      </c>
      <c r="D91" s="490">
        <f>'[81]Sch C'!F84</f>
        <v>0</v>
      </c>
      <c r="E91" s="171">
        <f t="shared" si="14"/>
        <v>164775</v>
      </c>
      <c r="F91" s="171"/>
      <c r="G91" s="171">
        <f t="shared" si="15"/>
        <v>164775</v>
      </c>
      <c r="H91" s="172">
        <f t="shared" si="16"/>
        <v>2.8970251933503888E-2</v>
      </c>
      <c r="I91" s="337"/>
      <c r="J91" s="168"/>
      <c r="K91" s="168"/>
      <c r="M91" s="359">
        <f t="shared" si="17"/>
        <v>5.7629756575265807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490">
        <f>'[81]Sch C'!D85</f>
        <v>0</v>
      </c>
      <c r="D92" s="490">
        <f>'[81]Sch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7"/>
      <c r="J92" s="168"/>
      <c r="K92" s="168"/>
      <c r="M92" s="359">
        <f t="shared" si="17"/>
        <v>0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490">
        <f>SUM(C82:C92)</f>
        <v>332504</v>
      </c>
      <c r="D93" s="490">
        <f>SUM(D82:D92)</f>
        <v>0</v>
      </c>
      <c r="E93" s="171">
        <f t="shared" ref="E93:F93" si="18">SUM(E82:E92)</f>
        <v>332504</v>
      </c>
      <c r="F93" s="171">
        <f t="shared" si="18"/>
        <v>0</v>
      </c>
      <c r="G93" s="171">
        <f>SUM(G82:G92)</f>
        <v>332504</v>
      </c>
      <c r="H93" s="172">
        <f t="shared" si="16"/>
        <v>5.8459867388243221E-2</v>
      </c>
      <c r="I93" s="337"/>
      <c r="J93" s="168"/>
      <c r="K93" s="168"/>
      <c r="M93" s="364">
        <f>G93/G$228</f>
        <v>11.629266927811976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490">
        <f>'[81]Sch C'!D89</f>
        <v>303246</v>
      </c>
      <c r="D96" s="490">
        <f>'[81]Sch C'!F89</f>
        <v>0</v>
      </c>
      <c r="E96" s="171">
        <f t="shared" ref="E96:E101" si="19">C96+D96</f>
        <v>303246</v>
      </c>
      <c r="F96" s="171"/>
      <c r="G96" s="171">
        <f t="shared" ref="G96:G101" si="20">E96+F96</f>
        <v>303246</v>
      </c>
      <c r="H96" s="172">
        <f t="shared" ref="H96:H102" si="21">IF($G$208=0,0,G96/$G$208)</f>
        <v>5.3315812579744014E-2</v>
      </c>
      <c r="I96" s="337"/>
      <c r="J96" s="183">
        <v>24791</v>
      </c>
      <c r="K96" s="183">
        <v>26775</v>
      </c>
      <c r="M96" s="364">
        <f t="shared" ref="M96:M101" si="22">G96/G$228</f>
        <v>10.605973698936765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490">
        <f>'[81]Sch C'!D90</f>
        <v>63822</v>
      </c>
      <c r="D97" s="490">
        <f>'[81]Sch C'!F90</f>
        <v>0</v>
      </c>
      <c r="E97" s="171">
        <f t="shared" si="19"/>
        <v>63822</v>
      </c>
      <c r="F97" s="171"/>
      <c r="G97" s="171">
        <f t="shared" si="20"/>
        <v>63822</v>
      </c>
      <c r="H97" s="172">
        <f t="shared" si="21"/>
        <v>1.12209948044308E-2</v>
      </c>
      <c r="I97" s="337"/>
      <c r="J97" s="168"/>
      <c r="K97" s="168"/>
      <c r="M97" s="364">
        <f t="shared" si="22"/>
        <v>2.2321628427532176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490">
        <f>'[81]Sch C'!D91</f>
        <v>6745</v>
      </c>
      <c r="D98" s="490">
        <f>'[81]Sch C'!F91</f>
        <v>0</v>
      </c>
      <c r="E98" s="171">
        <f t="shared" si="19"/>
        <v>6745</v>
      </c>
      <c r="F98" s="171"/>
      <c r="G98" s="171">
        <f t="shared" si="20"/>
        <v>6745</v>
      </c>
      <c r="H98" s="172">
        <f t="shared" si="21"/>
        <v>1.1858859007220981E-3</v>
      </c>
      <c r="I98" s="337"/>
      <c r="J98" s="168"/>
      <c r="K98" s="168"/>
      <c r="M98" s="364">
        <f t="shared" si="22"/>
        <v>0.23590514829322887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490">
        <f>'[81]Sch C'!D92</f>
        <v>273719</v>
      </c>
      <c r="D99" s="490">
        <f>'[81]Sch C'!F92</f>
        <v>-9027</v>
      </c>
      <c r="E99" s="171">
        <f t="shared" si="19"/>
        <v>264692</v>
      </c>
      <c r="F99" s="171"/>
      <c r="G99" s="171">
        <f t="shared" si="20"/>
        <v>264692</v>
      </c>
      <c r="H99" s="172">
        <f t="shared" si="21"/>
        <v>4.6537362614371178E-2</v>
      </c>
      <c r="I99" s="337"/>
      <c r="J99" s="168"/>
      <c r="K99" s="168"/>
      <c r="M99" s="364">
        <f t="shared" si="22"/>
        <v>9.2575545607162848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490">
        <f>'[81]Sch C'!D93</f>
        <v>32273</v>
      </c>
      <c r="D100" s="490">
        <f>'[81]Sch C'!F93</f>
        <v>0</v>
      </c>
      <c r="E100" s="171">
        <f t="shared" si="19"/>
        <v>32273</v>
      </c>
      <c r="F100" s="171"/>
      <c r="G100" s="171">
        <f t="shared" si="20"/>
        <v>32273</v>
      </c>
      <c r="H100" s="172">
        <f t="shared" si="21"/>
        <v>5.6741431688664603E-3</v>
      </c>
      <c r="I100" s="337"/>
      <c r="J100" s="168"/>
      <c r="K100" s="168"/>
      <c r="M100" s="364">
        <f t="shared" si="22"/>
        <v>1.1287423055400112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490">
        <f>'[81]Sch C'!D94</f>
        <v>490</v>
      </c>
      <c r="D101" s="490">
        <f>'[81]Sch C'!F94</f>
        <v>0</v>
      </c>
      <c r="E101" s="171">
        <f t="shared" si="19"/>
        <v>490</v>
      </c>
      <c r="F101" s="171"/>
      <c r="G101" s="171">
        <f t="shared" si="20"/>
        <v>490</v>
      </c>
      <c r="H101" s="172">
        <f t="shared" si="21"/>
        <v>8.6150347124362952E-5</v>
      </c>
      <c r="I101" s="337"/>
      <c r="J101" s="168"/>
      <c r="K101" s="168"/>
      <c r="M101" s="364">
        <f t="shared" si="22"/>
        <v>1.7137660884163401E-2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490">
        <f>SUM(C96:C101)</f>
        <v>680295</v>
      </c>
      <c r="D102" s="490">
        <f>SUM(D96:D101)</f>
        <v>-9027</v>
      </c>
      <c r="E102" s="171">
        <f t="shared" ref="E102:F102" si="23">SUM(E96:E101)</f>
        <v>671268</v>
      </c>
      <c r="F102" s="171">
        <f t="shared" si="23"/>
        <v>0</v>
      </c>
      <c r="G102" s="171">
        <f>SUM(G96:G101)</f>
        <v>671268</v>
      </c>
      <c r="H102" s="172">
        <f t="shared" si="21"/>
        <v>0.11802034941525892</v>
      </c>
      <c r="I102" s="337"/>
      <c r="J102" s="168"/>
      <c r="K102" s="168"/>
      <c r="M102" s="364">
        <f>G102/G$228</f>
        <v>23.477476217123669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490">
        <f>'[81]Sch C'!D98</f>
        <v>52994</v>
      </c>
      <c r="D105" s="490">
        <f>'[81]Sch C'!F98</f>
        <v>0</v>
      </c>
      <c r="E105" s="171">
        <f t="shared" ref="E105:E110" si="24">C105+D105</f>
        <v>52994</v>
      </c>
      <c r="F105" s="171"/>
      <c r="G105" s="171">
        <f t="shared" ref="G105:G110" si="25">E105+F105</f>
        <v>52994</v>
      </c>
      <c r="H105" s="172">
        <f t="shared" ref="H105:H111" si="26">IF($G$208=0,0,G105/$G$208)</f>
        <v>9.3172479500173259E-3</v>
      </c>
      <c r="I105" s="337"/>
      <c r="J105" s="183">
        <v>5306</v>
      </c>
      <c r="K105" s="183">
        <v>5857</v>
      </c>
      <c r="M105" s="364">
        <f t="shared" ref="M105:M110" si="27">G105/G$228</f>
        <v>1.8534555120313374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490">
        <f>'[81]Sch C'!D99</f>
        <v>9906</v>
      </c>
      <c r="D106" s="490">
        <f>'[81]Sch C'!F99</f>
        <v>0</v>
      </c>
      <c r="E106" s="171">
        <f t="shared" si="24"/>
        <v>9906</v>
      </c>
      <c r="F106" s="171"/>
      <c r="G106" s="171">
        <f t="shared" si="25"/>
        <v>9906</v>
      </c>
      <c r="H106" s="172">
        <f t="shared" si="26"/>
        <v>1.7416435481917129E-3</v>
      </c>
      <c r="I106" s="337"/>
      <c r="J106" s="168"/>
      <c r="K106" s="168"/>
      <c r="M106" s="364">
        <f t="shared" si="27"/>
        <v>0.34646054840514828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490">
        <f>'[81]Sch C'!D100</f>
        <v>4647</v>
      </c>
      <c r="D107" s="490">
        <f>'[81]Sch C'!F100</f>
        <v>0</v>
      </c>
      <c r="E107" s="171">
        <f t="shared" si="24"/>
        <v>4647</v>
      </c>
      <c r="F107" s="171"/>
      <c r="G107" s="171">
        <f t="shared" si="25"/>
        <v>4647</v>
      </c>
      <c r="H107" s="172">
        <f t="shared" si="26"/>
        <v>8.170217614018666E-4</v>
      </c>
      <c r="I107" s="337"/>
      <c r="J107" s="168"/>
      <c r="K107" s="168"/>
      <c r="M107" s="364">
        <f t="shared" si="27"/>
        <v>0.16252797985450476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490">
        <f>'[81]Sch C'!D101</f>
        <v>0</v>
      </c>
      <c r="D108" s="490">
        <f>'[81]Sch C'!F101</f>
        <v>0</v>
      </c>
      <c r="E108" s="171">
        <f t="shared" si="24"/>
        <v>0</v>
      </c>
      <c r="F108" s="171"/>
      <c r="G108" s="171">
        <f t="shared" si="25"/>
        <v>0</v>
      </c>
      <c r="H108" s="172">
        <f t="shared" si="26"/>
        <v>0</v>
      </c>
      <c r="I108" s="337"/>
      <c r="J108" s="168"/>
      <c r="K108" s="168"/>
      <c r="M108" s="364">
        <f t="shared" si="27"/>
        <v>0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490">
        <f>'[81]Sch C'!D102</f>
        <v>6433</v>
      </c>
      <c r="D109" s="490">
        <f>'[81]Sch C'!F102</f>
        <v>0</v>
      </c>
      <c r="E109" s="171">
        <f t="shared" si="24"/>
        <v>6433</v>
      </c>
      <c r="F109" s="171"/>
      <c r="G109" s="171">
        <f t="shared" si="25"/>
        <v>6433</v>
      </c>
      <c r="H109" s="172">
        <f t="shared" si="26"/>
        <v>1.1310309858184222E-3</v>
      </c>
      <c r="I109" s="337"/>
      <c r="J109" s="168"/>
      <c r="K109" s="168"/>
      <c r="M109" s="364">
        <f t="shared" si="27"/>
        <v>0.22499300503637382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490">
        <f>'[81]Sch C'!D103</f>
        <v>0</v>
      </c>
      <c r="D110" s="490">
        <f>'[81]Sch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7"/>
      <c r="J110" s="168"/>
      <c r="K110" s="168"/>
      <c r="M110" s="364">
        <f t="shared" si="27"/>
        <v>0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490">
        <f>SUM(C105:C110)</f>
        <v>73980</v>
      </c>
      <c r="D111" s="490">
        <f>SUM(D105:D110)</f>
        <v>0</v>
      </c>
      <c r="E111" s="171">
        <f t="shared" ref="E111:F111" si="28">SUM(E105:E110)</f>
        <v>73980</v>
      </c>
      <c r="F111" s="171">
        <f t="shared" si="28"/>
        <v>0</v>
      </c>
      <c r="G111" s="171">
        <f>SUM(G105:G110)</f>
        <v>73980</v>
      </c>
      <c r="H111" s="172">
        <f t="shared" si="26"/>
        <v>1.3006944245429329E-2</v>
      </c>
      <c r="I111" s="337"/>
      <c r="J111" s="168"/>
      <c r="K111" s="168"/>
      <c r="M111" s="364">
        <f>G111/G$228</f>
        <v>2.5874370453273645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490">
        <f>'[81]Sch C'!D115</f>
        <v>134973</v>
      </c>
      <c r="D114" s="490">
        <f>'[81]Sch C'!F115</f>
        <v>0</v>
      </c>
      <c r="E114" s="171">
        <f t="shared" ref="E114:E118" si="29">C114+D114</f>
        <v>134973</v>
      </c>
      <c r="F114" s="171"/>
      <c r="G114" s="171">
        <f>E114+F114</f>
        <v>134973</v>
      </c>
      <c r="H114" s="172">
        <f t="shared" ref="H114:H119" si="30">IF($G$208=0,0,G114/$G$208)</f>
        <v>2.3730552657993145E-2</v>
      </c>
      <c r="I114" s="337"/>
      <c r="J114" s="183">
        <v>12979</v>
      </c>
      <c r="K114" s="183">
        <v>13779</v>
      </c>
      <c r="M114" s="364">
        <f t="shared" ref="M114:M119" si="31">G114/G$228</f>
        <v>4.7206561275881365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490">
        <f>'[81]Sch C'!D116</f>
        <v>31086</v>
      </c>
      <c r="D115" s="490">
        <f>'[81]Sch C'!F116</f>
        <v>0</v>
      </c>
      <c r="E115" s="171">
        <f t="shared" si="29"/>
        <v>31086</v>
      </c>
      <c r="F115" s="171"/>
      <c r="G115" s="171">
        <f>E115+F115</f>
        <v>31086</v>
      </c>
      <c r="H115" s="172">
        <f t="shared" si="30"/>
        <v>5.4654483483835645E-3</v>
      </c>
      <c r="I115" s="337"/>
      <c r="J115" s="168"/>
      <c r="K115" s="168"/>
      <c r="M115" s="364">
        <f t="shared" si="31"/>
        <v>1.0872271964185787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490">
        <f>'[81]Sch C'!D117</f>
        <v>26865</v>
      </c>
      <c r="D116" s="490">
        <f>'[81]Sch C'!F117</f>
        <v>0</v>
      </c>
      <c r="E116" s="171">
        <f t="shared" si="29"/>
        <v>26865</v>
      </c>
      <c r="F116" s="171"/>
      <c r="G116" s="171">
        <f>E116+F116</f>
        <v>26865</v>
      </c>
      <c r="H116" s="172">
        <f t="shared" si="30"/>
        <v>4.7233246438694093E-3</v>
      </c>
      <c r="I116" s="337"/>
      <c r="J116" s="168"/>
      <c r="K116" s="168"/>
      <c r="M116" s="364">
        <f t="shared" si="31"/>
        <v>0.9395984890878567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490">
        <f>'[81]Sch C'!D118</f>
        <v>160</v>
      </c>
      <c r="D117" s="490">
        <f>'[81]Sch C'!F118</f>
        <v>0</v>
      </c>
      <c r="E117" s="171">
        <f t="shared" si="29"/>
        <v>160</v>
      </c>
      <c r="F117" s="171"/>
      <c r="G117" s="171">
        <f>E117+F117</f>
        <v>160</v>
      </c>
      <c r="H117" s="172">
        <f t="shared" si="30"/>
        <v>2.8130725591628719E-5</v>
      </c>
      <c r="I117" s="337"/>
      <c r="J117" s="168"/>
      <c r="K117" s="168"/>
      <c r="M117" s="364">
        <f t="shared" si="31"/>
        <v>5.5959709009513149E-3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490">
        <f>'[81]Sch C'!D119</f>
        <v>105</v>
      </c>
      <c r="D118" s="490">
        <f>'[81]Sch C'!F119</f>
        <v>0</v>
      </c>
      <c r="E118" s="171">
        <f t="shared" si="29"/>
        <v>105</v>
      </c>
      <c r="F118" s="171"/>
      <c r="G118" s="171">
        <f>E118+F118</f>
        <v>105</v>
      </c>
      <c r="H118" s="172">
        <f t="shared" si="30"/>
        <v>1.8460788669506346E-5</v>
      </c>
      <c r="I118" s="337"/>
      <c r="J118" s="168"/>
      <c r="K118" s="168"/>
      <c r="M118" s="364">
        <f t="shared" si="31"/>
        <v>3.6723559037493006E-3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490">
        <f>SUM(C114:C118)</f>
        <v>193189</v>
      </c>
      <c r="D119" s="490">
        <f>SUM(D114:D118)</f>
        <v>0</v>
      </c>
      <c r="E119" s="171">
        <f t="shared" ref="E119:F119" si="32">SUM(E114:E118)</f>
        <v>193189</v>
      </c>
      <c r="F119" s="171">
        <f t="shared" si="32"/>
        <v>0</v>
      </c>
      <c r="G119" s="171">
        <f>SUM(G114:G118)</f>
        <v>193189</v>
      </c>
      <c r="H119" s="172">
        <f t="shared" si="30"/>
        <v>3.3965917164507253E-2</v>
      </c>
      <c r="I119" s="337"/>
      <c r="J119" s="168"/>
      <c r="K119" s="168"/>
      <c r="M119" s="364">
        <f t="shared" si="31"/>
        <v>6.7567501398992729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1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490">
        <f>'[81]Sch C'!D124</f>
        <v>0</v>
      </c>
      <c r="D123" s="490">
        <f>'[81]Sch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7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0.77002560279620991</v>
      </c>
    </row>
    <row r="124" spans="1:14" s="167" customFormat="1">
      <c r="B124" s="163" t="s">
        <v>194</v>
      </c>
      <c r="C124" s="490">
        <f>'[81]Sch C'!D125</f>
        <v>371606</v>
      </c>
      <c r="D124" s="490">
        <f>'[81]Sch C'!F125</f>
        <v>0</v>
      </c>
      <c r="E124" s="171">
        <f t="shared" si="33"/>
        <v>371606</v>
      </c>
      <c r="F124" s="171"/>
      <c r="G124" s="171">
        <f>E124+F124</f>
        <v>371606</v>
      </c>
      <c r="H124" s="172">
        <f>IF($G$208=0,0,G124/$G$208)</f>
        <v>6.5334665088767382E-2</v>
      </c>
      <c r="I124" s="337"/>
      <c r="J124" s="183">
        <v>9262</v>
      </c>
      <c r="K124" s="183">
        <v>10286</v>
      </c>
      <c r="M124" s="364">
        <f t="shared" si="34"/>
        <v>12.996852266368215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490">
        <f>'[81]Sch C'!D126</f>
        <v>0</v>
      </c>
      <c r="D125" s="490">
        <f>'[81]Sch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7"/>
      <c r="J125" s="183">
        <v>0</v>
      </c>
      <c r="K125" s="183">
        <v>0</v>
      </c>
      <c r="M125" s="364">
        <f t="shared" si="34"/>
        <v>0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490">
        <f>'[81]Sch C'!D127</f>
        <v>0</v>
      </c>
      <c r="D126" s="490">
        <f>'[81]Sch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7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490">
        <f>'[81]Sch C'!D128</f>
        <v>47051</v>
      </c>
      <c r="D127" s="490">
        <f>'[81]Sch C'!F128</f>
        <v>0</v>
      </c>
      <c r="E127" s="171">
        <f t="shared" si="33"/>
        <v>47051</v>
      </c>
      <c r="F127" s="171"/>
      <c r="G127" s="171">
        <f>E127+F127</f>
        <v>47051</v>
      </c>
      <c r="H127" s="172">
        <f>IF($G$208=0,0,G127/$G$208)</f>
        <v>8.2723673113232667E-3</v>
      </c>
      <c r="I127" s="337"/>
      <c r="J127" s="183">
        <v>2988</v>
      </c>
      <c r="K127" s="183">
        <v>3347</v>
      </c>
      <c r="M127" s="364">
        <f t="shared" si="34"/>
        <v>1.645600167879127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205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490">
        <f>'[81]Sch C'!D130</f>
        <v>0</v>
      </c>
      <c r="D129" s="490">
        <f>'[81]Sch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7"/>
      <c r="J129" s="204"/>
      <c r="K129" s="204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490">
        <f>'[81]Sch C'!D131</f>
        <v>71799</v>
      </c>
      <c r="D130" s="490">
        <f>'[81]Sch C'!F131</f>
        <v>0</v>
      </c>
      <c r="E130" s="171">
        <f t="shared" si="35"/>
        <v>71799</v>
      </c>
      <c r="F130" s="171"/>
      <c r="G130" s="171">
        <f>E130+F130</f>
        <v>71799</v>
      </c>
      <c r="H130" s="172">
        <f>IF($G$208=0,0,G130/$G$208)</f>
        <v>1.2623487292208439E-2</v>
      </c>
      <c r="I130" s="337"/>
      <c r="J130" s="204"/>
      <c r="K130" s="204"/>
      <c r="M130" s="364">
        <f t="shared" si="34"/>
        <v>2.5111569669837719</v>
      </c>
      <c r="N130" s="359">
        <f>SUMMARY!J133</f>
        <v>1.0792348507966931</v>
      </c>
    </row>
    <row r="131" spans="1:14" s="167" customFormat="1">
      <c r="B131" s="163" t="s">
        <v>195</v>
      </c>
      <c r="C131" s="490">
        <f>'[81]Sch C'!D132</f>
        <v>0</v>
      </c>
      <c r="D131" s="490">
        <f>'[81]Sch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7"/>
      <c r="J131" s="168"/>
      <c r="K131" s="168"/>
      <c r="M131" s="364">
        <f t="shared" si="34"/>
        <v>0</v>
      </c>
      <c r="N131" s="359">
        <f>SUMMARY!J134</f>
        <v>8.2765628075518377E-2</v>
      </c>
    </row>
    <row r="132" spans="1:14" s="167" customFormat="1">
      <c r="B132" s="163" t="s">
        <v>196</v>
      </c>
      <c r="C132" s="490">
        <f>'[81]Sch C'!D133</f>
        <v>0</v>
      </c>
      <c r="D132" s="490">
        <f>'[81]Sch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490">
        <f>'[81]Sch C'!D134</f>
        <v>6082</v>
      </c>
      <c r="D133" s="490">
        <f>'[81]Sch C'!F134</f>
        <v>0</v>
      </c>
      <c r="E133" s="171">
        <f t="shared" si="35"/>
        <v>6082</v>
      </c>
      <c r="F133" s="171"/>
      <c r="G133" s="171">
        <f>E133+F133</f>
        <v>6082</v>
      </c>
      <c r="H133" s="172">
        <f>IF($G$208=0,0,G133/$G$208)</f>
        <v>1.0693192065517867E-3</v>
      </c>
      <c r="I133" s="337"/>
      <c r="J133" s="168"/>
      <c r="K133" s="168"/>
      <c r="M133" s="364">
        <f t="shared" si="34"/>
        <v>0.21271684387241185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490">
        <f>'[81]Sch C'!D136</f>
        <v>320624</v>
      </c>
      <c r="D135" s="490">
        <f>'[81]Sch C'!F136</f>
        <v>0</v>
      </c>
      <c r="E135" s="171">
        <f t="shared" ref="E135:E138" si="36">C135+D135</f>
        <v>320624</v>
      </c>
      <c r="F135" s="171"/>
      <c r="G135" s="171">
        <f>E135+F135</f>
        <v>320624</v>
      </c>
      <c r="H135" s="172">
        <f>IF($G$208=0,0,G135/$G$208)</f>
        <v>5.6371161013064788E-2</v>
      </c>
      <c r="I135" s="337"/>
      <c r="J135" s="183">
        <v>12450</v>
      </c>
      <c r="K135" s="183">
        <v>15501</v>
      </c>
      <c r="M135" s="364">
        <f t="shared" si="34"/>
        <v>11.213766088416341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490">
        <f>'[81]Sch C'!D137</f>
        <v>534247</v>
      </c>
      <c r="D136" s="490">
        <f>'[81]Sch C'!F137</f>
        <v>0</v>
      </c>
      <c r="E136" s="171">
        <f t="shared" si="36"/>
        <v>534247</v>
      </c>
      <c r="F136" s="171"/>
      <c r="G136" s="171">
        <f>E136+F136</f>
        <v>534247</v>
      </c>
      <c r="H136" s="172">
        <f>IF($G$208=0,0,G136/$G$208)</f>
        <v>9.392972346969293E-2</v>
      </c>
      <c r="I136" s="337"/>
      <c r="J136" s="183">
        <v>20946</v>
      </c>
      <c r="K136" s="183">
        <v>27269</v>
      </c>
      <c r="M136" s="364">
        <f t="shared" si="34"/>
        <v>18.685191662003358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490">
        <f>'[81]Sch C'!D138</f>
        <v>909450</v>
      </c>
      <c r="D137" s="490">
        <f>'[81]Sch C'!F138</f>
        <v>12400</v>
      </c>
      <c r="E137" s="171">
        <f t="shared" si="36"/>
        <v>921850</v>
      </c>
      <c r="F137" s="171"/>
      <c r="G137" s="171">
        <f>E137+F137</f>
        <v>921850</v>
      </c>
      <c r="H137" s="172">
        <f>IF($G$208=0,0,G137/$G$208)</f>
        <v>0.16207693366651835</v>
      </c>
      <c r="I137" s="337"/>
      <c r="J137" s="183">
        <v>72091</v>
      </c>
      <c r="K137" s="183">
        <v>91024</v>
      </c>
      <c r="M137" s="364">
        <f t="shared" si="34"/>
        <v>32.241536094012311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490">
        <f>'[81]Sch C'!D139</f>
        <v>12400</v>
      </c>
      <c r="D138" s="490">
        <f>'[81]Sch C'!F139</f>
        <v>-12400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7"/>
      <c r="J138" s="183">
        <v>0</v>
      </c>
      <c r="K138" s="183">
        <v>0</v>
      </c>
      <c r="M138" s="364">
        <f t="shared" si="34"/>
        <v>0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7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490">
        <f>'[81]Sch C'!D141</f>
        <v>310970</v>
      </c>
      <c r="D140" s="490">
        <f>'[81]Sch C'!F141</f>
        <v>-254853</v>
      </c>
      <c r="E140" s="171">
        <f t="shared" ref="E140:E143" si="37">C140+D140</f>
        <v>56117</v>
      </c>
      <c r="F140" s="171"/>
      <c r="G140" s="171">
        <f>E140+F140</f>
        <v>56117</v>
      </c>
      <c r="H140" s="172">
        <f>IF($G$208=0,0,G140/$G$208)</f>
        <v>9.8663245501589298E-3</v>
      </c>
      <c r="I140" s="337"/>
      <c r="J140" s="168"/>
      <c r="K140" s="168"/>
      <c r="M140" s="364">
        <f t="shared" si="34"/>
        <v>1.9626818690542809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490">
        <f>'[81]Sch C'!D142</f>
        <v>0</v>
      </c>
      <c r="D141" s="490">
        <f>'[81]Sch C'!F142</f>
        <v>93506</v>
      </c>
      <c r="E141" s="171">
        <f t="shared" si="37"/>
        <v>93506</v>
      </c>
      <c r="F141" s="171"/>
      <c r="G141" s="171">
        <f>E141+F141</f>
        <v>93506</v>
      </c>
      <c r="H141" s="172">
        <f>IF($G$208=0,0,G141/$G$208)</f>
        <v>1.6439947669817719E-2</v>
      </c>
      <c r="I141" s="337"/>
      <c r="J141" s="168"/>
      <c r="K141" s="168"/>
      <c r="M141" s="364">
        <f t="shared" si="34"/>
        <v>3.2703553441522106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490">
        <f>'[81]Sch C'!D143</f>
        <v>0</v>
      </c>
      <c r="D142" s="490">
        <f>'[81]Sch C'!F143</f>
        <v>161346</v>
      </c>
      <c r="E142" s="171">
        <f t="shared" si="37"/>
        <v>161346</v>
      </c>
      <c r="F142" s="171"/>
      <c r="G142" s="171">
        <f>E142+F142</f>
        <v>161346</v>
      </c>
      <c r="H142" s="172">
        <f>IF($G$208=0,0,G142/$G$208)</f>
        <v>2.8367375320668294E-2</v>
      </c>
      <c r="I142" s="337"/>
      <c r="J142" s="168"/>
      <c r="K142" s="168"/>
      <c r="M142" s="364">
        <f t="shared" si="34"/>
        <v>5.6430470061555678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490">
        <f>'[81]Sch C'!D144</f>
        <v>0</v>
      </c>
      <c r="D143" s="490">
        <f>'[81]Sch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7"/>
      <c r="J143" s="168"/>
      <c r="K143" s="168"/>
      <c r="M143" s="364">
        <f t="shared" si="34"/>
        <v>0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7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490">
        <f>'[81]Sch C'!D146</f>
        <v>35625</v>
      </c>
      <c r="D145" s="490">
        <f>'[81]Sch C'!F146</f>
        <v>0</v>
      </c>
      <c r="E145" s="171">
        <f t="shared" ref="E145:E153" si="38">C145+D145</f>
        <v>35625</v>
      </c>
      <c r="F145" s="171"/>
      <c r="G145" s="171">
        <f t="shared" ref="G145:G153" si="39">E145+F145</f>
        <v>35625</v>
      </c>
      <c r="H145" s="172">
        <f t="shared" ref="H145:H153" si="40">IF($G$208=0,0,G145/$G$208)</f>
        <v>6.2634818700110818E-3</v>
      </c>
      <c r="I145" s="337"/>
      <c r="J145" s="183">
        <v>270</v>
      </c>
      <c r="K145" s="183">
        <v>270</v>
      </c>
      <c r="M145" s="364">
        <f t="shared" si="34"/>
        <v>1.2459778959149412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490">
        <f>'[81]Sch C'!D147</f>
        <v>0</v>
      </c>
      <c r="D146" s="490">
        <f>'[81]Sch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337"/>
      <c r="J146" s="183">
        <v>0</v>
      </c>
      <c r="K146" s="183">
        <v>0</v>
      </c>
      <c r="M146" s="364">
        <f t="shared" si="34"/>
        <v>0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490">
        <f>'[81]Sch C'!D148</f>
        <v>0</v>
      </c>
      <c r="D147" s="490">
        <f>'[81]Sch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7"/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490">
        <f>'[81]Sch C'!D149</f>
        <v>0</v>
      </c>
      <c r="D148" s="490">
        <f>'[81]Sch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7"/>
      <c r="J148" s="183">
        <v>0</v>
      </c>
      <c r="K148" s="183">
        <v>0</v>
      </c>
      <c r="M148" s="364">
        <f t="shared" si="34"/>
        <v>0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490">
        <f>'[81]Sch C'!D150</f>
        <v>225</v>
      </c>
      <c r="D149" s="490">
        <f>'[81]Sch C'!F150</f>
        <v>0</v>
      </c>
      <c r="E149" s="171">
        <f t="shared" si="38"/>
        <v>225</v>
      </c>
      <c r="F149" s="171"/>
      <c r="G149" s="171">
        <f t="shared" si="39"/>
        <v>225</v>
      </c>
      <c r="H149" s="172">
        <f t="shared" si="40"/>
        <v>3.9558832863227884E-5</v>
      </c>
      <c r="I149" s="337"/>
      <c r="J149" s="183">
        <v>0</v>
      </c>
      <c r="K149" s="183">
        <v>0</v>
      </c>
      <c r="M149" s="364">
        <f t="shared" si="34"/>
        <v>7.8693340794627874E-3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490">
        <f>'[81]Sch C'!D151</f>
        <v>88022</v>
      </c>
      <c r="D150" s="490">
        <f>'[81]Sch C'!F151</f>
        <v>0</v>
      </c>
      <c r="E150" s="171">
        <f t="shared" si="38"/>
        <v>88022</v>
      </c>
      <c r="F150" s="171"/>
      <c r="G150" s="171">
        <f t="shared" si="39"/>
        <v>88022</v>
      </c>
      <c r="H150" s="172">
        <f t="shared" si="40"/>
        <v>1.5475767050164645E-2</v>
      </c>
      <c r="I150" s="337"/>
      <c r="J150" s="168"/>
      <c r="K150" s="168"/>
      <c r="M150" s="364">
        <f t="shared" si="34"/>
        <v>3.0785534415221041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490">
        <f>'[81]Sch C'!D152</f>
        <v>11523</v>
      </c>
      <c r="D151" s="490">
        <f>'[81]Sch C'!F152</f>
        <v>0</v>
      </c>
      <c r="E151" s="171">
        <f t="shared" si="38"/>
        <v>11523</v>
      </c>
      <c r="F151" s="171"/>
      <c r="G151" s="171">
        <f t="shared" si="39"/>
        <v>11523</v>
      </c>
      <c r="H151" s="172">
        <f t="shared" si="40"/>
        <v>2.0259396937021106E-3</v>
      </c>
      <c r="I151" s="337"/>
      <c r="J151" s="168"/>
      <c r="K151" s="168"/>
      <c r="M151" s="364">
        <f t="shared" si="34"/>
        <v>0.40301482932288751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490">
        <f>'[81]Sch C'!D153</f>
        <v>0</v>
      </c>
      <c r="D152" s="490">
        <f>'[81]Sch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7"/>
      <c r="J152" s="168"/>
      <c r="K152" s="168"/>
      <c r="M152" s="364">
        <f t="shared" si="34"/>
        <v>0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490">
        <f>'[81]Sch C'!D154</f>
        <v>0</v>
      </c>
      <c r="D153" s="490">
        <f>'[81]Sch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210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490">
        <f>'[81]Sch C'!D156</f>
        <v>0</v>
      </c>
      <c r="D155" s="490">
        <f>'[81]Sch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490">
        <f>'[81]Sch C'!D157</f>
        <v>0</v>
      </c>
      <c r="D156" s="490">
        <f>'[81]Sch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490">
        <f>'[81]Sch C'!D158</f>
        <v>0</v>
      </c>
      <c r="D157" s="490">
        <f>'[81]Sch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7"/>
      <c r="J157" s="168"/>
      <c r="K157" s="168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490">
        <f>'[81]Sch C'!D159</f>
        <v>0</v>
      </c>
      <c r="D158" s="490">
        <f>'[81]Sch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490">
        <f>'[81]Sch C'!D160</f>
        <v>0</v>
      </c>
      <c r="D159" s="490">
        <f>'[81]Sch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7"/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490">
        <f>'[81]Sch C'!D161</f>
        <v>18278</v>
      </c>
      <c r="D160" s="490">
        <f>'[81]Sch C'!F161</f>
        <v>0</v>
      </c>
      <c r="E160" s="171">
        <f t="shared" si="41"/>
        <v>18278</v>
      </c>
      <c r="F160" s="171"/>
      <c r="G160" s="171">
        <f t="shared" si="42"/>
        <v>18278</v>
      </c>
      <c r="H160" s="172">
        <f t="shared" si="43"/>
        <v>3.2135837647736857E-3</v>
      </c>
      <c r="I160" s="337"/>
      <c r="J160" s="168"/>
      <c r="K160" s="168"/>
      <c r="M160" s="364">
        <f t="shared" si="34"/>
        <v>0.6392697257974258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490">
        <f>SUM(C123:C160)</f>
        <v>2737902</v>
      </c>
      <c r="D161" s="490">
        <f>SUM(D123:D160)</f>
        <v>-1</v>
      </c>
      <c r="E161" s="171">
        <f t="shared" ref="E161:F161" si="44">SUM(E123:E160)</f>
        <v>2737901</v>
      </c>
      <c r="F161" s="171">
        <f t="shared" si="44"/>
        <v>0</v>
      </c>
      <c r="G161" s="171">
        <f>SUM(G123:G160)</f>
        <v>2737901</v>
      </c>
      <c r="H161" s="172">
        <f t="shared" si="43"/>
        <v>0.48136963580028663</v>
      </c>
      <c r="I161" s="337"/>
      <c r="J161" s="168"/>
      <c r="K161" s="168"/>
      <c r="M161" s="364">
        <f>G161/G$228</f>
        <v>95.757589535534422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337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7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490">
        <f>'[81]Sch C'!D175</f>
        <v>0</v>
      </c>
      <c r="D164" s="490">
        <f>'[81]Sch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490">
        <f>'[81]Sch C'!D176</f>
        <v>0</v>
      </c>
      <c r="D165" s="490">
        <f>'[81]Sch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490">
        <f>'[81]Sch C'!D177</f>
        <v>0</v>
      </c>
      <c r="D166" s="490">
        <f>'[81]Sch C'!F177</f>
        <v>0</v>
      </c>
      <c r="E166" s="171">
        <f t="shared" si="45"/>
        <v>0</v>
      </c>
      <c r="F166" s="216"/>
      <c r="G166" s="171">
        <f t="shared" si="46"/>
        <v>0</v>
      </c>
      <c r="H166" s="172">
        <f t="shared" si="47"/>
        <v>0</v>
      </c>
      <c r="I166" s="343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490">
        <f>'[81]Sch C'!D178</f>
        <v>0</v>
      </c>
      <c r="D167" s="490">
        <f>'[81]Sch C'!F178</f>
        <v>0</v>
      </c>
      <c r="E167" s="171">
        <f t="shared" si="45"/>
        <v>0</v>
      </c>
      <c r="F167" s="216"/>
      <c r="G167" s="171">
        <f t="shared" si="46"/>
        <v>0</v>
      </c>
      <c r="H167" s="172">
        <f t="shared" si="47"/>
        <v>0</v>
      </c>
      <c r="I167" s="344"/>
      <c r="J167" s="222"/>
      <c r="K167" s="222"/>
      <c r="L167" s="218"/>
      <c r="M167" s="364">
        <f t="shared" si="48"/>
        <v>0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490">
        <f>'[81]Sch C'!D179</f>
        <v>0</v>
      </c>
      <c r="D168" s="490">
        <f>'[81]Sch C'!F179</f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343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490">
        <f>'[81]Sch C'!D180</f>
        <v>0</v>
      </c>
      <c r="D169" s="490">
        <f>'[81]Sch C'!F180</f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344"/>
      <c r="J169" s="222"/>
      <c r="K169" s="222"/>
      <c r="L169" s="218"/>
      <c r="M169" s="364">
        <f t="shared" si="48"/>
        <v>0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490">
        <f>'[81]Sch C'!D181</f>
        <v>0</v>
      </c>
      <c r="D170" s="490">
        <f>'[81]Sch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3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490">
        <f>'[81]Sch C'!D182</f>
        <v>0</v>
      </c>
      <c r="D171" s="490">
        <f>'[81]Sch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490">
        <f>'[81]Sch C'!D183</f>
        <v>0</v>
      </c>
      <c r="D172" s="490">
        <f>'[81]Sch C'!F183</f>
        <v>0</v>
      </c>
      <c r="E172" s="171">
        <f t="shared" si="45"/>
        <v>0</v>
      </c>
      <c r="F172" s="216"/>
      <c r="G172" s="171">
        <f t="shared" si="46"/>
        <v>0</v>
      </c>
      <c r="H172" s="172">
        <f t="shared" si="47"/>
        <v>0</v>
      </c>
      <c r="I172" s="343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490">
        <f>'[81]Sch C'!D184</f>
        <v>0</v>
      </c>
      <c r="D173" s="490">
        <f>'[81]Sch C'!F184</f>
        <v>0</v>
      </c>
      <c r="E173" s="171">
        <f t="shared" si="45"/>
        <v>0</v>
      </c>
      <c r="F173" s="216"/>
      <c r="G173" s="171">
        <f t="shared" si="46"/>
        <v>0</v>
      </c>
      <c r="H173" s="172">
        <f t="shared" si="47"/>
        <v>0</v>
      </c>
      <c r="I173" s="344"/>
      <c r="J173" s="222"/>
      <c r="K173" s="222"/>
      <c r="L173" s="218"/>
      <c r="M173" s="364">
        <f t="shared" si="48"/>
        <v>0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490">
        <f>'[81]Sch C'!D185</f>
        <v>0</v>
      </c>
      <c r="D174" s="490">
        <f>'[81]Sch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3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490">
        <f>'[81]Sch C'!D186</f>
        <v>0</v>
      </c>
      <c r="D175" s="490">
        <f>'[81]Sch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490">
        <f>'[81]Sch C'!D187</f>
        <v>0</v>
      </c>
      <c r="D176" s="490">
        <f>'[81]Sch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490">
        <f>'[81]Sch C'!D188</f>
        <v>1680</v>
      </c>
      <c r="D177" s="490">
        <f>'[81]Sch C'!F188</f>
        <v>0</v>
      </c>
      <c r="E177" s="171">
        <f t="shared" si="45"/>
        <v>1680</v>
      </c>
      <c r="F177" s="216"/>
      <c r="G177" s="171">
        <f t="shared" si="46"/>
        <v>1680</v>
      </c>
      <c r="H177" s="172">
        <f t="shared" si="47"/>
        <v>2.9537261871210153E-4</v>
      </c>
      <c r="I177" s="337"/>
      <c r="J177" s="223"/>
      <c r="K177" s="218"/>
      <c r="L177" s="220"/>
      <c r="M177" s="364">
        <f t="shared" si="48"/>
        <v>5.875769445998881E-2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490">
        <f>'[81]Sch C'!D189</f>
        <v>0</v>
      </c>
      <c r="D178" s="490">
        <f>'[81]Sch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337"/>
      <c r="J178" s="223"/>
      <c r="K178" s="218"/>
      <c r="L178" s="220"/>
      <c r="M178" s="364">
        <f t="shared" si="48"/>
        <v>0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490">
        <f>'[81]Sch C'!D190</f>
        <v>0</v>
      </c>
      <c r="D179" s="490">
        <f>'[81]Sch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490">
        <f>'[81]Sch C'!D191</f>
        <v>0</v>
      </c>
      <c r="D180" s="490">
        <f>'[81]Sch C'!F191</f>
        <v>0</v>
      </c>
      <c r="E180" s="171">
        <f t="shared" si="45"/>
        <v>0</v>
      </c>
      <c r="F180" s="216"/>
      <c r="G180" s="171">
        <f t="shared" si="46"/>
        <v>0</v>
      </c>
      <c r="H180" s="172">
        <f t="shared" si="47"/>
        <v>0</v>
      </c>
      <c r="I180" s="337"/>
      <c r="J180" s="223"/>
      <c r="K180" s="218"/>
      <c r="L180" s="220"/>
      <c r="M180" s="364">
        <f t="shared" si="48"/>
        <v>0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490">
        <f>'[81]Sch C'!D192</f>
        <v>0</v>
      </c>
      <c r="D181" s="490">
        <f>'[81]Sch C'!F192</f>
        <v>0</v>
      </c>
      <c r="E181" s="171">
        <f t="shared" si="45"/>
        <v>0</v>
      </c>
      <c r="F181" s="216"/>
      <c r="G181" s="171">
        <f t="shared" si="46"/>
        <v>0</v>
      </c>
      <c r="H181" s="172">
        <f t="shared" si="47"/>
        <v>0</v>
      </c>
      <c r="I181" s="337"/>
      <c r="J181" s="223"/>
      <c r="K181" s="218"/>
      <c r="L181" s="220"/>
      <c r="M181" s="364">
        <f t="shared" si="48"/>
        <v>0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490">
        <f>'[81]Sch C'!D193</f>
        <v>545</v>
      </c>
      <c r="D182" s="490">
        <f>'[81]Sch C'!F193</f>
        <v>0</v>
      </c>
      <c r="E182" s="171">
        <f t="shared" si="45"/>
        <v>545</v>
      </c>
      <c r="F182" s="216"/>
      <c r="G182" s="171">
        <f t="shared" si="46"/>
        <v>545</v>
      </c>
      <c r="H182" s="172">
        <f t="shared" si="47"/>
        <v>9.5820284046485322E-5</v>
      </c>
      <c r="I182" s="337"/>
      <c r="J182" s="223"/>
      <c r="K182" s="218"/>
      <c r="L182" s="220"/>
      <c r="M182" s="364">
        <f t="shared" si="48"/>
        <v>1.9061275881365417E-2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490">
        <f>'[81]Sch C'!D194</f>
        <v>135003</v>
      </c>
      <c r="D183" s="490">
        <f>'[81]Sch C'!F194</f>
        <v>0</v>
      </c>
      <c r="E183" s="171">
        <f t="shared" si="45"/>
        <v>135003</v>
      </c>
      <c r="F183" s="216"/>
      <c r="G183" s="171">
        <f t="shared" si="46"/>
        <v>135003</v>
      </c>
      <c r="H183" s="172">
        <f t="shared" si="47"/>
        <v>2.3735827169041573E-2</v>
      </c>
      <c r="I183" s="337"/>
      <c r="J183" s="223"/>
      <c r="K183" s="218"/>
      <c r="M183" s="364">
        <f t="shared" si="48"/>
        <v>4.7217053721320648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490">
        <f>'[81]Sch C'!D195</f>
        <v>51152</v>
      </c>
      <c r="D184" s="490">
        <f>'[81]Sch C'!F195</f>
        <v>0</v>
      </c>
      <c r="E184" s="171">
        <f t="shared" si="45"/>
        <v>51152</v>
      </c>
      <c r="F184" s="216"/>
      <c r="G184" s="171">
        <f t="shared" si="46"/>
        <v>51152</v>
      </c>
      <c r="H184" s="172">
        <f t="shared" si="47"/>
        <v>8.9933929716437006E-3</v>
      </c>
      <c r="I184" s="337"/>
      <c r="J184" s="223"/>
      <c r="K184" s="218"/>
      <c r="M184" s="364">
        <f t="shared" si="48"/>
        <v>1.7890318970341355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490">
        <f>'[81]Sch C'!D196</f>
        <v>0</v>
      </c>
      <c r="D185" s="490">
        <f>'[81]Sch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490">
        <f>'[81]Sch C'!D197</f>
        <v>75672</v>
      </c>
      <c r="D186" s="490">
        <f>'[81]Sch C'!F197</f>
        <v>0</v>
      </c>
      <c r="E186" s="171">
        <f t="shared" si="45"/>
        <v>75672</v>
      </c>
      <c r="F186" s="216"/>
      <c r="G186" s="171">
        <f t="shared" si="46"/>
        <v>75672</v>
      </c>
      <c r="H186" s="172">
        <f t="shared" si="47"/>
        <v>1.3304426668560802E-2</v>
      </c>
      <c r="I186" s="337"/>
      <c r="J186" s="223"/>
      <c r="K186" s="218"/>
      <c r="M186" s="364">
        <f t="shared" si="48"/>
        <v>2.6466144376049243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490">
        <f>'[81]Sch C'!D198</f>
        <v>12102</v>
      </c>
      <c r="D187" s="490">
        <f>'[81]Sch C'!F198</f>
        <v>0</v>
      </c>
      <c r="E187" s="171">
        <f t="shared" si="45"/>
        <v>12102</v>
      </c>
      <c r="F187" s="216"/>
      <c r="G187" s="171">
        <f t="shared" si="46"/>
        <v>12102</v>
      </c>
      <c r="H187" s="172">
        <f t="shared" si="47"/>
        <v>2.1277377569368172E-3</v>
      </c>
      <c r="I187" s="337"/>
      <c r="J187" s="223"/>
      <c r="K187" s="218"/>
      <c r="M187" s="364">
        <f t="shared" si="48"/>
        <v>0.42326524902070511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490">
        <f>'[81]Sch C'!D199</f>
        <v>0</v>
      </c>
      <c r="D188" s="490">
        <f>'[81]Sch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7"/>
      <c r="J188" s="223"/>
      <c r="K188" s="218"/>
      <c r="M188" s="364">
        <f t="shared" si="48"/>
        <v>0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490">
        <f>'[81]Sch C'!D200</f>
        <v>0</v>
      </c>
      <c r="D189" s="490">
        <f>'[81]Sch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7"/>
      <c r="J189" s="223"/>
      <c r="K189" s="218"/>
      <c r="M189" s="364">
        <f t="shared" si="48"/>
        <v>0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490">
        <f>'[81]Sch C'!D201</f>
        <v>0</v>
      </c>
      <c r="D190" s="490">
        <f>'[81]Sch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7"/>
      <c r="J190" s="223"/>
      <c r="K190" s="218"/>
      <c r="M190" s="364">
        <f t="shared" si="48"/>
        <v>0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490">
        <f>'[81]Sch C'!D202</f>
        <v>0</v>
      </c>
      <c r="D191" s="490">
        <f>'[81]Sch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490">
        <f>'[81]Sch C'!D203</f>
        <v>0</v>
      </c>
      <c r="D192" s="490">
        <f>'[81]Sch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7"/>
      <c r="J192" s="223"/>
      <c r="K192" s="218"/>
      <c r="M192" s="364">
        <f t="shared" si="48"/>
        <v>0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490">
        <f>'[81]Sch C'!D204</f>
        <v>0</v>
      </c>
      <c r="D193" s="490">
        <f>'[81]Sch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490">
        <f>'[81]Sch C'!D205</f>
        <v>126069</v>
      </c>
      <c r="D194" s="490">
        <f>'[81]Sch C'!F205</f>
        <v>0</v>
      </c>
      <c r="E194" s="171">
        <f t="shared" si="45"/>
        <v>126069</v>
      </c>
      <c r="F194" s="216"/>
      <c r="G194" s="171">
        <f t="shared" si="46"/>
        <v>126069</v>
      </c>
      <c r="H194" s="172">
        <f t="shared" si="47"/>
        <v>2.2165077778819004E-2</v>
      </c>
      <c r="I194" s="337"/>
      <c r="J194" s="223"/>
      <c r="K194" s="218"/>
      <c r="M194" s="364">
        <f t="shared" si="48"/>
        <v>4.4092403469501962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490">
        <f>'[81]Sch C'!D206</f>
        <v>8661</v>
      </c>
      <c r="D195" s="490">
        <f>'[81]Sch C'!F206</f>
        <v>0</v>
      </c>
      <c r="E195" s="171">
        <f t="shared" si="45"/>
        <v>8661</v>
      </c>
      <c r="F195" s="216"/>
      <c r="G195" s="171">
        <f t="shared" si="46"/>
        <v>8661</v>
      </c>
      <c r="H195" s="172">
        <f t="shared" si="47"/>
        <v>1.522751339681852E-3</v>
      </c>
      <c r="I195" s="337"/>
      <c r="J195" s="223"/>
      <c r="K195" s="218"/>
      <c r="M195" s="364">
        <f t="shared" si="48"/>
        <v>0.30291689983212089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490">
        <f>'[81]Sch C'!D207</f>
        <v>0</v>
      </c>
      <c r="D196" s="490">
        <f>'[81]Sch C'!F207</f>
        <v>0</v>
      </c>
      <c r="E196" s="171">
        <f t="shared" si="45"/>
        <v>0</v>
      </c>
      <c r="F196" s="216"/>
      <c r="G196" s="171">
        <f t="shared" si="46"/>
        <v>0</v>
      </c>
      <c r="H196" s="172">
        <f t="shared" si="47"/>
        <v>0</v>
      </c>
      <c r="I196" s="337"/>
      <c r="J196" s="223"/>
      <c r="K196" s="218"/>
      <c r="M196" s="364">
        <f t="shared" si="48"/>
        <v>0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490">
        <f>SUM(C164:C196)</f>
        <v>410884</v>
      </c>
      <c r="D197" s="490">
        <f>SUM(D164:D196)</f>
        <v>0</v>
      </c>
      <c r="E197" s="171">
        <f t="shared" ref="E197:F197" si="49">SUM(E164:E196)</f>
        <v>410884</v>
      </c>
      <c r="F197" s="171">
        <f t="shared" si="49"/>
        <v>0</v>
      </c>
      <c r="G197" s="171">
        <f>SUM(G164:G196)</f>
        <v>410884</v>
      </c>
      <c r="H197" s="172">
        <f>IF($G$208=0,0,G197/$G$208)</f>
        <v>7.2240406587442338E-2</v>
      </c>
      <c r="I197" s="337"/>
      <c r="J197" s="168"/>
      <c r="K197" s="168"/>
      <c r="M197" s="364">
        <f>G197/G$228</f>
        <v>14.3705931729155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165"/>
      <c r="G198" s="165"/>
      <c r="H198" s="198"/>
      <c r="I198" s="341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1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490">
        <f>'[81]Sch C'!D211</f>
        <v>202393</v>
      </c>
      <c r="D200" s="490">
        <f>'[81]Sch C'!F211</f>
        <v>0</v>
      </c>
      <c r="E200" s="171">
        <f t="shared" ref="E200:E205" si="50">C200+D200</f>
        <v>202393</v>
      </c>
      <c r="F200" s="171"/>
      <c r="G200" s="171">
        <f t="shared" ref="G200:G205" si="51">E200+F200</f>
        <v>202393</v>
      </c>
      <c r="H200" s="172">
        <f t="shared" ref="H200:H206" si="52">IF($G$208=0,0,G200/$G$208)</f>
        <v>3.5584137154165696E-2</v>
      </c>
      <c r="I200" s="337"/>
      <c r="J200" s="183">
        <v>12687</v>
      </c>
      <c r="K200" s="183">
        <v>13593</v>
      </c>
      <c r="M200" s="364">
        <f t="shared" ref="M200:M205" si="53">G200/G$228</f>
        <v>7.078658365976497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490">
        <f>'[81]Sch C'!D212</f>
        <v>48608</v>
      </c>
      <c r="D201" s="490">
        <f>'[81]Sch C'!F212</f>
        <v>0</v>
      </c>
      <c r="E201" s="171">
        <f t="shared" si="50"/>
        <v>48608</v>
      </c>
      <c r="F201" s="171"/>
      <c r="G201" s="171">
        <f t="shared" si="51"/>
        <v>48608</v>
      </c>
      <c r="H201" s="172">
        <f t="shared" si="52"/>
        <v>8.5461144347368043E-3</v>
      </c>
      <c r="I201" s="337"/>
      <c r="J201" s="168"/>
      <c r="K201" s="168"/>
      <c r="M201" s="364">
        <f t="shared" si="53"/>
        <v>1.7000559597090095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490">
        <f>'[81]Sch C'!D213</f>
        <v>13010</v>
      </c>
      <c r="D202" s="490">
        <f>'[81]Sch C'!F213</f>
        <v>0</v>
      </c>
      <c r="E202" s="171">
        <f t="shared" si="50"/>
        <v>13010</v>
      </c>
      <c r="F202" s="171"/>
      <c r="G202" s="171">
        <f t="shared" si="51"/>
        <v>13010</v>
      </c>
      <c r="H202" s="172">
        <f t="shared" si="52"/>
        <v>2.2873796246693102E-3</v>
      </c>
      <c r="I202" s="337"/>
      <c r="J202" s="168"/>
      <c r="K202" s="168"/>
      <c r="M202" s="364">
        <f t="shared" si="53"/>
        <v>0.45502238388360383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490">
        <f>'[81]Sch C'!D214</f>
        <v>0</v>
      </c>
      <c r="D203" s="490">
        <f>'[81]Sch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>
        <f t="shared" si="53"/>
        <v>0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490">
        <f>'[81]Sch C'!D215</f>
        <v>0</v>
      </c>
      <c r="D204" s="490">
        <f>'[81]Sch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490">
        <f>'[81]Sch C'!D216</f>
        <v>8428</v>
      </c>
      <c r="D205" s="490">
        <f>'[81]Sch C'!F216</f>
        <v>0</v>
      </c>
      <c r="E205" s="171">
        <f t="shared" si="50"/>
        <v>8428</v>
      </c>
      <c r="F205" s="171"/>
      <c r="G205" s="171">
        <f t="shared" si="51"/>
        <v>8428</v>
      </c>
      <c r="H205" s="172">
        <f t="shared" si="52"/>
        <v>1.4817859705390428E-3</v>
      </c>
      <c r="I205" s="337"/>
      <c r="J205" s="168"/>
      <c r="K205" s="168"/>
      <c r="M205" s="364">
        <f t="shared" si="53"/>
        <v>0.2947677672076105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490">
        <f>SUM(C200:C205)</f>
        <v>272439</v>
      </c>
      <c r="D206" s="490">
        <f>SUM(D200:D205)</f>
        <v>0</v>
      </c>
      <c r="E206" s="171">
        <f t="shared" ref="E206:F206" si="54">SUM(E200:E205)</f>
        <v>272439</v>
      </c>
      <c r="F206" s="171">
        <f t="shared" si="54"/>
        <v>0</v>
      </c>
      <c r="G206" s="171">
        <f>SUM(G200:G205)</f>
        <v>272439</v>
      </c>
      <c r="H206" s="172">
        <f t="shared" si="52"/>
        <v>4.7899417184110851E-2</v>
      </c>
      <c r="I206" s="337"/>
      <c r="J206" s="168"/>
      <c r="K206" s="168"/>
      <c r="M206" s="364">
        <f>G206/G$228</f>
        <v>9.5285044767767211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490">
        <f>SUM(C25:C206)/2</f>
        <v>6020634</v>
      </c>
      <c r="D208" s="490">
        <f>SUM(D25:D206)/2</f>
        <v>-332903</v>
      </c>
      <c r="E208" s="171">
        <f t="shared" ref="E208:F208" si="55">SUM(E25:E206)/2</f>
        <v>5687731</v>
      </c>
      <c r="F208" s="171">
        <f t="shared" si="55"/>
        <v>0</v>
      </c>
      <c r="G208" s="171">
        <f>SUM(G25:G206)/2</f>
        <v>5687731</v>
      </c>
      <c r="H208" s="172">
        <f>IF($G$208=0,0,G208/$G$208)</f>
        <v>1</v>
      </c>
      <c r="I208" s="337"/>
      <c r="J208" s="183">
        <f>SUM(J25:J200)</f>
        <v>187741</v>
      </c>
      <c r="K208" s="183">
        <f>SUM(K25:K200)</f>
        <v>222975</v>
      </c>
      <c r="M208" s="364">
        <f>G208/G$228</f>
        <v>198.92735730274202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490">
        <f>'[81]Sch C'!D221</f>
        <v>6020634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490">
        <f>C208-C211</f>
        <v>0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619"/>
      <c r="D213" s="232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490">
        <f>C21-C208</f>
        <v>556886</v>
      </c>
      <c r="D215" s="490">
        <f>D21-D208</f>
        <v>322034</v>
      </c>
      <c r="E215" s="171">
        <f t="shared" ref="E215:F215" si="56">E21-E208</f>
        <v>878920</v>
      </c>
      <c r="F215" s="171">
        <f t="shared" si="56"/>
        <v>0</v>
      </c>
      <c r="G215" s="171">
        <f>G21-G208</f>
        <v>878920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491">
        <f>'[81]Sch D'!C9</f>
        <v>983</v>
      </c>
      <c r="D219" s="491"/>
      <c r="E219" s="235">
        <f t="shared" ref="E219:G227" si="57">C219+D219</f>
        <v>983</v>
      </c>
      <c r="F219" s="234"/>
      <c r="G219" s="235">
        <f t="shared" si="57"/>
        <v>983</v>
      </c>
      <c r="H219" s="172">
        <f t="shared" ref="H219:H228" si="58">IF($G$228=0,0,G219/$G$228)</f>
        <v>3.4380246222719645E-2</v>
      </c>
      <c r="I219" s="337"/>
      <c r="J219" s="168"/>
      <c r="K219" s="168"/>
    </row>
    <row r="220" spans="1:14">
      <c r="A220" s="163"/>
      <c r="B220" s="170" t="s">
        <v>217</v>
      </c>
      <c r="C220" s="491">
        <f>'[81]Sch D'!D9</f>
        <v>0</v>
      </c>
      <c r="D220" s="491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7"/>
      <c r="J220" s="168"/>
      <c r="K220" s="168"/>
    </row>
    <row r="221" spans="1:14">
      <c r="A221" s="163"/>
      <c r="B221" s="170" t="s">
        <v>72</v>
      </c>
      <c r="C221" s="491">
        <f>'[81]Sch D'!E9</f>
        <v>1413</v>
      </c>
      <c r="D221" s="491"/>
      <c r="E221" s="235">
        <f t="shared" si="59"/>
        <v>1413</v>
      </c>
      <c r="F221" s="234"/>
      <c r="G221" s="235">
        <f t="shared" si="57"/>
        <v>1413</v>
      </c>
      <c r="H221" s="172">
        <f t="shared" si="58"/>
        <v>4.9419418019026301E-2</v>
      </c>
      <c r="I221" s="337"/>
      <c r="J221" s="168"/>
      <c r="K221" s="168"/>
    </row>
    <row r="222" spans="1:14">
      <c r="A222" s="163"/>
      <c r="B222" s="202" t="s">
        <v>334</v>
      </c>
      <c r="C222" s="491">
        <f>'[81]Sch D'!F9</f>
        <v>329</v>
      </c>
      <c r="D222" s="491"/>
      <c r="E222" s="235">
        <f>C222+D222</f>
        <v>329</v>
      </c>
      <c r="F222" s="234"/>
      <c r="G222" s="235">
        <f>E222+F222</f>
        <v>329</v>
      </c>
      <c r="H222" s="172">
        <f t="shared" si="58"/>
        <v>1.1506715165081142E-2</v>
      </c>
      <c r="I222" s="337"/>
      <c r="J222" s="168"/>
      <c r="K222" s="168"/>
    </row>
    <row r="223" spans="1:14">
      <c r="A223" s="163"/>
      <c r="B223" s="170" t="s">
        <v>73</v>
      </c>
      <c r="C223" s="491">
        <f>'[81]Sch D'!G9</f>
        <v>4090</v>
      </c>
      <c r="D223" s="491"/>
      <c r="E223" s="235">
        <f t="shared" si="59"/>
        <v>4090</v>
      </c>
      <c r="F223" s="234"/>
      <c r="G223" s="235">
        <f t="shared" si="57"/>
        <v>4090</v>
      </c>
      <c r="H223" s="172">
        <f t="shared" si="58"/>
        <v>0.14304700615556798</v>
      </c>
      <c r="I223" s="337"/>
      <c r="J223" s="168"/>
      <c r="K223" s="168"/>
    </row>
    <row r="224" spans="1:14">
      <c r="A224" s="163"/>
      <c r="B224" s="170" t="s">
        <v>74</v>
      </c>
      <c r="C224" s="491">
        <f>'[81]Sch D'!H9</f>
        <v>21612</v>
      </c>
      <c r="D224" s="491"/>
      <c r="E224" s="235">
        <f t="shared" si="59"/>
        <v>21612</v>
      </c>
      <c r="F224" s="234"/>
      <c r="G224" s="235">
        <f t="shared" si="57"/>
        <v>21612</v>
      </c>
      <c r="H224" s="172">
        <f t="shared" si="58"/>
        <v>0.75587576944599888</v>
      </c>
      <c r="I224" s="337"/>
      <c r="J224" s="168" t="s">
        <v>198</v>
      </c>
      <c r="K224" s="168"/>
    </row>
    <row r="225" spans="1:11">
      <c r="A225" s="163"/>
      <c r="B225" s="170" t="s">
        <v>236</v>
      </c>
      <c r="C225" s="491">
        <f>'[81]Sch D'!I9</f>
        <v>165</v>
      </c>
      <c r="D225" s="491"/>
      <c r="E225" s="235">
        <f t="shared" si="59"/>
        <v>165</v>
      </c>
      <c r="F225" s="234"/>
      <c r="G225" s="235">
        <f t="shared" si="57"/>
        <v>165</v>
      </c>
      <c r="H225" s="172">
        <f t="shared" si="58"/>
        <v>5.7708449916060436E-3</v>
      </c>
      <c r="I225" s="337"/>
      <c r="J225" s="168"/>
      <c r="K225" s="168"/>
    </row>
    <row r="226" spans="1:11">
      <c r="A226" s="163"/>
      <c r="B226" s="170" t="s">
        <v>235</v>
      </c>
      <c r="C226" s="491">
        <f>'[81]Sch D'!J9</f>
        <v>0</v>
      </c>
      <c r="D226" s="491"/>
      <c r="E226" s="235">
        <f>C226+D226</f>
        <v>0</v>
      </c>
      <c r="F226" s="234"/>
      <c r="G226" s="235">
        <f>E226+F226</f>
        <v>0</v>
      </c>
      <c r="H226" s="172">
        <f t="shared" si="58"/>
        <v>0</v>
      </c>
      <c r="I226" s="337"/>
      <c r="J226" s="168"/>
      <c r="K226" s="168"/>
    </row>
    <row r="227" spans="1:11">
      <c r="A227" s="163"/>
      <c r="B227" s="170" t="s">
        <v>179</v>
      </c>
      <c r="C227" s="491">
        <f>'[81]Sch D'!K9</f>
        <v>0</v>
      </c>
      <c r="D227" s="491"/>
      <c r="E227" s="235">
        <f t="shared" si="59"/>
        <v>0</v>
      </c>
      <c r="F227" s="234"/>
      <c r="G227" s="235">
        <f t="shared" si="57"/>
        <v>0</v>
      </c>
      <c r="H227" s="172">
        <f t="shared" si="58"/>
        <v>0</v>
      </c>
      <c r="I227" s="337"/>
      <c r="J227" s="168"/>
      <c r="K227" s="168"/>
    </row>
    <row r="228" spans="1:11" ht="13.5" thickBot="1">
      <c r="A228" s="163"/>
      <c r="B228" s="236" t="s">
        <v>75</v>
      </c>
      <c r="C228" s="491">
        <f>SUM(C219:C227)</f>
        <v>28592</v>
      </c>
      <c r="D228" s="491">
        <f>SUM(D219:D227)</f>
        <v>0</v>
      </c>
      <c r="E228" s="237">
        <f>SUM(E219:E227)</f>
        <v>28592</v>
      </c>
      <c r="F228" s="237">
        <f>SUM(F219:F227)</f>
        <v>0</v>
      </c>
      <c r="G228" s="237">
        <f>SUM(G219:G227)</f>
        <v>28592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620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619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492">
        <f>'[81]Sch D'!N22</f>
        <v>81</v>
      </c>
      <c r="D231" s="526"/>
      <c r="E231" s="235">
        <f>C231+D231</f>
        <v>81</v>
      </c>
      <c r="F231" s="235"/>
      <c r="G231" s="235">
        <f>E231+F231</f>
        <v>81</v>
      </c>
      <c r="H231" s="167"/>
      <c r="J231" s="168"/>
      <c r="K231" s="168"/>
    </row>
    <row r="232" spans="1:11">
      <c r="A232" s="163"/>
      <c r="B232" s="202" t="s">
        <v>290</v>
      </c>
      <c r="C232" s="492">
        <f>'[81]Sch D'!N24</f>
        <v>5</v>
      </c>
      <c r="D232" s="526"/>
      <c r="E232" s="235">
        <f>C232+D232</f>
        <v>5</v>
      </c>
      <c r="F232" s="235"/>
      <c r="G232" s="235">
        <f>E232+F232</f>
        <v>5</v>
      </c>
      <c r="H232" s="167"/>
      <c r="J232" s="168"/>
      <c r="K232" s="168"/>
    </row>
    <row r="233" spans="1:11">
      <c r="A233" s="163"/>
      <c r="B233" s="202" t="s">
        <v>76</v>
      </c>
      <c r="C233" s="492">
        <f>$C$4-$C$3+1</f>
        <v>365</v>
      </c>
      <c r="D233" s="489"/>
      <c r="E233" s="235">
        <f>C233+D233</f>
        <v>365</v>
      </c>
      <c r="F233" s="240"/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621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492">
        <f>'[81]Sch D'!N28</f>
        <v>29565</v>
      </c>
      <c r="D235" s="489"/>
      <c r="E235" s="234">
        <f>E231*E233</f>
        <v>29565</v>
      </c>
      <c r="F235" s="240"/>
      <c r="G235" s="234">
        <f>G231*G233</f>
        <v>29565</v>
      </c>
      <c r="H235" s="167"/>
      <c r="J235" s="168"/>
      <c r="K235" s="168"/>
    </row>
    <row r="236" spans="1:11" ht="26">
      <c r="A236" s="163"/>
      <c r="B236" s="244" t="s">
        <v>336</v>
      </c>
      <c r="C236" s="493">
        <f>'[81]Sch D'!N30</f>
        <v>0.9670894638931169</v>
      </c>
      <c r="D236" s="240"/>
      <c r="E236" s="245">
        <f>E228/E235</f>
        <v>0.9670894638931169</v>
      </c>
      <c r="F236" s="246"/>
      <c r="G236" s="245">
        <f>G228/G235</f>
        <v>0.9670894638931169</v>
      </c>
      <c r="H236" s="167"/>
      <c r="J236" s="168"/>
      <c r="K236" s="168"/>
    </row>
    <row r="237" spans="1:11" ht="26">
      <c r="A237" s="163"/>
      <c r="B237" s="244" t="s">
        <v>337</v>
      </c>
      <c r="C237" s="493">
        <f>'[81]Sch D'!N32</f>
        <v>3.3248773888043294E-2</v>
      </c>
      <c r="D237" s="240"/>
      <c r="E237" s="245">
        <f>(E219+E220)/E235</f>
        <v>3.3248773888043294E-2</v>
      </c>
      <c r="F237" s="246"/>
      <c r="G237" s="245">
        <f>(G219+G220)/G235</f>
        <v>3.3248773888043294E-2</v>
      </c>
      <c r="H237" s="167"/>
      <c r="J237" s="168"/>
      <c r="K237" s="168"/>
    </row>
    <row r="238" spans="1:11" ht="26">
      <c r="A238" s="163"/>
      <c r="B238" s="244" t="s">
        <v>338</v>
      </c>
      <c r="C238" s="493">
        <f>'[81]Sch D'!N34</f>
        <v>3.4380246222719638E-2</v>
      </c>
      <c r="D238" s="240"/>
      <c r="E238" s="245">
        <f>(E237/E236)</f>
        <v>3.4380246222719638E-2</v>
      </c>
      <c r="F238" s="246"/>
      <c r="G238" s="245">
        <f>(G237/G236)</f>
        <v>3.4380246222719638E-2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490">
        <f>'[81]Sch B'!C85</f>
        <v>179.6042979211328</v>
      </c>
    </row>
    <row r="242" spans="2:7">
      <c r="F242" s="142" t="s">
        <v>341</v>
      </c>
      <c r="G242" s="490">
        <f>'[81]Sch B'!E85</f>
        <v>179.3016966659178</v>
      </c>
    </row>
    <row r="243" spans="2:7">
      <c r="F243" s="142" t="s">
        <v>342</v>
      </c>
      <c r="G243" s="490">
        <f>'[81]Sch B'!G85</f>
        <v>179.60428592168631</v>
      </c>
    </row>
    <row r="244" spans="2:7">
      <c r="F244" s="142" t="s">
        <v>343</v>
      </c>
      <c r="G244" s="490">
        <f>'[81]Sch B'!I85</f>
        <v>179.604311026814</v>
      </c>
    </row>
    <row r="245" spans="2:7">
      <c r="F245" s="14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E28CAB"/>
  </sheetPr>
  <dimension ref="A1:Z245"/>
  <sheetViews>
    <sheetView showGridLines="0" zoomScale="90" zoomScaleNormal="90" workbookViewId="0">
      <selection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478"/>
      <c r="E1" s="478"/>
      <c r="F1" s="478"/>
      <c r="G1" s="478"/>
      <c r="H1" s="478"/>
      <c r="I1" s="479"/>
    </row>
    <row r="2" spans="1:14" ht="23">
      <c r="B2" s="143" t="s">
        <v>189</v>
      </c>
      <c r="C2" s="247" t="s">
        <v>457</v>
      </c>
      <c r="D2" s="247"/>
      <c r="E2" s="144"/>
      <c r="F2" s="465"/>
    </row>
    <row r="3" spans="1:14">
      <c r="A3" s="145"/>
      <c r="B3" s="140" t="s">
        <v>79</v>
      </c>
      <c r="C3" s="495">
        <v>41821</v>
      </c>
      <c r="D3" s="144"/>
      <c r="E3" s="147"/>
      <c r="F3" s="524"/>
    </row>
    <row r="4" spans="1:14">
      <c r="A4" s="145"/>
      <c r="B4" s="148" t="s">
        <v>80</v>
      </c>
      <c r="C4" s="495">
        <v>42185</v>
      </c>
      <c r="D4" s="144"/>
      <c r="E4" s="149"/>
      <c r="F4" s="524"/>
      <c r="G4" s="150"/>
    </row>
    <row r="5" spans="1:14">
      <c r="A5" s="145"/>
      <c r="B5" s="148"/>
      <c r="C5" s="151"/>
      <c r="D5" s="144"/>
      <c r="F5" s="524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 ht="15.5">
      <c r="A9" s="145"/>
      <c r="C9" s="151"/>
      <c r="D9" s="144"/>
      <c r="F9"/>
      <c r="G9" s="144"/>
    </row>
    <row r="10" spans="1:14" s="167" customFormat="1" ht="16" thickBot="1">
      <c r="A10" s="163" t="s">
        <v>245</v>
      </c>
      <c r="B10" s="164" t="s">
        <v>246</v>
      </c>
      <c r="C10" s="165"/>
      <c r="D10" s="165"/>
      <c r="E10" s="165"/>
      <c r="F10"/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490">
        <f>'[8]Sch B'!E10</f>
        <v>903498.47</v>
      </c>
      <c r="D11" s="490">
        <f>'[8]Sch B'!G10</f>
        <v>0</v>
      </c>
      <c r="E11" s="171">
        <f>C11+D11</f>
        <v>903498.47</v>
      </c>
      <c r="F11" s="490"/>
      <c r="G11" s="171">
        <f t="shared" ref="G11:G20" si="0">E11+F11</f>
        <v>903498.47</v>
      </c>
      <c r="H11" s="172">
        <f t="shared" ref="H11:H21" si="1">IF($G$21=0,0,G11/$G$21)</f>
        <v>0.37676456114927542</v>
      </c>
      <c r="I11" s="337"/>
      <c r="J11" s="368" t="s">
        <v>344</v>
      </c>
      <c r="K11" s="369">
        <f>G21</f>
        <v>2398045.2599999998</v>
      </c>
      <c r="M11" s="359">
        <f>IFERROR(G11/G219,0)</f>
        <v>169.13112504679896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490">
        <f>'[8]Sch B'!E15</f>
        <v>0</v>
      </c>
      <c r="D12" s="490">
        <f>'[8]Sch B'!G15</f>
        <v>0</v>
      </c>
      <c r="E12" s="171">
        <f t="shared" ref="E12:E20" si="2">C12+D12</f>
        <v>0</v>
      </c>
      <c r="F12" s="490"/>
      <c r="G12" s="171">
        <f>E12+F12</f>
        <v>0</v>
      </c>
      <c r="H12" s="172">
        <f t="shared" si="1"/>
        <v>0</v>
      </c>
      <c r="I12" s="337"/>
      <c r="J12" s="370" t="s">
        <v>345</v>
      </c>
      <c r="K12" s="371">
        <f>G208</f>
        <v>2406036.1800000006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490">
        <f>'[8]Sch B'!E21</f>
        <v>694274.45</v>
      </c>
      <c r="D13" s="490">
        <f>'[8]Sch B'!G21</f>
        <v>0</v>
      </c>
      <c r="E13" s="171">
        <f t="shared" si="2"/>
        <v>694274.45</v>
      </c>
      <c r="F13" s="490"/>
      <c r="G13" s="171">
        <f t="shared" si="0"/>
        <v>694274.45</v>
      </c>
      <c r="H13" s="172">
        <f t="shared" si="1"/>
        <v>0.28951682504941545</v>
      </c>
      <c r="I13" s="337"/>
      <c r="J13" s="370" t="s">
        <v>346</v>
      </c>
      <c r="K13" s="371">
        <f>G228</f>
        <v>9695</v>
      </c>
      <c r="M13" s="359">
        <f t="shared" si="3"/>
        <v>496.61977825464948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490">
        <f>'[8]Sch B'!E27</f>
        <v>205645.27999999997</v>
      </c>
      <c r="D14" s="490">
        <f>'[8]Sch B'!G27</f>
        <v>0</v>
      </c>
      <c r="E14" s="171">
        <f t="shared" si="2"/>
        <v>205645.27999999997</v>
      </c>
      <c r="F14" s="559"/>
      <c r="G14" s="175">
        <f>E14+F14</f>
        <v>205645.27999999997</v>
      </c>
      <c r="H14" s="176">
        <f t="shared" si="1"/>
        <v>8.575537894560005E-2</v>
      </c>
      <c r="I14" s="338"/>
      <c r="J14" s="370" t="s">
        <v>347</v>
      </c>
      <c r="K14" s="371">
        <f>G231</f>
        <v>46</v>
      </c>
      <c r="M14" s="359">
        <f t="shared" si="3"/>
        <v>301.09118594436308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490">
        <f>'[8]Sch B'!E32</f>
        <v>0</v>
      </c>
      <c r="D15" s="490">
        <f>'[8]Sch B'!G32</f>
        <v>0</v>
      </c>
      <c r="E15" s="171">
        <f t="shared" si="2"/>
        <v>0</v>
      </c>
      <c r="F15" s="490"/>
      <c r="G15" s="171">
        <f t="shared" si="0"/>
        <v>0</v>
      </c>
      <c r="H15" s="172">
        <f t="shared" si="1"/>
        <v>0</v>
      </c>
      <c r="I15" s="337"/>
      <c r="J15" s="370" t="s">
        <v>348</v>
      </c>
      <c r="K15" s="371">
        <f>G235</f>
        <v>22724</v>
      </c>
      <c r="M15" s="359">
        <f t="shared" si="3"/>
        <v>0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490">
        <f>'[8]Sch B'!E37</f>
        <v>284871.38999999996</v>
      </c>
      <c r="D16" s="490">
        <f>'[8]Sch B'!G37</f>
        <v>0</v>
      </c>
      <c r="E16" s="171">
        <f t="shared" si="2"/>
        <v>284871.38999999996</v>
      </c>
      <c r="F16" s="490"/>
      <c r="G16" s="171">
        <f t="shared" si="0"/>
        <v>284871.38999999996</v>
      </c>
      <c r="H16" s="172">
        <f t="shared" si="1"/>
        <v>0.11879316656433749</v>
      </c>
      <c r="I16" s="337"/>
      <c r="J16" s="372"/>
      <c r="K16" s="371"/>
      <c r="M16" s="359">
        <f t="shared" si="3"/>
        <v>246.64189610389607</v>
      </c>
      <c r="N16" s="359">
        <f>SUMMARY!J19</f>
        <v>199.44117347347731</v>
      </c>
    </row>
    <row r="17" spans="1:26" s="167" customFormat="1">
      <c r="A17" s="169" t="s">
        <v>215</v>
      </c>
      <c r="B17" s="170" t="s">
        <v>228</v>
      </c>
      <c r="C17" s="490">
        <f>'[8]Sch B'!E42</f>
        <v>0</v>
      </c>
      <c r="D17" s="490">
        <f>'[8]Sch B'!G42</f>
        <v>82872</v>
      </c>
      <c r="E17" s="171">
        <f t="shared" si="2"/>
        <v>82872</v>
      </c>
      <c r="F17" s="490"/>
      <c r="G17" s="171">
        <f>E17+F17</f>
        <v>82872</v>
      </c>
      <c r="H17" s="172">
        <f t="shared" si="1"/>
        <v>3.4558146746571414E-2</v>
      </c>
      <c r="I17" s="337"/>
      <c r="J17" s="370" t="s">
        <v>156</v>
      </c>
      <c r="K17" s="371">
        <f>J208</f>
        <v>49801</v>
      </c>
      <c r="M17" s="359">
        <f t="shared" si="3"/>
        <v>110.20212765957447</v>
      </c>
      <c r="N17" s="359">
        <f>SUMMARY!J20</f>
        <v>174.81134252751988</v>
      </c>
    </row>
    <row r="18" spans="1:26" s="167" customFormat="1" ht="13.5" thickBot="1">
      <c r="A18" s="169" t="s">
        <v>216</v>
      </c>
      <c r="B18" s="170" t="s">
        <v>229</v>
      </c>
      <c r="C18" s="490">
        <f>'[8]Sch B'!E47</f>
        <v>207781.01999999996</v>
      </c>
      <c r="D18" s="490">
        <f>'[8]Sch B'!G47</f>
        <v>-82872</v>
      </c>
      <c r="E18" s="171">
        <f t="shared" si="2"/>
        <v>124909.01999999996</v>
      </c>
      <c r="F18" s="490"/>
      <c r="G18" s="171">
        <f>E18+F18</f>
        <v>124909.01999999996</v>
      </c>
      <c r="H18" s="172">
        <f t="shared" si="1"/>
        <v>5.2087849251018711E-2</v>
      </c>
      <c r="I18" s="337"/>
      <c r="J18" s="373" t="s">
        <v>252</v>
      </c>
      <c r="K18" s="374">
        <f>K208</f>
        <v>53264</v>
      </c>
      <c r="M18" s="359">
        <f t="shared" si="3"/>
        <v>342.21649315068481</v>
      </c>
      <c r="N18" s="359">
        <f>SUMMARY!J21</f>
        <v>183.50924381494963</v>
      </c>
    </row>
    <row r="19" spans="1:26" s="167" customFormat="1">
      <c r="A19" s="169" t="s">
        <v>227</v>
      </c>
      <c r="B19" s="177" t="s">
        <v>173</v>
      </c>
      <c r="C19" s="490">
        <f>'[8]Sch B'!E52</f>
        <v>0</v>
      </c>
      <c r="D19" s="490">
        <f>'[8]Sch B'!G52</f>
        <v>0</v>
      </c>
      <c r="E19" s="171">
        <f t="shared" si="2"/>
        <v>0</v>
      </c>
      <c r="F19" s="490"/>
      <c r="G19" s="171">
        <f t="shared" si="0"/>
        <v>0</v>
      </c>
      <c r="H19" s="172">
        <f t="shared" si="1"/>
        <v>0</v>
      </c>
      <c r="I19" s="337"/>
      <c r="J19" s="168"/>
      <c r="K19" s="168"/>
      <c r="M19" s="359">
        <f t="shared" si="3"/>
        <v>0</v>
      </c>
      <c r="N19" s="359">
        <f>SUMMARY!J22</f>
        <v>376.584981890248</v>
      </c>
    </row>
    <row r="20" spans="1:26" s="167" customFormat="1">
      <c r="A20" s="169" t="s">
        <v>183</v>
      </c>
      <c r="B20" s="23" t="s">
        <v>180</v>
      </c>
      <c r="C20" s="490">
        <f>'[8]Sch B'!E67</f>
        <v>101974.65</v>
      </c>
      <c r="D20" s="490">
        <f>'[8]Sch B'!G67</f>
        <v>0</v>
      </c>
      <c r="E20" s="171">
        <f t="shared" si="2"/>
        <v>101974.65</v>
      </c>
      <c r="F20" s="490"/>
      <c r="G20" s="171">
        <f t="shared" si="0"/>
        <v>101974.65</v>
      </c>
      <c r="H20" s="172">
        <f t="shared" si="1"/>
        <v>4.2524072293781481E-2</v>
      </c>
      <c r="I20" s="337"/>
      <c r="J20" s="168"/>
      <c r="K20" s="168"/>
      <c r="M20" s="362" t="s">
        <v>200</v>
      </c>
      <c r="N20" s="362" t="s">
        <v>200</v>
      </c>
    </row>
    <row r="21" spans="1:26" s="167" customFormat="1">
      <c r="A21" s="169"/>
      <c r="B21" s="178" t="s">
        <v>77</v>
      </c>
      <c r="C21" s="490">
        <f>SUM(C11:C20)</f>
        <v>2398045.2599999998</v>
      </c>
      <c r="D21" s="490">
        <f>SUM(D11:D20)</f>
        <v>0</v>
      </c>
      <c r="E21" s="171">
        <f>SUM(E11:E20)</f>
        <v>2398045.2599999998</v>
      </c>
      <c r="F21" s="171">
        <f>SUM(F11:F20)</f>
        <v>0</v>
      </c>
      <c r="G21" s="171">
        <f>SUM(G11:G20)</f>
        <v>2398045.2599999998</v>
      </c>
      <c r="H21" s="172">
        <f t="shared" si="1"/>
        <v>1</v>
      </c>
      <c r="I21" s="337"/>
      <c r="J21" s="168"/>
      <c r="K21" s="168"/>
      <c r="M21" s="359">
        <f>IFERROR(G21/G228,0)</f>
        <v>247.34866013408973</v>
      </c>
      <c r="N21" s="359">
        <f>SUMMARY!J24</f>
        <v>264.67475627099196</v>
      </c>
    </row>
    <row r="22" spans="1:26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26" ht="26.5">
      <c r="A23" s="180" t="s">
        <v>231</v>
      </c>
      <c r="B23" s="179" t="s">
        <v>222</v>
      </c>
      <c r="C23" s="151"/>
      <c r="D23" s="144"/>
      <c r="F23"/>
      <c r="G23" s="144"/>
      <c r="M23" s="363"/>
      <c r="N23" s="363"/>
      <c r="W23" s="465" t="s">
        <v>500</v>
      </c>
      <c r="Y23" s="465" t="s">
        <v>501</v>
      </c>
    </row>
    <row r="24" spans="1:26" ht="15.5">
      <c r="A24" s="181" t="s">
        <v>161</v>
      </c>
      <c r="B24" s="148" t="s">
        <v>12</v>
      </c>
      <c r="F24"/>
      <c r="M24" s="363"/>
      <c r="N24" s="363"/>
      <c r="W24" s="140" t="s">
        <v>498</v>
      </c>
      <c r="X24" s="140" t="s">
        <v>499</v>
      </c>
      <c r="Y24" s="140" t="s">
        <v>498</v>
      </c>
      <c r="Z24" s="140" t="s">
        <v>499</v>
      </c>
    </row>
    <row r="25" spans="1:26" s="167" customFormat="1">
      <c r="A25" s="169" t="s">
        <v>83</v>
      </c>
      <c r="B25" s="170" t="s">
        <v>14</v>
      </c>
      <c r="C25" s="490">
        <f>'[8]Sch C'!D10</f>
        <v>0</v>
      </c>
      <c r="D25" s="490">
        <f>'[8]Sch C'!F10</f>
        <v>60704</v>
      </c>
      <c r="E25" s="171">
        <f t="shared" ref="E25:E60" si="4">C25+D25</f>
        <v>60704</v>
      </c>
      <c r="F25" s="490"/>
      <c r="G25" s="182">
        <f>E25+F25</f>
        <v>60704</v>
      </c>
      <c r="H25" s="172">
        <f>IF($G$208=0,0,G25/$G$208)</f>
        <v>2.522987829717506E-2</v>
      </c>
      <c r="I25" s="337"/>
      <c r="J25" s="183">
        <v>1904</v>
      </c>
      <c r="K25" s="183">
        <v>2080</v>
      </c>
      <c r="M25" s="359">
        <f>G25/G$228</f>
        <v>6.2613718411552348</v>
      </c>
      <c r="N25" s="359">
        <f>SUMMARY!J28</f>
        <v>5.1446587373365018</v>
      </c>
      <c r="W25" s="183">
        <v>0</v>
      </c>
      <c r="X25" s="183">
        <v>0</v>
      </c>
      <c r="Y25" s="492">
        <v>0</v>
      </c>
      <c r="Z25" s="492">
        <v>0</v>
      </c>
    </row>
    <row r="26" spans="1:26" s="167" customFormat="1">
      <c r="A26" s="169" t="s">
        <v>84</v>
      </c>
      <c r="B26" s="170" t="s">
        <v>176</v>
      </c>
      <c r="C26" s="490">
        <f>'[8]Sch C'!D11</f>
        <v>0</v>
      </c>
      <c r="D26" s="490">
        <f>'[8]Sch C'!F11</f>
        <v>0</v>
      </c>
      <c r="E26" s="171">
        <f t="shared" si="4"/>
        <v>0</v>
      </c>
      <c r="F26" s="490"/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  <c r="W26" s="183">
        <v>0</v>
      </c>
      <c r="X26" s="183">
        <v>0</v>
      </c>
      <c r="Y26" s="492">
        <v>0</v>
      </c>
      <c r="Z26" s="492">
        <v>0</v>
      </c>
    </row>
    <row r="27" spans="1:26" s="167" customFormat="1">
      <c r="A27" s="169" t="s">
        <v>85</v>
      </c>
      <c r="B27" s="170" t="s">
        <v>17</v>
      </c>
      <c r="C27" s="490">
        <f>'[8]Sch C'!D12</f>
        <v>44541</v>
      </c>
      <c r="D27" s="490">
        <f>'[8]Sch C'!F12</f>
        <v>0</v>
      </c>
      <c r="E27" s="171">
        <f t="shared" si="4"/>
        <v>44541</v>
      </c>
      <c r="F27" s="490"/>
      <c r="G27" s="171">
        <f t="shared" si="5"/>
        <v>44541</v>
      </c>
      <c r="H27" s="172">
        <f t="shared" si="6"/>
        <v>1.851219045259743E-2</v>
      </c>
      <c r="I27" s="337"/>
      <c r="J27" s="183">
        <v>1826</v>
      </c>
      <c r="K27" s="183">
        <v>2188</v>
      </c>
      <c r="M27" s="359">
        <f t="shared" si="7"/>
        <v>4.594223826714801</v>
      </c>
      <c r="N27" s="359">
        <f>SUMMARY!J30</f>
        <v>6.5653829268620019</v>
      </c>
      <c r="W27" s="185">
        <v>971</v>
      </c>
      <c r="X27" s="185">
        <v>1166</v>
      </c>
      <c r="Y27" s="492">
        <v>332</v>
      </c>
      <c r="Z27" s="492">
        <v>758</v>
      </c>
    </row>
    <row r="28" spans="1:26" s="167" customFormat="1">
      <c r="A28" s="169" t="s">
        <v>86</v>
      </c>
      <c r="B28" s="170" t="s">
        <v>45</v>
      </c>
      <c r="C28" s="490">
        <f>'[8]Sch C'!D13</f>
        <v>19697.28</v>
      </c>
      <c r="D28" s="490">
        <f>'[8]Sch C'!F13</f>
        <v>15106</v>
      </c>
      <c r="E28" s="171">
        <f t="shared" si="4"/>
        <v>34803.279999999999</v>
      </c>
      <c r="F28" s="490"/>
      <c r="G28" s="171">
        <f t="shared" si="5"/>
        <v>34803.279999999999</v>
      </c>
      <c r="H28" s="172">
        <f t="shared" si="6"/>
        <v>1.4464986141646461E-2</v>
      </c>
      <c r="I28" s="337"/>
      <c r="J28" s="168"/>
      <c r="K28" s="168"/>
      <c r="M28" s="359">
        <f t="shared" si="7"/>
        <v>3.5898174316658071</v>
      </c>
      <c r="N28" s="359">
        <f>SUMMARY!J31</f>
        <v>2.1760486719355461</v>
      </c>
      <c r="W28" s="168"/>
      <c r="X28" s="168"/>
      <c r="Y28" s="527"/>
      <c r="Z28" s="527"/>
    </row>
    <row r="29" spans="1:26" s="167" customFormat="1">
      <c r="A29" s="169" t="s">
        <v>175</v>
      </c>
      <c r="B29" s="170" t="s">
        <v>20</v>
      </c>
      <c r="C29" s="490">
        <f>'[8]Sch C'!D14</f>
        <v>0</v>
      </c>
      <c r="D29" s="490">
        <f>'[8]Sch C'!F14</f>
        <v>0</v>
      </c>
      <c r="E29" s="171">
        <f t="shared" si="4"/>
        <v>0</v>
      </c>
      <c r="F29" s="490"/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  <c r="W29" s="168"/>
      <c r="X29" s="168"/>
      <c r="Y29" s="527"/>
      <c r="Z29" s="527"/>
    </row>
    <row r="30" spans="1:26" s="167" customFormat="1">
      <c r="A30" s="169" t="s">
        <v>88</v>
      </c>
      <c r="B30" s="170" t="s">
        <v>22</v>
      </c>
      <c r="C30" s="490">
        <f>'[8]Sch C'!D15</f>
        <v>0</v>
      </c>
      <c r="D30" s="490">
        <f>'[8]Sch C'!F15</f>
        <v>0</v>
      </c>
      <c r="E30" s="171">
        <f t="shared" si="4"/>
        <v>0</v>
      </c>
      <c r="F30" s="490"/>
      <c r="G30" s="171">
        <f t="shared" si="5"/>
        <v>0</v>
      </c>
      <c r="H30" s="172">
        <f t="shared" si="6"/>
        <v>0</v>
      </c>
      <c r="I30" s="337"/>
      <c r="J30" s="168"/>
      <c r="K30" s="168"/>
      <c r="M30" s="359">
        <f t="shared" si="7"/>
        <v>0</v>
      </c>
      <c r="N30" s="359">
        <f>SUMMARY!J33</f>
        <v>1.6617191665983997</v>
      </c>
      <c r="W30" s="168"/>
      <c r="X30" s="168"/>
      <c r="Y30" s="527"/>
      <c r="Z30" s="527"/>
    </row>
    <row r="31" spans="1:26" s="167" customFormat="1">
      <c r="A31" s="169" t="s">
        <v>89</v>
      </c>
      <c r="B31" s="170" t="s">
        <v>148</v>
      </c>
      <c r="C31" s="490">
        <f>'[8]Sch C'!D16</f>
        <v>133950.68</v>
      </c>
      <c r="D31" s="490">
        <f>'[8]Sch C'!F16</f>
        <v>9162</v>
      </c>
      <c r="E31" s="171">
        <f t="shared" si="4"/>
        <v>143112.68</v>
      </c>
      <c r="F31" s="490"/>
      <c r="G31" s="171">
        <f t="shared" si="5"/>
        <v>143112.68</v>
      </c>
      <c r="H31" s="172">
        <f t="shared" si="6"/>
        <v>5.9480684949633614E-2</v>
      </c>
      <c r="I31" s="337"/>
      <c r="J31" s="168"/>
      <c r="K31" s="168"/>
      <c r="M31" s="359">
        <f t="shared" si="7"/>
        <v>14.761493553378029</v>
      </c>
      <c r="N31" s="359">
        <f>SUMMARY!J34</f>
        <v>11.049930353021256</v>
      </c>
      <c r="W31" s="168"/>
      <c r="X31" s="168"/>
      <c r="Y31" s="527"/>
      <c r="Z31" s="527"/>
    </row>
    <row r="32" spans="1:26" s="167" customFormat="1">
      <c r="A32" s="169" t="s">
        <v>90</v>
      </c>
      <c r="B32" s="170" t="s">
        <v>23</v>
      </c>
      <c r="C32" s="490">
        <f>'[8]Sch C'!D17</f>
        <v>10282.59</v>
      </c>
      <c r="D32" s="490">
        <f>'[8]Sch C'!F17</f>
        <v>0</v>
      </c>
      <c r="E32" s="171">
        <f t="shared" si="4"/>
        <v>10282.59</v>
      </c>
      <c r="F32" s="490"/>
      <c r="G32" s="171">
        <f t="shared" si="5"/>
        <v>10282.59</v>
      </c>
      <c r="H32" s="172">
        <f t="shared" si="6"/>
        <v>4.2736639147296605E-3</v>
      </c>
      <c r="I32" s="337"/>
      <c r="J32" s="168"/>
      <c r="K32" s="168"/>
      <c r="M32" s="359">
        <f t="shared" si="7"/>
        <v>1.060607529654461</v>
      </c>
      <c r="N32" s="359">
        <f>SUMMARY!J35</f>
        <v>0.14536890308839193</v>
      </c>
      <c r="W32" s="168"/>
      <c r="X32" s="168"/>
      <c r="Y32" s="527"/>
      <c r="Z32" s="527"/>
    </row>
    <row r="33" spans="1:26" s="167" customFormat="1">
      <c r="A33" s="169" t="s">
        <v>91</v>
      </c>
      <c r="B33" s="170" t="s">
        <v>24</v>
      </c>
      <c r="C33" s="490">
        <f>'[8]Sch C'!D18</f>
        <v>18666.88</v>
      </c>
      <c r="D33" s="490">
        <f>'[8]Sch C'!F18</f>
        <v>0</v>
      </c>
      <c r="E33" s="171">
        <f t="shared" si="4"/>
        <v>18666.88</v>
      </c>
      <c r="F33" s="490"/>
      <c r="G33" s="171">
        <f t="shared" si="5"/>
        <v>18666.88</v>
      </c>
      <c r="H33" s="172">
        <f t="shared" si="6"/>
        <v>7.7583538249204531E-3</v>
      </c>
      <c r="I33" s="337"/>
      <c r="J33" s="168"/>
      <c r="K33" s="168"/>
      <c r="M33" s="359">
        <f t="shared" si="7"/>
        <v>1.9254130995358434</v>
      </c>
      <c r="N33" s="359">
        <f>SUMMARY!J36</f>
        <v>0.8867545233609132</v>
      </c>
      <c r="W33" s="168"/>
      <c r="X33" s="168"/>
      <c r="Y33" s="527"/>
      <c r="Z33" s="527"/>
    </row>
    <row r="34" spans="1:26" s="167" customFormat="1">
      <c r="A34" s="169" t="s">
        <v>92</v>
      </c>
      <c r="B34" s="170" t="s">
        <v>25</v>
      </c>
      <c r="C34" s="490">
        <f>'[8]Sch C'!D19</f>
        <v>24593.31</v>
      </c>
      <c r="D34" s="490">
        <f>'[8]Sch C'!F19</f>
        <v>0</v>
      </c>
      <c r="E34" s="171">
        <f t="shared" si="4"/>
        <v>24593.31</v>
      </c>
      <c r="F34" s="490"/>
      <c r="G34" s="171">
        <f t="shared" si="5"/>
        <v>24593.31</v>
      </c>
      <c r="H34" s="172">
        <f t="shared" si="6"/>
        <v>1.0221504649194425E-2</v>
      </c>
      <c r="I34" s="337"/>
      <c r="J34" s="168"/>
      <c r="K34" s="168"/>
      <c r="M34" s="359">
        <f t="shared" si="7"/>
        <v>2.5367003610108303</v>
      </c>
      <c r="N34" s="359">
        <f>SUMMARY!J37</f>
        <v>0.90101991185385411</v>
      </c>
      <c r="W34" s="168"/>
      <c r="X34" s="168"/>
      <c r="Y34" s="527"/>
      <c r="Z34" s="527"/>
    </row>
    <row r="35" spans="1:26" s="167" customFormat="1">
      <c r="A35" s="169" t="s">
        <v>93</v>
      </c>
      <c r="B35" s="170" t="s">
        <v>26</v>
      </c>
      <c r="C35" s="490">
        <f>'[8]Sch C'!D20</f>
        <v>9311.02</v>
      </c>
      <c r="D35" s="490">
        <f>'[8]Sch C'!F20</f>
        <v>0</v>
      </c>
      <c r="E35" s="171">
        <f t="shared" si="4"/>
        <v>9311.02</v>
      </c>
      <c r="F35" s="490"/>
      <c r="G35" s="171">
        <f t="shared" si="5"/>
        <v>9311.02</v>
      </c>
      <c r="H35" s="172">
        <f t="shared" si="6"/>
        <v>3.8698586818424309E-3</v>
      </c>
      <c r="I35" s="337"/>
      <c r="J35" s="168"/>
      <c r="K35" s="168"/>
      <c r="M35" s="359">
        <f t="shared" si="7"/>
        <v>0.96039401753481179</v>
      </c>
      <c r="N35" s="359">
        <f>SUMMARY!J38</f>
        <v>0.79427546489719036</v>
      </c>
      <c r="W35" s="168"/>
      <c r="X35" s="168"/>
      <c r="Y35" s="527"/>
      <c r="Z35" s="527"/>
    </row>
    <row r="36" spans="1:26" s="167" customFormat="1">
      <c r="A36" s="169" t="s">
        <v>94</v>
      </c>
      <c r="B36" s="170" t="s">
        <v>27</v>
      </c>
      <c r="C36" s="490">
        <f>'[8]Sch C'!D21</f>
        <v>14855.91</v>
      </c>
      <c r="D36" s="490">
        <f>'[8]Sch C'!F21</f>
        <v>0</v>
      </c>
      <c r="E36" s="171">
        <f t="shared" si="4"/>
        <v>14855.91</v>
      </c>
      <c r="F36" s="490"/>
      <c r="G36" s="171">
        <f t="shared" si="5"/>
        <v>14855.91</v>
      </c>
      <c r="H36" s="172">
        <f t="shared" si="6"/>
        <v>6.1744333370747553E-3</v>
      </c>
      <c r="I36" s="337"/>
      <c r="J36" s="168"/>
      <c r="K36" s="168"/>
      <c r="M36" s="359">
        <f t="shared" si="7"/>
        <v>1.5323269726663229</v>
      </c>
      <c r="N36" s="359">
        <f>SUMMARY!J39</f>
        <v>0.98747949537150814</v>
      </c>
      <c r="W36" s="168"/>
      <c r="X36" s="168"/>
      <c r="Y36" s="527"/>
      <c r="Z36" s="527"/>
    </row>
    <row r="37" spans="1:26" s="167" customFormat="1">
      <c r="A37" s="163">
        <v>130</v>
      </c>
      <c r="B37" s="170" t="s">
        <v>28</v>
      </c>
      <c r="C37" s="490">
        <f>'[8]Sch C'!D22</f>
        <v>0</v>
      </c>
      <c r="D37" s="490">
        <f>'[8]Sch C'!F22</f>
        <v>0</v>
      </c>
      <c r="E37" s="171">
        <f t="shared" si="4"/>
        <v>0</v>
      </c>
      <c r="F37" s="490"/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  <c r="W37" s="168"/>
      <c r="X37" s="168"/>
      <c r="Y37" s="527"/>
      <c r="Z37" s="527"/>
    </row>
    <row r="38" spans="1:26" s="167" customFormat="1">
      <c r="A38" s="163">
        <v>140</v>
      </c>
      <c r="B38" s="170" t="s">
        <v>149</v>
      </c>
      <c r="C38" s="490">
        <f>'[8]Sch C'!D23</f>
        <v>19593.5</v>
      </c>
      <c r="D38" s="490">
        <f>'[8]Sch C'!F23</f>
        <v>0</v>
      </c>
      <c r="E38" s="171">
        <f t="shared" si="4"/>
        <v>19593.5</v>
      </c>
      <c r="F38" s="490"/>
      <c r="G38" s="171">
        <f t="shared" si="5"/>
        <v>19593.5</v>
      </c>
      <c r="H38" s="172">
        <f t="shared" si="6"/>
        <v>8.1434768782238324E-3</v>
      </c>
      <c r="I38" s="337"/>
      <c r="J38" s="168"/>
      <c r="K38" s="168"/>
      <c r="M38" s="359">
        <f t="shared" si="7"/>
        <v>2.0209902011346053</v>
      </c>
      <c r="N38" s="359">
        <f>SUMMARY!J41</f>
        <v>0.63060479506294209</v>
      </c>
      <c r="W38" s="168"/>
      <c r="X38" s="168"/>
      <c r="Y38" s="527"/>
      <c r="Z38" s="527"/>
    </row>
    <row r="39" spans="1:26" s="167" customFormat="1">
      <c r="A39" s="163">
        <v>150</v>
      </c>
      <c r="B39" s="170" t="s">
        <v>29</v>
      </c>
      <c r="C39" s="490">
        <f>'[8]Sch C'!D24</f>
        <v>485.54</v>
      </c>
      <c r="D39" s="490">
        <f>'[8]Sch C'!F24</f>
        <v>0</v>
      </c>
      <c r="E39" s="171">
        <f t="shared" si="4"/>
        <v>485.54</v>
      </c>
      <c r="F39" s="490"/>
      <c r="G39" s="171">
        <f t="shared" si="5"/>
        <v>485.54</v>
      </c>
      <c r="H39" s="172">
        <f t="shared" si="6"/>
        <v>2.0180078921340239E-4</v>
      </c>
      <c r="I39" s="337"/>
      <c r="J39" s="168"/>
      <c r="K39" s="168"/>
      <c r="M39" s="359">
        <f t="shared" si="7"/>
        <v>5.0081485301701908E-2</v>
      </c>
      <c r="N39" s="359">
        <f>SUMMARY!J42</f>
        <v>0.77563123344529072</v>
      </c>
      <c r="W39" s="168"/>
      <c r="X39" s="168"/>
      <c r="Y39" s="527"/>
      <c r="Z39" s="527"/>
    </row>
    <row r="40" spans="1:26" s="167" customFormat="1">
      <c r="A40" s="163">
        <v>160</v>
      </c>
      <c r="B40" s="170" t="s">
        <v>30</v>
      </c>
      <c r="C40" s="490">
        <f>'[8]Sch C'!D25</f>
        <v>0</v>
      </c>
      <c r="D40" s="490">
        <f>'[8]Sch C'!F25</f>
        <v>0</v>
      </c>
      <c r="E40" s="171">
        <f t="shared" si="4"/>
        <v>0</v>
      </c>
      <c r="F40" s="490"/>
      <c r="G40" s="171">
        <f t="shared" si="5"/>
        <v>0</v>
      </c>
      <c r="H40" s="172">
        <f t="shared" si="6"/>
        <v>0</v>
      </c>
      <c r="I40" s="337"/>
      <c r="J40" s="168"/>
      <c r="K40" s="168"/>
      <c r="M40" s="359">
        <f t="shared" si="7"/>
        <v>0</v>
      </c>
      <c r="N40" s="359">
        <f>SUMMARY!J43</f>
        <v>2.6613926435651674E-2</v>
      </c>
      <c r="W40" s="168"/>
      <c r="X40" s="168"/>
      <c r="Y40" s="527"/>
      <c r="Z40" s="527"/>
    </row>
    <row r="41" spans="1:26" s="167" customFormat="1">
      <c r="A41" s="163">
        <v>170</v>
      </c>
      <c r="B41" s="170" t="s">
        <v>31</v>
      </c>
      <c r="C41" s="490">
        <f>'[8]Sch C'!D26</f>
        <v>120377.59</v>
      </c>
      <c r="D41" s="490">
        <f>'[8]Sch C'!F26</f>
        <v>0</v>
      </c>
      <c r="E41" s="171">
        <f t="shared" si="4"/>
        <v>120377.59</v>
      </c>
      <c r="F41" s="490"/>
      <c r="G41" s="171">
        <f t="shared" si="5"/>
        <v>120377.59</v>
      </c>
      <c r="H41" s="172">
        <f t="shared" si="6"/>
        <v>5.0031496201358022E-2</v>
      </c>
      <c r="I41" s="337"/>
      <c r="J41" s="168"/>
      <c r="K41" s="168"/>
      <c r="M41" s="359">
        <f t="shared" si="7"/>
        <v>12.4164610624033</v>
      </c>
      <c r="N41" s="359">
        <f>SUMMARY!J44</f>
        <v>10.987269304497419</v>
      </c>
      <c r="W41" s="168"/>
      <c r="X41" s="168"/>
      <c r="Y41" s="527"/>
      <c r="Z41" s="527"/>
    </row>
    <row r="42" spans="1:26" s="167" customFormat="1">
      <c r="A42" s="163">
        <v>180</v>
      </c>
      <c r="B42" s="170" t="s">
        <v>32</v>
      </c>
      <c r="C42" s="490">
        <f>'[8]Sch C'!D27</f>
        <v>-5874.1</v>
      </c>
      <c r="D42" s="490">
        <f>'[8]Sch C'!F27</f>
        <v>0</v>
      </c>
      <c r="E42" s="171">
        <f t="shared" si="4"/>
        <v>-5874.1</v>
      </c>
      <c r="F42" s="490"/>
      <c r="G42" s="171">
        <f t="shared" si="5"/>
        <v>-5874.1</v>
      </c>
      <c r="H42" s="172">
        <f t="shared" si="6"/>
        <v>-2.441401359143319E-3</v>
      </c>
      <c r="I42" s="337"/>
      <c r="J42" s="168"/>
      <c r="K42" s="168"/>
      <c r="M42" s="359">
        <f t="shared" si="7"/>
        <v>-0.60588963383187211</v>
      </c>
      <c r="N42" s="359">
        <f>SUMMARY!J45</f>
        <v>0.64134655143223829</v>
      </c>
      <c r="W42" s="168"/>
      <c r="X42" s="168"/>
      <c r="Y42" s="527"/>
      <c r="Z42" s="527"/>
    </row>
    <row r="43" spans="1:26" s="167" customFormat="1">
      <c r="A43" s="163">
        <v>190</v>
      </c>
      <c r="B43" s="170" t="s">
        <v>33</v>
      </c>
      <c r="C43" s="490">
        <f>'[8]Sch C'!D28</f>
        <v>0</v>
      </c>
      <c r="D43" s="490">
        <f>'[8]Sch C'!F28</f>
        <v>0</v>
      </c>
      <c r="E43" s="171">
        <f t="shared" si="4"/>
        <v>0</v>
      </c>
      <c r="F43" s="490"/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  <c r="W43" s="168"/>
      <c r="X43" s="168"/>
      <c r="Y43" s="527"/>
      <c r="Z43" s="527"/>
    </row>
    <row r="44" spans="1:26" s="167" customFormat="1">
      <c r="A44" s="163">
        <v>200</v>
      </c>
      <c r="B44" s="170" t="s">
        <v>34</v>
      </c>
      <c r="C44" s="490">
        <f>'[8]Sch C'!D29</f>
        <v>49279.18</v>
      </c>
      <c r="D44" s="490">
        <f>'[8]Sch C'!F29</f>
        <v>-49279.18</v>
      </c>
      <c r="E44" s="171">
        <f t="shared" si="4"/>
        <v>0</v>
      </c>
      <c r="F44" s="490"/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  <c r="W44" s="168"/>
      <c r="X44" s="168"/>
      <c r="Y44" s="527"/>
      <c r="Z44" s="527"/>
    </row>
    <row r="45" spans="1:26" s="167" customFormat="1">
      <c r="A45" s="163">
        <v>210</v>
      </c>
      <c r="B45" s="170" t="s">
        <v>35</v>
      </c>
      <c r="C45" s="490">
        <f>'[8]Sch C'!D30</f>
        <v>0</v>
      </c>
      <c r="D45" s="490">
        <f>'[8]Sch C'!F30</f>
        <v>0</v>
      </c>
      <c r="E45" s="171">
        <f t="shared" si="4"/>
        <v>0</v>
      </c>
      <c r="F45" s="490"/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  <c r="W45" s="168"/>
      <c r="X45" s="168"/>
      <c r="Y45" s="527"/>
      <c r="Z45" s="527"/>
    </row>
    <row r="46" spans="1:26" s="167" customFormat="1">
      <c r="A46" s="163">
        <v>220</v>
      </c>
      <c r="B46" s="170" t="s">
        <v>190</v>
      </c>
      <c r="C46" s="490">
        <f>'[8]Sch C'!D31</f>
        <v>885.79</v>
      </c>
      <c r="D46" s="490">
        <f>'[8]Sch C'!F31</f>
        <v>0</v>
      </c>
      <c r="E46" s="171">
        <f t="shared" si="4"/>
        <v>885.79</v>
      </c>
      <c r="F46" s="490"/>
      <c r="G46" s="171">
        <f t="shared" si="5"/>
        <v>885.79</v>
      </c>
      <c r="H46" s="172">
        <f t="shared" si="6"/>
        <v>3.6815323367248774E-4</v>
      </c>
      <c r="I46" s="337"/>
      <c r="J46" s="168"/>
      <c r="K46" s="168"/>
      <c r="M46" s="359">
        <f t="shared" si="7"/>
        <v>9.1365652398143371E-2</v>
      </c>
      <c r="N46" s="359">
        <f>SUMMARY!J49</f>
        <v>1.2092098577319024</v>
      </c>
      <c r="W46" s="168"/>
      <c r="X46" s="168"/>
      <c r="Y46" s="527"/>
      <c r="Z46" s="527"/>
    </row>
    <row r="47" spans="1:26" s="167" customFormat="1">
      <c r="A47" s="163">
        <v>230</v>
      </c>
      <c r="B47" s="170" t="s">
        <v>191</v>
      </c>
      <c r="C47" s="490">
        <f>'[8]Sch C'!D32</f>
        <v>100</v>
      </c>
      <c r="D47" s="490">
        <f>'[8]Sch C'!F32</f>
        <v>6863</v>
      </c>
      <c r="E47" s="171">
        <f t="shared" si="4"/>
        <v>6963</v>
      </c>
      <c r="F47" s="490"/>
      <c r="G47" s="171">
        <f t="shared" si="5"/>
        <v>6963</v>
      </c>
      <c r="H47" s="172">
        <f t="shared" si="6"/>
        <v>2.8939714447685479E-3</v>
      </c>
      <c r="I47" s="337"/>
      <c r="J47" s="168"/>
      <c r="K47" s="168"/>
      <c r="M47" s="359">
        <f t="shared" si="7"/>
        <v>0.71820526044352762</v>
      </c>
      <c r="N47" s="359">
        <f>SUMMARY!J50</f>
        <v>2.2270835363825316</v>
      </c>
      <c r="W47" s="168"/>
      <c r="X47" s="168"/>
      <c r="Y47" s="527"/>
      <c r="Z47" s="527"/>
    </row>
    <row r="48" spans="1:26" s="167" customFormat="1">
      <c r="A48" s="163">
        <v>240</v>
      </c>
      <c r="B48" s="170" t="s">
        <v>201</v>
      </c>
      <c r="C48" s="490">
        <f>'[8]Sch C'!D33</f>
        <v>0</v>
      </c>
      <c r="D48" s="490">
        <f>'[8]Sch C'!F33</f>
        <v>0</v>
      </c>
      <c r="E48" s="171">
        <f t="shared" si="4"/>
        <v>0</v>
      </c>
      <c r="F48" s="490"/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  <c r="W48" s="168"/>
      <c r="X48" s="168"/>
      <c r="Y48" s="527"/>
      <c r="Z48" s="527"/>
    </row>
    <row r="49" spans="1:26" s="167" customFormat="1">
      <c r="A49" s="163">
        <v>250</v>
      </c>
      <c r="B49" s="170" t="s">
        <v>202</v>
      </c>
      <c r="C49" s="490">
        <f>'[8]Sch C'!D34</f>
        <v>0</v>
      </c>
      <c r="D49" s="490">
        <f>'[8]Sch C'!F34</f>
        <v>0</v>
      </c>
      <c r="E49" s="171">
        <f t="shared" si="4"/>
        <v>0</v>
      </c>
      <c r="F49" s="490"/>
      <c r="G49" s="171">
        <f t="shared" si="5"/>
        <v>0</v>
      </c>
      <c r="H49" s="172">
        <f t="shared" si="6"/>
        <v>0</v>
      </c>
      <c r="I49" s="337"/>
      <c r="J49" s="168"/>
      <c r="K49" s="168"/>
      <c r="M49" s="359">
        <f t="shared" si="7"/>
        <v>0</v>
      </c>
      <c r="N49" s="359">
        <f>SUMMARY!J52</f>
        <v>1.5242074219710003E-2</v>
      </c>
      <c r="W49" s="168"/>
      <c r="X49" s="168"/>
      <c r="Y49" s="527"/>
      <c r="Z49" s="527"/>
    </row>
    <row r="50" spans="1:26" s="167" customFormat="1">
      <c r="A50" s="163">
        <v>270</v>
      </c>
      <c r="B50" s="170" t="s">
        <v>203</v>
      </c>
      <c r="C50" s="490">
        <f>'[8]Sch C'!D35</f>
        <v>1342.78</v>
      </c>
      <c r="D50" s="490">
        <f>'[8]Sch C'!F35</f>
        <v>-1342.78</v>
      </c>
      <c r="E50" s="171">
        <f t="shared" si="4"/>
        <v>0</v>
      </c>
      <c r="F50" s="490"/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  <c r="W50" s="168"/>
      <c r="X50" s="168"/>
      <c r="Y50" s="527"/>
      <c r="Z50" s="527"/>
    </row>
    <row r="51" spans="1:26" s="167" customFormat="1">
      <c r="A51" s="163">
        <v>280</v>
      </c>
      <c r="B51" s="170" t="s">
        <v>204</v>
      </c>
      <c r="C51" s="490">
        <f>'[8]Sch C'!D36</f>
        <v>0</v>
      </c>
      <c r="D51" s="490">
        <f>'[8]Sch C'!F36</f>
        <v>0</v>
      </c>
      <c r="E51" s="171">
        <f t="shared" si="4"/>
        <v>0</v>
      </c>
      <c r="F51" s="490"/>
      <c r="G51" s="171">
        <f t="shared" si="5"/>
        <v>0</v>
      </c>
      <c r="H51" s="172">
        <f t="shared" si="6"/>
        <v>0</v>
      </c>
      <c r="I51" s="337"/>
      <c r="J51" s="183">
        <v>0</v>
      </c>
      <c r="K51" s="183">
        <v>0</v>
      </c>
      <c r="M51" s="359">
        <f t="shared" si="7"/>
        <v>0</v>
      </c>
      <c r="N51" s="359">
        <f>SUMMARY!J54</f>
        <v>0.46828948963709344</v>
      </c>
      <c r="W51" s="183">
        <v>0</v>
      </c>
      <c r="X51" s="183">
        <v>0</v>
      </c>
      <c r="Y51" s="492">
        <v>0</v>
      </c>
      <c r="Z51" s="492">
        <v>0</v>
      </c>
    </row>
    <row r="52" spans="1:26" s="167" customFormat="1">
      <c r="A52" s="163">
        <v>290</v>
      </c>
      <c r="B52" s="170" t="s">
        <v>205</v>
      </c>
      <c r="C52" s="490">
        <f>'[8]Sch C'!D37</f>
        <v>0</v>
      </c>
      <c r="D52" s="490">
        <f>'[8]Sch C'!F37</f>
        <v>0</v>
      </c>
      <c r="E52" s="171">
        <f t="shared" si="4"/>
        <v>0</v>
      </c>
      <c r="F52" s="490"/>
      <c r="G52" s="171">
        <f t="shared" si="5"/>
        <v>0</v>
      </c>
      <c r="H52" s="172">
        <f t="shared" si="6"/>
        <v>0</v>
      </c>
      <c r="I52" s="337"/>
      <c r="J52" s="168"/>
      <c r="K52" s="168"/>
      <c r="M52" s="359">
        <f t="shared" si="7"/>
        <v>0</v>
      </c>
      <c r="N52" s="359">
        <f>SUMMARY!J55</f>
        <v>7.2094073659366972E-2</v>
      </c>
      <c r="W52" s="168"/>
      <c r="X52" s="168"/>
      <c r="Y52" s="527"/>
      <c r="Z52" s="527"/>
    </row>
    <row r="53" spans="1:26" s="167" customFormat="1">
      <c r="A53" s="163">
        <v>300</v>
      </c>
      <c r="B53" s="170" t="s">
        <v>206</v>
      </c>
      <c r="C53" s="490">
        <f>'[8]Sch C'!D38</f>
        <v>206.32</v>
      </c>
      <c r="D53" s="490">
        <f>'[8]Sch C'!F38</f>
        <v>0</v>
      </c>
      <c r="E53" s="171">
        <f t="shared" si="4"/>
        <v>206.32</v>
      </c>
      <c r="F53" s="490"/>
      <c r="G53" s="171">
        <f t="shared" si="5"/>
        <v>206.32</v>
      </c>
      <c r="H53" s="172">
        <f t="shared" si="6"/>
        <v>8.5750996479196722E-5</v>
      </c>
      <c r="I53" s="337"/>
      <c r="J53" s="168"/>
      <c r="K53" s="168"/>
      <c r="M53" s="359">
        <f t="shared" si="7"/>
        <v>2.1281072717895821E-2</v>
      </c>
      <c r="N53" s="359">
        <f>SUMMARY!J56</f>
        <v>3.3816553343709896E-3</v>
      </c>
      <c r="W53" s="168"/>
      <c r="X53" s="168"/>
      <c r="Y53" s="527"/>
      <c r="Z53" s="527"/>
    </row>
    <row r="54" spans="1:26" s="167" customFormat="1">
      <c r="A54" s="163">
        <v>310</v>
      </c>
      <c r="B54" s="170" t="s">
        <v>207</v>
      </c>
      <c r="C54" s="490">
        <f>'[8]Sch C'!D39</f>
        <v>1255.9000000000001</v>
      </c>
      <c r="D54" s="490">
        <f>'[8]Sch C'!F39</f>
        <v>0</v>
      </c>
      <c r="E54" s="171">
        <f t="shared" si="4"/>
        <v>1255.9000000000001</v>
      </c>
      <c r="F54" s="490"/>
      <c r="G54" s="171">
        <f t="shared" si="5"/>
        <v>1255.9000000000001</v>
      </c>
      <c r="H54" s="172">
        <f t="shared" si="6"/>
        <v>5.2197885070872036E-4</v>
      </c>
      <c r="I54" s="337"/>
      <c r="J54" s="168"/>
      <c r="K54" s="168"/>
      <c r="M54" s="359">
        <f t="shared" si="7"/>
        <v>0.12954100051572975</v>
      </c>
      <c r="N54" s="359">
        <f>SUMMARY!J57</f>
        <v>0.29995180907129787</v>
      </c>
      <c r="W54" s="168"/>
      <c r="X54" s="168"/>
      <c r="Y54" s="527"/>
      <c r="Z54" s="527"/>
    </row>
    <row r="55" spans="1:26" s="167" customFormat="1">
      <c r="A55" s="163">
        <v>320</v>
      </c>
      <c r="B55" s="170" t="s">
        <v>208</v>
      </c>
      <c r="C55" s="490">
        <f>'[8]Sch C'!D40</f>
        <v>8578.76</v>
      </c>
      <c r="D55" s="490">
        <f>'[8]Sch C'!F40</f>
        <v>0</v>
      </c>
      <c r="E55" s="171">
        <f t="shared" si="4"/>
        <v>8578.76</v>
      </c>
      <c r="F55" s="490"/>
      <c r="G55" s="171">
        <f t="shared" si="5"/>
        <v>8578.76</v>
      </c>
      <c r="H55" s="172">
        <f t="shared" si="6"/>
        <v>3.5655157936984963E-3</v>
      </c>
      <c r="I55" s="337"/>
      <c r="J55" s="168"/>
      <c r="K55" s="168"/>
      <c r="M55" s="359">
        <f t="shared" si="7"/>
        <v>0.88486436307374938</v>
      </c>
      <c r="N55" s="359">
        <f>SUMMARY!J58</f>
        <v>0.15756469785095983</v>
      </c>
      <c r="W55" s="168"/>
      <c r="X55" s="168"/>
      <c r="Y55" s="527"/>
      <c r="Z55" s="527"/>
    </row>
    <row r="56" spans="1:26" s="167" customFormat="1">
      <c r="A56" s="163">
        <v>330</v>
      </c>
      <c r="B56" s="170" t="s">
        <v>48</v>
      </c>
      <c r="C56" s="490">
        <f>'[8]Sch C'!D41</f>
        <v>32211.53</v>
      </c>
      <c r="D56" s="490">
        <f>'[8]Sch C'!F41</f>
        <v>-5556</v>
      </c>
      <c r="E56" s="171">
        <f t="shared" si="4"/>
        <v>26655.53</v>
      </c>
      <c r="F56" s="490"/>
      <c r="G56" s="171">
        <f t="shared" si="5"/>
        <v>26655.53</v>
      </c>
      <c r="H56" s="172">
        <f t="shared" si="6"/>
        <v>1.1078607305065543E-2</v>
      </c>
      <c r="I56" s="337"/>
      <c r="J56" s="168"/>
      <c r="K56" s="168"/>
      <c r="M56" s="359">
        <f t="shared" si="7"/>
        <v>2.7494100051572974</v>
      </c>
      <c r="N56" s="359">
        <f>SUMMARY!J59</f>
        <v>1.9820866333524478</v>
      </c>
      <c r="W56" s="168"/>
      <c r="X56" s="168"/>
      <c r="Y56" s="527"/>
      <c r="Z56" s="527"/>
    </row>
    <row r="57" spans="1:26" s="167" customFormat="1">
      <c r="A57" s="163">
        <v>340</v>
      </c>
      <c r="B57" s="170" t="s">
        <v>209</v>
      </c>
      <c r="C57" s="490">
        <f>'[8]Sch C'!D42</f>
        <v>0</v>
      </c>
      <c r="D57" s="490">
        <f>'[8]Sch C'!F42</f>
        <v>0</v>
      </c>
      <c r="E57" s="171">
        <f t="shared" si="4"/>
        <v>0</v>
      </c>
      <c r="F57" s="490"/>
      <c r="G57" s="171">
        <f t="shared" si="5"/>
        <v>0</v>
      </c>
      <c r="H57" s="172">
        <f t="shared" si="6"/>
        <v>0</v>
      </c>
      <c r="I57" s="337"/>
      <c r="J57" s="168"/>
      <c r="K57" s="168"/>
      <c r="M57" s="359">
        <f t="shared" si="7"/>
        <v>0</v>
      </c>
      <c r="N57" s="359">
        <f>SUMMARY!J60</f>
        <v>0.1328047459108162</v>
      </c>
      <c r="W57" s="168"/>
      <c r="X57" s="168"/>
      <c r="Y57" s="527"/>
      <c r="Z57" s="527"/>
    </row>
    <row r="58" spans="1:26" s="167" customFormat="1">
      <c r="A58" s="163">
        <v>350</v>
      </c>
      <c r="B58" s="170" t="s">
        <v>210</v>
      </c>
      <c r="C58" s="490">
        <f>'[8]Sch C'!D43</f>
        <v>0</v>
      </c>
      <c r="D58" s="490">
        <f>'[8]Sch C'!F43</f>
        <v>0</v>
      </c>
      <c r="E58" s="171">
        <f t="shared" si="4"/>
        <v>0</v>
      </c>
      <c r="F58" s="490"/>
      <c r="G58" s="171">
        <f t="shared" si="5"/>
        <v>0</v>
      </c>
      <c r="H58" s="172">
        <f t="shared" si="6"/>
        <v>0</v>
      </c>
      <c r="I58" s="337"/>
      <c r="J58" s="168"/>
      <c r="K58" s="168"/>
      <c r="M58" s="359">
        <f t="shared" si="7"/>
        <v>0</v>
      </c>
      <c r="N58" s="359">
        <f>SUMMARY!J61</f>
        <v>0.16717675650583</v>
      </c>
      <c r="W58" s="168"/>
      <c r="X58" s="168"/>
      <c r="Y58" s="527"/>
      <c r="Z58" s="527"/>
    </row>
    <row r="59" spans="1:26" s="167" customFormat="1">
      <c r="A59" s="163">
        <v>360</v>
      </c>
      <c r="B59" s="170" t="s">
        <v>211</v>
      </c>
      <c r="C59" s="490">
        <f>'[8]Sch C'!D44</f>
        <v>0</v>
      </c>
      <c r="D59" s="490">
        <f>'[8]Sch C'!F44</f>
        <v>0</v>
      </c>
      <c r="E59" s="171">
        <f t="shared" si="4"/>
        <v>0</v>
      </c>
      <c r="F59" s="490"/>
      <c r="G59" s="171">
        <f t="shared" si="5"/>
        <v>0</v>
      </c>
      <c r="H59" s="172">
        <f t="shared" si="6"/>
        <v>0</v>
      </c>
      <c r="I59" s="337"/>
      <c r="J59" s="168"/>
      <c r="K59" s="168"/>
      <c r="M59" s="359">
        <f t="shared" si="7"/>
        <v>0</v>
      </c>
      <c r="N59" s="359">
        <f>SUMMARY!J62</f>
        <v>8.7222686436743951E-3</v>
      </c>
      <c r="W59" s="168"/>
      <c r="X59" s="168"/>
      <c r="Y59" s="527"/>
      <c r="Z59" s="527"/>
    </row>
    <row r="60" spans="1:26" s="167" customFormat="1">
      <c r="A60" s="163">
        <v>490</v>
      </c>
      <c r="B60" s="170" t="s">
        <v>36</v>
      </c>
      <c r="C60" s="490">
        <f>'[8]Sch C'!D45</f>
        <v>93187</v>
      </c>
      <c r="D60" s="490">
        <f>'[8]Sch C'!F45</f>
        <v>-75810</v>
      </c>
      <c r="E60" s="171">
        <f t="shared" si="4"/>
        <v>17377</v>
      </c>
      <c r="F60" s="490"/>
      <c r="G60" s="171">
        <f t="shared" si="5"/>
        <v>17377</v>
      </c>
      <c r="H60" s="172">
        <f t="shared" si="6"/>
        <v>7.2222521608133073E-3</v>
      </c>
      <c r="I60" s="337"/>
      <c r="J60" s="168"/>
      <c r="K60" s="168"/>
      <c r="M60" s="359">
        <f t="shared" si="7"/>
        <v>1.7923671995874162</v>
      </c>
      <c r="N60" s="359">
        <f>SUMMARY!J63</f>
        <v>0.27778677807815194</v>
      </c>
      <c r="W60" s="168"/>
      <c r="X60" s="168"/>
      <c r="Y60" s="527"/>
      <c r="Z60" s="527"/>
    </row>
    <row r="61" spans="1:26" s="167" customFormat="1">
      <c r="A61" s="163"/>
      <c r="B61" s="170" t="s">
        <v>177</v>
      </c>
      <c r="C61" s="490">
        <f>SUM(C25:C60)</f>
        <v>597528.46</v>
      </c>
      <c r="D61" s="490">
        <f>SUM(D25:D60)</f>
        <v>-40152.959999999999</v>
      </c>
      <c r="E61" s="171">
        <f t="shared" ref="E61:F61" si="8">SUM(E25:E60)</f>
        <v>557375.5</v>
      </c>
      <c r="F61" s="171">
        <f t="shared" si="8"/>
        <v>0</v>
      </c>
      <c r="G61" s="171">
        <f>SUM(G25:G60)</f>
        <v>557375.5</v>
      </c>
      <c r="H61" s="186">
        <f t="shared" si="6"/>
        <v>0.23165715654367253</v>
      </c>
      <c r="I61" s="339"/>
      <c r="J61" s="168"/>
      <c r="K61" s="168"/>
      <c r="M61" s="364">
        <f>G61/G$228</f>
        <v>57.491026302217641</v>
      </c>
      <c r="N61" s="359">
        <f>SUMMARY!J64</f>
        <v>50.526072695090264</v>
      </c>
      <c r="W61" s="168"/>
      <c r="X61" s="168"/>
      <c r="Y61" s="527"/>
      <c r="Z61" s="527"/>
    </row>
    <row r="62" spans="1:26" s="167" customFormat="1">
      <c r="A62" s="163"/>
      <c r="C62" s="165"/>
      <c r="D62" s="165"/>
      <c r="E62" s="165"/>
      <c r="F62" s="165"/>
      <c r="G62" s="165"/>
      <c r="H62" s="187"/>
      <c r="I62" s="340"/>
      <c r="J62" s="168"/>
      <c r="K62" s="168"/>
      <c r="M62" s="359"/>
      <c r="N62" s="359"/>
      <c r="W62" s="168"/>
      <c r="X62" s="168"/>
      <c r="Y62" s="527"/>
      <c r="Z62" s="527"/>
    </row>
    <row r="63" spans="1:26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40"/>
      <c r="J63" s="168"/>
      <c r="K63" s="168"/>
      <c r="M63" s="359"/>
      <c r="N63" s="359"/>
      <c r="W63" s="168"/>
      <c r="X63" s="168"/>
      <c r="Y63" s="527"/>
      <c r="Z63" s="527"/>
    </row>
    <row r="64" spans="1:26" s="167" customFormat="1">
      <c r="A64" s="188">
        <v>230</v>
      </c>
      <c r="B64" s="189" t="s">
        <v>253</v>
      </c>
      <c r="C64" s="490">
        <f>'[8]Sch C'!D57</f>
        <v>69600</v>
      </c>
      <c r="D64" s="490">
        <f>'[8]Sch C'!F57</f>
        <v>0</v>
      </c>
      <c r="E64" s="171">
        <f t="shared" ref="E64:E78" si="9">C64+D64</f>
        <v>69600</v>
      </c>
      <c r="F64" s="490"/>
      <c r="G64" s="171">
        <f t="shared" ref="G64:G78" si="10">E64+F64</f>
        <v>69600</v>
      </c>
      <c r="H64" s="172">
        <f t="shared" ref="H64:H79" si="11">IF($G$208=0,0,G64/$G$208)</f>
        <v>2.8927245807251319E-2</v>
      </c>
      <c r="I64" s="337"/>
      <c r="J64" s="190"/>
      <c r="K64" s="168"/>
      <c r="M64" s="359">
        <f t="shared" ref="M64:M79" si="12">G64/G$228</f>
        <v>7.1789582258896338</v>
      </c>
      <c r="N64" s="359">
        <f>SUMMARY!J67</f>
        <v>6.8038026869828787</v>
      </c>
      <c r="W64" s="190"/>
      <c r="X64" s="168"/>
      <c r="Y64" s="528"/>
      <c r="Z64" s="527"/>
    </row>
    <row r="65" spans="1:26" s="167" customFormat="1">
      <c r="A65" s="191">
        <v>240</v>
      </c>
      <c r="B65" s="189" t="s">
        <v>254</v>
      </c>
      <c r="C65" s="490">
        <f>'[8]Sch C'!D58</f>
        <v>12258.96</v>
      </c>
      <c r="D65" s="490">
        <f>'[8]Sch C'!F58</f>
        <v>0</v>
      </c>
      <c r="E65" s="171">
        <f t="shared" si="9"/>
        <v>12258.96</v>
      </c>
      <c r="F65" s="490"/>
      <c r="G65" s="171">
        <f t="shared" si="10"/>
        <v>12258.96</v>
      </c>
      <c r="H65" s="172">
        <f t="shared" si="11"/>
        <v>5.0950854778916898E-3</v>
      </c>
      <c r="I65" s="337"/>
      <c r="J65" s="190"/>
      <c r="K65" s="168"/>
      <c r="M65" s="359">
        <f t="shared" si="12"/>
        <v>1.2644620938628157</v>
      </c>
      <c r="N65" s="359">
        <f>SUMMARY!J68</f>
        <v>4.9854394272867122</v>
      </c>
      <c r="W65" s="190"/>
      <c r="X65" s="168"/>
      <c r="Y65" s="528"/>
      <c r="Z65" s="527"/>
    </row>
    <row r="66" spans="1:26" s="167" customFormat="1">
      <c r="A66" s="142">
        <v>250</v>
      </c>
      <c r="B66" s="189" t="s">
        <v>307</v>
      </c>
      <c r="C66" s="490">
        <f>'[8]Sch C'!D59</f>
        <v>0</v>
      </c>
      <c r="D66" s="490">
        <f>'[8]Sch C'!F59</f>
        <v>0</v>
      </c>
      <c r="E66" s="171">
        <f t="shared" si="9"/>
        <v>0</v>
      </c>
      <c r="F66" s="490"/>
      <c r="G66" s="171">
        <f t="shared" si="10"/>
        <v>0</v>
      </c>
      <c r="H66" s="172">
        <f t="shared" si="11"/>
        <v>0</v>
      </c>
      <c r="I66" s="337"/>
      <c r="J66" s="190"/>
      <c r="K66" s="168"/>
      <c r="M66" s="359">
        <f t="shared" si="12"/>
        <v>0</v>
      </c>
      <c r="N66" s="359">
        <f>SUMMARY!J69</f>
        <v>3.9573657628136862</v>
      </c>
      <c r="W66" s="190"/>
      <c r="X66" s="168"/>
      <c r="Y66" s="528"/>
      <c r="Z66" s="527"/>
    </row>
    <row r="67" spans="1:26" s="167" customFormat="1">
      <c r="A67" s="142">
        <v>260</v>
      </c>
      <c r="B67" s="192" t="s">
        <v>308</v>
      </c>
      <c r="C67" s="490">
        <f>'[8]Sch C'!D60</f>
        <v>0</v>
      </c>
      <c r="D67" s="490">
        <f>'[8]Sch C'!F60</f>
        <v>2917</v>
      </c>
      <c r="E67" s="171">
        <f t="shared" si="9"/>
        <v>2917</v>
      </c>
      <c r="F67" s="490"/>
      <c r="G67" s="171">
        <f t="shared" si="10"/>
        <v>2917</v>
      </c>
      <c r="H67" s="172">
        <f t="shared" si="11"/>
        <v>1.2123674715481623E-3</v>
      </c>
      <c r="I67" s="337"/>
      <c r="J67" s="193"/>
      <c r="K67" s="168"/>
      <c r="M67" s="359">
        <f t="shared" si="12"/>
        <v>0.3008767405879319</v>
      </c>
      <c r="N67" s="359">
        <f>SUMMARY!J70</f>
        <v>1.1060813959203737</v>
      </c>
      <c r="W67" s="193"/>
      <c r="X67" s="168"/>
      <c r="Y67" s="529"/>
      <c r="Z67" s="527"/>
    </row>
    <row r="68" spans="1:26" s="167" customFormat="1">
      <c r="A68" s="142">
        <v>270</v>
      </c>
      <c r="B68" s="192" t="s">
        <v>309</v>
      </c>
      <c r="C68" s="490">
        <f>'[8]Sch C'!D61</f>
        <v>9370.7999999999993</v>
      </c>
      <c r="D68" s="490">
        <f>'[8]Sch C'!F61</f>
        <v>-6863</v>
      </c>
      <c r="E68" s="171">
        <f t="shared" si="9"/>
        <v>2507.7999999999993</v>
      </c>
      <c r="F68" s="490"/>
      <c r="G68" s="171">
        <f t="shared" si="10"/>
        <v>2507.7999999999993</v>
      </c>
      <c r="H68" s="172">
        <f t="shared" si="11"/>
        <v>1.042295216026219E-3</v>
      </c>
      <c r="I68" s="337"/>
      <c r="J68" s="193"/>
      <c r="K68" s="168"/>
      <c r="M68" s="359">
        <f t="shared" si="12"/>
        <v>0.25866941722537384</v>
      </c>
      <c r="N68" s="359">
        <f>SUMMARY!J71</f>
        <v>0.49146009120450013</v>
      </c>
      <c r="W68" s="193"/>
      <c r="X68" s="168"/>
      <c r="Y68" s="529"/>
      <c r="Z68" s="527"/>
    </row>
    <row r="69" spans="1:26" s="167" customFormat="1">
      <c r="A69" s="142">
        <v>280</v>
      </c>
      <c r="B69" s="194" t="s">
        <v>258</v>
      </c>
      <c r="C69" s="490">
        <f>'[8]Sch C'!D62</f>
        <v>0</v>
      </c>
      <c r="D69" s="490">
        <f>'[8]Sch C'!F62</f>
        <v>0</v>
      </c>
      <c r="E69" s="171">
        <f t="shared" si="9"/>
        <v>0</v>
      </c>
      <c r="F69" s="490"/>
      <c r="G69" s="171">
        <f t="shared" si="10"/>
        <v>0</v>
      </c>
      <c r="H69" s="172">
        <f t="shared" si="11"/>
        <v>0</v>
      </c>
      <c r="I69" s="337"/>
      <c r="J69" s="195"/>
      <c r="K69" s="168"/>
      <c r="M69" s="359">
        <f t="shared" si="12"/>
        <v>0</v>
      </c>
      <c r="N69" s="359">
        <f>SUMMARY!J72</f>
        <v>0.1883559924633407</v>
      </c>
      <c r="W69" s="195"/>
      <c r="X69" s="168"/>
      <c r="Y69" s="530"/>
      <c r="Z69" s="527"/>
    </row>
    <row r="70" spans="1:26" s="167" customFormat="1">
      <c r="A70" s="142">
        <v>290</v>
      </c>
      <c r="B70" s="194" t="s">
        <v>259</v>
      </c>
      <c r="C70" s="490">
        <f>'[8]Sch C'!D63</f>
        <v>0</v>
      </c>
      <c r="D70" s="490">
        <f>'[8]Sch C'!F63</f>
        <v>0</v>
      </c>
      <c r="E70" s="171">
        <f t="shared" si="9"/>
        <v>0</v>
      </c>
      <c r="F70" s="490"/>
      <c r="G70" s="171">
        <f t="shared" si="10"/>
        <v>0</v>
      </c>
      <c r="H70" s="172">
        <f t="shared" si="11"/>
        <v>0</v>
      </c>
      <c r="I70" s="337"/>
      <c r="J70" s="195"/>
      <c r="K70" s="168"/>
      <c r="M70" s="359">
        <f t="shared" si="12"/>
        <v>0</v>
      </c>
      <c r="N70" s="359">
        <f>SUMMARY!J73</f>
        <v>5.2595996832418557E-3</v>
      </c>
      <c r="W70" s="195"/>
      <c r="X70" s="168"/>
      <c r="Y70" s="530"/>
      <c r="Z70" s="527"/>
    </row>
    <row r="71" spans="1:26" s="167" customFormat="1">
      <c r="A71" s="142">
        <v>300</v>
      </c>
      <c r="B71" s="194" t="s">
        <v>260</v>
      </c>
      <c r="C71" s="490">
        <f>'[8]Sch C'!D64</f>
        <v>0</v>
      </c>
      <c r="D71" s="490">
        <f>'[8]Sch C'!F64</f>
        <v>0</v>
      </c>
      <c r="E71" s="171">
        <f t="shared" si="9"/>
        <v>0</v>
      </c>
      <c r="F71" s="490"/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  <c r="W71" s="195"/>
      <c r="X71" s="168"/>
      <c r="Y71" s="530"/>
      <c r="Z71" s="527"/>
    </row>
    <row r="72" spans="1:26" s="167" customFormat="1">
      <c r="A72" s="142">
        <v>310</v>
      </c>
      <c r="B72" s="194" t="s">
        <v>310</v>
      </c>
      <c r="C72" s="490">
        <f>'[8]Sch C'!D65</f>
        <v>1155.96</v>
      </c>
      <c r="D72" s="490">
        <f>'[8]Sch C'!F65</f>
        <v>0</v>
      </c>
      <c r="E72" s="171">
        <f t="shared" si="9"/>
        <v>1155.96</v>
      </c>
      <c r="F72" s="490"/>
      <c r="G72" s="171">
        <f t="shared" si="10"/>
        <v>1155.96</v>
      </c>
      <c r="H72" s="172">
        <f t="shared" si="11"/>
        <v>4.8044165320905511E-4</v>
      </c>
      <c r="I72" s="337"/>
      <c r="J72" s="195"/>
      <c r="K72" s="168"/>
      <c r="M72" s="359">
        <f t="shared" si="12"/>
        <v>0.11923259412068077</v>
      </c>
      <c r="N72" s="359">
        <f>SUMMARY!J75</f>
        <v>0.1407368559023511</v>
      </c>
      <c r="W72" s="195"/>
      <c r="X72" s="168"/>
      <c r="Y72" s="530"/>
      <c r="Z72" s="527"/>
    </row>
    <row r="73" spans="1:26" s="167" customFormat="1">
      <c r="A73" s="142">
        <v>320</v>
      </c>
      <c r="B73" s="194" t="s">
        <v>262</v>
      </c>
      <c r="C73" s="490">
        <f>'[8]Sch C'!D66</f>
        <v>41522.6</v>
      </c>
      <c r="D73" s="490">
        <f>'[8]Sch C'!F66</f>
        <v>-8537</v>
      </c>
      <c r="E73" s="171">
        <f t="shared" si="9"/>
        <v>32985.599999999999</v>
      </c>
      <c r="F73" s="490"/>
      <c r="G73" s="171">
        <f t="shared" si="10"/>
        <v>32985.599999999999</v>
      </c>
      <c r="H73" s="172">
        <f t="shared" si="11"/>
        <v>1.370951953016766E-2</v>
      </c>
      <c r="I73" s="337"/>
      <c r="J73" s="195"/>
      <c r="K73" s="168"/>
      <c r="M73" s="359">
        <f t="shared" si="12"/>
        <v>3.4023310985043835</v>
      </c>
      <c r="N73" s="359">
        <f>SUMMARY!J76</f>
        <v>1.0094065700008192</v>
      </c>
      <c r="W73" s="195"/>
      <c r="X73" s="168"/>
      <c r="Y73" s="530"/>
      <c r="Z73" s="527"/>
    </row>
    <row r="74" spans="1:26" s="167" customFormat="1">
      <c r="A74" s="142">
        <v>330</v>
      </c>
      <c r="B74" s="194" t="s">
        <v>263</v>
      </c>
      <c r="C74" s="490">
        <f>'[8]Sch C'!D67</f>
        <v>37784.5</v>
      </c>
      <c r="D74" s="490">
        <f>'[8]Sch C'!F67</f>
        <v>0</v>
      </c>
      <c r="E74" s="171">
        <f t="shared" si="9"/>
        <v>37784.5</v>
      </c>
      <c r="F74" s="490"/>
      <c r="G74" s="171">
        <f t="shared" si="10"/>
        <v>37784.5</v>
      </c>
      <c r="H74" s="172">
        <f t="shared" si="11"/>
        <v>1.5704044816150682E-2</v>
      </c>
      <c r="I74" s="337"/>
      <c r="J74" s="195"/>
      <c r="K74" s="168"/>
      <c r="M74" s="359">
        <f t="shared" si="12"/>
        <v>3.8973182052604436</v>
      </c>
      <c r="N74" s="359">
        <f>SUMMARY!J77</f>
        <v>2.7436852176043502</v>
      </c>
      <c r="W74" s="195"/>
      <c r="X74" s="168"/>
      <c r="Y74" s="530"/>
      <c r="Z74" s="527"/>
    </row>
    <row r="75" spans="1:26" s="167" customFormat="1">
      <c r="A75" s="142">
        <v>340</v>
      </c>
      <c r="B75" s="194" t="s">
        <v>264</v>
      </c>
      <c r="C75" s="490">
        <f>'[8]Sch C'!D68</f>
        <v>0</v>
      </c>
      <c r="D75" s="490">
        <f>'[8]Sch C'!F68</f>
        <v>0</v>
      </c>
      <c r="E75" s="171">
        <f t="shared" si="9"/>
        <v>0</v>
      </c>
      <c r="F75" s="490"/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  <c r="W75" s="195"/>
      <c r="X75" s="168"/>
      <c r="Y75" s="530"/>
      <c r="Z75" s="527"/>
    </row>
    <row r="76" spans="1:26" s="167" customFormat="1">
      <c r="A76" s="167">
        <v>350</v>
      </c>
      <c r="B76" s="194" t="s">
        <v>311</v>
      </c>
      <c r="C76" s="490">
        <f>'[8]Sch C'!D69</f>
        <v>2916.78</v>
      </c>
      <c r="D76" s="490">
        <f>'[8]Sch C'!F69</f>
        <v>-2917</v>
      </c>
      <c r="E76" s="171">
        <f t="shared" si="9"/>
        <v>-0.21999999999979991</v>
      </c>
      <c r="F76" s="490"/>
      <c r="G76" s="171">
        <f t="shared" si="10"/>
        <v>-0.21999999999979991</v>
      </c>
      <c r="H76" s="172">
        <f t="shared" si="11"/>
        <v>-9.1436696517090555E-8</v>
      </c>
      <c r="I76" s="337"/>
      <c r="J76" s="195"/>
      <c r="K76" s="168"/>
      <c r="M76" s="359">
        <f t="shared" si="12"/>
        <v>-2.2692109334687973E-5</v>
      </c>
      <c r="N76" s="359">
        <f>SUMMARY!J79</f>
        <v>0.13125994920946998</v>
      </c>
      <c r="W76" s="195"/>
      <c r="X76" s="168"/>
      <c r="Y76" s="530"/>
      <c r="Z76" s="527"/>
    </row>
    <row r="77" spans="1:26" s="167" customFormat="1">
      <c r="A77" s="142">
        <v>360</v>
      </c>
      <c r="B77" s="194" t="s">
        <v>192</v>
      </c>
      <c r="C77" s="490">
        <f>'[8]Sch C'!D70</f>
        <v>0</v>
      </c>
      <c r="D77" s="490">
        <f>'[8]Sch C'!F70</f>
        <v>0</v>
      </c>
      <c r="E77" s="171">
        <f t="shared" si="9"/>
        <v>0</v>
      </c>
      <c r="F77" s="490"/>
      <c r="G77" s="171">
        <f t="shared" si="10"/>
        <v>0</v>
      </c>
      <c r="H77" s="172">
        <f t="shared" si="11"/>
        <v>0</v>
      </c>
      <c r="I77" s="337"/>
      <c r="J77" s="195"/>
      <c r="K77" s="168"/>
      <c r="M77" s="359">
        <f t="shared" si="12"/>
        <v>0</v>
      </c>
      <c r="N77" s="359">
        <f>SUMMARY!J80</f>
        <v>-2.2034898009338905E-2</v>
      </c>
      <c r="W77" s="195"/>
      <c r="X77" s="168"/>
      <c r="Y77" s="530"/>
      <c r="Z77" s="527"/>
    </row>
    <row r="78" spans="1:26" s="167" customFormat="1">
      <c r="A78" s="142">
        <v>490</v>
      </c>
      <c r="B78" s="194" t="s">
        <v>312</v>
      </c>
      <c r="C78" s="490">
        <f>'[8]Sch C'!D71</f>
        <v>0</v>
      </c>
      <c r="D78" s="490">
        <f>'[8]Sch C'!F71</f>
        <v>0</v>
      </c>
      <c r="E78" s="171">
        <f t="shared" si="9"/>
        <v>0</v>
      </c>
      <c r="F78" s="490"/>
      <c r="G78" s="171">
        <f t="shared" si="10"/>
        <v>0</v>
      </c>
      <c r="H78" s="172">
        <f t="shared" si="11"/>
        <v>0</v>
      </c>
      <c r="I78" s="337"/>
      <c r="J78" s="195"/>
      <c r="K78" s="168"/>
      <c r="M78" s="359">
        <f t="shared" si="12"/>
        <v>0</v>
      </c>
      <c r="N78" s="359">
        <f>SUMMARY!J81</f>
        <v>3.1060648261926221E-3</v>
      </c>
      <c r="W78" s="195"/>
      <c r="X78" s="168"/>
      <c r="Y78" s="530"/>
      <c r="Z78" s="527"/>
    </row>
    <row r="79" spans="1:26" s="167" customFormat="1">
      <c r="A79" s="163"/>
      <c r="B79" s="170" t="s">
        <v>150</v>
      </c>
      <c r="C79" s="490">
        <f>SUM(C64:C78)</f>
        <v>174609.6</v>
      </c>
      <c r="D79" s="490">
        <f>SUM(D64:D78)</f>
        <v>-15400</v>
      </c>
      <c r="E79" s="171">
        <f t="shared" ref="E79:F79" si="13">SUM(E64:E78)</f>
        <v>159209.60000000001</v>
      </c>
      <c r="F79" s="171">
        <f t="shared" si="13"/>
        <v>0</v>
      </c>
      <c r="G79" s="171">
        <f>SUM(G64:G78)</f>
        <v>159209.60000000001</v>
      </c>
      <c r="H79" s="172">
        <f t="shared" si="11"/>
        <v>6.6170908535548273E-2</v>
      </c>
      <c r="I79" s="337"/>
      <c r="J79" s="195"/>
      <c r="K79" s="168"/>
      <c r="M79" s="359">
        <f t="shared" si="12"/>
        <v>16.421825683341929</v>
      </c>
      <c r="N79" s="359">
        <f>SUMMARY!J82</f>
        <v>21.548739024618541</v>
      </c>
      <c r="W79" s="195"/>
      <c r="X79" s="168"/>
      <c r="Y79" s="530"/>
      <c r="Z79" s="527"/>
    </row>
    <row r="80" spans="1:26" s="167" customFormat="1">
      <c r="A80" s="163"/>
      <c r="B80" s="170"/>
      <c r="C80" s="196"/>
      <c r="D80" s="196"/>
      <c r="E80" s="196"/>
      <c r="F80" s="196"/>
      <c r="G80" s="196"/>
      <c r="H80" s="197"/>
      <c r="I80" s="337"/>
      <c r="J80" s="168"/>
      <c r="K80" s="168"/>
      <c r="M80" s="359"/>
      <c r="N80" s="359"/>
      <c r="W80" s="168"/>
      <c r="X80" s="168"/>
      <c r="Y80" s="527"/>
      <c r="Z80" s="527"/>
    </row>
    <row r="81" spans="1:26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1"/>
      <c r="J81" s="168"/>
      <c r="K81" s="168"/>
      <c r="M81" s="359"/>
      <c r="N81" s="359"/>
      <c r="W81" s="168"/>
      <c r="X81" s="168"/>
      <c r="Y81" s="527"/>
      <c r="Z81" s="527"/>
    </row>
    <row r="82" spans="1:26" s="167" customFormat="1">
      <c r="A82" s="169" t="s">
        <v>85</v>
      </c>
      <c r="B82" s="148" t="s">
        <v>44</v>
      </c>
      <c r="C82" s="490">
        <f>'[8]Sch C'!D75</f>
        <v>28018.93</v>
      </c>
      <c r="D82" s="490">
        <f>'[8]Sch C'!F75</f>
        <v>0</v>
      </c>
      <c r="E82" s="171">
        <f t="shared" ref="E82:E92" si="14">C82+D82</f>
        <v>28018.93</v>
      </c>
      <c r="F82" s="490"/>
      <c r="G82" s="171">
        <f t="shared" ref="G82:G92" si="15">E82+F82</f>
        <v>28018.93</v>
      </c>
      <c r="H82" s="172">
        <f t="shared" ref="H82:H93" si="16">IF($G$208=0,0,G82/$G$208)</f>
        <v>1.1645265450663337E-2</v>
      </c>
      <c r="I82" s="337"/>
      <c r="J82" s="183">
        <v>1676</v>
      </c>
      <c r="K82" s="183">
        <v>1801</v>
      </c>
      <c r="M82" s="359">
        <f t="shared" ref="M82:M92" si="17">G82/G$228</f>
        <v>2.8900391954615783</v>
      </c>
      <c r="N82" s="359">
        <f>SUMMARY!J85</f>
        <v>2.3611771060320579</v>
      </c>
      <c r="W82" s="183">
        <v>955</v>
      </c>
      <c r="X82" s="183">
        <v>1050</v>
      </c>
      <c r="Y82" s="492">
        <v>597</v>
      </c>
      <c r="Z82" s="492">
        <v>652</v>
      </c>
    </row>
    <row r="83" spans="1:26" s="167" customFormat="1">
      <c r="A83" s="169" t="s">
        <v>86</v>
      </c>
      <c r="B83" s="199" t="s">
        <v>45</v>
      </c>
      <c r="C83" s="490">
        <f>'[8]Sch C'!D76</f>
        <v>3593.03</v>
      </c>
      <c r="D83" s="490">
        <f>'[8]Sch C'!F76</f>
        <v>0</v>
      </c>
      <c r="E83" s="171">
        <f t="shared" si="14"/>
        <v>3593.03</v>
      </c>
      <c r="F83" s="490"/>
      <c r="G83" s="171">
        <f t="shared" si="15"/>
        <v>3593.03</v>
      </c>
      <c r="H83" s="172">
        <f t="shared" si="16"/>
        <v>1.493339971305003E-3</v>
      </c>
      <c r="I83" s="337"/>
      <c r="J83" s="168"/>
      <c r="K83" s="168"/>
      <c r="M83" s="359">
        <f t="shared" si="17"/>
        <v>0.37060649819494584</v>
      </c>
      <c r="N83" s="359">
        <f>SUMMARY!J86</f>
        <v>0.43858787942165905</v>
      </c>
      <c r="W83" s="168"/>
      <c r="X83" s="168"/>
      <c r="Y83" s="527"/>
      <c r="Z83" s="527"/>
    </row>
    <row r="84" spans="1:26" s="167" customFormat="1">
      <c r="A84" s="169" t="s">
        <v>93</v>
      </c>
      <c r="B84" s="199" t="s">
        <v>47</v>
      </c>
      <c r="C84" s="490">
        <f>'[8]Sch C'!D77</f>
        <v>5472.07</v>
      </c>
      <c r="D84" s="490">
        <f>'[8]Sch C'!F77</f>
        <v>0</v>
      </c>
      <c r="E84" s="171">
        <f t="shared" si="14"/>
        <v>5472.07</v>
      </c>
      <c r="F84" s="490"/>
      <c r="G84" s="171">
        <f t="shared" si="15"/>
        <v>5472.07</v>
      </c>
      <c r="H84" s="172">
        <f t="shared" si="16"/>
        <v>2.2743091086851398E-3</v>
      </c>
      <c r="I84" s="337"/>
      <c r="J84" s="168"/>
      <c r="K84" s="168"/>
      <c r="M84" s="359">
        <f t="shared" si="17"/>
        <v>0.56442186694172247</v>
      </c>
      <c r="N84" s="359">
        <f>SUMMARY!J87</f>
        <v>0.65296275361131606</v>
      </c>
      <c r="W84" s="168"/>
      <c r="X84" s="168"/>
      <c r="Y84" s="527"/>
      <c r="Z84" s="527"/>
    </row>
    <row r="85" spans="1:26" s="167" customFormat="1">
      <c r="A85" s="169">
        <v>230</v>
      </c>
      <c r="B85" s="199" t="s">
        <v>46</v>
      </c>
      <c r="C85" s="490">
        <f>'[8]Sch C'!D78</f>
        <v>0</v>
      </c>
      <c r="D85" s="490">
        <f>'[8]Sch C'!F78</f>
        <v>0</v>
      </c>
      <c r="E85" s="171">
        <f t="shared" si="14"/>
        <v>0</v>
      </c>
      <c r="F85" s="490"/>
      <c r="G85" s="171">
        <f t="shared" si="15"/>
        <v>0</v>
      </c>
      <c r="H85" s="172">
        <f t="shared" si="16"/>
        <v>0</v>
      </c>
      <c r="I85" s="337"/>
      <c r="J85" s="168"/>
      <c r="K85" s="168"/>
      <c r="M85" s="359">
        <f t="shared" si="17"/>
        <v>0</v>
      </c>
      <c r="N85" s="359">
        <f>SUMMARY!J88</f>
        <v>0.36999472433849429</v>
      </c>
      <c r="W85" s="168"/>
      <c r="X85" s="168"/>
      <c r="Y85" s="527"/>
      <c r="Z85" s="527"/>
    </row>
    <row r="86" spans="1:26" s="167" customFormat="1">
      <c r="A86" s="169">
        <v>240</v>
      </c>
      <c r="B86" s="200" t="s">
        <v>267</v>
      </c>
      <c r="C86" s="490">
        <f>'[8]Sch C'!D79</f>
        <v>9636.68</v>
      </c>
      <c r="D86" s="490">
        <f>'[8]Sch C'!F79</f>
        <v>0</v>
      </c>
      <c r="E86" s="171">
        <f t="shared" si="14"/>
        <v>9636.68</v>
      </c>
      <c r="F86" s="490"/>
      <c r="G86" s="171">
        <f>E86+F86</f>
        <v>9636.68</v>
      </c>
      <c r="H86" s="172">
        <f t="shared" si="16"/>
        <v>4.0052099299687166E-3</v>
      </c>
      <c r="I86" s="337"/>
      <c r="J86" s="168"/>
      <c r="K86" s="168"/>
      <c r="M86" s="359">
        <f t="shared" si="17"/>
        <v>0.99398452810727178</v>
      </c>
      <c r="N86" s="359">
        <f>SUMMARY!J89</f>
        <v>0.47828681903825671</v>
      </c>
      <c r="W86" s="168"/>
      <c r="X86" s="168"/>
      <c r="Y86" s="527"/>
      <c r="Z86" s="527"/>
    </row>
    <row r="87" spans="1:26" s="167" customFormat="1">
      <c r="A87" s="169">
        <v>310</v>
      </c>
      <c r="B87" s="199" t="s">
        <v>54</v>
      </c>
      <c r="C87" s="490">
        <f>'[8]Sch C'!D80</f>
        <v>5451.25</v>
      </c>
      <c r="D87" s="490">
        <f>'[8]Sch C'!F80</f>
        <v>0</v>
      </c>
      <c r="E87" s="171">
        <f t="shared" si="14"/>
        <v>5451.25</v>
      </c>
      <c r="F87" s="490"/>
      <c r="G87" s="171">
        <f t="shared" si="15"/>
        <v>5451.25</v>
      </c>
      <c r="H87" s="172">
        <f t="shared" si="16"/>
        <v>2.2656558722238328E-3</v>
      </c>
      <c r="I87" s="337"/>
      <c r="J87" s="168"/>
      <c r="K87" s="168"/>
      <c r="M87" s="359">
        <f t="shared" si="17"/>
        <v>0.56227436823104693</v>
      </c>
      <c r="N87" s="359">
        <f>SUMMARY!J90</f>
        <v>0.92217461565768266</v>
      </c>
      <c r="W87" s="168"/>
      <c r="X87" s="168"/>
      <c r="Y87" s="527"/>
      <c r="Z87" s="527"/>
    </row>
    <row r="88" spans="1:26" s="167" customFormat="1">
      <c r="A88" s="169">
        <v>320</v>
      </c>
      <c r="B88" s="201" t="s">
        <v>313</v>
      </c>
      <c r="C88" s="490">
        <f>'[8]Sch C'!D81</f>
        <v>849.43</v>
      </c>
      <c r="D88" s="490">
        <f>'[8]Sch C'!F81</f>
        <v>0</v>
      </c>
      <c r="E88" s="171">
        <f t="shared" si="14"/>
        <v>849.43</v>
      </c>
      <c r="F88" s="490"/>
      <c r="G88" s="171">
        <f t="shared" si="15"/>
        <v>849.43</v>
      </c>
      <c r="H88" s="172">
        <f t="shared" si="16"/>
        <v>3.5304124146628572E-4</v>
      </c>
      <c r="I88" s="337"/>
      <c r="J88" s="168"/>
      <c r="K88" s="168"/>
      <c r="M88" s="359">
        <f t="shared" si="17"/>
        <v>8.7615265600825165E-2</v>
      </c>
      <c r="N88" s="359">
        <f>SUMMARY!J91</f>
        <v>0.61441790229649651</v>
      </c>
      <c r="W88" s="168"/>
      <c r="X88" s="168"/>
      <c r="Y88" s="527"/>
      <c r="Z88" s="527"/>
    </row>
    <row r="89" spans="1:26" s="167" customFormat="1">
      <c r="A89" s="169">
        <v>330</v>
      </c>
      <c r="B89" s="201" t="s">
        <v>314</v>
      </c>
      <c r="C89" s="490">
        <f>'[8]Sch C'!D82</f>
        <v>3318.76</v>
      </c>
      <c r="D89" s="490">
        <f>'[8]Sch C'!F82</f>
        <v>0</v>
      </c>
      <c r="E89" s="171">
        <f t="shared" si="14"/>
        <v>3318.76</v>
      </c>
      <c r="F89" s="490"/>
      <c r="G89" s="171">
        <f t="shared" si="15"/>
        <v>3318.76</v>
      </c>
      <c r="H89" s="172">
        <f t="shared" si="16"/>
        <v>1.3793475042424338E-3</v>
      </c>
      <c r="I89" s="337"/>
      <c r="J89" s="168"/>
      <c r="K89" s="168"/>
      <c r="M89" s="359">
        <f t="shared" si="17"/>
        <v>0.34231665807117073</v>
      </c>
      <c r="N89" s="359">
        <f>SUMMARY!J92</f>
        <v>0.48799148575953694</v>
      </c>
      <c r="W89" s="168"/>
      <c r="X89" s="168"/>
      <c r="Y89" s="527"/>
      <c r="Z89" s="527"/>
    </row>
    <row r="90" spans="1:26" s="167" customFormat="1">
      <c r="A90" s="163">
        <v>340</v>
      </c>
      <c r="B90" s="201" t="s">
        <v>300</v>
      </c>
      <c r="C90" s="490">
        <f>'[8]Sch C'!D83</f>
        <v>0</v>
      </c>
      <c r="D90" s="490">
        <f>'[8]Sch C'!F83</f>
        <v>0</v>
      </c>
      <c r="E90" s="171">
        <f t="shared" si="14"/>
        <v>0</v>
      </c>
      <c r="F90" s="490"/>
      <c r="G90" s="171">
        <f t="shared" si="15"/>
        <v>0</v>
      </c>
      <c r="H90" s="172">
        <f t="shared" si="16"/>
        <v>0</v>
      </c>
      <c r="I90" s="337"/>
      <c r="J90" s="168"/>
      <c r="K90" s="168"/>
      <c r="M90" s="359">
        <f t="shared" si="17"/>
        <v>0</v>
      </c>
      <c r="N90" s="359">
        <f>SUMMARY!J93</f>
        <v>0.19293963026678682</v>
      </c>
      <c r="W90" s="168"/>
      <c r="X90" s="168"/>
      <c r="Y90" s="527"/>
      <c r="Z90" s="527"/>
    </row>
    <row r="91" spans="1:26" s="167" customFormat="1">
      <c r="A91" s="163">
        <v>350</v>
      </c>
      <c r="B91" s="199" t="s">
        <v>49</v>
      </c>
      <c r="C91" s="490">
        <f>'[8]Sch C'!D84</f>
        <v>37968.959999999999</v>
      </c>
      <c r="D91" s="490">
        <f>'[8]Sch C'!F84</f>
        <v>0</v>
      </c>
      <c r="E91" s="171">
        <f t="shared" si="14"/>
        <v>37968.959999999999</v>
      </c>
      <c r="F91" s="490"/>
      <c r="G91" s="171">
        <f t="shared" si="15"/>
        <v>37968.959999999999</v>
      </c>
      <c r="H91" s="172">
        <f t="shared" si="16"/>
        <v>1.5780710329966856E-2</v>
      </c>
      <c r="I91" s="337"/>
      <c r="J91" s="168"/>
      <c r="K91" s="168"/>
      <c r="M91" s="359">
        <f t="shared" si="17"/>
        <v>3.9163445074780814</v>
      </c>
      <c r="N91" s="359">
        <f>SUMMARY!J94</f>
        <v>4.5521505201933312</v>
      </c>
      <c r="W91" s="168"/>
      <c r="X91" s="168"/>
      <c r="Y91" s="527"/>
      <c r="Z91" s="527"/>
    </row>
    <row r="92" spans="1:26" s="167" customFormat="1">
      <c r="A92" s="163">
        <v>490</v>
      </c>
      <c r="B92" s="148" t="s">
        <v>312</v>
      </c>
      <c r="C92" s="490">
        <f>'[8]Sch C'!D85</f>
        <v>0</v>
      </c>
      <c r="D92" s="490">
        <f>'[8]Sch C'!F85</f>
        <v>0</v>
      </c>
      <c r="E92" s="171">
        <f t="shared" si="14"/>
        <v>0</v>
      </c>
      <c r="F92" s="490"/>
      <c r="G92" s="171">
        <f t="shared" si="15"/>
        <v>0</v>
      </c>
      <c r="H92" s="172">
        <f t="shared" si="16"/>
        <v>0</v>
      </c>
      <c r="I92" s="337"/>
      <c r="J92" s="168"/>
      <c r="K92" s="168"/>
      <c r="M92" s="359">
        <f t="shared" si="17"/>
        <v>0</v>
      </c>
      <c r="N92" s="359">
        <f>SUMMARY!J95</f>
        <v>0.10456320690314301</v>
      </c>
      <c r="W92" s="168"/>
      <c r="X92" s="168"/>
      <c r="Y92" s="527"/>
      <c r="Z92" s="527"/>
    </row>
    <row r="93" spans="1:26" s="167" customFormat="1">
      <c r="A93" s="163"/>
      <c r="B93" s="170" t="s">
        <v>50</v>
      </c>
      <c r="C93" s="490">
        <f>SUM(C82:C92)</f>
        <v>94309.11</v>
      </c>
      <c r="D93" s="490">
        <f>SUM(D82:D92)</f>
        <v>0</v>
      </c>
      <c r="E93" s="171">
        <f t="shared" ref="E93:F93" si="18">SUM(E82:E92)</f>
        <v>94309.11</v>
      </c>
      <c r="F93" s="171">
        <f t="shared" si="18"/>
        <v>0</v>
      </c>
      <c r="G93" s="171">
        <f>SUM(G82:G92)</f>
        <v>94309.11</v>
      </c>
      <c r="H93" s="172">
        <f t="shared" si="16"/>
        <v>3.9196879408521602E-2</v>
      </c>
      <c r="I93" s="337"/>
      <c r="J93" s="168"/>
      <c r="K93" s="168"/>
      <c r="M93" s="364">
        <f>G93/G$228</f>
        <v>9.7276028880866434</v>
      </c>
      <c r="N93" s="359">
        <f>SUMMARY!J96</f>
        <v>11.17524664351876</v>
      </c>
      <c r="W93" s="168"/>
      <c r="X93" s="168"/>
      <c r="Y93" s="527"/>
      <c r="Z93" s="527"/>
    </row>
    <row r="94" spans="1:26" s="167" customFormat="1">
      <c r="A94" s="163"/>
      <c r="C94" s="165"/>
      <c r="D94" s="165"/>
      <c r="E94" s="165"/>
      <c r="F94" s="165"/>
      <c r="G94" s="165"/>
      <c r="H94" s="198"/>
      <c r="I94" s="341"/>
      <c r="J94" s="168"/>
      <c r="K94" s="168"/>
      <c r="M94" s="359"/>
      <c r="N94" s="359"/>
      <c r="W94" s="168"/>
      <c r="X94" s="168"/>
      <c r="Y94" s="527"/>
      <c r="Z94" s="527"/>
    </row>
    <row r="95" spans="1:26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1"/>
      <c r="J95" s="168"/>
      <c r="K95" s="168"/>
      <c r="M95" s="359"/>
      <c r="N95" s="359"/>
      <c r="W95" s="168"/>
      <c r="X95" s="168"/>
      <c r="Y95" s="527"/>
      <c r="Z95" s="527"/>
    </row>
    <row r="96" spans="1:26" s="167" customFormat="1">
      <c r="A96" s="169" t="s">
        <v>85</v>
      </c>
      <c r="B96" s="170" t="s">
        <v>44</v>
      </c>
      <c r="C96" s="490">
        <f>'[8]Sch C'!D89</f>
        <v>101525.72</v>
      </c>
      <c r="D96" s="490">
        <f>'[8]Sch C'!F89</f>
        <v>0</v>
      </c>
      <c r="E96" s="171">
        <f t="shared" ref="E96:E101" si="19">C96+D96</f>
        <v>101525.72</v>
      </c>
      <c r="F96" s="490"/>
      <c r="G96" s="171">
        <f t="shared" ref="G96:G101" si="20">E96+F96</f>
        <v>101525.72</v>
      </c>
      <c r="H96" s="172">
        <f t="shared" ref="H96:H102" si="21">IF($G$208=0,0,G96/$G$208)</f>
        <v>4.2196256583307064E-2</v>
      </c>
      <c r="I96" s="337"/>
      <c r="J96" s="183">
        <v>8323</v>
      </c>
      <c r="K96" s="183">
        <v>9263</v>
      </c>
      <c r="M96" s="364">
        <f t="shared" ref="M96:M101" si="22">G96/G$228</f>
        <v>10.471966993295514</v>
      </c>
      <c r="N96" s="359">
        <f>SUMMARY!J99</f>
        <v>8.2060376122989549</v>
      </c>
      <c r="W96" s="183">
        <v>5504</v>
      </c>
      <c r="X96" s="183">
        <v>6176</v>
      </c>
      <c r="Y96" s="492">
        <v>2854</v>
      </c>
      <c r="Z96" s="492">
        <v>3225</v>
      </c>
    </row>
    <row r="97" spans="1:26" s="167" customFormat="1">
      <c r="A97" s="169" t="s">
        <v>86</v>
      </c>
      <c r="B97" s="170" t="s">
        <v>45</v>
      </c>
      <c r="C97" s="490">
        <f>'[8]Sch C'!D90</f>
        <v>14050.88</v>
      </c>
      <c r="D97" s="490">
        <f>'[8]Sch C'!F90</f>
        <v>0</v>
      </c>
      <c r="E97" s="171">
        <f t="shared" si="19"/>
        <v>14050.88</v>
      </c>
      <c r="F97" s="490"/>
      <c r="G97" s="171">
        <f t="shared" si="20"/>
        <v>14050.88</v>
      </c>
      <c r="H97" s="172">
        <f t="shared" si="21"/>
        <v>5.8398456834510256E-3</v>
      </c>
      <c r="I97" s="337"/>
      <c r="J97" s="168"/>
      <c r="K97" s="168"/>
      <c r="M97" s="364">
        <f t="shared" si="22"/>
        <v>1.449291387313048</v>
      </c>
      <c r="N97" s="359">
        <f>SUMMARY!J100</f>
        <v>1.4669439852641635</v>
      </c>
      <c r="W97" s="168"/>
      <c r="X97" s="168"/>
      <c r="Y97" s="527"/>
      <c r="Z97" s="527"/>
    </row>
    <row r="98" spans="1:26" s="167" customFormat="1">
      <c r="A98" s="169">
        <v>310</v>
      </c>
      <c r="B98" s="170" t="s">
        <v>54</v>
      </c>
      <c r="C98" s="490">
        <f>'[8]Sch C'!D91</f>
        <v>6186</v>
      </c>
      <c r="D98" s="490">
        <f>'[8]Sch C'!F91</f>
        <v>0</v>
      </c>
      <c r="E98" s="171">
        <f t="shared" si="19"/>
        <v>6186</v>
      </c>
      <c r="F98" s="490"/>
      <c r="G98" s="171">
        <f t="shared" si="20"/>
        <v>6186</v>
      </c>
      <c r="H98" s="172">
        <f t="shared" si="21"/>
        <v>2.5710336575238027E-3</v>
      </c>
      <c r="I98" s="337"/>
      <c r="J98" s="168"/>
      <c r="K98" s="168"/>
      <c r="M98" s="364">
        <f t="shared" si="22"/>
        <v>0.63806085611139762</v>
      </c>
      <c r="N98" s="359">
        <f>SUMMARY!J101</f>
        <v>1.183530597198329</v>
      </c>
      <c r="W98" s="168"/>
      <c r="X98" s="168"/>
      <c r="Y98" s="527"/>
      <c r="Z98" s="527"/>
    </row>
    <row r="99" spans="1:26" s="167" customFormat="1">
      <c r="A99" s="169">
        <v>380</v>
      </c>
      <c r="B99" s="170" t="s">
        <v>52</v>
      </c>
      <c r="C99" s="490">
        <f>'[8]Sch C'!D92</f>
        <v>76340.78</v>
      </c>
      <c r="D99" s="490">
        <f>'[8]Sch C'!F92</f>
        <v>0</v>
      </c>
      <c r="E99" s="171">
        <f t="shared" si="19"/>
        <v>76340.78</v>
      </c>
      <c r="F99" s="490"/>
      <c r="G99" s="171">
        <f t="shared" si="20"/>
        <v>76340.78</v>
      </c>
      <c r="H99" s="172">
        <f t="shared" si="21"/>
        <v>3.1728857876110565E-2</v>
      </c>
      <c r="I99" s="337"/>
      <c r="J99" s="168"/>
      <c r="K99" s="168"/>
      <c r="M99" s="364">
        <f t="shared" si="22"/>
        <v>7.8742423929860754</v>
      </c>
      <c r="N99" s="359">
        <f>SUMMARY!J102</f>
        <v>7.0821094672455693</v>
      </c>
      <c r="W99" s="168"/>
      <c r="X99" s="168"/>
      <c r="Y99" s="527"/>
      <c r="Z99" s="527"/>
    </row>
    <row r="100" spans="1:26" s="167" customFormat="1">
      <c r="A100" s="169">
        <v>390</v>
      </c>
      <c r="B100" s="170" t="s">
        <v>53</v>
      </c>
      <c r="C100" s="490">
        <f>'[8]Sch C'!D93</f>
        <v>5221.95</v>
      </c>
      <c r="D100" s="490">
        <f>'[8]Sch C'!F93</f>
        <v>0</v>
      </c>
      <c r="E100" s="171">
        <f t="shared" si="19"/>
        <v>5221.95</v>
      </c>
      <c r="F100" s="490"/>
      <c r="G100" s="171">
        <f t="shared" si="20"/>
        <v>5221.95</v>
      </c>
      <c r="H100" s="172">
        <f t="shared" si="21"/>
        <v>2.1703538971720691E-3</v>
      </c>
      <c r="I100" s="337"/>
      <c r="J100" s="168"/>
      <c r="K100" s="168"/>
      <c r="M100" s="364">
        <f t="shared" si="22"/>
        <v>0.53862300154718923</v>
      </c>
      <c r="N100" s="359">
        <f>SUMMARY!J103</f>
        <v>0.68088587422517122</v>
      </c>
      <c r="W100" s="168"/>
      <c r="X100" s="168"/>
      <c r="Y100" s="527"/>
      <c r="Z100" s="527"/>
    </row>
    <row r="101" spans="1:26" s="167" customFormat="1">
      <c r="A101" s="169">
        <v>490</v>
      </c>
      <c r="B101" s="202" t="s">
        <v>312</v>
      </c>
      <c r="C101" s="490">
        <f>'[8]Sch C'!D94</f>
        <v>761.5</v>
      </c>
      <c r="D101" s="490">
        <f>'[8]Sch C'!F94</f>
        <v>0</v>
      </c>
      <c r="E101" s="171">
        <f t="shared" si="19"/>
        <v>761.5</v>
      </c>
      <c r="F101" s="490"/>
      <c r="G101" s="171">
        <f t="shared" si="20"/>
        <v>761.5</v>
      </c>
      <c r="H101" s="172">
        <f t="shared" si="21"/>
        <v>3.1649565635376265E-4</v>
      </c>
      <c r="I101" s="337"/>
      <c r="J101" s="168"/>
      <c r="K101" s="168"/>
      <c r="M101" s="364">
        <f t="shared" si="22"/>
        <v>7.8545642083548223E-2</v>
      </c>
      <c r="N101" s="359">
        <f>SUMMARY!J104</f>
        <v>6.9797777231643043E-2</v>
      </c>
      <c r="W101" s="168"/>
      <c r="X101" s="168"/>
      <c r="Y101" s="527"/>
      <c r="Z101" s="527"/>
    </row>
    <row r="102" spans="1:26" s="167" customFormat="1">
      <c r="A102" s="169"/>
      <c r="B102" s="170" t="s">
        <v>55</v>
      </c>
      <c r="C102" s="490">
        <f>SUM(C96:C101)</f>
        <v>204086.83000000002</v>
      </c>
      <c r="D102" s="490">
        <f>SUM(D96:D101)</f>
        <v>0</v>
      </c>
      <c r="E102" s="171">
        <f t="shared" ref="E102:F102" si="23">SUM(E96:E101)</f>
        <v>204086.83000000002</v>
      </c>
      <c r="F102" s="171">
        <f t="shared" si="23"/>
        <v>0</v>
      </c>
      <c r="G102" s="171">
        <f>SUM(G96:G101)</f>
        <v>204086.83000000002</v>
      </c>
      <c r="H102" s="172">
        <f t="shared" si="21"/>
        <v>8.4822843353918292E-2</v>
      </c>
      <c r="I102" s="337"/>
      <c r="J102" s="168"/>
      <c r="K102" s="168"/>
      <c r="M102" s="364">
        <f>G102/G$228</f>
        <v>21.050730273336772</v>
      </c>
      <c r="N102" s="359">
        <f>SUMMARY!J105</f>
        <v>18.68930531346383</v>
      </c>
      <c r="W102" s="168"/>
      <c r="X102" s="168"/>
      <c r="Y102" s="527"/>
      <c r="Z102" s="527"/>
    </row>
    <row r="103" spans="1:26" s="167" customFormat="1">
      <c r="A103" s="163"/>
      <c r="C103" s="165"/>
      <c r="D103" s="165"/>
      <c r="E103" s="165"/>
      <c r="F103" s="165"/>
      <c r="G103" s="165"/>
      <c r="H103" s="198"/>
      <c r="I103" s="341"/>
      <c r="J103" s="168"/>
      <c r="K103" s="168"/>
      <c r="M103" s="359"/>
      <c r="N103" s="359"/>
      <c r="W103" s="168"/>
      <c r="X103" s="168"/>
      <c r="Y103" s="527"/>
      <c r="Z103" s="527"/>
    </row>
    <row r="104" spans="1:26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1"/>
      <c r="J104" s="168"/>
      <c r="K104" s="168"/>
      <c r="M104" s="359"/>
      <c r="N104" s="359"/>
      <c r="W104" s="168"/>
      <c r="X104" s="168"/>
      <c r="Y104" s="527"/>
      <c r="Z104" s="527"/>
    </row>
    <row r="105" spans="1:26" s="167" customFormat="1">
      <c r="A105" s="169" t="s">
        <v>85</v>
      </c>
      <c r="B105" s="170" t="s">
        <v>44</v>
      </c>
      <c r="C105" s="490">
        <f>'[8]Sch C'!D98</f>
        <v>16609.080000000002</v>
      </c>
      <c r="D105" s="490">
        <f>'[8]Sch C'!F98</f>
        <v>0</v>
      </c>
      <c r="E105" s="171">
        <f t="shared" ref="E105:E110" si="24">C105+D105</f>
        <v>16609.080000000002</v>
      </c>
      <c r="F105" s="490"/>
      <c r="G105" s="171">
        <f t="shared" ref="G105:G110" si="25">E105+F105</f>
        <v>16609.080000000002</v>
      </c>
      <c r="H105" s="172">
        <f t="shared" ref="H105:H111" si="26">IF($G$208=0,0,G105/$G$208)</f>
        <v>6.9030882154066352E-3</v>
      </c>
      <c r="I105" s="337"/>
      <c r="J105" s="183">
        <v>1593</v>
      </c>
      <c r="K105" s="183">
        <v>1593</v>
      </c>
      <c r="M105" s="364">
        <f t="shared" ref="M105:M110" si="27">G105/G$228</f>
        <v>1.7131593604951008</v>
      </c>
      <c r="N105" s="359">
        <f>SUMMARY!J108</f>
        <v>0.86506273995794769</v>
      </c>
      <c r="W105" s="183">
        <v>1618</v>
      </c>
      <c r="X105" s="183">
        <v>1618</v>
      </c>
      <c r="Y105" s="492">
        <v>753</v>
      </c>
      <c r="Z105" s="492">
        <v>753</v>
      </c>
    </row>
    <row r="106" spans="1:26" s="167" customFormat="1">
      <c r="A106" s="169" t="s">
        <v>86</v>
      </c>
      <c r="B106" s="170" t="s">
        <v>45</v>
      </c>
      <c r="C106" s="490">
        <f>'[8]Sch C'!D99</f>
        <v>1989.45</v>
      </c>
      <c r="D106" s="490">
        <f>'[8]Sch C'!F99</f>
        <v>0</v>
      </c>
      <c r="E106" s="171">
        <f t="shared" si="24"/>
        <v>1989.45</v>
      </c>
      <c r="F106" s="490"/>
      <c r="G106" s="171">
        <f t="shared" si="25"/>
        <v>1989.45</v>
      </c>
      <c r="H106" s="172">
        <f t="shared" si="26"/>
        <v>8.2685789039132389E-4</v>
      </c>
      <c r="I106" s="337"/>
      <c r="J106" s="168"/>
      <c r="K106" s="168"/>
      <c r="M106" s="364">
        <f t="shared" si="27"/>
        <v>0.20520371325425477</v>
      </c>
      <c r="N106" s="359">
        <f>SUMMARY!J109</f>
        <v>0.16496038159209525</v>
      </c>
      <c r="W106" s="168"/>
      <c r="X106" s="168"/>
      <c r="Y106" s="527"/>
      <c r="Z106" s="527"/>
    </row>
    <row r="107" spans="1:26" s="167" customFormat="1">
      <c r="A107" s="169">
        <v>110</v>
      </c>
      <c r="B107" s="170" t="s">
        <v>47</v>
      </c>
      <c r="C107" s="490">
        <f>'[8]Sch C'!D100</f>
        <v>22.28</v>
      </c>
      <c r="D107" s="490">
        <f>'[8]Sch C'!F100</f>
        <v>0</v>
      </c>
      <c r="E107" s="171">
        <f t="shared" si="24"/>
        <v>22.28</v>
      </c>
      <c r="F107" s="490"/>
      <c r="G107" s="171">
        <f t="shared" si="25"/>
        <v>22.28</v>
      </c>
      <c r="H107" s="172">
        <f t="shared" si="26"/>
        <v>9.2600436291028663E-6</v>
      </c>
      <c r="I107" s="337"/>
      <c r="J107" s="168"/>
      <c r="K107" s="168"/>
      <c r="M107" s="364">
        <f t="shared" si="27"/>
        <v>2.298091799896854E-3</v>
      </c>
      <c r="N107" s="359">
        <f>SUMMARY!J110</f>
        <v>0.16555549548073512</v>
      </c>
      <c r="W107" s="168"/>
      <c r="X107" s="168"/>
      <c r="Y107" s="527"/>
      <c r="Z107" s="527"/>
    </row>
    <row r="108" spans="1:26" s="167" customFormat="1">
      <c r="A108" s="169">
        <v>310</v>
      </c>
      <c r="B108" s="170" t="s">
        <v>54</v>
      </c>
      <c r="C108" s="490">
        <f>'[8]Sch C'!D101</f>
        <v>0</v>
      </c>
      <c r="D108" s="490">
        <f>'[8]Sch C'!F101</f>
        <v>0</v>
      </c>
      <c r="E108" s="171">
        <f t="shared" si="24"/>
        <v>0</v>
      </c>
      <c r="F108" s="490"/>
      <c r="G108" s="171">
        <f t="shared" si="25"/>
        <v>0</v>
      </c>
      <c r="H108" s="172">
        <f t="shared" si="26"/>
        <v>0</v>
      </c>
      <c r="I108" s="337"/>
      <c r="J108" s="168"/>
      <c r="K108" s="168"/>
      <c r="M108" s="364">
        <f t="shared" si="27"/>
        <v>0</v>
      </c>
      <c r="N108" s="359">
        <f>SUMMARY!J111</f>
        <v>0.8274336200540674</v>
      </c>
      <c r="W108" s="168"/>
      <c r="X108" s="168"/>
      <c r="Y108" s="527"/>
      <c r="Z108" s="527"/>
    </row>
    <row r="109" spans="1:26" s="167" customFormat="1">
      <c r="A109" s="169">
        <v>410</v>
      </c>
      <c r="B109" s="170" t="s">
        <v>57</v>
      </c>
      <c r="C109" s="490">
        <f>'[8]Sch C'!D102</f>
        <v>2209.84</v>
      </c>
      <c r="D109" s="490">
        <f>'[8]Sch C'!F102</f>
        <v>0</v>
      </c>
      <c r="E109" s="171">
        <f t="shared" si="24"/>
        <v>2209.84</v>
      </c>
      <c r="F109" s="490"/>
      <c r="G109" s="171">
        <f t="shared" si="25"/>
        <v>2209.84</v>
      </c>
      <c r="H109" s="172">
        <f t="shared" si="26"/>
        <v>9.184566792341417E-4</v>
      </c>
      <c r="I109" s="337"/>
      <c r="J109" s="168"/>
      <c r="K109" s="168"/>
      <c r="M109" s="364">
        <f t="shared" si="27"/>
        <v>0.22793604951005675</v>
      </c>
      <c r="N109" s="359">
        <f>SUMMARY!J112</f>
        <v>0.23955234428333469</v>
      </c>
      <c r="W109" s="168"/>
      <c r="X109" s="168"/>
      <c r="Y109" s="527"/>
      <c r="Z109" s="527"/>
    </row>
    <row r="110" spans="1:26" s="167" customFormat="1">
      <c r="A110" s="169">
        <v>490</v>
      </c>
      <c r="B110" s="202" t="s">
        <v>312</v>
      </c>
      <c r="C110" s="490">
        <f>'[8]Sch C'!D103</f>
        <v>2805.77</v>
      </c>
      <c r="D110" s="490">
        <f>'[8]Sch C'!F103</f>
        <v>0</v>
      </c>
      <c r="E110" s="171">
        <f t="shared" si="24"/>
        <v>2805.77</v>
      </c>
      <c r="F110" s="490"/>
      <c r="G110" s="171">
        <f t="shared" si="25"/>
        <v>2805.77</v>
      </c>
      <c r="H110" s="172">
        <f t="shared" si="26"/>
        <v>1.166137909031775E-3</v>
      </c>
      <c r="I110" s="337"/>
      <c r="J110" s="168"/>
      <c r="K110" s="168"/>
      <c r="M110" s="364">
        <f t="shared" si="27"/>
        <v>0.28940381640020629</v>
      </c>
      <c r="N110" s="359">
        <f>SUMMARY!J113</f>
        <v>7.1067748013434922E-3</v>
      </c>
      <c r="W110" s="168"/>
      <c r="X110" s="168"/>
      <c r="Y110" s="527"/>
      <c r="Z110" s="527"/>
    </row>
    <row r="111" spans="1:26" s="167" customFormat="1">
      <c r="A111" s="163"/>
      <c r="B111" s="170" t="s">
        <v>58</v>
      </c>
      <c r="C111" s="490">
        <f>SUM(C105:C110)</f>
        <v>23636.420000000002</v>
      </c>
      <c r="D111" s="490">
        <f>SUM(D105:D110)</f>
        <v>0</v>
      </c>
      <c r="E111" s="171">
        <f t="shared" ref="E111:F111" si="28">SUM(E105:E110)</f>
        <v>23636.420000000002</v>
      </c>
      <c r="F111" s="171">
        <f t="shared" si="28"/>
        <v>0</v>
      </c>
      <c r="G111" s="171">
        <f>SUM(G105:G110)</f>
        <v>23636.420000000002</v>
      </c>
      <c r="H111" s="172">
        <f t="shared" si="26"/>
        <v>9.8238007376929785E-3</v>
      </c>
      <c r="I111" s="337"/>
      <c r="J111" s="168"/>
      <c r="K111" s="168"/>
      <c r="M111" s="364">
        <f>G111/G$228</f>
        <v>2.4380010314595153</v>
      </c>
      <c r="N111" s="359">
        <f>SUMMARY!J114</f>
        <v>2.269671356169523</v>
      </c>
      <c r="W111" s="168"/>
      <c r="X111" s="168"/>
      <c r="Y111" s="527"/>
      <c r="Z111" s="527"/>
    </row>
    <row r="112" spans="1:26" s="167" customFormat="1">
      <c r="A112" s="163"/>
      <c r="C112" s="165"/>
      <c r="D112" s="165"/>
      <c r="E112" s="165"/>
      <c r="F112" s="165"/>
      <c r="G112" s="165"/>
      <c r="H112" s="198"/>
      <c r="I112" s="341"/>
      <c r="J112" s="168"/>
      <c r="K112" s="168"/>
      <c r="M112" s="359"/>
      <c r="N112" s="359"/>
      <c r="W112" s="168"/>
      <c r="X112" s="168"/>
      <c r="Y112" s="527"/>
      <c r="Z112" s="527"/>
    </row>
    <row r="113" spans="1:26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1"/>
      <c r="J113" s="168"/>
      <c r="K113" s="168"/>
      <c r="M113" s="359"/>
      <c r="N113" s="359"/>
      <c r="W113" s="168"/>
      <c r="X113" s="168"/>
      <c r="Y113" s="527"/>
      <c r="Z113" s="527"/>
    </row>
    <row r="114" spans="1:26" s="167" customFormat="1">
      <c r="A114" s="169" t="s">
        <v>85</v>
      </c>
      <c r="B114" s="170" t="s">
        <v>44</v>
      </c>
      <c r="C114" s="490">
        <f>'[8]Sch C'!D115</f>
        <v>34842.82</v>
      </c>
      <c r="D114" s="490">
        <f>'[8]Sch C'!F115</f>
        <v>0</v>
      </c>
      <c r="E114" s="171">
        <f t="shared" ref="E114:E118" si="29">C114+D114</f>
        <v>34842.82</v>
      </c>
      <c r="F114" s="490"/>
      <c r="G114" s="171">
        <f>E114+F114</f>
        <v>34842.82</v>
      </c>
      <c r="H114" s="172">
        <f t="shared" ref="H114:H119" si="30">IF($G$208=0,0,G114/$G$208)</f>
        <v>1.4481419809738685E-2</v>
      </c>
      <c r="I114" s="337"/>
      <c r="J114" s="183">
        <v>2746</v>
      </c>
      <c r="K114" s="183">
        <v>2930</v>
      </c>
      <c r="M114" s="364">
        <f t="shared" ref="M114:M119" si="31">G114/G$228</f>
        <v>3.5938958225889635</v>
      </c>
      <c r="N114" s="359">
        <f>SUMMARY!J117</f>
        <v>2.9289001010349254</v>
      </c>
      <c r="W114" s="183">
        <v>1141</v>
      </c>
      <c r="X114" s="183">
        <v>1420</v>
      </c>
      <c r="Y114" s="492">
        <v>774</v>
      </c>
      <c r="Z114" s="492">
        <v>987</v>
      </c>
    </row>
    <row r="115" spans="1:26" s="167" customFormat="1">
      <c r="A115" s="169" t="s">
        <v>86</v>
      </c>
      <c r="B115" s="170" t="s">
        <v>151</v>
      </c>
      <c r="C115" s="490">
        <f>'[8]Sch C'!D116</f>
        <v>4188.54</v>
      </c>
      <c r="D115" s="490">
        <f>'[8]Sch C'!F116</f>
        <v>0</v>
      </c>
      <c r="E115" s="171">
        <f t="shared" si="29"/>
        <v>4188.54</v>
      </c>
      <c r="F115" s="490"/>
      <c r="G115" s="171">
        <f>E115+F115</f>
        <v>4188.54</v>
      </c>
      <c r="H115" s="172">
        <f t="shared" si="30"/>
        <v>1.740846640136558E-3</v>
      </c>
      <c r="I115" s="337"/>
      <c r="J115" s="168"/>
      <c r="K115" s="168"/>
      <c r="M115" s="364">
        <f t="shared" si="31"/>
        <v>0.43203094378545642</v>
      </c>
      <c r="N115" s="359">
        <f>SUMMARY!J118</f>
        <v>0.58319440810868606</v>
      </c>
      <c r="W115" s="168"/>
      <c r="X115" s="168"/>
      <c r="Y115" s="527"/>
      <c r="Z115" s="527"/>
    </row>
    <row r="116" spans="1:26" s="167" customFormat="1">
      <c r="A116" s="169" t="s">
        <v>93</v>
      </c>
      <c r="B116" s="170" t="s">
        <v>47</v>
      </c>
      <c r="C116" s="490">
        <f>'[8]Sch C'!D117</f>
        <v>1595.85</v>
      </c>
      <c r="D116" s="490">
        <f>'[8]Sch C'!F117</f>
        <v>0</v>
      </c>
      <c r="E116" s="171">
        <f t="shared" si="29"/>
        <v>1595.85</v>
      </c>
      <c r="F116" s="490"/>
      <c r="G116" s="171">
        <f>E116+F116</f>
        <v>1595.85</v>
      </c>
      <c r="H116" s="172">
        <f t="shared" si="30"/>
        <v>6.6326932789514395E-4</v>
      </c>
      <c r="I116" s="337"/>
      <c r="J116" s="168"/>
      <c r="K116" s="168"/>
      <c r="M116" s="364">
        <f t="shared" si="31"/>
        <v>0.16460546673543061</v>
      </c>
      <c r="N116" s="359">
        <f>SUMMARY!J119</f>
        <v>0.8285773354086452</v>
      </c>
      <c r="W116" s="168"/>
      <c r="X116" s="168"/>
      <c r="Y116" s="527"/>
      <c r="Z116" s="527"/>
    </row>
    <row r="117" spans="1:26" s="167" customFormat="1">
      <c r="A117" s="169">
        <v>310</v>
      </c>
      <c r="B117" s="170" t="s">
        <v>60</v>
      </c>
      <c r="C117" s="490">
        <f>'[8]Sch C'!D118</f>
        <v>845</v>
      </c>
      <c r="D117" s="490">
        <f>'[8]Sch C'!F118</f>
        <v>0</v>
      </c>
      <c r="E117" s="171">
        <f t="shared" si="29"/>
        <v>845</v>
      </c>
      <c r="F117" s="490"/>
      <c r="G117" s="171">
        <f>E117+F117</f>
        <v>845</v>
      </c>
      <c r="H117" s="172">
        <f t="shared" si="30"/>
        <v>3.512000388955081E-4</v>
      </c>
      <c r="I117" s="337"/>
      <c r="J117" s="168"/>
      <c r="K117" s="168"/>
      <c r="M117" s="364">
        <f t="shared" si="31"/>
        <v>8.7158329035585347E-2</v>
      </c>
      <c r="N117" s="359">
        <f>SUMMARY!J120</f>
        <v>1.394217388929849</v>
      </c>
      <c r="W117" s="168"/>
      <c r="X117" s="168"/>
      <c r="Y117" s="527"/>
      <c r="Z117" s="527"/>
    </row>
    <row r="118" spans="1:26" s="167" customFormat="1">
      <c r="A118" s="169">
        <v>490</v>
      </c>
      <c r="B118" s="202" t="s">
        <v>312</v>
      </c>
      <c r="C118" s="490">
        <f>'[8]Sch C'!D119</f>
        <v>0</v>
      </c>
      <c r="D118" s="490">
        <f>'[8]Sch C'!F119</f>
        <v>0</v>
      </c>
      <c r="E118" s="171">
        <f t="shared" si="29"/>
        <v>0</v>
      </c>
      <c r="F118" s="490"/>
      <c r="G118" s="171">
        <f>E118+F118</f>
        <v>0</v>
      </c>
      <c r="H118" s="172">
        <f t="shared" si="30"/>
        <v>0</v>
      </c>
      <c r="I118" s="337"/>
      <c r="J118" s="168"/>
      <c r="K118" s="168"/>
      <c r="M118" s="364">
        <f t="shared" si="31"/>
        <v>0</v>
      </c>
      <c r="N118" s="359">
        <f>SUMMARY!J121</f>
        <v>1.5050905218317359E-2</v>
      </c>
      <c r="W118" s="168"/>
      <c r="X118" s="168"/>
      <c r="Y118" s="527"/>
      <c r="Z118" s="527"/>
    </row>
    <row r="119" spans="1:26" s="167" customFormat="1">
      <c r="A119" s="163"/>
      <c r="B119" s="170" t="s">
        <v>61</v>
      </c>
      <c r="C119" s="490">
        <f>SUM(C114:C118)</f>
        <v>41472.21</v>
      </c>
      <c r="D119" s="490">
        <f>SUM(D114:D118)</f>
        <v>0</v>
      </c>
      <c r="E119" s="171">
        <f t="shared" ref="E119:F119" si="32">SUM(E114:E118)</f>
        <v>41472.21</v>
      </c>
      <c r="F119" s="171">
        <f t="shared" si="32"/>
        <v>0</v>
      </c>
      <c r="G119" s="171">
        <f>SUM(G114:G118)</f>
        <v>41472.21</v>
      </c>
      <c r="H119" s="172">
        <f t="shared" si="30"/>
        <v>1.7236735816665894E-2</v>
      </c>
      <c r="I119" s="337"/>
      <c r="J119" s="168"/>
      <c r="K119" s="168"/>
      <c r="M119" s="364">
        <f t="shared" si="31"/>
        <v>4.2776905621454357</v>
      </c>
      <c r="N119" s="359">
        <f>SUMMARY!J122</f>
        <v>5.7499401387004214</v>
      </c>
      <c r="W119" s="168"/>
      <c r="X119" s="168"/>
      <c r="Y119" s="527"/>
      <c r="Z119" s="527"/>
    </row>
    <row r="120" spans="1:26" s="167" customFormat="1">
      <c r="A120" s="163"/>
      <c r="B120" s="170"/>
      <c r="C120" s="196"/>
      <c r="D120" s="196"/>
      <c r="E120" s="196"/>
      <c r="F120" s="196"/>
      <c r="G120" s="196"/>
      <c r="H120" s="197"/>
      <c r="I120" s="337"/>
      <c r="J120" s="203"/>
      <c r="K120" s="203"/>
      <c r="M120" s="359"/>
      <c r="N120" s="359"/>
      <c r="W120" s="203"/>
      <c r="X120" s="203"/>
      <c r="Y120" s="203"/>
      <c r="Z120" s="203"/>
    </row>
    <row r="121" spans="1:26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1"/>
      <c r="J121" s="204"/>
      <c r="K121" s="204"/>
      <c r="M121" s="359"/>
      <c r="N121" s="359"/>
      <c r="W121" s="204"/>
      <c r="X121" s="204"/>
      <c r="Y121" s="489"/>
      <c r="Z121" s="489"/>
    </row>
    <row r="122" spans="1:26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1"/>
      <c r="J122" s="204"/>
      <c r="K122" s="204"/>
      <c r="M122" s="359"/>
      <c r="N122" s="359"/>
      <c r="W122" s="204"/>
      <c r="X122" s="204"/>
      <c r="Y122" s="489"/>
      <c r="Z122" s="489"/>
    </row>
    <row r="123" spans="1:26" s="167" customFormat="1">
      <c r="B123" s="163" t="s">
        <v>232</v>
      </c>
      <c r="C123" s="490">
        <f>'[8]Sch C'!D124</f>
        <v>0</v>
      </c>
      <c r="D123" s="490">
        <f>'[8]Sch C'!F124</f>
        <v>0</v>
      </c>
      <c r="E123" s="171">
        <f t="shared" ref="E123:E127" si="33">C123+D123</f>
        <v>0</v>
      </c>
      <c r="F123" s="490"/>
      <c r="G123" s="171">
        <f>E123+F123</f>
        <v>0</v>
      </c>
      <c r="H123" s="172">
        <f>IF($G$208=0,0,G123/$G$208)</f>
        <v>0</v>
      </c>
      <c r="I123" s="337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0.77002560279620991</v>
      </c>
      <c r="W123" s="183">
        <v>0</v>
      </c>
      <c r="X123" s="183">
        <v>0</v>
      </c>
      <c r="Y123" s="492">
        <v>0</v>
      </c>
      <c r="Z123" s="492">
        <v>0</v>
      </c>
    </row>
    <row r="124" spans="1:26" s="167" customFormat="1">
      <c r="B124" s="163" t="s">
        <v>194</v>
      </c>
      <c r="C124" s="490">
        <f>'[8]Sch C'!D125</f>
        <v>106457</v>
      </c>
      <c r="D124" s="490">
        <f>'[8]Sch C'!F125</f>
        <v>0</v>
      </c>
      <c r="E124" s="171">
        <f t="shared" si="33"/>
        <v>106457</v>
      </c>
      <c r="F124" s="490"/>
      <c r="G124" s="171">
        <f>E124+F124</f>
        <v>106457</v>
      </c>
      <c r="H124" s="172">
        <f>IF($G$208=0,0,G124/$G$208)</f>
        <v>4.4245801823312551E-2</v>
      </c>
      <c r="I124" s="337"/>
      <c r="J124" s="183">
        <v>6015</v>
      </c>
      <c r="K124" s="183">
        <v>6352</v>
      </c>
      <c r="M124" s="364">
        <f t="shared" si="34"/>
        <v>10.980608561113977</v>
      </c>
      <c r="N124" s="359">
        <f>SUMMARY!J127</f>
        <v>7.8410343245678709</v>
      </c>
      <c r="W124" s="183">
        <v>1518</v>
      </c>
      <c r="X124" s="183">
        <v>1555</v>
      </c>
      <c r="Y124" s="492">
        <v>967</v>
      </c>
      <c r="Z124" s="492">
        <v>1041</v>
      </c>
    </row>
    <row r="125" spans="1:26" s="167" customFormat="1">
      <c r="A125" s="163" t="s">
        <v>198</v>
      </c>
      <c r="B125" s="163" t="s">
        <v>195</v>
      </c>
      <c r="C125" s="490">
        <f>'[8]Sch C'!D126</f>
        <v>0</v>
      </c>
      <c r="D125" s="490">
        <f>'[8]Sch C'!F126</f>
        <v>0</v>
      </c>
      <c r="E125" s="171">
        <f t="shared" si="33"/>
        <v>0</v>
      </c>
      <c r="F125" s="490"/>
      <c r="G125" s="171">
        <f>E125+F125</f>
        <v>0</v>
      </c>
      <c r="H125" s="172">
        <f>IF($G$208=0,0,G125/$G$208)</f>
        <v>0</v>
      </c>
      <c r="I125" s="337"/>
      <c r="J125" s="183">
        <v>0</v>
      </c>
      <c r="K125" s="183">
        <v>0</v>
      </c>
      <c r="M125" s="364">
        <f t="shared" si="34"/>
        <v>0</v>
      </c>
      <c r="N125" s="359">
        <f>SUMMARY!J128</f>
        <v>0.58591518527620767</v>
      </c>
      <c r="W125" s="183">
        <v>0</v>
      </c>
      <c r="X125" s="183">
        <v>0</v>
      </c>
      <c r="Y125" s="492">
        <v>0</v>
      </c>
      <c r="Z125" s="492">
        <v>0</v>
      </c>
    </row>
    <row r="126" spans="1:26" s="167" customFormat="1">
      <c r="A126" s="169"/>
      <c r="B126" s="163" t="s">
        <v>196</v>
      </c>
      <c r="C126" s="490">
        <f>'[8]Sch C'!D127</f>
        <v>0</v>
      </c>
      <c r="D126" s="490">
        <f>'[8]Sch C'!F127</f>
        <v>0</v>
      </c>
      <c r="E126" s="171">
        <f t="shared" si="33"/>
        <v>0</v>
      </c>
      <c r="F126" s="490"/>
      <c r="G126" s="171">
        <f>E126+F126</f>
        <v>0</v>
      </c>
      <c r="H126" s="172">
        <f>IF($G$208=0,0,G126/$G$208)</f>
        <v>0</v>
      </c>
      <c r="I126" s="337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  <c r="W126" s="183">
        <v>0</v>
      </c>
      <c r="X126" s="183">
        <v>0</v>
      </c>
      <c r="Y126" s="492">
        <v>0</v>
      </c>
      <c r="Z126" s="492">
        <v>0</v>
      </c>
    </row>
    <row r="127" spans="1:26" s="167" customFormat="1">
      <c r="A127" s="169"/>
      <c r="B127" s="163" t="s">
        <v>197</v>
      </c>
      <c r="C127" s="490">
        <f>'[8]Sch C'!D128</f>
        <v>0</v>
      </c>
      <c r="D127" s="490">
        <f>'[8]Sch C'!F128</f>
        <v>0</v>
      </c>
      <c r="E127" s="171">
        <f t="shared" si="33"/>
        <v>0</v>
      </c>
      <c r="F127" s="490"/>
      <c r="G127" s="171">
        <f>E127+F127</f>
        <v>0</v>
      </c>
      <c r="H127" s="172">
        <f>IF($G$208=0,0,G127/$G$208)</f>
        <v>0</v>
      </c>
      <c r="I127" s="337"/>
      <c r="J127" s="183">
        <v>0</v>
      </c>
      <c r="K127" s="183">
        <v>0</v>
      </c>
      <c r="M127" s="364">
        <f t="shared" si="34"/>
        <v>0</v>
      </c>
      <c r="N127" s="359">
        <f>SUMMARY!J130</f>
        <v>2.5140796974413586</v>
      </c>
      <c r="W127" s="183">
        <v>0</v>
      </c>
      <c r="X127" s="183">
        <v>0</v>
      </c>
      <c r="Y127" s="492">
        <v>141</v>
      </c>
      <c r="Z127" s="492">
        <v>141</v>
      </c>
    </row>
    <row r="128" spans="1:26" s="167" customFormat="1">
      <c r="A128" s="169" t="s">
        <v>95</v>
      </c>
      <c r="B128" s="170" t="s">
        <v>152</v>
      </c>
      <c r="C128" s="580"/>
      <c r="D128" s="580"/>
      <c r="E128" s="205" t="s">
        <v>299</v>
      </c>
      <c r="F128" s="205"/>
      <c r="G128" s="205"/>
      <c r="H128" s="206"/>
      <c r="I128" s="342"/>
      <c r="J128" s="207"/>
      <c r="K128" s="207"/>
      <c r="M128" s="364"/>
      <c r="N128" s="359"/>
      <c r="W128" s="207"/>
      <c r="X128" s="207"/>
      <c r="Y128" s="531"/>
      <c r="Z128" s="531"/>
    </row>
    <row r="129" spans="1:26" s="167" customFormat="1">
      <c r="A129" s="169"/>
      <c r="B129" s="163" t="s">
        <v>232</v>
      </c>
      <c r="C129" s="490">
        <f>'[8]Sch C'!D130</f>
        <v>0</v>
      </c>
      <c r="D129" s="490">
        <f>'[8]Sch C'!F130</f>
        <v>0</v>
      </c>
      <c r="E129" s="171">
        <f t="shared" ref="E129:E133" si="35">C129+D129</f>
        <v>0</v>
      </c>
      <c r="F129" s="490"/>
      <c r="G129" s="171">
        <f>E129+F129</f>
        <v>0</v>
      </c>
      <c r="H129" s="172">
        <f>IF($G$208=0,0,G129/$G$208)</f>
        <v>0</v>
      </c>
      <c r="I129" s="337"/>
      <c r="J129" s="204"/>
      <c r="K129" s="204"/>
      <c r="M129" s="364">
        <f t="shared" si="34"/>
        <v>0</v>
      </c>
      <c r="N129" s="359">
        <f>SUMMARY!J132</f>
        <v>0.14225268616367659</v>
      </c>
      <c r="W129" s="204"/>
      <c r="X129" s="204"/>
      <c r="Y129" s="489"/>
      <c r="Z129" s="489"/>
    </row>
    <row r="130" spans="1:26" s="167" customFormat="1">
      <c r="A130" s="169"/>
      <c r="B130" s="163" t="s">
        <v>194</v>
      </c>
      <c r="C130" s="490">
        <f>'[8]Sch C'!D131</f>
        <v>12719</v>
      </c>
      <c r="D130" s="490">
        <f>'[8]Sch C'!F131</f>
        <v>0</v>
      </c>
      <c r="E130" s="171">
        <f t="shared" si="35"/>
        <v>12719</v>
      </c>
      <c r="F130" s="490"/>
      <c r="G130" s="171">
        <f>E130+F130</f>
        <v>12719</v>
      </c>
      <c r="H130" s="172">
        <f>IF($G$208=0,0,G130/$G$208)</f>
        <v>5.2862879227360566E-3</v>
      </c>
      <c r="I130" s="337"/>
      <c r="J130" s="204"/>
      <c r="K130" s="204"/>
      <c r="M130" s="364">
        <f t="shared" si="34"/>
        <v>1.311913357400722</v>
      </c>
      <c r="N130" s="359">
        <f>SUMMARY!J133</f>
        <v>1.0792348507966931</v>
      </c>
      <c r="W130" s="204"/>
      <c r="X130" s="204"/>
      <c r="Y130" s="489"/>
      <c r="Z130" s="489"/>
    </row>
    <row r="131" spans="1:26" s="167" customFormat="1">
      <c r="B131" s="163" t="s">
        <v>195</v>
      </c>
      <c r="C131" s="490">
        <f>'[8]Sch C'!D132</f>
        <v>0</v>
      </c>
      <c r="D131" s="490">
        <f>'[8]Sch C'!F132</f>
        <v>0</v>
      </c>
      <c r="E131" s="171">
        <f t="shared" si="35"/>
        <v>0</v>
      </c>
      <c r="F131" s="490"/>
      <c r="G131" s="171">
        <f>E131+F131</f>
        <v>0</v>
      </c>
      <c r="H131" s="172">
        <f>IF($G$208=0,0,G131/$G$208)</f>
        <v>0</v>
      </c>
      <c r="I131" s="337"/>
      <c r="J131" s="168"/>
      <c r="K131" s="168"/>
      <c r="M131" s="364">
        <f t="shared" si="34"/>
        <v>0</v>
      </c>
      <c r="N131" s="359">
        <f>SUMMARY!J134</f>
        <v>8.2765628075518377E-2</v>
      </c>
      <c r="W131" s="168"/>
      <c r="X131" s="168"/>
      <c r="Y131" s="527"/>
      <c r="Z131" s="527"/>
    </row>
    <row r="132" spans="1:26" s="167" customFormat="1">
      <c r="B132" s="163" t="s">
        <v>196</v>
      </c>
      <c r="C132" s="490">
        <f>'[8]Sch C'!D133</f>
        <v>0</v>
      </c>
      <c r="D132" s="490">
        <f>'[8]Sch C'!F133</f>
        <v>0</v>
      </c>
      <c r="E132" s="171">
        <f t="shared" si="35"/>
        <v>0</v>
      </c>
      <c r="F132" s="490"/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  <c r="W132" s="168"/>
      <c r="X132" s="168"/>
      <c r="Y132" s="527"/>
      <c r="Z132" s="527"/>
    </row>
    <row r="133" spans="1:26" s="167" customFormat="1">
      <c r="B133" s="163" t="s">
        <v>197</v>
      </c>
      <c r="C133" s="490">
        <f>'[8]Sch C'!D134</f>
        <v>0</v>
      </c>
      <c r="D133" s="490">
        <f>'[8]Sch C'!F134</f>
        <v>0</v>
      </c>
      <c r="E133" s="171">
        <f t="shared" si="35"/>
        <v>0</v>
      </c>
      <c r="F133" s="490"/>
      <c r="G133" s="171">
        <f>E133+F133</f>
        <v>0</v>
      </c>
      <c r="H133" s="172">
        <f>IF($G$208=0,0,G133/$G$208)</f>
        <v>0</v>
      </c>
      <c r="I133" s="337"/>
      <c r="J133" s="168"/>
      <c r="K133" s="168"/>
      <c r="M133" s="364">
        <f t="shared" si="34"/>
        <v>0</v>
      </c>
      <c r="N133" s="359">
        <f>SUMMARY!J136</f>
        <v>0.48951420004915208</v>
      </c>
      <c r="W133" s="168"/>
      <c r="X133" s="168"/>
      <c r="Y133" s="527"/>
      <c r="Z133" s="527"/>
    </row>
    <row r="134" spans="1:26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7"/>
      <c r="J134" s="204"/>
      <c r="K134" s="204"/>
      <c r="M134" s="364"/>
      <c r="N134" s="359"/>
      <c r="W134" s="204"/>
      <c r="X134" s="204"/>
      <c r="Y134" s="489"/>
      <c r="Z134" s="489"/>
    </row>
    <row r="135" spans="1:26" s="167" customFormat="1">
      <c r="A135" s="169"/>
      <c r="B135" s="163" t="s">
        <v>194</v>
      </c>
      <c r="C135" s="490">
        <f>'[8]Sch C'!D136</f>
        <v>169641</v>
      </c>
      <c r="D135" s="490">
        <f>'[8]Sch C'!F136</f>
        <v>0</v>
      </c>
      <c r="E135" s="171">
        <f t="shared" ref="E135:E138" si="36">C135+D135</f>
        <v>169641</v>
      </c>
      <c r="F135" s="490"/>
      <c r="G135" s="171">
        <f>E135+F135</f>
        <v>169641</v>
      </c>
      <c r="H135" s="172">
        <f>IF($G$208=0,0,G135/$G$208)</f>
        <v>7.0506421063044847E-2</v>
      </c>
      <c r="I135" s="337"/>
      <c r="J135" s="183">
        <v>3094</v>
      </c>
      <c r="K135" s="183">
        <v>3112</v>
      </c>
      <c r="M135" s="364">
        <f t="shared" si="34"/>
        <v>17.49778236204229</v>
      </c>
      <c r="N135" s="359">
        <f>SUMMARY!J138</f>
        <v>22.542001283416617</v>
      </c>
      <c r="W135" s="183">
        <v>2324</v>
      </c>
      <c r="X135" s="183">
        <v>2462</v>
      </c>
      <c r="Y135" s="492">
        <v>970</v>
      </c>
      <c r="Z135" s="492">
        <v>1235</v>
      </c>
    </row>
    <row r="136" spans="1:26" s="167" customFormat="1">
      <c r="A136" s="169"/>
      <c r="B136" s="163" t="s">
        <v>195</v>
      </c>
      <c r="C136" s="490">
        <f>'[8]Sch C'!D137</f>
        <v>68811</v>
      </c>
      <c r="D136" s="490">
        <f>'[8]Sch C'!F137</f>
        <v>0</v>
      </c>
      <c r="E136" s="171">
        <f t="shared" si="36"/>
        <v>68811</v>
      </c>
      <c r="F136" s="490"/>
      <c r="G136" s="171">
        <f>E136+F136</f>
        <v>68811</v>
      </c>
      <c r="H136" s="172">
        <f>IF($G$208=0,0,G136/$G$208)</f>
        <v>2.8599320563832912E-2</v>
      </c>
      <c r="I136" s="337"/>
      <c r="J136" s="183">
        <v>3440</v>
      </c>
      <c r="K136" s="183">
        <v>3569</v>
      </c>
      <c r="M136" s="364">
        <f t="shared" si="34"/>
        <v>7.0975760701392474</v>
      </c>
      <c r="N136" s="359">
        <f>SUMMARY!J139</f>
        <v>10.249133857622674</v>
      </c>
      <c r="W136" s="183">
        <v>3168</v>
      </c>
      <c r="X136" s="183">
        <v>3573</v>
      </c>
      <c r="Y136" s="492">
        <v>1714</v>
      </c>
      <c r="Z136" s="492">
        <v>1917</v>
      </c>
    </row>
    <row r="137" spans="1:26" s="167" customFormat="1">
      <c r="A137" s="169"/>
      <c r="B137" s="163" t="s">
        <v>196</v>
      </c>
      <c r="C137" s="490">
        <f>'[8]Sch C'!D138</f>
        <v>294724</v>
      </c>
      <c r="D137" s="490">
        <f>'[8]Sch C'!F138</f>
        <v>0</v>
      </c>
      <c r="E137" s="171">
        <f t="shared" si="36"/>
        <v>294724</v>
      </c>
      <c r="F137" s="490"/>
      <c r="G137" s="171">
        <f>E137+F137</f>
        <v>294724</v>
      </c>
      <c r="H137" s="172">
        <f>IF($G$208=0,0,G137/$G$208)</f>
        <v>0.12249358611057957</v>
      </c>
      <c r="I137" s="337"/>
      <c r="J137" s="183">
        <v>17549</v>
      </c>
      <c r="K137" s="183">
        <v>18327</v>
      </c>
      <c r="M137" s="364">
        <f t="shared" si="34"/>
        <v>30.399587416193913</v>
      </c>
      <c r="N137" s="359">
        <f>SUMMARY!J140</f>
        <v>27.843137668277773</v>
      </c>
      <c r="W137" s="183">
        <v>13569</v>
      </c>
      <c r="X137" s="183">
        <v>14170</v>
      </c>
      <c r="Y137" s="492">
        <v>8518</v>
      </c>
      <c r="Z137" s="492">
        <v>8879</v>
      </c>
    </row>
    <row r="138" spans="1:26" s="167" customFormat="1">
      <c r="A138" s="169"/>
      <c r="B138" s="163" t="s">
        <v>197</v>
      </c>
      <c r="C138" s="490">
        <f>'[8]Sch C'!D139</f>
        <v>0</v>
      </c>
      <c r="D138" s="490">
        <f>'[8]Sch C'!F139</f>
        <v>0</v>
      </c>
      <c r="E138" s="171">
        <f t="shared" si="36"/>
        <v>0</v>
      </c>
      <c r="F138" s="490"/>
      <c r="G138" s="171">
        <f>E138+F138</f>
        <v>0</v>
      </c>
      <c r="H138" s="172">
        <f>IF($G$208=0,0,G138/$G$208)</f>
        <v>0</v>
      </c>
      <c r="I138" s="337"/>
      <c r="J138" s="183">
        <v>0</v>
      </c>
      <c r="K138" s="183">
        <v>0</v>
      </c>
      <c r="M138" s="364">
        <f t="shared" si="34"/>
        <v>0</v>
      </c>
      <c r="N138" s="359">
        <f>SUMMARY!J141</f>
        <v>2.553029289205647</v>
      </c>
      <c r="W138" s="183">
        <v>0</v>
      </c>
      <c r="X138" s="183">
        <v>0</v>
      </c>
      <c r="Y138" s="492">
        <v>751</v>
      </c>
      <c r="Z138" s="492">
        <v>751</v>
      </c>
    </row>
    <row r="139" spans="1:26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7"/>
      <c r="J139" s="406"/>
      <c r="K139" s="406"/>
      <c r="M139" s="364"/>
      <c r="N139" s="359"/>
      <c r="W139" s="406"/>
      <c r="X139" s="406"/>
      <c r="Y139" s="532"/>
      <c r="Z139" s="532"/>
    </row>
    <row r="140" spans="1:26" s="167" customFormat="1">
      <c r="A140" s="169"/>
      <c r="B140" s="163" t="s">
        <v>194</v>
      </c>
      <c r="C140" s="490">
        <f>'[8]Sch C'!D141</f>
        <v>28434</v>
      </c>
      <c r="D140" s="490">
        <f>'[8]Sch C'!F141</f>
        <v>0</v>
      </c>
      <c r="E140" s="171">
        <f t="shared" ref="E140:E143" si="37">C140+D140</f>
        <v>28434</v>
      </c>
      <c r="F140" s="490"/>
      <c r="G140" s="171">
        <f>E140+F140</f>
        <v>28434</v>
      </c>
      <c r="H140" s="172">
        <f>IF($G$208=0,0,G140/$G$208)</f>
        <v>1.1817777403496897E-2</v>
      </c>
      <c r="I140" s="337"/>
      <c r="J140" s="168"/>
      <c r="K140" s="168"/>
      <c r="M140" s="364">
        <f t="shared" si="34"/>
        <v>2.9328519855595667</v>
      </c>
      <c r="N140" s="359">
        <f>SUMMARY!J143</f>
        <v>3.8870567805088321</v>
      </c>
      <c r="W140" s="168"/>
      <c r="X140" s="168"/>
      <c r="Y140" s="527"/>
      <c r="Z140" s="527"/>
    </row>
    <row r="141" spans="1:26" s="167" customFormat="1">
      <c r="A141" s="169"/>
      <c r="B141" s="163" t="s">
        <v>195</v>
      </c>
      <c r="C141" s="490">
        <f>'[8]Sch C'!D142</f>
        <v>11533</v>
      </c>
      <c r="D141" s="490">
        <f>'[8]Sch C'!F142</f>
        <v>0</v>
      </c>
      <c r="E141" s="171">
        <f t="shared" si="37"/>
        <v>11533</v>
      </c>
      <c r="F141" s="490"/>
      <c r="G141" s="171">
        <f>E141+F141</f>
        <v>11533</v>
      </c>
      <c r="H141" s="172">
        <f>IF($G$208=0,0,G141/$G$208)</f>
        <v>4.793361004238929E-3</v>
      </c>
      <c r="I141" s="337"/>
      <c r="J141" s="168"/>
      <c r="K141" s="168"/>
      <c r="M141" s="364">
        <f t="shared" si="34"/>
        <v>1.1895822588963383</v>
      </c>
      <c r="N141" s="359">
        <f>SUMMARY!J144</f>
        <v>1.7548113884114069</v>
      </c>
      <c r="W141" s="168"/>
      <c r="X141" s="168"/>
      <c r="Y141" s="527"/>
      <c r="Z141" s="527"/>
    </row>
    <row r="142" spans="1:26" s="167" customFormat="1">
      <c r="A142" s="169"/>
      <c r="B142" s="163" t="s">
        <v>196</v>
      </c>
      <c r="C142" s="490">
        <f>'[8]Sch C'!D143</f>
        <v>49398</v>
      </c>
      <c r="D142" s="490">
        <f>'[8]Sch C'!F143</f>
        <v>0</v>
      </c>
      <c r="E142" s="171">
        <f t="shared" si="37"/>
        <v>49398</v>
      </c>
      <c r="F142" s="490"/>
      <c r="G142" s="171">
        <f>E142+F142</f>
        <v>49398</v>
      </c>
      <c r="H142" s="172">
        <f>IF($G$208=0,0,G142/$G$208)</f>
        <v>2.0530863338887942E-2</v>
      </c>
      <c r="I142" s="337"/>
      <c r="J142" s="168"/>
      <c r="K142" s="168"/>
      <c r="M142" s="364">
        <f t="shared" si="34"/>
        <v>5.0952037132542545</v>
      </c>
      <c r="N142" s="359">
        <f>SUMMARY!J145</f>
        <v>5.0558410725664986</v>
      </c>
      <c r="W142" s="168"/>
      <c r="X142" s="168"/>
      <c r="Y142" s="527"/>
      <c r="Z142" s="527"/>
    </row>
    <row r="143" spans="1:26" s="167" customFormat="1">
      <c r="A143" s="169"/>
      <c r="B143" s="163" t="s">
        <v>197</v>
      </c>
      <c r="C143" s="490">
        <f>'[8]Sch C'!D144</f>
        <v>0</v>
      </c>
      <c r="D143" s="490">
        <f>'[8]Sch C'!F144</f>
        <v>0</v>
      </c>
      <c r="E143" s="171">
        <f t="shared" si="37"/>
        <v>0</v>
      </c>
      <c r="F143" s="490"/>
      <c r="G143" s="171">
        <f>E143+F143</f>
        <v>0</v>
      </c>
      <c r="H143" s="172">
        <f>IF($G$208=0,0,G143/$G$208)</f>
        <v>0</v>
      </c>
      <c r="I143" s="337"/>
      <c r="J143" s="168"/>
      <c r="K143" s="168"/>
      <c r="M143" s="364">
        <f t="shared" si="34"/>
        <v>0</v>
      </c>
      <c r="N143" s="359">
        <f>SUMMARY!J146</f>
        <v>0.71727598372518497</v>
      </c>
      <c r="W143" s="168"/>
      <c r="X143" s="168"/>
      <c r="Y143" s="527"/>
      <c r="Z143" s="527"/>
    </row>
    <row r="144" spans="1:26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7"/>
      <c r="J144" s="204"/>
      <c r="K144" s="204"/>
      <c r="M144" s="364"/>
      <c r="N144" s="359"/>
      <c r="W144" s="204"/>
      <c r="X144" s="204"/>
      <c r="Y144" s="489"/>
      <c r="Z144" s="489"/>
    </row>
    <row r="145" spans="1:26" s="167" customFormat="1">
      <c r="A145" s="169"/>
      <c r="B145" s="163" t="s">
        <v>232</v>
      </c>
      <c r="C145" s="490">
        <f>'[8]Sch C'!D146</f>
        <v>44090.9</v>
      </c>
      <c r="D145" s="490">
        <f>'[8]Sch C'!F146</f>
        <v>0</v>
      </c>
      <c r="E145" s="171">
        <f t="shared" ref="E145:E153" si="38">C145+D145</f>
        <v>44090.9</v>
      </c>
      <c r="F145" s="490"/>
      <c r="G145" s="171">
        <f t="shared" ref="G145:G153" si="39">E145+F145</f>
        <v>44090.9</v>
      </c>
      <c r="H145" s="172">
        <f t="shared" ref="H145:H153" si="40">IF($G$208=0,0,G145/$G$208)</f>
        <v>1.832511928395025E-2</v>
      </c>
      <c r="I145" s="337"/>
      <c r="J145" s="183">
        <v>0</v>
      </c>
      <c r="K145" s="183">
        <v>0</v>
      </c>
      <c r="M145" s="364">
        <f t="shared" si="34"/>
        <v>4.547797833935018</v>
      </c>
      <c r="N145" s="359">
        <f>SUMMARY!J148</f>
        <v>1.6388888069686796</v>
      </c>
      <c r="W145" s="183">
        <v>0</v>
      </c>
      <c r="X145" s="183">
        <v>0</v>
      </c>
      <c r="Y145" s="492">
        <v>0</v>
      </c>
      <c r="Z145" s="492">
        <v>0</v>
      </c>
    </row>
    <row r="146" spans="1:26" s="167" customFormat="1">
      <c r="A146" s="169"/>
      <c r="B146" s="163" t="s">
        <v>194</v>
      </c>
      <c r="C146" s="490">
        <f>'[8]Sch C'!D147</f>
        <v>372.98</v>
      </c>
      <c r="D146" s="490">
        <f>'[8]Sch C'!F147</f>
        <v>0</v>
      </c>
      <c r="E146" s="171">
        <f t="shared" si="38"/>
        <v>372.98</v>
      </c>
      <c r="F146" s="490"/>
      <c r="G146" s="171">
        <f t="shared" si="39"/>
        <v>372.98</v>
      </c>
      <c r="H146" s="172">
        <f t="shared" si="40"/>
        <v>1.5501845030443386E-4</v>
      </c>
      <c r="I146" s="337"/>
      <c r="J146" s="183">
        <v>0</v>
      </c>
      <c r="K146" s="183">
        <v>0</v>
      </c>
      <c r="M146" s="364">
        <f t="shared" si="34"/>
        <v>3.8471376998452815E-2</v>
      </c>
      <c r="N146" s="359">
        <f>SUMMARY!J149</f>
        <v>0.18124216706261434</v>
      </c>
      <c r="W146" s="183">
        <v>0</v>
      </c>
      <c r="X146" s="183">
        <v>0</v>
      </c>
      <c r="Y146" s="492">
        <v>0</v>
      </c>
      <c r="Z146" s="492">
        <v>0</v>
      </c>
    </row>
    <row r="147" spans="1:26" s="167" customFormat="1">
      <c r="A147" s="169"/>
      <c r="B147" s="163" t="s">
        <v>195</v>
      </c>
      <c r="C147" s="490">
        <f>'[8]Sch C'!D148</f>
        <v>0</v>
      </c>
      <c r="D147" s="490">
        <f>'[8]Sch C'!F148</f>
        <v>0</v>
      </c>
      <c r="E147" s="171">
        <f t="shared" si="38"/>
        <v>0</v>
      </c>
      <c r="F147" s="490"/>
      <c r="G147" s="171">
        <f t="shared" si="39"/>
        <v>0</v>
      </c>
      <c r="H147" s="172">
        <f t="shared" si="40"/>
        <v>0</v>
      </c>
      <c r="I147" s="337"/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  <c r="W147" s="183">
        <v>0</v>
      </c>
      <c r="X147" s="183">
        <v>0</v>
      </c>
      <c r="Y147" s="492">
        <v>0</v>
      </c>
      <c r="Z147" s="492">
        <v>0</v>
      </c>
    </row>
    <row r="148" spans="1:26" s="167" customFormat="1">
      <c r="A148" s="169"/>
      <c r="B148" s="163" t="s">
        <v>196</v>
      </c>
      <c r="C148" s="490">
        <f>'[8]Sch C'!D149</f>
        <v>0</v>
      </c>
      <c r="D148" s="490">
        <f>'[8]Sch C'!F149</f>
        <v>0</v>
      </c>
      <c r="E148" s="171">
        <f t="shared" si="38"/>
        <v>0</v>
      </c>
      <c r="F148" s="490"/>
      <c r="G148" s="171">
        <f t="shared" si="39"/>
        <v>0</v>
      </c>
      <c r="H148" s="172">
        <f t="shared" si="40"/>
        <v>0</v>
      </c>
      <c r="I148" s="337"/>
      <c r="J148" s="183">
        <v>0</v>
      </c>
      <c r="K148" s="183">
        <v>0</v>
      </c>
      <c r="M148" s="364">
        <f t="shared" si="34"/>
        <v>0</v>
      </c>
      <c r="N148" s="359">
        <f>SUMMARY!J151</f>
        <v>9.6307730537123507E-2</v>
      </c>
      <c r="W148" s="183">
        <v>0</v>
      </c>
      <c r="X148" s="183">
        <v>0</v>
      </c>
      <c r="Y148" s="492">
        <v>0</v>
      </c>
      <c r="Z148" s="492">
        <v>0</v>
      </c>
    </row>
    <row r="149" spans="1:26" s="167" customFormat="1">
      <c r="A149" s="169"/>
      <c r="B149" s="163" t="s">
        <v>197</v>
      </c>
      <c r="C149" s="490">
        <f>'[8]Sch C'!D150</f>
        <v>3345</v>
      </c>
      <c r="D149" s="490">
        <f>'[8]Sch C'!F150</f>
        <v>0</v>
      </c>
      <c r="E149" s="171">
        <f t="shared" si="38"/>
        <v>3345</v>
      </c>
      <c r="F149" s="490"/>
      <c r="G149" s="171">
        <f t="shared" si="39"/>
        <v>3345</v>
      </c>
      <c r="H149" s="172">
        <f t="shared" si="40"/>
        <v>1.3902534084088457E-3</v>
      </c>
      <c r="I149" s="337"/>
      <c r="J149" s="183">
        <v>0</v>
      </c>
      <c r="K149" s="183">
        <v>0</v>
      </c>
      <c r="M149" s="364">
        <f t="shared" si="34"/>
        <v>0.34502320783909229</v>
      </c>
      <c r="N149" s="359">
        <f>SUMMARY!J152</f>
        <v>0.33970063624696212</v>
      </c>
      <c r="W149" s="183">
        <v>0</v>
      </c>
      <c r="X149" s="183">
        <v>0</v>
      </c>
      <c r="Y149" s="492">
        <v>0</v>
      </c>
      <c r="Z149" s="492">
        <v>0</v>
      </c>
    </row>
    <row r="150" spans="1:26" s="167" customFormat="1">
      <c r="A150" s="169">
        <v>110</v>
      </c>
      <c r="B150" s="167" t="s">
        <v>65</v>
      </c>
      <c r="C150" s="490">
        <f>'[8]Sch C'!D151</f>
        <v>47902.76</v>
      </c>
      <c r="D150" s="490">
        <f>'[8]Sch C'!F151</f>
        <v>0</v>
      </c>
      <c r="E150" s="171">
        <f t="shared" si="38"/>
        <v>47902.76</v>
      </c>
      <c r="F150" s="490"/>
      <c r="G150" s="171">
        <f t="shared" si="39"/>
        <v>47902.76</v>
      </c>
      <c r="H150" s="172">
        <f t="shared" si="40"/>
        <v>1.9909409674795493E-2</v>
      </c>
      <c r="I150" s="337"/>
      <c r="J150" s="168"/>
      <c r="K150" s="168"/>
      <c r="M150" s="364">
        <f t="shared" si="34"/>
        <v>4.9409757607013924</v>
      </c>
      <c r="N150" s="359">
        <f>SUMMARY!J153</f>
        <v>5.9639933098495392</v>
      </c>
      <c r="W150" s="168"/>
      <c r="X150" s="168"/>
      <c r="Y150" s="527"/>
      <c r="Z150" s="527"/>
    </row>
    <row r="151" spans="1:26" s="167" customFormat="1">
      <c r="A151" s="169">
        <v>111</v>
      </c>
      <c r="B151" s="170" t="s">
        <v>97</v>
      </c>
      <c r="C151" s="490">
        <f>'[8]Sch C'!D152</f>
        <v>371.55</v>
      </c>
      <c r="D151" s="490">
        <f>'[8]Sch C'!F152</f>
        <v>0</v>
      </c>
      <c r="E151" s="171">
        <f t="shared" si="38"/>
        <v>371.55</v>
      </c>
      <c r="F151" s="490"/>
      <c r="G151" s="171">
        <f t="shared" si="39"/>
        <v>371.55</v>
      </c>
      <c r="H151" s="172">
        <f t="shared" si="40"/>
        <v>1.5442411177707226E-4</v>
      </c>
      <c r="I151" s="337"/>
      <c r="J151" s="168"/>
      <c r="K151" s="168"/>
      <c r="M151" s="364">
        <f t="shared" si="34"/>
        <v>3.8323878287777204E-2</v>
      </c>
      <c r="N151" s="359">
        <f>SUMMARY!J154</f>
        <v>0.31252846181152888</v>
      </c>
      <c r="W151" s="168"/>
      <c r="X151" s="168"/>
      <c r="Y151" s="527"/>
      <c r="Z151" s="527"/>
    </row>
    <row r="152" spans="1:26" s="167" customFormat="1">
      <c r="A152" s="169">
        <v>230</v>
      </c>
      <c r="B152" s="170" t="s">
        <v>66</v>
      </c>
      <c r="C152" s="490">
        <f>'[8]Sch C'!D153</f>
        <v>16244</v>
      </c>
      <c r="D152" s="490">
        <f>'[8]Sch C'!F153</f>
        <v>0</v>
      </c>
      <c r="E152" s="171">
        <f t="shared" si="38"/>
        <v>16244</v>
      </c>
      <c r="F152" s="490"/>
      <c r="G152" s="171">
        <f t="shared" si="39"/>
        <v>16244</v>
      </c>
      <c r="H152" s="172">
        <f t="shared" si="40"/>
        <v>6.7513531737498625E-3</v>
      </c>
      <c r="I152" s="337"/>
      <c r="J152" s="168"/>
      <c r="K152" s="168"/>
      <c r="M152" s="364">
        <f t="shared" si="34"/>
        <v>1.6755028365136668</v>
      </c>
      <c r="N152" s="359">
        <f>SUMMARY!J155</f>
        <v>0.16356998443516016</v>
      </c>
      <c r="W152" s="168"/>
      <c r="X152" s="168"/>
      <c r="Y152" s="527"/>
      <c r="Z152" s="527"/>
    </row>
    <row r="153" spans="1:26" s="167" customFormat="1">
      <c r="A153" s="169">
        <v>430</v>
      </c>
      <c r="B153" s="170" t="s">
        <v>99</v>
      </c>
      <c r="C153" s="490">
        <f>'[8]Sch C'!D154</f>
        <v>0</v>
      </c>
      <c r="D153" s="490">
        <f>'[8]Sch C'!F154</f>
        <v>0</v>
      </c>
      <c r="E153" s="171">
        <f t="shared" si="38"/>
        <v>0</v>
      </c>
      <c r="F153" s="490"/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>
        <f t="shared" si="34"/>
        <v>0</v>
      </c>
      <c r="N153" s="359">
        <f>SUMMARY!J156</f>
        <v>0.98203545506676493</v>
      </c>
      <c r="W153" s="168"/>
      <c r="X153" s="168"/>
      <c r="Y153" s="527"/>
      <c r="Z153" s="527"/>
    </row>
    <row r="154" spans="1:26" s="167" customFormat="1">
      <c r="A154" s="169"/>
      <c r="B154" s="209" t="s">
        <v>101</v>
      </c>
      <c r="C154" s="572"/>
      <c r="D154" s="572"/>
      <c r="E154" s="210"/>
      <c r="F154" s="210"/>
      <c r="G154" s="210"/>
      <c r="H154" s="211"/>
      <c r="I154" s="337"/>
      <c r="J154" s="168"/>
      <c r="K154" s="168"/>
      <c r="M154" s="364"/>
      <c r="N154" s="359"/>
      <c r="W154" s="168"/>
      <c r="X154" s="168"/>
      <c r="Y154" s="527"/>
      <c r="Z154" s="527"/>
    </row>
    <row r="155" spans="1:26" s="167" customFormat="1">
      <c r="A155" s="169">
        <v>440.1</v>
      </c>
      <c r="B155" s="163" t="s">
        <v>223</v>
      </c>
      <c r="C155" s="490">
        <f>'[8]Sch C'!D156</f>
        <v>0</v>
      </c>
      <c r="D155" s="490">
        <f>'[8]Sch C'!F156</f>
        <v>0</v>
      </c>
      <c r="E155" s="171">
        <f t="shared" ref="E155:E160" si="41">C155+D155</f>
        <v>0</v>
      </c>
      <c r="F155" s="490"/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  <c r="W155" s="168"/>
      <c r="X155" s="168"/>
      <c r="Y155" s="527"/>
      <c r="Z155" s="527"/>
    </row>
    <row r="156" spans="1:26" s="167" customFormat="1">
      <c r="A156" s="169">
        <v>440.2</v>
      </c>
      <c r="B156" s="163" t="s">
        <v>224</v>
      </c>
      <c r="C156" s="490">
        <f>'[8]Sch C'!D157</f>
        <v>0</v>
      </c>
      <c r="D156" s="490">
        <f>'[8]Sch C'!F157</f>
        <v>0</v>
      </c>
      <c r="E156" s="171">
        <f t="shared" si="41"/>
        <v>0</v>
      </c>
      <c r="F156" s="490"/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>
        <f t="shared" si="34"/>
        <v>0</v>
      </c>
      <c r="N156" s="359">
        <f>SUMMARY!J159</f>
        <v>2.1257535293957019E-2</v>
      </c>
      <c r="W156" s="168"/>
      <c r="X156" s="168"/>
      <c r="Y156" s="527"/>
      <c r="Z156" s="527"/>
    </row>
    <row r="157" spans="1:26" s="167" customFormat="1">
      <c r="A157" s="169">
        <v>440.3</v>
      </c>
      <c r="B157" s="163" t="s">
        <v>225</v>
      </c>
      <c r="C157" s="490">
        <f>'[8]Sch C'!D158</f>
        <v>0</v>
      </c>
      <c r="D157" s="490">
        <f>'[8]Sch C'!F158</f>
        <v>0</v>
      </c>
      <c r="E157" s="171">
        <f t="shared" si="41"/>
        <v>0</v>
      </c>
      <c r="F157" s="490"/>
      <c r="G157" s="171">
        <f t="shared" si="42"/>
        <v>0</v>
      </c>
      <c r="H157" s="172">
        <f t="shared" si="43"/>
        <v>0</v>
      </c>
      <c r="I157" s="337"/>
      <c r="J157" s="168"/>
      <c r="K157" s="168"/>
      <c r="M157" s="364">
        <f t="shared" si="34"/>
        <v>0</v>
      </c>
      <c r="N157" s="359">
        <f>SUMMARY!J160</f>
        <v>4.0452199557630868E-3</v>
      </c>
      <c r="W157" s="168"/>
      <c r="X157" s="168"/>
      <c r="Y157" s="527"/>
      <c r="Z157" s="527"/>
    </row>
    <row r="158" spans="1:26" s="167" customFormat="1">
      <c r="A158" s="169">
        <v>440.4</v>
      </c>
      <c r="B158" s="163" t="s">
        <v>226</v>
      </c>
      <c r="C158" s="490">
        <f>'[8]Sch C'!D159</f>
        <v>0</v>
      </c>
      <c r="D158" s="490">
        <f>'[8]Sch C'!F159</f>
        <v>0</v>
      </c>
      <c r="E158" s="171">
        <f t="shared" si="41"/>
        <v>0</v>
      </c>
      <c r="F158" s="490"/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  <c r="W158" s="168"/>
      <c r="X158" s="168"/>
      <c r="Y158" s="527"/>
      <c r="Z158" s="527"/>
    </row>
    <row r="159" spans="1:26" s="167" customFormat="1">
      <c r="A159" s="169">
        <v>440.5</v>
      </c>
      <c r="B159" s="163" t="s">
        <v>301</v>
      </c>
      <c r="C159" s="490">
        <f>'[8]Sch C'!D160</f>
        <v>3943</v>
      </c>
      <c r="D159" s="490">
        <f>'[8]Sch C'!F160</f>
        <v>0</v>
      </c>
      <c r="E159" s="171">
        <f t="shared" si="41"/>
        <v>3943</v>
      </c>
      <c r="F159" s="490"/>
      <c r="G159" s="171">
        <f t="shared" si="42"/>
        <v>3943</v>
      </c>
      <c r="H159" s="172">
        <f>IF($G$208=0,0,G159/$G$208)</f>
        <v>1.6387949743964362E-3</v>
      </c>
      <c r="I159" s="337"/>
      <c r="J159" s="168"/>
      <c r="K159" s="168"/>
      <c r="M159" s="364">
        <f t="shared" si="34"/>
        <v>0.40670448684889116</v>
      </c>
      <c r="N159" s="359">
        <f>SUMMARY!J162</f>
        <v>6.5155839545615896E-3</v>
      </c>
      <c r="W159" s="168"/>
      <c r="X159" s="168"/>
      <c r="Y159" s="527"/>
      <c r="Z159" s="527"/>
    </row>
    <row r="160" spans="1:26" s="167" customFormat="1">
      <c r="A160" s="169">
        <v>490</v>
      </c>
      <c r="B160" s="202" t="s">
        <v>315</v>
      </c>
      <c r="C160" s="490">
        <f>'[8]Sch C'!D161</f>
        <v>31680.74</v>
      </c>
      <c r="D160" s="490">
        <f>'[8]Sch C'!F161</f>
        <v>0</v>
      </c>
      <c r="E160" s="171">
        <f t="shared" si="41"/>
        <v>31680.74</v>
      </c>
      <c r="F160" s="490"/>
      <c r="G160" s="171">
        <f t="shared" si="42"/>
        <v>31680.74</v>
      </c>
      <c r="H160" s="172">
        <f t="shared" si="43"/>
        <v>1.316719185827039E-2</v>
      </c>
      <c r="I160" s="337"/>
      <c r="J160" s="168"/>
      <c r="K160" s="168"/>
      <c r="M160" s="364">
        <f t="shared" si="34"/>
        <v>3.2677400722021663</v>
      </c>
      <c r="N160" s="359">
        <f>SUMMARY!J163</f>
        <v>0.61572967423063263</v>
      </c>
      <c r="W160" s="168"/>
      <c r="X160" s="168"/>
      <c r="Y160" s="527"/>
      <c r="Z160" s="527"/>
    </row>
    <row r="161" spans="1:26" s="167" customFormat="1">
      <c r="A161" s="169"/>
      <c r="B161" s="170" t="s">
        <v>233</v>
      </c>
      <c r="C161" s="490">
        <f>SUM(C123:C160)</f>
        <v>889667.93</v>
      </c>
      <c r="D161" s="490">
        <f>SUM(D123:D160)</f>
        <v>0</v>
      </c>
      <c r="E161" s="171">
        <f t="shared" ref="E161:F161" si="44">SUM(E123:E160)</f>
        <v>889667.93</v>
      </c>
      <c r="F161" s="171">
        <f t="shared" si="44"/>
        <v>0</v>
      </c>
      <c r="G161" s="171">
        <f>SUM(G123:G160)</f>
        <v>889667.93</v>
      </c>
      <c r="H161" s="172">
        <f t="shared" si="43"/>
        <v>0.36976498416578252</v>
      </c>
      <c r="I161" s="337"/>
      <c r="J161" s="168"/>
      <c r="K161" s="168"/>
      <c r="M161" s="364">
        <f>G161/G$228</f>
        <v>91.765645177926771</v>
      </c>
      <c r="N161" s="359">
        <f>SUMMARY!J164</f>
        <v>98.597321527877028</v>
      </c>
      <c r="W161" s="168"/>
      <c r="X161" s="168"/>
      <c r="Y161" s="527"/>
      <c r="Z161" s="527"/>
    </row>
    <row r="162" spans="1:26" s="167" customFormat="1">
      <c r="A162" s="169"/>
      <c r="B162" s="170"/>
      <c r="C162" s="196"/>
      <c r="D162" s="196"/>
      <c r="E162" s="196"/>
      <c r="F162" s="196"/>
      <c r="G162" s="196"/>
      <c r="H162" s="197"/>
      <c r="I162" s="337"/>
      <c r="J162" s="168"/>
      <c r="K162" s="168"/>
      <c r="M162" s="359"/>
      <c r="N162" s="359"/>
      <c r="W162" s="168"/>
      <c r="X162" s="168"/>
      <c r="Y162" s="527"/>
      <c r="Z162" s="527"/>
    </row>
    <row r="163" spans="1:26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7"/>
      <c r="J163" s="168"/>
      <c r="K163" s="168"/>
      <c r="M163" s="359"/>
      <c r="N163" s="359"/>
      <c r="W163" s="168"/>
      <c r="X163" s="168"/>
      <c r="Y163" s="527"/>
      <c r="Z163" s="527"/>
    </row>
    <row r="164" spans="1:26" s="221" customFormat="1">
      <c r="A164" s="215" t="s">
        <v>95</v>
      </c>
      <c r="B164" s="148" t="s">
        <v>102</v>
      </c>
      <c r="C164" s="490">
        <f>'[8]Sch C'!D175</f>
        <v>0</v>
      </c>
      <c r="D164" s="490">
        <f>'[8]Sch C'!F175</f>
        <v>0</v>
      </c>
      <c r="E164" s="171">
        <f t="shared" ref="E164:E196" si="45">C164+D164</f>
        <v>0</v>
      </c>
      <c r="F164" s="490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183">
        <v>0</v>
      </c>
      <c r="K164" s="183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  <c r="W164" s="217">
        <v>0</v>
      </c>
      <c r="X164" s="217">
        <v>0</v>
      </c>
      <c r="Y164" s="492">
        <v>0</v>
      </c>
      <c r="Z164" s="492">
        <v>0</v>
      </c>
    </row>
    <row r="165" spans="1:26" s="221" customFormat="1">
      <c r="A165" s="215" t="s">
        <v>123</v>
      </c>
      <c r="B165" s="148" t="s">
        <v>103</v>
      </c>
      <c r="C165" s="490">
        <f>'[8]Sch C'!D176</f>
        <v>0</v>
      </c>
      <c r="D165" s="490">
        <f>'[8]Sch C'!F176</f>
        <v>0</v>
      </c>
      <c r="E165" s="171">
        <f t="shared" si="45"/>
        <v>0</v>
      </c>
      <c r="F165" s="490"/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  <c r="W165" s="222"/>
      <c r="X165" s="222"/>
      <c r="Y165" s="533"/>
      <c r="Z165" s="533"/>
    </row>
    <row r="166" spans="1:26" s="221" customFormat="1">
      <c r="A166" s="215" t="s">
        <v>124</v>
      </c>
      <c r="B166" s="148" t="s">
        <v>104</v>
      </c>
      <c r="C166" s="490">
        <f>'[8]Sch C'!D177</f>
        <v>0</v>
      </c>
      <c r="D166" s="490">
        <f>'[8]Sch C'!F177</f>
        <v>0</v>
      </c>
      <c r="E166" s="171">
        <f t="shared" si="45"/>
        <v>0</v>
      </c>
      <c r="F166" s="490"/>
      <c r="G166" s="171">
        <f t="shared" si="46"/>
        <v>0</v>
      </c>
      <c r="H166" s="172">
        <f t="shared" si="47"/>
        <v>0</v>
      </c>
      <c r="I166" s="343"/>
      <c r="J166" s="183">
        <v>0</v>
      </c>
      <c r="K166" s="183">
        <v>0</v>
      </c>
      <c r="L166" s="218"/>
      <c r="M166" s="364">
        <f t="shared" si="48"/>
        <v>0</v>
      </c>
      <c r="N166" s="359">
        <f>SUMMARY!J169</f>
        <v>4.5899160973212085</v>
      </c>
      <c r="O166" s="220"/>
      <c r="P166" s="220"/>
      <c r="Q166" s="220"/>
      <c r="W166" s="217">
        <v>0</v>
      </c>
      <c r="X166" s="217">
        <v>0</v>
      </c>
      <c r="Y166" s="492">
        <v>0</v>
      </c>
      <c r="Z166" s="492">
        <v>0</v>
      </c>
    </row>
    <row r="167" spans="1:26" s="221" customFormat="1">
      <c r="A167" s="215" t="s">
        <v>157</v>
      </c>
      <c r="B167" s="148" t="s">
        <v>105</v>
      </c>
      <c r="C167" s="490">
        <f>'[8]Sch C'!D178</f>
        <v>0</v>
      </c>
      <c r="D167" s="490">
        <f>'[8]Sch C'!F178</f>
        <v>0</v>
      </c>
      <c r="E167" s="171">
        <f t="shared" si="45"/>
        <v>0</v>
      </c>
      <c r="F167" s="490"/>
      <c r="G167" s="171">
        <f t="shared" si="46"/>
        <v>0</v>
      </c>
      <c r="H167" s="172">
        <f t="shared" si="47"/>
        <v>0</v>
      </c>
      <c r="I167" s="344"/>
      <c r="J167" s="222"/>
      <c r="K167" s="222"/>
      <c r="L167" s="218"/>
      <c r="M167" s="364">
        <f t="shared" si="48"/>
        <v>0</v>
      </c>
      <c r="N167" s="359">
        <f>SUMMARY!J170</f>
        <v>0.83466769369350857</v>
      </c>
      <c r="O167" s="220"/>
      <c r="P167" s="220"/>
      <c r="Q167" s="220"/>
      <c r="W167" s="222"/>
      <c r="X167" s="222"/>
      <c r="Y167" s="533"/>
      <c r="Z167" s="533"/>
    </row>
    <row r="168" spans="1:26" s="221" customFormat="1">
      <c r="A168" s="215" t="s">
        <v>158</v>
      </c>
      <c r="B168" s="148" t="s">
        <v>316</v>
      </c>
      <c r="C168" s="490">
        <f>'[8]Sch C'!D179</f>
        <v>0</v>
      </c>
      <c r="D168" s="490">
        <f>'[8]Sch C'!F179</f>
        <v>0</v>
      </c>
      <c r="E168" s="171">
        <f t="shared" si="45"/>
        <v>0</v>
      </c>
      <c r="F168" s="490"/>
      <c r="G168" s="171">
        <f t="shared" si="46"/>
        <v>0</v>
      </c>
      <c r="H168" s="172">
        <f t="shared" si="47"/>
        <v>0</v>
      </c>
      <c r="I168" s="343"/>
      <c r="J168" s="183">
        <v>0</v>
      </c>
      <c r="K168" s="183">
        <v>0</v>
      </c>
      <c r="L168" s="218"/>
      <c r="M168" s="364">
        <f t="shared" si="48"/>
        <v>0</v>
      </c>
      <c r="N168" s="359">
        <f>SUMMARY!J171</f>
        <v>0.77161464733349716</v>
      </c>
      <c r="O168" s="220"/>
      <c r="P168" s="220"/>
      <c r="Q168" s="220"/>
      <c r="W168" s="217">
        <v>0</v>
      </c>
      <c r="X168" s="217">
        <v>0</v>
      </c>
      <c r="Y168" s="492">
        <v>0</v>
      </c>
      <c r="Z168" s="492">
        <v>0</v>
      </c>
    </row>
    <row r="169" spans="1:26" s="221" customFormat="1">
      <c r="A169" s="215" t="s">
        <v>86</v>
      </c>
      <c r="B169" s="148" t="s">
        <v>317</v>
      </c>
      <c r="C169" s="490">
        <f>'[8]Sch C'!D180</f>
        <v>0</v>
      </c>
      <c r="D169" s="490">
        <f>'[8]Sch C'!F180</f>
        <v>0</v>
      </c>
      <c r="E169" s="171">
        <f t="shared" si="45"/>
        <v>0</v>
      </c>
      <c r="F169" s="490"/>
      <c r="G169" s="171">
        <f t="shared" si="46"/>
        <v>0</v>
      </c>
      <c r="H169" s="172">
        <f t="shared" si="47"/>
        <v>0</v>
      </c>
      <c r="I169" s="344"/>
      <c r="J169" s="222"/>
      <c r="K169" s="222"/>
      <c r="L169" s="218"/>
      <c r="M169" s="364">
        <f t="shared" si="48"/>
        <v>0</v>
      </c>
      <c r="N169" s="359">
        <f>SUMMARY!J172</f>
        <v>0.13394964091641409</v>
      </c>
      <c r="O169" s="220"/>
      <c r="P169" s="220"/>
      <c r="Q169" s="220"/>
      <c r="W169" s="222"/>
      <c r="X169" s="222"/>
      <c r="Y169" s="533"/>
      <c r="Z169" s="533"/>
    </row>
    <row r="170" spans="1:26" s="221" customFormat="1">
      <c r="A170" s="215" t="s">
        <v>96</v>
      </c>
      <c r="B170" s="148" t="s">
        <v>318</v>
      </c>
      <c r="C170" s="490">
        <f>'[8]Sch C'!D181</f>
        <v>0</v>
      </c>
      <c r="D170" s="490">
        <f>'[8]Sch C'!F181</f>
        <v>0</v>
      </c>
      <c r="E170" s="171">
        <f t="shared" si="45"/>
        <v>0</v>
      </c>
      <c r="F170" s="490"/>
      <c r="G170" s="171">
        <f t="shared" si="46"/>
        <v>0</v>
      </c>
      <c r="H170" s="172">
        <f t="shared" si="47"/>
        <v>0</v>
      </c>
      <c r="I170" s="343"/>
      <c r="J170" s="183">
        <v>0</v>
      </c>
      <c r="K170" s="183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  <c r="W170" s="217">
        <v>0</v>
      </c>
      <c r="X170" s="217">
        <v>0</v>
      </c>
      <c r="Y170" s="492">
        <v>0</v>
      </c>
      <c r="Z170" s="492">
        <v>0</v>
      </c>
    </row>
    <row r="171" spans="1:26" s="221" customFormat="1">
      <c r="A171" s="215" t="s">
        <v>125</v>
      </c>
      <c r="B171" s="148" t="s">
        <v>109</v>
      </c>
      <c r="C171" s="490">
        <f>'[8]Sch C'!D182</f>
        <v>0</v>
      </c>
      <c r="D171" s="490">
        <f>'[8]Sch C'!F182</f>
        <v>0</v>
      </c>
      <c r="E171" s="171">
        <f t="shared" si="45"/>
        <v>0</v>
      </c>
      <c r="F171" s="490"/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  <c r="W171" s="222"/>
      <c r="X171" s="222"/>
      <c r="Y171" s="533"/>
      <c r="Z171" s="533"/>
    </row>
    <row r="172" spans="1:26" s="221" customFormat="1">
      <c r="A172" s="215" t="s">
        <v>126</v>
      </c>
      <c r="B172" s="148" t="s">
        <v>319</v>
      </c>
      <c r="C172" s="490">
        <f>'[8]Sch C'!D183</f>
        <v>0</v>
      </c>
      <c r="D172" s="490">
        <f>'[8]Sch C'!F183</f>
        <v>0</v>
      </c>
      <c r="E172" s="171">
        <f t="shared" si="45"/>
        <v>0</v>
      </c>
      <c r="F172" s="490"/>
      <c r="G172" s="171">
        <f t="shared" si="46"/>
        <v>0</v>
      </c>
      <c r="H172" s="172">
        <f t="shared" si="47"/>
        <v>0</v>
      </c>
      <c r="I172" s="343"/>
      <c r="J172" s="183">
        <v>0</v>
      </c>
      <c r="K172" s="183">
        <v>0</v>
      </c>
      <c r="L172" s="218"/>
      <c r="M172" s="364">
        <f t="shared" si="48"/>
        <v>0</v>
      </c>
      <c r="N172" s="359">
        <f>SUMMARY!J175</f>
        <v>2.5941162939297122</v>
      </c>
      <c r="O172" s="220"/>
      <c r="P172" s="220"/>
      <c r="Q172" s="220"/>
      <c r="W172" s="217">
        <v>0</v>
      </c>
      <c r="X172" s="217">
        <v>0</v>
      </c>
      <c r="Y172" s="492">
        <v>0</v>
      </c>
      <c r="Z172" s="492">
        <v>0</v>
      </c>
    </row>
    <row r="173" spans="1:26" s="221" customFormat="1">
      <c r="A173" s="215" t="s">
        <v>127</v>
      </c>
      <c r="B173" s="148" t="s">
        <v>111</v>
      </c>
      <c r="C173" s="490">
        <f>'[8]Sch C'!D184</f>
        <v>0</v>
      </c>
      <c r="D173" s="490">
        <f>'[8]Sch C'!F184</f>
        <v>0</v>
      </c>
      <c r="E173" s="171">
        <f t="shared" si="45"/>
        <v>0</v>
      </c>
      <c r="F173" s="490"/>
      <c r="G173" s="171">
        <f t="shared" si="46"/>
        <v>0</v>
      </c>
      <c r="H173" s="172">
        <f t="shared" si="47"/>
        <v>0</v>
      </c>
      <c r="I173" s="344"/>
      <c r="J173" s="222"/>
      <c r="K173" s="222"/>
      <c r="L173" s="218"/>
      <c r="M173" s="364">
        <f t="shared" si="48"/>
        <v>0</v>
      </c>
      <c r="N173" s="359">
        <f>SUMMARY!J176</f>
        <v>0.43431776693811036</v>
      </c>
      <c r="O173" s="220"/>
      <c r="P173" s="220"/>
      <c r="Q173" s="220"/>
      <c r="W173" s="222"/>
      <c r="X173" s="222"/>
      <c r="Y173" s="533"/>
      <c r="Z173" s="533"/>
    </row>
    <row r="174" spans="1:26" s="221" customFormat="1">
      <c r="A174" s="215" t="s">
        <v>128</v>
      </c>
      <c r="B174" s="148" t="s">
        <v>320</v>
      </c>
      <c r="C174" s="490">
        <f>'[8]Sch C'!D185</f>
        <v>0</v>
      </c>
      <c r="D174" s="490">
        <f>'[8]Sch C'!F185</f>
        <v>0</v>
      </c>
      <c r="E174" s="171">
        <f t="shared" si="45"/>
        <v>0</v>
      </c>
      <c r="F174" s="490"/>
      <c r="G174" s="171">
        <f t="shared" si="46"/>
        <v>0</v>
      </c>
      <c r="H174" s="172">
        <f t="shared" si="47"/>
        <v>0</v>
      </c>
      <c r="I174" s="343"/>
      <c r="J174" s="183">
        <v>0</v>
      </c>
      <c r="K174" s="183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  <c r="W174" s="217">
        <v>0</v>
      </c>
      <c r="X174" s="217">
        <v>0</v>
      </c>
      <c r="Y174" s="492">
        <v>0</v>
      </c>
      <c r="Z174" s="492">
        <v>0</v>
      </c>
    </row>
    <row r="175" spans="1:26" s="221" customFormat="1">
      <c r="A175" s="215" t="s">
        <v>129</v>
      </c>
      <c r="B175" s="148" t="s">
        <v>321</v>
      </c>
      <c r="C175" s="490">
        <f>'[8]Sch C'!D186</f>
        <v>0</v>
      </c>
      <c r="D175" s="490">
        <f>'[8]Sch C'!F186</f>
        <v>0</v>
      </c>
      <c r="E175" s="171">
        <f t="shared" si="45"/>
        <v>0</v>
      </c>
      <c r="F175" s="490"/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  <c r="W175" s="223"/>
      <c r="X175" s="218"/>
      <c r="Y175" s="534"/>
      <c r="Z175" s="535"/>
    </row>
    <row r="176" spans="1:26" s="221" customFormat="1">
      <c r="A176" s="224" t="s">
        <v>293</v>
      </c>
      <c r="B176" s="148" t="s">
        <v>154</v>
      </c>
      <c r="C176" s="490">
        <f>'[8]Sch C'!D187</f>
        <v>0</v>
      </c>
      <c r="D176" s="490">
        <f>'[8]Sch C'!F187</f>
        <v>0</v>
      </c>
      <c r="E176" s="171">
        <f t="shared" si="45"/>
        <v>0</v>
      </c>
      <c r="F176" s="490"/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  <c r="W176" s="223"/>
      <c r="X176" s="218"/>
      <c r="Y176" s="534"/>
      <c r="Z176" s="535"/>
    </row>
    <row r="177" spans="1:26" s="221" customFormat="1">
      <c r="A177" s="224" t="s">
        <v>294</v>
      </c>
      <c r="B177" s="148" t="s">
        <v>322</v>
      </c>
      <c r="C177" s="490">
        <f>'[8]Sch C'!D188</f>
        <v>0</v>
      </c>
      <c r="D177" s="490">
        <f>'[8]Sch C'!F188</f>
        <v>0</v>
      </c>
      <c r="E177" s="171">
        <f t="shared" si="45"/>
        <v>0</v>
      </c>
      <c r="F177" s="490"/>
      <c r="G177" s="171">
        <f t="shared" si="46"/>
        <v>0</v>
      </c>
      <c r="H177" s="172">
        <f t="shared" si="47"/>
        <v>0</v>
      </c>
      <c r="I177" s="337"/>
      <c r="J177" s="223"/>
      <c r="K177" s="218"/>
      <c r="L177" s="220"/>
      <c r="M177" s="364">
        <f t="shared" si="48"/>
        <v>0</v>
      </c>
      <c r="N177" s="359">
        <f>SUMMARY!J180</f>
        <v>9.0641762922913108E-2</v>
      </c>
      <c r="O177" s="220"/>
      <c r="P177" s="220"/>
      <c r="W177" s="223"/>
      <c r="X177" s="218"/>
      <c r="Y177" s="534"/>
      <c r="Z177" s="535"/>
    </row>
    <row r="178" spans="1:26" s="221" customFormat="1">
      <c r="A178" s="224" t="s">
        <v>295</v>
      </c>
      <c r="B178" s="148" t="s">
        <v>323</v>
      </c>
      <c r="C178" s="490">
        <f>'[8]Sch C'!D189</f>
        <v>0</v>
      </c>
      <c r="D178" s="490">
        <f>'[8]Sch C'!F189</f>
        <v>0</v>
      </c>
      <c r="E178" s="171">
        <f t="shared" si="45"/>
        <v>0</v>
      </c>
      <c r="F178" s="490"/>
      <c r="G178" s="171">
        <f t="shared" si="46"/>
        <v>0</v>
      </c>
      <c r="H178" s="172">
        <f t="shared" si="47"/>
        <v>0</v>
      </c>
      <c r="I178" s="337"/>
      <c r="J178" s="223"/>
      <c r="K178" s="218"/>
      <c r="L178" s="220"/>
      <c r="M178" s="364">
        <f t="shared" si="48"/>
        <v>0</v>
      </c>
      <c r="N178" s="359">
        <f>SUMMARY!J181</f>
        <v>1.778645585866033E-2</v>
      </c>
      <c r="O178" s="220"/>
      <c r="P178" s="220"/>
      <c r="W178" s="223"/>
      <c r="X178" s="218"/>
      <c r="Y178" s="534"/>
      <c r="Z178" s="535"/>
    </row>
    <row r="179" spans="1:26" s="221" customFormat="1">
      <c r="A179" s="224" t="s">
        <v>296</v>
      </c>
      <c r="B179" s="148" t="s">
        <v>324</v>
      </c>
      <c r="C179" s="490">
        <f>'[8]Sch C'!D190</f>
        <v>0</v>
      </c>
      <c r="D179" s="490">
        <f>'[8]Sch C'!F190</f>
        <v>0</v>
      </c>
      <c r="E179" s="171">
        <f t="shared" si="45"/>
        <v>0</v>
      </c>
      <c r="F179" s="490"/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  <c r="W179" s="223"/>
      <c r="X179" s="218"/>
      <c r="Y179" s="534"/>
      <c r="Z179" s="535"/>
    </row>
    <row r="180" spans="1:26" s="221" customFormat="1">
      <c r="A180" s="224" t="s">
        <v>297</v>
      </c>
      <c r="B180" s="148" t="s">
        <v>325</v>
      </c>
      <c r="C180" s="490">
        <f>'[8]Sch C'!D191</f>
        <v>0</v>
      </c>
      <c r="D180" s="490">
        <f>'[8]Sch C'!F191</f>
        <v>0</v>
      </c>
      <c r="E180" s="171">
        <f t="shared" si="45"/>
        <v>0</v>
      </c>
      <c r="F180" s="490"/>
      <c r="G180" s="171">
        <f t="shared" si="46"/>
        <v>0</v>
      </c>
      <c r="H180" s="172">
        <f t="shared" si="47"/>
        <v>0</v>
      </c>
      <c r="I180" s="337"/>
      <c r="J180" s="223"/>
      <c r="K180" s="218"/>
      <c r="L180" s="220"/>
      <c r="M180" s="364">
        <f t="shared" si="48"/>
        <v>0</v>
      </c>
      <c r="N180" s="359">
        <f>SUMMARY!J183</f>
        <v>1.8462734496600307E-2</v>
      </c>
      <c r="O180" s="220"/>
      <c r="P180" s="220"/>
      <c r="W180" s="223"/>
      <c r="X180" s="218"/>
      <c r="Y180" s="534"/>
      <c r="Z180" s="535"/>
    </row>
    <row r="181" spans="1:26" s="221" customFormat="1">
      <c r="A181" s="224" t="s">
        <v>298</v>
      </c>
      <c r="B181" s="148" t="s">
        <v>117</v>
      </c>
      <c r="C181" s="490">
        <f>'[8]Sch C'!D192</f>
        <v>0</v>
      </c>
      <c r="D181" s="490">
        <f>'[8]Sch C'!F192</f>
        <v>0</v>
      </c>
      <c r="E181" s="171">
        <f t="shared" si="45"/>
        <v>0</v>
      </c>
      <c r="F181" s="490"/>
      <c r="G181" s="171">
        <f t="shared" si="46"/>
        <v>0</v>
      </c>
      <c r="H181" s="172">
        <f t="shared" si="47"/>
        <v>0</v>
      </c>
      <c r="I181" s="337"/>
      <c r="J181" s="223"/>
      <c r="K181" s="218"/>
      <c r="L181" s="220"/>
      <c r="M181" s="364">
        <f t="shared" si="48"/>
        <v>0</v>
      </c>
      <c r="N181" s="359">
        <f>SUMMARY!J184</f>
        <v>0.21032919363206901</v>
      </c>
      <c r="O181" s="220"/>
      <c r="P181" s="220"/>
      <c r="W181" s="223"/>
      <c r="X181" s="218"/>
      <c r="Y181" s="534"/>
      <c r="Z181" s="535"/>
    </row>
    <row r="182" spans="1:26" s="221" customFormat="1">
      <c r="A182" s="224" t="s">
        <v>132</v>
      </c>
      <c r="B182" s="148" t="s">
        <v>118</v>
      </c>
      <c r="C182" s="490">
        <f>'[8]Sch C'!D193</f>
        <v>0</v>
      </c>
      <c r="D182" s="490">
        <f>'[8]Sch C'!F193</f>
        <v>0</v>
      </c>
      <c r="E182" s="171">
        <f t="shared" si="45"/>
        <v>0</v>
      </c>
      <c r="F182" s="490"/>
      <c r="G182" s="171">
        <f t="shared" si="46"/>
        <v>0</v>
      </c>
      <c r="H182" s="172">
        <f t="shared" si="47"/>
        <v>0</v>
      </c>
      <c r="I182" s="337"/>
      <c r="J182" s="223"/>
      <c r="K182" s="218"/>
      <c r="L182" s="220"/>
      <c r="M182" s="364">
        <f t="shared" si="48"/>
        <v>0</v>
      </c>
      <c r="N182" s="359">
        <f>SUMMARY!J185</f>
        <v>4.5937156276453409E-2</v>
      </c>
      <c r="O182" s="220"/>
      <c r="P182" s="220"/>
      <c r="W182" s="223"/>
      <c r="X182" s="218"/>
      <c r="Y182" s="534"/>
      <c r="Z182" s="535"/>
    </row>
    <row r="183" spans="1:26" s="221" customFormat="1">
      <c r="A183" s="224" t="s">
        <v>133</v>
      </c>
      <c r="B183" s="148" t="s">
        <v>119</v>
      </c>
      <c r="C183" s="490">
        <f>'[8]Sch C'!D194</f>
        <v>164720.41</v>
      </c>
      <c r="D183" s="490">
        <f>'[8]Sch C'!F194</f>
        <v>0</v>
      </c>
      <c r="E183" s="171">
        <f t="shared" si="45"/>
        <v>164720.41</v>
      </c>
      <c r="F183" s="490"/>
      <c r="G183" s="171">
        <f t="shared" si="46"/>
        <v>164720.41</v>
      </c>
      <c r="H183" s="172">
        <f t="shared" si="47"/>
        <v>6.8461318815247391E-2</v>
      </c>
      <c r="I183" s="337"/>
      <c r="J183" s="223"/>
      <c r="K183" s="218"/>
      <c r="M183" s="364">
        <f t="shared" si="48"/>
        <v>16.990243424445591</v>
      </c>
      <c r="N183" s="359">
        <f>SUMMARY!J186</f>
        <v>7.3129851396739571</v>
      </c>
      <c r="O183" s="220"/>
      <c r="P183" s="220"/>
      <c r="W183" s="223"/>
      <c r="X183" s="218"/>
      <c r="Y183" s="534"/>
      <c r="Z183" s="535"/>
    </row>
    <row r="184" spans="1:26" s="221" customFormat="1">
      <c r="A184" s="224" t="s">
        <v>134</v>
      </c>
      <c r="B184" s="148" t="s">
        <v>326</v>
      </c>
      <c r="C184" s="490">
        <f>'[8]Sch C'!D195</f>
        <v>12250.14</v>
      </c>
      <c r="D184" s="490">
        <f>'[8]Sch C'!F195</f>
        <v>0</v>
      </c>
      <c r="E184" s="171">
        <f t="shared" si="45"/>
        <v>12250.14</v>
      </c>
      <c r="F184" s="490"/>
      <c r="G184" s="171">
        <f t="shared" si="46"/>
        <v>12250.14</v>
      </c>
      <c r="H184" s="172">
        <f t="shared" si="47"/>
        <v>5.0914196976040473E-3</v>
      </c>
      <c r="I184" s="337"/>
      <c r="J184" s="223"/>
      <c r="K184" s="218"/>
      <c r="M184" s="364">
        <f t="shared" si="48"/>
        <v>1.2635523465703971</v>
      </c>
      <c r="N184" s="359">
        <f>SUMMARY!J187</f>
        <v>1.617871871330657</v>
      </c>
      <c r="O184" s="220"/>
      <c r="P184" s="220"/>
      <c r="W184" s="223"/>
      <c r="X184" s="218"/>
      <c r="Y184" s="534"/>
      <c r="Z184" s="535"/>
    </row>
    <row r="185" spans="1:26" s="221" customFormat="1">
      <c r="A185" s="224" t="s">
        <v>135</v>
      </c>
      <c r="B185" s="148" t="s">
        <v>327</v>
      </c>
      <c r="C185" s="490">
        <f>'[8]Sch C'!D196</f>
        <v>0</v>
      </c>
      <c r="D185" s="490">
        <f>'[8]Sch C'!F196</f>
        <v>0</v>
      </c>
      <c r="E185" s="171">
        <f t="shared" si="45"/>
        <v>0</v>
      </c>
      <c r="F185" s="490"/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  <c r="W185" s="223"/>
      <c r="X185" s="218"/>
      <c r="Y185" s="534"/>
      <c r="Z185" s="535"/>
    </row>
    <row r="186" spans="1:26" s="221" customFormat="1">
      <c r="A186" s="224" t="s">
        <v>136</v>
      </c>
      <c r="B186" s="148" t="s">
        <v>328</v>
      </c>
      <c r="C186" s="490">
        <f>'[8]Sch C'!D197</f>
        <v>107090.89</v>
      </c>
      <c r="D186" s="490">
        <f>'[8]Sch C'!F197</f>
        <v>0</v>
      </c>
      <c r="E186" s="171">
        <f t="shared" si="45"/>
        <v>107090.89</v>
      </c>
      <c r="F186" s="490"/>
      <c r="G186" s="171">
        <f t="shared" si="46"/>
        <v>107090.89</v>
      </c>
      <c r="H186" s="172">
        <f t="shared" si="47"/>
        <v>4.4509260039472878E-2</v>
      </c>
      <c r="I186" s="337"/>
      <c r="J186" s="223"/>
      <c r="K186" s="218"/>
      <c r="M186" s="364">
        <f t="shared" si="48"/>
        <v>11.045991748323878</v>
      </c>
      <c r="N186" s="359">
        <f>SUMMARY!J189</f>
        <v>5.0698778515059661</v>
      </c>
      <c r="O186" s="220"/>
      <c r="P186" s="220"/>
      <c r="W186" s="223"/>
      <c r="X186" s="218"/>
      <c r="Y186" s="534"/>
      <c r="Z186" s="535"/>
    </row>
    <row r="187" spans="1:26" s="221" customFormat="1">
      <c r="A187" s="224" t="s">
        <v>137</v>
      </c>
      <c r="B187" s="148" t="s">
        <v>122</v>
      </c>
      <c r="C187" s="490">
        <f>'[8]Sch C'!D198</f>
        <v>8206.1299999999992</v>
      </c>
      <c r="D187" s="490">
        <f>'[8]Sch C'!F198</f>
        <v>0</v>
      </c>
      <c r="E187" s="171">
        <f t="shared" si="45"/>
        <v>8206.1299999999992</v>
      </c>
      <c r="F187" s="490"/>
      <c r="G187" s="171">
        <f t="shared" si="46"/>
        <v>8206.1299999999992</v>
      </c>
      <c r="H187" s="172">
        <f t="shared" si="47"/>
        <v>3.410642810865794E-3</v>
      </c>
      <c r="I187" s="337"/>
      <c r="J187" s="223"/>
      <c r="K187" s="218"/>
      <c r="M187" s="364">
        <f t="shared" si="48"/>
        <v>0.84642908715832899</v>
      </c>
      <c r="N187" s="359">
        <f>SUMMARY!J190</f>
        <v>1.3048000054613476</v>
      </c>
      <c r="O187" s="220"/>
      <c r="P187" s="220"/>
      <c r="W187" s="223"/>
      <c r="X187" s="218"/>
      <c r="Y187" s="534"/>
      <c r="Z187" s="535"/>
    </row>
    <row r="188" spans="1:26" s="221" customFormat="1">
      <c r="A188" s="224" t="s">
        <v>275</v>
      </c>
      <c r="B188" s="148" t="s">
        <v>329</v>
      </c>
      <c r="C188" s="490">
        <f>'[8]Sch C'!D199</f>
        <v>0</v>
      </c>
      <c r="D188" s="490">
        <f>'[8]Sch C'!F199</f>
        <v>0</v>
      </c>
      <c r="E188" s="171">
        <f t="shared" si="45"/>
        <v>0</v>
      </c>
      <c r="F188" s="490"/>
      <c r="G188" s="171">
        <f t="shared" si="46"/>
        <v>0</v>
      </c>
      <c r="H188" s="172">
        <f t="shared" si="47"/>
        <v>0</v>
      </c>
      <c r="I188" s="337"/>
      <c r="J188" s="223"/>
      <c r="K188" s="218"/>
      <c r="M188" s="364">
        <f t="shared" si="48"/>
        <v>0</v>
      </c>
      <c r="N188" s="359">
        <f>SUMMARY!J191</f>
        <v>0.39995945495753804</v>
      </c>
      <c r="O188" s="220"/>
      <c r="P188" s="220"/>
      <c r="W188" s="223"/>
      <c r="X188" s="218"/>
      <c r="Y188" s="534"/>
      <c r="Z188" s="535"/>
    </row>
    <row r="189" spans="1:26" s="221" customFormat="1">
      <c r="A189" s="224" t="s">
        <v>277</v>
      </c>
      <c r="B189" s="148" t="s">
        <v>278</v>
      </c>
      <c r="C189" s="490">
        <f>'[8]Sch C'!D200</f>
        <v>0</v>
      </c>
      <c r="D189" s="490">
        <f>'[8]Sch C'!F200</f>
        <v>0</v>
      </c>
      <c r="E189" s="171">
        <f t="shared" si="45"/>
        <v>0</v>
      </c>
      <c r="F189" s="490"/>
      <c r="G189" s="171">
        <f t="shared" si="46"/>
        <v>0</v>
      </c>
      <c r="H189" s="172">
        <f t="shared" si="47"/>
        <v>0</v>
      </c>
      <c r="I189" s="337"/>
      <c r="J189" s="223"/>
      <c r="K189" s="218"/>
      <c r="M189" s="364">
        <f t="shared" si="48"/>
        <v>0</v>
      </c>
      <c r="N189" s="359">
        <f>SUMMARY!J192</f>
        <v>5.0800032768083883E-3</v>
      </c>
      <c r="O189" s="220"/>
      <c r="P189" s="220"/>
      <c r="W189" s="223"/>
      <c r="X189" s="218"/>
      <c r="Y189" s="534"/>
      <c r="Z189" s="535"/>
    </row>
    <row r="190" spans="1:26" s="221" customFormat="1">
      <c r="A190" s="225" t="s">
        <v>279</v>
      </c>
      <c r="B190" s="226" t="s">
        <v>280</v>
      </c>
      <c r="C190" s="490">
        <f>'[8]Sch C'!D201</f>
        <v>0</v>
      </c>
      <c r="D190" s="490">
        <f>'[8]Sch C'!F201</f>
        <v>0</v>
      </c>
      <c r="E190" s="171">
        <f t="shared" si="45"/>
        <v>0</v>
      </c>
      <c r="F190" s="490"/>
      <c r="G190" s="171">
        <f t="shared" si="46"/>
        <v>0</v>
      </c>
      <c r="H190" s="172">
        <f t="shared" si="47"/>
        <v>0</v>
      </c>
      <c r="I190" s="337"/>
      <c r="J190" s="223"/>
      <c r="K190" s="218"/>
      <c r="M190" s="364">
        <f t="shared" si="48"/>
        <v>0</v>
      </c>
      <c r="N190" s="359">
        <f>SUMMARY!J193</f>
        <v>-2.2159984708227519E-2</v>
      </c>
      <c r="O190" s="220"/>
      <c r="P190" s="220"/>
      <c r="W190" s="223"/>
      <c r="X190" s="218"/>
      <c r="Y190" s="534"/>
      <c r="Z190" s="535"/>
    </row>
    <row r="191" spans="1:26" s="221" customFormat="1">
      <c r="A191" s="225" t="s">
        <v>281</v>
      </c>
      <c r="B191" s="226" t="s">
        <v>282</v>
      </c>
      <c r="C191" s="490">
        <f>'[8]Sch C'!D202</f>
        <v>0</v>
      </c>
      <c r="D191" s="490">
        <f>'[8]Sch C'!F202</f>
        <v>0</v>
      </c>
      <c r="E191" s="171">
        <f t="shared" si="45"/>
        <v>0</v>
      </c>
      <c r="F191" s="490"/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  <c r="W191" s="223"/>
      <c r="X191" s="218"/>
      <c r="Y191" s="534"/>
      <c r="Z191" s="535"/>
    </row>
    <row r="192" spans="1:26" s="221" customFormat="1">
      <c r="A192" s="225" t="s">
        <v>283</v>
      </c>
      <c r="B192" s="226" t="s">
        <v>330</v>
      </c>
      <c r="C192" s="490">
        <f>'[8]Sch C'!D203</f>
        <v>0</v>
      </c>
      <c r="D192" s="490">
        <f>'[8]Sch C'!F203</f>
        <v>0</v>
      </c>
      <c r="E192" s="171">
        <f t="shared" si="45"/>
        <v>0</v>
      </c>
      <c r="F192" s="490"/>
      <c r="G192" s="171">
        <f t="shared" si="46"/>
        <v>0</v>
      </c>
      <c r="H192" s="172">
        <f t="shared" si="47"/>
        <v>0</v>
      </c>
      <c r="I192" s="337"/>
      <c r="J192" s="223"/>
      <c r="K192" s="218"/>
      <c r="M192" s="364">
        <f t="shared" si="48"/>
        <v>0</v>
      </c>
      <c r="N192" s="359">
        <f>SUMMARY!J195</f>
        <v>9.9736102236421709E-2</v>
      </c>
      <c r="O192" s="220"/>
      <c r="P192" s="220"/>
      <c r="W192" s="223"/>
      <c r="X192" s="218"/>
      <c r="Y192" s="534"/>
      <c r="Z192" s="535"/>
    </row>
    <row r="193" spans="1:26" s="221" customFormat="1">
      <c r="A193" s="225" t="s">
        <v>285</v>
      </c>
      <c r="B193" s="226" t="s">
        <v>331</v>
      </c>
      <c r="C193" s="490">
        <f>'[8]Sch C'!D204</f>
        <v>0</v>
      </c>
      <c r="D193" s="490">
        <f>'[8]Sch C'!F204</f>
        <v>0</v>
      </c>
      <c r="E193" s="171">
        <f t="shared" si="45"/>
        <v>0</v>
      </c>
      <c r="F193" s="490"/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  <c r="W193" s="223"/>
      <c r="X193" s="218"/>
      <c r="Y193" s="534"/>
      <c r="Z193" s="535"/>
    </row>
    <row r="194" spans="1:26" s="221" customFormat="1">
      <c r="A194" s="224" t="s">
        <v>138</v>
      </c>
      <c r="B194" s="148" t="s">
        <v>332</v>
      </c>
      <c r="C194" s="490">
        <f>'[8]Sch C'!D205</f>
        <v>129828.2</v>
      </c>
      <c r="D194" s="490">
        <f>'[8]Sch C'!F205</f>
        <v>-44805</v>
      </c>
      <c r="E194" s="171">
        <f t="shared" si="45"/>
        <v>85023.2</v>
      </c>
      <c r="F194" s="490"/>
      <c r="G194" s="171">
        <f t="shared" si="46"/>
        <v>85023.2</v>
      </c>
      <c r="H194" s="172">
        <f t="shared" si="47"/>
        <v>3.5337456978722565E-2</v>
      </c>
      <c r="I194" s="337"/>
      <c r="J194" s="223"/>
      <c r="K194" s="218"/>
      <c r="M194" s="364">
        <f t="shared" si="48"/>
        <v>8.7697988653945327</v>
      </c>
      <c r="N194" s="359">
        <f>SUMMARY!J197</f>
        <v>9.4205484776494348</v>
      </c>
      <c r="O194" s="220"/>
      <c r="P194" s="220"/>
      <c r="W194" s="223"/>
      <c r="X194" s="218"/>
      <c r="Y194" s="534"/>
      <c r="Z194" s="535"/>
    </row>
    <row r="195" spans="1:26" s="221" customFormat="1">
      <c r="A195" s="224" t="s">
        <v>139</v>
      </c>
      <c r="B195" s="148" t="s">
        <v>67</v>
      </c>
      <c r="C195" s="490">
        <f>'[8]Sch C'!D206</f>
        <v>4823.66</v>
      </c>
      <c r="D195" s="490">
        <f>'[8]Sch C'!F206</f>
        <v>0</v>
      </c>
      <c r="E195" s="171">
        <f t="shared" si="45"/>
        <v>4823.66</v>
      </c>
      <c r="F195" s="490"/>
      <c r="G195" s="171">
        <f t="shared" si="46"/>
        <v>4823.66</v>
      </c>
      <c r="H195" s="172">
        <f t="shared" si="47"/>
        <v>2.0048160705546823E-3</v>
      </c>
      <c r="I195" s="337"/>
      <c r="J195" s="223"/>
      <c r="K195" s="218"/>
      <c r="M195" s="364">
        <f t="shared" si="48"/>
        <v>0.49754100051572975</v>
      </c>
      <c r="N195" s="359">
        <f>SUMMARY!J198</f>
        <v>0.51514733622784747</v>
      </c>
      <c r="O195" s="220"/>
      <c r="P195" s="220"/>
      <c r="W195" s="223"/>
      <c r="X195" s="218"/>
      <c r="Y195" s="534"/>
      <c r="Z195" s="535"/>
    </row>
    <row r="196" spans="1:26" s="221" customFormat="1">
      <c r="A196" s="225" t="s">
        <v>143</v>
      </c>
      <c r="B196" s="194" t="s">
        <v>333</v>
      </c>
      <c r="C196" s="490">
        <f>'[8]Sch C'!D207</f>
        <v>2111.3200000000002</v>
      </c>
      <c r="D196" s="490">
        <f>'[8]Sch C'!F207</f>
        <v>0</v>
      </c>
      <c r="E196" s="171">
        <f t="shared" si="45"/>
        <v>2111.3200000000002</v>
      </c>
      <c r="F196" s="490"/>
      <c r="G196" s="171">
        <f t="shared" si="46"/>
        <v>2111.3200000000002</v>
      </c>
      <c r="H196" s="172">
        <f t="shared" si="47"/>
        <v>8.7750966404836009E-4</v>
      </c>
      <c r="I196" s="337"/>
      <c r="J196" s="223"/>
      <c r="K196" s="218"/>
      <c r="M196" s="364">
        <f t="shared" si="48"/>
        <v>0.21777411036616814</v>
      </c>
      <c r="N196" s="359">
        <f>SUMMARY!J199</f>
        <v>0.43468466925335936</v>
      </c>
      <c r="O196" s="220"/>
      <c r="P196" s="220"/>
      <c r="W196" s="223"/>
      <c r="X196" s="218"/>
      <c r="Y196" s="534"/>
      <c r="Z196" s="535"/>
    </row>
    <row r="197" spans="1:26" s="167" customFormat="1">
      <c r="A197" s="163"/>
      <c r="B197" s="212" t="s">
        <v>130</v>
      </c>
      <c r="C197" s="490">
        <f>SUM(C164:C196)</f>
        <v>429030.75</v>
      </c>
      <c r="D197" s="490">
        <f>SUM(D164:D196)</f>
        <v>-44805</v>
      </c>
      <c r="E197" s="171">
        <f t="shared" ref="E197:F197" si="49">SUM(E164:E196)</f>
        <v>384225.75</v>
      </c>
      <c r="F197" s="171">
        <f t="shared" si="49"/>
        <v>0</v>
      </c>
      <c r="G197" s="171">
        <f>SUM(G164:G196)</f>
        <v>384225.75</v>
      </c>
      <c r="H197" s="172">
        <f>IF($G$208=0,0,G197/$G$208)</f>
        <v>0.15969242407651571</v>
      </c>
      <c r="I197" s="337"/>
      <c r="J197" s="168"/>
      <c r="K197" s="168"/>
      <c r="M197" s="364">
        <f>G197/G$228</f>
        <v>39.631330582774623</v>
      </c>
      <c r="N197" s="359">
        <f>SUMMARY!J200</f>
        <v>35.91740838389223</v>
      </c>
      <c r="W197" s="168"/>
      <c r="X197" s="168"/>
      <c r="Y197" s="527"/>
      <c r="Z197" s="527"/>
    </row>
    <row r="198" spans="1:26" s="167" customFormat="1">
      <c r="A198" s="163"/>
      <c r="C198" s="165"/>
      <c r="D198" s="165"/>
      <c r="E198" s="165"/>
      <c r="F198" s="165"/>
      <c r="G198" s="165"/>
      <c r="H198" s="198"/>
      <c r="I198" s="341"/>
      <c r="J198" s="168"/>
      <c r="K198" s="168"/>
      <c r="M198" s="359"/>
      <c r="N198" s="359"/>
      <c r="W198" s="168"/>
      <c r="X198" s="168"/>
      <c r="Y198" s="527"/>
      <c r="Z198" s="527"/>
    </row>
    <row r="199" spans="1:26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1"/>
      <c r="J199" s="168"/>
      <c r="K199" s="168"/>
      <c r="M199" s="359"/>
      <c r="N199" s="359"/>
      <c r="W199" s="168"/>
      <c r="X199" s="168"/>
      <c r="Y199" s="527"/>
      <c r="Z199" s="527"/>
    </row>
    <row r="200" spans="1:26" s="167" customFormat="1">
      <c r="A200" s="169" t="s">
        <v>85</v>
      </c>
      <c r="B200" s="170" t="s">
        <v>69</v>
      </c>
      <c r="C200" s="490">
        <f>'[8]Sch C'!D211</f>
        <v>26161.09</v>
      </c>
      <c r="D200" s="490">
        <f>'[8]Sch C'!F211</f>
        <v>0</v>
      </c>
      <c r="E200" s="171">
        <f t="shared" ref="E200:E205" si="50">C200+D200</f>
        <v>26161.09</v>
      </c>
      <c r="F200" s="490"/>
      <c r="G200" s="171">
        <f t="shared" ref="G200:G205" si="51">E200+F200</f>
        <v>26161.09</v>
      </c>
      <c r="H200" s="172">
        <f t="shared" ref="H200:H206" si="52">IF($G$208=0,0,G200/$G$208)</f>
        <v>1.0873107485856673E-2</v>
      </c>
      <c r="I200" s="337"/>
      <c r="J200" s="183">
        <v>1635</v>
      </c>
      <c r="K200" s="183">
        <v>2049</v>
      </c>
      <c r="M200" s="364">
        <f t="shared" ref="M200:M205" si="53">G200/G$228</f>
        <v>2.6984105208870552</v>
      </c>
      <c r="N200" s="359">
        <f>SUMMARY!J203</f>
        <v>4.8433639387236838</v>
      </c>
      <c r="W200" s="183">
        <v>1179</v>
      </c>
      <c r="X200" s="183">
        <v>1174</v>
      </c>
      <c r="Y200" s="492">
        <v>620</v>
      </c>
      <c r="Z200" s="492">
        <v>646</v>
      </c>
    </row>
    <row r="201" spans="1:26" s="167" customFormat="1">
      <c r="A201" s="169" t="s">
        <v>86</v>
      </c>
      <c r="B201" s="170" t="s">
        <v>45</v>
      </c>
      <c r="C201" s="490">
        <f>'[8]Sch C'!D212</f>
        <v>16553.240000000002</v>
      </c>
      <c r="D201" s="490">
        <f>'[8]Sch C'!F212</f>
        <v>0</v>
      </c>
      <c r="E201" s="171">
        <f t="shared" si="50"/>
        <v>16553.240000000002</v>
      </c>
      <c r="F201" s="490"/>
      <c r="G201" s="171">
        <f t="shared" si="51"/>
        <v>16553.240000000002</v>
      </c>
      <c r="H201" s="172">
        <f t="shared" si="52"/>
        <v>6.8798799193451853E-3</v>
      </c>
      <c r="I201" s="337"/>
      <c r="J201" s="168"/>
      <c r="K201" s="168"/>
      <c r="M201" s="364">
        <f t="shared" si="53"/>
        <v>1.7073996905621456</v>
      </c>
      <c r="N201" s="359">
        <f>SUMMARY!J204</f>
        <v>0.96144674193499036</v>
      </c>
      <c r="W201" s="168"/>
      <c r="X201" s="168"/>
      <c r="Y201" s="527"/>
      <c r="Z201" s="527"/>
    </row>
    <row r="202" spans="1:26" s="167" customFormat="1">
      <c r="A202" s="169" t="s">
        <v>140</v>
      </c>
      <c r="B202" s="170" t="s">
        <v>54</v>
      </c>
      <c r="C202" s="490">
        <f>'[8]Sch C'!D213</f>
        <v>8649.36</v>
      </c>
      <c r="D202" s="490">
        <f>'[8]Sch C'!F213</f>
        <v>0</v>
      </c>
      <c r="E202" s="171">
        <f t="shared" si="50"/>
        <v>8649.36</v>
      </c>
      <c r="F202" s="490"/>
      <c r="G202" s="171">
        <f t="shared" si="51"/>
        <v>8649.36</v>
      </c>
      <c r="H202" s="172">
        <f t="shared" si="52"/>
        <v>3.5948586608535531E-3</v>
      </c>
      <c r="I202" s="337"/>
      <c r="J202" s="168"/>
      <c r="K202" s="168"/>
      <c r="M202" s="364">
        <f t="shared" si="53"/>
        <v>0.89214646725116042</v>
      </c>
      <c r="N202" s="359">
        <f>SUMMARY!J205</f>
        <v>0.5247184566232489</v>
      </c>
      <c r="W202" s="168"/>
      <c r="X202" s="168"/>
      <c r="Y202" s="527"/>
      <c r="Z202" s="527"/>
    </row>
    <row r="203" spans="1:26" s="167" customFormat="1">
      <c r="A203" s="169" t="s">
        <v>141</v>
      </c>
      <c r="B203" s="170" t="s">
        <v>70</v>
      </c>
      <c r="C203" s="490">
        <f>'[8]Sch C'!D214</f>
        <v>0</v>
      </c>
      <c r="D203" s="490">
        <f>'[8]Sch C'!F214</f>
        <v>0</v>
      </c>
      <c r="E203" s="171">
        <f t="shared" si="50"/>
        <v>0</v>
      </c>
      <c r="F203" s="490"/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>
        <f t="shared" si="53"/>
        <v>0</v>
      </c>
      <c r="N203" s="359">
        <f>SUMMARY!J206</f>
        <v>1.4027039130553507E-2</v>
      </c>
      <c r="W203" s="168"/>
      <c r="X203" s="168"/>
      <c r="Y203" s="527"/>
      <c r="Z203" s="527"/>
    </row>
    <row r="204" spans="1:26" s="167" customFormat="1">
      <c r="A204" s="169" t="s">
        <v>142</v>
      </c>
      <c r="B204" s="202" t="s">
        <v>71</v>
      </c>
      <c r="C204" s="490">
        <f>'[8]Sch C'!D215</f>
        <v>0</v>
      </c>
      <c r="D204" s="490">
        <f>'[8]Sch C'!F215</f>
        <v>0</v>
      </c>
      <c r="E204" s="171">
        <f t="shared" si="50"/>
        <v>0</v>
      </c>
      <c r="F204" s="490"/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  <c r="W204" s="168"/>
      <c r="X204" s="168"/>
      <c r="Y204" s="527"/>
      <c r="Z204" s="527"/>
    </row>
    <row r="205" spans="1:26" s="167" customFormat="1">
      <c r="A205" s="169" t="s">
        <v>143</v>
      </c>
      <c r="B205" s="170" t="s">
        <v>312</v>
      </c>
      <c r="C205" s="490">
        <f>'[8]Sch C'!D216</f>
        <v>689.14</v>
      </c>
      <c r="D205" s="490">
        <f>'[8]Sch C'!F216</f>
        <v>0</v>
      </c>
      <c r="E205" s="171">
        <f t="shared" si="50"/>
        <v>689.14</v>
      </c>
      <c r="F205" s="490"/>
      <c r="G205" s="171">
        <f t="shared" si="51"/>
        <v>689.14</v>
      </c>
      <c r="H205" s="172">
        <f t="shared" si="52"/>
        <v>2.8642129562656861E-4</v>
      </c>
      <c r="I205" s="337"/>
      <c r="J205" s="168"/>
      <c r="K205" s="168"/>
      <c r="M205" s="364">
        <f t="shared" si="53"/>
        <v>7.1082001031459507E-2</v>
      </c>
      <c r="N205" s="359">
        <f>SUMMARY!J208</f>
        <v>0.36483307391933595</v>
      </c>
      <c r="W205" s="168"/>
      <c r="X205" s="168"/>
      <c r="Y205" s="527"/>
      <c r="Z205" s="527"/>
    </row>
    <row r="206" spans="1:26" s="167" customFormat="1">
      <c r="A206" s="163"/>
      <c r="B206" s="170" t="s">
        <v>144</v>
      </c>
      <c r="C206" s="490">
        <f>SUM(C200:C205)</f>
        <v>52052.83</v>
      </c>
      <c r="D206" s="490">
        <f>SUM(D200:D205)</f>
        <v>0</v>
      </c>
      <c r="E206" s="171">
        <f t="shared" ref="E206:F206" si="54">SUM(E200:E205)</f>
        <v>52052.83</v>
      </c>
      <c r="F206" s="171">
        <f t="shared" si="54"/>
        <v>0</v>
      </c>
      <c r="G206" s="171">
        <f>SUM(G200:G205)</f>
        <v>52052.83</v>
      </c>
      <c r="H206" s="172">
        <f t="shared" si="52"/>
        <v>2.1634267361681978E-2</v>
      </c>
      <c r="I206" s="337"/>
      <c r="J206" s="168"/>
      <c r="K206" s="168"/>
      <c r="M206" s="364">
        <f>G206/G$228</f>
        <v>5.3690386797318208</v>
      </c>
      <c r="N206" s="359">
        <f>SUMMARY!J209</f>
        <v>6.7083892503318125</v>
      </c>
      <c r="W206" s="168"/>
      <c r="X206" s="168"/>
      <c r="Y206" s="527"/>
      <c r="Z206" s="527"/>
    </row>
    <row r="207" spans="1:26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26" s="167" customFormat="1">
      <c r="A208" s="227"/>
      <c r="B208" s="228" t="s">
        <v>145</v>
      </c>
      <c r="C208" s="490">
        <f>SUM(C25:C206)/2</f>
        <v>2506394.1399999997</v>
      </c>
      <c r="D208" s="490">
        <f>SUM(D25:D206)/2</f>
        <v>-100357.95999999999</v>
      </c>
      <c r="E208" s="171">
        <f t="shared" ref="E208:F208" si="55">SUM(E25:E206)/2</f>
        <v>2406036.1800000006</v>
      </c>
      <c r="F208" s="171">
        <f t="shared" si="55"/>
        <v>0</v>
      </c>
      <c r="G208" s="171">
        <f>SUM(G25:G206)/2</f>
        <v>2406036.1800000006</v>
      </c>
      <c r="H208" s="172">
        <f>IF($G$208=0,0,G208/$G$208)</f>
        <v>1</v>
      </c>
      <c r="I208" s="337"/>
      <c r="J208" s="183">
        <f>SUM(J25:J200)</f>
        <v>49801</v>
      </c>
      <c r="K208" s="183">
        <f>SUM(K25:K200)</f>
        <v>53264</v>
      </c>
      <c r="M208" s="364">
        <f>G208/G$228</f>
        <v>248.17289118102121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490">
        <f>'[8]Sch C'!D221</f>
        <v>2506394.17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490">
        <f>C208-C211</f>
        <v>-3.0000000260770321E-2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585"/>
      <c r="D213" s="232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490">
        <f>C21-C208</f>
        <v>-108348.87999999989</v>
      </c>
      <c r="D215" s="490">
        <f>D21-D208</f>
        <v>100357.95999999999</v>
      </c>
      <c r="E215" s="171">
        <f t="shared" ref="E215:F215" si="56">E21-E208</f>
        <v>-7990.9200000008568</v>
      </c>
      <c r="F215" s="171">
        <f t="shared" si="56"/>
        <v>0</v>
      </c>
      <c r="G215" s="171">
        <f>G21-G208</f>
        <v>-7990.9200000008568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491">
        <f>'[8]Sch D'!C9</f>
        <v>5342</v>
      </c>
      <c r="D219" s="491"/>
      <c r="E219" s="235">
        <f t="shared" ref="E219:G227" si="57">C219+D219</f>
        <v>5342</v>
      </c>
      <c r="F219" s="491"/>
      <c r="G219" s="235">
        <f t="shared" si="57"/>
        <v>5342</v>
      </c>
      <c r="H219" s="172">
        <f t="shared" ref="H219:H228" si="58">IF($G$228=0,0,G219/$G$228)</f>
        <v>0.55100567302733372</v>
      </c>
      <c r="I219" s="337"/>
      <c r="J219" s="168"/>
      <c r="K219" s="168"/>
    </row>
    <row r="220" spans="1:14">
      <c r="A220" s="163"/>
      <c r="B220" s="170" t="s">
        <v>217</v>
      </c>
      <c r="C220" s="491">
        <f>'[8]Sch D'!D9</f>
        <v>0</v>
      </c>
      <c r="D220" s="491"/>
      <c r="E220" s="235">
        <f t="shared" ref="E220:E227" si="59">C220+D220</f>
        <v>0</v>
      </c>
      <c r="F220" s="491"/>
      <c r="G220" s="235">
        <f t="shared" si="57"/>
        <v>0</v>
      </c>
      <c r="H220" s="172">
        <f t="shared" si="58"/>
        <v>0</v>
      </c>
      <c r="I220" s="337"/>
      <c r="J220" s="168"/>
      <c r="K220" s="168"/>
    </row>
    <row r="221" spans="1:14">
      <c r="A221" s="163"/>
      <c r="B221" s="170" t="s">
        <v>72</v>
      </c>
      <c r="C221" s="491">
        <f>'[8]Sch D'!E9</f>
        <v>1398</v>
      </c>
      <c r="D221" s="491"/>
      <c r="E221" s="235">
        <f t="shared" si="59"/>
        <v>1398</v>
      </c>
      <c r="F221" s="491"/>
      <c r="G221" s="235">
        <f t="shared" si="57"/>
        <v>1398</v>
      </c>
      <c r="H221" s="172">
        <f t="shared" si="58"/>
        <v>0.14419804022692109</v>
      </c>
      <c r="I221" s="337"/>
      <c r="J221" s="168"/>
      <c r="K221" s="168"/>
    </row>
    <row r="222" spans="1:14">
      <c r="A222" s="163"/>
      <c r="B222" s="202" t="s">
        <v>334</v>
      </c>
      <c r="C222" s="491">
        <f>'[8]Sch D'!F9</f>
        <v>683</v>
      </c>
      <c r="D222" s="491"/>
      <c r="E222" s="235">
        <f>C222+D222</f>
        <v>683</v>
      </c>
      <c r="F222" s="491"/>
      <c r="G222" s="235">
        <f>E222+F222</f>
        <v>683</v>
      </c>
      <c r="H222" s="172">
        <f t="shared" si="58"/>
        <v>7.0448684889118096E-2</v>
      </c>
      <c r="I222" s="337"/>
      <c r="J222" s="168"/>
      <c r="K222" s="168"/>
    </row>
    <row r="223" spans="1:14">
      <c r="A223" s="163"/>
      <c r="B223" s="170" t="s">
        <v>73</v>
      </c>
      <c r="C223" s="491">
        <f>'[8]Sch D'!G9</f>
        <v>0</v>
      </c>
      <c r="D223" s="491"/>
      <c r="E223" s="235">
        <f t="shared" si="59"/>
        <v>0</v>
      </c>
      <c r="F223" s="491"/>
      <c r="G223" s="235">
        <f t="shared" si="57"/>
        <v>0</v>
      </c>
      <c r="H223" s="172">
        <f t="shared" si="58"/>
        <v>0</v>
      </c>
      <c r="I223" s="337"/>
      <c r="J223" s="168"/>
      <c r="K223" s="168"/>
    </row>
    <row r="224" spans="1:14">
      <c r="A224" s="163"/>
      <c r="B224" s="170" t="s">
        <v>74</v>
      </c>
      <c r="C224" s="491">
        <f>'[8]Sch D'!H9</f>
        <v>1155</v>
      </c>
      <c r="D224" s="491"/>
      <c r="E224" s="235">
        <f t="shared" si="59"/>
        <v>1155</v>
      </c>
      <c r="F224" s="491"/>
      <c r="G224" s="235">
        <f t="shared" si="57"/>
        <v>1155</v>
      </c>
      <c r="H224" s="172">
        <f t="shared" si="58"/>
        <v>0.11913357400722022</v>
      </c>
      <c r="I224" s="337"/>
      <c r="J224" s="168"/>
      <c r="K224" s="168"/>
    </row>
    <row r="225" spans="1:11">
      <c r="A225" s="163"/>
      <c r="B225" s="170" t="s">
        <v>236</v>
      </c>
      <c r="C225" s="491">
        <f>'[8]Sch D'!I9</f>
        <v>752</v>
      </c>
      <c r="D225" s="491"/>
      <c r="E225" s="235">
        <f t="shared" si="59"/>
        <v>752</v>
      </c>
      <c r="F225" s="491"/>
      <c r="G225" s="235">
        <f t="shared" si="57"/>
        <v>752</v>
      </c>
      <c r="H225" s="172">
        <f t="shared" si="58"/>
        <v>7.7565755544094894E-2</v>
      </c>
      <c r="I225" s="337"/>
      <c r="J225" s="168"/>
      <c r="K225" s="168"/>
    </row>
    <row r="226" spans="1:11">
      <c r="A226" s="163"/>
      <c r="B226" s="170" t="s">
        <v>235</v>
      </c>
      <c r="C226" s="491">
        <f>'[8]Sch D'!J9</f>
        <v>365</v>
      </c>
      <c r="D226" s="491"/>
      <c r="E226" s="235">
        <f>C226+D226</f>
        <v>365</v>
      </c>
      <c r="F226" s="491"/>
      <c r="G226" s="235">
        <f>E226+F226</f>
        <v>365</v>
      </c>
      <c r="H226" s="172">
        <f t="shared" si="58"/>
        <v>3.7648272305312015E-2</v>
      </c>
      <c r="I226" s="337"/>
      <c r="J226" s="168"/>
      <c r="K226" s="168"/>
    </row>
    <row r="227" spans="1:11">
      <c r="A227" s="163"/>
      <c r="B227" s="170" t="s">
        <v>179</v>
      </c>
      <c r="C227" s="491">
        <f>'[8]Sch D'!K9</f>
        <v>0</v>
      </c>
      <c r="D227" s="491"/>
      <c r="E227" s="235">
        <f t="shared" si="59"/>
        <v>0</v>
      </c>
      <c r="F227" s="491"/>
      <c r="G227" s="235">
        <f t="shared" si="57"/>
        <v>0</v>
      </c>
      <c r="H227" s="172">
        <f t="shared" si="58"/>
        <v>0</v>
      </c>
      <c r="I227" s="337"/>
      <c r="J227" s="168"/>
      <c r="K227" s="168"/>
    </row>
    <row r="228" spans="1:11" ht="13.5" thickBot="1">
      <c r="A228" s="163"/>
      <c r="B228" s="236" t="s">
        <v>75</v>
      </c>
      <c r="C228" s="491">
        <f>SUM(C219:C227)</f>
        <v>9695</v>
      </c>
      <c r="D228" s="491">
        <f>SUM(D219:D227)</f>
        <v>0</v>
      </c>
      <c r="E228" s="237">
        <f>SUM(E219:E227)</f>
        <v>9695</v>
      </c>
      <c r="F228" s="237">
        <f>SUM(F219:F227)</f>
        <v>0</v>
      </c>
      <c r="G228" s="237">
        <f>SUM(G219:G227)</f>
        <v>9695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586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585"/>
      <c r="D230" s="232"/>
      <c r="E230" s="232"/>
      <c r="F230" s="232" t="s">
        <v>497</v>
      </c>
      <c r="G230" s="232"/>
      <c r="H230" s="167"/>
      <c r="J230" s="168"/>
      <c r="K230" s="168"/>
    </row>
    <row r="231" spans="1:11">
      <c r="A231" s="163"/>
      <c r="B231" s="202" t="s">
        <v>219</v>
      </c>
      <c r="C231" s="492">
        <f>'[8]Sch D'!N22</f>
        <v>46</v>
      </c>
      <c r="D231" s="526"/>
      <c r="E231" s="235">
        <f>C231+D231</f>
        <v>46</v>
      </c>
      <c r="F231" s="492"/>
      <c r="G231" s="235">
        <f>SUM(E231:F231)</f>
        <v>46</v>
      </c>
      <c r="H231" s="167"/>
      <c r="J231" s="168"/>
      <c r="K231" s="168"/>
    </row>
    <row r="232" spans="1:11">
      <c r="A232" s="163"/>
      <c r="B232" s="202" t="s">
        <v>290</v>
      </c>
      <c r="C232" s="492">
        <f>'[8]Sch D'!N24</f>
        <v>46</v>
      </c>
      <c r="D232" s="526"/>
      <c r="E232" s="235">
        <f>C232+D232</f>
        <v>46</v>
      </c>
      <c r="F232" s="492"/>
      <c r="G232" s="235">
        <f>SUM(E232:F232)</f>
        <v>46</v>
      </c>
      <c r="H232" s="167"/>
      <c r="J232" s="168"/>
      <c r="K232" s="168"/>
    </row>
    <row r="233" spans="1:11">
      <c r="A233" s="163"/>
      <c r="B233" s="202" t="s">
        <v>76</v>
      </c>
      <c r="C233" s="492">
        <f>$C$4-$C$3+1</f>
        <v>365</v>
      </c>
      <c r="D233" s="489"/>
      <c r="E233" s="235">
        <f>C233+D233</f>
        <v>365</v>
      </c>
      <c r="F233" s="240">
        <v>129</v>
      </c>
      <c r="G233" s="235">
        <f>E233+F233</f>
        <v>494</v>
      </c>
      <c r="H233" s="167"/>
      <c r="J233" s="168"/>
      <c r="K233" s="168"/>
    </row>
    <row r="234" spans="1:11">
      <c r="A234" s="163"/>
      <c r="B234" s="241"/>
      <c r="C234" s="587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492">
        <f>'[8]Sch D'!N28</f>
        <v>16790</v>
      </c>
      <c r="D235" s="489"/>
      <c r="E235" s="234">
        <f>E231*E233</f>
        <v>16790</v>
      </c>
      <c r="F235" s="240">
        <v>5934</v>
      </c>
      <c r="G235" s="234">
        <f>G231*G233</f>
        <v>22724</v>
      </c>
      <c r="H235" s="167"/>
      <c r="J235" s="168"/>
      <c r="K235" s="168"/>
    </row>
    <row r="236" spans="1:11" ht="26">
      <c r="A236" s="163"/>
      <c r="B236" s="244" t="s">
        <v>336</v>
      </c>
      <c r="C236" s="493">
        <f>'[8]Sch D'!N30</f>
        <v>0.57742703990470523</v>
      </c>
      <c r="D236" s="240"/>
      <c r="E236" s="245">
        <f>E228/E235</f>
        <v>0.57742703990470523</v>
      </c>
      <c r="F236" s="246">
        <f>F228/F235</f>
        <v>0</v>
      </c>
      <c r="G236" s="245">
        <f>G228/G235</f>
        <v>0.42664143636683682</v>
      </c>
      <c r="H236" s="167"/>
      <c r="J236" s="168"/>
      <c r="K236" s="168"/>
    </row>
    <row r="237" spans="1:11" ht="26">
      <c r="A237" s="163"/>
      <c r="B237" s="244" t="s">
        <v>337</v>
      </c>
      <c r="C237" s="493">
        <f>'[8]Sch D'!N32</f>
        <v>0.31816557474687313</v>
      </c>
      <c r="D237" s="240"/>
      <c r="E237" s="245">
        <f>(E219+E220)/E235</f>
        <v>0.31816557474687313</v>
      </c>
      <c r="F237" s="246">
        <f>(F219+F220)/F235</f>
        <v>0</v>
      </c>
      <c r="G237" s="245">
        <f>(G219+G220)/G235</f>
        <v>0.23508185178665728</v>
      </c>
      <c r="H237" s="167"/>
      <c r="J237" s="168"/>
      <c r="K237" s="168"/>
    </row>
    <row r="238" spans="1:11" ht="26">
      <c r="A238" s="163"/>
      <c r="B238" s="244" t="s">
        <v>338</v>
      </c>
      <c r="C238" s="493">
        <f>'[8]Sch D'!N34</f>
        <v>0.55100567302733361</v>
      </c>
      <c r="D238" s="240"/>
      <c r="E238" s="245">
        <f>(E237/E236)</f>
        <v>0.55100567302733361</v>
      </c>
      <c r="F238" s="246" t="e">
        <f>(F237/F236)</f>
        <v>#DIV/0!</v>
      </c>
      <c r="G238" s="245">
        <f>(G237/G236)</f>
        <v>0.55100567302733372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490">
        <f>'[8]Sch B'!C85</f>
        <v>276.74661654135338</v>
      </c>
    </row>
    <row r="242" spans="2:7">
      <c r="F242" s="142" t="s">
        <v>341</v>
      </c>
      <c r="G242" s="490">
        <f>'[8]Sch B'!E85</f>
        <v>143.80464601769913</v>
      </c>
    </row>
    <row r="243" spans="2:7">
      <c r="F243" s="142" t="s">
        <v>342</v>
      </c>
      <c r="G243" s="490">
        <f>'[8]Sch B'!G85</f>
        <v>191.97780564263326</v>
      </c>
    </row>
    <row r="244" spans="2:7">
      <c r="F244" s="142" t="s">
        <v>343</v>
      </c>
      <c r="G244" s="490">
        <f>'[8]Sch B'!I85</f>
        <v>196.85053658536589</v>
      </c>
    </row>
    <row r="245" spans="2:7">
      <c r="F245" s="142"/>
    </row>
  </sheetData>
  <printOptions horizontalCentered="1"/>
  <pageMargins left="0" right="0" top="0.75" bottom="1" header="0.5" footer="0.5"/>
  <pageSetup scale="70" orientation="portrait" horizontalDpi="300" verticalDpi="300" r:id="rId1"/>
  <headerFooter alignWithMargins="0">
    <oddFooter>&amp;R&amp;D
&amp;T
&amp;F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72">
    <tabColor rgb="FFE28CAB"/>
  </sheetPr>
  <dimension ref="A1:Q246"/>
  <sheetViews>
    <sheetView showGridLines="0" zoomScale="90" zoomScaleNormal="90" workbookViewId="0">
      <selection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478"/>
      <c r="E1" s="478"/>
      <c r="F1" s="478"/>
      <c r="G1" s="478"/>
      <c r="H1" s="478"/>
      <c r="I1" s="479"/>
    </row>
    <row r="2" spans="1:14" ht="23">
      <c r="B2" s="143" t="s">
        <v>189</v>
      </c>
      <c r="C2" s="247" t="s">
        <v>565</v>
      </c>
      <c r="D2" s="247"/>
      <c r="E2" s="144"/>
    </row>
    <row r="3" spans="1:14">
      <c r="A3" s="145"/>
      <c r="B3" s="140" t="s">
        <v>79</v>
      </c>
      <c r="C3" s="495">
        <v>41821</v>
      </c>
      <c r="D3" s="144"/>
      <c r="E3" s="147"/>
      <c r="F3" s="451" t="s">
        <v>560</v>
      </c>
    </row>
    <row r="4" spans="1:14">
      <c r="A4" s="145"/>
      <c r="B4" s="148" t="s">
        <v>80</v>
      </c>
      <c r="C4" s="495">
        <v>42185</v>
      </c>
      <c r="D4" s="144"/>
      <c r="E4" s="149"/>
      <c r="F4" s="451" t="s">
        <v>561</v>
      </c>
      <c r="G4" s="150"/>
    </row>
    <row r="5" spans="1:14">
      <c r="A5" s="145"/>
      <c r="B5" s="148"/>
      <c r="C5" s="624" t="s">
        <v>574</v>
      </c>
      <c r="D5" s="144"/>
      <c r="F5" s="451" t="s">
        <v>562</v>
      </c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623" t="s">
        <v>563</v>
      </c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622" t="s">
        <v>564</v>
      </c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490">
        <f>'[82]Sch B'!E10</f>
        <v>1002185</v>
      </c>
      <c r="D11" s="490">
        <f>'[82]Sch B'!G10</f>
        <v>0</v>
      </c>
      <c r="E11" s="171">
        <f>C11+D11</f>
        <v>1002185</v>
      </c>
      <c r="F11" s="171">
        <v>265455</v>
      </c>
      <c r="G11" s="171">
        <f t="shared" ref="G11:G20" si="0">E11+F11</f>
        <v>1267640</v>
      </c>
      <c r="H11" s="172">
        <f t="shared" ref="H11:H21" si="1">IF($G$21=0,0,G11/$G$21)</f>
        <v>0.30419349512960209</v>
      </c>
      <c r="I11" s="337"/>
      <c r="J11" s="368" t="s">
        <v>344</v>
      </c>
      <c r="K11" s="369">
        <f>G21</f>
        <v>4167216</v>
      </c>
      <c r="M11" s="359">
        <f>IFERROR(G11/G219,0)</f>
        <v>177.11890456895347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490">
        <f>'[82]Sch B'!E15</f>
        <v>0</v>
      </c>
      <c r="D12" s="490">
        <f>'[82]Sch B'!G15</f>
        <v>0</v>
      </c>
      <c r="E12" s="171">
        <f t="shared" ref="E12:E20" si="2">C12+D12</f>
        <v>0</v>
      </c>
      <c r="F12" s="171">
        <v>0</v>
      </c>
      <c r="G12" s="171">
        <f>E12+F12</f>
        <v>0</v>
      </c>
      <c r="H12" s="172">
        <f t="shared" si="1"/>
        <v>0</v>
      </c>
      <c r="I12" s="337"/>
      <c r="J12" s="370" t="s">
        <v>345</v>
      </c>
      <c r="K12" s="371">
        <f>G208</f>
        <v>4215610.9017870277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490">
        <f>'[82]Sch B'!E21</f>
        <v>1004420</v>
      </c>
      <c r="D13" s="490">
        <f>'[82]Sch B'!G21</f>
        <v>0</v>
      </c>
      <c r="E13" s="171">
        <f t="shared" si="2"/>
        <v>1004420</v>
      </c>
      <c r="F13" s="171">
        <v>131631</v>
      </c>
      <c r="G13" s="171">
        <f t="shared" si="0"/>
        <v>1136051</v>
      </c>
      <c r="H13" s="172">
        <f t="shared" si="1"/>
        <v>0.27261629826723643</v>
      </c>
      <c r="I13" s="337"/>
      <c r="J13" s="370" t="s">
        <v>346</v>
      </c>
      <c r="K13" s="371">
        <f>G228</f>
        <v>16231</v>
      </c>
      <c r="M13" s="359">
        <f t="shared" si="3"/>
        <v>562.68003962357602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490">
        <f>'[82]Sch B'!E27</f>
        <v>331508</v>
      </c>
      <c r="D14" s="490">
        <f>'[82]Sch B'!G27</f>
        <v>0</v>
      </c>
      <c r="E14" s="171">
        <f t="shared" si="2"/>
        <v>331508</v>
      </c>
      <c r="F14" s="175">
        <v>116522</v>
      </c>
      <c r="G14" s="175">
        <f>E14+F14</f>
        <v>448030</v>
      </c>
      <c r="H14" s="176">
        <f t="shared" si="1"/>
        <v>0.10751302548272036</v>
      </c>
      <c r="I14" s="338"/>
      <c r="J14" s="370" t="s">
        <v>347</v>
      </c>
      <c r="K14" s="371">
        <f>G231</f>
        <v>63</v>
      </c>
      <c r="M14" s="359">
        <f t="shared" si="3"/>
        <v>465.2440290758048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490">
        <f>'[82]Sch B'!E32</f>
        <v>395515</v>
      </c>
      <c r="D15" s="490">
        <f>'[82]Sch B'!G32</f>
        <v>0</v>
      </c>
      <c r="E15" s="171">
        <f t="shared" si="2"/>
        <v>395515</v>
      </c>
      <c r="F15" s="171">
        <v>62647</v>
      </c>
      <c r="G15" s="171">
        <f t="shared" si="0"/>
        <v>458162</v>
      </c>
      <c r="H15" s="172">
        <f t="shared" si="1"/>
        <v>0.10994438493229053</v>
      </c>
      <c r="I15" s="337"/>
      <c r="J15" s="370" t="s">
        <v>348</v>
      </c>
      <c r="K15" s="371">
        <f>G235</f>
        <v>22995</v>
      </c>
      <c r="M15" s="359">
        <f t="shared" si="3"/>
        <v>210.55238970588235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490">
        <f>'[82]Sch B'!E37</f>
        <v>593562</v>
      </c>
      <c r="D16" s="490">
        <f>'[82]Sch B'!G37</f>
        <v>0</v>
      </c>
      <c r="E16" s="171">
        <f t="shared" si="2"/>
        <v>593562</v>
      </c>
      <c r="F16" s="171">
        <v>35201</v>
      </c>
      <c r="G16" s="171">
        <f t="shared" si="0"/>
        <v>628763</v>
      </c>
      <c r="H16" s="172">
        <f t="shared" si="1"/>
        <v>0.15088322755527911</v>
      </c>
      <c r="I16" s="337"/>
      <c r="J16" s="372"/>
      <c r="K16" s="371"/>
      <c r="M16" s="359">
        <f t="shared" si="3"/>
        <v>244.75009731413002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490">
        <f>'[82]Sch B'!E42</f>
        <v>0</v>
      </c>
      <c r="D17" s="490">
        <f>'[82]Sch B'!G42</f>
        <v>170340</v>
      </c>
      <c r="E17" s="171">
        <f t="shared" si="2"/>
        <v>170340</v>
      </c>
      <c r="F17" s="171">
        <v>0</v>
      </c>
      <c r="G17" s="171">
        <f>E17+F17</f>
        <v>170340</v>
      </c>
      <c r="H17" s="172">
        <f t="shared" si="1"/>
        <v>4.0876210880357533E-2</v>
      </c>
      <c r="I17" s="337"/>
      <c r="J17" s="370" t="s">
        <v>156</v>
      </c>
      <c r="K17" s="371">
        <f>J208</f>
        <v>91533</v>
      </c>
      <c r="M17" s="359">
        <f t="shared" si="3"/>
        <v>171.3682092555332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490">
        <f>'[82]Sch B'!E47</f>
        <v>176503</v>
      </c>
      <c r="D18" s="490">
        <f>'[82]Sch B'!G47</f>
        <v>-170340</v>
      </c>
      <c r="E18" s="171">
        <f t="shared" si="2"/>
        <v>6163</v>
      </c>
      <c r="F18" s="171">
        <v>52276</v>
      </c>
      <c r="G18" s="171">
        <f>E18+F18</f>
        <v>58439</v>
      </c>
      <c r="H18" s="172">
        <f t="shared" si="1"/>
        <v>1.4023511140291264E-2</v>
      </c>
      <c r="I18" s="337"/>
      <c r="J18" s="373" t="s">
        <v>252</v>
      </c>
      <c r="K18" s="374">
        <f>K208</f>
        <v>96631</v>
      </c>
      <c r="M18" s="359">
        <f t="shared" si="3"/>
        <v>166.01988636363637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490">
        <f>'[82]Sch B'!E52</f>
        <v>0</v>
      </c>
      <c r="D19" s="490">
        <f>'[82]Sch B'!G52</f>
        <v>0</v>
      </c>
      <c r="E19" s="171">
        <f t="shared" si="2"/>
        <v>0</v>
      </c>
      <c r="F19" s="171">
        <v>0</v>
      </c>
      <c r="G19" s="171">
        <f t="shared" si="0"/>
        <v>0</v>
      </c>
      <c r="H19" s="172">
        <f t="shared" si="1"/>
        <v>0</v>
      </c>
      <c r="I19" s="337"/>
      <c r="J19" s="168"/>
      <c r="K19" s="168"/>
      <c r="M19" s="359">
        <f t="shared" si="3"/>
        <v>0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490">
        <f>'[82]Sch B'!E67</f>
        <v>2075</v>
      </c>
      <c r="D20" s="490">
        <f>'[82]Sch B'!G67</f>
        <v>-2292</v>
      </c>
      <c r="E20" s="171">
        <f t="shared" si="2"/>
        <v>-217</v>
      </c>
      <c r="F20" s="171">
        <v>8</v>
      </c>
      <c r="G20" s="171">
        <f t="shared" si="0"/>
        <v>-209</v>
      </c>
      <c r="H20" s="172">
        <f t="shared" si="1"/>
        <v>-5.0153387777355432E-5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490">
        <f>SUM(C11:C20)</f>
        <v>3505768</v>
      </c>
      <c r="D21" s="490">
        <f>SUM(D11:D20)</f>
        <v>-2292</v>
      </c>
      <c r="E21" s="171">
        <f>SUM(E11:E20)</f>
        <v>3503476</v>
      </c>
      <c r="F21" s="171">
        <f>SUM(F11:F20)</f>
        <v>663740</v>
      </c>
      <c r="G21" s="171">
        <f>SUM(G11:G20)</f>
        <v>4167216</v>
      </c>
      <c r="H21" s="172">
        <f t="shared" si="1"/>
        <v>1</v>
      </c>
      <c r="I21" s="337"/>
      <c r="J21" s="168"/>
      <c r="K21" s="168"/>
      <c r="M21" s="359">
        <f>IFERROR(G21/G228,0)</f>
        <v>256.74425482102151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623" t="s">
        <v>563</v>
      </c>
      <c r="G23" s="144"/>
      <c r="J23" s="627" t="s">
        <v>579</v>
      </c>
      <c r="M23" s="363"/>
      <c r="N23" s="363"/>
    </row>
    <row r="24" spans="1:14">
      <c r="A24" s="181" t="s">
        <v>161</v>
      </c>
      <c r="B24" s="148" t="s">
        <v>12</v>
      </c>
      <c r="F24" s="622" t="s">
        <v>564</v>
      </c>
      <c r="J24" s="627" t="s">
        <v>580</v>
      </c>
      <c r="M24" s="363"/>
      <c r="N24" s="363"/>
    </row>
    <row r="25" spans="1:14" s="167" customFormat="1">
      <c r="A25" s="169" t="s">
        <v>83</v>
      </c>
      <c r="B25" s="170" t="s">
        <v>14</v>
      </c>
      <c r="C25" s="490">
        <f>'[82]Sch C'!D10</f>
        <v>112299</v>
      </c>
      <c r="D25" s="490">
        <f>'[82]Sch C'!F10</f>
        <v>-16782</v>
      </c>
      <c r="E25" s="171">
        <f t="shared" ref="E25:E60" si="4">C25+D25</f>
        <v>95517</v>
      </c>
      <c r="F25" s="171">
        <v>30269</v>
      </c>
      <c r="G25" s="182">
        <f>E25+F25</f>
        <v>125786</v>
      </c>
      <c r="H25" s="172">
        <f>IF($G$208=0,0,G25/$G$208)</f>
        <v>2.9838142781791938E-2</v>
      </c>
      <c r="I25" s="337"/>
      <c r="J25" s="183">
        <f>1649+591</f>
        <v>2240</v>
      </c>
      <c r="K25" s="183">
        <f>1783+620</f>
        <v>2403</v>
      </c>
      <c r="M25" s="359">
        <f>G25/G$228</f>
        <v>7.7497381553816771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490">
        <f>'[82]Sch C'!D11</f>
        <v>0</v>
      </c>
      <c r="D26" s="490">
        <f>'[82]Sch C'!F11</f>
        <v>0</v>
      </c>
      <c r="E26" s="171">
        <f t="shared" si="4"/>
        <v>0</v>
      </c>
      <c r="F26" s="171">
        <v>0</v>
      </c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490">
        <f>'[82]Sch C'!D12</f>
        <v>131719</v>
      </c>
      <c r="D27" s="490">
        <f>'[82]Sch C'!F12</f>
        <v>-427</v>
      </c>
      <c r="E27" s="171">
        <f t="shared" si="4"/>
        <v>131292</v>
      </c>
      <c r="F27" s="171">
        <v>7.1594666900637094E-2</v>
      </c>
      <c r="G27" s="171">
        <f t="shared" si="5"/>
        <v>131292.07159466689</v>
      </c>
      <c r="H27" s="172">
        <f t="shared" si="6"/>
        <v>3.1144257535488211E-2</v>
      </c>
      <c r="I27" s="337"/>
      <c r="J27" s="185">
        <f>5781+785</f>
        <v>6566</v>
      </c>
      <c r="K27" s="185">
        <f>6234+823</f>
        <v>7057</v>
      </c>
      <c r="M27" s="359">
        <f t="shared" si="7"/>
        <v>8.0889699707144906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490">
        <f>'[82]Sch C'!D13</f>
        <v>42936</v>
      </c>
      <c r="D28" s="490">
        <f>'[82]Sch C'!F13</f>
        <v>-5639</v>
      </c>
      <c r="E28" s="171">
        <f t="shared" si="4"/>
        <v>37297</v>
      </c>
      <c r="F28" s="171">
        <v>3616.0545629150874</v>
      </c>
      <c r="G28" s="171">
        <f t="shared" si="5"/>
        <v>40913.054562915087</v>
      </c>
      <c r="H28" s="172">
        <f t="shared" si="6"/>
        <v>9.7051306479855031E-3</v>
      </c>
      <c r="I28" s="337"/>
      <c r="J28" s="168"/>
      <c r="K28" s="168"/>
      <c r="M28" s="359">
        <f t="shared" si="7"/>
        <v>2.5206736838713009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490">
        <f>'[82]Sch C'!D14</f>
        <v>0</v>
      </c>
      <c r="D29" s="490">
        <f>'[82]Sch C'!F14</f>
        <v>0</v>
      </c>
      <c r="E29" s="171">
        <f t="shared" si="4"/>
        <v>0</v>
      </c>
      <c r="F29" s="171">
        <v>0</v>
      </c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490">
        <f>'[82]Sch C'!D15</f>
        <v>0</v>
      </c>
      <c r="D30" s="490">
        <f>'[82]Sch C'!F15</f>
        <v>0</v>
      </c>
      <c r="E30" s="171">
        <f t="shared" si="4"/>
        <v>0</v>
      </c>
      <c r="F30" s="171">
        <v>0</v>
      </c>
      <c r="G30" s="171">
        <f t="shared" si="5"/>
        <v>0</v>
      </c>
      <c r="H30" s="172">
        <f t="shared" si="6"/>
        <v>0</v>
      </c>
      <c r="I30" s="337"/>
      <c r="J30" s="168"/>
      <c r="K30" s="168"/>
      <c r="M30" s="359">
        <f t="shared" si="7"/>
        <v>0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490">
        <f>'[82]Sch C'!D16</f>
        <v>149746</v>
      </c>
      <c r="D31" s="490">
        <f>'[82]Sch C'!F16</f>
        <v>64744</v>
      </c>
      <c r="E31" s="171">
        <f t="shared" si="4"/>
        <v>214490</v>
      </c>
      <c r="F31" s="171">
        <v>49470.283811264017</v>
      </c>
      <c r="G31" s="171">
        <f t="shared" si="5"/>
        <v>263960.28381126403</v>
      </c>
      <c r="H31" s="172">
        <f t="shared" si="6"/>
        <v>6.2614954264248956E-2</v>
      </c>
      <c r="I31" s="337"/>
      <c r="J31" s="168"/>
      <c r="K31" s="168"/>
      <c r="M31" s="359">
        <f t="shared" si="7"/>
        <v>16.262724651054405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490">
        <f>'[82]Sch C'!D17</f>
        <v>3459</v>
      </c>
      <c r="D32" s="490">
        <f>'[82]Sch C'!F17</f>
        <v>-3459</v>
      </c>
      <c r="E32" s="171">
        <f t="shared" si="4"/>
        <v>0</v>
      </c>
      <c r="F32" s="171">
        <v>0</v>
      </c>
      <c r="G32" s="171">
        <f t="shared" si="5"/>
        <v>0</v>
      </c>
      <c r="H32" s="172">
        <f t="shared" si="6"/>
        <v>0</v>
      </c>
      <c r="I32" s="337"/>
      <c r="J32" s="168"/>
      <c r="K32" s="168"/>
      <c r="M32" s="359">
        <f t="shared" si="7"/>
        <v>0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490">
        <f>'[82]Sch C'!D18</f>
        <v>15582</v>
      </c>
      <c r="D33" s="490">
        <f>'[82]Sch C'!F18</f>
        <v>-6242</v>
      </c>
      <c r="E33" s="171">
        <f t="shared" si="4"/>
        <v>9340</v>
      </c>
      <c r="F33" s="171">
        <v>1768</v>
      </c>
      <c r="G33" s="171">
        <f t="shared" si="5"/>
        <v>11108</v>
      </c>
      <c r="H33" s="172">
        <f t="shared" si="6"/>
        <v>2.6349680411186047E-3</v>
      </c>
      <c r="I33" s="337"/>
      <c r="J33" s="168"/>
      <c r="K33" s="168"/>
      <c r="M33" s="359">
        <f t="shared" si="7"/>
        <v>0.68436941654857986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490">
        <f>'[82]Sch C'!D19</f>
        <v>11196</v>
      </c>
      <c r="D34" s="490">
        <f>'[82]Sch C'!F19</f>
        <v>-1280</v>
      </c>
      <c r="E34" s="171">
        <f t="shared" si="4"/>
        <v>9916</v>
      </c>
      <c r="F34" s="171">
        <v>0</v>
      </c>
      <c r="G34" s="171">
        <f t="shared" si="5"/>
        <v>9916</v>
      </c>
      <c r="H34" s="172">
        <f t="shared" si="6"/>
        <v>2.3522094972751248E-3</v>
      </c>
      <c r="I34" s="337"/>
      <c r="J34" s="168"/>
      <c r="K34" s="168"/>
      <c r="M34" s="359">
        <f t="shared" si="7"/>
        <v>0.61092970242129263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490">
        <f>'[82]Sch C'!D20</f>
        <v>13930</v>
      </c>
      <c r="D35" s="490">
        <f>'[82]Sch C'!F20</f>
        <v>0</v>
      </c>
      <c r="E35" s="171">
        <f t="shared" si="4"/>
        <v>13930</v>
      </c>
      <c r="F35" s="171">
        <v>3552</v>
      </c>
      <c r="G35" s="171">
        <f t="shared" si="5"/>
        <v>17482</v>
      </c>
      <c r="H35" s="172">
        <f t="shared" si="6"/>
        <v>4.1469671673420461E-3</v>
      </c>
      <c r="I35" s="337"/>
      <c r="J35" s="168"/>
      <c r="K35" s="168"/>
      <c r="M35" s="359">
        <f t="shared" si="7"/>
        <v>1.0770747335345943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490">
        <f>'[82]Sch C'!D21</f>
        <v>1790</v>
      </c>
      <c r="D36" s="490">
        <f>'[82]Sch C'!F21</f>
        <v>-1790</v>
      </c>
      <c r="E36" s="171">
        <f t="shared" si="4"/>
        <v>0</v>
      </c>
      <c r="F36" s="171">
        <v>0</v>
      </c>
      <c r="G36" s="171">
        <f t="shared" si="5"/>
        <v>0</v>
      </c>
      <c r="H36" s="172">
        <f t="shared" si="6"/>
        <v>0</v>
      </c>
      <c r="I36" s="337"/>
      <c r="J36" s="168"/>
      <c r="K36" s="168"/>
      <c r="M36" s="359">
        <f t="shared" si="7"/>
        <v>0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490">
        <f>'[82]Sch C'!D22</f>
        <v>0</v>
      </c>
      <c r="D37" s="490">
        <f>'[82]Sch C'!F22</f>
        <v>0</v>
      </c>
      <c r="E37" s="171">
        <f t="shared" si="4"/>
        <v>0</v>
      </c>
      <c r="F37" s="171">
        <v>0</v>
      </c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490">
        <f>'[82]Sch C'!D23</f>
        <v>10573</v>
      </c>
      <c r="D38" s="490">
        <f>'[82]Sch C'!F23</f>
        <v>0</v>
      </c>
      <c r="E38" s="171">
        <f t="shared" si="4"/>
        <v>10573</v>
      </c>
      <c r="F38" s="171">
        <v>974</v>
      </c>
      <c r="G38" s="171">
        <f t="shared" si="5"/>
        <v>11547</v>
      </c>
      <c r="H38" s="172">
        <f t="shared" si="6"/>
        <v>2.7391047867119673E-3</v>
      </c>
      <c r="I38" s="337"/>
      <c r="J38" s="168"/>
      <c r="K38" s="168"/>
      <c r="M38" s="359">
        <f t="shared" si="7"/>
        <v>0.71141642535888117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490">
        <f>'[82]Sch C'!D24</f>
        <v>17756</v>
      </c>
      <c r="D39" s="490">
        <f>'[82]Sch C'!F24</f>
        <v>0</v>
      </c>
      <c r="E39" s="171">
        <f t="shared" si="4"/>
        <v>17756</v>
      </c>
      <c r="F39" s="171">
        <v>0</v>
      </c>
      <c r="G39" s="171">
        <f t="shared" si="5"/>
        <v>17756</v>
      </c>
      <c r="H39" s="172">
        <f t="shared" si="6"/>
        <v>4.2119636782590878E-3</v>
      </c>
      <c r="I39" s="337"/>
      <c r="J39" s="168"/>
      <c r="K39" s="168"/>
      <c r="M39" s="359">
        <f t="shared" si="7"/>
        <v>1.0939560101041217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490">
        <f>'[82]Sch C'!D25</f>
        <v>0</v>
      </c>
      <c r="D40" s="490">
        <f>'[82]Sch C'!F25</f>
        <v>0</v>
      </c>
      <c r="E40" s="171">
        <f t="shared" si="4"/>
        <v>0</v>
      </c>
      <c r="F40" s="171">
        <v>4985</v>
      </c>
      <c r="G40" s="171">
        <f t="shared" si="5"/>
        <v>4985</v>
      </c>
      <c r="H40" s="172">
        <f t="shared" si="6"/>
        <v>1.1825095143118693E-3</v>
      </c>
      <c r="I40" s="337"/>
      <c r="J40" s="168"/>
      <c r="K40" s="168"/>
      <c r="M40" s="359">
        <f t="shared" si="7"/>
        <v>0.30712833466822748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490">
        <f>'[82]Sch C'!D26</f>
        <v>172141</v>
      </c>
      <c r="D41" s="490">
        <f>'[82]Sch C'!F26</f>
        <v>0</v>
      </c>
      <c r="E41" s="171">
        <f t="shared" si="4"/>
        <v>172141</v>
      </c>
      <c r="F41" s="171">
        <v>31963</v>
      </c>
      <c r="G41" s="171">
        <f t="shared" si="5"/>
        <v>204104</v>
      </c>
      <c r="H41" s="172">
        <f t="shared" si="6"/>
        <v>4.8416233081065158E-2</v>
      </c>
      <c r="I41" s="337"/>
      <c r="J41" s="168"/>
      <c r="K41" s="168"/>
      <c r="M41" s="359">
        <f t="shared" si="7"/>
        <v>12.574949171338796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490">
        <f>'[82]Sch C'!D27</f>
        <v>0</v>
      </c>
      <c r="D42" s="490">
        <f>'[82]Sch C'!F27</f>
        <v>0</v>
      </c>
      <c r="E42" s="171">
        <f t="shared" si="4"/>
        <v>0</v>
      </c>
      <c r="F42" s="171">
        <v>0</v>
      </c>
      <c r="G42" s="171">
        <f t="shared" si="5"/>
        <v>0</v>
      </c>
      <c r="H42" s="172">
        <f t="shared" si="6"/>
        <v>0</v>
      </c>
      <c r="I42" s="337"/>
      <c r="J42" s="168"/>
      <c r="K42" s="168"/>
      <c r="M42" s="359">
        <f t="shared" si="7"/>
        <v>0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490">
        <f>'[82]Sch C'!D28</f>
        <v>0</v>
      </c>
      <c r="D43" s="490">
        <f>'[82]Sch C'!F28</f>
        <v>0</v>
      </c>
      <c r="E43" s="171">
        <f t="shared" si="4"/>
        <v>0</v>
      </c>
      <c r="F43" s="171">
        <v>0</v>
      </c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490">
        <f>'[82]Sch C'!D29</f>
        <v>305282</v>
      </c>
      <c r="D44" s="490">
        <f>'[82]Sch C'!F29</f>
        <v>-305282</v>
      </c>
      <c r="E44" s="171">
        <f t="shared" si="4"/>
        <v>0</v>
      </c>
      <c r="F44" s="171">
        <v>0</v>
      </c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490">
        <f>'[82]Sch C'!D30</f>
        <v>0</v>
      </c>
      <c r="D45" s="490">
        <f>'[82]Sch C'!F30</f>
        <v>0</v>
      </c>
      <c r="E45" s="171">
        <f t="shared" si="4"/>
        <v>0</v>
      </c>
      <c r="F45" s="171">
        <v>0</v>
      </c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490">
        <f>'[82]Sch C'!D31</f>
        <v>18853</v>
      </c>
      <c r="D46" s="490">
        <f>'[82]Sch C'!F31</f>
        <v>2843</v>
      </c>
      <c r="E46" s="171">
        <f t="shared" si="4"/>
        <v>21696</v>
      </c>
      <c r="F46" s="171">
        <v>10354</v>
      </c>
      <c r="G46" s="171">
        <f t="shared" si="5"/>
        <v>32050</v>
      </c>
      <c r="H46" s="172">
        <f t="shared" si="6"/>
        <v>7.6026940689459211E-3</v>
      </c>
      <c r="I46" s="337"/>
      <c r="J46" s="168"/>
      <c r="K46" s="168"/>
      <c r="M46" s="359">
        <f t="shared" si="7"/>
        <v>1.9746164746472799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490">
        <f>'[82]Sch C'!D32</f>
        <v>16520</v>
      </c>
      <c r="D47" s="490">
        <f>'[82]Sch C'!F32</f>
        <v>-144</v>
      </c>
      <c r="E47" s="171">
        <f t="shared" si="4"/>
        <v>16376</v>
      </c>
      <c r="F47" s="171">
        <v>0</v>
      </c>
      <c r="G47" s="171">
        <f t="shared" si="5"/>
        <v>16376</v>
      </c>
      <c r="H47" s="172">
        <f t="shared" si="6"/>
        <v>3.8846089882389515E-3</v>
      </c>
      <c r="I47" s="337"/>
      <c r="J47" s="168"/>
      <c r="K47" s="168"/>
      <c r="M47" s="359">
        <f t="shared" si="7"/>
        <v>1.0089335222721951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490">
        <f>'[82]Sch C'!D33</f>
        <v>0</v>
      </c>
      <c r="D48" s="490">
        <f>'[82]Sch C'!F33</f>
        <v>0</v>
      </c>
      <c r="E48" s="171">
        <f t="shared" si="4"/>
        <v>0</v>
      </c>
      <c r="F48" s="171">
        <v>0</v>
      </c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490">
        <f>'[82]Sch C'!D34</f>
        <v>31</v>
      </c>
      <c r="D49" s="490">
        <f>'[82]Sch C'!F34</f>
        <v>0</v>
      </c>
      <c r="E49" s="171">
        <f t="shared" si="4"/>
        <v>31</v>
      </c>
      <c r="F49" s="171">
        <v>0</v>
      </c>
      <c r="G49" s="171">
        <f t="shared" si="5"/>
        <v>31</v>
      </c>
      <c r="H49" s="172">
        <f t="shared" si="6"/>
        <v>7.3536198482784259E-6</v>
      </c>
      <c r="I49" s="337"/>
      <c r="J49" s="168"/>
      <c r="K49" s="168"/>
      <c r="M49" s="359">
        <f t="shared" si="7"/>
        <v>1.9099254512969009E-3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490">
        <f>'[82]Sch C'!D35</f>
        <v>0</v>
      </c>
      <c r="D50" s="490">
        <f>'[82]Sch C'!F35</f>
        <v>0</v>
      </c>
      <c r="E50" s="171">
        <f t="shared" si="4"/>
        <v>0</v>
      </c>
      <c r="F50" s="171">
        <v>0</v>
      </c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490">
        <f>'[82]Sch C'!D36</f>
        <v>13408</v>
      </c>
      <c r="D51" s="490">
        <f>'[82]Sch C'!F36</f>
        <v>0</v>
      </c>
      <c r="E51" s="171">
        <f t="shared" si="4"/>
        <v>13408</v>
      </c>
      <c r="F51" s="171">
        <v>0</v>
      </c>
      <c r="G51" s="171">
        <f t="shared" si="5"/>
        <v>13408</v>
      </c>
      <c r="H51" s="172">
        <f t="shared" si="6"/>
        <v>3.1805591911521656E-3</v>
      </c>
      <c r="I51" s="337"/>
      <c r="J51" s="183">
        <f>891+0</f>
        <v>891</v>
      </c>
      <c r="K51" s="183">
        <f>964+0</f>
        <v>964</v>
      </c>
      <c r="M51" s="359">
        <f t="shared" si="7"/>
        <v>0.82607356293512413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490">
        <f>'[82]Sch C'!D37</f>
        <v>1842</v>
      </c>
      <c r="D52" s="490">
        <f>'[82]Sch C'!F37</f>
        <v>77</v>
      </c>
      <c r="E52" s="171">
        <f t="shared" si="4"/>
        <v>1919</v>
      </c>
      <c r="F52" s="171">
        <v>0</v>
      </c>
      <c r="G52" s="171">
        <f t="shared" si="5"/>
        <v>1919</v>
      </c>
      <c r="H52" s="172">
        <f t="shared" si="6"/>
        <v>4.5521278996278386E-4</v>
      </c>
      <c r="I52" s="337"/>
      <c r="J52" s="168"/>
      <c r="K52" s="168"/>
      <c r="M52" s="359">
        <f t="shared" si="7"/>
        <v>0.11823054648512106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490">
        <f>'[82]Sch C'!D38</f>
        <v>0</v>
      </c>
      <c r="D53" s="490">
        <f>'[82]Sch C'!F38</f>
        <v>0</v>
      </c>
      <c r="E53" s="171">
        <f t="shared" si="4"/>
        <v>0</v>
      </c>
      <c r="F53" s="171">
        <v>0</v>
      </c>
      <c r="G53" s="171">
        <f t="shared" si="5"/>
        <v>0</v>
      </c>
      <c r="H53" s="172">
        <f t="shared" si="6"/>
        <v>0</v>
      </c>
      <c r="I53" s="337"/>
      <c r="J53" s="168"/>
      <c r="K53" s="168"/>
      <c r="M53" s="359">
        <f t="shared" si="7"/>
        <v>0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490">
        <f>'[82]Sch C'!D39</f>
        <v>85</v>
      </c>
      <c r="D54" s="490">
        <f>'[82]Sch C'!F39</f>
        <v>0</v>
      </c>
      <c r="E54" s="171">
        <f t="shared" si="4"/>
        <v>85</v>
      </c>
      <c r="F54" s="171">
        <v>296</v>
      </c>
      <c r="G54" s="171">
        <f t="shared" si="5"/>
        <v>381</v>
      </c>
      <c r="H54" s="172">
        <f t="shared" si="6"/>
        <v>9.0378360070776778E-5</v>
      </c>
      <c r="I54" s="337"/>
      <c r="J54" s="168"/>
      <c r="K54" s="168"/>
      <c r="M54" s="359">
        <f t="shared" si="7"/>
        <v>2.3473599901423201E-2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490">
        <f>'[82]Sch C'!D40</f>
        <v>0</v>
      </c>
      <c r="D55" s="490">
        <f>'[82]Sch C'!F40</f>
        <v>0</v>
      </c>
      <c r="E55" s="171">
        <f t="shared" si="4"/>
        <v>0</v>
      </c>
      <c r="F55" s="171">
        <v>357</v>
      </c>
      <c r="G55" s="171">
        <f t="shared" si="5"/>
        <v>357</v>
      </c>
      <c r="H55" s="172">
        <f t="shared" si="6"/>
        <v>8.4685235026948322E-5</v>
      </c>
      <c r="I55" s="337"/>
      <c r="J55" s="168"/>
      <c r="K55" s="168"/>
      <c r="M55" s="359">
        <f t="shared" si="7"/>
        <v>2.1994947939128828E-2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490">
        <f>'[82]Sch C'!D41</f>
        <v>3715</v>
      </c>
      <c r="D56" s="490">
        <f>'[82]Sch C'!F41</f>
        <v>0</v>
      </c>
      <c r="E56" s="171">
        <f t="shared" si="4"/>
        <v>3715</v>
      </c>
      <c r="F56" s="171">
        <v>1386</v>
      </c>
      <c r="G56" s="171">
        <f t="shared" si="5"/>
        <v>5101</v>
      </c>
      <c r="H56" s="172">
        <f t="shared" si="6"/>
        <v>1.2100262853570402E-3</v>
      </c>
      <c r="I56" s="337"/>
      <c r="J56" s="168"/>
      <c r="K56" s="168"/>
      <c r="M56" s="359">
        <f t="shared" si="7"/>
        <v>0.31427515248598359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490">
        <f>'[82]Sch C'!D42</f>
        <v>0</v>
      </c>
      <c r="D57" s="490">
        <f>'[82]Sch C'!F42</f>
        <v>0</v>
      </c>
      <c r="E57" s="171">
        <f t="shared" si="4"/>
        <v>0</v>
      </c>
      <c r="F57" s="171">
        <v>231</v>
      </c>
      <c r="G57" s="171">
        <f t="shared" si="5"/>
        <v>231</v>
      </c>
      <c r="H57" s="172">
        <f t="shared" si="6"/>
        <v>5.4796328546848915E-5</v>
      </c>
      <c r="I57" s="337"/>
      <c r="J57" s="168"/>
      <c r="K57" s="168"/>
      <c r="M57" s="359">
        <f t="shared" si="7"/>
        <v>1.4232025137083359E-2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490">
        <f>'[82]Sch C'!D43</f>
        <v>0</v>
      </c>
      <c r="D58" s="490">
        <f>'[82]Sch C'!F43</f>
        <v>9207</v>
      </c>
      <c r="E58" s="171">
        <f t="shared" si="4"/>
        <v>9207</v>
      </c>
      <c r="F58" s="171">
        <v>496</v>
      </c>
      <c r="G58" s="171">
        <f t="shared" si="5"/>
        <v>9703</v>
      </c>
      <c r="H58" s="172">
        <f t="shared" si="6"/>
        <v>2.3016830125111472E-3</v>
      </c>
      <c r="I58" s="337"/>
      <c r="J58" s="168"/>
      <c r="K58" s="168"/>
      <c r="M58" s="359">
        <f t="shared" si="7"/>
        <v>0.59780666625593004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490">
        <f>'[82]Sch C'!D44</f>
        <v>1328</v>
      </c>
      <c r="D59" s="490">
        <f>'[82]Sch C'!F44</f>
        <v>-1328</v>
      </c>
      <c r="E59" s="171">
        <f t="shared" si="4"/>
        <v>0</v>
      </c>
      <c r="F59" s="171">
        <v>145</v>
      </c>
      <c r="G59" s="171">
        <f t="shared" si="5"/>
        <v>145</v>
      </c>
      <c r="H59" s="172">
        <f t="shared" si="6"/>
        <v>3.4395963806463606E-5</v>
      </c>
      <c r="I59" s="337"/>
      <c r="J59" s="168"/>
      <c r="K59" s="168"/>
      <c r="M59" s="359">
        <f t="shared" si="7"/>
        <v>8.9335222721951824E-3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490">
        <f>'[82]Sch C'!D45</f>
        <v>46671</v>
      </c>
      <c r="D60" s="490">
        <f>'[82]Sch C'!F45</f>
        <v>-40595</v>
      </c>
      <c r="E60" s="171">
        <f t="shared" si="4"/>
        <v>6076</v>
      </c>
      <c r="F60" s="171">
        <v>4879</v>
      </c>
      <c r="G60" s="171">
        <f t="shared" si="5"/>
        <v>10955</v>
      </c>
      <c r="H60" s="172">
        <f t="shared" si="6"/>
        <v>2.5986743689641986E-3</v>
      </c>
      <c r="I60" s="337"/>
      <c r="J60" s="168"/>
      <c r="K60" s="168"/>
      <c r="M60" s="359">
        <f t="shared" si="7"/>
        <v>0.6749430102889532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490">
        <f>SUM(C25:C60)</f>
        <v>1090862</v>
      </c>
      <c r="D61" s="490">
        <f>SUM(D25:D60)</f>
        <v>-306097</v>
      </c>
      <c r="E61" s="171">
        <f t="shared" ref="E61:F61" si="8">SUM(E25:E60)</f>
        <v>784765</v>
      </c>
      <c r="F61" s="171">
        <f t="shared" si="8"/>
        <v>144741.40996884601</v>
      </c>
      <c r="G61" s="171">
        <f>SUM(G25:G60)</f>
        <v>929506.40996884601</v>
      </c>
      <c r="H61" s="186">
        <f t="shared" si="6"/>
        <v>0.22049150920802998</v>
      </c>
      <c r="I61" s="339"/>
      <c r="J61" s="168"/>
      <c r="K61" s="168"/>
      <c r="M61" s="364">
        <f>G61/G$228</f>
        <v>57.267353211068084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I62" s="340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490">
        <f>'[82]Sch C'!D57</f>
        <v>447033</v>
      </c>
      <c r="D64" s="490">
        <f>'[82]Sch C'!F57</f>
        <v>32533</v>
      </c>
      <c r="E64" s="171">
        <f t="shared" ref="E64:E78" si="9">C64+D64</f>
        <v>479566</v>
      </c>
      <c r="F64" s="171">
        <v>-0.40999999999985448</v>
      </c>
      <c r="G64" s="171">
        <f t="shared" ref="G64:G78" si="10">E64+F64</f>
        <v>479565.59</v>
      </c>
      <c r="H64" s="172">
        <f t="shared" ref="H64:H79" si="11">IF($G$208=0,0,G64/$G$208)</f>
        <v>0.11375945294114045</v>
      </c>
      <c r="I64" s="337"/>
      <c r="J64" s="190"/>
      <c r="K64" s="168"/>
      <c r="M64" s="359">
        <f t="shared" ref="M64:M79" si="12">G64/G$228</f>
        <v>29.54627502926499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490">
        <f>'[82]Sch C'!D58</f>
        <v>12030</v>
      </c>
      <c r="D65" s="490">
        <f>'[82]Sch C'!F58</f>
        <v>43681</v>
      </c>
      <c r="E65" s="171">
        <f t="shared" si="9"/>
        <v>55711</v>
      </c>
      <c r="F65" s="171">
        <v>3617.66</v>
      </c>
      <c r="G65" s="171">
        <f t="shared" si="10"/>
        <v>59328.66</v>
      </c>
      <c r="H65" s="172">
        <f t="shared" si="11"/>
        <v>1.4073561669282655E-2</v>
      </c>
      <c r="I65" s="337"/>
      <c r="J65" s="190"/>
      <c r="K65" s="168"/>
      <c r="M65" s="359">
        <f t="shared" si="12"/>
        <v>3.6552683137206583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490">
        <f>'[82]Sch C'!D59</f>
        <v>0</v>
      </c>
      <c r="D66" s="490">
        <f>'[82]Sch C'!F59</f>
        <v>0</v>
      </c>
      <c r="E66" s="171">
        <f t="shared" si="9"/>
        <v>0</v>
      </c>
      <c r="F66" s="171">
        <v>0</v>
      </c>
      <c r="G66" s="171">
        <f t="shared" si="10"/>
        <v>0</v>
      </c>
      <c r="H66" s="172">
        <f t="shared" si="11"/>
        <v>0</v>
      </c>
      <c r="I66" s="337"/>
      <c r="J66" s="190"/>
      <c r="K66" s="168"/>
      <c r="M66" s="359">
        <f t="shared" si="12"/>
        <v>0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490">
        <f>'[82]Sch C'!D60</f>
        <v>10181</v>
      </c>
      <c r="D67" s="490">
        <f>'[82]Sch C'!F60</f>
        <v>0</v>
      </c>
      <c r="E67" s="171">
        <f t="shared" si="9"/>
        <v>10181</v>
      </c>
      <c r="F67" s="171">
        <v>2088</v>
      </c>
      <c r="G67" s="171">
        <f t="shared" si="10"/>
        <v>12269</v>
      </c>
      <c r="H67" s="172">
        <f t="shared" si="11"/>
        <v>2.9103729651138066E-3</v>
      </c>
      <c r="I67" s="337"/>
      <c r="J67" s="193"/>
      <c r="K67" s="168"/>
      <c r="M67" s="359">
        <f t="shared" si="12"/>
        <v>0.75589920522457021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490">
        <f>'[82]Sch C'!D61</f>
        <v>4222</v>
      </c>
      <c r="D68" s="490">
        <f>'[82]Sch C'!F61</f>
        <v>0</v>
      </c>
      <c r="E68" s="171">
        <f t="shared" si="9"/>
        <v>4222</v>
      </c>
      <c r="F68" s="171">
        <v>1000</v>
      </c>
      <c r="G68" s="171">
        <f t="shared" si="10"/>
        <v>5222</v>
      </c>
      <c r="H68" s="172">
        <f t="shared" si="11"/>
        <v>1.2387291241196755E-3</v>
      </c>
      <c r="I68" s="337"/>
      <c r="J68" s="193"/>
      <c r="K68" s="168"/>
      <c r="M68" s="359">
        <f t="shared" si="12"/>
        <v>0.32173002279588442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490">
        <f>'[82]Sch C'!D62</f>
        <v>0</v>
      </c>
      <c r="D69" s="490">
        <f>'[82]Sch C'!F62</f>
        <v>0</v>
      </c>
      <c r="E69" s="171">
        <f t="shared" si="9"/>
        <v>0</v>
      </c>
      <c r="F69" s="171">
        <v>0</v>
      </c>
      <c r="G69" s="171">
        <f t="shared" si="10"/>
        <v>0</v>
      </c>
      <c r="H69" s="172">
        <f t="shared" si="11"/>
        <v>0</v>
      </c>
      <c r="I69" s="337"/>
      <c r="J69" s="195"/>
      <c r="K69" s="168"/>
      <c r="M69" s="359">
        <f t="shared" si="12"/>
        <v>0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490">
        <f>'[82]Sch C'!D63</f>
        <v>0</v>
      </c>
      <c r="D70" s="490">
        <f>'[82]Sch C'!F63</f>
        <v>0</v>
      </c>
      <c r="E70" s="171">
        <f t="shared" si="9"/>
        <v>0</v>
      </c>
      <c r="F70" s="171">
        <v>0</v>
      </c>
      <c r="G70" s="171">
        <f t="shared" si="10"/>
        <v>0</v>
      </c>
      <c r="H70" s="172">
        <f t="shared" si="11"/>
        <v>0</v>
      </c>
      <c r="I70" s="337"/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490">
        <f>'[82]Sch C'!D64</f>
        <v>0</v>
      </c>
      <c r="D71" s="490">
        <f>'[82]Sch C'!F64</f>
        <v>0</v>
      </c>
      <c r="E71" s="171">
        <f t="shared" si="9"/>
        <v>0</v>
      </c>
      <c r="F71" s="171">
        <v>0</v>
      </c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490">
        <f>'[82]Sch C'!D65</f>
        <v>1040</v>
      </c>
      <c r="D72" s="490">
        <f>'[82]Sch C'!F65</f>
        <v>0</v>
      </c>
      <c r="E72" s="171">
        <f t="shared" si="9"/>
        <v>1040</v>
      </c>
      <c r="F72" s="171">
        <v>436</v>
      </c>
      <c r="G72" s="171">
        <f t="shared" si="10"/>
        <v>1476</v>
      </c>
      <c r="H72" s="172">
        <f t="shared" si="11"/>
        <v>3.501271901954502E-4</v>
      </c>
      <c r="I72" s="337"/>
      <c r="J72" s="195"/>
      <c r="K72" s="168"/>
      <c r="M72" s="359">
        <f t="shared" si="12"/>
        <v>9.0937095681104058E-2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490">
        <f>'[82]Sch C'!D66</f>
        <v>42040</v>
      </c>
      <c r="D73" s="490">
        <f>'[82]Sch C'!F66</f>
        <v>0</v>
      </c>
      <c r="E73" s="171">
        <f t="shared" si="9"/>
        <v>42040</v>
      </c>
      <c r="F73" s="171">
        <v>1216</v>
      </c>
      <c r="G73" s="171">
        <f t="shared" si="10"/>
        <v>43256</v>
      </c>
      <c r="H73" s="172">
        <f t="shared" si="11"/>
        <v>1.0260909037326826E-2</v>
      </c>
      <c r="I73" s="337"/>
      <c r="J73" s="195"/>
      <c r="K73" s="168"/>
      <c r="M73" s="359">
        <f t="shared" si="12"/>
        <v>2.6650237200418951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490">
        <f>'[82]Sch C'!D67</f>
        <v>55231</v>
      </c>
      <c r="D74" s="490">
        <f>'[82]Sch C'!F67</f>
        <v>-24668</v>
      </c>
      <c r="E74" s="171">
        <f t="shared" si="9"/>
        <v>30563</v>
      </c>
      <c r="F74" s="171">
        <v>10334.84</v>
      </c>
      <c r="G74" s="171">
        <f t="shared" si="10"/>
        <v>40897.839999999997</v>
      </c>
      <c r="H74" s="172">
        <f t="shared" si="11"/>
        <v>9.7015215476037187E-3</v>
      </c>
      <c r="I74" s="337"/>
      <c r="J74" s="195"/>
      <c r="K74" s="168"/>
      <c r="M74" s="359">
        <f t="shared" si="12"/>
        <v>2.519736307066724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490">
        <f>'[82]Sch C'!D68</f>
        <v>0</v>
      </c>
      <c r="D75" s="490">
        <f>'[82]Sch C'!F68</f>
        <v>0</v>
      </c>
      <c r="E75" s="171">
        <f t="shared" si="9"/>
        <v>0</v>
      </c>
      <c r="F75" s="171">
        <v>0</v>
      </c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490">
        <f>'[82]Sch C'!D69</f>
        <v>3469</v>
      </c>
      <c r="D76" s="490">
        <f>'[82]Sch C'!F69</f>
        <v>0</v>
      </c>
      <c r="E76" s="171">
        <f t="shared" si="9"/>
        <v>3469</v>
      </c>
      <c r="F76" s="171">
        <v>833</v>
      </c>
      <c r="G76" s="171">
        <f t="shared" si="10"/>
        <v>4302</v>
      </c>
      <c r="H76" s="172">
        <f t="shared" si="11"/>
        <v>1.0204926641062511E-3</v>
      </c>
      <c r="I76" s="337"/>
      <c r="J76" s="195"/>
      <c r="K76" s="168"/>
      <c r="M76" s="359">
        <f t="shared" si="12"/>
        <v>0.26504836424126671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490">
        <f>'[82]Sch C'!D70</f>
        <v>4144</v>
      </c>
      <c r="D77" s="490">
        <f>'[82]Sch C'!F70</f>
        <v>0</v>
      </c>
      <c r="E77" s="171">
        <f t="shared" si="9"/>
        <v>4144</v>
      </c>
      <c r="F77" s="171">
        <v>0</v>
      </c>
      <c r="G77" s="171">
        <f t="shared" si="10"/>
        <v>4144</v>
      </c>
      <c r="H77" s="172">
        <f t="shared" si="11"/>
        <v>9.8301292423438056E-4</v>
      </c>
      <c r="I77" s="337"/>
      <c r="J77" s="195"/>
      <c r="K77" s="168"/>
      <c r="M77" s="359">
        <f t="shared" si="12"/>
        <v>0.2553139054894954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490">
        <f>'[82]Sch C'!D71</f>
        <v>3530</v>
      </c>
      <c r="D78" s="490">
        <f>'[82]Sch C'!F71</f>
        <v>0</v>
      </c>
      <c r="E78" s="171">
        <f t="shared" si="9"/>
        <v>3530</v>
      </c>
      <c r="F78" s="171">
        <v>0</v>
      </c>
      <c r="G78" s="171">
        <f t="shared" si="10"/>
        <v>3530</v>
      </c>
      <c r="H78" s="172">
        <f t="shared" si="11"/>
        <v>8.3736380852976911E-4</v>
      </c>
      <c r="I78" s="337"/>
      <c r="J78" s="195"/>
      <c r="K78" s="168"/>
      <c r="M78" s="359">
        <f t="shared" si="12"/>
        <v>0.21748505945413099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490">
        <f>SUM(C64:C78)</f>
        <v>582920</v>
      </c>
      <c r="D79" s="490">
        <f>SUM(D64:D78)</f>
        <v>51546</v>
      </c>
      <c r="E79" s="171">
        <f t="shared" ref="E79:F79" si="13">SUM(E64:E78)</f>
        <v>634466</v>
      </c>
      <c r="F79" s="171">
        <f t="shared" si="13"/>
        <v>19525.09</v>
      </c>
      <c r="G79" s="171">
        <f>SUM(G64:G78)</f>
        <v>653991.09</v>
      </c>
      <c r="H79" s="172">
        <f t="shared" si="11"/>
        <v>0.15513554387165296</v>
      </c>
      <c r="I79" s="337"/>
      <c r="J79" s="195"/>
      <c r="K79" s="168"/>
      <c r="M79" s="359">
        <f t="shared" si="12"/>
        <v>40.292717022980717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490">
        <f>'[82]Sch C'!D75</f>
        <v>31836</v>
      </c>
      <c r="D82" s="490">
        <f>'[82]Sch C'!F75</f>
        <v>0</v>
      </c>
      <c r="E82" s="171">
        <f t="shared" ref="E82:E92" si="14">C82+D82</f>
        <v>31836</v>
      </c>
      <c r="F82" s="171">
        <v>7754</v>
      </c>
      <c r="G82" s="171">
        <f t="shared" ref="G82:G92" si="15">E82+F82</f>
        <v>39590</v>
      </c>
      <c r="H82" s="172">
        <f t="shared" ref="H82:H93" si="16">IF($G$208=0,0,G82/$G$208)</f>
        <v>9.3912841868820287E-3</v>
      </c>
      <c r="I82" s="337"/>
      <c r="J82" s="183">
        <f>1438+326</f>
        <v>1764</v>
      </c>
      <c r="K82" s="183">
        <f>1489+342</f>
        <v>1831</v>
      </c>
      <c r="M82" s="359">
        <f t="shared" ref="M82:M92" si="17">G82/G$228</f>
        <v>2.4391596328014296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490">
        <f>'[82]Sch C'!D76</f>
        <v>5833</v>
      </c>
      <c r="D83" s="490">
        <f>'[82]Sch C'!F76</f>
        <v>190</v>
      </c>
      <c r="E83" s="171">
        <f t="shared" si="14"/>
        <v>6023</v>
      </c>
      <c r="F83" s="171">
        <v>1294</v>
      </c>
      <c r="G83" s="171">
        <f t="shared" si="15"/>
        <v>7317</v>
      </c>
      <c r="H83" s="172">
        <f t="shared" si="16"/>
        <v>1.7356914977372012E-3</v>
      </c>
      <c r="I83" s="337"/>
      <c r="J83" s="168"/>
      <c r="K83" s="168"/>
      <c r="M83" s="359">
        <f t="shared" si="17"/>
        <v>0.45080401700449757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490">
        <f>'[82]Sch C'!D77</f>
        <v>4504</v>
      </c>
      <c r="D84" s="490">
        <f>'[82]Sch C'!F77</f>
        <v>0</v>
      </c>
      <c r="E84" s="171">
        <f t="shared" si="14"/>
        <v>4504</v>
      </c>
      <c r="F84" s="171">
        <v>1080</v>
      </c>
      <c r="G84" s="171">
        <f t="shared" si="15"/>
        <v>5584</v>
      </c>
      <c r="H84" s="172">
        <f t="shared" si="16"/>
        <v>1.3246004268640881E-3</v>
      </c>
      <c r="I84" s="337"/>
      <c r="J84" s="168"/>
      <c r="K84" s="168"/>
      <c r="M84" s="359">
        <f t="shared" si="17"/>
        <v>0.3440330232271579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490">
        <f>'[82]Sch C'!D78</f>
        <v>0</v>
      </c>
      <c r="D85" s="490">
        <f>'[82]Sch C'!F78</f>
        <v>0</v>
      </c>
      <c r="E85" s="171">
        <f t="shared" si="14"/>
        <v>0</v>
      </c>
      <c r="F85" s="171">
        <v>0</v>
      </c>
      <c r="G85" s="171">
        <f t="shared" si="15"/>
        <v>0</v>
      </c>
      <c r="H85" s="172">
        <f t="shared" si="16"/>
        <v>0</v>
      </c>
      <c r="I85" s="337"/>
      <c r="J85" s="168"/>
      <c r="K85" s="168"/>
      <c r="M85" s="359">
        <f t="shared" si="17"/>
        <v>0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490">
        <f>'[82]Sch C'!D79</f>
        <v>12334</v>
      </c>
      <c r="D86" s="490">
        <f>'[82]Sch C'!F79</f>
        <v>11755</v>
      </c>
      <c r="E86" s="171">
        <f t="shared" si="14"/>
        <v>24089</v>
      </c>
      <c r="F86" s="171">
        <v>531</v>
      </c>
      <c r="G86" s="171">
        <f>E86+F86</f>
        <v>24620</v>
      </c>
      <c r="H86" s="172">
        <f t="shared" si="16"/>
        <v>5.8401974407940272E-3</v>
      </c>
      <c r="I86" s="337"/>
      <c r="J86" s="168"/>
      <c r="K86" s="168"/>
      <c r="M86" s="359">
        <f t="shared" si="17"/>
        <v>1.516850471320313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490">
        <f>'[82]Sch C'!D80</f>
        <v>5999</v>
      </c>
      <c r="D87" s="490">
        <f>'[82]Sch C'!F80</f>
        <v>0</v>
      </c>
      <c r="E87" s="171">
        <f t="shared" si="14"/>
        <v>5999</v>
      </c>
      <c r="F87" s="171">
        <v>1665</v>
      </c>
      <c r="G87" s="171">
        <f t="shared" si="15"/>
        <v>7664</v>
      </c>
      <c r="H87" s="172">
        <f t="shared" si="16"/>
        <v>1.818004597329221E-3</v>
      </c>
      <c r="I87" s="337"/>
      <c r="J87" s="168"/>
      <c r="K87" s="168"/>
      <c r="M87" s="359">
        <f t="shared" si="17"/>
        <v>0.47218285995933706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490">
        <f>'[82]Sch C'!D81</f>
        <v>8219</v>
      </c>
      <c r="D88" s="490">
        <f>'[82]Sch C'!F81</f>
        <v>0</v>
      </c>
      <c r="E88" s="171">
        <f t="shared" si="14"/>
        <v>8219</v>
      </c>
      <c r="F88" s="171">
        <v>2043</v>
      </c>
      <c r="G88" s="171">
        <f t="shared" si="15"/>
        <v>10262</v>
      </c>
      <c r="H88" s="172">
        <f t="shared" si="16"/>
        <v>2.4342853833236519E-3</v>
      </c>
      <c r="I88" s="337"/>
      <c r="J88" s="168"/>
      <c r="K88" s="168"/>
      <c r="M88" s="359">
        <f t="shared" si="17"/>
        <v>0.63224693487770312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490">
        <f>'[82]Sch C'!D82</f>
        <v>3426</v>
      </c>
      <c r="D89" s="490">
        <f>'[82]Sch C'!F82</f>
        <v>0</v>
      </c>
      <c r="E89" s="171">
        <f t="shared" si="14"/>
        <v>3426</v>
      </c>
      <c r="F89" s="171">
        <v>85</v>
      </c>
      <c r="G89" s="171">
        <f t="shared" si="15"/>
        <v>3511</v>
      </c>
      <c r="H89" s="172">
        <f t="shared" si="16"/>
        <v>8.3285675120340491E-4</v>
      </c>
      <c r="I89" s="337"/>
      <c r="J89" s="168"/>
      <c r="K89" s="168"/>
      <c r="M89" s="359">
        <f t="shared" si="17"/>
        <v>0.21631445998398127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490">
        <f>'[82]Sch C'!D83</f>
        <v>4517</v>
      </c>
      <c r="D90" s="490">
        <f>'[82]Sch C'!F83</f>
        <v>0</v>
      </c>
      <c r="E90" s="171">
        <f t="shared" si="14"/>
        <v>4517</v>
      </c>
      <c r="F90" s="171">
        <v>0</v>
      </c>
      <c r="G90" s="171">
        <f t="shared" si="15"/>
        <v>4517</v>
      </c>
      <c r="H90" s="172">
        <f t="shared" si="16"/>
        <v>1.0714935759572144E-3</v>
      </c>
      <c r="I90" s="337"/>
      <c r="J90" s="168"/>
      <c r="K90" s="168"/>
      <c r="M90" s="359">
        <f t="shared" si="17"/>
        <v>0.27829462140348715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490">
        <f>'[82]Sch C'!D84</f>
        <v>62409</v>
      </c>
      <c r="D91" s="490">
        <f>'[82]Sch C'!F84</f>
        <v>0</v>
      </c>
      <c r="E91" s="171">
        <f t="shared" si="14"/>
        <v>62409</v>
      </c>
      <c r="F91" s="171">
        <v>10393</v>
      </c>
      <c r="G91" s="171">
        <f t="shared" si="15"/>
        <v>72802</v>
      </c>
      <c r="H91" s="172">
        <f t="shared" si="16"/>
        <v>1.7269620393366644E-2</v>
      </c>
      <c r="I91" s="337"/>
      <c r="J91" s="168"/>
      <c r="K91" s="168"/>
      <c r="M91" s="359">
        <f t="shared" si="17"/>
        <v>4.4853675066231284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490">
        <f>'[82]Sch C'!D85</f>
        <v>0</v>
      </c>
      <c r="D92" s="490">
        <f>'[82]Sch C'!F85</f>
        <v>0</v>
      </c>
      <c r="E92" s="171">
        <f t="shared" si="14"/>
        <v>0</v>
      </c>
      <c r="F92" s="171">
        <v>0</v>
      </c>
      <c r="G92" s="171">
        <f t="shared" si="15"/>
        <v>0</v>
      </c>
      <c r="H92" s="172">
        <f t="shared" si="16"/>
        <v>0</v>
      </c>
      <c r="I92" s="337"/>
      <c r="J92" s="168"/>
      <c r="K92" s="168"/>
      <c r="M92" s="359">
        <f t="shared" si="17"/>
        <v>0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490">
        <f>SUM(C82:C92)</f>
        <v>139077</v>
      </c>
      <c r="D93" s="490">
        <f>SUM(D82:D92)</f>
        <v>11945</v>
      </c>
      <c r="E93" s="171">
        <f t="shared" ref="E93:F93" si="18">SUM(E82:E92)</f>
        <v>151022</v>
      </c>
      <c r="F93" s="171">
        <f t="shared" si="18"/>
        <v>24845</v>
      </c>
      <c r="G93" s="171">
        <f>SUM(G82:G92)</f>
        <v>175867</v>
      </c>
      <c r="H93" s="172">
        <f t="shared" si="16"/>
        <v>4.1718034253457478E-2</v>
      </c>
      <c r="I93" s="337"/>
      <c r="J93" s="168"/>
      <c r="K93" s="168"/>
      <c r="M93" s="364">
        <f>G93/G$228</f>
        <v>10.835253527201035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490">
        <f>'[82]Sch C'!D89</f>
        <v>130057</v>
      </c>
      <c r="D96" s="490">
        <f>'[82]Sch C'!F89</f>
        <v>0</v>
      </c>
      <c r="E96" s="171">
        <f t="shared" ref="E96:E101" si="19">C96+D96</f>
        <v>130057</v>
      </c>
      <c r="F96" s="171">
        <v>22161</v>
      </c>
      <c r="G96" s="171">
        <f t="shared" ref="G96:G101" si="20">E96+F96</f>
        <v>152218</v>
      </c>
      <c r="H96" s="172">
        <f t="shared" ref="H96:H102" si="21">IF($G$208=0,0,G96/$G$208)</f>
        <v>3.6108171163395014E-2</v>
      </c>
      <c r="I96" s="337"/>
      <c r="J96" s="183">
        <f>10617+1929</f>
        <v>12546</v>
      </c>
      <c r="K96" s="183">
        <f>11155+2023</f>
        <v>13178</v>
      </c>
      <c r="M96" s="364">
        <f t="shared" ref="M96:M101" si="22">G96/G$228</f>
        <v>9.3782268498552153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490">
        <f>'[82]Sch C'!D90</f>
        <v>14783</v>
      </c>
      <c r="D97" s="490">
        <f>'[82]Sch C'!F90</f>
        <v>765</v>
      </c>
      <c r="E97" s="171">
        <f t="shared" si="19"/>
        <v>15548</v>
      </c>
      <c r="F97" s="171">
        <v>3699</v>
      </c>
      <c r="G97" s="171">
        <f t="shared" si="20"/>
        <v>19247</v>
      </c>
      <c r="H97" s="172">
        <f t="shared" si="21"/>
        <v>4.5656490716069311E-3</v>
      </c>
      <c r="I97" s="337"/>
      <c r="J97" s="168"/>
      <c r="K97" s="168"/>
      <c r="M97" s="364">
        <f t="shared" si="22"/>
        <v>1.1858172632616597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490">
        <f>'[82]Sch C'!D91</f>
        <v>18221</v>
      </c>
      <c r="D98" s="490">
        <f>'[82]Sch C'!F91</f>
        <v>0</v>
      </c>
      <c r="E98" s="171">
        <f t="shared" si="19"/>
        <v>18221</v>
      </c>
      <c r="F98" s="171">
        <v>5557</v>
      </c>
      <c r="G98" s="171">
        <f t="shared" si="20"/>
        <v>23778</v>
      </c>
      <c r="H98" s="172">
        <f t="shared" si="21"/>
        <v>5.6404636371730453E-3</v>
      </c>
      <c r="I98" s="337"/>
      <c r="J98" s="168"/>
      <c r="K98" s="168"/>
      <c r="M98" s="364">
        <f t="shared" si="22"/>
        <v>1.4649744316431519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490">
        <f>'[82]Sch C'!D92</f>
        <v>91792</v>
      </c>
      <c r="D99" s="490">
        <f>'[82]Sch C'!F92</f>
        <v>-117</v>
      </c>
      <c r="E99" s="171">
        <f t="shared" si="19"/>
        <v>91675</v>
      </c>
      <c r="F99" s="171">
        <v>14214</v>
      </c>
      <c r="G99" s="171">
        <f t="shared" si="20"/>
        <v>105889</v>
      </c>
      <c r="H99" s="172">
        <f t="shared" si="21"/>
        <v>2.5118304906914652E-2</v>
      </c>
      <c r="I99" s="337"/>
      <c r="J99" s="168"/>
      <c r="K99" s="168"/>
      <c r="M99" s="364">
        <f t="shared" si="22"/>
        <v>6.5238740681412111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490">
        <f>'[82]Sch C'!D93</f>
        <v>11226</v>
      </c>
      <c r="D100" s="490">
        <f>'[82]Sch C'!F93</f>
        <v>-14</v>
      </c>
      <c r="E100" s="171">
        <f t="shared" si="19"/>
        <v>11212</v>
      </c>
      <c r="F100" s="171">
        <v>758</v>
      </c>
      <c r="G100" s="171">
        <f t="shared" si="20"/>
        <v>11970</v>
      </c>
      <c r="H100" s="172">
        <f t="shared" si="21"/>
        <v>2.8394461156094437E-3</v>
      </c>
      <c r="I100" s="337"/>
      <c r="J100" s="168"/>
      <c r="K100" s="168"/>
      <c r="M100" s="364">
        <f t="shared" si="22"/>
        <v>0.73747766619431954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490">
        <f>'[82]Sch C'!D94</f>
        <v>0</v>
      </c>
      <c r="D101" s="490">
        <f>'[82]Sch C'!F94</f>
        <v>0</v>
      </c>
      <c r="E101" s="171">
        <f t="shared" si="19"/>
        <v>0</v>
      </c>
      <c r="F101" s="171">
        <v>0</v>
      </c>
      <c r="G101" s="171">
        <f t="shared" si="20"/>
        <v>0</v>
      </c>
      <c r="H101" s="172">
        <f t="shared" si="21"/>
        <v>0</v>
      </c>
      <c r="I101" s="337"/>
      <c r="J101" s="168"/>
      <c r="K101" s="168"/>
      <c r="M101" s="364">
        <f t="shared" si="22"/>
        <v>0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490">
        <f>SUM(C96:C101)</f>
        <v>266079</v>
      </c>
      <c r="D102" s="490">
        <f>SUM(D96:D101)</f>
        <v>634</v>
      </c>
      <c r="E102" s="171">
        <f t="shared" ref="E102:F102" si="23">SUM(E96:E101)</f>
        <v>266713</v>
      </c>
      <c r="F102" s="171">
        <f t="shared" si="23"/>
        <v>46389</v>
      </c>
      <c r="G102" s="171">
        <f>SUM(G96:G101)</f>
        <v>313102</v>
      </c>
      <c r="H102" s="172">
        <f t="shared" si="21"/>
        <v>7.4272034894699079E-2</v>
      </c>
      <c r="I102" s="337"/>
      <c r="J102" s="168"/>
      <c r="K102" s="168"/>
      <c r="M102" s="364">
        <f>G102/G$228</f>
        <v>19.290370279095558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490">
        <f>'[82]Sch C'!D98</f>
        <v>0</v>
      </c>
      <c r="D105" s="490">
        <f>'[82]Sch C'!F98</f>
        <v>0</v>
      </c>
      <c r="E105" s="171">
        <f t="shared" ref="E105:E110" si="24">C105+D105</f>
        <v>0</v>
      </c>
      <c r="F105" s="171">
        <v>0</v>
      </c>
      <c r="G105" s="171">
        <f t="shared" ref="G105:G110" si="25">E105+F105</f>
        <v>0</v>
      </c>
      <c r="H105" s="172">
        <f t="shared" ref="H105:H111" si="26">IF($G$208=0,0,G105/$G$208)</f>
        <v>0</v>
      </c>
      <c r="I105" s="337"/>
      <c r="J105" s="183">
        <v>0</v>
      </c>
      <c r="K105" s="183">
        <v>0</v>
      </c>
      <c r="M105" s="364">
        <f t="shared" ref="M105:M110" si="27">G105/G$228</f>
        <v>0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490">
        <f>'[82]Sch C'!D99</f>
        <v>0</v>
      </c>
      <c r="D106" s="490">
        <f>'[82]Sch C'!F99</f>
        <v>0</v>
      </c>
      <c r="E106" s="171">
        <f t="shared" si="24"/>
        <v>0</v>
      </c>
      <c r="F106" s="171">
        <v>0</v>
      </c>
      <c r="G106" s="171">
        <f t="shared" si="25"/>
        <v>0</v>
      </c>
      <c r="H106" s="172">
        <f t="shared" si="26"/>
        <v>0</v>
      </c>
      <c r="I106" s="337"/>
      <c r="J106" s="168"/>
      <c r="K106" s="168"/>
      <c r="M106" s="364">
        <f t="shared" si="27"/>
        <v>0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490">
        <f>'[82]Sch C'!D100</f>
        <v>94</v>
      </c>
      <c r="D107" s="490">
        <f>'[82]Sch C'!F100</f>
        <v>0</v>
      </c>
      <c r="E107" s="171">
        <f t="shared" si="24"/>
        <v>94</v>
      </c>
      <c r="F107" s="171">
        <v>27</v>
      </c>
      <c r="G107" s="171">
        <f t="shared" si="25"/>
        <v>121</v>
      </c>
      <c r="H107" s="172">
        <f t="shared" si="26"/>
        <v>2.8702838762635146E-5</v>
      </c>
      <c r="I107" s="337"/>
      <c r="J107" s="168"/>
      <c r="K107" s="168"/>
      <c r="M107" s="364">
        <f t="shared" si="27"/>
        <v>7.454870309900807E-3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490">
        <f>'[82]Sch C'!D101</f>
        <v>31607</v>
      </c>
      <c r="D108" s="490">
        <f>'[82]Sch C'!F101</f>
        <v>0</v>
      </c>
      <c r="E108" s="171">
        <f t="shared" si="24"/>
        <v>31607</v>
      </c>
      <c r="F108" s="171">
        <v>0</v>
      </c>
      <c r="G108" s="171">
        <f t="shared" si="25"/>
        <v>31607</v>
      </c>
      <c r="H108" s="172">
        <f t="shared" si="26"/>
        <v>7.4976084691785868E-3</v>
      </c>
      <c r="I108" s="337"/>
      <c r="J108" s="168"/>
      <c r="K108" s="168"/>
      <c r="M108" s="364">
        <f t="shared" si="27"/>
        <v>1.9473230238432628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490">
        <f>'[82]Sch C'!D102</f>
        <v>8873</v>
      </c>
      <c r="D109" s="490">
        <f>'[82]Sch C'!F102</f>
        <v>0</v>
      </c>
      <c r="E109" s="171">
        <f t="shared" si="24"/>
        <v>8873</v>
      </c>
      <c r="F109" s="171">
        <v>1588</v>
      </c>
      <c r="G109" s="171">
        <f t="shared" si="25"/>
        <v>10461</v>
      </c>
      <c r="H109" s="172">
        <f t="shared" si="26"/>
        <v>2.4814908784787293E-3</v>
      </c>
      <c r="I109" s="337"/>
      <c r="J109" s="168"/>
      <c r="K109" s="168"/>
      <c r="M109" s="364">
        <f t="shared" si="27"/>
        <v>0.64450742406506067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490">
        <f>'[82]Sch C'!D103</f>
        <v>0</v>
      </c>
      <c r="D110" s="490">
        <f>'[82]Sch C'!F103</f>
        <v>0</v>
      </c>
      <c r="E110" s="171">
        <f t="shared" si="24"/>
        <v>0</v>
      </c>
      <c r="F110" s="171">
        <v>42</v>
      </c>
      <c r="G110" s="171">
        <f t="shared" si="25"/>
        <v>42</v>
      </c>
      <c r="H110" s="172">
        <f t="shared" si="26"/>
        <v>9.9629688266998029E-6</v>
      </c>
      <c r="I110" s="337"/>
      <c r="J110" s="168"/>
      <c r="K110" s="168"/>
      <c r="M110" s="364">
        <f t="shared" si="27"/>
        <v>2.587640934015156E-3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490">
        <f>SUM(C105:C110)</f>
        <v>40574</v>
      </c>
      <c r="D111" s="490">
        <f>SUM(D105:D110)</f>
        <v>0</v>
      </c>
      <c r="E111" s="171">
        <f t="shared" ref="E111:F111" si="28">SUM(E105:E110)</f>
        <v>40574</v>
      </c>
      <c r="F111" s="171">
        <f t="shared" si="28"/>
        <v>1657</v>
      </c>
      <c r="G111" s="171">
        <f>SUM(G105:G110)</f>
        <v>42231</v>
      </c>
      <c r="H111" s="172">
        <f t="shared" si="26"/>
        <v>1.0017765155246652E-2</v>
      </c>
      <c r="I111" s="337"/>
      <c r="J111" s="168"/>
      <c r="K111" s="168"/>
      <c r="M111" s="364">
        <f>G111/G$228</f>
        <v>2.6018729591522396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490">
        <f>'[82]Sch C'!D115</f>
        <v>0</v>
      </c>
      <c r="D114" s="490">
        <f>'[82]Sch C'!F115</f>
        <v>0</v>
      </c>
      <c r="E114" s="171">
        <f t="shared" ref="E114:E118" si="29">C114+D114</f>
        <v>0</v>
      </c>
      <c r="F114" s="171">
        <v>7042</v>
      </c>
      <c r="G114" s="171">
        <f>E114+F114</f>
        <v>7042</v>
      </c>
      <c r="H114" s="172">
        <f t="shared" ref="H114:H119" si="30">IF($G$208=0,0,G114/$G$208)</f>
        <v>1.6704577732766668E-3</v>
      </c>
      <c r="I114" s="337"/>
      <c r="J114" s="183">
        <f>858</f>
        <v>858</v>
      </c>
      <c r="K114" s="183">
        <f>0+900</f>
        <v>900</v>
      </c>
      <c r="M114" s="364">
        <f t="shared" ref="M114:M119" si="31">G114/G$228</f>
        <v>0.43386112993654119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490">
        <f>'[82]Sch C'!D116</f>
        <v>0</v>
      </c>
      <c r="D115" s="490">
        <f>'[82]Sch C'!F116</f>
        <v>0</v>
      </c>
      <c r="E115" s="171">
        <f t="shared" si="29"/>
        <v>0</v>
      </c>
      <c r="F115" s="171">
        <v>1175</v>
      </c>
      <c r="G115" s="171">
        <f>E115+F115</f>
        <v>1175</v>
      </c>
      <c r="H115" s="172">
        <f t="shared" si="30"/>
        <v>2.7872591360410162E-4</v>
      </c>
      <c r="I115" s="337"/>
      <c r="J115" s="168"/>
      <c r="K115" s="168"/>
      <c r="M115" s="364">
        <f t="shared" si="31"/>
        <v>7.2392335653995443E-2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490">
        <f>'[82]Sch C'!D117</f>
        <v>529</v>
      </c>
      <c r="D116" s="490">
        <f>'[82]Sch C'!F117</f>
        <v>0</v>
      </c>
      <c r="E116" s="171">
        <f t="shared" si="29"/>
        <v>529</v>
      </c>
      <c r="F116" s="171">
        <v>249</v>
      </c>
      <c r="G116" s="171">
        <f>E116+F116</f>
        <v>778</v>
      </c>
      <c r="H116" s="172">
        <f t="shared" si="30"/>
        <v>1.8455213683743921E-4</v>
      </c>
      <c r="I116" s="337"/>
      <c r="J116" s="168"/>
      <c r="K116" s="168"/>
      <c r="M116" s="364">
        <f t="shared" si="31"/>
        <v>4.793296777770932E-2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490">
        <f>'[82]Sch C'!D118</f>
        <v>47410</v>
      </c>
      <c r="D117" s="490">
        <f>'[82]Sch C'!F118</f>
        <v>0</v>
      </c>
      <c r="E117" s="171">
        <f t="shared" si="29"/>
        <v>47410</v>
      </c>
      <c r="F117" s="171">
        <v>2100</v>
      </c>
      <c r="G117" s="171">
        <f>E117+F117</f>
        <v>49510</v>
      </c>
      <c r="H117" s="172">
        <f t="shared" si="30"/>
        <v>1.1744442538331124E-2</v>
      </c>
      <c r="I117" s="337"/>
      <c r="J117" s="168"/>
      <c r="K117" s="168"/>
      <c r="M117" s="364">
        <f t="shared" si="31"/>
        <v>3.0503357772164379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490">
        <f>'[82]Sch C'!D119</f>
        <v>0</v>
      </c>
      <c r="D118" s="490">
        <f>'[82]Sch C'!F119</f>
        <v>0</v>
      </c>
      <c r="E118" s="171">
        <f t="shared" si="29"/>
        <v>0</v>
      </c>
      <c r="F118" s="171">
        <v>0</v>
      </c>
      <c r="G118" s="171">
        <f>E118+F118</f>
        <v>0</v>
      </c>
      <c r="H118" s="172">
        <f t="shared" si="30"/>
        <v>0</v>
      </c>
      <c r="I118" s="337"/>
      <c r="J118" s="168"/>
      <c r="K118" s="168"/>
      <c r="M118" s="364">
        <f t="shared" si="31"/>
        <v>0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490">
        <f>SUM(C114:C118)</f>
        <v>47939</v>
      </c>
      <c r="D119" s="490">
        <f>SUM(D114:D118)</f>
        <v>0</v>
      </c>
      <c r="E119" s="171">
        <f t="shared" ref="E119:F119" si="32">SUM(E114:E118)</f>
        <v>47939</v>
      </c>
      <c r="F119" s="171">
        <f t="shared" si="32"/>
        <v>10566</v>
      </c>
      <c r="G119" s="171">
        <f>SUM(G114:G118)</f>
        <v>58505</v>
      </c>
      <c r="H119" s="172">
        <f t="shared" si="30"/>
        <v>1.3878178362049333E-2</v>
      </c>
      <c r="I119" s="337"/>
      <c r="J119" s="168"/>
      <c r="K119" s="168"/>
      <c r="M119" s="364">
        <f t="shared" si="31"/>
        <v>3.6045222105846837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1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490">
        <f>'[82]Sch C'!D124</f>
        <v>0</v>
      </c>
      <c r="D123" s="490">
        <f>'[82]Sch C'!F124</f>
        <v>0</v>
      </c>
      <c r="E123" s="171">
        <f t="shared" ref="E123:E127" si="33">C123+D123</f>
        <v>0</v>
      </c>
      <c r="F123" s="171">
        <v>0</v>
      </c>
      <c r="G123" s="171">
        <f>E123+F123</f>
        <v>0</v>
      </c>
      <c r="H123" s="172">
        <f>IF($G$208=0,0,G123/$G$208)</f>
        <v>0</v>
      </c>
      <c r="I123" s="337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0.77002560279620991</v>
      </c>
    </row>
    <row r="124" spans="1:14" s="167" customFormat="1">
      <c r="B124" s="163" t="s">
        <v>194</v>
      </c>
      <c r="C124" s="490">
        <f>'[82]Sch C'!D125</f>
        <v>148355</v>
      </c>
      <c r="D124" s="490">
        <f>'[82]Sch C'!F125</f>
        <v>0</v>
      </c>
      <c r="E124" s="171">
        <f t="shared" si="33"/>
        <v>148355</v>
      </c>
      <c r="F124" s="171">
        <v>7429</v>
      </c>
      <c r="G124" s="171">
        <f>E124+F124</f>
        <v>155784</v>
      </c>
      <c r="H124" s="172">
        <f>IF($G$208=0,0,G124/$G$208)</f>
        <v>3.6954074659490528E-2</v>
      </c>
      <c r="I124" s="337"/>
      <c r="J124" s="183">
        <f>4159+217</f>
        <v>4376</v>
      </c>
      <c r="K124" s="183">
        <f>4463+228</f>
        <v>4691</v>
      </c>
      <c r="M124" s="364">
        <f t="shared" si="34"/>
        <v>9.5979298872527874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490">
        <f>'[82]Sch C'!D126</f>
        <v>0</v>
      </c>
      <c r="D125" s="490">
        <f>'[82]Sch C'!F126</f>
        <v>0</v>
      </c>
      <c r="E125" s="171">
        <f t="shared" si="33"/>
        <v>0</v>
      </c>
      <c r="F125" s="171">
        <v>11355</v>
      </c>
      <c r="G125" s="171">
        <f>E125+F125</f>
        <v>11355</v>
      </c>
      <c r="H125" s="172">
        <f>IF($G$208=0,0,G125/$G$208)</f>
        <v>2.6935597863613396E-3</v>
      </c>
      <c r="I125" s="337"/>
      <c r="J125" s="183">
        <f>0+355</f>
        <v>355</v>
      </c>
      <c r="K125" s="183">
        <f>0+372</f>
        <v>372</v>
      </c>
      <c r="M125" s="364">
        <f t="shared" si="34"/>
        <v>0.69958720966052612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490">
        <f>'[82]Sch C'!D127</f>
        <v>0</v>
      </c>
      <c r="D126" s="490">
        <f>'[82]Sch C'!F127</f>
        <v>0</v>
      </c>
      <c r="E126" s="171">
        <f t="shared" si="33"/>
        <v>0</v>
      </c>
      <c r="F126" s="171">
        <v>0</v>
      </c>
      <c r="G126" s="171">
        <f>E126+F126</f>
        <v>0</v>
      </c>
      <c r="H126" s="172">
        <f>IF($G$208=0,0,G126/$G$208)</f>
        <v>0</v>
      </c>
      <c r="I126" s="337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490">
        <f>'[82]Sch C'!D128</f>
        <v>25018</v>
      </c>
      <c r="D127" s="490">
        <f>'[82]Sch C'!F128</f>
        <v>0</v>
      </c>
      <c r="E127" s="171">
        <f t="shared" si="33"/>
        <v>25018</v>
      </c>
      <c r="F127" s="171">
        <v>10533</v>
      </c>
      <c r="G127" s="171">
        <f>E127+F127</f>
        <v>35551</v>
      </c>
      <c r="H127" s="172">
        <f>IF($G$208=0,0,G127/$G$208)</f>
        <v>8.4331786847143975E-3</v>
      </c>
      <c r="I127" s="337"/>
      <c r="J127" s="183">
        <f>1560+645</f>
        <v>2205</v>
      </c>
      <c r="K127" s="183">
        <f>1653+676</f>
        <v>2329</v>
      </c>
      <c r="M127" s="364">
        <f t="shared" si="34"/>
        <v>2.1903148296469719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205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490">
        <f>'[82]Sch C'!D130</f>
        <v>0</v>
      </c>
      <c r="D129" s="490">
        <f>'[82]Sch C'!F130</f>
        <v>0</v>
      </c>
      <c r="E129" s="171">
        <f t="shared" ref="E129:E133" si="35">C129+D129</f>
        <v>0</v>
      </c>
      <c r="F129" s="171">
        <v>0</v>
      </c>
      <c r="G129" s="171">
        <f>E129+F129</f>
        <v>0</v>
      </c>
      <c r="H129" s="172">
        <f>IF($G$208=0,0,G129/$G$208)</f>
        <v>0</v>
      </c>
      <c r="I129" s="337"/>
      <c r="J129" s="204"/>
      <c r="K129" s="204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490">
        <f>'[82]Sch C'!D131</f>
        <v>0</v>
      </c>
      <c r="D130" s="490">
        <f>'[82]Sch C'!F131</f>
        <v>0</v>
      </c>
      <c r="E130" s="171">
        <f t="shared" si="35"/>
        <v>0</v>
      </c>
      <c r="F130" s="171">
        <v>1240</v>
      </c>
      <c r="G130" s="171">
        <f>E130+F130</f>
        <v>1240</v>
      </c>
      <c r="H130" s="172">
        <f>IF($G$208=0,0,G130/$G$208)</f>
        <v>2.9414479393113701E-4</v>
      </c>
      <c r="I130" s="337"/>
      <c r="J130" s="204"/>
      <c r="K130" s="204"/>
      <c r="M130" s="364">
        <f t="shared" si="34"/>
        <v>7.6397018051876042E-2</v>
      </c>
      <c r="N130" s="359">
        <f>SUMMARY!J133</f>
        <v>1.0792348507966931</v>
      </c>
    </row>
    <row r="131" spans="1:14" s="167" customFormat="1">
      <c r="B131" s="163" t="s">
        <v>195</v>
      </c>
      <c r="C131" s="490">
        <f>'[82]Sch C'!D132</f>
        <v>0</v>
      </c>
      <c r="D131" s="490">
        <f>'[82]Sch C'!F132</f>
        <v>0</v>
      </c>
      <c r="E131" s="171">
        <f t="shared" si="35"/>
        <v>0</v>
      </c>
      <c r="F131" s="171">
        <v>1895</v>
      </c>
      <c r="G131" s="171">
        <f>E131+F131</f>
        <v>1895</v>
      </c>
      <c r="H131" s="172">
        <f>IF($G$208=0,0,G131/$G$208)</f>
        <v>4.495196649189554E-4</v>
      </c>
      <c r="I131" s="337"/>
      <c r="J131" s="168"/>
      <c r="K131" s="168"/>
      <c r="M131" s="364">
        <f t="shared" si="34"/>
        <v>0.11675189452282669</v>
      </c>
      <c r="N131" s="359">
        <f>SUMMARY!J134</f>
        <v>8.2765628075518377E-2</v>
      </c>
    </row>
    <row r="132" spans="1:14" s="167" customFormat="1">
      <c r="B132" s="163" t="s">
        <v>196</v>
      </c>
      <c r="C132" s="490">
        <f>'[82]Sch C'!D133</f>
        <v>0</v>
      </c>
      <c r="D132" s="490">
        <f>'[82]Sch C'!F133</f>
        <v>0</v>
      </c>
      <c r="E132" s="171">
        <f t="shared" si="35"/>
        <v>0</v>
      </c>
      <c r="F132" s="171">
        <v>0</v>
      </c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490">
        <f>'[82]Sch C'!D134</f>
        <v>23726</v>
      </c>
      <c r="D133" s="490">
        <f>'[82]Sch C'!F134</f>
        <v>998</v>
      </c>
      <c r="E133" s="171">
        <f t="shared" si="35"/>
        <v>24724</v>
      </c>
      <c r="F133" s="171">
        <v>1758</v>
      </c>
      <c r="G133" s="171">
        <f>E133+F133</f>
        <v>26482</v>
      </c>
      <c r="H133" s="172">
        <f>IF($G$208=0,0,G133/$G$208)</f>
        <v>6.2818890587777185E-3</v>
      </c>
      <c r="I133" s="337"/>
      <c r="J133" s="168"/>
      <c r="K133" s="168"/>
      <c r="M133" s="364">
        <f t="shared" si="34"/>
        <v>1.6315692193949849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490">
        <f>'[82]Sch C'!D136</f>
        <v>218204</v>
      </c>
      <c r="D135" s="490">
        <f>'[82]Sch C'!F136</f>
        <v>0</v>
      </c>
      <c r="E135" s="171">
        <f t="shared" ref="E135:E138" si="36">C135+D135</f>
        <v>218204</v>
      </c>
      <c r="F135" s="171">
        <v>34356</v>
      </c>
      <c r="G135" s="171">
        <f>E135+F135</f>
        <v>252560</v>
      </c>
      <c r="H135" s="172">
        <f>IF($G$208=0,0,G135/$G$208)</f>
        <v>5.9910652544554813E-2</v>
      </c>
      <c r="I135" s="337"/>
      <c r="J135" s="183">
        <f>7494+1003</f>
        <v>8497</v>
      </c>
      <c r="K135" s="183">
        <f>7899+1052</f>
        <v>8951</v>
      </c>
      <c r="M135" s="364">
        <f t="shared" si="34"/>
        <v>15.560347483211139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490">
        <f>'[82]Sch C'!D137</f>
        <v>214930</v>
      </c>
      <c r="D136" s="490">
        <f>'[82]Sch C'!F137</f>
        <v>0</v>
      </c>
      <c r="E136" s="171">
        <f t="shared" si="36"/>
        <v>214930</v>
      </c>
      <c r="F136" s="171">
        <v>50892</v>
      </c>
      <c r="G136" s="171">
        <f>E136+F136</f>
        <v>265822</v>
      </c>
      <c r="H136" s="172">
        <f>IF($G$208=0,0,G136/$G$208)</f>
        <v>6.3056578558357015E-2</v>
      </c>
      <c r="I136" s="337"/>
      <c r="J136" s="183">
        <f>8957+1731</f>
        <v>10688</v>
      </c>
      <c r="K136" s="183">
        <f>9441+1815</f>
        <v>11256</v>
      </c>
      <c r="M136" s="364">
        <f t="shared" si="34"/>
        <v>16.377425913375639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490">
        <f>'[82]Sch C'!D138</f>
        <v>374665</v>
      </c>
      <c r="D137" s="490">
        <f>'[82]Sch C'!F138</f>
        <v>0</v>
      </c>
      <c r="E137" s="171">
        <f t="shared" si="36"/>
        <v>374665</v>
      </c>
      <c r="F137" s="171">
        <v>70574</v>
      </c>
      <c r="G137" s="171">
        <f>E137+F137</f>
        <v>445239</v>
      </c>
      <c r="H137" s="172">
        <f>IF($G$208=0,0,G137/$G$208)</f>
        <v>0.10561672089121413</v>
      </c>
      <c r="I137" s="337"/>
      <c r="J137" s="183">
        <f>29414+4826</f>
        <v>34240</v>
      </c>
      <c r="K137" s="183">
        <f>31004+5061</f>
        <v>36065</v>
      </c>
      <c r="M137" s="364">
        <f t="shared" si="34"/>
        <v>27.431396709999383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490">
        <f>'[82]Sch C'!D139</f>
        <v>2939</v>
      </c>
      <c r="D138" s="490">
        <f>'[82]Sch C'!F139</f>
        <v>0</v>
      </c>
      <c r="E138" s="171">
        <f t="shared" si="36"/>
        <v>2939</v>
      </c>
      <c r="F138" s="171">
        <v>0</v>
      </c>
      <c r="G138" s="171">
        <f>E138+F138</f>
        <v>2939</v>
      </c>
      <c r="H138" s="172">
        <f>IF($G$208=0,0,G138/$G$208)</f>
        <v>6.9717060432549329E-4</v>
      </c>
      <c r="I138" s="337"/>
      <c r="J138" s="183">
        <f>184+0</f>
        <v>184</v>
      </c>
      <c r="K138" s="183">
        <f>194+0</f>
        <v>194</v>
      </c>
      <c r="M138" s="364">
        <f t="shared" si="34"/>
        <v>0.18107325488263201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7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490">
        <f>'[82]Sch C'!D141</f>
        <v>30730</v>
      </c>
      <c r="D140" s="490">
        <f>'[82]Sch C'!F141</f>
        <v>0</v>
      </c>
      <c r="E140" s="171">
        <f t="shared" ref="E140:E143" si="37">C140+D140</f>
        <v>30730</v>
      </c>
      <c r="F140" s="171">
        <v>5734</v>
      </c>
      <c r="G140" s="171">
        <f>E140+F140</f>
        <v>36464</v>
      </c>
      <c r="H140" s="172">
        <f>IF($G$208=0,0,G140/$G$208)</f>
        <v>8.6497546499233711E-3</v>
      </c>
      <c r="I140" s="337"/>
      <c r="J140" s="168"/>
      <c r="K140" s="168"/>
      <c r="M140" s="364">
        <f t="shared" si="34"/>
        <v>2.2465652147125872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490">
        <f>'[82]Sch C'!D142</f>
        <v>30269</v>
      </c>
      <c r="D141" s="490">
        <f>'[82]Sch C'!F142</f>
        <v>0</v>
      </c>
      <c r="E141" s="171">
        <f t="shared" si="37"/>
        <v>30269</v>
      </c>
      <c r="F141" s="171">
        <v>8494</v>
      </c>
      <c r="G141" s="171">
        <f>E141+F141</f>
        <v>38763</v>
      </c>
      <c r="H141" s="172">
        <f>IF($G$208=0,0,G141/$G$208)</f>
        <v>9.1951085864134391E-3</v>
      </c>
      <c r="I141" s="337"/>
      <c r="J141" s="168"/>
      <c r="K141" s="168"/>
      <c r="M141" s="364">
        <f t="shared" si="34"/>
        <v>2.3882077506007025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490">
        <f>'[82]Sch C'!D143</f>
        <v>52764</v>
      </c>
      <c r="D142" s="490">
        <f>'[82]Sch C'!F143</f>
        <v>0</v>
      </c>
      <c r="E142" s="171">
        <f t="shared" si="37"/>
        <v>52764</v>
      </c>
      <c r="F142" s="171">
        <v>11779</v>
      </c>
      <c r="G142" s="171">
        <f>E142+F142</f>
        <v>64543</v>
      </c>
      <c r="H142" s="172">
        <f>IF($G$208=0,0,G142/$G$208)</f>
        <v>1.5310473737659175E-2</v>
      </c>
      <c r="I142" s="337"/>
      <c r="J142" s="168"/>
      <c r="K142" s="168"/>
      <c r="M142" s="364">
        <f t="shared" si="34"/>
        <v>3.9765264000985767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490">
        <f>'[82]Sch C'!D144</f>
        <v>414</v>
      </c>
      <c r="D143" s="490">
        <f>'[82]Sch C'!F144</f>
        <v>4757</v>
      </c>
      <c r="E143" s="171">
        <f t="shared" si="37"/>
        <v>5171</v>
      </c>
      <c r="F143" s="171">
        <v>0</v>
      </c>
      <c r="G143" s="171">
        <f>E143+F143</f>
        <v>5171</v>
      </c>
      <c r="H143" s="172">
        <f>IF($G$208=0,0,G143/$G$208)</f>
        <v>1.22663123340154E-3</v>
      </c>
      <c r="I143" s="337"/>
      <c r="J143" s="168"/>
      <c r="K143" s="168"/>
      <c r="M143" s="364">
        <f t="shared" si="34"/>
        <v>0.31858788737600885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7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490">
        <f>'[82]Sch C'!D146</f>
        <v>20533</v>
      </c>
      <c r="D145" s="490">
        <f>'[82]Sch C'!F146</f>
        <v>0</v>
      </c>
      <c r="E145" s="171">
        <f t="shared" ref="E145:E153" si="38">C145+D145</f>
        <v>20533</v>
      </c>
      <c r="F145" s="171">
        <v>5300</v>
      </c>
      <c r="G145" s="171">
        <f t="shared" ref="G145:G153" si="39">E145+F145</f>
        <v>25833</v>
      </c>
      <c r="H145" s="172">
        <f t="shared" ref="H145:H153" si="40">IF($G$208=0,0,G145/$G$208)</f>
        <v>6.1279374690508571E-3</v>
      </c>
      <c r="I145" s="337"/>
      <c r="J145" s="183">
        <f>156+0</f>
        <v>156</v>
      </c>
      <c r="K145" s="183">
        <f>156+0</f>
        <v>156</v>
      </c>
      <c r="M145" s="364">
        <f t="shared" si="34"/>
        <v>1.5915840059146078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490">
        <f>'[82]Sch C'!D147</f>
        <v>0</v>
      </c>
      <c r="D146" s="490">
        <f>'[82]Sch C'!F147</f>
        <v>0</v>
      </c>
      <c r="E146" s="171">
        <f t="shared" si="38"/>
        <v>0</v>
      </c>
      <c r="F146" s="171">
        <v>0</v>
      </c>
      <c r="G146" s="171">
        <f t="shared" si="39"/>
        <v>0</v>
      </c>
      <c r="H146" s="172">
        <f t="shared" si="40"/>
        <v>0</v>
      </c>
      <c r="I146" s="337"/>
      <c r="J146" s="183">
        <v>0</v>
      </c>
      <c r="K146" s="183">
        <v>0</v>
      </c>
      <c r="M146" s="364">
        <f t="shared" si="34"/>
        <v>0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490">
        <f>'[82]Sch C'!D148</f>
        <v>0</v>
      </c>
      <c r="D147" s="490">
        <f>'[82]Sch C'!F148</f>
        <v>0</v>
      </c>
      <c r="E147" s="171">
        <f t="shared" si="38"/>
        <v>0</v>
      </c>
      <c r="F147" s="171">
        <v>0</v>
      </c>
      <c r="G147" s="171">
        <f t="shared" si="39"/>
        <v>0</v>
      </c>
      <c r="H147" s="172">
        <f t="shared" si="40"/>
        <v>0</v>
      </c>
      <c r="I147" s="337"/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490">
        <f>'[82]Sch C'!D149</f>
        <v>0</v>
      </c>
      <c r="D148" s="490">
        <f>'[82]Sch C'!F149</f>
        <v>0</v>
      </c>
      <c r="E148" s="171">
        <f t="shared" si="38"/>
        <v>0</v>
      </c>
      <c r="F148" s="171">
        <v>0</v>
      </c>
      <c r="G148" s="171">
        <f t="shared" si="39"/>
        <v>0</v>
      </c>
      <c r="H148" s="172">
        <f t="shared" si="40"/>
        <v>0</v>
      </c>
      <c r="I148" s="337"/>
      <c r="J148" s="183">
        <v>0</v>
      </c>
      <c r="K148" s="183">
        <v>0</v>
      </c>
      <c r="M148" s="364">
        <f t="shared" si="34"/>
        <v>0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490">
        <f>'[82]Sch C'!D150</f>
        <v>0</v>
      </c>
      <c r="D149" s="490">
        <f>'[82]Sch C'!F150</f>
        <v>0</v>
      </c>
      <c r="E149" s="171">
        <f t="shared" si="38"/>
        <v>0</v>
      </c>
      <c r="F149" s="171">
        <v>0</v>
      </c>
      <c r="G149" s="171">
        <f t="shared" si="39"/>
        <v>0</v>
      </c>
      <c r="H149" s="172">
        <f t="shared" si="40"/>
        <v>0</v>
      </c>
      <c r="I149" s="337"/>
      <c r="J149" s="183">
        <v>0</v>
      </c>
      <c r="K149" s="183">
        <v>0</v>
      </c>
      <c r="M149" s="364">
        <f t="shared" si="34"/>
        <v>0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490">
        <f>'[82]Sch C'!D151</f>
        <v>53747</v>
      </c>
      <c r="D150" s="490">
        <f>'[82]Sch C'!F151</f>
        <v>0</v>
      </c>
      <c r="E150" s="171">
        <f t="shared" si="38"/>
        <v>53747</v>
      </c>
      <c r="F150" s="171">
        <v>7979</v>
      </c>
      <c r="G150" s="171">
        <f t="shared" si="39"/>
        <v>61726</v>
      </c>
      <c r="H150" s="172">
        <f t="shared" si="40"/>
        <v>1.464224318563981E-2</v>
      </c>
      <c r="I150" s="337"/>
      <c r="J150" s="168"/>
      <c r="K150" s="168"/>
      <c r="M150" s="364">
        <f t="shared" si="34"/>
        <v>3.8029696260242747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490">
        <f>'[82]Sch C'!D152</f>
        <v>869</v>
      </c>
      <c r="D151" s="490">
        <f>'[82]Sch C'!F152</f>
        <v>0</v>
      </c>
      <c r="E151" s="171">
        <f t="shared" si="38"/>
        <v>869</v>
      </c>
      <c r="F151" s="171">
        <v>415</v>
      </c>
      <c r="G151" s="171">
        <f t="shared" si="39"/>
        <v>1284</v>
      </c>
      <c r="H151" s="172">
        <f t="shared" si="40"/>
        <v>3.0458218984482255E-4</v>
      </c>
      <c r="I151" s="337"/>
      <c r="J151" s="168"/>
      <c r="K151" s="168"/>
      <c r="M151" s="364">
        <f t="shared" si="34"/>
        <v>7.9107879982749055E-2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490">
        <f>'[82]Sch C'!D153</f>
        <v>0</v>
      </c>
      <c r="D152" s="490">
        <f>'[82]Sch C'!F153</f>
        <v>5930</v>
      </c>
      <c r="E152" s="171">
        <f t="shared" si="38"/>
        <v>5930</v>
      </c>
      <c r="F152" s="171">
        <v>0</v>
      </c>
      <c r="G152" s="171">
        <f t="shared" si="39"/>
        <v>5930</v>
      </c>
      <c r="H152" s="172">
        <f t="shared" si="40"/>
        <v>1.406676312912615E-3</v>
      </c>
      <c r="I152" s="337"/>
      <c r="J152" s="168"/>
      <c r="K152" s="168"/>
      <c r="M152" s="364">
        <f t="shared" si="34"/>
        <v>0.36535025568356849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490">
        <f>'[82]Sch C'!D154</f>
        <v>0</v>
      </c>
      <c r="D153" s="490">
        <f>'[82]Sch C'!F154</f>
        <v>0</v>
      </c>
      <c r="E153" s="171">
        <f t="shared" si="38"/>
        <v>0</v>
      </c>
      <c r="F153" s="171">
        <v>0</v>
      </c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210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490">
        <f>'[82]Sch C'!D156</f>
        <v>0</v>
      </c>
      <c r="D155" s="490">
        <f>'[82]Sch C'!F156</f>
        <v>0</v>
      </c>
      <c r="E155" s="171">
        <f t="shared" ref="E155:E160" si="41">C155+D155</f>
        <v>0</v>
      </c>
      <c r="F155" s="171">
        <v>0</v>
      </c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490">
        <f>'[82]Sch C'!D157</f>
        <v>0</v>
      </c>
      <c r="D156" s="490">
        <f>'[82]Sch C'!F157</f>
        <v>0</v>
      </c>
      <c r="E156" s="171">
        <f t="shared" si="41"/>
        <v>0</v>
      </c>
      <c r="F156" s="171">
        <v>0</v>
      </c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490">
        <f>'[82]Sch C'!D158</f>
        <v>0</v>
      </c>
      <c r="D157" s="490">
        <f>'[82]Sch C'!F158</f>
        <v>0</v>
      </c>
      <c r="E157" s="171">
        <f t="shared" si="41"/>
        <v>0</v>
      </c>
      <c r="F157" s="171">
        <v>0</v>
      </c>
      <c r="G157" s="171">
        <f t="shared" si="42"/>
        <v>0</v>
      </c>
      <c r="H157" s="172">
        <f t="shared" si="43"/>
        <v>0</v>
      </c>
      <c r="I157" s="337"/>
      <c r="J157" s="168"/>
      <c r="K157" s="168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490">
        <f>'[82]Sch C'!D159</f>
        <v>0</v>
      </c>
      <c r="D158" s="490">
        <f>'[82]Sch C'!F159</f>
        <v>0</v>
      </c>
      <c r="E158" s="171">
        <f t="shared" si="41"/>
        <v>0</v>
      </c>
      <c r="F158" s="171">
        <v>0</v>
      </c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490">
        <f>'[82]Sch C'!D160</f>
        <v>0</v>
      </c>
      <c r="D159" s="490">
        <f>'[82]Sch C'!F160</f>
        <v>0</v>
      </c>
      <c r="E159" s="171">
        <f t="shared" si="41"/>
        <v>0</v>
      </c>
      <c r="F159" s="171">
        <v>0</v>
      </c>
      <c r="G159" s="171">
        <f t="shared" si="42"/>
        <v>0</v>
      </c>
      <c r="H159" s="172">
        <f>IF($G$208=0,0,G159/$G$208)</f>
        <v>0</v>
      </c>
      <c r="I159" s="337"/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490">
        <f>'[82]Sch C'!D161</f>
        <v>34741</v>
      </c>
      <c r="D160" s="490">
        <f>'[82]Sch C'!F161</f>
        <v>-11804</v>
      </c>
      <c r="E160" s="171">
        <f t="shared" si="41"/>
        <v>22937</v>
      </c>
      <c r="F160" s="171">
        <v>710</v>
      </c>
      <c r="G160" s="171">
        <f t="shared" si="42"/>
        <v>23647</v>
      </c>
      <c r="H160" s="172">
        <f t="shared" si="43"/>
        <v>5.6093886629754817E-3</v>
      </c>
      <c r="I160" s="337"/>
      <c r="J160" s="168"/>
      <c r="K160" s="168"/>
      <c r="M160" s="364">
        <f t="shared" si="34"/>
        <v>1.4569034563489618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490">
        <f>SUM(C123:C160)</f>
        <v>1231904</v>
      </c>
      <c r="D161" s="490">
        <f>SUM(D123:D160)</f>
        <v>-119</v>
      </c>
      <c r="E161" s="171">
        <f t="shared" ref="E161:F161" si="44">SUM(E123:E160)</f>
        <v>1231785</v>
      </c>
      <c r="F161" s="171">
        <f t="shared" si="44"/>
        <v>230443</v>
      </c>
      <c r="G161" s="171">
        <f>SUM(G123:G160)</f>
        <v>1462228</v>
      </c>
      <c r="H161" s="172">
        <f t="shared" si="43"/>
        <v>0.34686028527446666</v>
      </c>
      <c r="I161" s="337"/>
      <c r="J161" s="168"/>
      <c r="K161" s="168"/>
      <c r="M161" s="364">
        <f>G161/G$228</f>
        <v>90.088595896740799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337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7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490">
        <f>'[82]Sch C'!D175</f>
        <v>0</v>
      </c>
      <c r="D164" s="490">
        <f>'[82]Sch C'!F175</f>
        <v>0</v>
      </c>
      <c r="E164" s="171">
        <f t="shared" ref="E164:E196" si="45">C164+D164</f>
        <v>0</v>
      </c>
      <c r="F164" s="216">
        <v>0</v>
      </c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490">
        <f>'[82]Sch C'!D176</f>
        <v>0</v>
      </c>
      <c r="D165" s="490">
        <f>'[82]Sch C'!F176</f>
        <v>0</v>
      </c>
      <c r="E165" s="171">
        <f t="shared" si="45"/>
        <v>0</v>
      </c>
      <c r="F165" s="216">
        <v>0</v>
      </c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490">
        <f>'[82]Sch C'!D177</f>
        <v>0</v>
      </c>
      <c r="D166" s="490">
        <f>'[82]Sch C'!F177</f>
        <v>0</v>
      </c>
      <c r="E166" s="171">
        <f t="shared" si="45"/>
        <v>0</v>
      </c>
      <c r="F166" s="216">
        <v>30810</v>
      </c>
      <c r="G166" s="171">
        <f t="shared" si="46"/>
        <v>30810</v>
      </c>
      <c r="H166" s="172">
        <f t="shared" si="47"/>
        <v>7.3085492750147836E-3</v>
      </c>
      <c r="I166" s="343"/>
      <c r="J166" s="217">
        <f>0+1089</f>
        <v>1089</v>
      </c>
      <c r="K166" s="217">
        <f>0+1142</f>
        <v>1142</v>
      </c>
      <c r="L166" s="218"/>
      <c r="M166" s="364">
        <f t="shared" si="48"/>
        <v>1.8982194565954038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490">
        <f>'[82]Sch C'!D178</f>
        <v>0</v>
      </c>
      <c r="D167" s="490">
        <f>'[82]Sch C'!F178</f>
        <v>0</v>
      </c>
      <c r="E167" s="171">
        <f t="shared" si="45"/>
        <v>0</v>
      </c>
      <c r="F167" s="216">
        <v>5143</v>
      </c>
      <c r="G167" s="171">
        <f t="shared" si="46"/>
        <v>5143</v>
      </c>
      <c r="H167" s="172">
        <f t="shared" si="47"/>
        <v>1.2199892541837401E-3</v>
      </c>
      <c r="I167" s="344"/>
      <c r="J167" s="222"/>
      <c r="K167" s="222"/>
      <c r="L167" s="218"/>
      <c r="M167" s="364">
        <f t="shared" si="48"/>
        <v>0.31686279341999879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490">
        <f>'[82]Sch C'!D179</f>
        <v>0</v>
      </c>
      <c r="D168" s="490">
        <f>'[82]Sch C'!F179</f>
        <v>0</v>
      </c>
      <c r="E168" s="171">
        <f t="shared" si="45"/>
        <v>0</v>
      </c>
      <c r="F168" s="216">
        <v>43</v>
      </c>
      <c r="G168" s="171">
        <f t="shared" si="46"/>
        <v>43</v>
      </c>
      <c r="H168" s="172">
        <f t="shared" si="47"/>
        <v>1.0200182370192655E-5</v>
      </c>
      <c r="I168" s="343"/>
      <c r="J168" s="217">
        <v>0</v>
      </c>
      <c r="K168" s="217">
        <v>0</v>
      </c>
      <c r="L168" s="218"/>
      <c r="M168" s="364">
        <f t="shared" si="48"/>
        <v>2.6492514324440884E-3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490">
        <f>'[82]Sch C'!D180</f>
        <v>0</v>
      </c>
      <c r="D169" s="490">
        <f>'[82]Sch C'!F180</f>
        <v>0</v>
      </c>
      <c r="E169" s="171">
        <f t="shared" si="45"/>
        <v>0</v>
      </c>
      <c r="F169" s="216">
        <v>7</v>
      </c>
      <c r="G169" s="171">
        <f t="shared" si="46"/>
        <v>7</v>
      </c>
      <c r="H169" s="172">
        <f t="shared" si="47"/>
        <v>1.660494804449967E-6</v>
      </c>
      <c r="I169" s="344"/>
      <c r="J169" s="222"/>
      <c r="K169" s="222"/>
      <c r="L169" s="218"/>
      <c r="M169" s="364">
        <f t="shared" si="48"/>
        <v>4.3127348900252606E-4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490">
        <f>'[82]Sch C'!D181</f>
        <v>0</v>
      </c>
      <c r="D170" s="490">
        <f>'[82]Sch C'!F181</f>
        <v>0</v>
      </c>
      <c r="E170" s="171">
        <f t="shared" si="45"/>
        <v>0</v>
      </c>
      <c r="F170" s="216">
        <v>0</v>
      </c>
      <c r="G170" s="171">
        <f t="shared" si="46"/>
        <v>0</v>
      </c>
      <c r="H170" s="172">
        <f t="shared" si="47"/>
        <v>0</v>
      </c>
      <c r="I170" s="343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490">
        <f>'[82]Sch C'!D182</f>
        <v>0</v>
      </c>
      <c r="D171" s="490">
        <f>'[82]Sch C'!F182</f>
        <v>0</v>
      </c>
      <c r="E171" s="171">
        <f t="shared" si="45"/>
        <v>0</v>
      </c>
      <c r="F171" s="216">
        <v>0</v>
      </c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490">
        <f>'[82]Sch C'!D183</f>
        <v>0</v>
      </c>
      <c r="D172" s="490">
        <f>'[82]Sch C'!F183</f>
        <v>0</v>
      </c>
      <c r="E172" s="171">
        <f t="shared" si="45"/>
        <v>0</v>
      </c>
      <c r="F172" s="216">
        <v>17573</v>
      </c>
      <c r="G172" s="171">
        <f t="shared" si="46"/>
        <v>17573</v>
      </c>
      <c r="H172" s="172">
        <f t="shared" si="47"/>
        <v>4.1685535997998957E-3</v>
      </c>
      <c r="I172" s="343"/>
      <c r="J172" s="217">
        <f>0+484</f>
        <v>484</v>
      </c>
      <c r="K172" s="217">
        <f>0+508</f>
        <v>508</v>
      </c>
      <c r="L172" s="218"/>
      <c r="M172" s="364">
        <f t="shared" si="48"/>
        <v>1.0826812888916271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490">
        <f>'[82]Sch C'!D184</f>
        <v>0</v>
      </c>
      <c r="D173" s="490">
        <f>'[82]Sch C'!F184</f>
        <v>0</v>
      </c>
      <c r="E173" s="171">
        <f t="shared" si="45"/>
        <v>0</v>
      </c>
      <c r="F173" s="216">
        <v>2933</v>
      </c>
      <c r="G173" s="171">
        <f t="shared" si="46"/>
        <v>2933</v>
      </c>
      <c r="H173" s="172">
        <f t="shared" si="47"/>
        <v>6.957473230645362E-4</v>
      </c>
      <c r="I173" s="344"/>
      <c r="J173" s="222"/>
      <c r="K173" s="222"/>
      <c r="L173" s="218"/>
      <c r="M173" s="364">
        <f t="shared" si="48"/>
        <v>0.1807035918920584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490">
        <f>'[82]Sch C'!D185</f>
        <v>0</v>
      </c>
      <c r="D174" s="490">
        <f>'[82]Sch C'!F185</f>
        <v>0</v>
      </c>
      <c r="E174" s="171">
        <f t="shared" si="45"/>
        <v>0</v>
      </c>
      <c r="F174" s="216">
        <v>0</v>
      </c>
      <c r="G174" s="171">
        <f t="shared" si="46"/>
        <v>0</v>
      </c>
      <c r="H174" s="172">
        <f t="shared" si="47"/>
        <v>0</v>
      </c>
      <c r="I174" s="343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490">
        <f>'[82]Sch C'!D186</f>
        <v>0</v>
      </c>
      <c r="D175" s="490">
        <f>'[82]Sch C'!F186</f>
        <v>0</v>
      </c>
      <c r="E175" s="171">
        <f t="shared" si="45"/>
        <v>0</v>
      </c>
      <c r="F175" s="216">
        <v>0</v>
      </c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490">
        <f>'[82]Sch C'!D187</f>
        <v>0</v>
      </c>
      <c r="D176" s="490">
        <f>'[82]Sch C'!F187</f>
        <v>0</v>
      </c>
      <c r="E176" s="171">
        <f t="shared" si="45"/>
        <v>0</v>
      </c>
      <c r="F176" s="216">
        <v>0</v>
      </c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490">
        <f>'[82]Sch C'!D188</f>
        <v>1190</v>
      </c>
      <c r="D177" s="490">
        <f>'[82]Sch C'!F188</f>
        <v>-263</v>
      </c>
      <c r="E177" s="171">
        <f t="shared" si="45"/>
        <v>927</v>
      </c>
      <c r="F177" s="216">
        <v>0</v>
      </c>
      <c r="G177" s="171">
        <f t="shared" si="46"/>
        <v>927</v>
      </c>
      <c r="H177" s="172">
        <f t="shared" si="47"/>
        <v>2.198969548178742E-4</v>
      </c>
      <c r="I177" s="337"/>
      <c r="J177" s="223"/>
      <c r="K177" s="218"/>
      <c r="L177" s="220"/>
      <c r="M177" s="364">
        <f t="shared" si="48"/>
        <v>5.7112932043620231E-2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490">
        <f>'[82]Sch C'!D189</f>
        <v>0</v>
      </c>
      <c r="D178" s="490">
        <f>'[82]Sch C'!F189</f>
        <v>3</v>
      </c>
      <c r="E178" s="171">
        <f t="shared" si="45"/>
        <v>3</v>
      </c>
      <c r="F178" s="216">
        <v>0</v>
      </c>
      <c r="G178" s="171">
        <f t="shared" si="46"/>
        <v>3</v>
      </c>
      <c r="H178" s="172">
        <f t="shared" si="47"/>
        <v>7.116406304785573E-7</v>
      </c>
      <c r="I178" s="337"/>
      <c r="J178" s="223"/>
      <c r="K178" s="218"/>
      <c r="L178" s="220"/>
      <c r="M178" s="364">
        <f t="shared" si="48"/>
        <v>1.8483149528679687E-4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490">
        <f>'[82]Sch C'!D190</f>
        <v>0</v>
      </c>
      <c r="D179" s="490">
        <f>'[82]Sch C'!F190</f>
        <v>0</v>
      </c>
      <c r="E179" s="171">
        <f t="shared" si="45"/>
        <v>0</v>
      </c>
      <c r="F179" s="216">
        <v>0</v>
      </c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490">
        <f>'[82]Sch C'!D191</f>
        <v>6</v>
      </c>
      <c r="D180" s="490">
        <f>'[82]Sch C'!F191</f>
        <v>260</v>
      </c>
      <c r="E180" s="171">
        <f t="shared" si="45"/>
        <v>266</v>
      </c>
      <c r="F180" s="216">
        <v>0</v>
      </c>
      <c r="G180" s="171">
        <f t="shared" si="46"/>
        <v>266</v>
      </c>
      <c r="H180" s="172">
        <f t="shared" si="47"/>
        <v>6.3098802569098756E-5</v>
      </c>
      <c r="I180" s="337"/>
      <c r="J180" s="223"/>
      <c r="K180" s="218"/>
      <c r="L180" s="220"/>
      <c r="M180" s="364">
        <f t="shared" si="48"/>
        <v>1.6388392582095988E-2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490">
        <f>'[82]Sch C'!D192</f>
        <v>0</v>
      </c>
      <c r="D181" s="490">
        <f>'[82]Sch C'!F192</f>
        <v>0</v>
      </c>
      <c r="E181" s="171">
        <f t="shared" si="45"/>
        <v>0</v>
      </c>
      <c r="F181" s="216">
        <v>0</v>
      </c>
      <c r="G181" s="171">
        <f t="shared" si="46"/>
        <v>0</v>
      </c>
      <c r="H181" s="172">
        <f t="shared" si="47"/>
        <v>0</v>
      </c>
      <c r="I181" s="337"/>
      <c r="J181" s="223"/>
      <c r="K181" s="218"/>
      <c r="L181" s="220"/>
      <c r="M181" s="364">
        <f t="shared" si="48"/>
        <v>0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490">
        <f>'[82]Sch C'!D193</f>
        <v>0</v>
      </c>
      <c r="D182" s="490">
        <f>'[82]Sch C'!F193</f>
        <v>0</v>
      </c>
      <c r="E182" s="171">
        <f t="shared" si="45"/>
        <v>0</v>
      </c>
      <c r="F182" s="216">
        <v>0</v>
      </c>
      <c r="G182" s="171">
        <f t="shared" si="46"/>
        <v>0</v>
      </c>
      <c r="H182" s="172">
        <f t="shared" si="47"/>
        <v>0</v>
      </c>
      <c r="I182" s="337"/>
      <c r="J182" s="223"/>
      <c r="K182" s="218"/>
      <c r="L182" s="220"/>
      <c r="M182" s="364">
        <f t="shared" si="48"/>
        <v>0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490">
        <f>'[82]Sch C'!D194</f>
        <v>131945</v>
      </c>
      <c r="D183" s="490">
        <f>'[82]Sch C'!F194</f>
        <v>28495</v>
      </c>
      <c r="E183" s="171">
        <f t="shared" si="45"/>
        <v>160440</v>
      </c>
      <c r="F183" s="216">
        <v>0</v>
      </c>
      <c r="G183" s="171">
        <f t="shared" si="46"/>
        <v>160440</v>
      </c>
      <c r="H183" s="172">
        <f t="shared" si="47"/>
        <v>3.8058540917993246E-2</v>
      </c>
      <c r="I183" s="337"/>
      <c r="J183" s="223"/>
      <c r="K183" s="218"/>
      <c r="M183" s="364">
        <f t="shared" si="48"/>
        <v>9.8847883679378974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490">
        <f>'[82]Sch C'!D195</f>
        <v>5057</v>
      </c>
      <c r="D184" s="490">
        <f>'[82]Sch C'!F195</f>
        <v>-954</v>
      </c>
      <c r="E184" s="171">
        <f t="shared" si="45"/>
        <v>4103</v>
      </c>
      <c r="F184" s="216">
        <v>0</v>
      </c>
      <c r="G184" s="171">
        <f t="shared" si="46"/>
        <v>4103</v>
      </c>
      <c r="H184" s="172">
        <f t="shared" si="47"/>
        <v>9.7328716895117356E-4</v>
      </c>
      <c r="I184" s="337"/>
      <c r="J184" s="223"/>
      <c r="K184" s="218"/>
      <c r="M184" s="364">
        <f t="shared" si="48"/>
        <v>0.25278787505390921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490">
        <f>'[82]Sch C'!D196</f>
        <v>0</v>
      </c>
      <c r="D185" s="490">
        <f>'[82]Sch C'!F196</f>
        <v>0</v>
      </c>
      <c r="E185" s="171">
        <f t="shared" si="45"/>
        <v>0</v>
      </c>
      <c r="F185" s="216">
        <v>0</v>
      </c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490">
        <f>'[82]Sch C'!D197</f>
        <v>186269</v>
      </c>
      <c r="D186" s="490">
        <f>'[82]Sch C'!F197</f>
        <v>-59919</v>
      </c>
      <c r="E186" s="171">
        <f t="shared" si="45"/>
        <v>126350</v>
      </c>
      <c r="F186" s="216">
        <v>0</v>
      </c>
      <c r="G186" s="171">
        <f t="shared" si="46"/>
        <v>126350</v>
      </c>
      <c r="H186" s="172">
        <f t="shared" si="47"/>
        <v>2.9971931220321907E-2</v>
      </c>
      <c r="I186" s="337"/>
      <c r="J186" s="223"/>
      <c r="K186" s="218"/>
      <c r="M186" s="364">
        <f t="shared" si="48"/>
        <v>7.7844864764955952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490">
        <f>'[82]Sch C'!D198</f>
        <v>14095</v>
      </c>
      <c r="D187" s="490">
        <f>'[82]Sch C'!F198</f>
        <v>0</v>
      </c>
      <c r="E187" s="171">
        <f t="shared" si="45"/>
        <v>14095</v>
      </c>
      <c r="F187" s="216">
        <v>3401</v>
      </c>
      <c r="G187" s="171">
        <f t="shared" si="46"/>
        <v>17496</v>
      </c>
      <c r="H187" s="172">
        <f t="shared" si="47"/>
        <v>4.1502881569509464E-3</v>
      </c>
      <c r="I187" s="337"/>
      <c r="J187" s="223"/>
      <c r="K187" s="218"/>
      <c r="M187" s="364">
        <f t="shared" si="48"/>
        <v>1.0779372805125993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490">
        <f>'[82]Sch C'!D199</f>
        <v>0</v>
      </c>
      <c r="D188" s="490">
        <f>'[82]Sch C'!F199</f>
        <v>137</v>
      </c>
      <c r="E188" s="171">
        <f t="shared" si="45"/>
        <v>137</v>
      </c>
      <c r="F188" s="216">
        <v>0</v>
      </c>
      <c r="G188" s="171">
        <f t="shared" si="46"/>
        <v>137</v>
      </c>
      <c r="H188" s="172">
        <f t="shared" si="47"/>
        <v>3.2498255458520785E-5</v>
      </c>
      <c r="I188" s="337"/>
      <c r="J188" s="223"/>
      <c r="K188" s="218"/>
      <c r="M188" s="364">
        <f t="shared" si="48"/>
        <v>8.4406382847637233E-3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490">
        <f>'[82]Sch C'!D200</f>
        <v>0</v>
      </c>
      <c r="D189" s="490">
        <f>'[82]Sch C'!F200</f>
        <v>0</v>
      </c>
      <c r="E189" s="171">
        <f t="shared" si="45"/>
        <v>0</v>
      </c>
      <c r="F189" s="216">
        <v>0</v>
      </c>
      <c r="G189" s="171">
        <f t="shared" si="46"/>
        <v>0</v>
      </c>
      <c r="H189" s="172">
        <f t="shared" si="47"/>
        <v>0</v>
      </c>
      <c r="I189" s="337"/>
      <c r="J189" s="223"/>
      <c r="K189" s="218"/>
      <c r="M189" s="364">
        <f t="shared" si="48"/>
        <v>0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490">
        <f>'[82]Sch C'!D201</f>
        <v>0</v>
      </c>
      <c r="D190" s="490">
        <f>'[82]Sch C'!F201</f>
        <v>0</v>
      </c>
      <c r="E190" s="171">
        <f t="shared" si="45"/>
        <v>0</v>
      </c>
      <c r="F190" s="216">
        <v>0</v>
      </c>
      <c r="G190" s="171">
        <f t="shared" si="46"/>
        <v>0</v>
      </c>
      <c r="H190" s="172">
        <f t="shared" si="47"/>
        <v>0</v>
      </c>
      <c r="I190" s="337"/>
      <c r="J190" s="223"/>
      <c r="K190" s="218"/>
      <c r="M190" s="364">
        <f t="shared" si="48"/>
        <v>0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490">
        <f>'[82]Sch C'!D202</f>
        <v>0</v>
      </c>
      <c r="D191" s="490">
        <f>'[82]Sch C'!F202</f>
        <v>0</v>
      </c>
      <c r="E191" s="171">
        <f t="shared" si="45"/>
        <v>0</v>
      </c>
      <c r="F191" s="216">
        <v>0</v>
      </c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490">
        <f>'[82]Sch C'!D203</f>
        <v>0</v>
      </c>
      <c r="D192" s="490">
        <f>'[82]Sch C'!F203</f>
        <v>0</v>
      </c>
      <c r="E192" s="171">
        <f t="shared" si="45"/>
        <v>0</v>
      </c>
      <c r="F192" s="216">
        <v>0</v>
      </c>
      <c r="G192" s="171">
        <f t="shared" si="46"/>
        <v>0</v>
      </c>
      <c r="H192" s="172">
        <f t="shared" si="47"/>
        <v>0</v>
      </c>
      <c r="I192" s="337"/>
      <c r="J192" s="223"/>
      <c r="K192" s="218"/>
      <c r="M192" s="364">
        <f t="shared" si="48"/>
        <v>0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490">
        <f>'[82]Sch C'!D204</f>
        <v>0</v>
      </c>
      <c r="D193" s="490">
        <f>'[82]Sch C'!F204</f>
        <v>0</v>
      </c>
      <c r="E193" s="171">
        <f t="shared" si="45"/>
        <v>0</v>
      </c>
      <c r="F193" s="216">
        <v>0</v>
      </c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490">
        <f>'[82]Sch C'!D205</f>
        <v>122320</v>
      </c>
      <c r="D194" s="490">
        <f>'[82]Sch C'!F205</f>
        <v>0</v>
      </c>
      <c r="E194" s="171">
        <f t="shared" si="45"/>
        <v>122320</v>
      </c>
      <c r="F194" s="216">
        <v>20185</v>
      </c>
      <c r="G194" s="171">
        <f t="shared" si="46"/>
        <v>142505</v>
      </c>
      <c r="H194" s="172">
        <f t="shared" si="47"/>
        <v>3.3804116015448936E-2</v>
      </c>
      <c r="I194" s="337"/>
      <c r="J194" s="223"/>
      <c r="K194" s="218"/>
      <c r="M194" s="364">
        <f t="shared" si="48"/>
        <v>8.7798040786149958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490">
        <f>'[82]Sch C'!D206</f>
        <v>2935</v>
      </c>
      <c r="D195" s="490">
        <f>'[82]Sch C'!F206</f>
        <v>0</v>
      </c>
      <c r="E195" s="171">
        <f t="shared" si="45"/>
        <v>2935</v>
      </c>
      <c r="F195" s="216">
        <v>1885</v>
      </c>
      <c r="G195" s="171">
        <f t="shared" si="46"/>
        <v>4820</v>
      </c>
      <c r="H195" s="172">
        <f t="shared" si="47"/>
        <v>1.1433692796355489E-3</v>
      </c>
      <c r="I195" s="337"/>
      <c r="J195" s="223"/>
      <c r="K195" s="218"/>
      <c r="M195" s="364">
        <f t="shared" si="48"/>
        <v>0.29696260242745365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490">
        <f>'[82]Sch C'!D207</f>
        <v>1344</v>
      </c>
      <c r="D196" s="490">
        <f>'[82]Sch C'!F207</f>
        <v>-38186</v>
      </c>
      <c r="E196" s="171">
        <f t="shared" si="45"/>
        <v>-36842</v>
      </c>
      <c r="F196" s="216">
        <v>3847.4018181818183</v>
      </c>
      <c r="G196" s="171">
        <f t="shared" si="46"/>
        <v>-32994.598181818183</v>
      </c>
      <c r="H196" s="172">
        <f t="shared" si="47"/>
        <v>-7.8267655508319177E-3</v>
      </c>
      <c r="I196" s="337"/>
      <c r="J196" s="223"/>
      <c r="K196" s="218"/>
      <c r="M196" s="364">
        <f t="shared" si="48"/>
        <v>-2.0328136394441612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490">
        <f>SUM(C164:C196)</f>
        <v>465161</v>
      </c>
      <c r="D197" s="490">
        <f>SUM(D164:D196)</f>
        <v>-70427</v>
      </c>
      <c r="E197" s="171">
        <f t="shared" ref="E197:F197" si="49">SUM(E164:E196)</f>
        <v>394734</v>
      </c>
      <c r="F197" s="171">
        <f t="shared" si="49"/>
        <v>85827.401818181825</v>
      </c>
      <c r="G197" s="171">
        <f>SUM(G164:G196)</f>
        <v>480561.4018181818</v>
      </c>
      <c r="H197" s="172">
        <f>IF($G$208=0,0,G197/$G$208)</f>
        <v>0.11399567299118341</v>
      </c>
      <c r="I197" s="337"/>
      <c r="J197" s="168"/>
      <c r="K197" s="168"/>
      <c r="M197" s="364">
        <f>G197/G$228</f>
        <v>29.607627491724589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165"/>
      <c r="G198" s="165"/>
      <c r="H198" s="198"/>
      <c r="I198" s="341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1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490">
        <f>'[82]Sch C'!D211</f>
        <v>64279</v>
      </c>
      <c r="D200" s="490">
        <f>'[82]Sch C'!F211</f>
        <v>0</v>
      </c>
      <c r="E200" s="171">
        <f t="shared" ref="E200:E205" si="50">C200+D200</f>
        <v>64279</v>
      </c>
      <c r="F200" s="171">
        <v>9638</v>
      </c>
      <c r="G200" s="171">
        <f t="shared" ref="G200:G205" si="51">E200+F200</f>
        <v>73917</v>
      </c>
      <c r="H200" s="172">
        <f t="shared" ref="H200:H206" si="52">IF($G$208=0,0,G200/$G$208)</f>
        <v>1.7534113494361174E-2</v>
      </c>
      <c r="I200" s="337"/>
      <c r="J200" s="183">
        <f>3886+508</f>
        <v>4394</v>
      </c>
      <c r="K200" s="183">
        <f>4101+533</f>
        <v>4634</v>
      </c>
      <c r="M200" s="364">
        <f t="shared" ref="M200:M205" si="53">G200/G$228</f>
        <v>4.5540632123713882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490">
        <f>'[82]Sch C'!D212</f>
        <v>11455</v>
      </c>
      <c r="D201" s="490">
        <f>'[82]Sch C'!F212</f>
        <v>376</v>
      </c>
      <c r="E201" s="171">
        <f t="shared" si="50"/>
        <v>11831</v>
      </c>
      <c r="F201" s="171">
        <v>1609</v>
      </c>
      <c r="G201" s="171">
        <f t="shared" si="51"/>
        <v>13440</v>
      </c>
      <c r="H201" s="172">
        <f t="shared" si="52"/>
        <v>3.1881500245439366E-3</v>
      </c>
      <c r="I201" s="337"/>
      <c r="J201" s="168"/>
      <c r="K201" s="168"/>
      <c r="M201" s="364">
        <f t="shared" si="53"/>
        <v>0.82804509888485001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490">
        <f>'[82]Sch C'!D213</f>
        <v>8785</v>
      </c>
      <c r="D202" s="490">
        <f>'[82]Sch C'!F213</f>
        <v>0</v>
      </c>
      <c r="E202" s="171">
        <f t="shared" si="50"/>
        <v>8785</v>
      </c>
      <c r="F202" s="171">
        <v>367</v>
      </c>
      <c r="G202" s="171">
        <f t="shared" si="51"/>
        <v>9152</v>
      </c>
      <c r="H202" s="172">
        <f t="shared" si="52"/>
        <v>2.1709783500465855E-3</v>
      </c>
      <c r="I202" s="337"/>
      <c r="J202" s="168"/>
      <c r="K202" s="168"/>
      <c r="M202" s="364">
        <f t="shared" si="53"/>
        <v>0.56385928162158827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490">
        <f>'[82]Sch C'!D214</f>
        <v>0</v>
      </c>
      <c r="D203" s="490">
        <f>'[82]Sch C'!F214</f>
        <v>0</v>
      </c>
      <c r="E203" s="171">
        <f t="shared" si="50"/>
        <v>0</v>
      </c>
      <c r="F203" s="171">
        <v>0</v>
      </c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>
        <f t="shared" si="53"/>
        <v>0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490">
        <f>'[82]Sch C'!D215</f>
        <v>0</v>
      </c>
      <c r="D204" s="490">
        <f>'[82]Sch C'!F215</f>
        <v>0</v>
      </c>
      <c r="E204" s="171">
        <f t="shared" si="50"/>
        <v>0</v>
      </c>
      <c r="F204" s="171">
        <v>0</v>
      </c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490">
        <f>'[82]Sch C'!D216</f>
        <v>2515</v>
      </c>
      <c r="D205" s="490">
        <f>'[82]Sch C'!F216</f>
        <v>281</v>
      </c>
      <c r="E205" s="171">
        <f t="shared" si="50"/>
        <v>2796</v>
      </c>
      <c r="F205" s="171">
        <v>314</v>
      </c>
      <c r="G205" s="171">
        <f t="shared" si="51"/>
        <v>3110</v>
      </c>
      <c r="H205" s="172">
        <f t="shared" si="52"/>
        <v>7.3773412026277108E-4</v>
      </c>
      <c r="I205" s="337"/>
      <c r="J205" s="168"/>
      <c r="K205" s="168"/>
      <c r="M205" s="364">
        <f t="shared" si="53"/>
        <v>0.19160865011397943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490">
        <f>SUM(C200:C205)</f>
        <v>87034</v>
      </c>
      <c r="D206" s="490">
        <f>SUM(D200:D205)</f>
        <v>657</v>
      </c>
      <c r="E206" s="171">
        <f t="shared" ref="E206:F206" si="54">SUM(E200:E205)</f>
        <v>87691</v>
      </c>
      <c r="F206" s="171">
        <f t="shared" si="54"/>
        <v>11928</v>
      </c>
      <c r="G206" s="171">
        <f>SUM(G200:G205)</f>
        <v>99619</v>
      </c>
      <c r="H206" s="172">
        <f t="shared" si="52"/>
        <v>2.3630975989214466E-2</v>
      </c>
      <c r="I206" s="337"/>
      <c r="J206" s="168"/>
      <c r="K206" s="168"/>
      <c r="M206" s="364">
        <f>G206/G$228</f>
        <v>6.1375762429918055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490">
        <f>SUM(C25:C206)/2</f>
        <v>3951550</v>
      </c>
      <c r="D208" s="490">
        <f>SUM(D25:D206)/2</f>
        <v>-311861</v>
      </c>
      <c r="E208" s="171">
        <f t="shared" ref="E208:F208" si="55">SUM(E25:E206)/2</f>
        <v>3639689</v>
      </c>
      <c r="F208" s="171">
        <f t="shared" si="55"/>
        <v>575921.90178702783</v>
      </c>
      <c r="G208" s="171">
        <f>SUM(G25:G206)/2</f>
        <v>4215610.9017870277</v>
      </c>
      <c r="H208" s="172">
        <f>IF($G$208=0,0,G208/$G$208)</f>
        <v>1</v>
      </c>
      <c r="I208" s="337"/>
      <c r="J208" s="183">
        <f>SUM(J25:J200)</f>
        <v>91533</v>
      </c>
      <c r="K208" s="183">
        <f>SUM(K25:K200)</f>
        <v>96631</v>
      </c>
      <c r="M208" s="364">
        <f>G208/G$228</f>
        <v>259.72588884153953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 s="514" t="s">
        <v>581</v>
      </c>
      <c r="H210" s="167" t="s">
        <v>582</v>
      </c>
      <c r="J210" s="168">
        <v>76186</v>
      </c>
      <c r="K210" s="168">
        <v>80536</v>
      </c>
    </row>
    <row r="211" spans="1:14" s="167" customFormat="1" ht="15.5">
      <c r="A211" s="163"/>
      <c r="B211" s="228" t="s">
        <v>181</v>
      </c>
      <c r="C211" s="490">
        <f>'[82]Sch C'!D221</f>
        <v>3951550</v>
      </c>
      <c r="D211" s="196"/>
      <c r="E211" s="165"/>
      <c r="F211"/>
      <c r="G211"/>
      <c r="H211" s="167" t="s">
        <v>583</v>
      </c>
      <c r="I211" s="333"/>
      <c r="J211" s="168">
        <v>15347</v>
      </c>
      <c r="K211" s="168">
        <v>16095</v>
      </c>
    </row>
    <row r="212" spans="1:14" s="167" customFormat="1" ht="15.5">
      <c r="A212" s="163"/>
      <c r="B212" s="170" t="s">
        <v>147</v>
      </c>
      <c r="C212" s="490">
        <f>C208-C211</f>
        <v>0</v>
      </c>
      <c r="D212" s="229"/>
      <c r="E212" s="165"/>
      <c r="F212"/>
      <c r="G212"/>
      <c r="I212" s="333"/>
      <c r="J212" s="406">
        <f>SUM(J210:J211)</f>
        <v>91533</v>
      </c>
      <c r="K212" s="406">
        <f>SUM(K210:K211)</f>
        <v>96631</v>
      </c>
    </row>
    <row r="213" spans="1:14" s="167" customFormat="1">
      <c r="A213" s="163"/>
      <c r="B213" s="230"/>
      <c r="C213" s="619"/>
      <c r="D213" s="232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490">
        <f>C21-C208</f>
        <v>-445782</v>
      </c>
      <c r="D215" s="490">
        <f>D21-D208</f>
        <v>309569</v>
      </c>
      <c r="E215" s="171">
        <f t="shared" ref="E215:F215" si="56">E21-E208</f>
        <v>-136213</v>
      </c>
      <c r="F215" s="171">
        <f t="shared" si="56"/>
        <v>87818.098212972167</v>
      </c>
      <c r="G215" s="171">
        <f>G21-G208</f>
        <v>-48394.901787027717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491">
        <f>'[82]Sch D'!C9</f>
        <v>5847</v>
      </c>
      <c r="D219" s="491"/>
      <c r="E219" s="235">
        <f t="shared" ref="E219:G227" si="57">C219+D219</f>
        <v>5847</v>
      </c>
      <c r="F219" s="234">
        <v>1310</v>
      </c>
      <c r="G219" s="235">
        <f t="shared" si="57"/>
        <v>7157</v>
      </c>
      <c r="H219" s="172">
        <f t="shared" ref="H219:H228" si="58">IF($G$228=0,0,G219/$G$228)</f>
        <v>0.4409463372558684</v>
      </c>
      <c r="I219" s="337"/>
      <c r="J219" s="168"/>
      <c r="K219" s="168"/>
    </row>
    <row r="220" spans="1:14">
      <c r="A220" s="163"/>
      <c r="B220" s="170" t="s">
        <v>217</v>
      </c>
      <c r="C220" s="491">
        <f>'[82]Sch D'!D9</f>
        <v>0</v>
      </c>
      <c r="D220" s="491"/>
      <c r="E220" s="235">
        <f t="shared" ref="E220:E227" si="59">C220+D220</f>
        <v>0</v>
      </c>
      <c r="F220" s="234">
        <v>0</v>
      </c>
      <c r="G220" s="235">
        <f t="shared" si="57"/>
        <v>0</v>
      </c>
      <c r="H220" s="172">
        <f t="shared" si="58"/>
        <v>0</v>
      </c>
      <c r="I220" s="337"/>
      <c r="J220" s="168"/>
      <c r="K220" s="168"/>
    </row>
    <row r="221" spans="1:14">
      <c r="A221" s="163"/>
      <c r="B221" s="170" t="s">
        <v>72</v>
      </c>
      <c r="C221" s="491">
        <f>'[82]Sch D'!E9</f>
        <v>1755</v>
      </c>
      <c r="D221" s="491"/>
      <c r="E221" s="235">
        <f t="shared" si="59"/>
        <v>1755</v>
      </c>
      <c r="F221" s="234">
        <v>264</v>
      </c>
      <c r="G221" s="235">
        <f t="shared" si="57"/>
        <v>2019</v>
      </c>
      <c r="H221" s="172">
        <f t="shared" si="58"/>
        <v>0.12439159632801429</v>
      </c>
      <c r="I221" s="337"/>
      <c r="J221" s="168"/>
      <c r="K221" s="168"/>
    </row>
    <row r="222" spans="1:14">
      <c r="A222" s="163"/>
      <c r="B222" s="202" t="s">
        <v>334</v>
      </c>
      <c r="C222" s="491">
        <f>'[82]Sch D'!F9</f>
        <v>727</v>
      </c>
      <c r="D222" s="491"/>
      <c r="E222" s="235">
        <f>C222+D222</f>
        <v>727</v>
      </c>
      <c r="F222" s="234">
        <v>236</v>
      </c>
      <c r="G222" s="235">
        <f>E222+F222</f>
        <v>963</v>
      </c>
      <c r="H222" s="172">
        <f t="shared" si="58"/>
        <v>5.9330909987061795E-2</v>
      </c>
      <c r="I222" s="337"/>
      <c r="J222" s="168"/>
      <c r="K222" s="168"/>
    </row>
    <row r="223" spans="1:14">
      <c r="A223" s="163"/>
      <c r="B223" s="170" t="s">
        <v>73</v>
      </c>
      <c r="C223" s="491">
        <f>'[82]Sch D'!G9</f>
        <v>1877</v>
      </c>
      <c r="D223" s="491"/>
      <c r="E223" s="235">
        <f t="shared" si="59"/>
        <v>1877</v>
      </c>
      <c r="F223" s="234">
        <v>299</v>
      </c>
      <c r="G223" s="235">
        <f t="shared" si="57"/>
        <v>2176</v>
      </c>
      <c r="H223" s="172">
        <f t="shared" si="58"/>
        <v>0.13406444458135666</v>
      </c>
      <c r="I223" s="337"/>
      <c r="J223" s="168"/>
      <c r="K223" s="168"/>
    </row>
    <row r="224" spans="1:14">
      <c r="A224" s="163"/>
      <c r="B224" s="170" t="s">
        <v>74</v>
      </c>
      <c r="C224" s="491">
        <f>'[82]Sch D'!H9</f>
        <v>2426</v>
      </c>
      <c r="D224" s="491"/>
      <c r="E224" s="235">
        <f t="shared" si="59"/>
        <v>2426</v>
      </c>
      <c r="F224" s="234">
        <v>143</v>
      </c>
      <c r="G224" s="235">
        <f t="shared" si="57"/>
        <v>2569</v>
      </c>
      <c r="H224" s="172">
        <f t="shared" si="58"/>
        <v>0.15827737046392706</v>
      </c>
      <c r="I224" s="337"/>
      <c r="J224" s="168"/>
      <c r="K224" s="168"/>
    </row>
    <row r="225" spans="1:11">
      <c r="A225" s="163"/>
      <c r="B225" s="170" t="s">
        <v>236</v>
      </c>
      <c r="C225" s="491">
        <f>'[82]Sch D'!I9</f>
        <v>994</v>
      </c>
      <c r="D225" s="491"/>
      <c r="E225" s="235">
        <f t="shared" si="59"/>
        <v>994</v>
      </c>
      <c r="F225" s="234">
        <v>0</v>
      </c>
      <c r="G225" s="235">
        <f t="shared" si="57"/>
        <v>994</v>
      </c>
      <c r="H225" s="172">
        <f t="shared" si="58"/>
        <v>6.1240835438358697E-2</v>
      </c>
      <c r="I225" s="337"/>
      <c r="J225" s="168"/>
      <c r="K225" s="168"/>
    </row>
    <row r="226" spans="1:11">
      <c r="A226" s="163"/>
      <c r="B226" s="170" t="s">
        <v>235</v>
      </c>
      <c r="C226" s="491">
        <f>'[82]Sch D'!J9</f>
        <v>36</v>
      </c>
      <c r="D226" s="491"/>
      <c r="E226" s="235">
        <f>C226+D226</f>
        <v>36</v>
      </c>
      <c r="F226" s="234">
        <v>316</v>
      </c>
      <c r="G226" s="235">
        <f>E226+F226</f>
        <v>352</v>
      </c>
      <c r="H226" s="172">
        <f t="shared" si="58"/>
        <v>2.1686895446984166E-2</v>
      </c>
      <c r="I226" s="337"/>
      <c r="J226" s="168"/>
      <c r="K226" s="168"/>
    </row>
    <row r="227" spans="1:11">
      <c r="A227" s="163"/>
      <c r="B227" s="170" t="s">
        <v>179</v>
      </c>
      <c r="C227" s="491">
        <f>'[82]Sch D'!K9</f>
        <v>0</v>
      </c>
      <c r="D227" s="491"/>
      <c r="E227" s="235">
        <f t="shared" si="59"/>
        <v>0</v>
      </c>
      <c r="F227" s="234">
        <v>1</v>
      </c>
      <c r="G227" s="235">
        <f t="shared" si="57"/>
        <v>1</v>
      </c>
      <c r="H227" s="172">
        <f t="shared" si="58"/>
        <v>6.1610498428932284E-5</v>
      </c>
      <c r="I227" s="337"/>
      <c r="J227" s="168"/>
      <c r="K227" s="168"/>
    </row>
    <row r="228" spans="1:11" ht="13.5" thickBot="1">
      <c r="A228" s="163"/>
      <c r="B228" s="236" t="s">
        <v>75</v>
      </c>
      <c r="C228" s="491">
        <f>SUM(C219:C227)</f>
        <v>13662</v>
      </c>
      <c r="D228" s="491">
        <f>SUM(D219:D227)</f>
        <v>0</v>
      </c>
      <c r="E228" s="237">
        <f>SUM(E219:E227)</f>
        <v>13662</v>
      </c>
      <c r="F228" s="237">
        <f>SUM(F219:F227)</f>
        <v>2569</v>
      </c>
      <c r="G228" s="237">
        <f>SUM(G219:G227)</f>
        <v>16231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620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619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492">
        <f>'[82]Sch D'!N22</f>
        <v>63</v>
      </c>
      <c r="D231" s="526"/>
      <c r="E231" s="235">
        <f>C231+D231</f>
        <v>63</v>
      </c>
      <c r="F231" s="235" t="s">
        <v>575</v>
      </c>
      <c r="G231" s="235">
        <f>SUM(E231:F231)</f>
        <v>63</v>
      </c>
      <c r="H231" s="167"/>
      <c r="J231" s="168"/>
      <c r="K231" s="168"/>
    </row>
    <row r="232" spans="1:11">
      <c r="A232" s="163"/>
      <c r="B232" s="202" t="s">
        <v>290</v>
      </c>
      <c r="C232" s="492">
        <f>'[82]Sch D'!N24</f>
        <v>63</v>
      </c>
      <c r="D232" s="526"/>
      <c r="E232" s="235">
        <f>C232+D232</f>
        <v>63</v>
      </c>
      <c r="F232" s="235" t="s">
        <v>575</v>
      </c>
      <c r="G232" s="235">
        <f>SUM(E232:F232)</f>
        <v>63</v>
      </c>
      <c r="H232" s="167"/>
      <c r="J232" s="168"/>
      <c r="K232" s="168"/>
    </row>
    <row r="233" spans="1:11">
      <c r="A233" s="163"/>
      <c r="B233" s="202" t="s">
        <v>76</v>
      </c>
      <c r="C233" s="492">
        <v>304</v>
      </c>
      <c r="D233" s="489"/>
      <c r="E233" s="235">
        <f>C233+D233</f>
        <v>304</v>
      </c>
      <c r="F233" s="240">
        <v>61</v>
      </c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621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492">
        <f>'[82]Sch D'!N28</f>
        <v>19152</v>
      </c>
      <c r="D235" s="489"/>
      <c r="E235" s="234">
        <f>E231*E233</f>
        <v>19152</v>
      </c>
      <c r="F235" s="240"/>
      <c r="G235" s="234">
        <f>G231*G233</f>
        <v>22995</v>
      </c>
      <c r="H235" s="167"/>
      <c r="J235" s="168"/>
      <c r="K235" s="168"/>
    </row>
    <row r="236" spans="1:11" ht="26">
      <c r="A236" s="163"/>
      <c r="B236" s="244" t="s">
        <v>336</v>
      </c>
      <c r="C236" s="493">
        <f>'[82]Sch D'!N30</f>
        <v>0.71334586466165417</v>
      </c>
      <c r="D236" s="240"/>
      <c r="E236" s="245">
        <f>E228/E235</f>
        <v>0.71334586466165417</v>
      </c>
      <c r="F236" s="246"/>
      <c r="G236" s="245">
        <f>G228/G235</f>
        <v>0.70584909762991954</v>
      </c>
      <c r="H236" s="167"/>
      <c r="J236" s="168"/>
      <c r="K236" s="168"/>
    </row>
    <row r="237" spans="1:11" ht="26">
      <c r="A237" s="163"/>
      <c r="B237" s="244" t="s">
        <v>337</v>
      </c>
      <c r="C237" s="493">
        <f>'[82]Sch D'!N32</f>
        <v>0.30529448621553884</v>
      </c>
      <c r="D237" s="240"/>
      <c r="E237" s="245">
        <f>(E219+E220)/E235</f>
        <v>0.30529448621553884</v>
      </c>
      <c r="F237" s="246"/>
      <c r="G237" s="245">
        <f>(G219+G220)/G235</f>
        <v>0.31124157425527288</v>
      </c>
      <c r="H237" s="167"/>
      <c r="J237" s="168"/>
      <c r="K237" s="168"/>
    </row>
    <row r="238" spans="1:11" ht="26">
      <c r="A238" s="163"/>
      <c r="B238" s="244" t="s">
        <v>338</v>
      </c>
      <c r="C238" s="493">
        <f>'[82]Sch D'!N34</f>
        <v>0.42797540623627578</v>
      </c>
      <c r="D238" s="240"/>
      <c r="E238" s="245">
        <f>(E237/E236)</f>
        <v>0.42797540623627578</v>
      </c>
      <c r="F238" s="246"/>
      <c r="G238" s="245">
        <f>(G237/G236)</f>
        <v>0.4409463372558684</v>
      </c>
      <c r="H238" s="167"/>
      <c r="J238" s="168"/>
      <c r="K238" s="168"/>
    </row>
    <row r="241" spans="2:8">
      <c r="B241" s="148" t="s">
        <v>339</v>
      </c>
      <c r="F241" s="142" t="s">
        <v>340</v>
      </c>
      <c r="G241" s="490">
        <f>'[82]Sch B'!C85</f>
        <v>251.3594890510949</v>
      </c>
    </row>
    <row r="242" spans="2:8">
      <c r="F242" s="142" t="s">
        <v>341</v>
      </c>
      <c r="G242" s="490">
        <f>'[82]Sch B'!E85</f>
        <v>239.50787401574803</v>
      </c>
    </row>
    <row r="243" spans="2:8">
      <c r="F243" s="142" t="s">
        <v>342</v>
      </c>
      <c r="G243" s="490">
        <f>'[82]Sch B'!G85</f>
        <v>237.63320463320463</v>
      </c>
    </row>
    <row r="244" spans="2:8">
      <c r="F244" s="142" t="s">
        <v>343</v>
      </c>
      <c r="G244" s="490">
        <f>(27836+35210)/(85+143)</f>
        <v>276.51754385964909</v>
      </c>
      <c r="H244" s="140" t="s">
        <v>576</v>
      </c>
    </row>
    <row r="245" spans="2:8">
      <c r="F245" s="142"/>
      <c r="G245" s="140" t="s">
        <v>577</v>
      </c>
    </row>
    <row r="246" spans="2:8">
      <c r="G246" s="140" t="s">
        <v>578</v>
      </c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F10" sqref="F10"/>
      <pageMargins left="0.75" right="0.75" top="1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73">
    <tabColor rgb="FFE28CAB"/>
  </sheetPr>
  <dimension ref="A1:Q245"/>
  <sheetViews>
    <sheetView showGridLines="0" zoomScale="90" zoomScaleNormal="90" workbookViewId="0">
      <pane xSplit="2" topLeftCell="C1" activePane="topRight" state="frozen"/>
      <selection activeCell="N1" sqref="N1"/>
      <selection pane="topRight"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478"/>
      <c r="E1" s="478"/>
      <c r="F1" s="478"/>
      <c r="G1" s="478"/>
      <c r="H1" s="478"/>
      <c r="I1" s="479"/>
    </row>
    <row r="2" spans="1:14" ht="23">
      <c r="B2" s="143" t="s">
        <v>189</v>
      </c>
      <c r="C2" s="247" t="s">
        <v>401</v>
      </c>
      <c r="D2" s="247"/>
      <c r="E2" s="144"/>
    </row>
    <row r="3" spans="1:14">
      <c r="A3" s="145"/>
      <c r="B3" s="140" t="s">
        <v>79</v>
      </c>
      <c r="C3" s="495">
        <v>41821</v>
      </c>
      <c r="D3" s="144"/>
      <c r="E3" s="147"/>
    </row>
    <row r="4" spans="1:14">
      <c r="A4" s="145"/>
      <c r="B4" s="148" t="s">
        <v>80</v>
      </c>
      <c r="C4" s="495">
        <v>42185</v>
      </c>
      <c r="D4" s="144"/>
      <c r="E4" s="149"/>
      <c r="F4" s="465" t="s">
        <v>649</v>
      </c>
      <c r="G4" s="150"/>
    </row>
    <row r="5" spans="1:14">
      <c r="A5" s="145"/>
      <c r="B5" s="148"/>
      <c r="C5" s="151"/>
      <c r="D5" s="144"/>
      <c r="F5" s="465" t="s">
        <v>650</v>
      </c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144"/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490">
        <f>'[83]Sch B'!E10</f>
        <v>2948920.1700000004</v>
      </c>
      <c r="D11" s="490">
        <f>'[83]Sch B'!G10</f>
        <v>0</v>
      </c>
      <c r="E11" s="171">
        <f>C11+D11</f>
        <v>2948920.1700000004</v>
      </c>
      <c r="F11" s="171">
        <v>-188953</v>
      </c>
      <c r="G11" s="171">
        <f t="shared" ref="G11:G20" si="0">E11+F11</f>
        <v>2759967.1700000004</v>
      </c>
      <c r="H11" s="172">
        <f t="shared" ref="H11:H21" si="1">IF($G$21=0,0,G11/$G$21)</f>
        <v>0.53074175704210202</v>
      </c>
      <c r="I11" s="570" t="s">
        <v>475</v>
      </c>
      <c r="J11" s="368" t="s">
        <v>344</v>
      </c>
      <c r="K11" s="369">
        <f>G21</f>
        <v>5200207.3199999994</v>
      </c>
      <c r="M11" s="359">
        <f>IFERROR(G11/G219,0)</f>
        <v>177.53551846134056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490">
        <f>'[83]Sch B'!E15</f>
        <v>0</v>
      </c>
      <c r="D12" s="490">
        <f>'[83]Sch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7"/>
      <c r="J12" s="370" t="s">
        <v>345</v>
      </c>
      <c r="K12" s="371">
        <f>G208</f>
        <v>5838885.1299999999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490">
        <f>'[83]Sch B'!E21</f>
        <v>1176081.6500000001</v>
      </c>
      <c r="D13" s="490">
        <f>'[83]Sch B'!G21</f>
        <v>0</v>
      </c>
      <c r="E13" s="171">
        <f t="shared" si="2"/>
        <v>1176081.6500000001</v>
      </c>
      <c r="F13" s="171"/>
      <c r="G13" s="171">
        <f t="shared" si="0"/>
        <v>1176081.6500000001</v>
      </c>
      <c r="H13" s="172">
        <f t="shared" si="1"/>
        <v>0.22616053123051261</v>
      </c>
      <c r="I13" s="337"/>
      <c r="J13" s="370" t="s">
        <v>346</v>
      </c>
      <c r="K13" s="371">
        <f>G228</f>
        <v>21584</v>
      </c>
      <c r="M13" s="359">
        <f t="shared" si="3"/>
        <v>456.90817793317797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490">
        <f>'[83]Sch B'!E27</f>
        <v>516607.51</v>
      </c>
      <c r="D14" s="490">
        <f>'[83]Sch B'!G27</f>
        <v>0</v>
      </c>
      <c r="E14" s="171">
        <f t="shared" si="2"/>
        <v>516607.51</v>
      </c>
      <c r="F14" s="175"/>
      <c r="G14" s="175">
        <f>E14+F14</f>
        <v>516607.51</v>
      </c>
      <c r="H14" s="176">
        <f t="shared" si="1"/>
        <v>9.934363732252123E-2</v>
      </c>
      <c r="I14" s="338"/>
      <c r="J14" s="370" t="s">
        <v>347</v>
      </c>
      <c r="K14" s="371">
        <f>G231</f>
        <v>120</v>
      </c>
      <c r="M14" s="359">
        <f t="shared" si="3"/>
        <v>321.27332711442784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490">
        <f>'[83]Sch B'!E32</f>
        <v>0</v>
      </c>
      <c r="D15" s="490">
        <f>'[83]Sch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7"/>
      <c r="J15" s="370" t="s">
        <v>348</v>
      </c>
      <c r="K15" s="371">
        <f>G235</f>
        <v>43800</v>
      </c>
      <c r="M15" s="359">
        <f t="shared" si="3"/>
        <v>0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490">
        <f>'[83]Sch B'!E37</f>
        <v>217528.88</v>
      </c>
      <c r="D16" s="490">
        <f>'[83]Sch B'!G37</f>
        <v>0</v>
      </c>
      <c r="E16" s="171">
        <f t="shared" si="2"/>
        <v>217528.88</v>
      </c>
      <c r="F16" s="171">
        <v>-58992</v>
      </c>
      <c r="G16" s="171">
        <f t="shared" si="0"/>
        <v>158536.88</v>
      </c>
      <c r="H16" s="172">
        <f t="shared" si="1"/>
        <v>3.0486646059334422E-2</v>
      </c>
      <c r="I16" s="570" t="s">
        <v>473</v>
      </c>
      <c r="J16" s="372"/>
      <c r="K16" s="371"/>
      <c r="M16" s="359">
        <f t="shared" si="3"/>
        <v>218.67155862068967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490">
        <f>'[83]Sch B'!E42</f>
        <v>0</v>
      </c>
      <c r="D17" s="490">
        <f>'[83]Sch B'!G42</f>
        <v>0</v>
      </c>
      <c r="E17" s="171">
        <f t="shared" si="2"/>
        <v>0</v>
      </c>
      <c r="F17" s="171">
        <v>188953</v>
      </c>
      <c r="G17" s="171">
        <f>E17+F17</f>
        <v>188953</v>
      </c>
      <c r="H17" s="172">
        <f t="shared" si="1"/>
        <v>3.6335666709534191E-2</v>
      </c>
      <c r="I17" s="570" t="s">
        <v>475</v>
      </c>
      <c r="J17" s="370" t="s">
        <v>156</v>
      </c>
      <c r="K17" s="371">
        <f>J208</f>
        <v>105115.11</v>
      </c>
      <c r="M17" s="359">
        <f t="shared" si="3"/>
        <v>236.19125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490">
        <f>'[83]Sch B'!E47</f>
        <v>0</v>
      </c>
      <c r="D18" s="490">
        <f>'[83]Sch B'!G47</f>
        <v>0</v>
      </c>
      <c r="E18" s="171">
        <f t="shared" si="2"/>
        <v>0</v>
      </c>
      <c r="F18" s="171">
        <v>58992</v>
      </c>
      <c r="G18" s="171">
        <f>E18+F18</f>
        <v>58992</v>
      </c>
      <c r="H18" s="172">
        <f t="shared" si="1"/>
        <v>1.1344163101558806E-2</v>
      </c>
      <c r="I18" s="570" t="s">
        <v>473</v>
      </c>
      <c r="J18" s="373" t="s">
        <v>252</v>
      </c>
      <c r="K18" s="374">
        <f>K208</f>
        <v>118204.31999999999</v>
      </c>
      <c r="M18" s="359">
        <f t="shared" si="3"/>
        <v>0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490">
        <f>'[83]Sch B'!E52</f>
        <v>283824.14</v>
      </c>
      <c r="D19" s="490">
        <f>'[83]Sch B'!G52</f>
        <v>0</v>
      </c>
      <c r="E19" s="171">
        <f t="shared" si="2"/>
        <v>283824.14</v>
      </c>
      <c r="F19" s="171"/>
      <c r="G19" s="171">
        <f t="shared" si="0"/>
        <v>283824.14</v>
      </c>
      <c r="H19" s="172">
        <f t="shared" si="1"/>
        <v>5.4579389346346298E-2</v>
      </c>
      <c r="I19" s="337"/>
      <c r="J19" s="168"/>
      <c r="K19" s="168"/>
      <c r="M19" s="359">
        <f t="shared" si="3"/>
        <v>857.47474320241702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490">
        <f>'[83]Sch B'!E67</f>
        <v>64601.630000000005</v>
      </c>
      <c r="D20" s="490">
        <f>'[83]Sch B'!G67</f>
        <v>-7356.66</v>
      </c>
      <c r="E20" s="171">
        <f t="shared" si="2"/>
        <v>57244.97</v>
      </c>
      <c r="F20" s="171"/>
      <c r="G20" s="171">
        <f t="shared" si="0"/>
        <v>57244.97</v>
      </c>
      <c r="H20" s="172">
        <f t="shared" si="1"/>
        <v>1.1008209188090602E-2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490">
        <f>SUM(C11:C20)</f>
        <v>5207563.9799999995</v>
      </c>
      <c r="D21" s="490">
        <f>SUM(D11:D20)</f>
        <v>-7356.66</v>
      </c>
      <c r="E21" s="171">
        <f>SUM(E11:E20)</f>
        <v>5200207.3199999994</v>
      </c>
      <c r="F21" s="171">
        <f>SUM(F11:F20)</f>
        <v>0</v>
      </c>
      <c r="G21" s="171">
        <f>SUM(G11:G20)</f>
        <v>5200207.3199999994</v>
      </c>
      <c r="H21" s="172">
        <f t="shared" si="1"/>
        <v>1</v>
      </c>
      <c r="I21" s="337"/>
      <c r="J21" s="168"/>
      <c r="K21" s="168"/>
      <c r="M21" s="359">
        <f>IFERROR(G21/G228,0)</f>
        <v>240.928804670126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652" t="s">
        <v>647</v>
      </c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652" t="s">
        <v>651</v>
      </c>
      <c r="G23" s="144"/>
      <c r="M23" s="363"/>
      <c r="N23" s="363"/>
    </row>
    <row r="24" spans="1:14">
      <c r="A24" s="181" t="s">
        <v>161</v>
      </c>
      <c r="B24" s="148" t="s">
        <v>12</v>
      </c>
      <c r="M24" s="363"/>
      <c r="N24" s="363"/>
    </row>
    <row r="25" spans="1:14" s="167" customFormat="1">
      <c r="A25" s="169" t="s">
        <v>83</v>
      </c>
      <c r="B25" s="170" t="s">
        <v>14</v>
      </c>
      <c r="C25" s="490">
        <f>'[83]Sch C'!D10</f>
        <v>0</v>
      </c>
      <c r="D25" s="490">
        <f>'[83]Sch C'!F10</f>
        <v>79064.59</v>
      </c>
      <c r="E25" s="171">
        <f t="shared" ref="E25:E60" si="4">C25+D25</f>
        <v>79064.59</v>
      </c>
      <c r="F25" s="171"/>
      <c r="G25" s="182">
        <f>E25+F25</f>
        <v>79064.59</v>
      </c>
      <c r="H25" s="172">
        <f>IF($G$208=0,0,G25/$G$208)</f>
        <v>1.3541042209199961E-2</v>
      </c>
      <c r="I25" s="337"/>
      <c r="J25" s="183">
        <v>1858</v>
      </c>
      <c r="K25" s="183">
        <v>2086</v>
      </c>
      <c r="M25" s="359">
        <f>G25/G$228</f>
        <v>3.6631111008154185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490">
        <f>'[83]Sch C'!D11</f>
        <v>0</v>
      </c>
      <c r="D26" s="490">
        <f>'[83]Sch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490">
        <f>'[83]Sch C'!D12</f>
        <v>155995</v>
      </c>
      <c r="D27" s="490">
        <f>'[83]Sch C'!F12</f>
        <v>-79064.59</v>
      </c>
      <c r="E27" s="171">
        <f t="shared" si="4"/>
        <v>76930.41</v>
      </c>
      <c r="F27" s="171"/>
      <c r="G27" s="171">
        <f t="shared" si="5"/>
        <v>76930.41</v>
      </c>
      <c r="H27" s="172">
        <f t="shared" si="6"/>
        <v>1.3175530651345423E-2</v>
      </c>
      <c r="I27" s="337"/>
      <c r="J27" s="185">
        <v>4429</v>
      </c>
      <c r="K27" s="185">
        <v>4800</v>
      </c>
      <c r="M27" s="359">
        <f t="shared" si="7"/>
        <v>3.5642332283172724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490">
        <f>'[83]Sch C'!D13</f>
        <v>47778</v>
      </c>
      <c r="D28" s="490">
        <f>'[83]Sch C'!F13</f>
        <v>0</v>
      </c>
      <c r="E28" s="171">
        <f t="shared" si="4"/>
        <v>47778</v>
      </c>
      <c r="F28" s="171"/>
      <c r="G28" s="171">
        <f t="shared" si="5"/>
        <v>47778</v>
      </c>
      <c r="H28" s="172">
        <f t="shared" si="6"/>
        <v>8.1827264856638819E-3</v>
      </c>
      <c r="I28" s="337"/>
      <c r="J28" s="168"/>
      <c r="K28" s="168"/>
      <c r="M28" s="359">
        <f t="shared" si="7"/>
        <v>2.2135841363973312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490">
        <f>'[83]Sch C'!D14</f>
        <v>0</v>
      </c>
      <c r="D29" s="490">
        <f>'[83]Sch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490">
        <f>'[83]Sch C'!D15</f>
        <v>272746</v>
      </c>
      <c r="D30" s="490">
        <f>'[83]Sch C'!F15</f>
        <v>-272745.90999999997</v>
      </c>
      <c r="E30" s="171">
        <f t="shared" si="4"/>
        <v>9.0000000025611371E-2</v>
      </c>
      <c r="F30" s="171"/>
      <c r="G30" s="171">
        <f t="shared" si="5"/>
        <v>9.0000000025611371E-2</v>
      </c>
      <c r="H30" s="172">
        <f t="shared" si="6"/>
        <v>1.5413901459234801E-8</v>
      </c>
      <c r="I30" s="337"/>
      <c r="J30" s="168"/>
      <c r="K30" s="168"/>
      <c r="M30" s="359">
        <f t="shared" si="7"/>
        <v>4.1697553755379624E-6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490">
        <f>'[83]Sch C'!D16</f>
        <v>0</v>
      </c>
      <c r="D31" s="490">
        <f>'[83]Sch C'!F16</f>
        <v>322826</v>
      </c>
      <c r="E31" s="171">
        <f t="shared" si="4"/>
        <v>322826</v>
      </c>
      <c r="F31" s="171"/>
      <c r="G31" s="171">
        <f t="shared" si="5"/>
        <v>322826</v>
      </c>
      <c r="H31" s="172">
        <f t="shared" si="6"/>
        <v>5.5288979456254522E-2</v>
      </c>
      <c r="I31" s="337"/>
      <c r="J31" s="168"/>
      <c r="K31" s="168"/>
      <c r="M31" s="359">
        <f t="shared" si="7"/>
        <v>14.956727205337288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490">
        <f>'[83]Sch C'!D17</f>
        <v>249</v>
      </c>
      <c r="D32" s="490">
        <f>'[83]Sch C'!F17</f>
        <v>-249.12</v>
      </c>
      <c r="E32" s="171">
        <f t="shared" si="4"/>
        <v>-0.12000000000000455</v>
      </c>
      <c r="F32" s="171"/>
      <c r="G32" s="171">
        <f t="shared" si="5"/>
        <v>-0.12000000000000455</v>
      </c>
      <c r="H32" s="172">
        <f t="shared" si="6"/>
        <v>-2.0551868606465385E-8</v>
      </c>
      <c r="I32" s="337"/>
      <c r="J32" s="168"/>
      <c r="K32" s="168"/>
      <c r="M32" s="359">
        <f t="shared" si="7"/>
        <v>-5.5596738324687059E-6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490">
        <f>'[83]Sch C'!D18</f>
        <v>36302</v>
      </c>
      <c r="D33" s="490">
        <f>'[83]Sch C'!F18</f>
        <v>0</v>
      </c>
      <c r="E33" s="171">
        <f t="shared" si="4"/>
        <v>36302</v>
      </c>
      <c r="F33" s="171"/>
      <c r="G33" s="171">
        <f t="shared" si="5"/>
        <v>36302</v>
      </c>
      <c r="H33" s="172">
        <f t="shared" si="6"/>
        <v>6.2172827845989841E-3</v>
      </c>
      <c r="I33" s="337"/>
      <c r="J33" s="168"/>
      <c r="K33" s="168"/>
      <c r="M33" s="359">
        <f t="shared" si="7"/>
        <v>1.6818939955522609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490">
        <f>'[83]Sch C'!D19</f>
        <v>19622</v>
      </c>
      <c r="D34" s="490">
        <f>'[83]Sch C'!F19</f>
        <v>0</v>
      </c>
      <c r="E34" s="171">
        <f t="shared" si="4"/>
        <v>19622</v>
      </c>
      <c r="F34" s="171"/>
      <c r="G34" s="171">
        <f t="shared" si="5"/>
        <v>19622</v>
      </c>
      <c r="H34" s="172">
        <f t="shared" si="6"/>
        <v>3.360573048300404E-3</v>
      </c>
      <c r="I34" s="337"/>
      <c r="J34" s="168"/>
      <c r="K34" s="168"/>
      <c r="M34" s="359">
        <f t="shared" si="7"/>
        <v>0.90909933283914013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490">
        <f>'[83]Sch C'!D20</f>
        <v>12011</v>
      </c>
      <c r="D35" s="490">
        <f>'[83]Sch C'!F20</f>
        <v>1286.1199999999999</v>
      </c>
      <c r="E35" s="171">
        <f t="shared" si="4"/>
        <v>13297.119999999999</v>
      </c>
      <c r="F35" s="171"/>
      <c r="G35" s="171">
        <f t="shared" si="5"/>
        <v>13297.119999999999</v>
      </c>
      <c r="H35" s="172">
        <f t="shared" si="6"/>
        <v>2.2773388590366051E-3</v>
      </c>
      <c r="I35" s="337"/>
      <c r="J35" s="168"/>
      <c r="K35" s="168"/>
      <c r="M35" s="359">
        <f t="shared" si="7"/>
        <v>0.61606375092661225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490">
        <f>'[83]Sch C'!D21</f>
        <v>0</v>
      </c>
      <c r="D36" s="490">
        <f>'[83]Sch C'!F21</f>
        <v>0</v>
      </c>
      <c r="E36" s="171">
        <f t="shared" si="4"/>
        <v>0</v>
      </c>
      <c r="F36" s="171"/>
      <c r="G36" s="171">
        <f t="shared" si="5"/>
        <v>0</v>
      </c>
      <c r="H36" s="172">
        <f t="shared" si="6"/>
        <v>0</v>
      </c>
      <c r="I36" s="337"/>
      <c r="J36" s="168"/>
      <c r="K36" s="168"/>
      <c r="M36" s="359">
        <f t="shared" si="7"/>
        <v>0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490">
        <f>'[83]Sch C'!D22</f>
        <v>0</v>
      </c>
      <c r="D37" s="490">
        <f>'[83]Sch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490">
        <f>'[83]Sch C'!D23</f>
        <v>8972</v>
      </c>
      <c r="D38" s="490">
        <f>'[83]Sch C'!F23</f>
        <v>0</v>
      </c>
      <c r="E38" s="171">
        <f t="shared" si="4"/>
        <v>8972</v>
      </c>
      <c r="F38" s="171"/>
      <c r="G38" s="171">
        <f t="shared" si="5"/>
        <v>8972</v>
      </c>
      <c r="H38" s="172">
        <f t="shared" si="6"/>
        <v>1.5365947094766702E-3</v>
      </c>
      <c r="I38" s="337"/>
      <c r="J38" s="168"/>
      <c r="K38" s="168"/>
      <c r="M38" s="359">
        <f t="shared" si="7"/>
        <v>0.41567828020756115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490">
        <f>'[83]Sch C'!D24</f>
        <v>0</v>
      </c>
      <c r="D39" s="490">
        <f>'[83]Sch C'!F24</f>
        <v>0</v>
      </c>
      <c r="E39" s="171">
        <f t="shared" si="4"/>
        <v>0</v>
      </c>
      <c r="F39" s="171"/>
      <c r="G39" s="171">
        <f t="shared" si="5"/>
        <v>0</v>
      </c>
      <c r="H39" s="172">
        <f t="shared" si="6"/>
        <v>0</v>
      </c>
      <c r="I39" s="337"/>
      <c r="J39" s="168"/>
      <c r="K39" s="168"/>
      <c r="M39" s="359">
        <f t="shared" si="7"/>
        <v>0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490">
        <f>'[83]Sch C'!D25</f>
        <v>0</v>
      </c>
      <c r="D40" s="490">
        <f>'[83]Sch C'!F25</f>
        <v>0</v>
      </c>
      <c r="E40" s="171">
        <f t="shared" si="4"/>
        <v>0</v>
      </c>
      <c r="F40" s="171"/>
      <c r="G40" s="171">
        <f t="shared" si="5"/>
        <v>0</v>
      </c>
      <c r="H40" s="172">
        <f t="shared" si="6"/>
        <v>0</v>
      </c>
      <c r="I40" s="337"/>
      <c r="J40" s="168"/>
      <c r="K40" s="168"/>
      <c r="M40" s="359">
        <f t="shared" si="7"/>
        <v>0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490">
        <f>'[83]Sch C'!D26</f>
        <v>259197</v>
      </c>
      <c r="D41" s="490">
        <f>'[83]Sch C'!F26</f>
        <v>0</v>
      </c>
      <c r="E41" s="171">
        <f t="shared" si="4"/>
        <v>259197</v>
      </c>
      <c r="F41" s="171"/>
      <c r="G41" s="171">
        <f t="shared" si="5"/>
        <v>259197</v>
      </c>
      <c r="H41" s="172">
        <f t="shared" si="6"/>
        <v>4.4391522393248388E-2</v>
      </c>
      <c r="I41" s="337"/>
      <c r="J41" s="168"/>
      <c r="K41" s="168"/>
      <c r="M41" s="359">
        <f t="shared" si="7"/>
        <v>12.008756486286138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490">
        <f>'[83]Sch C'!D27</f>
        <v>0</v>
      </c>
      <c r="D42" s="490">
        <f>'[83]Sch C'!F27</f>
        <v>0</v>
      </c>
      <c r="E42" s="171">
        <f t="shared" si="4"/>
        <v>0</v>
      </c>
      <c r="F42" s="171"/>
      <c r="G42" s="171">
        <f t="shared" si="5"/>
        <v>0</v>
      </c>
      <c r="H42" s="172">
        <f t="shared" si="6"/>
        <v>0</v>
      </c>
      <c r="I42" s="337"/>
      <c r="J42" s="168"/>
      <c r="K42" s="168"/>
      <c r="M42" s="359">
        <f t="shared" si="7"/>
        <v>0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490">
        <f>'[83]Sch C'!D28</f>
        <v>0</v>
      </c>
      <c r="D43" s="490">
        <f>'[83]Sch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490">
        <f>'[83]Sch C'!D29</f>
        <v>116885</v>
      </c>
      <c r="D44" s="490">
        <f>'[83]Sch C'!F29</f>
        <v>-116885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490">
        <f>'[83]Sch C'!D30</f>
        <v>2036</v>
      </c>
      <c r="D45" s="490">
        <f>'[83]Sch C'!F30</f>
        <v>-2036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490">
        <f>'[83]Sch C'!D31</f>
        <v>58047</v>
      </c>
      <c r="D46" s="490">
        <f>'[83]Sch C'!F31</f>
        <v>0</v>
      </c>
      <c r="E46" s="171">
        <f t="shared" si="4"/>
        <v>58047</v>
      </c>
      <c r="F46" s="171"/>
      <c r="G46" s="171">
        <f t="shared" si="5"/>
        <v>58047</v>
      </c>
      <c r="H46" s="172">
        <f t="shared" si="6"/>
        <v>9.9414526416620914E-3</v>
      </c>
      <c r="I46" s="337"/>
      <c r="J46" s="168"/>
      <c r="K46" s="168"/>
      <c r="M46" s="359">
        <f t="shared" si="7"/>
        <v>2.6893532246108229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490">
        <f>'[83]Sch C'!D32</f>
        <v>73029</v>
      </c>
      <c r="D47" s="490">
        <f>'[83]Sch C'!F32</f>
        <v>-2162</v>
      </c>
      <c r="E47" s="171">
        <f t="shared" si="4"/>
        <v>70867</v>
      </c>
      <c r="F47" s="171"/>
      <c r="G47" s="171">
        <f t="shared" si="5"/>
        <v>70867</v>
      </c>
      <c r="H47" s="172">
        <f t="shared" si="6"/>
        <v>1.2137077271119392E-2</v>
      </c>
      <c r="I47" s="337"/>
      <c r="J47" s="168"/>
      <c r="K47" s="168"/>
      <c r="M47" s="359">
        <f t="shared" si="7"/>
        <v>3.2833117123795406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490">
        <f>'[83]Sch C'!D33</f>
        <v>0</v>
      </c>
      <c r="D48" s="490">
        <f>'[83]Sch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490">
        <f>'[83]Sch C'!D34</f>
        <v>1115</v>
      </c>
      <c r="D49" s="490">
        <f>'[83]Sch C'!F34</f>
        <v>0</v>
      </c>
      <c r="E49" s="171">
        <f t="shared" si="4"/>
        <v>1115</v>
      </c>
      <c r="F49" s="171"/>
      <c r="G49" s="171">
        <f t="shared" si="5"/>
        <v>1115</v>
      </c>
      <c r="H49" s="172">
        <f t="shared" si="6"/>
        <v>1.9096111246840028E-4</v>
      </c>
      <c r="I49" s="337"/>
      <c r="J49" s="168"/>
      <c r="K49" s="168"/>
      <c r="M49" s="359">
        <f t="shared" si="7"/>
        <v>5.1658636026686432E-2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490">
        <f>'[83]Sch C'!D35</f>
        <v>37</v>
      </c>
      <c r="D50" s="490">
        <f>'[83]Sch C'!F35</f>
        <v>-37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490">
        <f>'[83]Sch C'!D36</f>
        <v>0</v>
      </c>
      <c r="D51" s="490">
        <f>'[83]Sch C'!F36</f>
        <v>0</v>
      </c>
      <c r="E51" s="171">
        <f t="shared" si="4"/>
        <v>0</v>
      </c>
      <c r="F51" s="171"/>
      <c r="G51" s="171">
        <f t="shared" si="5"/>
        <v>0</v>
      </c>
      <c r="H51" s="172">
        <f t="shared" si="6"/>
        <v>0</v>
      </c>
      <c r="I51" s="337"/>
      <c r="J51" s="183">
        <v>0</v>
      </c>
      <c r="K51" s="183">
        <v>0</v>
      </c>
      <c r="M51" s="359">
        <f t="shared" si="7"/>
        <v>0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490">
        <f>'[83]Sch C'!D37</f>
        <v>0</v>
      </c>
      <c r="D52" s="490">
        <f>'[83]Sch C'!F37</f>
        <v>0</v>
      </c>
      <c r="E52" s="171">
        <f t="shared" si="4"/>
        <v>0</v>
      </c>
      <c r="F52" s="171"/>
      <c r="G52" s="171">
        <f t="shared" si="5"/>
        <v>0</v>
      </c>
      <c r="H52" s="172">
        <f t="shared" si="6"/>
        <v>0</v>
      </c>
      <c r="I52" s="337"/>
      <c r="J52" s="168"/>
      <c r="K52" s="168"/>
      <c r="M52" s="359">
        <f t="shared" si="7"/>
        <v>0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490">
        <f>'[83]Sch C'!D38</f>
        <v>0</v>
      </c>
      <c r="D53" s="490">
        <f>'[83]Sch C'!F38</f>
        <v>0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7"/>
      <c r="J53" s="168"/>
      <c r="K53" s="168"/>
      <c r="M53" s="359">
        <f t="shared" si="7"/>
        <v>0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490">
        <f>'[83]Sch C'!D39</f>
        <v>4620</v>
      </c>
      <c r="D54" s="490">
        <f>'[83]Sch C'!F39</f>
        <v>0</v>
      </c>
      <c r="E54" s="171">
        <f t="shared" si="4"/>
        <v>4620</v>
      </c>
      <c r="F54" s="171"/>
      <c r="G54" s="171">
        <f t="shared" si="5"/>
        <v>4620</v>
      </c>
      <c r="H54" s="172">
        <f t="shared" si="6"/>
        <v>7.912469413488873E-4</v>
      </c>
      <c r="I54" s="337"/>
      <c r="J54" s="168"/>
      <c r="K54" s="168"/>
      <c r="M54" s="359">
        <f t="shared" si="7"/>
        <v>0.21404744255003708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490">
        <f>'[83]Sch C'!D40</f>
        <v>11244</v>
      </c>
      <c r="D55" s="490">
        <f>'[83]Sch C'!F40</f>
        <v>-11243.93</v>
      </c>
      <c r="E55" s="171">
        <f t="shared" si="4"/>
        <v>6.9999999999708962E-2</v>
      </c>
      <c r="F55" s="171"/>
      <c r="G55" s="171">
        <f t="shared" si="5"/>
        <v>6.9999999999708962E-2</v>
      </c>
      <c r="H55" s="172">
        <f t="shared" si="6"/>
        <v>1.1988590020387841E-8</v>
      </c>
      <c r="I55" s="337"/>
      <c r="J55" s="168"/>
      <c r="K55" s="168"/>
      <c r="M55" s="359">
        <f t="shared" si="7"/>
        <v>3.2431430689264714E-6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490">
        <f>'[83]Sch C'!D41</f>
        <v>14106</v>
      </c>
      <c r="D56" s="490">
        <f>'[83]Sch C'!F41</f>
        <v>0</v>
      </c>
      <c r="E56" s="171">
        <f t="shared" si="4"/>
        <v>14106</v>
      </c>
      <c r="F56" s="171"/>
      <c r="G56" s="171">
        <f t="shared" si="5"/>
        <v>14106</v>
      </c>
      <c r="H56" s="172">
        <f t="shared" si="6"/>
        <v>2.4158721546899144E-3</v>
      </c>
      <c r="I56" s="337"/>
      <c r="J56" s="168"/>
      <c r="K56" s="168"/>
      <c r="M56" s="359">
        <f t="shared" si="7"/>
        <v>0.65353965900667166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490">
        <f>'[83]Sch C'!D42</f>
        <v>2108</v>
      </c>
      <c r="D57" s="490">
        <f>'[83]Sch C'!F42</f>
        <v>0</v>
      </c>
      <c r="E57" s="171">
        <f t="shared" si="4"/>
        <v>2108</v>
      </c>
      <c r="F57" s="171"/>
      <c r="G57" s="171">
        <f t="shared" si="5"/>
        <v>2108</v>
      </c>
      <c r="H57" s="172">
        <f t="shared" si="6"/>
        <v>3.6102782518689487E-4</v>
      </c>
      <c r="I57" s="337"/>
      <c r="J57" s="168"/>
      <c r="K57" s="168"/>
      <c r="M57" s="359">
        <f t="shared" si="7"/>
        <v>9.766493699036323E-2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490">
        <f>'[83]Sch C'!D43</f>
        <v>13665</v>
      </c>
      <c r="D58" s="490">
        <f>'[83]Sch C'!F43</f>
        <v>-13665.23</v>
      </c>
      <c r="E58" s="171">
        <f t="shared" si="4"/>
        <v>-0.22999999999956344</v>
      </c>
      <c r="F58" s="171"/>
      <c r="G58" s="171">
        <f t="shared" si="5"/>
        <v>-0.22999999999956344</v>
      </c>
      <c r="H58" s="172">
        <f t="shared" si="6"/>
        <v>-3.9391081495649059E-8</v>
      </c>
      <c r="I58" s="337"/>
      <c r="J58" s="168"/>
      <c r="K58" s="168"/>
      <c r="M58" s="359">
        <f t="shared" si="7"/>
        <v>-1.0656041512211057E-5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490">
        <f>'[83]Sch C'!D44</f>
        <v>9</v>
      </c>
      <c r="D59" s="490">
        <f>'[83]Sch C'!F44</f>
        <v>-9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7"/>
      <c r="J59" s="168"/>
      <c r="K59" s="168"/>
      <c r="M59" s="359">
        <f t="shared" si="7"/>
        <v>0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490">
        <f>'[83]Sch C'!D45</f>
        <v>237579</v>
      </c>
      <c r="D60" s="490">
        <f>'[83]Sch C'!F45</f>
        <v>-202573.07</v>
      </c>
      <c r="E60" s="171">
        <f t="shared" si="4"/>
        <v>35005.929999999993</v>
      </c>
      <c r="F60" s="171"/>
      <c r="G60" s="171">
        <f t="shared" si="5"/>
        <v>35005.929999999993</v>
      </c>
      <c r="H60" s="172">
        <f t="shared" si="6"/>
        <v>5.9953106150591445E-3</v>
      </c>
      <c r="I60" s="337"/>
      <c r="J60" s="168"/>
      <c r="K60" s="168"/>
      <c r="M60" s="359">
        <f t="shared" si="7"/>
        <v>1.6218462750185318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490">
        <f>SUM(C25:C60)</f>
        <v>1347352</v>
      </c>
      <c r="D61" s="490">
        <f>SUM(D25:D60)</f>
        <v>-297494.13999999996</v>
      </c>
      <c r="E61" s="171">
        <f t="shared" ref="E61:F61" si="8">SUM(E25:E60)</f>
        <v>1049857.8600000001</v>
      </c>
      <c r="F61" s="171">
        <f t="shared" si="8"/>
        <v>0</v>
      </c>
      <c r="G61" s="171">
        <f>SUM(G25:G60)</f>
        <v>1049857.8600000001</v>
      </c>
      <c r="H61" s="186">
        <f t="shared" si="6"/>
        <v>0.17980450661820094</v>
      </c>
      <c r="I61" s="339"/>
      <c r="J61" s="168"/>
      <c r="K61" s="168"/>
      <c r="M61" s="364">
        <f>G61/G$228</f>
        <v>48.640560600444779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I62" s="340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490">
        <f>'[83]Sch C'!D57</f>
        <v>784954</v>
      </c>
      <c r="D64" s="490">
        <f>'[83]Sch C'!F57</f>
        <v>-64622.7</v>
      </c>
      <c r="E64" s="171">
        <f t="shared" ref="E64:E78" si="9">C64+D64</f>
        <v>720331.3</v>
      </c>
      <c r="F64" s="171"/>
      <c r="G64" s="171">
        <f t="shared" ref="G64:G78" si="10">E64+F64</f>
        <v>720331.3</v>
      </c>
      <c r="H64" s="172">
        <f t="shared" ref="H64:H79" si="11">IF($G$208=0,0,G64/$G$208)</f>
        <v>0.12336795192269866</v>
      </c>
      <c r="I64" s="337"/>
      <c r="J64" s="190"/>
      <c r="K64" s="168"/>
      <c r="M64" s="359">
        <f t="shared" ref="M64:M79" si="12">G64/G$228</f>
        <v>33.373392327650116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490">
        <f>'[83]Sch C'!D58</f>
        <v>74256</v>
      </c>
      <c r="D65" s="490">
        <f>'[83]Sch C'!F58</f>
        <v>-15164.74</v>
      </c>
      <c r="E65" s="171">
        <f t="shared" si="9"/>
        <v>59091.26</v>
      </c>
      <c r="F65" s="171"/>
      <c r="G65" s="171">
        <f t="shared" si="10"/>
        <v>59091.26</v>
      </c>
      <c r="H65" s="172">
        <f t="shared" si="11"/>
        <v>1.0120298427586981E-2</v>
      </c>
      <c r="I65" s="337"/>
      <c r="J65" s="190"/>
      <c r="K65" s="168"/>
      <c r="M65" s="359">
        <f t="shared" si="12"/>
        <v>2.7377344329132693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490">
        <f>'[83]Sch C'!D59</f>
        <v>0</v>
      </c>
      <c r="D66" s="490">
        <f>'[83]Sch C'!F59</f>
        <v>0</v>
      </c>
      <c r="E66" s="171">
        <f t="shared" si="9"/>
        <v>0</v>
      </c>
      <c r="F66" s="171"/>
      <c r="G66" s="171">
        <f t="shared" si="10"/>
        <v>0</v>
      </c>
      <c r="H66" s="172">
        <f t="shared" si="11"/>
        <v>0</v>
      </c>
      <c r="I66" s="337"/>
      <c r="J66" s="190"/>
      <c r="K66" s="168"/>
      <c r="M66" s="359">
        <f t="shared" si="12"/>
        <v>0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490">
        <f>'[83]Sch C'!D60</f>
        <v>52410</v>
      </c>
      <c r="D67" s="490">
        <f>'[83]Sch C'!F60</f>
        <v>0</v>
      </c>
      <c r="E67" s="171">
        <f t="shared" si="9"/>
        <v>52410</v>
      </c>
      <c r="F67" s="171"/>
      <c r="G67" s="171">
        <f t="shared" si="10"/>
        <v>52410</v>
      </c>
      <c r="H67" s="172">
        <f t="shared" si="11"/>
        <v>8.9760286138734161E-3</v>
      </c>
      <c r="I67" s="337"/>
      <c r="J67" s="193"/>
      <c r="K67" s="168"/>
      <c r="M67" s="359">
        <f t="shared" si="12"/>
        <v>2.4281875463306153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490">
        <f>'[83]Sch C'!D61</f>
        <v>0</v>
      </c>
      <c r="D68" s="490">
        <f>'[83]Sch C'!F61</f>
        <v>0</v>
      </c>
      <c r="E68" s="171">
        <f t="shared" si="9"/>
        <v>0</v>
      </c>
      <c r="F68" s="171"/>
      <c r="G68" s="171">
        <f t="shared" si="10"/>
        <v>0</v>
      </c>
      <c r="H68" s="172">
        <f t="shared" si="11"/>
        <v>0</v>
      </c>
      <c r="I68" s="337"/>
      <c r="J68" s="193"/>
      <c r="K68" s="168"/>
      <c r="M68" s="359">
        <f t="shared" si="12"/>
        <v>0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490">
        <f>'[83]Sch C'!D62</f>
        <v>14220</v>
      </c>
      <c r="D69" s="490">
        <f>'[83]Sch C'!F62</f>
        <v>-13230.01</v>
      </c>
      <c r="E69" s="171">
        <f t="shared" si="9"/>
        <v>989.98999999999978</v>
      </c>
      <c r="F69" s="171"/>
      <c r="G69" s="171">
        <f t="shared" si="10"/>
        <v>989.98999999999978</v>
      </c>
      <c r="H69" s="172">
        <f t="shared" si="11"/>
        <v>1.6955120334761575E-4</v>
      </c>
      <c r="I69" s="337"/>
      <c r="J69" s="195"/>
      <c r="K69" s="168"/>
      <c r="M69" s="359">
        <f t="shared" si="12"/>
        <v>4.5866845811712367E-2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490">
        <f>'[83]Sch C'!D63</f>
        <v>0</v>
      </c>
      <c r="D70" s="490">
        <f>'[83]Sch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7"/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490">
        <f>'[83]Sch C'!D64</f>
        <v>0</v>
      </c>
      <c r="D71" s="490">
        <f>'[83]Sch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490">
        <f>'[83]Sch C'!D65</f>
        <v>0</v>
      </c>
      <c r="D72" s="490">
        <f>'[83]Sch C'!F65</f>
        <v>0</v>
      </c>
      <c r="E72" s="171">
        <f t="shared" si="9"/>
        <v>0</v>
      </c>
      <c r="F72" s="171"/>
      <c r="G72" s="171">
        <f t="shared" si="10"/>
        <v>0</v>
      </c>
      <c r="H72" s="172">
        <f t="shared" si="11"/>
        <v>0</v>
      </c>
      <c r="I72" s="337"/>
      <c r="J72" s="195"/>
      <c r="K72" s="168"/>
      <c r="M72" s="359">
        <f t="shared" si="12"/>
        <v>0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490">
        <f>'[83]Sch C'!D66</f>
        <v>0</v>
      </c>
      <c r="D73" s="490">
        <f>'[83]Sch C'!F66</f>
        <v>0</v>
      </c>
      <c r="E73" s="171">
        <f t="shared" si="9"/>
        <v>0</v>
      </c>
      <c r="F73" s="171"/>
      <c r="G73" s="171">
        <f t="shared" si="10"/>
        <v>0</v>
      </c>
      <c r="H73" s="172">
        <f t="shared" si="11"/>
        <v>0</v>
      </c>
      <c r="I73" s="337"/>
      <c r="J73" s="195"/>
      <c r="K73" s="168"/>
      <c r="M73" s="359">
        <f t="shared" si="12"/>
        <v>0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490">
        <f>'[83]Sch C'!D67</f>
        <v>49507</v>
      </c>
      <c r="D74" s="490">
        <f>'[83]Sch C'!F67</f>
        <v>9828.86</v>
      </c>
      <c r="E74" s="171">
        <f t="shared" si="9"/>
        <v>59335.86</v>
      </c>
      <c r="F74" s="171"/>
      <c r="G74" s="171">
        <f t="shared" si="10"/>
        <v>59335.86</v>
      </c>
      <c r="H74" s="172">
        <f t="shared" si="11"/>
        <v>1.0162189986429824E-2</v>
      </c>
      <c r="I74" s="337"/>
      <c r="J74" s="195"/>
      <c r="K74" s="168"/>
      <c r="M74" s="359">
        <f t="shared" si="12"/>
        <v>2.7490669014084506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490">
        <f>'[83]Sch C'!D68</f>
        <v>4482</v>
      </c>
      <c r="D75" s="490">
        <f>'[83]Sch C'!F68</f>
        <v>0</v>
      </c>
      <c r="E75" s="171">
        <f t="shared" si="9"/>
        <v>4482</v>
      </c>
      <c r="F75" s="171"/>
      <c r="G75" s="171">
        <f t="shared" si="10"/>
        <v>4482</v>
      </c>
      <c r="H75" s="172">
        <f t="shared" si="11"/>
        <v>7.6761229245145301E-4</v>
      </c>
      <c r="I75" s="337"/>
      <c r="J75" s="195"/>
      <c r="K75" s="168"/>
      <c r="M75" s="359">
        <f t="shared" si="12"/>
        <v>0.2076538176426983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490">
        <f>'[83]Sch C'!D69</f>
        <v>0</v>
      </c>
      <c r="D76" s="490">
        <f>'[83]Sch C'!F69</f>
        <v>0</v>
      </c>
      <c r="E76" s="171">
        <f t="shared" si="9"/>
        <v>0</v>
      </c>
      <c r="F76" s="171"/>
      <c r="G76" s="171">
        <f t="shared" si="10"/>
        <v>0</v>
      </c>
      <c r="H76" s="172">
        <f t="shared" si="11"/>
        <v>0</v>
      </c>
      <c r="I76" s="337"/>
      <c r="J76" s="195"/>
      <c r="K76" s="168"/>
      <c r="M76" s="359">
        <f t="shared" si="12"/>
        <v>0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490">
        <f>'[83]Sch C'!D70</f>
        <v>0</v>
      </c>
      <c r="D77" s="490">
        <f>'[83]Sch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7"/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490">
        <f>'[83]Sch C'!D71</f>
        <v>0</v>
      </c>
      <c r="D78" s="490">
        <f>'[83]Sch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7"/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490">
        <f>SUM(C64:C78)</f>
        <v>979829</v>
      </c>
      <c r="D79" s="490">
        <f>SUM(D64:D78)</f>
        <v>-83188.59</v>
      </c>
      <c r="E79" s="171">
        <f t="shared" ref="E79:F79" si="13">SUM(E64:E78)</f>
        <v>896640.41</v>
      </c>
      <c r="F79" s="171">
        <f t="shared" si="13"/>
        <v>0</v>
      </c>
      <c r="G79" s="171">
        <f>SUM(G64:G78)</f>
        <v>896640.41</v>
      </c>
      <c r="H79" s="172">
        <f t="shared" si="11"/>
        <v>0.15356363244638793</v>
      </c>
      <c r="I79" s="337"/>
      <c r="J79" s="195"/>
      <c r="K79" s="168"/>
      <c r="M79" s="359">
        <f t="shared" si="12"/>
        <v>41.541901871756856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490">
        <f>'[83]Sch C'!D75</f>
        <v>43530</v>
      </c>
      <c r="D82" s="490">
        <f>'[83]Sch C'!F75</f>
        <v>0</v>
      </c>
      <c r="E82" s="171">
        <f t="shared" ref="E82:E92" si="14">C82+D82</f>
        <v>43530</v>
      </c>
      <c r="F82" s="171"/>
      <c r="G82" s="171">
        <f t="shared" ref="G82:G92" si="15">E82+F82</f>
        <v>43530</v>
      </c>
      <c r="H82" s="172">
        <f t="shared" ref="H82:H93" si="16">IF($G$208=0,0,G82/$G$208)</f>
        <v>7.4551903369950356E-3</v>
      </c>
      <c r="I82" s="337"/>
      <c r="J82" s="183">
        <v>1813</v>
      </c>
      <c r="K82" s="183">
        <v>2128</v>
      </c>
      <c r="M82" s="359">
        <f t="shared" ref="M82:M92" si="17">G82/G$228</f>
        <v>2.0167716827279465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490">
        <f>'[83]Sch C'!D76</f>
        <v>7319</v>
      </c>
      <c r="D83" s="490">
        <f>'[83]Sch C'!F76</f>
        <v>0</v>
      </c>
      <c r="E83" s="171">
        <f t="shared" si="14"/>
        <v>7319</v>
      </c>
      <c r="F83" s="171"/>
      <c r="G83" s="171">
        <f t="shared" si="15"/>
        <v>7319</v>
      </c>
      <c r="H83" s="172">
        <f t="shared" si="16"/>
        <v>1.2534927194226204E-3</v>
      </c>
      <c r="I83" s="337"/>
      <c r="J83" s="168"/>
      <c r="K83" s="168"/>
      <c r="M83" s="359">
        <f t="shared" si="17"/>
        <v>0.33909377316530764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490">
        <f>'[83]Sch C'!D77</f>
        <v>10685</v>
      </c>
      <c r="D84" s="490">
        <f>'[83]Sch C'!F77</f>
        <v>3084.77</v>
      </c>
      <c r="E84" s="171">
        <f t="shared" si="14"/>
        <v>13769.77</v>
      </c>
      <c r="F84" s="171"/>
      <c r="G84" s="171">
        <f t="shared" si="15"/>
        <v>13769.77</v>
      </c>
      <c r="H84" s="172">
        <f t="shared" si="16"/>
        <v>2.3582875315103177E-3</v>
      </c>
      <c r="I84" s="337"/>
      <c r="J84" s="168"/>
      <c r="K84" s="168"/>
      <c r="M84" s="359">
        <f t="shared" si="17"/>
        <v>0.63796191623424758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490">
        <f>'[83]Sch C'!D78</f>
        <v>4579</v>
      </c>
      <c r="D85" s="490">
        <f>'[83]Sch C'!F78</f>
        <v>0</v>
      </c>
      <c r="E85" s="171">
        <f t="shared" si="14"/>
        <v>4579</v>
      </c>
      <c r="F85" s="171"/>
      <c r="G85" s="171">
        <f t="shared" si="15"/>
        <v>4579</v>
      </c>
      <c r="H85" s="172">
        <f t="shared" si="16"/>
        <v>7.8422505290834518E-4</v>
      </c>
      <c r="I85" s="337"/>
      <c r="J85" s="168"/>
      <c r="K85" s="168"/>
      <c r="M85" s="359">
        <f t="shared" si="17"/>
        <v>0.21214788732394366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490">
        <f>'[83]Sch C'!D79</f>
        <v>0</v>
      </c>
      <c r="D86" s="490">
        <f>'[83]Sch C'!F79</f>
        <v>0</v>
      </c>
      <c r="E86" s="171">
        <f t="shared" si="14"/>
        <v>0</v>
      </c>
      <c r="F86" s="171"/>
      <c r="G86" s="171">
        <f>E86+F86</f>
        <v>0</v>
      </c>
      <c r="H86" s="172">
        <f t="shared" si="16"/>
        <v>0</v>
      </c>
      <c r="I86" s="337"/>
      <c r="J86" s="168"/>
      <c r="K86" s="168"/>
      <c r="M86" s="359">
        <f t="shared" si="17"/>
        <v>0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490">
        <f>'[83]Sch C'!D80</f>
        <v>34193</v>
      </c>
      <c r="D87" s="490">
        <f>'[83]Sch C'!F80</f>
        <v>0</v>
      </c>
      <c r="E87" s="171">
        <f t="shared" si="14"/>
        <v>34193</v>
      </c>
      <c r="F87" s="171"/>
      <c r="G87" s="171">
        <f t="shared" si="15"/>
        <v>34193</v>
      </c>
      <c r="H87" s="172">
        <f t="shared" si="16"/>
        <v>5.8560836938403686E-3</v>
      </c>
      <c r="I87" s="337"/>
      <c r="J87" s="168"/>
      <c r="K87" s="168"/>
      <c r="M87" s="359">
        <f t="shared" si="17"/>
        <v>1.5841827279466272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490">
        <f>'[83]Sch C'!D81</f>
        <v>5417</v>
      </c>
      <c r="D88" s="490">
        <f>'[83]Sch C'!F81</f>
        <v>0</v>
      </c>
      <c r="E88" s="171">
        <f t="shared" si="14"/>
        <v>5417</v>
      </c>
      <c r="F88" s="171"/>
      <c r="G88" s="171">
        <f t="shared" si="15"/>
        <v>5417</v>
      </c>
      <c r="H88" s="172">
        <f t="shared" si="16"/>
        <v>9.2774560201015635E-4</v>
      </c>
      <c r="I88" s="337"/>
      <c r="J88" s="168"/>
      <c r="K88" s="168"/>
      <c r="M88" s="359">
        <f t="shared" si="17"/>
        <v>0.25097294292068201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490">
        <f>'[83]Sch C'!D82</f>
        <v>0</v>
      </c>
      <c r="D89" s="490">
        <f>'[83]Sch C'!F82</f>
        <v>0</v>
      </c>
      <c r="E89" s="171">
        <f t="shared" si="14"/>
        <v>0</v>
      </c>
      <c r="F89" s="171"/>
      <c r="G89" s="171">
        <f t="shared" si="15"/>
        <v>0</v>
      </c>
      <c r="H89" s="172">
        <f t="shared" si="16"/>
        <v>0</v>
      </c>
      <c r="I89" s="337"/>
      <c r="J89" s="168"/>
      <c r="K89" s="168"/>
      <c r="M89" s="359">
        <f t="shared" si="17"/>
        <v>0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490">
        <f>'[83]Sch C'!D83</f>
        <v>4839</v>
      </c>
      <c r="D90" s="490">
        <f>'[83]Sch C'!F83</f>
        <v>0</v>
      </c>
      <c r="E90" s="171">
        <f t="shared" si="14"/>
        <v>4839</v>
      </c>
      <c r="F90" s="171"/>
      <c r="G90" s="171">
        <f t="shared" si="15"/>
        <v>4839</v>
      </c>
      <c r="H90" s="172">
        <f t="shared" si="16"/>
        <v>8.2875410155568521E-4</v>
      </c>
      <c r="I90" s="337"/>
      <c r="J90" s="168"/>
      <c r="K90" s="168"/>
      <c r="M90" s="359">
        <f t="shared" si="17"/>
        <v>0.22419384729429206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490">
        <f>'[83]Sch C'!D84</f>
        <v>131248</v>
      </c>
      <c r="D91" s="490">
        <f>'[83]Sch C'!F84</f>
        <v>0</v>
      </c>
      <c r="E91" s="171">
        <f t="shared" si="14"/>
        <v>131248</v>
      </c>
      <c r="F91" s="171"/>
      <c r="G91" s="171">
        <f t="shared" si="15"/>
        <v>131248</v>
      </c>
      <c r="H91" s="172">
        <f t="shared" si="16"/>
        <v>2.2478263757177222E-2</v>
      </c>
      <c r="I91" s="337"/>
      <c r="J91" s="168"/>
      <c r="K91" s="168"/>
      <c r="M91" s="359">
        <f t="shared" si="17"/>
        <v>6.0808005930318751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490">
        <f>'[83]Sch C'!D85</f>
        <v>25464</v>
      </c>
      <c r="D92" s="490">
        <f>'[83]Sch C'!F85</f>
        <v>0</v>
      </c>
      <c r="E92" s="171">
        <f t="shared" si="14"/>
        <v>25464</v>
      </c>
      <c r="F92" s="171"/>
      <c r="G92" s="171">
        <f t="shared" si="15"/>
        <v>25464</v>
      </c>
      <c r="H92" s="172">
        <f t="shared" si="16"/>
        <v>4.3611065182917888E-3</v>
      </c>
      <c r="I92" s="337"/>
      <c r="J92" s="168"/>
      <c r="K92" s="168"/>
      <c r="M92" s="359">
        <f t="shared" si="17"/>
        <v>1.1797627872498146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490">
        <f>SUM(C82:C92)</f>
        <v>267274</v>
      </c>
      <c r="D93" s="490">
        <f>SUM(D82:D92)</f>
        <v>3084.77</v>
      </c>
      <c r="E93" s="171">
        <f t="shared" ref="E93:F93" si="18">SUM(E82:E92)</f>
        <v>270358.77</v>
      </c>
      <c r="F93" s="171">
        <f t="shared" si="18"/>
        <v>0</v>
      </c>
      <c r="G93" s="171">
        <f>SUM(G82:G92)</f>
        <v>270358.77</v>
      </c>
      <c r="H93" s="172">
        <f t="shared" si="16"/>
        <v>4.6303149313711545E-2</v>
      </c>
      <c r="I93" s="337"/>
      <c r="J93" s="168"/>
      <c r="K93" s="168"/>
      <c r="M93" s="364">
        <f>G93/G$228</f>
        <v>12.525888157894737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490">
        <f>'[83]Sch C'!D89</f>
        <v>96268</v>
      </c>
      <c r="D96" s="490">
        <f>'[83]Sch C'!F89</f>
        <v>0</v>
      </c>
      <c r="E96" s="171">
        <f t="shared" ref="E96:E101" si="19">C96+D96</f>
        <v>96268</v>
      </c>
      <c r="F96" s="171"/>
      <c r="G96" s="171">
        <f t="shared" ref="G96:G101" si="20">E96+F96</f>
        <v>96268</v>
      </c>
      <c r="H96" s="172">
        <f t="shared" ref="H96:H102" si="21">IF($G$208=0,0,G96/$G$208)</f>
        <v>1.648739405839279E-2</v>
      </c>
      <c r="I96" s="337"/>
      <c r="J96" s="183">
        <v>5547</v>
      </c>
      <c r="K96" s="183">
        <v>5555</v>
      </c>
      <c r="M96" s="364">
        <f t="shared" ref="M96:M101" si="22">G96/G$228</f>
        <v>4.4601556708673087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490">
        <f>'[83]Sch C'!D90</f>
        <v>8193</v>
      </c>
      <c r="D97" s="490">
        <f>'[83]Sch C'!F90</f>
        <v>0</v>
      </c>
      <c r="E97" s="171">
        <f t="shared" si="19"/>
        <v>8193</v>
      </c>
      <c r="F97" s="171"/>
      <c r="G97" s="171">
        <f t="shared" si="20"/>
        <v>8193</v>
      </c>
      <c r="H97" s="172">
        <f t="shared" si="21"/>
        <v>1.4031788291063709E-3</v>
      </c>
      <c r="I97" s="337"/>
      <c r="J97" s="168"/>
      <c r="K97" s="168"/>
      <c r="M97" s="364">
        <f t="shared" si="22"/>
        <v>0.37958673091178652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490">
        <f>'[83]Sch C'!D91</f>
        <v>253283</v>
      </c>
      <c r="D98" s="490">
        <f>'[83]Sch C'!F91</f>
        <v>0</v>
      </c>
      <c r="E98" s="171">
        <f t="shared" si="19"/>
        <v>253283</v>
      </c>
      <c r="F98" s="171"/>
      <c r="G98" s="171">
        <f t="shared" si="20"/>
        <v>253283</v>
      </c>
      <c r="H98" s="172">
        <f t="shared" si="21"/>
        <v>4.3378657802093122E-2</v>
      </c>
      <c r="I98" s="337"/>
      <c r="J98" s="168"/>
      <c r="K98" s="168"/>
      <c r="M98" s="364">
        <f t="shared" si="22"/>
        <v>11.734757227575983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490">
        <f>'[83]Sch C'!D92</f>
        <v>40299</v>
      </c>
      <c r="D99" s="490">
        <f>'[83]Sch C'!F92</f>
        <v>0</v>
      </c>
      <c r="E99" s="171">
        <f t="shared" si="19"/>
        <v>40299</v>
      </c>
      <c r="F99" s="171"/>
      <c r="G99" s="171">
        <f t="shared" si="20"/>
        <v>40299</v>
      </c>
      <c r="H99" s="172">
        <f t="shared" si="21"/>
        <v>6.9018312747659762E-3</v>
      </c>
      <c r="I99" s="337"/>
      <c r="J99" s="168"/>
      <c r="K99" s="168"/>
      <c r="M99" s="364">
        <f t="shared" si="22"/>
        <v>1.8670774647887325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490">
        <f>'[83]Sch C'!D93</f>
        <v>3835</v>
      </c>
      <c r="D100" s="490">
        <f>'[83]Sch C'!F93</f>
        <v>0</v>
      </c>
      <c r="E100" s="171">
        <f t="shared" si="19"/>
        <v>3835</v>
      </c>
      <c r="F100" s="171"/>
      <c r="G100" s="171">
        <f t="shared" si="20"/>
        <v>3835</v>
      </c>
      <c r="H100" s="172">
        <f t="shared" si="21"/>
        <v>6.5680346754826461E-4</v>
      </c>
      <c r="I100" s="337"/>
      <c r="J100" s="168"/>
      <c r="K100" s="168"/>
      <c r="M100" s="364">
        <f t="shared" si="22"/>
        <v>0.17767790956263899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490">
        <f>'[83]Sch C'!D94</f>
        <v>0</v>
      </c>
      <c r="D101" s="490">
        <f>'[83]Sch C'!F94</f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I101" s="337"/>
      <c r="J101" s="168"/>
      <c r="K101" s="168"/>
      <c r="M101" s="364">
        <f t="shared" si="22"/>
        <v>0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490">
        <f>SUM(C96:C101)</f>
        <v>401878</v>
      </c>
      <c r="D102" s="490">
        <f>SUM(D96:D101)</f>
        <v>0</v>
      </c>
      <c r="E102" s="171">
        <f t="shared" ref="E102:F102" si="23">SUM(E96:E101)</f>
        <v>401878</v>
      </c>
      <c r="F102" s="171">
        <f t="shared" si="23"/>
        <v>0</v>
      </c>
      <c r="G102" s="171">
        <f>SUM(G96:G101)</f>
        <v>401878</v>
      </c>
      <c r="H102" s="172">
        <f t="shared" si="21"/>
        <v>6.8827865431906526E-2</v>
      </c>
      <c r="I102" s="337"/>
      <c r="J102" s="168"/>
      <c r="K102" s="168"/>
      <c r="M102" s="364">
        <f>G102/G$228</f>
        <v>18.619255003706449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490">
        <f>'[83]Sch C'!D98</f>
        <v>0</v>
      </c>
      <c r="D105" s="490">
        <f>'[83]Sch C'!F98</f>
        <v>0</v>
      </c>
      <c r="E105" s="171">
        <f t="shared" ref="E105:E110" si="24">C105+D105</f>
        <v>0</v>
      </c>
      <c r="F105" s="171"/>
      <c r="G105" s="171">
        <f t="shared" ref="G105:G110" si="25">E105+F105</f>
        <v>0</v>
      </c>
      <c r="H105" s="172">
        <f t="shared" ref="H105:H111" si="26">IF($G$208=0,0,G105/$G$208)</f>
        <v>0</v>
      </c>
      <c r="I105" s="337"/>
      <c r="J105" s="183">
        <v>0</v>
      </c>
      <c r="K105" s="183">
        <v>0</v>
      </c>
      <c r="M105" s="364">
        <f t="shared" ref="M105:M110" si="27">G105/G$228</f>
        <v>0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490">
        <f>'[83]Sch C'!D99</f>
        <v>0</v>
      </c>
      <c r="D106" s="490">
        <f>'[83]Sch C'!F99</f>
        <v>0</v>
      </c>
      <c r="E106" s="171">
        <f t="shared" si="24"/>
        <v>0</v>
      </c>
      <c r="F106" s="171"/>
      <c r="G106" s="171">
        <f t="shared" si="25"/>
        <v>0</v>
      </c>
      <c r="H106" s="172">
        <f t="shared" si="26"/>
        <v>0</v>
      </c>
      <c r="I106" s="337"/>
      <c r="J106" s="168"/>
      <c r="K106" s="168"/>
      <c r="M106" s="364">
        <f t="shared" si="27"/>
        <v>0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490">
        <f>'[83]Sch C'!D100</f>
        <v>3772</v>
      </c>
      <c r="D107" s="490">
        <f>'[83]Sch C'!F100</f>
        <v>0</v>
      </c>
      <c r="E107" s="171">
        <f t="shared" si="24"/>
        <v>3772</v>
      </c>
      <c r="F107" s="171"/>
      <c r="G107" s="171">
        <f t="shared" si="25"/>
        <v>3772</v>
      </c>
      <c r="H107" s="172">
        <f t="shared" si="26"/>
        <v>6.460137365298707E-4</v>
      </c>
      <c r="I107" s="337"/>
      <c r="J107" s="168"/>
      <c r="K107" s="168"/>
      <c r="M107" s="364">
        <f t="shared" si="27"/>
        <v>0.17475908080059302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490">
        <f>'[83]Sch C'!D101</f>
        <v>53450</v>
      </c>
      <c r="D108" s="490">
        <f>'[83]Sch C'!F101</f>
        <v>0</v>
      </c>
      <c r="E108" s="171">
        <f t="shared" si="24"/>
        <v>53450</v>
      </c>
      <c r="F108" s="171"/>
      <c r="G108" s="171">
        <f t="shared" si="25"/>
        <v>53450</v>
      </c>
      <c r="H108" s="172">
        <f t="shared" si="26"/>
        <v>9.1541448084627754E-3</v>
      </c>
      <c r="I108" s="337"/>
      <c r="J108" s="168"/>
      <c r="K108" s="168"/>
      <c r="M108" s="364">
        <f t="shared" si="27"/>
        <v>2.4763713862120089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490">
        <f>'[83]Sch C'!D102</f>
        <v>-1674</v>
      </c>
      <c r="D109" s="490">
        <f>'[83]Sch C'!F102</f>
        <v>11365.34</v>
      </c>
      <c r="E109" s="171">
        <f t="shared" si="24"/>
        <v>9691.34</v>
      </c>
      <c r="F109" s="171"/>
      <c r="G109" s="171">
        <f t="shared" si="25"/>
        <v>9691.34</v>
      </c>
      <c r="H109" s="172">
        <f t="shared" si="26"/>
        <v>1.6597928858381225E-3</v>
      </c>
      <c r="I109" s="337"/>
      <c r="J109" s="168"/>
      <c r="K109" s="168"/>
      <c r="M109" s="364">
        <f t="shared" si="27"/>
        <v>0.44900574499629353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490">
        <f>'[83]Sch C'!D103</f>
        <v>0</v>
      </c>
      <c r="D110" s="490">
        <f>'[83]Sch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7"/>
      <c r="J110" s="168"/>
      <c r="K110" s="168"/>
      <c r="M110" s="364">
        <f t="shared" si="27"/>
        <v>0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490">
        <f>SUM(C105:C110)</f>
        <v>55548</v>
      </c>
      <c r="D111" s="490">
        <f>SUM(D105:D110)</f>
        <v>11365.34</v>
      </c>
      <c r="E111" s="171">
        <f t="shared" ref="E111:F111" si="28">SUM(E105:E110)</f>
        <v>66913.34</v>
      </c>
      <c r="F111" s="171">
        <f t="shared" si="28"/>
        <v>0</v>
      </c>
      <c r="G111" s="171">
        <f>SUM(G105:G110)</f>
        <v>66913.34</v>
      </c>
      <c r="H111" s="172">
        <f t="shared" si="26"/>
        <v>1.1459951430830768E-2</v>
      </c>
      <c r="I111" s="337"/>
      <c r="J111" s="168"/>
      <c r="K111" s="168"/>
      <c r="M111" s="364">
        <f>G111/G$228</f>
        <v>3.1001362120088953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490">
        <f>'[83]Sch C'!D115</f>
        <v>0</v>
      </c>
      <c r="D114" s="490">
        <f>'[83]Sch C'!F115</f>
        <v>0</v>
      </c>
      <c r="E114" s="171">
        <f t="shared" ref="E114:E118" si="29">C114+D114</f>
        <v>0</v>
      </c>
      <c r="F114" s="171"/>
      <c r="G114" s="171">
        <f>E114+F114</f>
        <v>0</v>
      </c>
      <c r="H114" s="172">
        <f t="shared" ref="H114:H119" si="30">IF($G$208=0,0,G114/$G$208)</f>
        <v>0</v>
      </c>
      <c r="I114" s="337"/>
      <c r="J114" s="183">
        <v>0</v>
      </c>
      <c r="K114" s="183">
        <v>0</v>
      </c>
      <c r="M114" s="364">
        <f t="shared" ref="M114:M119" si="31">G114/G$228</f>
        <v>0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490">
        <f>'[83]Sch C'!D116</f>
        <v>0</v>
      </c>
      <c r="D115" s="490">
        <f>'[83]Sch C'!F116</f>
        <v>0</v>
      </c>
      <c r="E115" s="171">
        <f t="shared" si="29"/>
        <v>0</v>
      </c>
      <c r="F115" s="171"/>
      <c r="G115" s="171">
        <f>E115+F115</f>
        <v>0</v>
      </c>
      <c r="H115" s="172">
        <f t="shared" si="30"/>
        <v>0</v>
      </c>
      <c r="I115" s="337"/>
      <c r="J115" s="168"/>
      <c r="K115" s="168"/>
      <c r="M115" s="364">
        <f t="shared" si="31"/>
        <v>0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490">
        <f>'[83]Sch C'!D117</f>
        <v>10486</v>
      </c>
      <c r="D116" s="490">
        <f>'[83]Sch C'!F117</f>
        <v>0</v>
      </c>
      <c r="E116" s="171">
        <f t="shared" si="29"/>
        <v>10486</v>
      </c>
      <c r="F116" s="171"/>
      <c r="G116" s="171">
        <f>E116+F116</f>
        <v>10486</v>
      </c>
      <c r="H116" s="172">
        <f t="shared" si="30"/>
        <v>1.7958907850615653E-3</v>
      </c>
      <c r="I116" s="337"/>
      <c r="J116" s="168"/>
      <c r="K116" s="168"/>
      <c r="M116" s="364">
        <f t="shared" si="31"/>
        <v>0.48582283172720536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490">
        <f>'[83]Sch C'!D118</f>
        <v>80590</v>
      </c>
      <c r="D117" s="490">
        <f>'[83]Sch C'!F118</f>
        <v>0</v>
      </c>
      <c r="E117" s="171">
        <f t="shared" si="29"/>
        <v>80590</v>
      </c>
      <c r="F117" s="171"/>
      <c r="G117" s="171">
        <f>E117+F117</f>
        <v>80590</v>
      </c>
      <c r="H117" s="172">
        <f t="shared" si="30"/>
        <v>1.3802292424958187E-2</v>
      </c>
      <c r="I117" s="337"/>
      <c r="J117" s="168"/>
      <c r="K117" s="168"/>
      <c r="M117" s="364">
        <f t="shared" si="31"/>
        <v>3.7337842846553002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490">
        <f>'[83]Sch C'!D119</f>
        <v>0</v>
      </c>
      <c r="D118" s="490">
        <f>'[83]Sch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337"/>
      <c r="J118" s="168"/>
      <c r="K118" s="168"/>
      <c r="M118" s="364">
        <f t="shared" si="31"/>
        <v>0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490">
        <f>SUM(C114:C118)</f>
        <v>91076</v>
      </c>
      <c r="D119" s="490">
        <f>SUM(D114:D118)</f>
        <v>0</v>
      </c>
      <c r="E119" s="171">
        <f t="shared" ref="E119:F119" si="32">SUM(E114:E118)</f>
        <v>91076</v>
      </c>
      <c r="F119" s="171">
        <f t="shared" si="32"/>
        <v>0</v>
      </c>
      <c r="G119" s="171">
        <f>SUM(G114:G118)</f>
        <v>91076</v>
      </c>
      <c r="H119" s="172">
        <f t="shared" si="30"/>
        <v>1.5598183210019753E-2</v>
      </c>
      <c r="I119" s="337"/>
      <c r="J119" s="168"/>
      <c r="K119" s="168"/>
      <c r="M119" s="364">
        <f t="shared" si="31"/>
        <v>4.2196071163825053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1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490">
        <f>'[83]Sch C'!D124</f>
        <v>0</v>
      </c>
      <c r="D123" s="490">
        <f>'[83]Sch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7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0.77002560279620991</v>
      </c>
    </row>
    <row r="124" spans="1:14" s="167" customFormat="1">
      <c r="B124" s="163" t="s">
        <v>194</v>
      </c>
      <c r="C124" s="490">
        <f>'[83]Sch C'!D125</f>
        <v>0</v>
      </c>
      <c r="D124" s="490">
        <f>'[83]Sch C'!F125</f>
        <v>242093.6</v>
      </c>
      <c r="E124" s="171">
        <f t="shared" si="33"/>
        <v>242093.6</v>
      </c>
      <c r="F124" s="171"/>
      <c r="G124" s="171">
        <f>E124+F124</f>
        <v>242093.6</v>
      </c>
      <c r="H124" s="172">
        <f>IF($G$208=0,0,G124/$G$208)</f>
        <v>4.146229881388333E-2</v>
      </c>
      <c r="I124" s="337"/>
      <c r="J124" s="183">
        <v>6505.72</v>
      </c>
      <c r="K124" s="183">
        <v>7424.3</v>
      </c>
      <c r="M124" s="364">
        <f t="shared" si="34"/>
        <v>11.216345441067457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490">
        <f>'[83]Sch C'!D126</f>
        <v>0</v>
      </c>
      <c r="D125" s="490">
        <f>'[83]Sch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7"/>
      <c r="J125" s="183">
        <v>0</v>
      </c>
      <c r="K125" s="183">
        <v>0</v>
      </c>
      <c r="M125" s="364">
        <f t="shared" si="34"/>
        <v>0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490">
        <f>'[83]Sch C'!D127</f>
        <v>0</v>
      </c>
      <c r="D126" s="490">
        <f>'[83]Sch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7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490">
        <f>'[83]Sch C'!D128</f>
        <v>287647.98</v>
      </c>
      <c r="D127" s="490">
        <f>'[83]Sch C'!F128</f>
        <v>-242093.6</v>
      </c>
      <c r="E127" s="171">
        <f t="shared" si="33"/>
        <v>45554.379999999976</v>
      </c>
      <c r="F127" s="171"/>
      <c r="G127" s="171">
        <f>E127+F127</f>
        <v>45554.379999999976</v>
      </c>
      <c r="H127" s="172">
        <f>IF($G$208=0,0,G127/$G$208)</f>
        <v>7.8018969350746549E-3</v>
      </c>
      <c r="I127" s="337"/>
      <c r="J127" s="183">
        <v>2452.23</v>
      </c>
      <c r="K127" s="183">
        <v>2741.03</v>
      </c>
      <c r="M127" s="364">
        <f t="shared" si="34"/>
        <v>2.1105624536693837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205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490">
        <f>'[83]Sch C'!D130</f>
        <v>0</v>
      </c>
      <c r="D129" s="490">
        <f>'[83]Sch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7"/>
      <c r="J129" s="204"/>
      <c r="K129" s="204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490">
        <f>'[83]Sch C'!D131</f>
        <v>0</v>
      </c>
      <c r="D130" s="490">
        <f>'[83]Sch C'!F131</f>
        <v>0</v>
      </c>
      <c r="E130" s="171">
        <f t="shared" si="35"/>
        <v>0</v>
      </c>
      <c r="F130" s="171">
        <v>43907</v>
      </c>
      <c r="G130" s="171">
        <f>E130+F130</f>
        <v>43907</v>
      </c>
      <c r="H130" s="172">
        <f>IF($G$208=0,0,G130/$G$208)</f>
        <v>7.5197574575336787E-3</v>
      </c>
      <c r="I130" s="570" t="s">
        <v>473</v>
      </c>
      <c r="J130" s="204"/>
      <c r="K130" s="204"/>
      <c r="M130" s="364">
        <f t="shared" si="34"/>
        <v>2.034238324684952</v>
      </c>
      <c r="N130" s="359">
        <f>SUMMARY!J133</f>
        <v>1.0792348507966931</v>
      </c>
    </row>
    <row r="131" spans="1:14" s="167" customFormat="1">
      <c r="B131" s="163" t="s">
        <v>195</v>
      </c>
      <c r="C131" s="490">
        <f>'[83]Sch C'!D132</f>
        <v>0</v>
      </c>
      <c r="D131" s="490">
        <f>'[83]Sch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7"/>
      <c r="J131" s="168"/>
      <c r="K131" s="168"/>
      <c r="M131" s="364">
        <f t="shared" si="34"/>
        <v>0</v>
      </c>
      <c r="N131" s="359">
        <f>SUMMARY!J134</f>
        <v>8.2765628075518377E-2</v>
      </c>
    </row>
    <row r="132" spans="1:14" s="167" customFormat="1">
      <c r="B132" s="163" t="s">
        <v>196</v>
      </c>
      <c r="C132" s="490">
        <f>'[83]Sch C'!D133</f>
        <v>0</v>
      </c>
      <c r="D132" s="490">
        <f>'[83]Sch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490">
        <f>'[83]Sch C'!D134</f>
        <v>52168.41</v>
      </c>
      <c r="D133" s="490">
        <f>'[83]Sch C'!F134</f>
        <v>0</v>
      </c>
      <c r="E133" s="171">
        <f t="shared" si="35"/>
        <v>52168.41</v>
      </c>
      <c r="F133" s="171">
        <v>-43907</v>
      </c>
      <c r="G133" s="171">
        <f>E133+F133</f>
        <v>8261.4100000000035</v>
      </c>
      <c r="H133" s="172">
        <f>IF($G$208=0,0,G133/$G$208)</f>
        <v>1.4148951068677735E-3</v>
      </c>
      <c r="I133" s="570" t="s">
        <v>648</v>
      </c>
      <c r="J133" s="168"/>
      <c r="K133" s="168"/>
      <c r="M133" s="364">
        <f t="shared" si="34"/>
        <v>0.38275620830244644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490">
        <f>'[83]Sch C'!D136</f>
        <v>350194.33</v>
      </c>
      <c r="D135" s="490">
        <f>'[83]Sch C'!F136</f>
        <v>1482.09</v>
      </c>
      <c r="E135" s="171">
        <f t="shared" ref="E135:E138" si="36">C135+D135</f>
        <v>351676.42000000004</v>
      </c>
      <c r="F135" s="171"/>
      <c r="G135" s="171">
        <f>E135+F135</f>
        <v>351676.42000000004</v>
      </c>
      <c r="H135" s="172">
        <f>IF($G$208=0,0,G135/$G$208)</f>
        <v>6.0230063131932181E-2</v>
      </c>
      <c r="I135" s="337"/>
      <c r="J135" s="183">
        <v>12977.61</v>
      </c>
      <c r="K135" s="183">
        <v>14800.1</v>
      </c>
      <c r="M135" s="364">
        <f t="shared" si="34"/>
        <v>16.29338491475167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490">
        <f>'[83]Sch C'!D137</f>
        <v>391536.37</v>
      </c>
      <c r="D136" s="490">
        <f>'[83]Sch C'!F137</f>
        <v>-1482.09</v>
      </c>
      <c r="E136" s="171">
        <f t="shared" si="36"/>
        <v>390054.27999999997</v>
      </c>
      <c r="F136" s="171"/>
      <c r="G136" s="171">
        <f>E136+F136</f>
        <v>390054.27999999997</v>
      </c>
      <c r="H136" s="172">
        <f>IF($G$208=0,0,G136/$G$208)</f>
        <v>6.6802869266242945E-2</v>
      </c>
      <c r="I136" s="337"/>
      <c r="J136" s="183">
        <v>15792.3</v>
      </c>
      <c r="K136" s="183">
        <v>19103.91</v>
      </c>
      <c r="M136" s="364">
        <f t="shared" si="34"/>
        <v>18.071454781319495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490">
        <f>'[83]Sch C'!D138</f>
        <v>536347.01</v>
      </c>
      <c r="D137" s="490">
        <f>'[83]Sch C'!F138</f>
        <v>0</v>
      </c>
      <c r="E137" s="171">
        <f t="shared" si="36"/>
        <v>536347.01</v>
      </c>
      <c r="F137" s="171"/>
      <c r="G137" s="171">
        <f>E137+F137</f>
        <v>536347.01</v>
      </c>
      <c r="H137" s="172">
        <f>IF($G$208=0,0,G137/$G$208)</f>
        <v>9.1857777308251315E-2</v>
      </c>
      <c r="I137" s="337"/>
      <c r="J137" s="183">
        <v>43152.89</v>
      </c>
      <c r="K137" s="183">
        <v>48082.9</v>
      </c>
      <c r="M137" s="364">
        <f t="shared" si="34"/>
        <v>24.849286971830985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490">
        <f>'[83]Sch C'!D139</f>
        <v>0</v>
      </c>
      <c r="D138" s="490">
        <f>'[83]Sch C'!F139</f>
        <v>0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7"/>
      <c r="J138" s="183">
        <v>0</v>
      </c>
      <c r="K138" s="183">
        <v>0</v>
      </c>
      <c r="M138" s="364">
        <f t="shared" si="34"/>
        <v>0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7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490">
        <f>'[83]Sch C'!D141</f>
        <v>0</v>
      </c>
      <c r="D140" s="490">
        <f>'[83]Sch C'!F141</f>
        <v>0</v>
      </c>
      <c r="E140" s="171">
        <f t="shared" ref="E140:E143" si="37">C140+D140</f>
        <v>0</v>
      </c>
      <c r="F140" s="171"/>
      <c r="G140" s="171">
        <f>E140+F140</f>
        <v>0</v>
      </c>
      <c r="H140" s="172">
        <f>IF($G$208=0,0,G140/$G$208)</f>
        <v>0</v>
      </c>
      <c r="I140" s="337"/>
      <c r="J140" s="168"/>
      <c r="K140" s="168"/>
      <c r="M140" s="364">
        <f t="shared" si="34"/>
        <v>0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490">
        <f>'[83]Sch C'!D142</f>
        <v>47020.4</v>
      </c>
      <c r="D141" s="490">
        <f>'[83]Sch C'!F142</f>
        <v>0</v>
      </c>
      <c r="E141" s="171">
        <f t="shared" si="37"/>
        <v>47020.4</v>
      </c>
      <c r="F141" s="171"/>
      <c r="G141" s="171">
        <f>E141+F141</f>
        <v>47020.4</v>
      </c>
      <c r="H141" s="172">
        <f>IF($G$208=0,0,G141/$G$208)</f>
        <v>8.0529756885284031E-3</v>
      </c>
      <c r="I141" s="337"/>
      <c r="J141" s="168"/>
      <c r="K141" s="168"/>
      <c r="M141" s="364">
        <f t="shared" si="34"/>
        <v>2.178484062268347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490">
        <f>'[83]Sch C'!D143</f>
        <v>58491.98</v>
      </c>
      <c r="D142" s="490">
        <f>'[83]Sch C'!F143</f>
        <v>0</v>
      </c>
      <c r="E142" s="171">
        <f t="shared" si="37"/>
        <v>58491.98</v>
      </c>
      <c r="F142" s="171"/>
      <c r="G142" s="171">
        <f>E142+F142</f>
        <v>58491.98</v>
      </c>
      <c r="H142" s="172">
        <f>IF($G$208=0,0,G142/$G$208)</f>
        <v>1.0017662395766297E-2</v>
      </c>
      <c r="I142" s="337"/>
      <c r="J142" s="168"/>
      <c r="K142" s="168"/>
      <c r="M142" s="364">
        <f t="shared" si="34"/>
        <v>2.7099694217939216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490">
        <f>'[83]Sch C'!D144</f>
        <v>78559.100000000006</v>
      </c>
      <c r="D143" s="490">
        <f>'[83]Sch C'!F144</f>
        <v>0</v>
      </c>
      <c r="E143" s="171">
        <f t="shared" si="37"/>
        <v>78559.100000000006</v>
      </c>
      <c r="F143" s="171"/>
      <c r="G143" s="171">
        <f>E143+F143</f>
        <v>78559.100000000006</v>
      </c>
      <c r="H143" s="172">
        <f>IF($G$208=0,0,G143/$G$208)</f>
        <v>1.3454469175350947E-2</v>
      </c>
      <c r="I143" s="337"/>
      <c r="J143" s="168"/>
      <c r="K143" s="168"/>
      <c r="M143" s="364">
        <f t="shared" si="34"/>
        <v>3.6396914381022984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7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490">
        <f>'[83]Sch C'!D146</f>
        <v>53734.400000000001</v>
      </c>
      <c r="D145" s="490">
        <f>'[83]Sch C'!F146</f>
        <v>0</v>
      </c>
      <c r="E145" s="171">
        <f t="shared" ref="E145:E153" si="38">C145+D145</f>
        <v>53734.400000000001</v>
      </c>
      <c r="F145" s="171"/>
      <c r="G145" s="171">
        <f t="shared" ref="G145:G153" si="39">E145+F145</f>
        <v>53734.400000000001</v>
      </c>
      <c r="H145" s="172">
        <f t="shared" ref="H145:H153" si="40">IF($G$208=0,0,G145/$G$208)</f>
        <v>9.2028527370600979E-3</v>
      </c>
      <c r="I145" s="337"/>
      <c r="J145" s="183">
        <v>0</v>
      </c>
      <c r="K145" s="183">
        <v>0</v>
      </c>
      <c r="M145" s="364">
        <f t="shared" si="34"/>
        <v>2.4895478131949593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490">
        <f>'[83]Sch C'!D147</f>
        <v>0</v>
      </c>
      <c r="D146" s="490">
        <f>'[83]Sch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337"/>
      <c r="J146" s="183">
        <v>0</v>
      </c>
      <c r="K146" s="183">
        <v>0</v>
      </c>
      <c r="M146" s="364">
        <f t="shared" si="34"/>
        <v>0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490">
        <f>'[83]Sch C'!D148</f>
        <v>0</v>
      </c>
      <c r="D147" s="490">
        <f>'[83]Sch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7"/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490">
        <f>'[83]Sch C'!D149</f>
        <v>0</v>
      </c>
      <c r="D148" s="490">
        <f>'[83]Sch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7"/>
      <c r="J148" s="183">
        <v>0</v>
      </c>
      <c r="K148" s="183">
        <v>0</v>
      </c>
      <c r="M148" s="364">
        <f t="shared" si="34"/>
        <v>0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490">
        <f>'[83]Sch C'!D150</f>
        <v>9370.99</v>
      </c>
      <c r="D149" s="490">
        <f>'[83]Sch C'!F150</f>
        <v>0</v>
      </c>
      <c r="E149" s="171">
        <f t="shared" si="38"/>
        <v>9370.99</v>
      </c>
      <c r="F149" s="171"/>
      <c r="G149" s="171">
        <f t="shared" si="39"/>
        <v>9370.99</v>
      </c>
      <c r="H149" s="172">
        <f t="shared" si="40"/>
        <v>1.6049279599374478E-3</v>
      </c>
      <c r="I149" s="337"/>
      <c r="J149" s="183">
        <v>0</v>
      </c>
      <c r="K149" s="183">
        <v>0</v>
      </c>
      <c r="M149" s="364">
        <f t="shared" si="34"/>
        <v>0.43416373239436618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490">
        <f>'[83]Sch C'!D151</f>
        <v>62993.64</v>
      </c>
      <c r="D150" s="490">
        <f>'[83]Sch C'!F151</f>
        <v>7154.27</v>
      </c>
      <c r="E150" s="171">
        <f t="shared" si="38"/>
        <v>70147.91</v>
      </c>
      <c r="F150" s="171"/>
      <c r="G150" s="171">
        <f t="shared" si="39"/>
        <v>70147.91</v>
      </c>
      <c r="H150" s="172">
        <f t="shared" si="40"/>
        <v>1.2013921911150872E-2</v>
      </c>
      <c r="I150" s="337"/>
      <c r="J150" s="168"/>
      <c r="K150" s="168"/>
      <c r="M150" s="364">
        <f t="shared" si="34"/>
        <v>3.2499958302446257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490">
        <f>'[83]Sch C'!D152</f>
        <v>38465.65</v>
      </c>
      <c r="D151" s="490">
        <f>'[83]Sch C'!F152</f>
        <v>0</v>
      </c>
      <c r="E151" s="171">
        <f t="shared" si="38"/>
        <v>38465.65</v>
      </c>
      <c r="F151" s="171"/>
      <c r="G151" s="171">
        <f t="shared" si="39"/>
        <v>38465.65</v>
      </c>
      <c r="H151" s="172">
        <f t="shared" si="40"/>
        <v>6.5878415388521275E-3</v>
      </c>
      <c r="I151" s="337"/>
      <c r="J151" s="168"/>
      <c r="K151" s="168"/>
      <c r="M151" s="364">
        <f t="shared" si="34"/>
        <v>1.7821372312824315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490">
        <f>'[83]Sch C'!D153</f>
        <v>0</v>
      </c>
      <c r="D152" s="490">
        <f>'[83]Sch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7"/>
      <c r="J152" s="168"/>
      <c r="K152" s="168"/>
      <c r="M152" s="364">
        <f t="shared" si="34"/>
        <v>0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490">
        <f>'[83]Sch C'!D154</f>
        <v>0</v>
      </c>
      <c r="D153" s="490">
        <f>'[83]Sch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210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490">
        <f>'[83]Sch C'!D156</f>
        <v>0</v>
      </c>
      <c r="D155" s="490">
        <f>'[83]Sch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490">
        <f>'[83]Sch C'!D157</f>
        <v>0</v>
      </c>
      <c r="D156" s="490">
        <f>'[83]Sch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490">
        <f>'[83]Sch C'!D158</f>
        <v>0</v>
      </c>
      <c r="D157" s="490">
        <f>'[83]Sch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7"/>
      <c r="J157" s="168"/>
      <c r="K157" s="168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490">
        <f>'[83]Sch C'!D159</f>
        <v>0</v>
      </c>
      <c r="D158" s="490">
        <f>'[83]Sch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490">
        <f>'[83]Sch C'!D160</f>
        <v>0</v>
      </c>
      <c r="D159" s="490">
        <f>'[83]Sch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7"/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490">
        <f>'[83]Sch C'!D161</f>
        <v>39549.129999999997</v>
      </c>
      <c r="D160" s="490">
        <f>'[83]Sch C'!F161</f>
        <v>0</v>
      </c>
      <c r="E160" s="171">
        <f t="shared" si="41"/>
        <v>39549.129999999997</v>
      </c>
      <c r="F160" s="171"/>
      <c r="G160" s="171">
        <f t="shared" si="42"/>
        <v>39549.129999999997</v>
      </c>
      <c r="H160" s="172">
        <f t="shared" si="43"/>
        <v>6.7734043604998949E-3</v>
      </c>
      <c r="I160" s="337"/>
      <c r="J160" s="168"/>
      <c r="K160" s="168"/>
      <c r="M160" s="364">
        <f t="shared" si="34"/>
        <v>1.8323355263157894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490">
        <f>SUM(C123:C160)</f>
        <v>2006079.3899999994</v>
      </c>
      <c r="D161" s="490">
        <f>SUM(D123:D160)</f>
        <v>7154.27</v>
      </c>
      <c r="E161" s="171">
        <f t="shared" ref="E161:F161" si="44">SUM(E123:E160)</f>
        <v>2013233.6599999997</v>
      </c>
      <c r="F161" s="171">
        <f t="shared" si="44"/>
        <v>0</v>
      </c>
      <c r="G161" s="171">
        <f>SUM(G123:G160)</f>
        <v>2013233.6599999997</v>
      </c>
      <c r="H161" s="172">
        <f t="shared" si="43"/>
        <v>0.34479761378693191</v>
      </c>
      <c r="I161" s="337"/>
      <c r="J161" s="168"/>
      <c r="K161" s="168"/>
      <c r="M161" s="364">
        <f>G161/G$228</f>
        <v>93.274354151223108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337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7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490">
        <f>'[83]Sch C'!D175</f>
        <v>0</v>
      </c>
      <c r="D164" s="490">
        <f>'[83]Sch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490">
        <f>'[83]Sch C'!D176</f>
        <v>0</v>
      </c>
      <c r="D165" s="490">
        <f>'[83]Sch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490">
        <f>'[83]Sch C'!D177</f>
        <v>0</v>
      </c>
      <c r="D166" s="490">
        <f>'[83]Sch C'!F177</f>
        <v>0</v>
      </c>
      <c r="E166" s="171">
        <f t="shared" si="45"/>
        <v>0</v>
      </c>
      <c r="F166" s="216"/>
      <c r="G166" s="171">
        <f t="shared" si="46"/>
        <v>0</v>
      </c>
      <c r="H166" s="172">
        <f t="shared" si="47"/>
        <v>0</v>
      </c>
      <c r="I166" s="343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490">
        <f>'[83]Sch C'!D178</f>
        <v>0</v>
      </c>
      <c r="D167" s="490">
        <f>'[83]Sch C'!F178</f>
        <v>0</v>
      </c>
      <c r="E167" s="171">
        <f t="shared" si="45"/>
        <v>0</v>
      </c>
      <c r="F167" s="216"/>
      <c r="G167" s="171">
        <f t="shared" si="46"/>
        <v>0</v>
      </c>
      <c r="H167" s="172">
        <f t="shared" si="47"/>
        <v>0</v>
      </c>
      <c r="I167" s="344"/>
      <c r="J167" s="222"/>
      <c r="K167" s="222"/>
      <c r="L167" s="218"/>
      <c r="M167" s="364">
        <f t="shared" si="48"/>
        <v>0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490">
        <f>'[83]Sch C'!D179</f>
        <v>0</v>
      </c>
      <c r="D168" s="490">
        <f>'[83]Sch C'!F179</f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343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490">
        <f>'[83]Sch C'!D180</f>
        <v>0</v>
      </c>
      <c r="D169" s="490">
        <f>'[83]Sch C'!F180</f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344"/>
      <c r="J169" s="222"/>
      <c r="K169" s="222"/>
      <c r="L169" s="218"/>
      <c r="M169" s="364">
        <f t="shared" si="48"/>
        <v>0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490">
        <f>'[83]Sch C'!D181</f>
        <v>0</v>
      </c>
      <c r="D170" s="490">
        <f>'[83]Sch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3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490">
        <f>'[83]Sch C'!D182</f>
        <v>0</v>
      </c>
      <c r="D171" s="490">
        <f>'[83]Sch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490">
        <f>'[83]Sch C'!D183</f>
        <v>0</v>
      </c>
      <c r="D172" s="490">
        <f>'[83]Sch C'!F183</f>
        <v>0</v>
      </c>
      <c r="E172" s="171">
        <f t="shared" si="45"/>
        <v>0</v>
      </c>
      <c r="F172" s="216"/>
      <c r="G172" s="171">
        <f t="shared" si="46"/>
        <v>0</v>
      </c>
      <c r="H172" s="172">
        <f t="shared" si="47"/>
        <v>0</v>
      </c>
      <c r="I172" s="343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490">
        <f>'[83]Sch C'!D184</f>
        <v>0</v>
      </c>
      <c r="D173" s="490">
        <f>'[83]Sch C'!F184</f>
        <v>0</v>
      </c>
      <c r="E173" s="171">
        <f t="shared" si="45"/>
        <v>0</v>
      </c>
      <c r="F173" s="216"/>
      <c r="G173" s="171">
        <f t="shared" si="46"/>
        <v>0</v>
      </c>
      <c r="H173" s="172">
        <f t="shared" si="47"/>
        <v>0</v>
      </c>
      <c r="I173" s="344"/>
      <c r="J173" s="222"/>
      <c r="K173" s="222"/>
      <c r="L173" s="218"/>
      <c r="M173" s="364">
        <f t="shared" si="48"/>
        <v>0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490">
        <f>'[83]Sch C'!D185</f>
        <v>0</v>
      </c>
      <c r="D174" s="490">
        <f>'[83]Sch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3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490">
        <f>'[83]Sch C'!D186</f>
        <v>0</v>
      </c>
      <c r="D175" s="490">
        <f>'[83]Sch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490">
        <f>'[83]Sch C'!D187</f>
        <v>0</v>
      </c>
      <c r="D176" s="490">
        <f>'[83]Sch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490">
        <f>'[83]Sch C'!D188</f>
        <v>918.63</v>
      </c>
      <c r="D177" s="490">
        <f>'[83]Sch C'!F188</f>
        <v>0</v>
      </c>
      <c r="E177" s="171">
        <f t="shared" si="45"/>
        <v>918.63</v>
      </c>
      <c r="F177" s="216"/>
      <c r="G177" s="171">
        <f t="shared" si="46"/>
        <v>918.63</v>
      </c>
      <c r="H177" s="172">
        <f t="shared" si="47"/>
        <v>1.5732969214963817E-4</v>
      </c>
      <c r="I177" s="337"/>
      <c r="J177" s="223"/>
      <c r="K177" s="218"/>
      <c r="L177" s="220"/>
      <c r="M177" s="364">
        <f t="shared" si="48"/>
        <v>4.2560693106004445E-2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490">
        <f>'[83]Sch C'!D189</f>
        <v>0</v>
      </c>
      <c r="D178" s="490">
        <f>'[83]Sch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337"/>
      <c r="J178" s="223"/>
      <c r="K178" s="218"/>
      <c r="L178" s="220"/>
      <c r="M178" s="364">
        <f t="shared" si="48"/>
        <v>0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490">
        <f>'[83]Sch C'!D190</f>
        <v>0</v>
      </c>
      <c r="D179" s="490">
        <f>'[83]Sch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490">
        <f>'[83]Sch C'!D191</f>
        <v>405</v>
      </c>
      <c r="D180" s="490">
        <f>'[83]Sch C'!F191</f>
        <v>0</v>
      </c>
      <c r="E180" s="171">
        <f t="shared" si="45"/>
        <v>405</v>
      </c>
      <c r="F180" s="216"/>
      <c r="G180" s="171">
        <f t="shared" si="46"/>
        <v>405</v>
      </c>
      <c r="H180" s="172">
        <f t="shared" si="47"/>
        <v>6.9362556546818035E-5</v>
      </c>
      <c r="I180" s="337"/>
      <c r="J180" s="223"/>
      <c r="K180" s="218"/>
      <c r="L180" s="220"/>
      <c r="M180" s="364">
        <f t="shared" si="48"/>
        <v>1.876389918458117E-2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490">
        <f>'[83]Sch C'!D192</f>
        <v>0</v>
      </c>
      <c r="D181" s="490">
        <f>'[83]Sch C'!F192</f>
        <v>0</v>
      </c>
      <c r="E181" s="171">
        <f t="shared" si="45"/>
        <v>0</v>
      </c>
      <c r="F181" s="216"/>
      <c r="G181" s="171">
        <f t="shared" si="46"/>
        <v>0</v>
      </c>
      <c r="H181" s="172">
        <f t="shared" si="47"/>
        <v>0</v>
      </c>
      <c r="I181" s="337"/>
      <c r="J181" s="223"/>
      <c r="K181" s="218"/>
      <c r="L181" s="220"/>
      <c r="M181" s="364">
        <f t="shared" si="48"/>
        <v>0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490">
        <f>'[83]Sch C'!D193</f>
        <v>12756.84</v>
      </c>
      <c r="D182" s="490">
        <f>'[83]Sch C'!F193</f>
        <v>-12756.84</v>
      </c>
      <c r="E182" s="171">
        <f t="shared" si="45"/>
        <v>0</v>
      </c>
      <c r="F182" s="216"/>
      <c r="G182" s="171">
        <f t="shared" si="46"/>
        <v>0</v>
      </c>
      <c r="H182" s="172">
        <f t="shared" si="47"/>
        <v>0</v>
      </c>
      <c r="I182" s="337"/>
      <c r="J182" s="223"/>
      <c r="K182" s="218"/>
      <c r="L182" s="220"/>
      <c r="M182" s="364">
        <f t="shared" si="48"/>
        <v>0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490">
        <f>'[83]Sch C'!D194</f>
        <v>502968.61</v>
      </c>
      <c r="D183" s="490">
        <f>'[83]Sch C'!F194</f>
        <v>-17347.39</v>
      </c>
      <c r="E183" s="171">
        <f t="shared" si="45"/>
        <v>485621.22</v>
      </c>
      <c r="F183" s="216"/>
      <c r="G183" s="171">
        <f t="shared" si="46"/>
        <v>485621.22</v>
      </c>
      <c r="H183" s="172">
        <f t="shared" si="47"/>
        <v>8.3170195882925332E-2</v>
      </c>
      <c r="I183" s="337"/>
      <c r="J183" s="223"/>
      <c r="K183" s="218"/>
      <c r="M183" s="364">
        <f t="shared" si="48"/>
        <v>22.499129911045216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490">
        <f>'[83]Sch C'!D195</f>
        <v>38186.97</v>
      </c>
      <c r="D184" s="490">
        <f>'[83]Sch C'!F195</f>
        <v>-1317.07</v>
      </c>
      <c r="E184" s="171">
        <f t="shared" si="45"/>
        <v>36869.9</v>
      </c>
      <c r="F184" s="216"/>
      <c r="G184" s="171">
        <f t="shared" si="46"/>
        <v>36869.9</v>
      </c>
      <c r="H184" s="172">
        <f t="shared" si="47"/>
        <v>6.314544502779078E-3</v>
      </c>
      <c r="I184" s="337"/>
      <c r="J184" s="223"/>
      <c r="K184" s="218"/>
      <c r="M184" s="364">
        <f t="shared" si="48"/>
        <v>1.7082051519644181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490">
        <f>'[83]Sch C'!D196</f>
        <v>0</v>
      </c>
      <c r="D185" s="490">
        <f>'[83]Sch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490">
        <f>'[83]Sch C'!D197</f>
        <v>40875.74</v>
      </c>
      <c r="D186" s="490">
        <f>'[83]Sch C'!F197</f>
        <v>-1409.8</v>
      </c>
      <c r="E186" s="171">
        <f t="shared" si="45"/>
        <v>39465.939999999995</v>
      </c>
      <c r="F186" s="216"/>
      <c r="G186" s="171">
        <f t="shared" si="46"/>
        <v>39465.939999999995</v>
      </c>
      <c r="H186" s="172">
        <f t="shared" si="47"/>
        <v>6.7591567775884629E-3</v>
      </c>
      <c r="I186" s="337"/>
      <c r="J186" s="223"/>
      <c r="K186" s="218"/>
      <c r="M186" s="364">
        <f t="shared" si="48"/>
        <v>1.8284812824314305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490">
        <f>'[83]Sch C'!D198</f>
        <v>22249.48</v>
      </c>
      <c r="D187" s="490">
        <f>'[83]Sch C'!F198</f>
        <v>0</v>
      </c>
      <c r="E187" s="171">
        <f t="shared" si="45"/>
        <v>22249.48</v>
      </c>
      <c r="F187" s="216"/>
      <c r="G187" s="171">
        <f t="shared" si="46"/>
        <v>22249.48</v>
      </c>
      <c r="H187" s="172">
        <f t="shared" si="47"/>
        <v>3.8105699126846841E-3</v>
      </c>
      <c r="I187" s="337"/>
      <c r="J187" s="223"/>
      <c r="K187" s="218"/>
      <c r="M187" s="364">
        <f t="shared" si="48"/>
        <v>1.0308320978502594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490">
        <f>'[83]Sch C'!D199</f>
        <v>4060.76</v>
      </c>
      <c r="D188" s="490">
        <f>'[83]Sch C'!F199</f>
        <v>0</v>
      </c>
      <c r="E188" s="171">
        <f t="shared" si="45"/>
        <v>4060.76</v>
      </c>
      <c r="F188" s="216"/>
      <c r="G188" s="171">
        <f t="shared" si="46"/>
        <v>4060.76</v>
      </c>
      <c r="H188" s="172">
        <f t="shared" si="47"/>
        <v>6.9546838301989345E-4</v>
      </c>
      <c r="I188" s="337"/>
      <c r="J188" s="223"/>
      <c r="K188" s="218"/>
      <c r="M188" s="364">
        <f t="shared" si="48"/>
        <v>0.18813750926612308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490">
        <f>'[83]Sch C'!D200</f>
        <v>0</v>
      </c>
      <c r="D189" s="490">
        <f>'[83]Sch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7"/>
      <c r="J189" s="223"/>
      <c r="K189" s="218"/>
      <c r="M189" s="364">
        <f t="shared" si="48"/>
        <v>0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490">
        <f>'[83]Sch C'!D201</f>
        <v>0</v>
      </c>
      <c r="D190" s="490">
        <f>'[83]Sch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7"/>
      <c r="J190" s="223"/>
      <c r="K190" s="218"/>
      <c r="M190" s="364">
        <f t="shared" si="48"/>
        <v>0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490">
        <f>'[83]Sch C'!D202</f>
        <v>0</v>
      </c>
      <c r="D191" s="490">
        <f>'[83]Sch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490">
        <f>'[83]Sch C'!D203</f>
        <v>34008.83</v>
      </c>
      <c r="D192" s="490">
        <f>'[83]Sch C'!F203</f>
        <v>0</v>
      </c>
      <c r="E192" s="171">
        <f t="shared" si="45"/>
        <v>34008.83</v>
      </c>
      <c r="F192" s="216"/>
      <c r="G192" s="171">
        <f t="shared" si="46"/>
        <v>34008.83</v>
      </c>
      <c r="H192" s="172">
        <f t="shared" si="47"/>
        <v>5.8245417134965977E-3</v>
      </c>
      <c r="I192" s="337"/>
      <c r="J192" s="223"/>
      <c r="K192" s="218"/>
      <c r="M192" s="364">
        <f t="shared" si="48"/>
        <v>1.5756500185322462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490">
        <f>'[83]Sch C'!D204</f>
        <v>0</v>
      </c>
      <c r="D193" s="490">
        <f>'[83]Sch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490">
        <f>'[83]Sch C'!D205</f>
        <v>161611.5</v>
      </c>
      <c r="D194" s="490">
        <f>'[83]Sch C'!F205</f>
        <v>0</v>
      </c>
      <c r="E194" s="171">
        <f t="shared" si="45"/>
        <v>161611.5</v>
      </c>
      <c r="F194" s="216"/>
      <c r="G194" s="171">
        <f t="shared" si="46"/>
        <v>161611.5</v>
      </c>
      <c r="H194" s="172">
        <f t="shared" si="47"/>
        <v>2.7678485944113786E-2</v>
      </c>
      <c r="I194" s="337"/>
      <c r="J194" s="223"/>
      <c r="K194" s="218"/>
      <c r="M194" s="364">
        <f t="shared" si="48"/>
        <v>7.4875602297998514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490">
        <f>'[83]Sch C'!D206</f>
        <v>4082.37</v>
      </c>
      <c r="D195" s="490">
        <f>'[83]Sch C'!F206</f>
        <v>0</v>
      </c>
      <c r="E195" s="171">
        <f t="shared" si="45"/>
        <v>4082.37</v>
      </c>
      <c r="F195" s="216"/>
      <c r="G195" s="171">
        <f t="shared" si="46"/>
        <v>4082.37</v>
      </c>
      <c r="H195" s="172">
        <f t="shared" si="47"/>
        <v>6.9916943202477416E-4</v>
      </c>
      <c r="I195" s="337"/>
      <c r="J195" s="223"/>
      <c r="K195" s="218"/>
      <c r="M195" s="364">
        <f t="shared" si="48"/>
        <v>0.18913871386212008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490">
        <f>'[83]Sch C'!D207</f>
        <v>2897.6</v>
      </c>
      <c r="D196" s="490">
        <f>'[83]Sch C'!F207</f>
        <v>0</v>
      </c>
      <c r="E196" s="171">
        <f t="shared" si="45"/>
        <v>2897.6</v>
      </c>
      <c r="F196" s="216"/>
      <c r="G196" s="171">
        <f t="shared" si="46"/>
        <v>2897.6</v>
      </c>
      <c r="H196" s="172">
        <f t="shared" si="47"/>
        <v>4.9625912061743193E-4</v>
      </c>
      <c r="I196" s="337"/>
      <c r="J196" s="223"/>
      <c r="K196" s="218"/>
      <c r="M196" s="364">
        <f t="shared" si="48"/>
        <v>0.13424759080800594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490">
        <f>SUM(C164:C196)</f>
        <v>825022.32999999984</v>
      </c>
      <c r="D197" s="490">
        <f>SUM(D164:D196)</f>
        <v>-32831.1</v>
      </c>
      <c r="E197" s="171">
        <f t="shared" ref="E197:F197" si="49">SUM(E164:E196)</f>
        <v>792191.22999999986</v>
      </c>
      <c r="F197" s="171">
        <f t="shared" si="49"/>
        <v>0</v>
      </c>
      <c r="G197" s="171">
        <f>SUM(G164:G196)</f>
        <v>792191.22999999986</v>
      </c>
      <c r="H197" s="172">
        <f>IF($G$208=0,0,G197/$G$208)</f>
        <v>0.1356750839179465</v>
      </c>
      <c r="I197" s="337"/>
      <c r="J197" s="168"/>
      <c r="K197" s="168"/>
      <c r="M197" s="364">
        <f>G197/G$228</f>
        <v>36.702707097850251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165"/>
      <c r="G198" s="165"/>
      <c r="H198" s="198"/>
      <c r="I198" s="341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1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490">
        <f>'[83]Sch C'!D211</f>
        <v>194611.46</v>
      </c>
      <c r="D200" s="490">
        <f>'[83]Sch C'!F211</f>
        <v>0</v>
      </c>
      <c r="E200" s="171">
        <f t="shared" ref="E200:E205" si="50">C200+D200</f>
        <v>194611.46</v>
      </c>
      <c r="F200" s="171"/>
      <c r="G200" s="171">
        <f t="shared" ref="G200:G205" si="51">E200+F200</f>
        <v>194611.46</v>
      </c>
      <c r="H200" s="172">
        <f t="shared" ref="H200:H206" si="52">IF($G$208=0,0,G200/$G$208)</f>
        <v>3.333024296026868E-2</v>
      </c>
      <c r="I200" s="337"/>
      <c r="J200" s="183">
        <v>10587.36</v>
      </c>
      <c r="K200" s="183">
        <v>11483.08</v>
      </c>
      <c r="M200" s="364">
        <f t="shared" ref="M200:M205" si="53">G200/G$228</f>
        <v>9.0164686805040759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490">
        <f>'[83]Sch C'!D212</f>
        <v>38529.69</v>
      </c>
      <c r="D201" s="490">
        <f>'[83]Sch C'!F212</f>
        <v>0</v>
      </c>
      <c r="E201" s="171">
        <f t="shared" si="50"/>
        <v>38529.69</v>
      </c>
      <c r="F201" s="171"/>
      <c r="G201" s="171">
        <f t="shared" si="51"/>
        <v>38529.69</v>
      </c>
      <c r="H201" s="172">
        <f t="shared" si="52"/>
        <v>6.5988093860651102E-3</v>
      </c>
      <c r="I201" s="337"/>
      <c r="J201" s="168"/>
      <c r="K201" s="168"/>
      <c r="M201" s="364">
        <f t="shared" si="53"/>
        <v>1.785104243884359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490">
        <f>'[83]Sch C'!D213</f>
        <v>18643.12</v>
      </c>
      <c r="D202" s="490">
        <f>'[83]Sch C'!F213</f>
        <v>0</v>
      </c>
      <c r="E202" s="171">
        <f t="shared" si="50"/>
        <v>18643.12</v>
      </c>
      <c r="F202" s="171"/>
      <c r="G202" s="171">
        <f t="shared" si="51"/>
        <v>18643.12</v>
      </c>
      <c r="H202" s="172">
        <f t="shared" si="52"/>
        <v>3.1929246054546033E-3</v>
      </c>
      <c r="I202" s="337"/>
      <c r="J202" s="168"/>
      <c r="K202" s="168"/>
      <c r="M202" s="364">
        <f t="shared" si="53"/>
        <v>0.8637472201630837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490">
        <f>'[83]Sch C'!D214</f>
        <v>0</v>
      </c>
      <c r="D203" s="490">
        <f>'[83]Sch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>
        <f t="shared" si="53"/>
        <v>0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490">
        <f>'[83]Sch C'!D215</f>
        <v>0</v>
      </c>
      <c r="D204" s="490">
        <f>'[83]Sch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490">
        <f>'[83]Sch C'!D216</f>
        <v>4951.59</v>
      </c>
      <c r="D205" s="490">
        <f>'[83]Sch C'!F216</f>
        <v>0</v>
      </c>
      <c r="E205" s="171">
        <f t="shared" si="50"/>
        <v>4951.59</v>
      </c>
      <c r="F205" s="171"/>
      <c r="G205" s="171">
        <f t="shared" si="51"/>
        <v>4951.59</v>
      </c>
      <c r="H205" s="172">
        <f t="shared" si="52"/>
        <v>8.4803689227570063E-4</v>
      </c>
      <c r="I205" s="337"/>
      <c r="J205" s="168"/>
      <c r="K205" s="168"/>
      <c r="M205" s="364">
        <f t="shared" si="53"/>
        <v>0.22941021126760563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490">
        <f>SUM(C200:C205)</f>
        <v>256735.86</v>
      </c>
      <c r="D206" s="490">
        <f>SUM(D200:D205)</f>
        <v>0</v>
      </c>
      <c r="E206" s="171">
        <f t="shared" ref="E206:F206" si="54">SUM(E200:E205)</f>
        <v>256735.86</v>
      </c>
      <c r="F206" s="171">
        <f t="shared" si="54"/>
        <v>0</v>
      </c>
      <c r="G206" s="171">
        <f>SUM(G200:G205)</f>
        <v>256735.86</v>
      </c>
      <c r="H206" s="172">
        <f t="shared" si="52"/>
        <v>4.3970013844064099E-2</v>
      </c>
      <c r="I206" s="337"/>
      <c r="J206" s="168"/>
      <c r="K206" s="168"/>
      <c r="M206" s="364">
        <f>G206/G$228</f>
        <v>11.894730355819124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490">
        <f>SUM(C25:C206)/2</f>
        <v>6230794.5800000001</v>
      </c>
      <c r="D208" s="490">
        <f>SUM(D25:D206)/2</f>
        <v>-391909.4499999999</v>
      </c>
      <c r="E208" s="171">
        <f t="shared" ref="E208:F208" si="55">SUM(E25:E206)/2</f>
        <v>5838885.1299999999</v>
      </c>
      <c r="F208" s="171">
        <f t="shared" si="55"/>
        <v>0</v>
      </c>
      <c r="G208" s="171">
        <f>SUM(G25:G206)/2</f>
        <v>5838885.1299999999</v>
      </c>
      <c r="H208" s="172">
        <f>IF($G$208=0,0,G208/$G$208)</f>
        <v>1</v>
      </c>
      <c r="I208" s="337"/>
      <c r="J208" s="183">
        <f>SUM(J25:J200)</f>
        <v>105115.11</v>
      </c>
      <c r="K208" s="183">
        <f>SUM(K25:K200)</f>
        <v>118204.31999999999</v>
      </c>
      <c r="M208" s="364">
        <f>G208/G$228</f>
        <v>270.51914056708671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490">
        <f>'[83]Sch C'!D221</f>
        <v>6230794.5800000001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490">
        <f>C208-C211</f>
        <v>0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619"/>
      <c r="D213" s="232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490">
        <f>C21-C208</f>
        <v>-1023230.6000000006</v>
      </c>
      <c r="D215" s="490">
        <f>D21-D208</f>
        <v>384552.78999999992</v>
      </c>
      <c r="E215" s="171">
        <f t="shared" ref="E215:F215" si="56">E21-E208</f>
        <v>-638677.81000000052</v>
      </c>
      <c r="F215" s="171">
        <f t="shared" si="56"/>
        <v>0</v>
      </c>
      <c r="G215" s="171">
        <f>G21-G208</f>
        <v>-638677.81000000052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491">
        <f>'[83]Sch D'!C9</f>
        <v>15546</v>
      </c>
      <c r="D219" s="491"/>
      <c r="E219" s="235">
        <f t="shared" ref="E219:G227" si="57">C219+D219</f>
        <v>15546</v>
      </c>
      <c r="F219" s="234"/>
      <c r="G219" s="235">
        <f t="shared" si="57"/>
        <v>15546</v>
      </c>
      <c r="H219" s="172">
        <f t="shared" ref="H219:H228" si="58">IF($G$228=0,0,G219/$G$228)</f>
        <v>0.72025574499629352</v>
      </c>
      <c r="I219" s="337"/>
      <c r="J219" s="168"/>
      <c r="K219" s="168"/>
    </row>
    <row r="220" spans="1:14">
      <c r="A220" s="163"/>
      <c r="B220" s="170" t="s">
        <v>217</v>
      </c>
      <c r="C220" s="491">
        <f>'[83]Sch D'!D9</f>
        <v>0</v>
      </c>
      <c r="D220" s="491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7"/>
      <c r="J220" s="168"/>
      <c r="K220" s="168"/>
    </row>
    <row r="221" spans="1:14">
      <c r="A221" s="163"/>
      <c r="B221" s="170" t="s">
        <v>72</v>
      </c>
      <c r="C221" s="491">
        <f>'[83]Sch D'!E9</f>
        <v>2574</v>
      </c>
      <c r="D221" s="491"/>
      <c r="E221" s="235">
        <f t="shared" si="59"/>
        <v>2574</v>
      </c>
      <c r="F221" s="234"/>
      <c r="G221" s="235">
        <f t="shared" si="57"/>
        <v>2574</v>
      </c>
      <c r="H221" s="172">
        <f t="shared" si="58"/>
        <v>0.11925500370644922</v>
      </c>
      <c r="I221" s="337"/>
      <c r="J221" s="168"/>
      <c r="K221" s="168"/>
    </row>
    <row r="222" spans="1:14">
      <c r="A222" s="163"/>
      <c r="B222" s="202" t="s">
        <v>334</v>
      </c>
      <c r="C222" s="491">
        <f>'[83]Sch D'!F9</f>
        <v>1608</v>
      </c>
      <c r="D222" s="491"/>
      <c r="E222" s="235">
        <f>C222+D222</f>
        <v>1608</v>
      </c>
      <c r="F222" s="234"/>
      <c r="G222" s="235">
        <f>E222+F222</f>
        <v>1608</v>
      </c>
      <c r="H222" s="172">
        <f t="shared" si="58"/>
        <v>7.449962935507784E-2</v>
      </c>
      <c r="I222" s="337"/>
      <c r="J222" s="168"/>
      <c r="K222" s="168"/>
    </row>
    <row r="223" spans="1:14">
      <c r="A223" s="163"/>
      <c r="B223" s="170" t="s">
        <v>73</v>
      </c>
      <c r="C223" s="491">
        <f>'[83]Sch D'!G9</f>
        <v>0</v>
      </c>
      <c r="D223" s="491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7"/>
      <c r="J223" s="168"/>
      <c r="K223" s="168"/>
    </row>
    <row r="224" spans="1:14">
      <c r="A224" s="163"/>
      <c r="B224" s="170" t="s">
        <v>74</v>
      </c>
      <c r="C224" s="491">
        <f>'[83]Sch D'!H9</f>
        <v>725</v>
      </c>
      <c r="D224" s="491"/>
      <c r="E224" s="235">
        <f t="shared" si="59"/>
        <v>725</v>
      </c>
      <c r="F224" s="234"/>
      <c r="G224" s="235">
        <f t="shared" si="57"/>
        <v>725</v>
      </c>
      <c r="H224" s="172">
        <f t="shared" si="58"/>
        <v>3.3589696071163827E-2</v>
      </c>
      <c r="I224" s="337"/>
      <c r="J224" s="168"/>
      <c r="K224" s="168"/>
    </row>
    <row r="225" spans="1:11">
      <c r="A225" s="163"/>
      <c r="B225" s="170" t="s">
        <v>236</v>
      </c>
      <c r="C225" s="491">
        <f>'[83]Sch D'!I9</f>
        <v>800</v>
      </c>
      <c r="D225" s="491"/>
      <c r="E225" s="235">
        <f t="shared" si="59"/>
        <v>800</v>
      </c>
      <c r="F225" s="234"/>
      <c r="G225" s="235">
        <f t="shared" si="57"/>
        <v>800</v>
      </c>
      <c r="H225" s="172">
        <f t="shared" si="58"/>
        <v>3.7064492216456635E-2</v>
      </c>
      <c r="I225" s="337"/>
      <c r="J225" s="168"/>
      <c r="K225" s="168"/>
    </row>
    <row r="226" spans="1:11">
      <c r="A226" s="163"/>
      <c r="B226" s="170" t="s">
        <v>235</v>
      </c>
      <c r="C226" s="491">
        <f>'[83]Sch D'!J9</f>
        <v>0</v>
      </c>
      <c r="D226" s="491"/>
      <c r="E226" s="235">
        <f>C226+D226</f>
        <v>0</v>
      </c>
      <c r="F226" s="234"/>
      <c r="G226" s="235">
        <f>E226+F226</f>
        <v>0</v>
      </c>
      <c r="H226" s="172">
        <f t="shared" si="58"/>
        <v>0</v>
      </c>
      <c r="I226" s="337"/>
      <c r="J226" s="168"/>
      <c r="K226" s="168"/>
    </row>
    <row r="227" spans="1:11">
      <c r="A227" s="163"/>
      <c r="B227" s="170" t="s">
        <v>179</v>
      </c>
      <c r="C227" s="491">
        <f>'[83]Sch D'!K9</f>
        <v>331</v>
      </c>
      <c r="D227" s="491"/>
      <c r="E227" s="235">
        <f t="shared" si="59"/>
        <v>331</v>
      </c>
      <c r="F227" s="234"/>
      <c r="G227" s="235">
        <f t="shared" si="57"/>
        <v>331</v>
      </c>
      <c r="H227" s="172">
        <f t="shared" si="58"/>
        <v>1.5335433654558932E-2</v>
      </c>
      <c r="I227" s="337"/>
      <c r="J227" s="168"/>
      <c r="K227" s="168"/>
    </row>
    <row r="228" spans="1:11" ht="13.5" thickBot="1">
      <c r="A228" s="163"/>
      <c r="B228" s="236" t="s">
        <v>75</v>
      </c>
      <c r="C228" s="491">
        <f>SUM(C219:C227)</f>
        <v>21584</v>
      </c>
      <c r="D228" s="491">
        <f>SUM(D219:D227)</f>
        <v>0</v>
      </c>
      <c r="E228" s="237">
        <f>SUM(E219:E227)</f>
        <v>21584</v>
      </c>
      <c r="F228" s="237">
        <f>SUM(F219:F227)</f>
        <v>0</v>
      </c>
      <c r="G228" s="237">
        <f>SUM(G219:G227)</f>
        <v>21584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620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619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492">
        <f>'[83]Sch D'!N22</f>
        <v>120</v>
      </c>
      <c r="D231" s="526"/>
      <c r="E231" s="235">
        <f>C231+D231</f>
        <v>120</v>
      </c>
      <c r="F231" s="235"/>
      <c r="G231" s="235">
        <f>E231+F231</f>
        <v>120</v>
      </c>
      <c r="H231" s="167"/>
      <c r="J231" s="168"/>
      <c r="K231" s="168"/>
    </row>
    <row r="232" spans="1:11">
      <c r="A232" s="163"/>
      <c r="B232" s="202" t="s">
        <v>290</v>
      </c>
      <c r="C232" s="492">
        <f>'[83]Sch D'!N24</f>
        <v>120</v>
      </c>
      <c r="D232" s="526"/>
      <c r="E232" s="235">
        <f>C232+D232</f>
        <v>120</v>
      </c>
      <c r="F232" s="235"/>
      <c r="G232" s="235">
        <f>E232+F232</f>
        <v>120</v>
      </c>
      <c r="H232" s="167"/>
      <c r="J232" s="168"/>
      <c r="K232" s="168"/>
    </row>
    <row r="233" spans="1:11">
      <c r="A233" s="163"/>
      <c r="B233" s="202" t="s">
        <v>76</v>
      </c>
      <c r="C233" s="492">
        <f>$C$4-$C$3+1</f>
        <v>365</v>
      </c>
      <c r="D233" s="489"/>
      <c r="E233" s="235">
        <f>C233+D233</f>
        <v>365</v>
      </c>
      <c r="F233" s="240"/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621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492">
        <f>'[83]Sch D'!N28</f>
        <v>43800</v>
      </c>
      <c r="D235" s="489"/>
      <c r="E235" s="234">
        <f>E231*E233</f>
        <v>43800</v>
      </c>
      <c r="F235" s="240"/>
      <c r="G235" s="234">
        <f>G231*G233</f>
        <v>43800</v>
      </c>
      <c r="H235" s="167"/>
      <c r="J235" s="168"/>
      <c r="K235" s="168"/>
    </row>
    <row r="236" spans="1:11" ht="26">
      <c r="A236" s="163"/>
      <c r="B236" s="244" t="s">
        <v>336</v>
      </c>
      <c r="C236" s="493">
        <f>'[83]Sch D'!N30</f>
        <v>0.49278538812785389</v>
      </c>
      <c r="D236" s="240"/>
      <c r="E236" s="245">
        <f>E228/E235</f>
        <v>0.49278538812785389</v>
      </c>
      <c r="F236" s="246"/>
      <c r="G236" s="245">
        <f>G228/G235</f>
        <v>0.49278538812785389</v>
      </c>
      <c r="H236" s="167"/>
      <c r="J236" s="168"/>
      <c r="K236" s="168"/>
    </row>
    <row r="237" spans="1:11" ht="26">
      <c r="A237" s="163"/>
      <c r="B237" s="244" t="s">
        <v>337</v>
      </c>
      <c r="C237" s="493">
        <f>'[83]Sch D'!N32</f>
        <v>0.35493150684931507</v>
      </c>
      <c r="D237" s="240"/>
      <c r="E237" s="245">
        <f>(E219+E220)/E235</f>
        <v>0.35493150684931507</v>
      </c>
      <c r="F237" s="246"/>
      <c r="G237" s="245">
        <f>(G219+G220)/G235</f>
        <v>0.35493150684931507</v>
      </c>
      <c r="H237" s="167"/>
      <c r="J237" s="168"/>
      <c r="K237" s="168"/>
    </row>
    <row r="238" spans="1:11" ht="26">
      <c r="A238" s="163"/>
      <c r="B238" s="244" t="s">
        <v>338</v>
      </c>
      <c r="C238" s="493">
        <f>'[83]Sch D'!N34</f>
        <v>0.72025574499629352</v>
      </c>
      <c r="D238" s="240"/>
      <c r="E238" s="245">
        <f>(E237/E236)</f>
        <v>0.72025574499629352</v>
      </c>
      <c r="F238" s="246"/>
      <c r="G238" s="245">
        <f>(G237/G236)</f>
        <v>0.72025574499629352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490">
        <f>'[83]Sch B'!C85</f>
        <v>245.96432432432431</v>
      </c>
    </row>
    <row r="242" spans="2:7">
      <c r="F242" s="142" t="s">
        <v>341</v>
      </c>
      <c r="G242" s="490">
        <f>'[83]Sch B'!E85</f>
        <v>467.71962962962965</v>
      </c>
    </row>
    <row r="243" spans="2:7">
      <c r="F243" s="142" t="s">
        <v>342</v>
      </c>
      <c r="G243" s="490">
        <f>'[83]Sch B'!G85</f>
        <v>341.84683453237409</v>
      </c>
    </row>
    <row r="244" spans="2:7">
      <c r="F244" s="142" t="s">
        <v>343</v>
      </c>
      <c r="G244" s="490">
        <f>'[83]Sch B'!I85</f>
        <v>211.55847457627121</v>
      </c>
    </row>
    <row r="245" spans="2:7">
      <c r="F245" s="142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F12" sqref="F12"/>
      <pageMargins left="0" right="0" top="0" bottom="1" header="0.5" footer="0.5"/>
      <printOptions horizontalCentered="1"/>
      <pageSetup scale="70" orientation="portrait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r:id="rId3"/>
  <headerFooter alignWithMargins="0">
    <oddFooter>&amp;R&amp;D
&amp;T
&amp;F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11">
    <tabColor rgb="FFE28CAB"/>
  </sheetPr>
  <dimension ref="A1:Q245"/>
  <sheetViews>
    <sheetView showGridLines="0" zoomScale="90" zoomScaleNormal="90" workbookViewId="0">
      <pane xSplit="2" topLeftCell="C1" activePane="topRight" state="frozen"/>
      <selection activeCell="N1" sqref="N1"/>
      <selection pane="topRight"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415" t="s">
        <v>676</v>
      </c>
      <c r="D1" s="478"/>
      <c r="E1" s="478"/>
      <c r="F1" s="478"/>
      <c r="G1" s="478"/>
      <c r="H1" s="478"/>
      <c r="I1" s="479"/>
    </row>
    <row r="2" spans="1:14" ht="23">
      <c r="B2" s="143" t="s">
        <v>189</v>
      </c>
      <c r="C2" s="247" t="s">
        <v>402</v>
      </c>
      <c r="D2" s="144"/>
      <c r="E2" s="144"/>
    </row>
    <row r="3" spans="1:14">
      <c r="A3" s="145"/>
      <c r="B3" s="140" t="s">
        <v>79</v>
      </c>
      <c r="C3" s="495">
        <v>41821</v>
      </c>
      <c r="D3" s="144"/>
      <c r="E3" s="147"/>
    </row>
    <row r="4" spans="1:14">
      <c r="A4" s="145"/>
      <c r="B4" s="148" t="s">
        <v>80</v>
      </c>
      <c r="C4" s="495">
        <v>42185</v>
      </c>
      <c r="D4" s="144"/>
      <c r="E4" s="149"/>
      <c r="G4" s="150"/>
    </row>
    <row r="5" spans="1:14">
      <c r="A5" s="145"/>
      <c r="B5" s="148"/>
      <c r="C5" s="151"/>
      <c r="D5" s="144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144"/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490">
        <f>'[84]Sch B'!E10</f>
        <v>1736988</v>
      </c>
      <c r="D11" s="490">
        <f>'[84]Sch B'!G10</f>
        <v>0</v>
      </c>
      <c r="E11" s="171">
        <f>C11+D11</f>
        <v>1736988</v>
      </c>
      <c r="F11" s="171"/>
      <c r="G11" s="171">
        <f t="shared" ref="G11:G20" si="0">E11+F11</f>
        <v>1736988</v>
      </c>
      <c r="H11" s="172">
        <f t="shared" ref="H11:H21" si="1">IF($G$21=0,0,G11/$G$21)</f>
        <v>0.38229527088459159</v>
      </c>
      <c r="I11" s="337"/>
      <c r="J11" s="368" t="s">
        <v>344</v>
      </c>
      <c r="K11" s="369">
        <f>G21</f>
        <v>4543577</v>
      </c>
      <c r="M11" s="359">
        <f>IFERROR(G11/G219,0)</f>
        <v>198.10538321167883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490">
        <f>'[84]Sch B'!E15</f>
        <v>0</v>
      </c>
      <c r="D12" s="490">
        <f>'[84]Sch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7"/>
      <c r="J12" s="370" t="s">
        <v>345</v>
      </c>
      <c r="K12" s="371">
        <f>G208</f>
        <v>4027336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490">
        <f>'[84]Sch B'!E21</f>
        <v>1578488</v>
      </c>
      <c r="D13" s="490">
        <f>'[84]Sch B'!G21</f>
        <v>0</v>
      </c>
      <c r="E13" s="171">
        <f t="shared" si="2"/>
        <v>1578488</v>
      </c>
      <c r="F13" s="171"/>
      <c r="G13" s="171">
        <f t="shared" si="0"/>
        <v>1578488</v>
      </c>
      <c r="H13" s="172">
        <f t="shared" si="1"/>
        <v>0.3474108615304638</v>
      </c>
      <c r="I13" s="337"/>
      <c r="J13" s="370" t="s">
        <v>346</v>
      </c>
      <c r="K13" s="371">
        <f>G228</f>
        <v>17524</v>
      </c>
      <c r="M13" s="359">
        <f t="shared" si="3"/>
        <v>540.20807665982204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490">
        <f>'[84]Sch B'!E27</f>
        <v>238635</v>
      </c>
      <c r="D14" s="490">
        <f>'[84]Sch B'!G27</f>
        <v>0</v>
      </c>
      <c r="E14" s="171">
        <f t="shared" si="2"/>
        <v>238635</v>
      </c>
      <c r="F14" s="175"/>
      <c r="G14" s="175">
        <f>E14+F14</f>
        <v>238635</v>
      </c>
      <c r="H14" s="176">
        <f t="shared" si="1"/>
        <v>5.2521394487206885E-2</v>
      </c>
      <c r="I14" s="338"/>
      <c r="J14" s="370" t="s">
        <v>347</v>
      </c>
      <c r="K14" s="371">
        <f>G231</f>
        <v>84</v>
      </c>
      <c r="M14" s="359">
        <f t="shared" si="3"/>
        <v>472.54455445544556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490">
        <f>'[84]Sch B'!E32</f>
        <v>0</v>
      </c>
      <c r="D15" s="490">
        <f>'[84]Sch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7"/>
      <c r="J15" s="370" t="s">
        <v>348</v>
      </c>
      <c r="K15" s="371">
        <f>G235</f>
        <v>30660</v>
      </c>
      <c r="M15" s="359">
        <f t="shared" si="3"/>
        <v>0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490">
        <f>'[84]Sch B'!E37</f>
        <v>623396</v>
      </c>
      <c r="D16" s="490">
        <f>'[84]Sch B'!G37</f>
        <v>0</v>
      </c>
      <c r="E16" s="171">
        <f t="shared" si="2"/>
        <v>623396</v>
      </c>
      <c r="F16" s="171"/>
      <c r="G16" s="171">
        <f t="shared" si="0"/>
        <v>623396</v>
      </c>
      <c r="H16" s="172">
        <f t="shared" si="1"/>
        <v>0.13720379339890135</v>
      </c>
      <c r="I16" s="337"/>
      <c r="J16" s="372"/>
      <c r="K16" s="371"/>
      <c r="M16" s="359">
        <f t="shared" si="3"/>
        <v>157.66211431461809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490">
        <f>'[84]Sch B'!E42</f>
        <v>148172</v>
      </c>
      <c r="D17" s="490">
        <f>'[84]Sch B'!G42</f>
        <v>0</v>
      </c>
      <c r="E17" s="171">
        <f t="shared" si="2"/>
        <v>148172</v>
      </c>
      <c r="F17" s="171"/>
      <c r="G17" s="171">
        <f>E17+F17</f>
        <v>148172</v>
      </c>
      <c r="H17" s="172">
        <f t="shared" si="1"/>
        <v>3.2611310427885343E-2</v>
      </c>
      <c r="I17" s="337"/>
      <c r="J17" s="370" t="s">
        <v>156</v>
      </c>
      <c r="K17" s="371">
        <f>J208</f>
        <v>91542</v>
      </c>
      <c r="M17" s="359">
        <f t="shared" si="3"/>
        <v>186.14572864321607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490">
        <f>'[84]Sch B'!E47</f>
        <v>0</v>
      </c>
      <c r="D18" s="490">
        <f>'[84]Sch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337"/>
      <c r="J18" s="373" t="s">
        <v>252</v>
      </c>
      <c r="K18" s="374">
        <f>K208</f>
        <v>109400</v>
      </c>
      <c r="M18" s="359">
        <f t="shared" si="3"/>
        <v>0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490">
        <f>'[84]Sch B'!E52</f>
        <v>149411</v>
      </c>
      <c r="D19" s="490">
        <f>'[84]Sch B'!G52</f>
        <v>0</v>
      </c>
      <c r="E19" s="171">
        <f t="shared" si="2"/>
        <v>149411</v>
      </c>
      <c r="F19" s="171"/>
      <c r="G19" s="171">
        <f t="shared" si="0"/>
        <v>149411</v>
      </c>
      <c r="H19" s="172">
        <f t="shared" si="1"/>
        <v>3.2884003066306566E-2</v>
      </c>
      <c r="I19" s="337"/>
      <c r="J19" s="168"/>
      <c r="K19" s="168"/>
      <c r="M19" s="359">
        <f t="shared" si="3"/>
        <v>258.05008635578582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490">
        <f>'[84]Sch B'!E67</f>
        <v>72243</v>
      </c>
      <c r="D20" s="490">
        <f>'[84]Sch B'!G67</f>
        <v>-3756</v>
      </c>
      <c r="E20" s="171">
        <f t="shared" si="2"/>
        <v>68487</v>
      </c>
      <c r="F20" s="171"/>
      <c r="G20" s="171">
        <f t="shared" si="0"/>
        <v>68487</v>
      </c>
      <c r="H20" s="172">
        <f t="shared" si="1"/>
        <v>1.507336620464449E-2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490">
        <f>SUM(C11:C20)</f>
        <v>4547333</v>
      </c>
      <c r="D21" s="490">
        <f>SUM(D11:D20)</f>
        <v>-3756</v>
      </c>
      <c r="E21" s="171">
        <f>SUM(E11:E20)</f>
        <v>4543577</v>
      </c>
      <c r="F21" s="171">
        <f>SUM(F11:F20)</f>
        <v>0</v>
      </c>
      <c r="G21" s="171">
        <f>SUM(G11:G20)</f>
        <v>4543577</v>
      </c>
      <c r="H21" s="172">
        <f t="shared" si="1"/>
        <v>1</v>
      </c>
      <c r="I21" s="337"/>
      <c r="J21" s="168"/>
      <c r="K21" s="168"/>
      <c r="M21" s="359">
        <f>IFERROR(G21/G228,0)</f>
        <v>259.2773910066195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4">
      <c r="A24" s="181" t="s">
        <v>161</v>
      </c>
      <c r="B24" s="148" t="s">
        <v>12</v>
      </c>
      <c r="M24" s="363"/>
      <c r="N24" s="363"/>
    </row>
    <row r="25" spans="1:14" s="167" customFormat="1">
      <c r="A25" s="169" t="s">
        <v>83</v>
      </c>
      <c r="B25" s="170" t="s">
        <v>14</v>
      </c>
      <c r="C25" s="490">
        <f>'[84]Sch C'!D10</f>
        <v>0</v>
      </c>
      <c r="D25" s="490">
        <f>'[84]Sch C'!F10</f>
        <v>142963</v>
      </c>
      <c r="E25" s="171">
        <f t="shared" ref="E25:E60" si="4">C25+D25</f>
        <v>142963</v>
      </c>
      <c r="F25" s="171"/>
      <c r="G25" s="182">
        <f>E25+F25</f>
        <v>142963</v>
      </c>
      <c r="H25" s="172">
        <f>IF($G$208=0,0,G25/$G$208)</f>
        <v>3.5498155604598174E-2</v>
      </c>
      <c r="I25" s="337"/>
      <c r="J25" s="183">
        <v>1946</v>
      </c>
      <c r="K25" s="183">
        <v>2162</v>
      </c>
      <c r="M25" s="359">
        <f>G25/G$228</f>
        <v>8.1581259986304495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490">
        <f>'[84]Sch C'!D11</f>
        <v>0</v>
      </c>
      <c r="D26" s="490">
        <f>'[84]Sch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490">
        <f>'[84]Sch C'!D12</f>
        <v>187950</v>
      </c>
      <c r="D27" s="490">
        <f>'[84]Sch C'!F12</f>
        <v>-142963</v>
      </c>
      <c r="E27" s="171">
        <f t="shared" si="4"/>
        <v>44987</v>
      </c>
      <c r="F27" s="171"/>
      <c r="G27" s="171">
        <f t="shared" si="5"/>
        <v>44987</v>
      </c>
      <c r="H27" s="172">
        <f t="shared" si="6"/>
        <v>1.1170411408434756E-2</v>
      </c>
      <c r="I27" s="337"/>
      <c r="J27" s="185">
        <v>5236</v>
      </c>
      <c r="K27" s="185">
        <v>5578</v>
      </c>
      <c r="M27" s="359">
        <f t="shared" si="7"/>
        <v>2.5671650308148823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490">
        <f>'[84]Sch C'!D13</f>
        <v>23552</v>
      </c>
      <c r="D28" s="490">
        <f>'[84]Sch C'!F13</f>
        <v>0</v>
      </c>
      <c r="E28" s="171">
        <f t="shared" si="4"/>
        <v>23552</v>
      </c>
      <c r="F28" s="171"/>
      <c r="G28" s="171">
        <f t="shared" si="5"/>
        <v>23552</v>
      </c>
      <c r="H28" s="172">
        <f t="shared" si="6"/>
        <v>5.8480345320082554E-3</v>
      </c>
      <c r="I28" s="337"/>
      <c r="J28" s="168"/>
      <c r="K28" s="168"/>
      <c r="M28" s="359">
        <f t="shared" si="7"/>
        <v>1.3439853914631363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490">
        <f>'[84]Sch C'!D14</f>
        <v>0</v>
      </c>
      <c r="D29" s="490">
        <f>'[84]Sch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490">
        <f>'[84]Sch C'!D15</f>
        <v>0</v>
      </c>
      <c r="D30" s="490">
        <f>'[84]Sch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7"/>
      <c r="J30" s="168"/>
      <c r="K30" s="168"/>
      <c r="M30" s="359">
        <f t="shared" si="7"/>
        <v>0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490">
        <f>'[84]Sch C'!D16</f>
        <v>227209</v>
      </c>
      <c r="D31" s="490">
        <f>'[84]Sch C'!F16</f>
        <v>7516</v>
      </c>
      <c r="E31" s="171">
        <f t="shared" si="4"/>
        <v>234725</v>
      </c>
      <c r="F31" s="171"/>
      <c r="G31" s="171">
        <f t="shared" si="5"/>
        <v>234725</v>
      </c>
      <c r="H31" s="172">
        <f t="shared" si="6"/>
        <v>5.8282944358255678E-2</v>
      </c>
      <c r="I31" s="337"/>
      <c r="J31" s="168"/>
      <c r="K31" s="168"/>
      <c r="M31" s="359">
        <f t="shared" si="7"/>
        <v>13.394487559917827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490">
        <f>'[84]Sch C'!D17</f>
        <v>967</v>
      </c>
      <c r="D32" s="490">
        <f>'[84]Sch C'!F17</f>
        <v>-967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7"/>
      <c r="J32" s="168"/>
      <c r="K32" s="168"/>
      <c r="M32" s="359">
        <f t="shared" si="7"/>
        <v>0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490">
        <f>'[84]Sch C'!D18</f>
        <v>20736</v>
      </c>
      <c r="D33" s="490">
        <f>'[84]Sch C'!F18</f>
        <v>0</v>
      </c>
      <c r="E33" s="171">
        <f t="shared" si="4"/>
        <v>20736</v>
      </c>
      <c r="F33" s="171"/>
      <c r="G33" s="171">
        <f t="shared" si="5"/>
        <v>20736</v>
      </c>
      <c r="H33" s="172">
        <f t="shared" si="6"/>
        <v>5.1488130118768341E-3</v>
      </c>
      <c r="I33" s="337"/>
      <c r="J33" s="168"/>
      <c r="K33" s="168"/>
      <c r="M33" s="359">
        <f t="shared" si="7"/>
        <v>1.1832914859621091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490">
        <f>'[84]Sch C'!D19</f>
        <v>9547</v>
      </c>
      <c r="D34" s="490">
        <f>'[84]Sch C'!F19</f>
        <v>0</v>
      </c>
      <c r="E34" s="171">
        <f t="shared" si="4"/>
        <v>9547</v>
      </c>
      <c r="F34" s="171"/>
      <c r="G34" s="171">
        <f t="shared" si="5"/>
        <v>9547</v>
      </c>
      <c r="H34" s="172">
        <f t="shared" si="6"/>
        <v>2.3705496635989648E-3</v>
      </c>
      <c r="I34" s="337"/>
      <c r="J34" s="168"/>
      <c r="K34" s="168"/>
      <c r="M34" s="359">
        <f t="shared" si="7"/>
        <v>0.54479570874229633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490">
        <f>'[84]Sch C'!D20</f>
        <v>10085</v>
      </c>
      <c r="D35" s="490">
        <f>'[84]Sch C'!F20</f>
        <v>-263</v>
      </c>
      <c r="E35" s="171">
        <f t="shared" si="4"/>
        <v>9822</v>
      </c>
      <c r="F35" s="171"/>
      <c r="G35" s="171">
        <f t="shared" si="5"/>
        <v>9822</v>
      </c>
      <c r="H35" s="172">
        <f t="shared" si="6"/>
        <v>2.4388330151742989E-3</v>
      </c>
      <c r="I35" s="337"/>
      <c r="J35" s="168"/>
      <c r="K35" s="168"/>
      <c r="M35" s="359">
        <f t="shared" si="7"/>
        <v>0.56048847295138093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490">
        <f>'[84]Sch C'!D21</f>
        <v>7166</v>
      </c>
      <c r="D36" s="490">
        <f>'[84]Sch C'!F21</f>
        <v>0</v>
      </c>
      <c r="E36" s="171">
        <f t="shared" si="4"/>
        <v>7166</v>
      </c>
      <c r="F36" s="171"/>
      <c r="G36" s="171">
        <f t="shared" si="5"/>
        <v>7166</v>
      </c>
      <c r="H36" s="172">
        <f t="shared" si="6"/>
        <v>1.7793399905048895E-3</v>
      </c>
      <c r="I36" s="337"/>
      <c r="J36" s="168"/>
      <c r="K36" s="168"/>
      <c r="M36" s="359">
        <f t="shared" si="7"/>
        <v>0.40892490299018491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490">
        <f>'[84]Sch C'!D22</f>
        <v>0</v>
      </c>
      <c r="D37" s="490">
        <f>'[84]Sch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490">
        <f>'[84]Sch C'!D23</f>
        <v>5433</v>
      </c>
      <c r="D38" s="490">
        <f>'[84]Sch C'!F23</f>
        <v>0</v>
      </c>
      <c r="E38" s="171">
        <f t="shared" si="4"/>
        <v>5433</v>
      </c>
      <c r="F38" s="171"/>
      <c r="G38" s="171">
        <f t="shared" si="5"/>
        <v>5433</v>
      </c>
      <c r="H38" s="172">
        <f t="shared" si="6"/>
        <v>1.3490307240319657E-3</v>
      </c>
      <c r="I38" s="337"/>
      <c r="J38" s="168"/>
      <c r="K38" s="168"/>
      <c r="M38" s="359">
        <f t="shared" si="7"/>
        <v>0.31003195617438939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490">
        <f>'[84]Sch C'!D24</f>
        <v>9576</v>
      </c>
      <c r="D39" s="490">
        <f>'[84]Sch C'!F24</f>
        <v>0</v>
      </c>
      <c r="E39" s="171">
        <f t="shared" si="4"/>
        <v>9576</v>
      </c>
      <c r="F39" s="171"/>
      <c r="G39" s="171">
        <f t="shared" si="5"/>
        <v>9576</v>
      </c>
      <c r="H39" s="172">
        <f t="shared" si="6"/>
        <v>2.3777504534014545E-3</v>
      </c>
      <c r="I39" s="337"/>
      <c r="J39" s="168"/>
      <c r="K39" s="168"/>
      <c r="M39" s="359">
        <f t="shared" si="7"/>
        <v>0.54645058205889063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490">
        <f>'[84]Sch C'!D25</f>
        <v>1980</v>
      </c>
      <c r="D40" s="490">
        <f>'[84]Sch C'!F25</f>
        <v>0</v>
      </c>
      <c r="E40" s="171">
        <f t="shared" si="4"/>
        <v>1980</v>
      </c>
      <c r="F40" s="171"/>
      <c r="G40" s="171">
        <f t="shared" si="5"/>
        <v>1980</v>
      </c>
      <c r="H40" s="172">
        <f t="shared" si="6"/>
        <v>4.9164013134240603E-4</v>
      </c>
      <c r="I40" s="337"/>
      <c r="J40" s="168"/>
      <c r="K40" s="168"/>
      <c r="M40" s="359">
        <f t="shared" si="7"/>
        <v>0.11298790230540973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490">
        <f>'[84]Sch C'!D26</f>
        <v>218712</v>
      </c>
      <c r="D41" s="490">
        <f>'[84]Sch C'!F26</f>
        <v>0</v>
      </c>
      <c r="E41" s="171">
        <f t="shared" si="4"/>
        <v>218712</v>
      </c>
      <c r="F41" s="171"/>
      <c r="G41" s="171">
        <f t="shared" si="5"/>
        <v>218712</v>
      </c>
      <c r="H41" s="172">
        <f t="shared" si="6"/>
        <v>5.4306866871798129E-2</v>
      </c>
      <c r="I41" s="337"/>
      <c r="J41" s="168"/>
      <c r="K41" s="168"/>
      <c r="M41" s="359">
        <f t="shared" si="7"/>
        <v>12.480712166172108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490">
        <f>'[84]Sch C'!D27</f>
        <v>195676</v>
      </c>
      <c r="D42" s="490">
        <f>'[84]Sch C'!F27</f>
        <v>-192511</v>
      </c>
      <c r="E42" s="171">
        <f t="shared" si="4"/>
        <v>3165</v>
      </c>
      <c r="F42" s="171"/>
      <c r="G42" s="171">
        <f t="shared" si="5"/>
        <v>3165</v>
      </c>
      <c r="H42" s="172">
        <f t="shared" si="6"/>
        <v>7.8587930085793683E-4</v>
      </c>
      <c r="I42" s="337"/>
      <c r="J42" s="168"/>
      <c r="K42" s="168"/>
      <c r="M42" s="359">
        <f t="shared" si="7"/>
        <v>0.18060944989728372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490">
        <f>'[84]Sch C'!D28</f>
        <v>0</v>
      </c>
      <c r="D43" s="490">
        <f>'[84]Sch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490">
        <f>'[84]Sch C'!D29</f>
        <v>90647</v>
      </c>
      <c r="D44" s="490">
        <f>'[84]Sch C'!F29</f>
        <v>-90647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490">
        <f>'[84]Sch C'!D30</f>
        <v>0</v>
      </c>
      <c r="D45" s="490">
        <f>'[84]Sch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490">
        <f>'[84]Sch C'!D31</f>
        <v>0</v>
      </c>
      <c r="D46" s="490">
        <f>'[84]Sch C'!F31</f>
        <v>0</v>
      </c>
      <c r="E46" s="171">
        <f t="shared" si="4"/>
        <v>0</v>
      </c>
      <c r="F46" s="171"/>
      <c r="G46" s="171">
        <f t="shared" si="5"/>
        <v>0</v>
      </c>
      <c r="H46" s="172">
        <f t="shared" si="6"/>
        <v>0</v>
      </c>
      <c r="I46" s="337"/>
      <c r="J46" s="168"/>
      <c r="K46" s="168"/>
      <c r="M46" s="359">
        <f t="shared" si="7"/>
        <v>0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490">
        <f>'[84]Sch C'!D32</f>
        <v>64200</v>
      </c>
      <c r="D47" s="490">
        <f>'[84]Sch C'!F32</f>
        <v>0</v>
      </c>
      <c r="E47" s="171">
        <f t="shared" si="4"/>
        <v>64200</v>
      </c>
      <c r="F47" s="171"/>
      <c r="G47" s="171">
        <f t="shared" si="5"/>
        <v>64200</v>
      </c>
      <c r="H47" s="172">
        <f t="shared" si="6"/>
        <v>1.5941058804132557E-2</v>
      </c>
      <c r="I47" s="337"/>
      <c r="J47" s="168"/>
      <c r="K47" s="168"/>
      <c r="M47" s="359">
        <f t="shared" si="7"/>
        <v>3.6635471353572244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490">
        <f>'[84]Sch C'!D33</f>
        <v>0</v>
      </c>
      <c r="D48" s="490">
        <f>'[84]Sch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490">
        <f>'[84]Sch C'!D34</f>
        <v>270</v>
      </c>
      <c r="D49" s="490">
        <f>'[84]Sch C'!F34</f>
        <v>0</v>
      </c>
      <c r="E49" s="171">
        <f t="shared" si="4"/>
        <v>270</v>
      </c>
      <c r="F49" s="171"/>
      <c r="G49" s="171">
        <f t="shared" si="5"/>
        <v>270</v>
      </c>
      <c r="H49" s="172">
        <f t="shared" si="6"/>
        <v>6.7041836092146266E-5</v>
      </c>
      <c r="I49" s="337"/>
      <c r="J49" s="168"/>
      <c r="K49" s="168"/>
      <c r="M49" s="359">
        <f t="shared" si="7"/>
        <v>1.5407441223464963E-2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490">
        <f>'[84]Sch C'!D35</f>
        <v>0</v>
      </c>
      <c r="D50" s="490">
        <f>'[84]Sch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490">
        <f>'[84]Sch C'!D36</f>
        <v>37301</v>
      </c>
      <c r="D51" s="490">
        <f>'[84]Sch C'!F36</f>
        <v>0</v>
      </c>
      <c r="E51" s="171">
        <f t="shared" si="4"/>
        <v>37301</v>
      </c>
      <c r="F51" s="171"/>
      <c r="G51" s="171">
        <f t="shared" si="5"/>
        <v>37301</v>
      </c>
      <c r="H51" s="172">
        <f t="shared" si="6"/>
        <v>9.2619538076783268E-3</v>
      </c>
      <c r="I51" s="337"/>
      <c r="J51" s="183">
        <v>3227</v>
      </c>
      <c r="K51" s="183">
        <v>3542</v>
      </c>
      <c r="M51" s="359">
        <f t="shared" si="7"/>
        <v>2.1285665373202467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490">
        <f>'[84]Sch C'!D37</f>
        <v>6130</v>
      </c>
      <c r="D52" s="490">
        <f>'[84]Sch C'!F37</f>
        <v>0</v>
      </c>
      <c r="E52" s="171">
        <f t="shared" si="4"/>
        <v>6130</v>
      </c>
      <c r="F52" s="171"/>
      <c r="G52" s="171">
        <f t="shared" si="5"/>
        <v>6130</v>
      </c>
      <c r="H52" s="172">
        <f t="shared" si="6"/>
        <v>1.522097982388358E-3</v>
      </c>
      <c r="I52" s="337"/>
      <c r="J52" s="168"/>
      <c r="K52" s="168"/>
      <c r="M52" s="359">
        <f t="shared" si="7"/>
        <v>0.34980598036977861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490">
        <f>'[84]Sch C'!D38</f>
        <v>55</v>
      </c>
      <c r="D53" s="490">
        <f>'[84]Sch C'!F38</f>
        <v>-55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7"/>
      <c r="J53" s="168"/>
      <c r="K53" s="168"/>
      <c r="M53" s="359">
        <f t="shared" si="7"/>
        <v>0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490">
        <f>'[84]Sch C'!D39</f>
        <v>4923</v>
      </c>
      <c r="D54" s="490">
        <f>'[84]Sch C'!F39</f>
        <v>0</v>
      </c>
      <c r="E54" s="171">
        <f t="shared" si="4"/>
        <v>4923</v>
      </c>
      <c r="F54" s="171"/>
      <c r="G54" s="171">
        <f t="shared" si="5"/>
        <v>4923</v>
      </c>
      <c r="H54" s="172">
        <f t="shared" si="6"/>
        <v>1.2223961447468004E-3</v>
      </c>
      <c r="I54" s="337"/>
      <c r="J54" s="168"/>
      <c r="K54" s="168"/>
      <c r="M54" s="359">
        <f t="shared" si="7"/>
        <v>0.28092901164117784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490">
        <f>'[84]Sch C'!D40</f>
        <v>4151</v>
      </c>
      <c r="D55" s="490">
        <f>'[84]Sch C'!F40</f>
        <v>-4151</v>
      </c>
      <c r="E55" s="171">
        <f t="shared" si="4"/>
        <v>0</v>
      </c>
      <c r="F55" s="171"/>
      <c r="G55" s="171">
        <f t="shared" si="5"/>
        <v>0</v>
      </c>
      <c r="H55" s="172">
        <f t="shared" si="6"/>
        <v>0</v>
      </c>
      <c r="I55" s="337"/>
      <c r="J55" s="168"/>
      <c r="K55" s="168"/>
      <c r="M55" s="359">
        <f t="shared" si="7"/>
        <v>0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490">
        <f>'[84]Sch C'!D41</f>
        <v>45888</v>
      </c>
      <c r="D56" s="490">
        <f>'[84]Sch C'!F41</f>
        <v>0</v>
      </c>
      <c r="E56" s="171">
        <f t="shared" si="4"/>
        <v>45888</v>
      </c>
      <c r="F56" s="171"/>
      <c r="G56" s="171">
        <f t="shared" si="5"/>
        <v>45888</v>
      </c>
      <c r="H56" s="172">
        <f t="shared" si="6"/>
        <v>1.1394132498505216E-2</v>
      </c>
      <c r="I56" s="337"/>
      <c r="J56" s="168"/>
      <c r="K56" s="168"/>
      <c r="M56" s="359">
        <f t="shared" si="7"/>
        <v>2.6185802328235561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490">
        <f>'[84]Sch C'!D42</f>
        <v>376</v>
      </c>
      <c r="D57" s="490">
        <f>'[84]Sch C'!F42</f>
        <v>0</v>
      </c>
      <c r="E57" s="171">
        <f t="shared" si="4"/>
        <v>376</v>
      </c>
      <c r="F57" s="171"/>
      <c r="G57" s="171">
        <f t="shared" si="5"/>
        <v>376</v>
      </c>
      <c r="H57" s="172">
        <f t="shared" si="6"/>
        <v>9.3361964335729626E-5</v>
      </c>
      <c r="I57" s="337"/>
      <c r="J57" s="168"/>
      <c r="K57" s="168"/>
      <c r="M57" s="359">
        <f t="shared" si="7"/>
        <v>2.145628851860306E-2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490">
        <f>'[84]Sch C'!D43</f>
        <v>7900</v>
      </c>
      <c r="D58" s="490">
        <f>'[84]Sch C'!F43</f>
        <v>-7900</v>
      </c>
      <c r="E58" s="171">
        <f t="shared" si="4"/>
        <v>0</v>
      </c>
      <c r="F58" s="171"/>
      <c r="G58" s="171">
        <f t="shared" si="5"/>
        <v>0</v>
      </c>
      <c r="H58" s="172">
        <f t="shared" si="6"/>
        <v>0</v>
      </c>
      <c r="I58" s="337"/>
      <c r="J58" s="168"/>
      <c r="K58" s="168"/>
      <c r="M58" s="359">
        <f t="shared" si="7"/>
        <v>0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490">
        <f>'[84]Sch C'!D44</f>
        <v>0</v>
      </c>
      <c r="D59" s="490">
        <f>'[84]Sch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7"/>
      <c r="J59" s="168"/>
      <c r="K59" s="168"/>
      <c r="M59" s="359">
        <f t="shared" si="7"/>
        <v>0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490">
        <f>'[84]Sch C'!D45</f>
        <v>7124</v>
      </c>
      <c r="D60" s="490">
        <f>'[84]Sch C'!F45</f>
        <v>-487</v>
      </c>
      <c r="E60" s="171">
        <f t="shared" si="4"/>
        <v>6637</v>
      </c>
      <c r="F60" s="171"/>
      <c r="G60" s="171">
        <f t="shared" si="5"/>
        <v>6637</v>
      </c>
      <c r="H60" s="172">
        <f t="shared" si="6"/>
        <v>1.6479876523836103E-3</v>
      </c>
      <c r="I60" s="337"/>
      <c r="J60" s="168"/>
      <c r="K60" s="168"/>
      <c r="M60" s="359">
        <f t="shared" si="7"/>
        <v>0.37873773111161835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490">
        <f>SUM(C25:C60)</f>
        <v>1187554</v>
      </c>
      <c r="D61" s="490">
        <f>SUM(D25:D60)</f>
        <v>-289465</v>
      </c>
      <c r="E61" s="171">
        <f t="shared" ref="E61:F61" si="8">SUM(E25:E60)</f>
        <v>898089</v>
      </c>
      <c r="F61" s="171">
        <f t="shared" si="8"/>
        <v>0</v>
      </c>
      <c r="G61" s="171">
        <f>SUM(G25:G60)</f>
        <v>898089</v>
      </c>
      <c r="H61" s="186">
        <f t="shared" si="6"/>
        <v>0.2229982797561465</v>
      </c>
      <c r="I61" s="339"/>
      <c r="J61" s="168"/>
      <c r="K61" s="168"/>
      <c r="M61" s="364">
        <f>G61/G$228</f>
        <v>51.249086966446015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I62" s="340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490">
        <f>'[84]Sch C'!D57</f>
        <v>0</v>
      </c>
      <c r="D64" s="490">
        <f>'[84]Sch C'!F57</f>
        <v>0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I64" s="337"/>
      <c r="J64" s="190"/>
      <c r="K64" s="168"/>
      <c r="M64" s="359">
        <f t="shared" ref="M64:M79" si="12">G64/G$228</f>
        <v>0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490">
        <f>'[84]Sch C'!D58</f>
        <v>12435</v>
      </c>
      <c r="D65" s="490">
        <f>'[84]Sch C'!F58</f>
        <v>0</v>
      </c>
      <c r="E65" s="171">
        <f t="shared" si="9"/>
        <v>12435</v>
      </c>
      <c r="F65" s="171"/>
      <c r="G65" s="171">
        <f t="shared" si="10"/>
        <v>12435</v>
      </c>
      <c r="H65" s="172">
        <f t="shared" si="11"/>
        <v>3.0876490066882923E-3</v>
      </c>
      <c r="I65" s="337"/>
      <c r="J65" s="190"/>
      <c r="K65" s="168"/>
      <c r="M65" s="359">
        <f t="shared" si="12"/>
        <v>0.70959826523624747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490">
        <f>'[84]Sch C'!D59</f>
        <v>0</v>
      </c>
      <c r="D66" s="490">
        <f>'[84]Sch C'!F59</f>
        <v>192495</v>
      </c>
      <c r="E66" s="171">
        <f t="shared" si="9"/>
        <v>192495</v>
      </c>
      <c r="F66" s="171"/>
      <c r="G66" s="171">
        <f t="shared" si="10"/>
        <v>192495</v>
      </c>
      <c r="H66" s="172">
        <f t="shared" si="11"/>
        <v>4.7797104587250727E-2</v>
      </c>
      <c r="I66" s="337"/>
      <c r="J66" s="190"/>
      <c r="K66" s="168"/>
      <c r="M66" s="359">
        <f t="shared" si="12"/>
        <v>10.984649623373659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490">
        <f>'[84]Sch C'!D60</f>
        <v>10596</v>
      </c>
      <c r="D67" s="490">
        <f>'[84]Sch C'!F60</f>
        <v>0</v>
      </c>
      <c r="E67" s="171">
        <f t="shared" si="9"/>
        <v>10596</v>
      </c>
      <c r="F67" s="171"/>
      <c r="G67" s="171">
        <f t="shared" si="10"/>
        <v>10596</v>
      </c>
      <c r="H67" s="172">
        <f t="shared" si="11"/>
        <v>2.6310196119717849E-3</v>
      </c>
      <c r="I67" s="337"/>
      <c r="J67" s="193"/>
      <c r="K67" s="168"/>
      <c r="M67" s="359">
        <f t="shared" si="12"/>
        <v>0.60465647112531384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490">
        <f>'[84]Sch C'!D61</f>
        <v>10771</v>
      </c>
      <c r="D68" s="490">
        <f>'[84]Sch C'!F61</f>
        <v>0</v>
      </c>
      <c r="E68" s="171">
        <f t="shared" si="9"/>
        <v>10771</v>
      </c>
      <c r="F68" s="171"/>
      <c r="G68" s="171">
        <f t="shared" si="10"/>
        <v>10771</v>
      </c>
      <c r="H68" s="172">
        <f t="shared" si="11"/>
        <v>2.6744726538833613E-3</v>
      </c>
      <c r="I68" s="337"/>
      <c r="J68" s="193"/>
      <c r="K68" s="168"/>
      <c r="M68" s="359">
        <f t="shared" si="12"/>
        <v>0.61464277562200409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490">
        <f>'[84]Sch C'!D62</f>
        <v>7061</v>
      </c>
      <c r="D69" s="490">
        <f>'[84]Sch C'!F62</f>
        <v>0</v>
      </c>
      <c r="E69" s="171">
        <f t="shared" si="9"/>
        <v>7061</v>
      </c>
      <c r="F69" s="171"/>
      <c r="G69" s="171">
        <f t="shared" si="10"/>
        <v>7061</v>
      </c>
      <c r="H69" s="172">
        <f t="shared" si="11"/>
        <v>1.7532681653579438E-3</v>
      </c>
      <c r="I69" s="337"/>
      <c r="J69" s="195"/>
      <c r="K69" s="168"/>
      <c r="M69" s="359">
        <f t="shared" si="12"/>
        <v>0.40293312029217071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490">
        <f>'[84]Sch C'!D63</f>
        <v>0</v>
      </c>
      <c r="D70" s="490">
        <f>'[84]Sch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7"/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490">
        <f>'[84]Sch C'!D64</f>
        <v>0</v>
      </c>
      <c r="D71" s="490">
        <f>'[84]Sch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490">
        <f>'[84]Sch C'!D65</f>
        <v>4252</v>
      </c>
      <c r="D72" s="490">
        <f>'[84]Sch C'!F65</f>
        <v>0</v>
      </c>
      <c r="E72" s="171">
        <f t="shared" si="9"/>
        <v>4252</v>
      </c>
      <c r="F72" s="171"/>
      <c r="G72" s="171">
        <f t="shared" si="10"/>
        <v>4252</v>
      </c>
      <c r="H72" s="172">
        <f t="shared" si="11"/>
        <v>1.0557847669029851E-3</v>
      </c>
      <c r="I72" s="337"/>
      <c r="J72" s="195"/>
      <c r="K72" s="168"/>
      <c r="M72" s="359">
        <f t="shared" si="12"/>
        <v>0.24263866697101119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490">
        <f>'[84]Sch C'!D66</f>
        <v>19986</v>
      </c>
      <c r="D73" s="490">
        <f>'[84]Sch C'!F66</f>
        <v>-356</v>
      </c>
      <c r="E73" s="171">
        <f t="shared" si="9"/>
        <v>19630</v>
      </c>
      <c r="F73" s="171"/>
      <c r="G73" s="171">
        <f t="shared" si="10"/>
        <v>19630</v>
      </c>
      <c r="H73" s="172">
        <f t="shared" si="11"/>
        <v>4.8741897869956719E-3</v>
      </c>
      <c r="I73" s="337"/>
      <c r="J73" s="195"/>
      <c r="K73" s="168"/>
      <c r="M73" s="359">
        <f t="shared" si="12"/>
        <v>1.1201780415430267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490">
        <f>'[84]Sch C'!D67</f>
        <v>279688</v>
      </c>
      <c r="D74" s="490">
        <f>'[84]Sch C'!F67</f>
        <v>0</v>
      </c>
      <c r="E74" s="171">
        <f t="shared" si="9"/>
        <v>279688</v>
      </c>
      <c r="F74" s="171"/>
      <c r="G74" s="171">
        <f t="shared" si="10"/>
        <v>279688</v>
      </c>
      <c r="H74" s="172">
        <f t="shared" si="11"/>
        <v>6.9447396492371138E-2</v>
      </c>
      <c r="I74" s="337"/>
      <c r="J74" s="195"/>
      <c r="K74" s="168"/>
      <c r="M74" s="359">
        <f t="shared" si="12"/>
        <v>15.960283040401734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490">
        <f>'[84]Sch C'!D68</f>
        <v>0</v>
      </c>
      <c r="D75" s="490">
        <f>'[84]Sch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490">
        <f>'[84]Sch C'!D69</f>
        <v>3057</v>
      </c>
      <c r="D76" s="490">
        <f>'[84]Sch C'!F69</f>
        <v>0</v>
      </c>
      <c r="E76" s="171">
        <f t="shared" si="9"/>
        <v>3057</v>
      </c>
      <c r="F76" s="171"/>
      <c r="G76" s="171">
        <f t="shared" si="10"/>
        <v>3057</v>
      </c>
      <c r="H76" s="172">
        <f t="shared" si="11"/>
        <v>7.5906256642107835E-4</v>
      </c>
      <c r="I76" s="337"/>
      <c r="J76" s="195"/>
      <c r="K76" s="168"/>
      <c r="M76" s="359">
        <f t="shared" si="12"/>
        <v>0.17444647340789773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490">
        <f>'[84]Sch C'!D70</f>
        <v>0</v>
      </c>
      <c r="D77" s="490">
        <f>'[84]Sch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7"/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490">
        <f>'[84]Sch C'!D71</f>
        <v>0</v>
      </c>
      <c r="D78" s="490">
        <f>'[84]Sch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7"/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490">
        <f>SUM(C64:C78)</f>
        <v>347846</v>
      </c>
      <c r="D79" s="490">
        <f>SUM(D64:D78)</f>
        <v>192139</v>
      </c>
      <c r="E79" s="171">
        <f t="shared" ref="E79:F79" si="13">SUM(E64:E78)</f>
        <v>539985</v>
      </c>
      <c r="F79" s="171">
        <f t="shared" si="13"/>
        <v>0</v>
      </c>
      <c r="G79" s="171">
        <f>SUM(G64:G78)</f>
        <v>539985</v>
      </c>
      <c r="H79" s="172">
        <f t="shared" si="11"/>
        <v>0.13407994763784298</v>
      </c>
      <c r="I79" s="337"/>
      <c r="J79" s="195"/>
      <c r="K79" s="168"/>
      <c r="M79" s="359">
        <f t="shared" si="12"/>
        <v>30.814026477973066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490">
        <f>'[84]Sch C'!D75</f>
        <v>33744</v>
      </c>
      <c r="D82" s="490">
        <f>'[84]Sch C'!F75</f>
        <v>0</v>
      </c>
      <c r="E82" s="171">
        <f t="shared" ref="E82:E92" si="14">C82+D82</f>
        <v>33744</v>
      </c>
      <c r="F82" s="171"/>
      <c r="G82" s="171">
        <f t="shared" ref="G82:G92" si="15">E82+F82</f>
        <v>33744</v>
      </c>
      <c r="H82" s="172">
        <f t="shared" ref="H82:H93" si="16">IF($G$208=0,0,G82/$G$208)</f>
        <v>8.378739692938458E-3</v>
      </c>
      <c r="I82" s="337"/>
      <c r="J82" s="183">
        <v>2079</v>
      </c>
      <c r="K82" s="183">
        <v>2340</v>
      </c>
      <c r="M82" s="359">
        <f t="shared" ref="M82:M92" si="17">G82/G$228</f>
        <v>1.9255877653503766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490">
        <f>'[84]Sch C'!D76</f>
        <v>7275</v>
      </c>
      <c r="D83" s="490">
        <f>'[84]Sch C'!F76</f>
        <v>0</v>
      </c>
      <c r="E83" s="171">
        <f t="shared" si="14"/>
        <v>7275</v>
      </c>
      <c r="F83" s="171"/>
      <c r="G83" s="171">
        <f t="shared" si="15"/>
        <v>7275</v>
      </c>
      <c r="H83" s="172">
        <f t="shared" si="16"/>
        <v>1.8064050280383857E-3</v>
      </c>
      <c r="I83" s="337"/>
      <c r="J83" s="168"/>
      <c r="K83" s="168"/>
      <c r="M83" s="359">
        <f t="shared" si="17"/>
        <v>0.41514494407669483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490">
        <f>'[84]Sch C'!D77</f>
        <v>9214</v>
      </c>
      <c r="D84" s="490">
        <f>'[84]Sch C'!F77</f>
        <v>0</v>
      </c>
      <c r="E84" s="171">
        <f t="shared" si="14"/>
        <v>9214</v>
      </c>
      <c r="F84" s="171"/>
      <c r="G84" s="171">
        <f t="shared" si="15"/>
        <v>9214</v>
      </c>
      <c r="H84" s="172">
        <f t="shared" si="16"/>
        <v>2.287864732418651E-3</v>
      </c>
      <c r="I84" s="337"/>
      <c r="J84" s="168"/>
      <c r="K84" s="168"/>
      <c r="M84" s="359">
        <f t="shared" si="17"/>
        <v>0.52579319790002288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490">
        <f>'[84]Sch C'!D78</f>
        <v>0</v>
      </c>
      <c r="D85" s="490">
        <f>'[84]Sch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I85" s="337"/>
      <c r="J85" s="168"/>
      <c r="K85" s="168"/>
      <c r="M85" s="359">
        <f t="shared" si="17"/>
        <v>0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490">
        <f>'[84]Sch C'!D79</f>
        <v>-88</v>
      </c>
      <c r="D86" s="490">
        <f>'[84]Sch C'!F79</f>
        <v>0</v>
      </c>
      <c r="E86" s="171">
        <f t="shared" si="14"/>
        <v>-88</v>
      </c>
      <c r="F86" s="171"/>
      <c r="G86" s="171">
        <f>E86+F86</f>
        <v>-88</v>
      </c>
      <c r="H86" s="172">
        <f t="shared" si="16"/>
        <v>-2.1850672504106933E-5</v>
      </c>
      <c r="I86" s="337"/>
      <c r="J86" s="168"/>
      <c r="K86" s="168"/>
      <c r="M86" s="359">
        <f t="shared" si="17"/>
        <v>-5.0216845469070988E-3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490">
        <f>'[84]Sch C'!D80</f>
        <v>5992</v>
      </c>
      <c r="D87" s="490">
        <f>'[84]Sch C'!F80</f>
        <v>0</v>
      </c>
      <c r="E87" s="171">
        <f t="shared" si="14"/>
        <v>5992</v>
      </c>
      <c r="F87" s="171"/>
      <c r="G87" s="171">
        <f t="shared" si="15"/>
        <v>5992</v>
      </c>
      <c r="H87" s="172">
        <f t="shared" si="16"/>
        <v>1.4878321550523721E-3</v>
      </c>
      <c r="I87" s="337"/>
      <c r="J87" s="168"/>
      <c r="K87" s="168"/>
      <c r="M87" s="359">
        <f t="shared" si="17"/>
        <v>0.34193106596667427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490">
        <f>'[84]Sch C'!D81</f>
        <v>13849</v>
      </c>
      <c r="D88" s="490">
        <f>'[84]Sch C'!F81</f>
        <v>0</v>
      </c>
      <c r="E88" s="171">
        <f t="shared" si="14"/>
        <v>13849</v>
      </c>
      <c r="F88" s="171"/>
      <c r="G88" s="171">
        <f t="shared" si="15"/>
        <v>13849</v>
      </c>
      <c r="H88" s="172">
        <f t="shared" si="16"/>
        <v>3.4387495853338288E-3</v>
      </c>
      <c r="I88" s="337"/>
      <c r="J88" s="168"/>
      <c r="K88" s="168"/>
      <c r="M88" s="359">
        <f t="shared" si="17"/>
        <v>0.79028760556950473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490">
        <f>'[84]Sch C'!D82</f>
        <v>12081</v>
      </c>
      <c r="D89" s="490">
        <f>'[84]Sch C'!F82</f>
        <v>0</v>
      </c>
      <c r="E89" s="171">
        <f t="shared" si="14"/>
        <v>12081</v>
      </c>
      <c r="F89" s="171"/>
      <c r="G89" s="171">
        <f t="shared" si="15"/>
        <v>12081</v>
      </c>
      <c r="H89" s="172">
        <f t="shared" si="16"/>
        <v>2.9997497104785895E-3</v>
      </c>
      <c r="I89" s="337"/>
      <c r="J89" s="168"/>
      <c r="K89" s="168"/>
      <c r="M89" s="359">
        <f t="shared" si="17"/>
        <v>0.68939739785437115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490">
        <f>'[84]Sch C'!D83</f>
        <v>8069</v>
      </c>
      <c r="D90" s="490">
        <f>'[84]Sch C'!F83</f>
        <v>0</v>
      </c>
      <c r="E90" s="171">
        <f t="shared" si="14"/>
        <v>8069</v>
      </c>
      <c r="F90" s="171"/>
      <c r="G90" s="171">
        <f t="shared" si="15"/>
        <v>8069</v>
      </c>
      <c r="H90" s="172">
        <f t="shared" si="16"/>
        <v>2.0035576867686233E-3</v>
      </c>
      <c r="I90" s="337"/>
      <c r="J90" s="168"/>
      <c r="K90" s="168"/>
      <c r="M90" s="359">
        <f t="shared" si="17"/>
        <v>0.4604542341931066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490">
        <f>'[84]Sch C'!D84</f>
        <v>67234</v>
      </c>
      <c r="D91" s="490">
        <f>'[84]Sch C'!F84</f>
        <v>0</v>
      </c>
      <c r="E91" s="171">
        <f t="shared" si="14"/>
        <v>67234</v>
      </c>
      <c r="F91" s="171"/>
      <c r="G91" s="171">
        <f t="shared" si="15"/>
        <v>67234</v>
      </c>
      <c r="H91" s="172">
        <f t="shared" si="16"/>
        <v>1.6694410399330971E-2</v>
      </c>
      <c r="I91" s="337"/>
      <c r="J91" s="168"/>
      <c r="K91" s="168"/>
      <c r="M91" s="359">
        <f t="shared" si="17"/>
        <v>3.8366811230312714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490">
        <f>'[84]Sch C'!D85</f>
        <v>0</v>
      </c>
      <c r="D92" s="490">
        <f>'[84]Sch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7"/>
      <c r="J92" s="168"/>
      <c r="K92" s="168"/>
      <c r="M92" s="359">
        <f t="shared" si="17"/>
        <v>0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490">
        <f>SUM(C82:C92)</f>
        <v>157370</v>
      </c>
      <c r="D93" s="490">
        <f>SUM(D82:D92)</f>
        <v>0</v>
      </c>
      <c r="E93" s="171">
        <f t="shared" ref="E93:F93" si="18">SUM(E82:E92)</f>
        <v>157370</v>
      </c>
      <c r="F93" s="171">
        <f t="shared" si="18"/>
        <v>0</v>
      </c>
      <c r="G93" s="171">
        <f>SUM(G82:G92)</f>
        <v>157370</v>
      </c>
      <c r="H93" s="172">
        <f t="shared" si="16"/>
        <v>3.9075458317855777E-2</v>
      </c>
      <c r="I93" s="337"/>
      <c r="J93" s="168"/>
      <c r="K93" s="168"/>
      <c r="M93" s="364">
        <f>G93/G$228</f>
        <v>8.9802556493951151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490">
        <f>'[84]Sch C'!D89</f>
        <v>138848</v>
      </c>
      <c r="D96" s="490">
        <f>'[84]Sch C'!F89</f>
        <v>0</v>
      </c>
      <c r="E96" s="171">
        <f t="shared" ref="E96:E101" si="19">C96+D96</f>
        <v>138848</v>
      </c>
      <c r="F96" s="171"/>
      <c r="G96" s="171">
        <f t="shared" ref="G96:G101" si="20">E96+F96</f>
        <v>138848</v>
      </c>
      <c r="H96" s="172">
        <f t="shared" ref="H96:H102" si="21">IF($G$208=0,0,G96/$G$208)</f>
        <v>3.4476388361934542E-2</v>
      </c>
      <c r="I96" s="337"/>
      <c r="J96" s="183">
        <v>11901</v>
      </c>
      <c r="K96" s="183">
        <v>12400</v>
      </c>
      <c r="M96" s="364">
        <f t="shared" ref="M96:M101" si="22">G96/G$228</f>
        <v>7.9233051814654187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490">
        <f>'[84]Sch C'!D90</f>
        <v>32566</v>
      </c>
      <c r="D97" s="490">
        <f>'[84]Sch C'!F90</f>
        <v>0</v>
      </c>
      <c r="E97" s="171">
        <f t="shared" si="19"/>
        <v>32566</v>
      </c>
      <c r="F97" s="171"/>
      <c r="G97" s="171">
        <f t="shared" si="20"/>
        <v>32566</v>
      </c>
      <c r="H97" s="172">
        <f t="shared" si="21"/>
        <v>8.0862386450993914E-3</v>
      </c>
      <c r="I97" s="337"/>
      <c r="J97" s="168"/>
      <c r="K97" s="168"/>
      <c r="M97" s="364">
        <f t="shared" si="22"/>
        <v>1.8583656699383702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490">
        <f>'[84]Sch C'!D91</f>
        <v>1476</v>
      </c>
      <c r="D98" s="490">
        <f>'[84]Sch C'!F91</f>
        <v>0</v>
      </c>
      <c r="E98" s="171">
        <f t="shared" si="19"/>
        <v>1476</v>
      </c>
      <c r="F98" s="171"/>
      <c r="G98" s="171">
        <f t="shared" si="20"/>
        <v>1476</v>
      </c>
      <c r="H98" s="172">
        <f t="shared" si="21"/>
        <v>3.6649537063706628E-4</v>
      </c>
      <c r="I98" s="337"/>
      <c r="J98" s="168"/>
      <c r="K98" s="168"/>
      <c r="M98" s="364">
        <f t="shared" si="22"/>
        <v>8.4227345354941793E-2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490">
        <f>'[84]Sch C'!D92</f>
        <v>94824</v>
      </c>
      <c r="D99" s="490">
        <f>'[84]Sch C'!F92</f>
        <v>-3253</v>
      </c>
      <c r="E99" s="171">
        <f t="shared" si="19"/>
        <v>91571</v>
      </c>
      <c r="F99" s="171"/>
      <c r="G99" s="171">
        <f t="shared" si="20"/>
        <v>91571</v>
      </c>
      <c r="H99" s="172">
        <f t="shared" si="21"/>
        <v>2.2737362862199725E-2</v>
      </c>
      <c r="I99" s="337"/>
      <c r="J99" s="168"/>
      <c r="K99" s="168"/>
      <c r="M99" s="364">
        <f t="shared" si="22"/>
        <v>5.2254622232367041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490">
        <f>'[84]Sch C'!D93</f>
        <v>14692</v>
      </c>
      <c r="D100" s="490">
        <f>'[84]Sch C'!F93</f>
        <v>0</v>
      </c>
      <c r="E100" s="171">
        <f t="shared" si="19"/>
        <v>14692</v>
      </c>
      <c r="F100" s="171"/>
      <c r="G100" s="171">
        <f t="shared" si="20"/>
        <v>14692</v>
      </c>
      <c r="H100" s="172">
        <f t="shared" si="21"/>
        <v>3.6480690957993076E-3</v>
      </c>
      <c r="I100" s="337"/>
      <c r="J100" s="168"/>
      <c r="K100" s="168"/>
      <c r="M100" s="364">
        <f t="shared" si="22"/>
        <v>0.83839306094498978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490">
        <f>'[84]Sch C'!D94</f>
        <v>0</v>
      </c>
      <c r="D101" s="490">
        <f>'[84]Sch C'!F94</f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I101" s="337"/>
      <c r="J101" s="168"/>
      <c r="K101" s="168"/>
      <c r="M101" s="364">
        <f t="shared" si="22"/>
        <v>0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490">
        <f>SUM(C96:C101)</f>
        <v>282406</v>
      </c>
      <c r="D102" s="490">
        <f>SUM(D96:D101)</f>
        <v>-3253</v>
      </c>
      <c r="E102" s="171">
        <f t="shared" ref="E102:F102" si="23">SUM(E96:E101)</f>
        <v>279153</v>
      </c>
      <c r="F102" s="171">
        <f t="shared" si="23"/>
        <v>0</v>
      </c>
      <c r="G102" s="171">
        <f>SUM(G96:G101)</f>
        <v>279153</v>
      </c>
      <c r="H102" s="172">
        <f t="shared" si="21"/>
        <v>6.9314554335670034E-2</v>
      </c>
      <c r="I102" s="337"/>
      <c r="J102" s="168"/>
      <c r="K102" s="168"/>
      <c r="M102" s="364">
        <f>G102/G$228</f>
        <v>15.929753480940425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490">
        <f>'[84]Sch C'!D98</f>
        <v>0</v>
      </c>
      <c r="D105" s="490">
        <f>'[84]Sch C'!F98</f>
        <v>0</v>
      </c>
      <c r="E105" s="171">
        <f t="shared" ref="E105:E110" si="24">C105+D105</f>
        <v>0</v>
      </c>
      <c r="F105" s="171"/>
      <c r="G105" s="171">
        <f t="shared" ref="G105:G110" si="25">E105+F105</f>
        <v>0</v>
      </c>
      <c r="H105" s="172">
        <f t="shared" ref="H105:H111" si="26">IF($G$208=0,0,G105/$G$208)</f>
        <v>0</v>
      </c>
      <c r="I105" s="337"/>
      <c r="J105" s="183">
        <v>0</v>
      </c>
      <c r="K105" s="183">
        <v>0</v>
      </c>
      <c r="M105" s="364">
        <f t="shared" ref="M105:M110" si="27">G105/G$228</f>
        <v>0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490">
        <f>'[84]Sch C'!D99</f>
        <v>0</v>
      </c>
      <c r="D106" s="490">
        <f>'[84]Sch C'!F99</f>
        <v>0</v>
      </c>
      <c r="E106" s="171">
        <f t="shared" si="24"/>
        <v>0</v>
      </c>
      <c r="F106" s="171"/>
      <c r="G106" s="171">
        <f t="shared" si="25"/>
        <v>0</v>
      </c>
      <c r="H106" s="172">
        <f t="shared" si="26"/>
        <v>0</v>
      </c>
      <c r="I106" s="337"/>
      <c r="J106" s="168"/>
      <c r="K106" s="168"/>
      <c r="M106" s="364">
        <f t="shared" si="27"/>
        <v>0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490">
        <f>'[84]Sch C'!D100</f>
        <v>36</v>
      </c>
      <c r="D107" s="490">
        <f>'[84]Sch C'!F100</f>
        <v>0</v>
      </c>
      <c r="E107" s="171">
        <f t="shared" si="24"/>
        <v>36</v>
      </c>
      <c r="F107" s="171"/>
      <c r="G107" s="171">
        <f t="shared" si="25"/>
        <v>36</v>
      </c>
      <c r="H107" s="172">
        <f t="shared" si="26"/>
        <v>8.9389114789528371E-6</v>
      </c>
      <c r="I107" s="337"/>
      <c r="J107" s="168"/>
      <c r="K107" s="168"/>
      <c r="M107" s="364">
        <f t="shared" si="27"/>
        <v>2.0543254964619949E-3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490">
        <f>'[84]Sch C'!D101</f>
        <v>41869</v>
      </c>
      <c r="D108" s="490">
        <f>'[84]Sch C'!F101</f>
        <v>0</v>
      </c>
      <c r="E108" s="171">
        <f t="shared" si="24"/>
        <v>41869</v>
      </c>
      <c r="F108" s="171"/>
      <c r="G108" s="171">
        <f t="shared" si="25"/>
        <v>41869</v>
      </c>
      <c r="H108" s="172">
        <f t="shared" si="26"/>
        <v>1.0396202353118786E-2</v>
      </c>
      <c r="I108" s="337"/>
      <c r="J108" s="168"/>
      <c r="K108" s="168"/>
      <c r="M108" s="364">
        <f t="shared" si="27"/>
        <v>2.3892376169824243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490">
        <f>'[84]Sch C'!D102</f>
        <v>5760</v>
      </c>
      <c r="D109" s="490">
        <f>'[84]Sch C'!F102</f>
        <v>0</v>
      </c>
      <c r="E109" s="171">
        <f t="shared" si="24"/>
        <v>5760</v>
      </c>
      <c r="F109" s="171"/>
      <c r="G109" s="171">
        <f t="shared" si="25"/>
        <v>5760</v>
      </c>
      <c r="H109" s="172">
        <f t="shared" si="26"/>
        <v>1.4302258366324539E-3</v>
      </c>
      <c r="I109" s="337"/>
      <c r="J109" s="168"/>
      <c r="K109" s="168"/>
      <c r="M109" s="364">
        <f t="shared" si="27"/>
        <v>0.3286920794339192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490">
        <f>'[84]Sch C'!D103</f>
        <v>0</v>
      </c>
      <c r="D110" s="490">
        <f>'[84]Sch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7"/>
      <c r="J110" s="168"/>
      <c r="K110" s="168"/>
      <c r="M110" s="364">
        <f t="shared" si="27"/>
        <v>0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490">
        <f>SUM(C105:C110)</f>
        <v>47665</v>
      </c>
      <c r="D111" s="490">
        <f>SUM(D105:D110)</f>
        <v>0</v>
      </c>
      <c r="E111" s="171">
        <f t="shared" ref="E111:F111" si="28">SUM(E105:E110)</f>
        <v>47665</v>
      </c>
      <c r="F111" s="171">
        <f t="shared" si="28"/>
        <v>0</v>
      </c>
      <c r="G111" s="171">
        <f>SUM(G105:G110)</f>
        <v>47665</v>
      </c>
      <c r="H111" s="172">
        <f t="shared" si="26"/>
        <v>1.1835367101230192E-2</v>
      </c>
      <c r="I111" s="337"/>
      <c r="J111" s="168"/>
      <c r="K111" s="168"/>
      <c r="M111" s="364">
        <f>G111/G$228</f>
        <v>2.7199840219128051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490">
        <f>'[84]Sch C'!D115</f>
        <v>0</v>
      </c>
      <c r="D114" s="490">
        <f>'[84]Sch C'!F115</f>
        <v>0</v>
      </c>
      <c r="E114" s="171">
        <f t="shared" ref="E114:E118" si="29">C114+D114</f>
        <v>0</v>
      </c>
      <c r="F114" s="171"/>
      <c r="G114" s="171">
        <f>E114+F114</f>
        <v>0</v>
      </c>
      <c r="H114" s="172">
        <f t="shared" ref="H114:H119" si="30">IF($G$208=0,0,G114/$G$208)</f>
        <v>0</v>
      </c>
      <c r="I114" s="337"/>
      <c r="J114" s="183">
        <v>0</v>
      </c>
      <c r="K114" s="183">
        <v>0</v>
      </c>
      <c r="M114" s="364">
        <f t="shared" ref="M114:M119" si="31">G114/G$228</f>
        <v>0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490">
        <f>'[84]Sch C'!D116</f>
        <v>0</v>
      </c>
      <c r="D115" s="490">
        <f>'[84]Sch C'!F116</f>
        <v>0</v>
      </c>
      <c r="E115" s="171">
        <f t="shared" si="29"/>
        <v>0</v>
      </c>
      <c r="F115" s="171"/>
      <c r="G115" s="171">
        <f>E115+F115</f>
        <v>0</v>
      </c>
      <c r="H115" s="172">
        <f t="shared" si="30"/>
        <v>0</v>
      </c>
      <c r="I115" s="337"/>
      <c r="J115" s="168"/>
      <c r="K115" s="168"/>
      <c r="M115" s="364">
        <f t="shared" si="31"/>
        <v>0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490">
        <f>'[84]Sch C'!D117</f>
        <v>5571</v>
      </c>
      <c r="D116" s="490">
        <f>'[84]Sch C'!F117</f>
        <v>0</v>
      </c>
      <c r="E116" s="171">
        <f t="shared" si="29"/>
        <v>5571</v>
      </c>
      <c r="F116" s="171"/>
      <c r="G116" s="171">
        <f>E116+F116</f>
        <v>5571</v>
      </c>
      <c r="H116" s="172">
        <f t="shared" si="30"/>
        <v>1.3832965513679515E-3</v>
      </c>
      <c r="I116" s="337"/>
      <c r="J116" s="168"/>
      <c r="K116" s="168"/>
      <c r="M116" s="364">
        <f t="shared" si="31"/>
        <v>0.31790687057749373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490">
        <f>'[84]Sch C'!D118</f>
        <v>65179</v>
      </c>
      <c r="D117" s="490">
        <f>'[84]Sch C'!F118</f>
        <v>0</v>
      </c>
      <c r="E117" s="171">
        <f t="shared" si="29"/>
        <v>65179</v>
      </c>
      <c r="F117" s="171"/>
      <c r="G117" s="171">
        <f>E117+F117</f>
        <v>65179</v>
      </c>
      <c r="H117" s="172">
        <f t="shared" si="30"/>
        <v>1.6184147535740746E-2</v>
      </c>
      <c r="I117" s="337"/>
      <c r="J117" s="168"/>
      <c r="K117" s="168"/>
      <c r="M117" s="364">
        <f t="shared" si="31"/>
        <v>3.7194133759415657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490">
        <f>'[84]Sch C'!D119</f>
        <v>0</v>
      </c>
      <c r="D118" s="490">
        <f>'[84]Sch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337"/>
      <c r="J118" s="168"/>
      <c r="K118" s="168"/>
      <c r="M118" s="364">
        <f t="shared" si="31"/>
        <v>0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490">
        <f>SUM(C114:C118)</f>
        <v>70750</v>
      </c>
      <c r="D119" s="490">
        <f>SUM(D114:D118)</f>
        <v>0</v>
      </c>
      <c r="E119" s="171">
        <f t="shared" ref="E119:F119" si="32">SUM(E114:E118)</f>
        <v>70750</v>
      </c>
      <c r="F119" s="171">
        <f t="shared" si="32"/>
        <v>0</v>
      </c>
      <c r="G119" s="171">
        <f>SUM(G114:G118)</f>
        <v>70750</v>
      </c>
      <c r="H119" s="172">
        <f t="shared" si="30"/>
        <v>1.75674440871087E-2</v>
      </c>
      <c r="I119" s="337"/>
      <c r="J119" s="168"/>
      <c r="K119" s="168"/>
      <c r="M119" s="364">
        <f t="shared" si="31"/>
        <v>4.0373202465190596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1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490">
        <f>'[84]Sch C'!D124</f>
        <v>0</v>
      </c>
      <c r="D123" s="490">
        <f>'[84]Sch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7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0.77002560279620991</v>
      </c>
    </row>
    <row r="124" spans="1:14" s="167" customFormat="1">
      <c r="B124" s="163" t="s">
        <v>194</v>
      </c>
      <c r="C124" s="490">
        <f>'[84]Sch C'!D125</f>
        <v>157426</v>
      </c>
      <c r="D124" s="490">
        <f>'[84]Sch C'!F125</f>
        <v>0</v>
      </c>
      <c r="E124" s="171">
        <f t="shared" si="33"/>
        <v>157426</v>
      </c>
      <c r="F124" s="171"/>
      <c r="G124" s="171">
        <f>E124+F124</f>
        <v>157426</v>
      </c>
      <c r="H124" s="172">
        <f>IF($G$208=0,0,G124/$G$208)</f>
        <v>3.9089363291267477E-2</v>
      </c>
      <c r="I124" s="337"/>
      <c r="J124" s="183">
        <v>3955</v>
      </c>
      <c r="K124" s="183">
        <v>4338</v>
      </c>
      <c r="M124" s="364">
        <f t="shared" si="34"/>
        <v>8.9834512668340558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490">
        <f>'[84]Sch C'!D126</f>
        <v>0</v>
      </c>
      <c r="D125" s="490">
        <f>'[84]Sch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7"/>
      <c r="J125" s="183">
        <v>0</v>
      </c>
      <c r="K125" s="183">
        <v>0</v>
      </c>
      <c r="M125" s="364">
        <f t="shared" si="34"/>
        <v>0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490">
        <f>'[84]Sch C'!D127</f>
        <v>0</v>
      </c>
      <c r="D126" s="490">
        <f>'[84]Sch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7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490">
        <f>'[84]Sch C'!D128</f>
        <v>37861</v>
      </c>
      <c r="D127" s="490">
        <f>'[84]Sch C'!F128</f>
        <v>0</v>
      </c>
      <c r="E127" s="171">
        <f t="shared" si="33"/>
        <v>37861</v>
      </c>
      <c r="F127" s="171"/>
      <c r="G127" s="171">
        <f>E127+F127</f>
        <v>37861</v>
      </c>
      <c r="H127" s="172">
        <f>IF($G$208=0,0,G127/$G$208)</f>
        <v>9.4010035417953705E-3</v>
      </c>
      <c r="I127" s="337"/>
      <c r="J127" s="183">
        <v>1953</v>
      </c>
      <c r="K127" s="183">
        <v>2202</v>
      </c>
      <c r="M127" s="364">
        <f t="shared" si="34"/>
        <v>2.1605227117096555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205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490">
        <f>'[84]Sch C'!D130</f>
        <v>0</v>
      </c>
      <c r="D129" s="490">
        <f>'[84]Sch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7"/>
      <c r="J129" s="204"/>
      <c r="K129" s="204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490">
        <f>'[84]Sch C'!D131</f>
        <v>16957</v>
      </c>
      <c r="D130" s="490">
        <f>'[84]Sch C'!F131</f>
        <v>0</v>
      </c>
      <c r="E130" s="171">
        <f t="shared" si="35"/>
        <v>16957</v>
      </c>
      <c r="F130" s="171"/>
      <c r="G130" s="171">
        <f>E130+F130</f>
        <v>16957</v>
      </c>
      <c r="H130" s="172">
        <f>IF($G$208=0,0,G130/$G$208)</f>
        <v>4.2104756096834235E-3</v>
      </c>
      <c r="I130" s="337"/>
      <c r="J130" s="204"/>
      <c r="K130" s="204"/>
      <c r="M130" s="364">
        <f t="shared" si="34"/>
        <v>0.96764437343072363</v>
      </c>
      <c r="N130" s="359">
        <f>SUMMARY!J133</f>
        <v>1.0792348507966931</v>
      </c>
    </row>
    <row r="131" spans="1:14" s="167" customFormat="1">
      <c r="B131" s="163" t="s">
        <v>195</v>
      </c>
      <c r="C131" s="490">
        <f>'[84]Sch C'!D132</f>
        <v>0</v>
      </c>
      <c r="D131" s="490">
        <f>'[84]Sch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7"/>
      <c r="J131" s="168"/>
      <c r="K131" s="168"/>
      <c r="M131" s="364">
        <f t="shared" si="34"/>
        <v>0</v>
      </c>
      <c r="N131" s="359">
        <f>SUMMARY!J134</f>
        <v>8.2765628075518377E-2</v>
      </c>
    </row>
    <row r="132" spans="1:14" s="167" customFormat="1">
      <c r="B132" s="163" t="s">
        <v>196</v>
      </c>
      <c r="C132" s="490">
        <f>'[84]Sch C'!D133</f>
        <v>0</v>
      </c>
      <c r="D132" s="490">
        <f>'[84]Sch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490">
        <f>'[84]Sch C'!D134</f>
        <v>10164</v>
      </c>
      <c r="D133" s="490">
        <f>'[84]Sch C'!F134</f>
        <v>0</v>
      </c>
      <c r="E133" s="171">
        <f t="shared" si="35"/>
        <v>10164</v>
      </c>
      <c r="F133" s="171"/>
      <c r="G133" s="171">
        <f>E133+F133</f>
        <v>10164</v>
      </c>
      <c r="H133" s="172">
        <f>IF($G$208=0,0,G133/$G$208)</f>
        <v>2.5237526742243506E-3</v>
      </c>
      <c r="I133" s="337"/>
      <c r="J133" s="168"/>
      <c r="K133" s="168"/>
      <c r="M133" s="364">
        <f t="shared" si="34"/>
        <v>0.58000456516776988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490">
        <f>'[84]Sch C'!D136</f>
        <v>220768</v>
      </c>
      <c r="D135" s="490">
        <f>'[84]Sch C'!F136</f>
        <v>0</v>
      </c>
      <c r="E135" s="171">
        <f t="shared" ref="E135:E138" si="36">C135+D135</f>
        <v>220768</v>
      </c>
      <c r="F135" s="171"/>
      <c r="G135" s="171">
        <f>E135+F135</f>
        <v>220768</v>
      </c>
      <c r="H135" s="172">
        <f>IF($G$208=0,0,G135/$G$208)</f>
        <v>5.4817378038484993E-2</v>
      </c>
      <c r="I135" s="337"/>
      <c r="J135" s="183">
        <v>8848</v>
      </c>
      <c r="K135" s="183">
        <v>12257</v>
      </c>
      <c r="M135" s="364">
        <f t="shared" si="34"/>
        <v>12.598036977858936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490">
        <f>'[84]Sch C'!D137</f>
        <v>204676</v>
      </c>
      <c r="D136" s="490">
        <f>'[84]Sch C'!F137</f>
        <v>0</v>
      </c>
      <c r="E136" s="171">
        <f t="shared" si="36"/>
        <v>204676</v>
      </c>
      <c r="F136" s="171"/>
      <c r="G136" s="171">
        <f>E136+F136</f>
        <v>204676</v>
      </c>
      <c r="H136" s="172">
        <f>IF($G$208=0,0,G136/$G$208)</f>
        <v>5.0821684607393072E-2</v>
      </c>
      <c r="I136" s="337"/>
      <c r="J136" s="183">
        <v>9982</v>
      </c>
      <c r="K136" s="183">
        <v>11491</v>
      </c>
      <c r="M136" s="364">
        <f t="shared" si="34"/>
        <v>11.679753480940425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490">
        <f>'[84]Sch C'!D138</f>
        <v>380494</v>
      </c>
      <c r="D137" s="490">
        <f>'[84]Sch C'!F138</f>
        <v>22911</v>
      </c>
      <c r="E137" s="171">
        <f t="shared" si="36"/>
        <v>403405</v>
      </c>
      <c r="F137" s="171"/>
      <c r="G137" s="171">
        <f>E137+F137</f>
        <v>403405</v>
      </c>
      <c r="H137" s="172">
        <f>IF($G$208=0,0,G137/$G$208)</f>
        <v>0.10016671069908246</v>
      </c>
      <c r="I137" s="337"/>
      <c r="J137" s="183">
        <v>37423</v>
      </c>
      <c r="K137" s="183">
        <v>47554</v>
      </c>
      <c r="M137" s="364">
        <f t="shared" si="34"/>
        <v>23.020143802784752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490">
        <f>'[84]Sch C'!D139</f>
        <v>22911</v>
      </c>
      <c r="D138" s="490">
        <f>'[84]Sch C'!F139</f>
        <v>-22911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7"/>
      <c r="J138" s="183">
        <v>0</v>
      </c>
      <c r="K138" s="183">
        <v>0</v>
      </c>
      <c r="M138" s="364">
        <f t="shared" si="34"/>
        <v>0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7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490">
        <f>'[84]Sch C'!D141</f>
        <v>140493</v>
      </c>
      <c r="D140" s="490">
        <f>'[84]Sch C'!F141</f>
        <v>-103072</v>
      </c>
      <c r="E140" s="171">
        <f t="shared" ref="E140:E143" si="37">C140+D140</f>
        <v>37421</v>
      </c>
      <c r="F140" s="171"/>
      <c r="G140" s="171">
        <f>E140+F140</f>
        <v>37421</v>
      </c>
      <c r="H140" s="172">
        <f>IF($G$208=0,0,G140/$G$208)</f>
        <v>9.291750179274836E-3</v>
      </c>
      <c r="I140" s="337"/>
      <c r="J140" s="168"/>
      <c r="K140" s="168"/>
      <c r="M140" s="364">
        <f t="shared" si="34"/>
        <v>2.1354142889751198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490">
        <f>'[84]Sch C'!D142</f>
        <v>0</v>
      </c>
      <c r="D141" s="490">
        <f>'[84]Sch C'!F142</f>
        <v>34693</v>
      </c>
      <c r="E141" s="171">
        <f t="shared" si="37"/>
        <v>34693</v>
      </c>
      <c r="F141" s="171"/>
      <c r="G141" s="171">
        <f>E141+F141</f>
        <v>34693</v>
      </c>
      <c r="H141" s="172">
        <f>IF($G$208=0,0,G141/$G$208)</f>
        <v>8.6143793316475203E-3</v>
      </c>
      <c r="I141" s="337"/>
      <c r="J141" s="168"/>
      <c r="K141" s="168"/>
      <c r="M141" s="364">
        <f t="shared" si="34"/>
        <v>1.9797420680209998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490">
        <f>'[84]Sch C'!D143</f>
        <v>0</v>
      </c>
      <c r="D142" s="490">
        <f>'[84]Sch C'!F143</f>
        <v>68379</v>
      </c>
      <c r="E142" s="171">
        <f t="shared" si="37"/>
        <v>68379</v>
      </c>
      <c r="F142" s="171"/>
      <c r="G142" s="171">
        <f>E142+F142</f>
        <v>68379</v>
      </c>
      <c r="H142" s="172">
        <f>IF($G$208=0,0,G142/$G$208)</f>
        <v>1.6978717444981001E-2</v>
      </c>
      <c r="I142" s="337"/>
      <c r="J142" s="168"/>
      <c r="K142" s="168"/>
      <c r="M142" s="364">
        <f t="shared" si="34"/>
        <v>3.9020200867381876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490">
        <f>'[84]Sch C'!D144</f>
        <v>0</v>
      </c>
      <c r="D143" s="490">
        <f>'[84]Sch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7"/>
      <c r="J143" s="168"/>
      <c r="K143" s="168"/>
      <c r="M143" s="364">
        <f t="shared" si="34"/>
        <v>0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7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490">
        <f>'[84]Sch C'!D146</f>
        <v>20575</v>
      </c>
      <c r="D145" s="490">
        <f>'[84]Sch C'!F146</f>
        <v>0</v>
      </c>
      <c r="E145" s="171">
        <f t="shared" ref="E145:E153" si="38">C145+D145</f>
        <v>20575</v>
      </c>
      <c r="F145" s="171"/>
      <c r="G145" s="171">
        <f t="shared" ref="G145:G153" si="39">E145+F145</f>
        <v>20575</v>
      </c>
      <c r="H145" s="172">
        <f t="shared" ref="H145:H153" si="40">IF($G$208=0,0,G145/$G$208)</f>
        <v>5.1088362133181837E-3</v>
      </c>
      <c r="I145" s="337"/>
      <c r="J145" s="183">
        <v>139</v>
      </c>
      <c r="K145" s="183">
        <v>139</v>
      </c>
      <c r="M145" s="364">
        <f t="shared" si="34"/>
        <v>1.1741040858251541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490">
        <f>'[84]Sch C'!D147</f>
        <v>0</v>
      </c>
      <c r="D146" s="490">
        <f>'[84]Sch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337"/>
      <c r="J146" s="183">
        <v>0</v>
      </c>
      <c r="K146" s="183">
        <v>0</v>
      </c>
      <c r="M146" s="364">
        <f t="shared" si="34"/>
        <v>0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490">
        <f>'[84]Sch C'!D148</f>
        <v>0</v>
      </c>
      <c r="D147" s="490">
        <f>'[84]Sch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7"/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490">
        <f>'[84]Sch C'!D149</f>
        <v>3617</v>
      </c>
      <c r="D148" s="490">
        <f>'[84]Sch C'!F149</f>
        <v>0</v>
      </c>
      <c r="E148" s="171">
        <f t="shared" si="38"/>
        <v>3617</v>
      </c>
      <c r="F148" s="171"/>
      <c r="G148" s="171">
        <f t="shared" si="39"/>
        <v>3617</v>
      </c>
      <c r="H148" s="172">
        <f t="shared" si="40"/>
        <v>8.9811230053812245E-4</v>
      </c>
      <c r="I148" s="337"/>
      <c r="J148" s="183">
        <v>155</v>
      </c>
      <c r="K148" s="183">
        <v>155</v>
      </c>
      <c r="M148" s="364">
        <f t="shared" si="34"/>
        <v>0.20640264779730655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490">
        <f>'[84]Sch C'!D150</f>
        <v>539</v>
      </c>
      <c r="D149" s="490">
        <f>'[84]Sch C'!F150</f>
        <v>0</v>
      </c>
      <c r="E149" s="171">
        <f t="shared" si="38"/>
        <v>539</v>
      </c>
      <c r="F149" s="171"/>
      <c r="G149" s="171">
        <f t="shared" si="39"/>
        <v>539</v>
      </c>
      <c r="H149" s="172">
        <f t="shared" si="40"/>
        <v>1.3383536908765498E-4</v>
      </c>
      <c r="I149" s="337"/>
      <c r="J149" s="183">
        <v>0</v>
      </c>
      <c r="K149" s="183">
        <v>0</v>
      </c>
      <c r="M149" s="364">
        <f t="shared" si="34"/>
        <v>3.0757817849805979E-2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490">
        <f>'[84]Sch C'!D151</f>
        <v>75702</v>
      </c>
      <c r="D150" s="490">
        <f>'[84]Sch C'!F151</f>
        <v>-1860</v>
      </c>
      <c r="E150" s="171">
        <f t="shared" si="38"/>
        <v>73842</v>
      </c>
      <c r="F150" s="171"/>
      <c r="G150" s="171">
        <f t="shared" si="39"/>
        <v>73842</v>
      </c>
      <c r="H150" s="172">
        <f t="shared" si="40"/>
        <v>1.8335197261912094E-2</v>
      </c>
      <c r="I150" s="337"/>
      <c r="J150" s="168"/>
      <c r="K150" s="168"/>
      <c r="M150" s="364">
        <f t="shared" si="34"/>
        <v>4.213763980826295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490">
        <f>'[84]Sch C'!D152</f>
        <v>2914</v>
      </c>
      <c r="D151" s="490">
        <f>'[84]Sch C'!F152</f>
        <v>0</v>
      </c>
      <c r="E151" s="171">
        <f t="shared" si="38"/>
        <v>2914</v>
      </c>
      <c r="F151" s="171"/>
      <c r="G151" s="171">
        <f t="shared" si="39"/>
        <v>2914</v>
      </c>
      <c r="H151" s="172">
        <f t="shared" si="40"/>
        <v>7.2355522360190454E-4</v>
      </c>
      <c r="I151" s="337"/>
      <c r="J151" s="168"/>
      <c r="K151" s="168"/>
      <c r="M151" s="364">
        <f t="shared" si="34"/>
        <v>0.16628623601917369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490">
        <f>'[84]Sch C'!D153</f>
        <v>0</v>
      </c>
      <c r="D152" s="490">
        <f>'[84]Sch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7"/>
      <c r="J152" s="168"/>
      <c r="K152" s="168"/>
      <c r="M152" s="364">
        <f t="shared" si="34"/>
        <v>0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490">
        <f>'[84]Sch C'!D154</f>
        <v>0</v>
      </c>
      <c r="D153" s="490">
        <f>'[84]Sch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210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490">
        <f>'[84]Sch C'!D156</f>
        <v>0</v>
      </c>
      <c r="D155" s="490">
        <f>'[84]Sch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490">
        <f>'[84]Sch C'!D157</f>
        <v>0</v>
      </c>
      <c r="D156" s="490">
        <f>'[84]Sch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490">
        <f>'[84]Sch C'!D158</f>
        <v>0</v>
      </c>
      <c r="D157" s="490">
        <f>'[84]Sch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7"/>
      <c r="J157" s="168"/>
      <c r="K157" s="168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490">
        <f>'[84]Sch C'!D159</f>
        <v>0</v>
      </c>
      <c r="D158" s="490">
        <f>'[84]Sch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490">
        <f>'[84]Sch C'!D160</f>
        <v>0</v>
      </c>
      <c r="D159" s="490">
        <f>'[84]Sch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7"/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490">
        <f>'[84]Sch C'!D161</f>
        <v>8328</v>
      </c>
      <c r="D160" s="490">
        <f>'[84]Sch C'!F161</f>
        <v>-412</v>
      </c>
      <c r="E160" s="171">
        <f t="shared" si="41"/>
        <v>7916</v>
      </c>
      <c r="F160" s="171"/>
      <c r="G160" s="171">
        <f t="shared" si="42"/>
        <v>7916</v>
      </c>
      <c r="H160" s="172">
        <f t="shared" si="43"/>
        <v>1.9655673129830736E-3</v>
      </c>
      <c r="I160" s="337"/>
      <c r="J160" s="168"/>
      <c r="K160" s="168"/>
      <c r="M160" s="364">
        <f t="shared" si="34"/>
        <v>0.45172335083314313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490">
        <f>SUM(C123:C160)</f>
        <v>1303425</v>
      </c>
      <c r="D161" s="490">
        <f>SUM(D123:D160)</f>
        <v>-2272</v>
      </c>
      <c r="E161" s="171">
        <f t="shared" ref="E161:F161" si="44">SUM(E123:E160)</f>
        <v>1301153</v>
      </c>
      <c r="F161" s="171">
        <f t="shared" si="44"/>
        <v>0</v>
      </c>
      <c r="G161" s="171">
        <f>SUM(G123:G160)</f>
        <v>1301153</v>
      </c>
      <c r="H161" s="172">
        <f t="shared" si="43"/>
        <v>0.32308031909927554</v>
      </c>
      <c r="I161" s="337"/>
      <c r="J161" s="168"/>
      <c r="K161" s="168"/>
      <c r="M161" s="364">
        <f>G161/G$228</f>
        <v>74.249771741611511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337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7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490">
        <f>'[84]Sch C'!D175</f>
        <v>0</v>
      </c>
      <c r="D164" s="490">
        <f>'[84]Sch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490">
        <f>'[84]Sch C'!D176</f>
        <v>0</v>
      </c>
      <c r="D165" s="490">
        <f>'[84]Sch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490">
        <f>'[84]Sch C'!D177</f>
        <v>0</v>
      </c>
      <c r="D166" s="490">
        <f>'[84]Sch C'!F177</f>
        <v>0</v>
      </c>
      <c r="E166" s="171">
        <f t="shared" si="45"/>
        <v>0</v>
      </c>
      <c r="F166" s="216"/>
      <c r="G166" s="171">
        <f t="shared" si="46"/>
        <v>0</v>
      </c>
      <c r="H166" s="172">
        <f t="shared" si="47"/>
        <v>0</v>
      </c>
      <c r="I166" s="343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490">
        <f>'[84]Sch C'!D178</f>
        <v>0</v>
      </c>
      <c r="D167" s="490">
        <f>'[84]Sch C'!F178</f>
        <v>0</v>
      </c>
      <c r="E167" s="171">
        <f t="shared" si="45"/>
        <v>0</v>
      </c>
      <c r="F167" s="216"/>
      <c r="G167" s="171">
        <f t="shared" si="46"/>
        <v>0</v>
      </c>
      <c r="H167" s="172">
        <f t="shared" si="47"/>
        <v>0</v>
      </c>
      <c r="I167" s="344"/>
      <c r="J167" s="222"/>
      <c r="K167" s="222"/>
      <c r="L167" s="218"/>
      <c r="M167" s="364">
        <f t="shared" si="48"/>
        <v>0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490">
        <f>'[84]Sch C'!D179</f>
        <v>0</v>
      </c>
      <c r="D168" s="490">
        <f>'[84]Sch C'!F179</f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343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490">
        <f>'[84]Sch C'!D180</f>
        <v>0</v>
      </c>
      <c r="D169" s="490">
        <f>'[84]Sch C'!F180</f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344"/>
      <c r="J169" s="222"/>
      <c r="K169" s="222"/>
      <c r="L169" s="218"/>
      <c r="M169" s="364">
        <f t="shared" si="48"/>
        <v>0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490">
        <f>'[84]Sch C'!D181</f>
        <v>0</v>
      </c>
      <c r="D170" s="490">
        <f>'[84]Sch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3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490">
        <f>'[84]Sch C'!D182</f>
        <v>0</v>
      </c>
      <c r="D171" s="490">
        <f>'[84]Sch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490">
        <f>'[84]Sch C'!D183</f>
        <v>0</v>
      </c>
      <c r="D172" s="490">
        <f>'[84]Sch C'!F183</f>
        <v>0</v>
      </c>
      <c r="E172" s="171">
        <f t="shared" si="45"/>
        <v>0</v>
      </c>
      <c r="F172" s="216"/>
      <c r="G172" s="171">
        <f t="shared" si="46"/>
        <v>0</v>
      </c>
      <c r="H172" s="172">
        <f t="shared" si="47"/>
        <v>0</v>
      </c>
      <c r="I172" s="343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490">
        <f>'[84]Sch C'!D184</f>
        <v>0</v>
      </c>
      <c r="D173" s="490">
        <f>'[84]Sch C'!F184</f>
        <v>0</v>
      </c>
      <c r="E173" s="171">
        <f t="shared" si="45"/>
        <v>0</v>
      </c>
      <c r="F173" s="216"/>
      <c r="G173" s="171">
        <f t="shared" si="46"/>
        <v>0</v>
      </c>
      <c r="H173" s="172">
        <f t="shared" si="47"/>
        <v>0</v>
      </c>
      <c r="I173" s="344"/>
      <c r="J173" s="222"/>
      <c r="K173" s="222"/>
      <c r="L173" s="218"/>
      <c r="M173" s="364">
        <f t="shared" si="48"/>
        <v>0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490">
        <f>'[84]Sch C'!D185</f>
        <v>0</v>
      </c>
      <c r="D174" s="490">
        <f>'[84]Sch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3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490">
        <f>'[84]Sch C'!D186</f>
        <v>0</v>
      </c>
      <c r="D175" s="490">
        <f>'[84]Sch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490">
        <f>'[84]Sch C'!D187</f>
        <v>0</v>
      </c>
      <c r="D176" s="490">
        <f>'[84]Sch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490">
        <f>'[84]Sch C'!D188</f>
        <v>0</v>
      </c>
      <c r="D177" s="490">
        <f>'[84]Sch C'!F188</f>
        <v>0</v>
      </c>
      <c r="E177" s="171">
        <f t="shared" si="45"/>
        <v>0</v>
      </c>
      <c r="F177" s="216"/>
      <c r="G177" s="171">
        <f t="shared" si="46"/>
        <v>0</v>
      </c>
      <c r="H177" s="172">
        <f t="shared" si="47"/>
        <v>0</v>
      </c>
      <c r="I177" s="337"/>
      <c r="J177" s="223"/>
      <c r="K177" s="218"/>
      <c r="L177" s="220"/>
      <c r="M177" s="364">
        <f t="shared" si="48"/>
        <v>0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490">
        <f>'[84]Sch C'!D189</f>
        <v>0</v>
      </c>
      <c r="D178" s="490">
        <f>'[84]Sch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337"/>
      <c r="J178" s="223"/>
      <c r="K178" s="218"/>
      <c r="L178" s="220"/>
      <c r="M178" s="364">
        <f t="shared" si="48"/>
        <v>0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490">
        <f>'[84]Sch C'!D190</f>
        <v>0</v>
      </c>
      <c r="D179" s="490">
        <f>'[84]Sch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490">
        <f>'[84]Sch C'!D191</f>
        <v>0</v>
      </c>
      <c r="D180" s="490">
        <f>'[84]Sch C'!F191</f>
        <v>0</v>
      </c>
      <c r="E180" s="171">
        <f t="shared" si="45"/>
        <v>0</v>
      </c>
      <c r="F180" s="216"/>
      <c r="G180" s="171">
        <f t="shared" si="46"/>
        <v>0</v>
      </c>
      <c r="H180" s="172">
        <f t="shared" si="47"/>
        <v>0</v>
      </c>
      <c r="I180" s="337"/>
      <c r="J180" s="223"/>
      <c r="K180" s="218"/>
      <c r="L180" s="220"/>
      <c r="M180" s="364">
        <f t="shared" si="48"/>
        <v>0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490">
        <f>'[84]Sch C'!D192</f>
        <v>0</v>
      </c>
      <c r="D181" s="490">
        <f>'[84]Sch C'!F192</f>
        <v>0</v>
      </c>
      <c r="E181" s="171">
        <f t="shared" si="45"/>
        <v>0</v>
      </c>
      <c r="F181" s="216"/>
      <c r="G181" s="171">
        <f t="shared" si="46"/>
        <v>0</v>
      </c>
      <c r="H181" s="172">
        <f t="shared" si="47"/>
        <v>0</v>
      </c>
      <c r="I181" s="337"/>
      <c r="J181" s="223"/>
      <c r="K181" s="218"/>
      <c r="L181" s="220"/>
      <c r="M181" s="364">
        <f t="shared" si="48"/>
        <v>0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490">
        <f>'[84]Sch C'!D193</f>
        <v>3558</v>
      </c>
      <c r="D182" s="490">
        <f>'[84]Sch C'!F193</f>
        <v>0</v>
      </c>
      <c r="E182" s="171">
        <f t="shared" si="45"/>
        <v>3558</v>
      </c>
      <c r="F182" s="216"/>
      <c r="G182" s="171">
        <f t="shared" si="46"/>
        <v>3558</v>
      </c>
      <c r="H182" s="172">
        <f t="shared" si="47"/>
        <v>8.8346241783650531E-4</v>
      </c>
      <c r="I182" s="337"/>
      <c r="J182" s="223"/>
      <c r="K182" s="218"/>
      <c r="L182" s="220"/>
      <c r="M182" s="364">
        <f t="shared" si="48"/>
        <v>0.20303583656699384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490">
        <f>'[84]Sch C'!D194</f>
        <v>268786</v>
      </c>
      <c r="D183" s="490">
        <f>'[84]Sch C'!F194</f>
        <v>9918</v>
      </c>
      <c r="E183" s="171">
        <f t="shared" si="45"/>
        <v>278704</v>
      </c>
      <c r="F183" s="216"/>
      <c r="G183" s="171">
        <f t="shared" si="46"/>
        <v>278704</v>
      </c>
      <c r="H183" s="172">
        <f t="shared" si="47"/>
        <v>6.9203066245279762E-2</v>
      </c>
      <c r="I183" s="337"/>
      <c r="J183" s="223"/>
      <c r="K183" s="218"/>
      <c r="M183" s="364">
        <f t="shared" si="48"/>
        <v>15.904131476831774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490">
        <f>'[84]Sch C'!D195</f>
        <v>27228</v>
      </c>
      <c r="D184" s="490">
        <f>'[84]Sch C'!F195</f>
        <v>1005</v>
      </c>
      <c r="E184" s="171">
        <f t="shared" si="45"/>
        <v>28233</v>
      </c>
      <c r="F184" s="216"/>
      <c r="G184" s="171">
        <f t="shared" si="46"/>
        <v>28233</v>
      </c>
      <c r="H184" s="172">
        <f t="shared" si="47"/>
        <v>7.0103413273687621E-3</v>
      </c>
      <c r="I184" s="337"/>
      <c r="J184" s="223"/>
      <c r="K184" s="218"/>
      <c r="M184" s="364">
        <f t="shared" si="48"/>
        <v>1.6111047706003196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490">
        <f>'[84]Sch C'!D196</f>
        <v>0</v>
      </c>
      <c r="D185" s="490">
        <f>'[84]Sch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490">
        <f>'[84]Sch C'!D197</f>
        <v>181593</v>
      </c>
      <c r="D186" s="490">
        <f>'[84]Sch C'!F197</f>
        <v>6701</v>
      </c>
      <c r="E186" s="171">
        <f t="shared" si="45"/>
        <v>188294</v>
      </c>
      <c r="F186" s="216"/>
      <c r="G186" s="171">
        <f t="shared" si="46"/>
        <v>188294</v>
      </c>
      <c r="H186" s="172">
        <f t="shared" si="47"/>
        <v>4.6753983278276262E-2</v>
      </c>
      <c r="I186" s="337"/>
      <c r="J186" s="223"/>
      <c r="K186" s="218"/>
      <c r="M186" s="364">
        <f t="shared" si="48"/>
        <v>10.744921250855969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490">
        <f>'[84]Sch C'!D198</f>
        <v>13063</v>
      </c>
      <c r="D187" s="490">
        <f>'[84]Sch C'!F198</f>
        <v>-359</v>
      </c>
      <c r="E187" s="171">
        <f t="shared" si="45"/>
        <v>12704</v>
      </c>
      <c r="F187" s="216"/>
      <c r="G187" s="171">
        <f t="shared" si="46"/>
        <v>12704</v>
      </c>
      <c r="H187" s="172">
        <f t="shared" si="47"/>
        <v>3.154442539683801E-3</v>
      </c>
      <c r="I187" s="337"/>
      <c r="J187" s="223"/>
      <c r="K187" s="218"/>
      <c r="M187" s="364">
        <f t="shared" si="48"/>
        <v>0.72494864186258845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490">
        <f>'[84]Sch C'!D199</f>
        <v>0</v>
      </c>
      <c r="D188" s="490">
        <f>'[84]Sch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7"/>
      <c r="J188" s="223"/>
      <c r="K188" s="218"/>
      <c r="M188" s="364">
        <f t="shared" si="48"/>
        <v>0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490">
        <f>'[84]Sch C'!D200</f>
        <v>0</v>
      </c>
      <c r="D189" s="490">
        <f>'[84]Sch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7"/>
      <c r="J189" s="223"/>
      <c r="K189" s="218"/>
      <c r="M189" s="364">
        <f t="shared" si="48"/>
        <v>0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490">
        <f>'[84]Sch C'!D201</f>
        <v>0</v>
      </c>
      <c r="D190" s="490">
        <f>'[84]Sch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7"/>
      <c r="J190" s="223"/>
      <c r="K190" s="218"/>
      <c r="M190" s="364">
        <f t="shared" si="48"/>
        <v>0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490">
        <f>'[84]Sch C'!D202</f>
        <v>0</v>
      </c>
      <c r="D191" s="490">
        <f>'[84]Sch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490">
        <f>'[84]Sch C'!D203</f>
        <v>0</v>
      </c>
      <c r="D192" s="490">
        <f>'[84]Sch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7"/>
      <c r="J192" s="223"/>
      <c r="K192" s="218"/>
      <c r="M192" s="364">
        <f t="shared" si="48"/>
        <v>0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490">
        <f>'[84]Sch C'!D204</f>
        <v>0</v>
      </c>
      <c r="D193" s="490">
        <f>'[84]Sch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490">
        <f>'[84]Sch C'!D205</f>
        <v>134711</v>
      </c>
      <c r="D194" s="490">
        <f>'[84]Sch C'!F205</f>
        <v>-8591</v>
      </c>
      <c r="E194" s="171">
        <f t="shared" si="45"/>
        <v>126120</v>
      </c>
      <c r="F194" s="216"/>
      <c r="G194" s="171">
        <f t="shared" si="46"/>
        <v>126120</v>
      </c>
      <c r="H194" s="172">
        <f t="shared" si="47"/>
        <v>3.1315986547931433E-2</v>
      </c>
      <c r="I194" s="337"/>
      <c r="J194" s="223"/>
      <c r="K194" s="218"/>
      <c r="M194" s="364">
        <f t="shared" si="48"/>
        <v>7.1969869892718554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490">
        <f>'[84]Sch C'!D206</f>
        <v>1006</v>
      </c>
      <c r="D195" s="490">
        <f>'[84]Sch C'!F206</f>
        <v>0</v>
      </c>
      <c r="E195" s="171">
        <f t="shared" si="45"/>
        <v>1006</v>
      </c>
      <c r="F195" s="216"/>
      <c r="G195" s="171">
        <f t="shared" si="46"/>
        <v>1006</v>
      </c>
      <c r="H195" s="172">
        <f t="shared" si="47"/>
        <v>2.4979291521740423E-4</v>
      </c>
      <c r="I195" s="337"/>
      <c r="J195" s="223"/>
      <c r="K195" s="218"/>
      <c r="M195" s="364">
        <f t="shared" si="48"/>
        <v>5.7406984706687973E-2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490">
        <f>'[84]Sch C'!D207</f>
        <v>2424</v>
      </c>
      <c r="D196" s="490">
        <f>'[84]Sch C'!F207</f>
        <v>-151</v>
      </c>
      <c r="E196" s="171">
        <f t="shared" si="45"/>
        <v>2273</v>
      </c>
      <c r="F196" s="216"/>
      <c r="G196" s="171">
        <f t="shared" si="46"/>
        <v>2273</v>
      </c>
      <c r="H196" s="172">
        <f t="shared" si="47"/>
        <v>5.6439293865721656E-4</v>
      </c>
      <c r="I196" s="337"/>
      <c r="J196" s="223"/>
      <c r="K196" s="218"/>
      <c r="M196" s="364">
        <f t="shared" si="48"/>
        <v>0.12970782926272539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490">
        <f>SUM(C164:C196)</f>
        <v>632369</v>
      </c>
      <c r="D197" s="490">
        <f>SUM(D164:D196)</f>
        <v>8523</v>
      </c>
      <c r="E197" s="171">
        <f t="shared" ref="E197:F197" si="49">SUM(E164:E196)</f>
        <v>640892</v>
      </c>
      <c r="F197" s="171">
        <f t="shared" si="49"/>
        <v>0</v>
      </c>
      <c r="G197" s="171">
        <f>SUM(G164:G196)</f>
        <v>640892</v>
      </c>
      <c r="H197" s="172">
        <f>IF($G$208=0,0,G197/$G$208)</f>
        <v>0.15913546821025115</v>
      </c>
      <c r="I197" s="337"/>
      <c r="J197" s="168"/>
      <c r="K197" s="168"/>
      <c r="M197" s="364">
        <f>G197/G$228</f>
        <v>36.57224377995891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165"/>
      <c r="G198" s="165"/>
      <c r="H198" s="198"/>
      <c r="I198" s="341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1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490">
        <f>'[84]Sch C'!D211</f>
        <v>71446</v>
      </c>
      <c r="D200" s="490">
        <f>'[84]Sch C'!F211</f>
        <v>0</v>
      </c>
      <c r="E200" s="171">
        <f t="shared" ref="E200:E205" si="50">C200+D200</f>
        <v>71446</v>
      </c>
      <c r="F200" s="171"/>
      <c r="G200" s="171">
        <f t="shared" ref="G200:G205" si="51">E200+F200</f>
        <v>71446</v>
      </c>
      <c r="H200" s="172">
        <f t="shared" ref="H200:H206" si="52">IF($G$208=0,0,G200/$G$208)</f>
        <v>1.7740263042368455E-2</v>
      </c>
      <c r="I200" s="337"/>
      <c r="J200" s="183">
        <v>4698</v>
      </c>
      <c r="K200" s="183">
        <v>5242</v>
      </c>
      <c r="M200" s="364">
        <f t="shared" ref="M200:M205" si="53">G200/G$228</f>
        <v>4.0770372061173248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490">
        <f>'[84]Sch C'!D212</f>
        <v>14992</v>
      </c>
      <c r="D201" s="490">
        <f>'[84]Sch C'!F212</f>
        <v>0</v>
      </c>
      <c r="E201" s="171">
        <f t="shared" si="50"/>
        <v>14992</v>
      </c>
      <c r="F201" s="171"/>
      <c r="G201" s="171">
        <f t="shared" si="51"/>
        <v>14992</v>
      </c>
      <c r="H201" s="172">
        <f t="shared" si="52"/>
        <v>3.7225600247905812E-3</v>
      </c>
      <c r="I201" s="337"/>
      <c r="J201" s="168"/>
      <c r="K201" s="168"/>
      <c r="M201" s="364">
        <f t="shared" si="53"/>
        <v>0.85551244008217298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490">
        <f>'[84]Sch C'!D213</f>
        <v>2242</v>
      </c>
      <c r="D202" s="490">
        <f>'[84]Sch C'!F213</f>
        <v>0</v>
      </c>
      <c r="E202" s="171">
        <f t="shared" si="50"/>
        <v>2242</v>
      </c>
      <c r="F202" s="171"/>
      <c r="G202" s="171">
        <f t="shared" si="51"/>
        <v>2242</v>
      </c>
      <c r="H202" s="172">
        <f t="shared" si="52"/>
        <v>5.5669554266145165E-4</v>
      </c>
      <c r="I202" s="337"/>
      <c r="J202" s="168"/>
      <c r="K202" s="168"/>
      <c r="M202" s="364">
        <f t="shared" si="53"/>
        <v>0.12793882675188314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490">
        <f>'[84]Sch C'!D214</f>
        <v>0</v>
      </c>
      <c r="D203" s="490">
        <f>'[84]Sch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>
        <f t="shared" si="53"/>
        <v>0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490">
        <f>'[84]Sch C'!D215</f>
        <v>0</v>
      </c>
      <c r="D204" s="490">
        <f>'[84]Sch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490">
        <f>'[84]Sch C'!D216</f>
        <v>3599</v>
      </c>
      <c r="D205" s="490">
        <f>'[84]Sch C'!F216</f>
        <v>0</v>
      </c>
      <c r="E205" s="171">
        <f t="shared" si="50"/>
        <v>3599</v>
      </c>
      <c r="F205" s="171"/>
      <c r="G205" s="171">
        <f t="shared" si="51"/>
        <v>3599</v>
      </c>
      <c r="H205" s="172">
        <f t="shared" si="52"/>
        <v>8.9364284479864602E-4</v>
      </c>
      <c r="I205" s="337"/>
      <c r="J205" s="168"/>
      <c r="K205" s="168"/>
      <c r="M205" s="364">
        <f t="shared" si="53"/>
        <v>0.20537548504907555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490">
        <f>SUM(C200:C205)</f>
        <v>92279</v>
      </c>
      <c r="D206" s="490">
        <f>SUM(D200:D205)</f>
        <v>0</v>
      </c>
      <c r="E206" s="171">
        <f t="shared" ref="E206:F206" si="54">SUM(E200:E205)</f>
        <v>92279</v>
      </c>
      <c r="F206" s="171">
        <f t="shared" si="54"/>
        <v>0</v>
      </c>
      <c r="G206" s="171">
        <f>SUM(G200:G205)</f>
        <v>92279</v>
      </c>
      <c r="H206" s="172">
        <f t="shared" si="52"/>
        <v>2.2913161454619132E-2</v>
      </c>
      <c r="I206" s="337"/>
      <c r="J206" s="168"/>
      <c r="K206" s="168"/>
      <c r="M206" s="364">
        <f>G206/G$228</f>
        <v>5.2658639580004563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490">
        <f>SUM(C25:C206)/2</f>
        <v>4121664</v>
      </c>
      <c r="D208" s="490">
        <f>SUM(D25:D206)/2</f>
        <v>-94328</v>
      </c>
      <c r="E208" s="171">
        <f t="shared" ref="E208:F208" si="55">SUM(E25:E206)/2</f>
        <v>4027336</v>
      </c>
      <c r="F208" s="171">
        <f t="shared" si="55"/>
        <v>0</v>
      </c>
      <c r="G208" s="171">
        <f>SUM(G25:G206)/2</f>
        <v>4027336</v>
      </c>
      <c r="H208" s="172">
        <f>IF($G$208=0,0,G208/$G$208)</f>
        <v>1</v>
      </c>
      <c r="I208" s="337"/>
      <c r="J208" s="183">
        <f>SUM(J25:J200)</f>
        <v>91542</v>
      </c>
      <c r="K208" s="183">
        <f>SUM(K25:K200)</f>
        <v>109400</v>
      </c>
      <c r="M208" s="364">
        <f>G208/G$228</f>
        <v>229.81830632275737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490">
        <f>'[84]Sch C'!D221</f>
        <v>4121664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490">
        <f>C208-C211</f>
        <v>0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619"/>
      <c r="D213" s="232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490">
        <f>C21-C208</f>
        <v>425669</v>
      </c>
      <c r="D215" s="490">
        <f>D21-D208</f>
        <v>90572</v>
      </c>
      <c r="E215" s="171">
        <f t="shared" ref="E215:F215" si="56">E21-E208</f>
        <v>516241</v>
      </c>
      <c r="F215" s="171">
        <f t="shared" si="56"/>
        <v>0</v>
      </c>
      <c r="G215" s="171">
        <f>G21-G208</f>
        <v>516241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491">
        <f>'[84]Sch D'!C9</f>
        <v>8768</v>
      </c>
      <c r="D219" s="491"/>
      <c r="E219" s="235">
        <f t="shared" ref="E219:G227" si="57">C219+D219</f>
        <v>8768</v>
      </c>
      <c r="F219" s="234"/>
      <c r="G219" s="235">
        <f t="shared" si="57"/>
        <v>8768</v>
      </c>
      <c r="H219" s="172">
        <f t="shared" ref="H219:H228" si="58">IF($G$228=0,0,G219/$G$228)</f>
        <v>0.50034238758274363</v>
      </c>
      <c r="I219" s="337"/>
      <c r="J219" s="168"/>
      <c r="K219" s="168"/>
    </row>
    <row r="220" spans="1:14">
      <c r="A220" s="163"/>
      <c r="B220" s="170" t="s">
        <v>217</v>
      </c>
      <c r="C220" s="491">
        <f>'[84]Sch D'!D9</f>
        <v>0</v>
      </c>
      <c r="D220" s="491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7"/>
      <c r="J220" s="168"/>
      <c r="K220" s="168"/>
    </row>
    <row r="221" spans="1:14">
      <c r="A221" s="163"/>
      <c r="B221" s="170" t="s">
        <v>72</v>
      </c>
      <c r="C221" s="491">
        <f>'[84]Sch D'!E9</f>
        <v>2922</v>
      </c>
      <c r="D221" s="491"/>
      <c r="E221" s="235">
        <f t="shared" si="59"/>
        <v>2922</v>
      </c>
      <c r="F221" s="234"/>
      <c r="G221" s="235">
        <f t="shared" si="57"/>
        <v>2922</v>
      </c>
      <c r="H221" s="172">
        <f t="shared" si="58"/>
        <v>0.16674275279616527</v>
      </c>
      <c r="I221" s="337"/>
      <c r="J221" s="168"/>
      <c r="K221" s="168"/>
    </row>
    <row r="222" spans="1:14">
      <c r="A222" s="163"/>
      <c r="B222" s="202" t="s">
        <v>334</v>
      </c>
      <c r="C222" s="491">
        <f>'[84]Sch D'!F9</f>
        <v>505</v>
      </c>
      <c r="D222" s="491"/>
      <c r="E222" s="235">
        <f>C222+D222</f>
        <v>505</v>
      </c>
      <c r="F222" s="234"/>
      <c r="G222" s="235">
        <f>E222+F222</f>
        <v>505</v>
      </c>
      <c r="H222" s="172">
        <f t="shared" si="58"/>
        <v>2.8817621547591873E-2</v>
      </c>
      <c r="I222" s="337"/>
      <c r="J222" s="168"/>
      <c r="K222" s="168"/>
    </row>
    <row r="223" spans="1:14">
      <c r="A223" s="163"/>
      <c r="B223" s="170" t="s">
        <v>73</v>
      </c>
      <c r="C223" s="491">
        <f>'[84]Sch D'!G9</f>
        <v>0</v>
      </c>
      <c r="D223" s="491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7"/>
      <c r="J223" s="168"/>
      <c r="K223" s="168"/>
    </row>
    <row r="224" spans="1:14">
      <c r="A224" s="163"/>
      <c r="B224" s="170" t="s">
        <v>74</v>
      </c>
      <c r="C224" s="491">
        <f>'[84]Sch D'!H9</f>
        <v>3954</v>
      </c>
      <c r="D224" s="491"/>
      <c r="E224" s="235">
        <f t="shared" si="59"/>
        <v>3954</v>
      </c>
      <c r="F224" s="234"/>
      <c r="G224" s="235">
        <f t="shared" si="57"/>
        <v>3954</v>
      </c>
      <c r="H224" s="172">
        <f t="shared" si="58"/>
        <v>0.22563341702807579</v>
      </c>
      <c r="I224" s="337"/>
      <c r="J224" s="168"/>
      <c r="K224" s="168"/>
    </row>
    <row r="225" spans="1:11">
      <c r="A225" s="163"/>
      <c r="B225" s="170" t="s">
        <v>236</v>
      </c>
      <c r="C225" s="491">
        <f>'[84]Sch D'!I9</f>
        <v>796</v>
      </c>
      <c r="D225" s="491"/>
      <c r="E225" s="235">
        <f t="shared" si="59"/>
        <v>796</v>
      </c>
      <c r="F225" s="234"/>
      <c r="G225" s="235">
        <f t="shared" si="57"/>
        <v>796</v>
      </c>
      <c r="H225" s="172">
        <f t="shared" si="58"/>
        <v>4.5423419310659664E-2</v>
      </c>
      <c r="I225" s="337"/>
      <c r="J225" s="168"/>
      <c r="K225" s="168"/>
    </row>
    <row r="226" spans="1:11">
      <c r="A226" s="163"/>
      <c r="B226" s="170" t="s">
        <v>235</v>
      </c>
      <c r="C226" s="491">
        <f>'[84]Sch D'!J9</f>
        <v>0</v>
      </c>
      <c r="D226" s="491"/>
      <c r="E226" s="235">
        <f>C226+D226</f>
        <v>0</v>
      </c>
      <c r="F226" s="234"/>
      <c r="G226" s="235">
        <f>E226+F226</f>
        <v>0</v>
      </c>
      <c r="H226" s="172">
        <f t="shared" si="58"/>
        <v>0</v>
      </c>
      <c r="I226" s="337"/>
      <c r="J226" s="168"/>
      <c r="K226" s="168"/>
    </row>
    <row r="227" spans="1:11">
      <c r="A227" s="163"/>
      <c r="B227" s="170" t="s">
        <v>179</v>
      </c>
      <c r="C227" s="491">
        <f>'[84]Sch D'!K9</f>
        <v>579</v>
      </c>
      <c r="D227" s="491"/>
      <c r="E227" s="235">
        <f t="shared" si="59"/>
        <v>579</v>
      </c>
      <c r="F227" s="234"/>
      <c r="G227" s="235">
        <f t="shared" si="57"/>
        <v>579</v>
      </c>
      <c r="H227" s="172">
        <f t="shared" si="58"/>
        <v>3.3040401734763754E-2</v>
      </c>
      <c r="I227" s="337"/>
      <c r="J227" s="168"/>
      <c r="K227" s="168"/>
    </row>
    <row r="228" spans="1:11" ht="13.5" thickBot="1">
      <c r="A228" s="163"/>
      <c r="B228" s="236" t="s">
        <v>75</v>
      </c>
      <c r="C228" s="491">
        <f>SUM(C219:C227)</f>
        <v>17524</v>
      </c>
      <c r="D228" s="491">
        <f>SUM(D219:D227)</f>
        <v>0</v>
      </c>
      <c r="E228" s="237">
        <f>SUM(E219:E227)</f>
        <v>17524</v>
      </c>
      <c r="F228" s="237">
        <f>SUM(F219:F227)</f>
        <v>0</v>
      </c>
      <c r="G228" s="237">
        <f>SUM(G219:G227)</f>
        <v>17524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620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619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492">
        <f>'[84]Sch D'!N22</f>
        <v>84</v>
      </c>
      <c r="D231" s="526"/>
      <c r="E231" s="235">
        <f>C231+D231</f>
        <v>84</v>
      </c>
      <c r="F231" s="235"/>
      <c r="G231" s="235">
        <f>E231+F231</f>
        <v>84</v>
      </c>
      <c r="H231" s="167"/>
      <c r="J231" s="168"/>
      <c r="K231" s="168"/>
    </row>
    <row r="232" spans="1:11">
      <c r="A232" s="163"/>
      <c r="B232" s="202" t="s">
        <v>290</v>
      </c>
      <c r="C232" s="492">
        <f>'[84]Sch D'!N24</f>
        <v>84</v>
      </c>
      <c r="D232" s="526"/>
      <c r="E232" s="235">
        <f>C232+D232</f>
        <v>84</v>
      </c>
      <c r="F232" s="235"/>
      <c r="G232" s="235">
        <f>E232+F232</f>
        <v>84</v>
      </c>
      <c r="H232" s="167"/>
      <c r="J232" s="168"/>
      <c r="K232" s="168"/>
    </row>
    <row r="233" spans="1:11">
      <c r="A233" s="163"/>
      <c r="B233" s="202" t="s">
        <v>76</v>
      </c>
      <c r="C233" s="492">
        <f>$C$4-$C$3+1</f>
        <v>365</v>
      </c>
      <c r="D233" s="489"/>
      <c r="E233" s="235">
        <f>C233+D233</f>
        <v>365</v>
      </c>
      <c r="F233" s="240"/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621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492">
        <f>'[84]Sch D'!N28</f>
        <v>30660</v>
      </c>
      <c r="D235" s="489"/>
      <c r="E235" s="234">
        <f>E231*E233</f>
        <v>30660</v>
      </c>
      <c r="F235" s="240"/>
      <c r="G235" s="234">
        <f>G231*G233</f>
        <v>30660</v>
      </c>
      <c r="H235" s="167"/>
      <c r="J235" s="168"/>
      <c r="K235" s="168"/>
    </row>
    <row r="236" spans="1:11" ht="26">
      <c r="A236" s="163"/>
      <c r="B236" s="244" t="s">
        <v>336</v>
      </c>
      <c r="C236" s="493">
        <f>'[84]Sch D'!N30</f>
        <v>0.57155903457273316</v>
      </c>
      <c r="D236" s="240"/>
      <c r="E236" s="245">
        <f>E228/E235</f>
        <v>0.57155903457273316</v>
      </c>
      <c r="F236" s="246"/>
      <c r="G236" s="245">
        <f>G228/G235</f>
        <v>0.57155903457273316</v>
      </c>
      <c r="H236" s="167"/>
      <c r="J236" s="168"/>
      <c r="K236" s="168"/>
    </row>
    <row r="237" spans="1:11" ht="26">
      <c r="A237" s="163"/>
      <c r="B237" s="244" t="s">
        <v>337</v>
      </c>
      <c r="C237" s="493">
        <f>'[84]Sch D'!N32</f>
        <v>0.28597521200260928</v>
      </c>
      <c r="D237" s="240"/>
      <c r="E237" s="245">
        <f>(E219+E220)/E235</f>
        <v>0.28597521200260928</v>
      </c>
      <c r="F237" s="246"/>
      <c r="G237" s="245">
        <f>(G219+G220)/G235</f>
        <v>0.28597521200260928</v>
      </c>
      <c r="H237" s="167"/>
      <c r="J237" s="168"/>
      <c r="K237" s="168"/>
    </row>
    <row r="238" spans="1:11" ht="26">
      <c r="A238" s="163"/>
      <c r="B238" s="244" t="s">
        <v>338</v>
      </c>
      <c r="C238" s="493">
        <f>'[84]Sch D'!N34</f>
        <v>0.50034238758274374</v>
      </c>
      <c r="D238" s="240"/>
      <c r="E238" s="245">
        <f>(E237/E236)</f>
        <v>0.50034238758274374</v>
      </c>
      <c r="F238" s="246"/>
      <c r="G238" s="245">
        <f>(G237/G236)</f>
        <v>0.50034238758274374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490">
        <f>'[84]Sch B'!C85</f>
        <v>157.66133866133868</v>
      </c>
    </row>
    <row r="242" spans="2:7">
      <c r="F242" s="142" t="s">
        <v>341</v>
      </c>
      <c r="G242" s="490">
        <f>'[84]Sch B'!E85</f>
        <v>157.66256590509667</v>
      </c>
    </row>
    <row r="243" spans="2:7">
      <c r="F243" s="142" t="s">
        <v>342</v>
      </c>
      <c r="G243" s="490">
        <f>'[84]Sch B'!G85</f>
        <v>157.66290983606558</v>
      </c>
    </row>
    <row r="244" spans="2:7">
      <c r="F244" s="142" t="s">
        <v>343</v>
      </c>
      <c r="G244" s="490">
        <f>'[84]Sch B'!I85</f>
        <v>157.66150178784267</v>
      </c>
    </row>
    <row r="245" spans="2:7">
      <c r="F245" s="142"/>
    </row>
  </sheetData>
  <customSheetViews>
    <customSheetView guid="{8B6AA640-12E9-11D5-ABB1-E7A21A3D4A14}" showGridLines="0" showRuler="0">
      <pageMargins left="0" right="0" top="1" bottom="1" header="0.5" footer="0.5"/>
      <printOptions horizontalCentered="1"/>
      <pageSetup scale="70" orientation="portrait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 topLeftCell="B1">
      <selection activeCell="G12" sqref="G12"/>
      <pageMargins left="0" right="0" top="1" bottom="1" header="0.5" footer="0.5"/>
      <printOptions horizontalCentered="1"/>
      <pageSetup scale="70" orientation="portrait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r:id="rId3"/>
  <headerFooter alignWithMargins="0">
    <oddFooter>&amp;R&amp;D
&amp;T
&amp;F</oddFooter>
  </headerFooter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6" name="Button 1">
              <controlPr defaultSize="0" print="0" autoFill="0" autoLine="0" autoPict="0">
                <anchor moveWithCells="1" sizeWithCells="1">
                  <from>
                    <xdr:col>5</xdr:col>
                    <xdr:colOff>958850</xdr:colOff>
                    <xdr:row>0</xdr:row>
                    <xdr:rowOff>0</xdr:rowOff>
                  </from>
                  <to>
                    <xdr:col>6</xdr:col>
                    <xdr:colOff>1028700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75">
    <tabColor rgb="FFE28CAB"/>
  </sheetPr>
  <dimension ref="A1:Q245"/>
  <sheetViews>
    <sheetView showGridLines="0" zoomScale="90" zoomScaleNormal="90" workbookViewId="0">
      <selection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478"/>
      <c r="E1" s="477"/>
      <c r="F1" s="478"/>
      <c r="G1" s="478"/>
      <c r="H1" s="478"/>
      <c r="I1" s="479"/>
    </row>
    <row r="2" spans="1:14" ht="23">
      <c r="B2" s="143" t="s">
        <v>189</v>
      </c>
      <c r="C2" s="247" t="s">
        <v>361</v>
      </c>
      <c r="D2" s="247"/>
      <c r="E2" s="144"/>
    </row>
    <row r="3" spans="1:14">
      <c r="A3" s="145"/>
      <c r="B3" s="140" t="s">
        <v>79</v>
      </c>
      <c r="C3" s="495">
        <v>41821</v>
      </c>
      <c r="D3" s="144"/>
      <c r="E3" s="147"/>
    </row>
    <row r="4" spans="1:14">
      <c r="A4" s="145"/>
      <c r="B4" s="148" t="s">
        <v>80</v>
      </c>
      <c r="C4" s="495">
        <v>42185</v>
      </c>
      <c r="D4" s="144"/>
      <c r="E4" s="149"/>
      <c r="G4" s="150"/>
    </row>
    <row r="5" spans="1:14">
      <c r="A5" s="145"/>
      <c r="B5" s="148"/>
      <c r="C5" s="151"/>
      <c r="D5" s="144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144"/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490">
        <f>'[85]Sch B'!E10</f>
        <v>2475305</v>
      </c>
      <c r="D11" s="490">
        <f>'[85]Sch B'!G10</f>
        <v>0</v>
      </c>
      <c r="E11" s="171">
        <f>C11+D11</f>
        <v>2475305</v>
      </c>
      <c r="F11" s="171"/>
      <c r="G11" s="171">
        <f t="shared" ref="G11:G20" si="0">E11+F11</f>
        <v>2475305</v>
      </c>
      <c r="H11" s="172">
        <f t="shared" ref="H11:H21" si="1">IF($G$21=0,0,G11/$G$21)</f>
        <v>0.48705987264806122</v>
      </c>
      <c r="I11" s="337"/>
      <c r="J11" s="368" t="s">
        <v>344</v>
      </c>
      <c r="K11" s="369">
        <f>G21</f>
        <v>5082137</v>
      </c>
      <c r="M11" s="359">
        <f>IFERROR(G11/G219,0)</f>
        <v>181.24807790876474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490">
        <f>'[85]Sch B'!E15</f>
        <v>0</v>
      </c>
      <c r="D12" s="490">
        <f>'[85]Sch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7"/>
      <c r="J12" s="370" t="s">
        <v>345</v>
      </c>
      <c r="K12" s="371">
        <f>G208</f>
        <v>4586113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490">
        <f>'[85]Sch B'!E21</f>
        <v>1238251</v>
      </c>
      <c r="D13" s="490">
        <f>'[85]Sch B'!G21</f>
        <v>0</v>
      </c>
      <c r="E13" s="171">
        <f t="shared" si="2"/>
        <v>1238251</v>
      </c>
      <c r="F13" s="171"/>
      <c r="G13" s="171">
        <f t="shared" si="0"/>
        <v>1238251</v>
      </c>
      <c r="H13" s="172">
        <f t="shared" si="1"/>
        <v>0.24364770174436462</v>
      </c>
      <c r="I13" s="337"/>
      <c r="J13" s="370" t="s">
        <v>346</v>
      </c>
      <c r="K13" s="371">
        <f>G228</f>
        <v>22170</v>
      </c>
      <c r="M13" s="359">
        <f t="shared" si="3"/>
        <v>604.91011235955057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490">
        <f>'[85]Sch B'!E27</f>
        <v>263412</v>
      </c>
      <c r="D14" s="490">
        <f>'[85]Sch B'!G27</f>
        <v>0</v>
      </c>
      <c r="E14" s="171">
        <f t="shared" si="2"/>
        <v>263412</v>
      </c>
      <c r="F14" s="175"/>
      <c r="G14" s="175">
        <f>E14+F14</f>
        <v>263412</v>
      </c>
      <c r="H14" s="176">
        <f t="shared" si="1"/>
        <v>5.1830952215573885E-2</v>
      </c>
      <c r="I14" s="338"/>
      <c r="J14" s="370" t="s">
        <v>347</v>
      </c>
      <c r="K14" s="371">
        <f>G231</f>
        <v>77.339726027397262</v>
      </c>
      <c r="M14" s="359">
        <f t="shared" si="3"/>
        <v>362.82644628099172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490">
        <f>'[85]Sch B'!E32</f>
        <v>0</v>
      </c>
      <c r="D15" s="490">
        <f>'[85]Sch B'!G32</f>
        <v>0</v>
      </c>
      <c r="E15" s="171">
        <f t="shared" si="2"/>
        <v>0</v>
      </c>
      <c r="F15" s="171"/>
      <c r="G15" s="171">
        <f t="shared" si="0"/>
        <v>0</v>
      </c>
      <c r="H15" s="172">
        <f t="shared" si="1"/>
        <v>0</v>
      </c>
      <c r="I15" s="337"/>
      <c r="J15" s="370" t="s">
        <v>348</v>
      </c>
      <c r="K15" s="371">
        <f>G235</f>
        <v>28229</v>
      </c>
      <c r="M15" s="359">
        <f t="shared" si="3"/>
        <v>0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490">
        <f>'[85]Sch B'!E37</f>
        <v>347391</v>
      </c>
      <c r="D16" s="490">
        <f>'[85]Sch B'!G37</f>
        <v>0</v>
      </c>
      <c r="E16" s="171">
        <f t="shared" si="2"/>
        <v>347391</v>
      </c>
      <c r="F16" s="171"/>
      <c r="G16" s="171">
        <f t="shared" si="0"/>
        <v>347391</v>
      </c>
      <c r="H16" s="172">
        <f t="shared" si="1"/>
        <v>6.8355300142440081E-2</v>
      </c>
      <c r="I16" s="337"/>
      <c r="J16" s="372"/>
      <c r="K16" s="371"/>
      <c r="M16" s="359">
        <f t="shared" si="3"/>
        <v>168.55458515283843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490">
        <f>'[85]Sch B'!E42</f>
        <v>648999</v>
      </c>
      <c r="D17" s="490">
        <f>'[85]Sch B'!G42</f>
        <v>0</v>
      </c>
      <c r="E17" s="171">
        <f t="shared" si="2"/>
        <v>648999</v>
      </c>
      <c r="F17" s="171"/>
      <c r="G17" s="171">
        <f>E17+F17</f>
        <v>648999</v>
      </c>
      <c r="H17" s="172">
        <f t="shared" si="1"/>
        <v>0.12770198835647287</v>
      </c>
      <c r="I17" s="337"/>
      <c r="J17" s="370" t="s">
        <v>156</v>
      </c>
      <c r="K17" s="371">
        <f>J208</f>
        <v>107901</v>
      </c>
      <c r="M17" s="359">
        <f t="shared" si="3"/>
        <v>182.91967305524238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490">
        <f>'[85]Sch B'!E47</f>
        <v>0</v>
      </c>
      <c r="D18" s="490">
        <f>'[85]Sch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337"/>
      <c r="J18" s="373" t="s">
        <v>252</v>
      </c>
      <c r="K18" s="374">
        <f>K208</f>
        <v>121342</v>
      </c>
      <c r="M18" s="359">
        <f t="shared" si="3"/>
        <v>0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490">
        <f>'[85]Sch B'!E52</f>
        <v>77286</v>
      </c>
      <c r="D19" s="490">
        <f>'[85]Sch B'!G52</f>
        <v>0</v>
      </c>
      <c r="E19" s="171">
        <f t="shared" si="2"/>
        <v>77286</v>
      </c>
      <c r="F19" s="171"/>
      <c r="G19" s="171">
        <f t="shared" si="0"/>
        <v>77286</v>
      </c>
      <c r="H19" s="172">
        <f t="shared" si="1"/>
        <v>1.5207382248845318E-2</v>
      </c>
      <c r="I19" s="337"/>
      <c r="J19" s="168"/>
      <c r="K19" s="168"/>
      <c r="M19" s="359">
        <f t="shared" si="3"/>
        <v>589.96946564885491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490">
        <f>'[85]Sch B'!E67</f>
        <v>32749</v>
      </c>
      <c r="D20" s="490">
        <f>'[85]Sch B'!G67</f>
        <v>-1256</v>
      </c>
      <c r="E20" s="171">
        <f t="shared" si="2"/>
        <v>31493</v>
      </c>
      <c r="F20" s="171"/>
      <c r="G20" s="171">
        <f t="shared" si="0"/>
        <v>31493</v>
      </c>
      <c r="H20" s="172">
        <f t="shared" si="1"/>
        <v>6.1968026442419796E-3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490">
        <f>SUM(C11:C20)</f>
        <v>5083393</v>
      </c>
      <c r="D21" s="490">
        <f>SUM(D11:D20)</f>
        <v>-1256</v>
      </c>
      <c r="E21" s="171">
        <f>SUM(E11:E20)</f>
        <v>5082137</v>
      </c>
      <c r="F21" s="171">
        <f>SUM(F11:F20)</f>
        <v>0</v>
      </c>
      <c r="G21" s="171">
        <f>SUM(G11:G20)</f>
        <v>5082137</v>
      </c>
      <c r="H21" s="172">
        <f t="shared" si="1"/>
        <v>1</v>
      </c>
      <c r="I21" s="337"/>
      <c r="J21" s="168"/>
      <c r="K21" s="168"/>
      <c r="M21" s="359">
        <f>IFERROR(G21/G228,0)</f>
        <v>229.23486693730266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4">
      <c r="A24" s="181" t="s">
        <v>161</v>
      </c>
      <c r="B24" s="148" t="s">
        <v>12</v>
      </c>
      <c r="M24" s="363"/>
      <c r="N24" s="363"/>
    </row>
    <row r="25" spans="1:14" s="167" customFormat="1">
      <c r="A25" s="169" t="s">
        <v>83</v>
      </c>
      <c r="B25" s="170" t="s">
        <v>14</v>
      </c>
      <c r="C25" s="490">
        <f>'[85]Sch C'!D10</f>
        <v>0</v>
      </c>
      <c r="D25" s="490">
        <f>'[85]Sch C'!F10</f>
        <v>173704</v>
      </c>
      <c r="E25" s="171">
        <f t="shared" ref="E25:E60" si="4">C25+D25</f>
        <v>173704</v>
      </c>
      <c r="F25" s="171"/>
      <c r="G25" s="182">
        <f>E25+F25</f>
        <v>173704</v>
      </c>
      <c r="H25" s="172">
        <f>IF($G$208=0,0,G25/$G$208)</f>
        <v>3.7876083733654184E-2</v>
      </c>
      <c r="I25" s="337"/>
      <c r="J25" s="183">
        <v>2696</v>
      </c>
      <c r="K25" s="183">
        <v>3144</v>
      </c>
      <c r="M25" s="359">
        <f>G25/G$228</f>
        <v>7.8350924672981508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490">
        <f>'[85]Sch C'!D11</f>
        <v>0</v>
      </c>
      <c r="D26" s="490">
        <f>'[85]Sch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490">
        <f>'[85]Sch C'!D12</f>
        <v>264529</v>
      </c>
      <c r="D27" s="490">
        <f>'[85]Sch C'!F12</f>
        <v>-173704</v>
      </c>
      <c r="E27" s="171">
        <f t="shared" si="4"/>
        <v>90825</v>
      </c>
      <c r="F27" s="171"/>
      <c r="G27" s="171">
        <f t="shared" si="5"/>
        <v>90825</v>
      </c>
      <c r="H27" s="172">
        <f t="shared" si="6"/>
        <v>1.9804352836487019E-2</v>
      </c>
      <c r="I27" s="337"/>
      <c r="J27" s="185">
        <v>6067</v>
      </c>
      <c r="K27" s="185">
        <v>6721</v>
      </c>
      <c r="M27" s="359">
        <f t="shared" si="7"/>
        <v>4.0967523680649522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490">
        <f>'[85]Sch C'!D13</f>
        <v>34877</v>
      </c>
      <c r="D28" s="490">
        <f>'[85]Sch C'!F13</f>
        <v>0</v>
      </c>
      <c r="E28" s="171">
        <f t="shared" si="4"/>
        <v>34877</v>
      </c>
      <c r="F28" s="171"/>
      <c r="G28" s="171">
        <f t="shared" si="5"/>
        <v>34877</v>
      </c>
      <c r="H28" s="172">
        <f t="shared" si="6"/>
        <v>7.6049150991264278E-3</v>
      </c>
      <c r="I28" s="337"/>
      <c r="J28" s="168"/>
      <c r="K28" s="168"/>
      <c r="M28" s="359">
        <f t="shared" si="7"/>
        <v>1.5731619305367615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490">
        <f>'[85]Sch C'!D14</f>
        <v>0</v>
      </c>
      <c r="D29" s="490">
        <f>'[85]Sch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490">
        <f>'[85]Sch C'!D15</f>
        <v>0</v>
      </c>
      <c r="D30" s="490">
        <f>'[85]Sch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7"/>
      <c r="J30" s="168"/>
      <c r="K30" s="168"/>
      <c r="M30" s="359">
        <f t="shared" si="7"/>
        <v>0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490">
        <f>'[85]Sch C'!D16</f>
        <v>253356</v>
      </c>
      <c r="D31" s="490">
        <f>'[85]Sch C'!F16</f>
        <v>24046</v>
      </c>
      <c r="E31" s="171">
        <f t="shared" si="4"/>
        <v>277402</v>
      </c>
      <c r="F31" s="171"/>
      <c r="G31" s="171">
        <f t="shared" si="5"/>
        <v>277402</v>
      </c>
      <c r="H31" s="172">
        <f t="shared" si="6"/>
        <v>6.0487388775636364E-2</v>
      </c>
      <c r="I31" s="337"/>
      <c r="J31" s="168"/>
      <c r="K31" s="168"/>
      <c r="M31" s="359">
        <f t="shared" si="7"/>
        <v>12.512494361750113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490">
        <f>'[85]Sch C'!D17</f>
        <v>0</v>
      </c>
      <c r="D32" s="490">
        <f>'[85]Sch C'!F17</f>
        <v>0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7"/>
      <c r="J32" s="168"/>
      <c r="K32" s="168"/>
      <c r="M32" s="359">
        <f t="shared" si="7"/>
        <v>0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490">
        <f>'[85]Sch C'!D18</f>
        <v>16249</v>
      </c>
      <c r="D33" s="490">
        <f>'[85]Sch C'!F18</f>
        <v>0</v>
      </c>
      <c r="E33" s="171">
        <f t="shared" si="4"/>
        <v>16249</v>
      </c>
      <c r="F33" s="171"/>
      <c r="G33" s="171">
        <f t="shared" si="5"/>
        <v>16249</v>
      </c>
      <c r="H33" s="172">
        <f t="shared" si="6"/>
        <v>3.5430875776501802E-3</v>
      </c>
      <c r="I33" s="337"/>
      <c r="J33" s="168"/>
      <c r="K33" s="168"/>
      <c r="M33" s="359">
        <f t="shared" si="7"/>
        <v>0.73292737934145247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490">
        <f>'[85]Sch C'!D19</f>
        <v>10793</v>
      </c>
      <c r="D34" s="490">
        <f>'[85]Sch C'!F19</f>
        <v>0</v>
      </c>
      <c r="E34" s="171">
        <f t="shared" si="4"/>
        <v>10793</v>
      </c>
      <c r="F34" s="171"/>
      <c r="G34" s="171">
        <f t="shared" si="5"/>
        <v>10793</v>
      </c>
      <c r="H34" s="172">
        <f t="shared" si="6"/>
        <v>2.3534090852100681E-3</v>
      </c>
      <c r="I34" s="337"/>
      <c r="J34" s="168"/>
      <c r="K34" s="168"/>
      <c r="M34" s="359">
        <f t="shared" si="7"/>
        <v>0.48682904826341905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490">
        <f>'[85]Sch C'!D20</f>
        <v>8242</v>
      </c>
      <c r="D35" s="490">
        <f>'[85]Sch C'!F20</f>
        <v>0</v>
      </c>
      <c r="E35" s="171">
        <f t="shared" si="4"/>
        <v>8242</v>
      </c>
      <c r="F35" s="171"/>
      <c r="G35" s="171">
        <f t="shared" si="5"/>
        <v>8242</v>
      </c>
      <c r="H35" s="172">
        <f t="shared" si="6"/>
        <v>1.7971646141296562E-3</v>
      </c>
      <c r="I35" s="337"/>
      <c r="J35" s="168"/>
      <c r="K35" s="168"/>
      <c r="M35" s="359">
        <f t="shared" si="7"/>
        <v>0.3717636445647271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490">
        <f>'[85]Sch C'!D21</f>
        <v>18658</v>
      </c>
      <c r="D36" s="490">
        <f>'[85]Sch C'!F21</f>
        <v>0</v>
      </c>
      <c r="E36" s="171">
        <f t="shared" si="4"/>
        <v>18658</v>
      </c>
      <c r="F36" s="171"/>
      <c r="G36" s="171">
        <f t="shared" si="5"/>
        <v>18658</v>
      </c>
      <c r="H36" s="172">
        <f t="shared" si="6"/>
        <v>4.0683690087880524E-3</v>
      </c>
      <c r="I36" s="337"/>
      <c r="J36" s="168"/>
      <c r="K36" s="168"/>
      <c r="M36" s="359">
        <f t="shared" si="7"/>
        <v>0.84158773116824537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490">
        <f>'[85]Sch C'!D22</f>
        <v>0</v>
      </c>
      <c r="D37" s="490">
        <f>'[85]Sch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490">
        <f>'[85]Sch C'!D23</f>
        <v>3707</v>
      </c>
      <c r="D38" s="490">
        <f>'[85]Sch C'!F23</f>
        <v>0</v>
      </c>
      <c r="E38" s="171">
        <f t="shared" si="4"/>
        <v>3707</v>
      </c>
      <c r="F38" s="171"/>
      <c r="G38" s="171">
        <f t="shared" si="5"/>
        <v>3707</v>
      </c>
      <c r="H38" s="172">
        <f t="shared" si="6"/>
        <v>8.0830978216193104E-4</v>
      </c>
      <c r="I38" s="337"/>
      <c r="J38" s="168"/>
      <c r="K38" s="168"/>
      <c r="M38" s="359">
        <f t="shared" si="7"/>
        <v>0.16720793865584122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490">
        <f>'[85]Sch C'!D24</f>
        <v>10365</v>
      </c>
      <c r="D39" s="490">
        <f>'[85]Sch C'!F24</f>
        <v>0</v>
      </c>
      <c r="E39" s="171">
        <f t="shared" si="4"/>
        <v>10365</v>
      </c>
      <c r="F39" s="171"/>
      <c r="G39" s="171">
        <f t="shared" si="5"/>
        <v>10365</v>
      </c>
      <c r="H39" s="172">
        <f t="shared" si="6"/>
        <v>2.2600838662283291E-3</v>
      </c>
      <c r="I39" s="337"/>
      <c r="J39" s="168"/>
      <c r="K39" s="168"/>
      <c r="M39" s="359">
        <f t="shared" si="7"/>
        <v>0.46752368064952637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490">
        <f>'[85]Sch C'!D25</f>
        <v>1833</v>
      </c>
      <c r="D40" s="490">
        <f>'[85]Sch C'!F25</f>
        <v>0</v>
      </c>
      <c r="E40" s="171">
        <f t="shared" si="4"/>
        <v>1833</v>
      </c>
      <c r="F40" s="171"/>
      <c r="G40" s="171">
        <f t="shared" si="5"/>
        <v>1833</v>
      </c>
      <c r="H40" s="172">
        <f t="shared" si="6"/>
        <v>3.9968487475123269E-4</v>
      </c>
      <c r="I40" s="337"/>
      <c r="J40" s="168"/>
      <c r="K40" s="168"/>
      <c r="M40" s="359">
        <f t="shared" si="7"/>
        <v>8.2679296346414077E-2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490">
        <f>'[85]Sch C'!D26</f>
        <v>298360</v>
      </c>
      <c r="D41" s="490">
        <f>'[85]Sch C'!F26</f>
        <v>0</v>
      </c>
      <c r="E41" s="171">
        <f t="shared" si="4"/>
        <v>298360</v>
      </c>
      <c r="F41" s="171"/>
      <c r="G41" s="171">
        <f t="shared" si="5"/>
        <v>298360</v>
      </c>
      <c r="H41" s="172">
        <f t="shared" si="6"/>
        <v>6.5057271811662737E-2</v>
      </c>
      <c r="I41" s="337"/>
      <c r="J41" s="168"/>
      <c r="K41" s="168"/>
      <c r="M41" s="359">
        <f t="shared" si="7"/>
        <v>13.457825890843482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490">
        <f>'[85]Sch C'!D27</f>
        <v>16450</v>
      </c>
      <c r="D42" s="490">
        <f>'[85]Sch C'!F27</f>
        <v>-130</v>
      </c>
      <c r="E42" s="171">
        <f t="shared" si="4"/>
        <v>16320</v>
      </c>
      <c r="F42" s="171"/>
      <c r="G42" s="171">
        <f t="shared" si="5"/>
        <v>16320</v>
      </c>
      <c r="H42" s="172">
        <f t="shared" si="6"/>
        <v>3.5585690976214497E-3</v>
      </c>
      <c r="I42" s="337"/>
      <c r="J42" s="168"/>
      <c r="K42" s="168"/>
      <c r="M42" s="359">
        <f t="shared" si="7"/>
        <v>0.73612990527740185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490">
        <f>'[85]Sch C'!D28</f>
        <v>0</v>
      </c>
      <c r="D43" s="490">
        <f>'[85]Sch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490">
        <f>'[85]Sch C'!D29</f>
        <v>118980</v>
      </c>
      <c r="D44" s="490">
        <f>'[85]Sch C'!F29</f>
        <v>-118980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490">
        <f>'[85]Sch C'!D30</f>
        <v>0</v>
      </c>
      <c r="D45" s="490">
        <f>'[85]Sch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490">
        <f>'[85]Sch C'!D31</f>
        <v>0</v>
      </c>
      <c r="D46" s="490">
        <f>'[85]Sch C'!F31</f>
        <v>0</v>
      </c>
      <c r="E46" s="171">
        <f t="shared" si="4"/>
        <v>0</v>
      </c>
      <c r="F46" s="171"/>
      <c r="G46" s="171">
        <f t="shared" si="5"/>
        <v>0</v>
      </c>
      <c r="H46" s="172">
        <f t="shared" si="6"/>
        <v>0</v>
      </c>
      <c r="I46" s="337"/>
      <c r="J46" s="168"/>
      <c r="K46" s="168"/>
      <c r="M46" s="359">
        <f t="shared" si="7"/>
        <v>0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490">
        <f>'[85]Sch C'!D32</f>
        <v>55140</v>
      </c>
      <c r="D47" s="490">
        <f>'[85]Sch C'!F32</f>
        <v>0</v>
      </c>
      <c r="E47" s="171">
        <f t="shared" si="4"/>
        <v>55140</v>
      </c>
      <c r="F47" s="171"/>
      <c r="G47" s="171">
        <f t="shared" si="5"/>
        <v>55140</v>
      </c>
      <c r="H47" s="172">
        <f t="shared" si="6"/>
        <v>1.2023253679096001E-2</v>
      </c>
      <c r="I47" s="337"/>
      <c r="J47" s="168"/>
      <c r="K47" s="168"/>
      <c r="M47" s="359">
        <f t="shared" si="7"/>
        <v>2.487144790257104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490">
        <f>'[85]Sch C'!D33</f>
        <v>0</v>
      </c>
      <c r="D48" s="490">
        <f>'[85]Sch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490">
        <f>'[85]Sch C'!D34</f>
        <v>121</v>
      </c>
      <c r="D49" s="490">
        <f>'[85]Sch C'!F34</f>
        <v>0</v>
      </c>
      <c r="E49" s="171">
        <f t="shared" si="4"/>
        <v>121</v>
      </c>
      <c r="F49" s="171"/>
      <c r="G49" s="171">
        <f t="shared" si="5"/>
        <v>121</v>
      </c>
      <c r="H49" s="172">
        <f t="shared" si="6"/>
        <v>2.638399882427668E-5</v>
      </c>
      <c r="I49" s="337"/>
      <c r="J49" s="168"/>
      <c r="K49" s="168"/>
      <c r="M49" s="359">
        <f t="shared" si="7"/>
        <v>5.4578258908434818E-3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490">
        <f>'[85]Sch C'!D35</f>
        <v>0</v>
      </c>
      <c r="D50" s="490">
        <f>'[85]Sch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490">
        <f>'[85]Sch C'!D36</f>
        <v>0</v>
      </c>
      <c r="D51" s="490">
        <f>'[85]Sch C'!F36</f>
        <v>0</v>
      </c>
      <c r="E51" s="171">
        <f t="shared" si="4"/>
        <v>0</v>
      </c>
      <c r="F51" s="171"/>
      <c r="G51" s="171">
        <f t="shared" si="5"/>
        <v>0</v>
      </c>
      <c r="H51" s="172">
        <f t="shared" si="6"/>
        <v>0</v>
      </c>
      <c r="I51" s="337"/>
      <c r="J51" s="183">
        <v>0</v>
      </c>
      <c r="K51" s="183">
        <v>0</v>
      </c>
      <c r="M51" s="359">
        <f t="shared" si="7"/>
        <v>0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490">
        <f>'[85]Sch C'!D37</f>
        <v>0</v>
      </c>
      <c r="D52" s="490">
        <f>'[85]Sch C'!F37</f>
        <v>0</v>
      </c>
      <c r="E52" s="171">
        <f t="shared" si="4"/>
        <v>0</v>
      </c>
      <c r="F52" s="171"/>
      <c r="G52" s="171">
        <f t="shared" si="5"/>
        <v>0</v>
      </c>
      <c r="H52" s="172">
        <f t="shared" si="6"/>
        <v>0</v>
      </c>
      <c r="I52" s="337"/>
      <c r="J52" s="168"/>
      <c r="K52" s="168"/>
      <c r="M52" s="359">
        <f t="shared" si="7"/>
        <v>0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490">
        <f>'[85]Sch C'!D38</f>
        <v>23</v>
      </c>
      <c r="D53" s="490">
        <f>'[85]Sch C'!F38</f>
        <v>-23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7"/>
      <c r="J53" s="168"/>
      <c r="K53" s="168"/>
      <c r="M53" s="359">
        <f t="shared" si="7"/>
        <v>0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490">
        <f>'[85]Sch C'!D39</f>
        <v>3028</v>
      </c>
      <c r="D54" s="490">
        <f>'[85]Sch C'!F39</f>
        <v>0</v>
      </c>
      <c r="E54" s="171">
        <f t="shared" si="4"/>
        <v>3028</v>
      </c>
      <c r="F54" s="171"/>
      <c r="G54" s="171">
        <f t="shared" si="5"/>
        <v>3028</v>
      </c>
      <c r="H54" s="172">
        <f t="shared" si="6"/>
        <v>6.6025411933809744E-4</v>
      </c>
      <c r="I54" s="337"/>
      <c r="J54" s="168"/>
      <c r="K54" s="168"/>
      <c r="M54" s="359">
        <f t="shared" si="7"/>
        <v>0.13658096526838071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490">
        <f>'[85]Sch C'!D40</f>
        <v>3159</v>
      </c>
      <c r="D55" s="490">
        <f>'[85]Sch C'!F40</f>
        <v>-3159</v>
      </c>
      <c r="E55" s="171">
        <f t="shared" si="4"/>
        <v>0</v>
      </c>
      <c r="F55" s="171"/>
      <c r="G55" s="171">
        <f t="shared" si="5"/>
        <v>0</v>
      </c>
      <c r="H55" s="172">
        <f t="shared" si="6"/>
        <v>0</v>
      </c>
      <c r="I55" s="337"/>
      <c r="J55" s="168"/>
      <c r="K55" s="168"/>
      <c r="M55" s="359">
        <f t="shared" si="7"/>
        <v>0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490">
        <f>'[85]Sch C'!D41</f>
        <v>55087</v>
      </c>
      <c r="D56" s="490">
        <f>'[85]Sch C'!F41</f>
        <v>-1565</v>
      </c>
      <c r="E56" s="171">
        <f t="shared" si="4"/>
        <v>53522</v>
      </c>
      <c r="F56" s="171"/>
      <c r="G56" s="171">
        <f t="shared" si="5"/>
        <v>53522</v>
      </c>
      <c r="H56" s="172">
        <f t="shared" si="6"/>
        <v>1.1670449463412698E-2</v>
      </c>
      <c r="I56" s="337"/>
      <c r="J56" s="168"/>
      <c r="K56" s="168"/>
      <c r="M56" s="359">
        <f t="shared" si="7"/>
        <v>2.4141632837167344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490">
        <f>'[85]Sch C'!D42</f>
        <v>104</v>
      </c>
      <c r="D57" s="490">
        <f>'[85]Sch C'!F42</f>
        <v>0</v>
      </c>
      <c r="E57" s="171">
        <f t="shared" si="4"/>
        <v>104</v>
      </c>
      <c r="F57" s="171"/>
      <c r="G57" s="171">
        <f t="shared" si="5"/>
        <v>104</v>
      </c>
      <c r="H57" s="172">
        <f t="shared" si="6"/>
        <v>2.2677156014254338E-5</v>
      </c>
      <c r="I57" s="337"/>
      <c r="J57" s="168"/>
      <c r="K57" s="168"/>
      <c r="M57" s="359">
        <f t="shared" si="7"/>
        <v>4.6910239061795219E-3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490">
        <f>'[85]Sch C'!D43</f>
        <v>3358</v>
      </c>
      <c r="D58" s="490">
        <f>'[85]Sch C'!F43</f>
        <v>-3358</v>
      </c>
      <c r="E58" s="171">
        <f t="shared" si="4"/>
        <v>0</v>
      </c>
      <c r="F58" s="171"/>
      <c r="G58" s="171">
        <f t="shared" si="5"/>
        <v>0</v>
      </c>
      <c r="H58" s="172">
        <f t="shared" si="6"/>
        <v>0</v>
      </c>
      <c r="I58" s="337"/>
      <c r="J58" s="168"/>
      <c r="K58" s="168"/>
      <c r="M58" s="359">
        <f t="shared" si="7"/>
        <v>0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490">
        <f>'[85]Sch C'!D44</f>
        <v>0</v>
      </c>
      <c r="D59" s="490">
        <f>'[85]Sch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7"/>
      <c r="J59" s="168"/>
      <c r="K59" s="168"/>
      <c r="M59" s="359">
        <f t="shared" si="7"/>
        <v>0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490">
        <f>'[85]Sch C'!D45</f>
        <v>3967</v>
      </c>
      <c r="D60" s="490">
        <f>'[85]Sch C'!F45</f>
        <v>-480</v>
      </c>
      <c r="E60" s="171">
        <f t="shared" si="4"/>
        <v>3487</v>
      </c>
      <c r="F60" s="171"/>
      <c r="G60" s="171">
        <f t="shared" si="5"/>
        <v>3487</v>
      </c>
      <c r="H60" s="172">
        <f t="shared" si="6"/>
        <v>7.603388752087007E-4</v>
      </c>
      <c r="I60" s="337"/>
      <c r="J60" s="168"/>
      <c r="K60" s="168"/>
      <c r="M60" s="359">
        <f t="shared" si="7"/>
        <v>0.15728461885430761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490">
        <f>SUM(C25:C60)</f>
        <v>1180386</v>
      </c>
      <c r="D61" s="490">
        <f>SUM(D25:D60)</f>
        <v>-103649</v>
      </c>
      <c r="E61" s="171">
        <f t="shared" ref="E61:F61" si="8">SUM(E25:E60)</f>
        <v>1076737</v>
      </c>
      <c r="F61" s="171">
        <f t="shared" si="8"/>
        <v>0</v>
      </c>
      <c r="G61" s="171">
        <f>SUM(G25:G60)</f>
        <v>1076737</v>
      </c>
      <c r="H61" s="186">
        <f t="shared" si="6"/>
        <v>0.23478204745500164</v>
      </c>
      <c r="I61" s="339"/>
      <c r="J61" s="168"/>
      <c r="K61" s="168"/>
      <c r="M61" s="364">
        <f>G61/G$228</f>
        <v>48.56729815065404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I62" s="340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490">
        <f>'[85]Sch C'!D57</f>
        <v>0</v>
      </c>
      <c r="D64" s="490">
        <f>'[85]Sch C'!F57</f>
        <v>0</v>
      </c>
      <c r="E64" s="171">
        <f t="shared" ref="E64:E78" si="9">C64+D64</f>
        <v>0</v>
      </c>
      <c r="F64" s="171"/>
      <c r="G64" s="171">
        <f t="shared" ref="G64:G78" si="10">E64+F64</f>
        <v>0</v>
      </c>
      <c r="H64" s="172">
        <f t="shared" ref="H64:H79" si="11">IF($G$208=0,0,G64/$G$208)</f>
        <v>0</v>
      </c>
      <c r="I64" s="337"/>
      <c r="J64" s="190"/>
      <c r="K64" s="168"/>
      <c r="M64" s="359">
        <f t="shared" ref="M64:M79" si="12">G64/G$228</f>
        <v>0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490">
        <f>'[85]Sch C'!D58</f>
        <v>89654</v>
      </c>
      <c r="D65" s="490">
        <f>'[85]Sch C'!F58</f>
        <v>0</v>
      </c>
      <c r="E65" s="171">
        <f t="shared" si="9"/>
        <v>89654</v>
      </c>
      <c r="F65" s="171"/>
      <c r="G65" s="171">
        <f t="shared" si="10"/>
        <v>89654</v>
      </c>
      <c r="H65" s="172">
        <f t="shared" si="11"/>
        <v>1.9549016781749598E-2</v>
      </c>
      <c r="I65" s="337"/>
      <c r="J65" s="190"/>
      <c r="K65" s="168"/>
      <c r="M65" s="359">
        <f t="shared" si="12"/>
        <v>4.0439332431213355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490">
        <f>'[85]Sch C'!D59</f>
        <v>66763</v>
      </c>
      <c r="D66" s="490">
        <f>'[85]Sch C'!F59</f>
        <v>0</v>
      </c>
      <c r="E66" s="171">
        <f t="shared" si="9"/>
        <v>66763</v>
      </c>
      <c r="F66" s="171"/>
      <c r="G66" s="171">
        <f t="shared" si="10"/>
        <v>66763</v>
      </c>
      <c r="H66" s="172">
        <f t="shared" si="11"/>
        <v>1.4557643913265984E-2</v>
      </c>
      <c r="I66" s="337"/>
      <c r="J66" s="190"/>
      <c r="K66" s="168"/>
      <c r="M66" s="359">
        <f t="shared" si="12"/>
        <v>3.0114118177717635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490">
        <f>'[85]Sch C'!D60</f>
        <v>28945</v>
      </c>
      <c r="D67" s="490">
        <f>'[85]Sch C'!F60</f>
        <v>0</v>
      </c>
      <c r="E67" s="171">
        <f t="shared" si="9"/>
        <v>28945</v>
      </c>
      <c r="F67" s="171"/>
      <c r="G67" s="171">
        <f t="shared" si="10"/>
        <v>28945</v>
      </c>
      <c r="H67" s="172">
        <f t="shared" si="11"/>
        <v>6.3114450080056905E-3</v>
      </c>
      <c r="I67" s="337"/>
      <c r="J67" s="193"/>
      <c r="K67" s="168"/>
      <c r="M67" s="359">
        <f t="shared" si="12"/>
        <v>1.3055931438881372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490">
        <f>'[85]Sch C'!D61</f>
        <v>20138</v>
      </c>
      <c r="D68" s="490">
        <f>'[85]Sch C'!F61</f>
        <v>0</v>
      </c>
      <c r="E68" s="171">
        <f t="shared" si="9"/>
        <v>20138</v>
      </c>
      <c r="F68" s="171"/>
      <c r="G68" s="171">
        <f t="shared" si="10"/>
        <v>20138</v>
      </c>
      <c r="H68" s="172">
        <f t="shared" si="11"/>
        <v>4.3910823828370565E-3</v>
      </c>
      <c r="I68" s="337"/>
      <c r="J68" s="193"/>
      <c r="K68" s="168"/>
      <c r="M68" s="359">
        <f t="shared" si="12"/>
        <v>0.90834460983310783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490">
        <f>'[85]Sch C'!D62</f>
        <v>7642</v>
      </c>
      <c r="D69" s="490">
        <f>'[85]Sch C'!F62</f>
        <v>0</v>
      </c>
      <c r="E69" s="171">
        <f t="shared" si="9"/>
        <v>7642</v>
      </c>
      <c r="F69" s="171"/>
      <c r="G69" s="171">
        <f t="shared" si="10"/>
        <v>7642</v>
      </c>
      <c r="H69" s="172">
        <f t="shared" si="11"/>
        <v>1.6663348678935734E-3</v>
      </c>
      <c r="I69" s="337"/>
      <c r="J69" s="195"/>
      <c r="K69" s="168"/>
      <c r="M69" s="359">
        <f t="shared" si="12"/>
        <v>0.34470004510599911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490">
        <f>'[85]Sch C'!D63</f>
        <v>0</v>
      </c>
      <c r="D70" s="490">
        <f>'[85]Sch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7"/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490">
        <f>'[85]Sch C'!D64</f>
        <v>0</v>
      </c>
      <c r="D71" s="490">
        <f>'[85]Sch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490">
        <f>'[85]Sch C'!D65</f>
        <v>0</v>
      </c>
      <c r="D72" s="490">
        <f>'[85]Sch C'!F65</f>
        <v>0</v>
      </c>
      <c r="E72" s="171">
        <f t="shared" si="9"/>
        <v>0</v>
      </c>
      <c r="F72" s="171"/>
      <c r="G72" s="171">
        <f t="shared" si="10"/>
        <v>0</v>
      </c>
      <c r="H72" s="172">
        <f t="shared" si="11"/>
        <v>0</v>
      </c>
      <c r="I72" s="337"/>
      <c r="J72" s="195"/>
      <c r="K72" s="168"/>
      <c r="M72" s="359">
        <f t="shared" si="12"/>
        <v>0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490">
        <f>'[85]Sch C'!D66</f>
        <v>35836</v>
      </c>
      <c r="D73" s="490">
        <f>'[85]Sch C'!F66</f>
        <v>-848</v>
      </c>
      <c r="E73" s="171">
        <f t="shared" si="9"/>
        <v>34988</v>
      </c>
      <c r="F73" s="171"/>
      <c r="G73" s="171">
        <f t="shared" si="10"/>
        <v>34988</v>
      </c>
      <c r="H73" s="172">
        <f t="shared" si="11"/>
        <v>7.6291186021801034E-3</v>
      </c>
      <c r="I73" s="337"/>
      <c r="J73" s="195"/>
      <c r="K73" s="168"/>
      <c r="M73" s="359">
        <f t="shared" si="12"/>
        <v>1.5781686964366262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490">
        <f>'[85]Sch C'!D67</f>
        <v>42173</v>
      </c>
      <c r="D74" s="490">
        <f>'[85]Sch C'!F67</f>
        <v>0</v>
      </c>
      <c r="E74" s="171">
        <f t="shared" si="9"/>
        <v>42173</v>
      </c>
      <c r="F74" s="171"/>
      <c r="G74" s="171">
        <f t="shared" si="10"/>
        <v>42173</v>
      </c>
      <c r="H74" s="172">
        <f t="shared" si="11"/>
        <v>9.1958048133571942E-3</v>
      </c>
      <c r="I74" s="337"/>
      <c r="J74" s="195"/>
      <c r="K74" s="168"/>
      <c r="M74" s="359">
        <f t="shared" si="12"/>
        <v>1.9022552999548941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490">
        <f>'[85]Sch C'!D68</f>
        <v>0</v>
      </c>
      <c r="D75" s="490">
        <f>'[85]Sch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490">
        <f>'[85]Sch C'!D69</f>
        <v>5008</v>
      </c>
      <c r="D76" s="490">
        <f>'[85]Sch C'!F69</f>
        <v>0</v>
      </c>
      <c r="E76" s="171">
        <f t="shared" si="9"/>
        <v>5008</v>
      </c>
      <c r="F76" s="171"/>
      <c r="G76" s="171">
        <f t="shared" si="10"/>
        <v>5008</v>
      </c>
      <c r="H76" s="172">
        <f t="shared" si="11"/>
        <v>1.0919922819171703E-3</v>
      </c>
      <c r="I76" s="337"/>
      <c r="J76" s="195"/>
      <c r="K76" s="168"/>
      <c r="M76" s="359">
        <f t="shared" si="12"/>
        <v>0.22589084348218313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490">
        <f>'[85]Sch C'!D70</f>
        <v>0</v>
      </c>
      <c r="D77" s="490">
        <f>'[85]Sch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7"/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490">
        <f>'[85]Sch C'!D71</f>
        <v>0</v>
      </c>
      <c r="D78" s="490">
        <f>'[85]Sch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7"/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490">
        <f>SUM(C64:C78)</f>
        <v>296159</v>
      </c>
      <c r="D79" s="490">
        <f>SUM(D64:D78)</f>
        <v>-848</v>
      </c>
      <c r="E79" s="171">
        <f t="shared" ref="E79:F79" si="13">SUM(E64:E78)</f>
        <v>295311</v>
      </c>
      <c r="F79" s="171">
        <f t="shared" si="13"/>
        <v>0</v>
      </c>
      <c r="G79" s="171">
        <f>SUM(G64:G78)</f>
        <v>295311</v>
      </c>
      <c r="H79" s="172">
        <f t="shared" si="11"/>
        <v>6.4392438651206377E-2</v>
      </c>
      <c r="I79" s="337"/>
      <c r="J79" s="195"/>
      <c r="K79" s="168"/>
      <c r="M79" s="359">
        <f t="shared" si="12"/>
        <v>13.320297699594047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490">
        <f>'[85]Sch C'!D75</f>
        <v>41502</v>
      </c>
      <c r="D82" s="490">
        <f>'[85]Sch C'!F75</f>
        <v>0</v>
      </c>
      <c r="E82" s="171">
        <f t="shared" ref="E82:E92" si="14">C82+D82</f>
        <v>41502</v>
      </c>
      <c r="F82" s="171"/>
      <c r="G82" s="171">
        <f t="shared" ref="G82:G92" si="15">E82+F82</f>
        <v>41502</v>
      </c>
      <c r="H82" s="172">
        <f t="shared" ref="H82:H93" si="16">IF($G$208=0,0,G82/$G$208)</f>
        <v>9.0494935471498415E-3</v>
      </c>
      <c r="I82" s="337"/>
      <c r="J82" s="183">
        <v>1919</v>
      </c>
      <c r="K82" s="183">
        <v>2237</v>
      </c>
      <c r="M82" s="359">
        <f t="shared" ref="M82:M92" si="17">G82/G$228</f>
        <v>1.8719891745602164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490">
        <f>'[85]Sch C'!D76</f>
        <v>4752</v>
      </c>
      <c r="D83" s="490">
        <f>'[85]Sch C'!F76</f>
        <v>0</v>
      </c>
      <c r="E83" s="171">
        <f t="shared" si="14"/>
        <v>4752</v>
      </c>
      <c r="F83" s="171"/>
      <c r="G83" s="171">
        <f t="shared" si="15"/>
        <v>4752</v>
      </c>
      <c r="H83" s="172">
        <f t="shared" si="16"/>
        <v>1.0361715901897751E-3</v>
      </c>
      <c r="I83" s="337"/>
      <c r="J83" s="168"/>
      <c r="K83" s="168"/>
      <c r="M83" s="359">
        <f t="shared" si="17"/>
        <v>0.21434370771312586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490">
        <f>'[85]Sch C'!D77</f>
        <v>5918</v>
      </c>
      <c r="D84" s="490">
        <f>'[85]Sch C'!F77</f>
        <v>0</v>
      </c>
      <c r="E84" s="171">
        <f t="shared" si="14"/>
        <v>5918</v>
      </c>
      <c r="F84" s="171"/>
      <c r="G84" s="171">
        <f t="shared" si="15"/>
        <v>5918</v>
      </c>
      <c r="H84" s="172">
        <f t="shared" si="16"/>
        <v>1.2904173970418958E-3</v>
      </c>
      <c r="I84" s="337"/>
      <c r="J84" s="168"/>
      <c r="K84" s="168"/>
      <c r="M84" s="359">
        <f t="shared" si="17"/>
        <v>0.26693730266125393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490">
        <f>'[85]Sch C'!D78</f>
        <v>0</v>
      </c>
      <c r="D85" s="490">
        <f>'[85]Sch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I85" s="337"/>
      <c r="J85" s="168"/>
      <c r="K85" s="168"/>
      <c r="M85" s="359">
        <f t="shared" si="17"/>
        <v>0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490">
        <f>'[85]Sch C'!D79</f>
        <v>440</v>
      </c>
      <c r="D86" s="490">
        <f>'[85]Sch C'!F79</f>
        <v>0</v>
      </c>
      <c r="E86" s="171">
        <f t="shared" si="14"/>
        <v>440</v>
      </c>
      <c r="F86" s="171"/>
      <c r="G86" s="171">
        <f>E86+F86</f>
        <v>440</v>
      </c>
      <c r="H86" s="172">
        <f t="shared" si="16"/>
        <v>9.5941813906460656E-5</v>
      </c>
      <c r="I86" s="337"/>
      <c r="J86" s="168"/>
      <c r="K86" s="168"/>
      <c r="M86" s="359">
        <f t="shared" si="17"/>
        <v>1.9846639603067207E-2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490">
        <f>'[85]Sch C'!D80</f>
        <v>18116</v>
      </c>
      <c r="D87" s="490">
        <f>'[85]Sch C'!F80</f>
        <v>0</v>
      </c>
      <c r="E87" s="171">
        <f t="shared" si="14"/>
        <v>18116</v>
      </c>
      <c r="F87" s="171"/>
      <c r="G87" s="171">
        <f t="shared" si="15"/>
        <v>18116</v>
      </c>
      <c r="H87" s="172">
        <f t="shared" si="16"/>
        <v>3.9501861380214576E-3</v>
      </c>
      <c r="I87" s="337"/>
      <c r="J87" s="168"/>
      <c r="K87" s="168"/>
      <c r="M87" s="359">
        <f t="shared" si="17"/>
        <v>0.81714027965719438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490">
        <f>'[85]Sch C'!D81</f>
        <v>12648</v>
      </c>
      <c r="D88" s="490">
        <f>'[85]Sch C'!F81</f>
        <v>0</v>
      </c>
      <c r="E88" s="171">
        <f t="shared" si="14"/>
        <v>12648</v>
      </c>
      <c r="F88" s="171"/>
      <c r="G88" s="171">
        <f t="shared" si="15"/>
        <v>12648</v>
      </c>
      <c r="H88" s="172">
        <f t="shared" si="16"/>
        <v>2.7578910506566236E-3</v>
      </c>
      <c r="I88" s="337"/>
      <c r="J88" s="168"/>
      <c r="K88" s="168"/>
      <c r="M88" s="359">
        <f t="shared" si="17"/>
        <v>0.57050067658998649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490">
        <f>'[85]Sch C'!D82</f>
        <v>6955</v>
      </c>
      <c r="D89" s="490">
        <f>'[85]Sch C'!F82</f>
        <v>0</v>
      </c>
      <c r="E89" s="171">
        <f t="shared" si="14"/>
        <v>6955</v>
      </c>
      <c r="F89" s="171"/>
      <c r="G89" s="171">
        <f t="shared" si="15"/>
        <v>6955</v>
      </c>
      <c r="H89" s="172">
        <f t="shared" si="16"/>
        <v>1.5165348084532587E-3</v>
      </c>
      <c r="I89" s="337"/>
      <c r="J89" s="168"/>
      <c r="K89" s="168"/>
      <c r="M89" s="359">
        <f t="shared" si="17"/>
        <v>0.31371222372575552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490">
        <f>'[85]Sch C'!D83</f>
        <v>0</v>
      </c>
      <c r="D90" s="490">
        <f>'[85]Sch C'!F83</f>
        <v>0</v>
      </c>
      <c r="E90" s="171">
        <f t="shared" si="14"/>
        <v>0</v>
      </c>
      <c r="F90" s="171"/>
      <c r="G90" s="171">
        <f t="shared" si="15"/>
        <v>0</v>
      </c>
      <c r="H90" s="172">
        <f t="shared" si="16"/>
        <v>0</v>
      </c>
      <c r="I90" s="337"/>
      <c r="J90" s="168"/>
      <c r="K90" s="168"/>
      <c r="M90" s="359">
        <f t="shared" si="17"/>
        <v>0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490">
        <f>'[85]Sch C'!D84</f>
        <v>61290</v>
      </c>
      <c r="D91" s="490">
        <f>'[85]Sch C'!F84</f>
        <v>0</v>
      </c>
      <c r="E91" s="171">
        <f t="shared" si="14"/>
        <v>61290</v>
      </c>
      <c r="F91" s="171"/>
      <c r="G91" s="171">
        <f t="shared" si="15"/>
        <v>61290</v>
      </c>
      <c r="H91" s="172">
        <f t="shared" si="16"/>
        <v>1.3364258578015849E-2</v>
      </c>
      <c r="I91" s="337"/>
      <c r="J91" s="168"/>
      <c r="K91" s="168"/>
      <c r="M91" s="359">
        <f t="shared" si="17"/>
        <v>2.7645466847090665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490">
        <f>'[85]Sch C'!D85</f>
        <v>0</v>
      </c>
      <c r="D92" s="490">
        <f>'[85]Sch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7"/>
      <c r="J92" s="168"/>
      <c r="K92" s="168"/>
      <c r="M92" s="359">
        <f t="shared" si="17"/>
        <v>0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490">
        <f>SUM(C82:C92)</f>
        <v>151621</v>
      </c>
      <c r="D93" s="490">
        <f>SUM(D82:D92)</f>
        <v>0</v>
      </c>
      <c r="E93" s="171">
        <f t="shared" ref="E93:F93" si="18">SUM(E82:E92)</f>
        <v>151621</v>
      </c>
      <c r="F93" s="171">
        <f t="shared" si="18"/>
        <v>0</v>
      </c>
      <c r="G93" s="171">
        <f>SUM(G82:G92)</f>
        <v>151621</v>
      </c>
      <c r="H93" s="172">
        <f t="shared" si="16"/>
        <v>3.3060894923435162E-2</v>
      </c>
      <c r="I93" s="337"/>
      <c r="J93" s="168"/>
      <c r="K93" s="168"/>
      <c r="M93" s="364">
        <f>G93/G$228</f>
        <v>6.8390166892196662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490">
        <f>'[85]Sch C'!D89</f>
        <v>176007</v>
      </c>
      <c r="D96" s="490">
        <f>'[85]Sch C'!F89</f>
        <v>0</v>
      </c>
      <c r="E96" s="171">
        <f t="shared" ref="E96:E101" si="19">C96+D96</f>
        <v>176007</v>
      </c>
      <c r="F96" s="171"/>
      <c r="G96" s="171">
        <f t="shared" ref="G96:G101" si="20">E96+F96</f>
        <v>176007</v>
      </c>
      <c r="H96" s="172">
        <f t="shared" ref="H96:H102" si="21">IF($G$208=0,0,G96/$G$208)</f>
        <v>3.8378251909623684E-2</v>
      </c>
      <c r="I96" s="337"/>
      <c r="J96" s="183">
        <v>13542</v>
      </c>
      <c r="K96" s="183">
        <v>14835</v>
      </c>
      <c r="M96" s="364">
        <f t="shared" ref="M96:M101" si="22">G96/G$228</f>
        <v>7.9389715832205683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490">
        <f>'[85]Sch C'!D90</f>
        <v>35052</v>
      </c>
      <c r="D97" s="490">
        <f>'[85]Sch C'!F90</f>
        <v>0</v>
      </c>
      <c r="E97" s="171">
        <f t="shared" si="19"/>
        <v>35052</v>
      </c>
      <c r="F97" s="171"/>
      <c r="G97" s="171">
        <f t="shared" si="20"/>
        <v>35052</v>
      </c>
      <c r="H97" s="172">
        <f t="shared" si="21"/>
        <v>7.6430737751119523E-3</v>
      </c>
      <c r="I97" s="337"/>
      <c r="J97" s="168"/>
      <c r="K97" s="168"/>
      <c r="M97" s="364">
        <f t="shared" si="22"/>
        <v>1.5810554803788903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490">
        <f>'[85]Sch C'!D91</f>
        <v>2618</v>
      </c>
      <c r="D98" s="490">
        <f>'[85]Sch C'!F91</f>
        <v>0</v>
      </c>
      <c r="E98" s="171">
        <f t="shared" si="19"/>
        <v>2618</v>
      </c>
      <c r="F98" s="171"/>
      <c r="G98" s="171">
        <f t="shared" si="20"/>
        <v>2618</v>
      </c>
      <c r="H98" s="172">
        <f t="shared" si="21"/>
        <v>5.7085379274344095E-4</v>
      </c>
      <c r="I98" s="337"/>
      <c r="J98" s="168"/>
      <c r="K98" s="168"/>
      <c r="M98" s="364">
        <f t="shared" si="22"/>
        <v>0.11808750563824989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490">
        <f>'[85]Sch C'!D92</f>
        <v>124640</v>
      </c>
      <c r="D99" s="490">
        <f>'[85]Sch C'!F92</f>
        <v>-446</v>
      </c>
      <c r="E99" s="171">
        <f t="shared" si="19"/>
        <v>124194</v>
      </c>
      <c r="F99" s="171"/>
      <c r="G99" s="171">
        <f t="shared" si="20"/>
        <v>124194</v>
      </c>
      <c r="H99" s="172">
        <f t="shared" si="21"/>
        <v>2.7080449173406761E-2</v>
      </c>
      <c r="I99" s="337"/>
      <c r="J99" s="168"/>
      <c r="K99" s="168"/>
      <c r="M99" s="364">
        <f t="shared" si="22"/>
        <v>5.601894451962111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490">
        <f>'[85]Sch C'!D93</f>
        <v>11159</v>
      </c>
      <c r="D100" s="490">
        <f>'[85]Sch C'!F93</f>
        <v>0</v>
      </c>
      <c r="E100" s="171">
        <f t="shared" si="19"/>
        <v>11159</v>
      </c>
      <c r="F100" s="171"/>
      <c r="G100" s="171">
        <f t="shared" si="20"/>
        <v>11159</v>
      </c>
      <c r="H100" s="172">
        <f t="shared" si="21"/>
        <v>2.4332152304140783E-3</v>
      </c>
      <c r="I100" s="337"/>
      <c r="J100" s="168"/>
      <c r="K100" s="168"/>
      <c r="M100" s="364">
        <f t="shared" si="22"/>
        <v>0.5033378439332431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490">
        <f>'[85]Sch C'!D94</f>
        <v>0</v>
      </c>
      <c r="D101" s="490">
        <f>'[85]Sch C'!F94</f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I101" s="337"/>
      <c r="J101" s="168"/>
      <c r="K101" s="168"/>
      <c r="M101" s="364">
        <f t="shared" si="22"/>
        <v>0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490">
        <f>SUM(C96:C101)</f>
        <v>349476</v>
      </c>
      <c r="D102" s="490">
        <f>SUM(D96:D101)</f>
        <v>-446</v>
      </c>
      <c r="E102" s="171">
        <f t="shared" ref="E102:F102" si="23">SUM(E96:E101)</f>
        <v>349030</v>
      </c>
      <c r="F102" s="171">
        <f t="shared" si="23"/>
        <v>0</v>
      </c>
      <c r="G102" s="171">
        <f>SUM(G96:G101)</f>
        <v>349030</v>
      </c>
      <c r="H102" s="172">
        <f t="shared" si="21"/>
        <v>7.6105843881299914E-2</v>
      </c>
      <c r="I102" s="337"/>
      <c r="J102" s="168"/>
      <c r="K102" s="168"/>
      <c r="M102" s="364">
        <f>G102/G$228</f>
        <v>15.743346865133063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490">
        <f>'[85]Sch C'!D98</f>
        <v>0</v>
      </c>
      <c r="D105" s="490">
        <f>'[85]Sch C'!F98</f>
        <v>0</v>
      </c>
      <c r="E105" s="171">
        <f t="shared" ref="E105:E110" si="24">C105+D105</f>
        <v>0</v>
      </c>
      <c r="F105" s="171"/>
      <c r="G105" s="171">
        <f t="shared" ref="G105:G110" si="25">E105+F105</f>
        <v>0</v>
      </c>
      <c r="H105" s="172">
        <f t="shared" ref="H105:H111" si="26">IF($G$208=0,0,G105/$G$208)</f>
        <v>0</v>
      </c>
      <c r="I105" s="337"/>
      <c r="J105" s="183">
        <v>0</v>
      </c>
      <c r="K105" s="183">
        <v>0</v>
      </c>
      <c r="M105" s="364">
        <f t="shared" ref="M105:M110" si="27">G105/G$228</f>
        <v>0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490">
        <f>'[85]Sch C'!D99</f>
        <v>0</v>
      </c>
      <c r="D106" s="490">
        <f>'[85]Sch C'!F99</f>
        <v>0</v>
      </c>
      <c r="E106" s="171">
        <f t="shared" si="24"/>
        <v>0</v>
      </c>
      <c r="F106" s="171"/>
      <c r="G106" s="171">
        <f t="shared" si="25"/>
        <v>0</v>
      </c>
      <c r="H106" s="172">
        <f t="shared" si="26"/>
        <v>0</v>
      </c>
      <c r="I106" s="337"/>
      <c r="J106" s="168"/>
      <c r="K106" s="168"/>
      <c r="M106" s="364">
        <f t="shared" si="27"/>
        <v>0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490">
        <f>'[85]Sch C'!D100</f>
        <v>0</v>
      </c>
      <c r="D107" s="490">
        <f>'[85]Sch C'!F100</f>
        <v>0</v>
      </c>
      <c r="E107" s="171">
        <f t="shared" si="24"/>
        <v>0</v>
      </c>
      <c r="F107" s="171"/>
      <c r="G107" s="171">
        <f t="shared" si="25"/>
        <v>0</v>
      </c>
      <c r="H107" s="172">
        <f t="shared" si="26"/>
        <v>0</v>
      </c>
      <c r="I107" s="337"/>
      <c r="J107" s="168"/>
      <c r="K107" s="168"/>
      <c r="M107" s="364">
        <f t="shared" si="27"/>
        <v>0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490">
        <f>'[85]Sch C'!D101</f>
        <v>55011</v>
      </c>
      <c r="D108" s="490">
        <f>'[85]Sch C'!F101</f>
        <v>0</v>
      </c>
      <c r="E108" s="171">
        <f t="shared" si="24"/>
        <v>55011</v>
      </c>
      <c r="F108" s="171"/>
      <c r="G108" s="171">
        <f t="shared" si="25"/>
        <v>55011</v>
      </c>
      <c r="H108" s="172">
        <f t="shared" si="26"/>
        <v>1.1995125283655244E-2</v>
      </c>
      <c r="I108" s="337"/>
      <c r="J108" s="168"/>
      <c r="K108" s="168"/>
      <c r="M108" s="364">
        <f t="shared" si="27"/>
        <v>2.4813261163734777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490">
        <f>'[85]Sch C'!D102</f>
        <v>9150</v>
      </c>
      <c r="D109" s="490">
        <f>'[85]Sch C'!F102</f>
        <v>0</v>
      </c>
      <c r="E109" s="171">
        <f t="shared" si="24"/>
        <v>9150</v>
      </c>
      <c r="F109" s="171"/>
      <c r="G109" s="171">
        <f t="shared" si="25"/>
        <v>9150</v>
      </c>
      <c r="H109" s="172">
        <f t="shared" si="26"/>
        <v>1.9951536301002614E-3</v>
      </c>
      <c r="I109" s="337"/>
      <c r="J109" s="168"/>
      <c r="K109" s="168"/>
      <c r="M109" s="364">
        <f t="shared" si="27"/>
        <v>0.41271989174560214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490">
        <f>'[85]Sch C'!D103</f>
        <v>0</v>
      </c>
      <c r="D110" s="490">
        <f>'[85]Sch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7"/>
      <c r="J110" s="168"/>
      <c r="K110" s="168"/>
      <c r="M110" s="364">
        <f t="shared" si="27"/>
        <v>0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490">
        <f>SUM(C105:C110)</f>
        <v>64161</v>
      </c>
      <c r="D111" s="490">
        <f>SUM(D105:D110)</f>
        <v>0</v>
      </c>
      <c r="E111" s="171">
        <f t="shared" ref="E111:F111" si="28">SUM(E105:E110)</f>
        <v>64161</v>
      </c>
      <c r="F111" s="171">
        <f t="shared" si="28"/>
        <v>0</v>
      </c>
      <c r="G111" s="171">
        <f>SUM(G105:G110)</f>
        <v>64161</v>
      </c>
      <c r="H111" s="172">
        <f t="shared" si="26"/>
        <v>1.3990278913755505E-2</v>
      </c>
      <c r="I111" s="337"/>
      <c r="J111" s="168"/>
      <c r="K111" s="168"/>
      <c r="M111" s="364">
        <f>G111/G$228</f>
        <v>2.89404600811908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490">
        <f>'[85]Sch C'!D115</f>
        <v>0</v>
      </c>
      <c r="D114" s="490">
        <f>'[85]Sch C'!F115</f>
        <v>0</v>
      </c>
      <c r="E114" s="171">
        <f t="shared" ref="E114:E118" si="29">C114+D114</f>
        <v>0</v>
      </c>
      <c r="F114" s="171"/>
      <c r="G114" s="171">
        <f>E114+F114</f>
        <v>0</v>
      </c>
      <c r="H114" s="172">
        <f t="shared" ref="H114:H119" si="30">IF($G$208=0,0,G114/$G$208)</f>
        <v>0</v>
      </c>
      <c r="I114" s="337"/>
      <c r="J114" s="183">
        <v>0</v>
      </c>
      <c r="K114" s="183">
        <v>0</v>
      </c>
      <c r="M114" s="364">
        <f t="shared" ref="M114:M119" si="31">G114/G$228</f>
        <v>0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490">
        <f>'[85]Sch C'!D116</f>
        <v>0</v>
      </c>
      <c r="D115" s="490">
        <f>'[85]Sch C'!F116</f>
        <v>0</v>
      </c>
      <c r="E115" s="171">
        <f t="shared" si="29"/>
        <v>0</v>
      </c>
      <c r="F115" s="171"/>
      <c r="G115" s="171">
        <f>E115+F115</f>
        <v>0</v>
      </c>
      <c r="H115" s="172">
        <f t="shared" si="30"/>
        <v>0</v>
      </c>
      <c r="I115" s="337"/>
      <c r="J115" s="168"/>
      <c r="K115" s="168"/>
      <c r="M115" s="364">
        <f t="shared" si="31"/>
        <v>0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490">
        <f>'[85]Sch C'!D117</f>
        <v>11535</v>
      </c>
      <c r="D116" s="490">
        <f>'[85]Sch C'!F117</f>
        <v>0</v>
      </c>
      <c r="E116" s="171">
        <f t="shared" si="29"/>
        <v>11535</v>
      </c>
      <c r="F116" s="171"/>
      <c r="G116" s="171">
        <f>E116+F116</f>
        <v>11535</v>
      </c>
      <c r="H116" s="172">
        <f t="shared" si="30"/>
        <v>2.5152018713886903E-3</v>
      </c>
      <c r="I116" s="337"/>
      <c r="J116" s="168"/>
      <c r="K116" s="168"/>
      <c r="M116" s="364">
        <f t="shared" si="31"/>
        <v>0.52029769959404604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490">
        <f>'[85]Sch C'!D118</f>
        <v>103100</v>
      </c>
      <c r="D117" s="490">
        <f>'[85]Sch C'!F118</f>
        <v>0</v>
      </c>
      <c r="E117" s="171">
        <f t="shared" si="29"/>
        <v>103100</v>
      </c>
      <c r="F117" s="171"/>
      <c r="G117" s="171">
        <f>E117+F117</f>
        <v>103100</v>
      </c>
      <c r="H117" s="172">
        <f t="shared" si="30"/>
        <v>2.2480911394900212E-2</v>
      </c>
      <c r="I117" s="337"/>
      <c r="J117" s="168"/>
      <c r="K117" s="168"/>
      <c r="M117" s="364">
        <f t="shared" si="31"/>
        <v>4.65042850699143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490">
        <f>'[85]Sch C'!D119</f>
        <v>0</v>
      </c>
      <c r="D118" s="490">
        <f>'[85]Sch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337"/>
      <c r="J118" s="168"/>
      <c r="K118" s="168"/>
      <c r="M118" s="364">
        <f t="shared" si="31"/>
        <v>0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490">
        <f>SUM(C114:C118)</f>
        <v>114635</v>
      </c>
      <c r="D119" s="490">
        <f>SUM(D114:D118)</f>
        <v>0</v>
      </c>
      <c r="E119" s="171">
        <f t="shared" ref="E119:F119" si="32">SUM(E114:E118)</f>
        <v>114635</v>
      </c>
      <c r="F119" s="171">
        <f t="shared" si="32"/>
        <v>0</v>
      </c>
      <c r="G119" s="171">
        <f>SUM(G114:G118)</f>
        <v>114635</v>
      </c>
      <c r="H119" s="172">
        <f t="shared" si="30"/>
        <v>2.4996113266288904E-2</v>
      </c>
      <c r="I119" s="337"/>
      <c r="J119" s="168"/>
      <c r="K119" s="168"/>
      <c r="M119" s="364">
        <f t="shared" si="31"/>
        <v>5.170726206585476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1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490">
        <f>'[85]Sch C'!D124</f>
        <v>0</v>
      </c>
      <c r="D123" s="490">
        <f>'[85]Sch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7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0.77002560279620991</v>
      </c>
    </row>
    <row r="124" spans="1:14" s="167" customFormat="1">
      <c r="B124" s="163" t="s">
        <v>194</v>
      </c>
      <c r="C124" s="490">
        <f>'[85]Sch C'!D125</f>
        <v>172359</v>
      </c>
      <c r="D124" s="490">
        <f>'[85]Sch C'!F125</f>
        <v>0</v>
      </c>
      <c r="E124" s="171">
        <f t="shared" si="33"/>
        <v>172359</v>
      </c>
      <c r="F124" s="171"/>
      <c r="G124" s="171">
        <f>E124+F124</f>
        <v>172359</v>
      </c>
      <c r="H124" s="172">
        <f>IF($G$208=0,0,G124/$G$208)</f>
        <v>3.7582807052508299E-2</v>
      </c>
      <c r="I124" s="337"/>
      <c r="J124" s="183">
        <v>3980</v>
      </c>
      <c r="K124" s="183">
        <v>4314</v>
      </c>
      <c r="M124" s="364">
        <f t="shared" si="34"/>
        <v>7.7744248985115023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490">
        <f>'[85]Sch C'!D126</f>
        <v>0</v>
      </c>
      <c r="D125" s="490">
        <f>'[85]Sch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7"/>
      <c r="J125" s="183">
        <v>0</v>
      </c>
      <c r="K125" s="183">
        <v>0</v>
      </c>
      <c r="M125" s="364">
        <f t="shared" si="34"/>
        <v>0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490">
        <f>'[85]Sch C'!D127</f>
        <v>0</v>
      </c>
      <c r="D126" s="490">
        <f>'[85]Sch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7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490">
        <f>'[85]Sch C'!D128</f>
        <v>44497</v>
      </c>
      <c r="D127" s="490">
        <f>'[85]Sch C'!F128</f>
        <v>0</v>
      </c>
      <c r="E127" s="171">
        <f t="shared" si="33"/>
        <v>44497</v>
      </c>
      <c r="F127" s="171"/>
      <c r="G127" s="171">
        <f>E127+F127</f>
        <v>44497</v>
      </c>
      <c r="H127" s="172">
        <f>IF($G$208=0,0,G127/$G$208)</f>
        <v>9.7025520304449536E-3</v>
      </c>
      <c r="I127" s="337"/>
      <c r="J127" s="183">
        <v>2909</v>
      </c>
      <c r="K127" s="183">
        <v>3150</v>
      </c>
      <c r="M127" s="364">
        <f t="shared" si="34"/>
        <v>2.0070816418583672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205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490">
        <f>'[85]Sch C'!D130</f>
        <v>0</v>
      </c>
      <c r="D129" s="490">
        <f>'[85]Sch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7"/>
      <c r="J129" s="204"/>
      <c r="K129" s="204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490">
        <f>'[85]Sch C'!D131</f>
        <v>25350</v>
      </c>
      <c r="D130" s="490">
        <f>'[85]Sch C'!F131</f>
        <v>0</v>
      </c>
      <c r="E130" s="171">
        <f t="shared" si="35"/>
        <v>25350</v>
      </c>
      <c r="F130" s="171"/>
      <c r="G130" s="171">
        <f>E130+F130</f>
        <v>25350</v>
      </c>
      <c r="H130" s="172">
        <f>IF($G$208=0,0,G130/$G$208)</f>
        <v>5.5275567784744944E-3</v>
      </c>
      <c r="I130" s="337"/>
      <c r="J130" s="204"/>
      <c r="K130" s="204"/>
      <c r="M130" s="364">
        <f t="shared" si="34"/>
        <v>1.1434370771312585</v>
      </c>
      <c r="N130" s="359">
        <f>SUMMARY!J133</f>
        <v>1.0792348507966931</v>
      </c>
    </row>
    <row r="131" spans="1:14" s="167" customFormat="1">
      <c r="B131" s="163" t="s">
        <v>195</v>
      </c>
      <c r="C131" s="490">
        <f>'[85]Sch C'!D132</f>
        <v>0</v>
      </c>
      <c r="D131" s="490">
        <f>'[85]Sch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7"/>
      <c r="J131" s="168"/>
      <c r="K131" s="168"/>
      <c r="M131" s="364">
        <f t="shared" si="34"/>
        <v>0</v>
      </c>
      <c r="N131" s="359">
        <f>SUMMARY!J134</f>
        <v>8.2765628075518377E-2</v>
      </c>
    </row>
    <row r="132" spans="1:14" s="167" customFormat="1">
      <c r="B132" s="163" t="s">
        <v>196</v>
      </c>
      <c r="C132" s="490">
        <f>'[85]Sch C'!D133</f>
        <v>0</v>
      </c>
      <c r="D132" s="490">
        <f>'[85]Sch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490">
        <f>'[85]Sch C'!D134</f>
        <v>13744</v>
      </c>
      <c r="D133" s="490">
        <f>'[85]Sch C'!F134</f>
        <v>0</v>
      </c>
      <c r="E133" s="171">
        <f t="shared" si="35"/>
        <v>13744</v>
      </c>
      <c r="F133" s="171"/>
      <c r="G133" s="171">
        <f>E133+F133</f>
        <v>13744</v>
      </c>
      <c r="H133" s="172">
        <f>IF($G$208=0,0,G133/$G$208)</f>
        <v>2.9968733871145346E-3</v>
      </c>
      <c r="I133" s="337"/>
      <c r="J133" s="168"/>
      <c r="K133" s="168"/>
      <c r="M133" s="364">
        <f t="shared" si="34"/>
        <v>0.61993685160126299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490">
        <f>'[85]Sch C'!D136</f>
        <v>485139</v>
      </c>
      <c r="D135" s="490">
        <f>'[85]Sch C'!F136</f>
        <v>0</v>
      </c>
      <c r="E135" s="171">
        <f t="shared" ref="E135:E138" si="36">C135+D135</f>
        <v>485139</v>
      </c>
      <c r="F135" s="171"/>
      <c r="G135" s="171">
        <f>E135+F135</f>
        <v>485139</v>
      </c>
      <c r="H135" s="172">
        <f>IF($G$208=0,0,G135/$G$208)</f>
        <v>0.10578435376537822</v>
      </c>
      <c r="I135" s="337"/>
      <c r="J135" s="183">
        <v>19109</v>
      </c>
      <c r="K135" s="183">
        <v>21208</v>
      </c>
      <c r="M135" s="364">
        <f t="shared" si="34"/>
        <v>21.882679296346414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490">
        <f>'[85]Sch C'!D137</f>
        <v>93885</v>
      </c>
      <c r="D136" s="490">
        <f>'[85]Sch C'!F137</f>
        <v>0</v>
      </c>
      <c r="E136" s="171">
        <f t="shared" si="36"/>
        <v>93885</v>
      </c>
      <c r="F136" s="171"/>
      <c r="G136" s="171">
        <f>E136+F136</f>
        <v>93885</v>
      </c>
      <c r="H136" s="172">
        <f>IF($G$208=0,0,G136/$G$208)</f>
        <v>2.0471584542291043E-2</v>
      </c>
      <c r="I136" s="337"/>
      <c r="J136" s="183">
        <v>4478</v>
      </c>
      <c r="K136" s="183">
        <v>4937</v>
      </c>
      <c r="M136" s="364">
        <f t="shared" si="34"/>
        <v>4.2347767253044655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490">
        <f>'[85]Sch C'!D138</f>
        <v>575485</v>
      </c>
      <c r="D137" s="490">
        <f>'[85]Sch C'!F138</f>
        <v>14027</v>
      </c>
      <c r="E137" s="171">
        <f t="shared" si="36"/>
        <v>589512</v>
      </c>
      <c r="F137" s="171"/>
      <c r="G137" s="171">
        <f>E137+F137</f>
        <v>589512</v>
      </c>
      <c r="H137" s="172">
        <f>IF($G$208=0,0,G137/$G$208)</f>
        <v>0.12854284227187598</v>
      </c>
      <c r="I137" s="337"/>
      <c r="J137" s="183">
        <v>46845</v>
      </c>
      <c r="K137" s="183">
        <v>54064</v>
      </c>
      <c r="M137" s="364">
        <f t="shared" si="34"/>
        <v>26.590527740189444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490">
        <f>'[85]Sch C'!D139</f>
        <v>14027</v>
      </c>
      <c r="D138" s="490">
        <f>'[85]Sch C'!F139</f>
        <v>-14027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7"/>
      <c r="J138" s="183">
        <v>0</v>
      </c>
      <c r="K138" s="183">
        <v>0</v>
      </c>
      <c r="M138" s="364">
        <f t="shared" si="34"/>
        <v>0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7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490">
        <f>'[85]Sch C'!D141</f>
        <v>222172</v>
      </c>
      <c r="D140" s="490">
        <f>'[85]Sch C'!F141</f>
        <v>-129933</v>
      </c>
      <c r="E140" s="171">
        <f t="shared" ref="E140:E143" si="37">C140+D140</f>
        <v>92239</v>
      </c>
      <c r="F140" s="171"/>
      <c r="G140" s="171">
        <f>E140+F140</f>
        <v>92239</v>
      </c>
      <c r="H140" s="172">
        <f>IF($G$208=0,0,G140/$G$208)</f>
        <v>2.0112674938450054E-2</v>
      </c>
      <c r="I140" s="337"/>
      <c r="J140" s="168"/>
      <c r="K140" s="168"/>
      <c r="M140" s="364">
        <f t="shared" si="34"/>
        <v>4.1605322507893554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490">
        <f>'[85]Sch C'!D142</f>
        <v>0</v>
      </c>
      <c r="D141" s="490">
        <f>'[85]Sch C'!F142</f>
        <v>17850</v>
      </c>
      <c r="E141" s="171">
        <f t="shared" si="37"/>
        <v>17850</v>
      </c>
      <c r="F141" s="171"/>
      <c r="G141" s="171">
        <f>E141+F141</f>
        <v>17850</v>
      </c>
      <c r="H141" s="172">
        <f>IF($G$208=0,0,G141/$G$208)</f>
        <v>3.8921849505234606E-3</v>
      </c>
      <c r="I141" s="337"/>
      <c r="J141" s="168"/>
      <c r="K141" s="168"/>
      <c r="M141" s="364">
        <f t="shared" si="34"/>
        <v>0.80514208389715836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490">
        <f>'[85]Sch C'!D143</f>
        <v>0</v>
      </c>
      <c r="D142" s="490">
        <f>'[85]Sch C'!F143</f>
        <v>112083</v>
      </c>
      <c r="E142" s="171">
        <f t="shared" si="37"/>
        <v>112083</v>
      </c>
      <c r="F142" s="171"/>
      <c r="G142" s="171">
        <f>E142+F142</f>
        <v>112083</v>
      </c>
      <c r="H142" s="172">
        <f>IF($G$208=0,0,G142/$G$208)</f>
        <v>2.4439650745631432E-2</v>
      </c>
      <c r="I142" s="337"/>
      <c r="J142" s="168"/>
      <c r="K142" s="168"/>
      <c r="M142" s="364">
        <f t="shared" si="34"/>
        <v>5.0556156968876858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490">
        <f>'[85]Sch C'!D144</f>
        <v>0</v>
      </c>
      <c r="D143" s="490">
        <f>'[85]Sch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7"/>
      <c r="J143" s="168"/>
      <c r="K143" s="168"/>
      <c r="M143" s="364">
        <f t="shared" si="34"/>
        <v>0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7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490">
        <f>'[85]Sch C'!D146</f>
        <v>38000</v>
      </c>
      <c r="D145" s="490">
        <f>'[85]Sch C'!F146</f>
        <v>0</v>
      </c>
      <c r="E145" s="171">
        <f t="shared" ref="E145:E153" si="38">C145+D145</f>
        <v>38000</v>
      </c>
      <c r="F145" s="171"/>
      <c r="G145" s="171">
        <f t="shared" ref="G145:G153" si="39">E145+F145</f>
        <v>38000</v>
      </c>
      <c r="H145" s="172">
        <f t="shared" ref="H145:H153" si="40">IF($G$208=0,0,G145/$G$208)</f>
        <v>8.2858839282852377E-3</v>
      </c>
      <c r="I145" s="337"/>
      <c r="J145" s="183">
        <v>0</v>
      </c>
      <c r="K145" s="183">
        <v>0</v>
      </c>
      <c r="M145" s="364">
        <f t="shared" si="34"/>
        <v>1.7140279657194406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490">
        <f>'[85]Sch C'!D147</f>
        <v>0</v>
      </c>
      <c r="D146" s="490">
        <f>'[85]Sch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337"/>
      <c r="J146" s="183">
        <v>0</v>
      </c>
      <c r="K146" s="183">
        <v>0</v>
      </c>
      <c r="M146" s="364">
        <f t="shared" si="34"/>
        <v>0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490">
        <f>'[85]Sch C'!D148</f>
        <v>0</v>
      </c>
      <c r="D147" s="490">
        <f>'[85]Sch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7"/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490">
        <f>'[85]Sch C'!D149</f>
        <v>0</v>
      </c>
      <c r="D148" s="490">
        <f>'[85]Sch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7"/>
      <c r="J148" s="183">
        <v>0</v>
      </c>
      <c r="K148" s="183">
        <v>0</v>
      </c>
      <c r="M148" s="364">
        <f t="shared" si="34"/>
        <v>0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490">
        <f>'[85]Sch C'!D150</f>
        <v>1220</v>
      </c>
      <c r="D149" s="490">
        <f>'[85]Sch C'!F150</f>
        <v>0</v>
      </c>
      <c r="E149" s="171">
        <f t="shared" si="38"/>
        <v>1220</v>
      </c>
      <c r="F149" s="171"/>
      <c r="G149" s="171">
        <f t="shared" si="39"/>
        <v>1220</v>
      </c>
      <c r="H149" s="172">
        <f t="shared" si="40"/>
        <v>2.6602048401336818E-4</v>
      </c>
      <c r="I149" s="337"/>
      <c r="J149" s="183">
        <v>0</v>
      </c>
      <c r="K149" s="183">
        <v>0</v>
      </c>
      <c r="M149" s="364">
        <f t="shared" si="34"/>
        <v>5.5029318899413621E-2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490">
        <f>'[85]Sch C'!D151</f>
        <v>63753</v>
      </c>
      <c r="D150" s="490">
        <f>'[85]Sch C'!F151</f>
        <v>-577</v>
      </c>
      <c r="E150" s="171">
        <f t="shared" si="38"/>
        <v>63176</v>
      </c>
      <c r="F150" s="171"/>
      <c r="G150" s="171">
        <f t="shared" si="39"/>
        <v>63176</v>
      </c>
      <c r="H150" s="172">
        <f t="shared" si="40"/>
        <v>1.3775500080351269E-2</v>
      </c>
      <c r="I150" s="337"/>
      <c r="J150" s="168"/>
      <c r="K150" s="168"/>
      <c r="M150" s="364">
        <f t="shared" si="34"/>
        <v>2.8496165990076681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490">
        <f>'[85]Sch C'!D152</f>
        <v>2807</v>
      </c>
      <c r="D151" s="490">
        <f>'[85]Sch C'!F152</f>
        <v>0</v>
      </c>
      <c r="E151" s="171">
        <f t="shared" si="38"/>
        <v>2807</v>
      </c>
      <c r="F151" s="171"/>
      <c r="G151" s="171">
        <f t="shared" si="39"/>
        <v>2807</v>
      </c>
      <c r="H151" s="172">
        <f t="shared" si="40"/>
        <v>6.1206516280780691E-4</v>
      </c>
      <c r="I151" s="337"/>
      <c r="J151" s="168"/>
      <c r="K151" s="168"/>
      <c r="M151" s="364">
        <f t="shared" si="34"/>
        <v>0.12661253946774922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490">
        <f>'[85]Sch C'!D153</f>
        <v>0</v>
      </c>
      <c r="D152" s="490">
        <f>'[85]Sch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7"/>
      <c r="J152" s="168"/>
      <c r="K152" s="168"/>
      <c r="M152" s="364">
        <f t="shared" si="34"/>
        <v>0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490">
        <f>'[85]Sch C'!D154</f>
        <v>0</v>
      </c>
      <c r="D153" s="490">
        <f>'[85]Sch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210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490">
        <f>'[85]Sch C'!D156</f>
        <v>0</v>
      </c>
      <c r="D155" s="490">
        <f>'[85]Sch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490">
        <f>'[85]Sch C'!D157</f>
        <v>0</v>
      </c>
      <c r="D156" s="490">
        <f>'[85]Sch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490">
        <f>'[85]Sch C'!D158</f>
        <v>700</v>
      </c>
      <c r="D157" s="490">
        <f>'[85]Sch C'!F158</f>
        <v>0</v>
      </c>
      <c r="E157" s="171">
        <f t="shared" si="41"/>
        <v>700</v>
      </c>
      <c r="F157" s="171"/>
      <c r="G157" s="171">
        <f t="shared" si="42"/>
        <v>700</v>
      </c>
      <c r="H157" s="172">
        <f t="shared" si="43"/>
        <v>1.526347039420965E-4</v>
      </c>
      <c r="I157" s="337"/>
      <c r="J157" s="168"/>
      <c r="K157" s="168"/>
      <c r="M157" s="364">
        <f t="shared" si="34"/>
        <v>3.1574199368516014E-2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490">
        <f>'[85]Sch C'!D159</f>
        <v>0</v>
      </c>
      <c r="D158" s="490">
        <f>'[85]Sch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490">
        <f>'[85]Sch C'!D160</f>
        <v>0</v>
      </c>
      <c r="D159" s="490">
        <f>'[85]Sch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7"/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490">
        <f>'[85]Sch C'!D161</f>
        <v>13667</v>
      </c>
      <c r="D160" s="490">
        <f>'[85]Sch C'!F161</f>
        <v>-522</v>
      </c>
      <c r="E160" s="171">
        <f t="shared" si="41"/>
        <v>13145</v>
      </c>
      <c r="F160" s="171"/>
      <c r="G160" s="171">
        <f t="shared" si="42"/>
        <v>13145</v>
      </c>
      <c r="H160" s="172">
        <f t="shared" si="43"/>
        <v>2.8662616904555119E-3</v>
      </c>
      <c r="I160" s="337"/>
      <c r="J160" s="168"/>
      <c r="K160" s="168"/>
      <c r="M160" s="364">
        <f t="shared" si="34"/>
        <v>0.59291835814163285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490">
        <f>SUM(C123:C160)</f>
        <v>1766805</v>
      </c>
      <c r="D161" s="490">
        <f>SUM(D123:D160)</f>
        <v>-1099</v>
      </c>
      <c r="E161" s="171">
        <f t="shared" ref="E161:F161" si="44">SUM(E123:E160)</f>
        <v>1765706</v>
      </c>
      <c r="F161" s="171">
        <f t="shared" si="44"/>
        <v>0</v>
      </c>
      <c r="G161" s="171">
        <f>SUM(G123:G160)</f>
        <v>1765706</v>
      </c>
      <c r="H161" s="172">
        <f t="shared" si="43"/>
        <v>0.38501144651254776</v>
      </c>
      <c r="I161" s="337"/>
      <c r="J161" s="168"/>
      <c r="K161" s="168"/>
      <c r="M161" s="364">
        <f>G161/G$228</f>
        <v>79.643933243121339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337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7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490">
        <f>'[85]Sch C'!D175</f>
        <v>0</v>
      </c>
      <c r="D164" s="490">
        <f>'[85]Sch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490">
        <f>'[85]Sch C'!D176</f>
        <v>0</v>
      </c>
      <c r="D165" s="490">
        <f>'[85]Sch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490">
        <f>'[85]Sch C'!D177</f>
        <v>0</v>
      </c>
      <c r="D166" s="490">
        <f>'[85]Sch C'!F177</f>
        <v>0</v>
      </c>
      <c r="E166" s="171">
        <f t="shared" si="45"/>
        <v>0</v>
      </c>
      <c r="F166" s="216"/>
      <c r="G166" s="171">
        <f t="shared" si="46"/>
        <v>0</v>
      </c>
      <c r="H166" s="172">
        <f t="shared" si="47"/>
        <v>0</v>
      </c>
      <c r="I166" s="343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490">
        <f>'[85]Sch C'!D178</f>
        <v>0</v>
      </c>
      <c r="D167" s="490">
        <f>'[85]Sch C'!F178</f>
        <v>0</v>
      </c>
      <c r="E167" s="171">
        <f t="shared" si="45"/>
        <v>0</v>
      </c>
      <c r="F167" s="216"/>
      <c r="G167" s="171">
        <f t="shared" si="46"/>
        <v>0</v>
      </c>
      <c r="H167" s="172">
        <f t="shared" si="47"/>
        <v>0</v>
      </c>
      <c r="I167" s="344"/>
      <c r="J167" s="222"/>
      <c r="K167" s="222"/>
      <c r="L167" s="218"/>
      <c r="M167" s="364">
        <f t="shared" si="48"/>
        <v>0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490">
        <f>'[85]Sch C'!D179</f>
        <v>0</v>
      </c>
      <c r="D168" s="490">
        <f>'[85]Sch C'!F179</f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343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490">
        <f>'[85]Sch C'!D180</f>
        <v>0</v>
      </c>
      <c r="D169" s="490">
        <f>'[85]Sch C'!F180</f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344"/>
      <c r="J169" s="222"/>
      <c r="K169" s="222"/>
      <c r="L169" s="218"/>
      <c r="M169" s="364">
        <f t="shared" si="48"/>
        <v>0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490">
        <f>'[85]Sch C'!D181</f>
        <v>0</v>
      </c>
      <c r="D170" s="490">
        <f>'[85]Sch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3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490">
        <f>'[85]Sch C'!D182</f>
        <v>0</v>
      </c>
      <c r="D171" s="490">
        <f>'[85]Sch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490">
        <f>'[85]Sch C'!D183</f>
        <v>0</v>
      </c>
      <c r="D172" s="490">
        <f>'[85]Sch C'!F183</f>
        <v>0</v>
      </c>
      <c r="E172" s="171">
        <f t="shared" si="45"/>
        <v>0</v>
      </c>
      <c r="F172" s="216"/>
      <c r="G172" s="171">
        <f t="shared" si="46"/>
        <v>0</v>
      </c>
      <c r="H172" s="172">
        <f t="shared" si="47"/>
        <v>0</v>
      </c>
      <c r="I172" s="343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490">
        <f>'[85]Sch C'!D184</f>
        <v>0</v>
      </c>
      <c r="D173" s="490">
        <f>'[85]Sch C'!F184</f>
        <v>0</v>
      </c>
      <c r="E173" s="171">
        <f t="shared" si="45"/>
        <v>0</v>
      </c>
      <c r="F173" s="216"/>
      <c r="G173" s="171">
        <f t="shared" si="46"/>
        <v>0</v>
      </c>
      <c r="H173" s="172">
        <f t="shared" si="47"/>
        <v>0</v>
      </c>
      <c r="I173" s="344"/>
      <c r="J173" s="222"/>
      <c r="K173" s="222"/>
      <c r="L173" s="218"/>
      <c r="M173" s="364">
        <f t="shared" si="48"/>
        <v>0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490">
        <f>'[85]Sch C'!D185</f>
        <v>0</v>
      </c>
      <c r="D174" s="490">
        <f>'[85]Sch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3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490">
        <f>'[85]Sch C'!D186</f>
        <v>0</v>
      </c>
      <c r="D175" s="490">
        <f>'[85]Sch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490">
        <f>'[85]Sch C'!D187</f>
        <v>0</v>
      </c>
      <c r="D176" s="490">
        <f>'[85]Sch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490">
        <f>'[85]Sch C'!D188</f>
        <v>0</v>
      </c>
      <c r="D177" s="490">
        <f>'[85]Sch C'!F188</f>
        <v>0</v>
      </c>
      <c r="E177" s="171">
        <f t="shared" si="45"/>
        <v>0</v>
      </c>
      <c r="F177" s="216"/>
      <c r="G177" s="171">
        <f t="shared" si="46"/>
        <v>0</v>
      </c>
      <c r="H177" s="172">
        <f t="shared" si="47"/>
        <v>0</v>
      </c>
      <c r="I177" s="337"/>
      <c r="J177" s="223"/>
      <c r="K177" s="218"/>
      <c r="L177" s="220"/>
      <c r="M177" s="364">
        <f t="shared" si="48"/>
        <v>0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490">
        <f>'[85]Sch C'!D189</f>
        <v>0</v>
      </c>
      <c r="D178" s="490">
        <f>'[85]Sch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337"/>
      <c r="J178" s="223"/>
      <c r="K178" s="218"/>
      <c r="L178" s="220"/>
      <c r="M178" s="364">
        <f t="shared" si="48"/>
        <v>0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490">
        <f>'[85]Sch C'!D190</f>
        <v>0</v>
      </c>
      <c r="D179" s="490">
        <f>'[85]Sch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490">
        <f>'[85]Sch C'!D191</f>
        <v>0</v>
      </c>
      <c r="D180" s="490">
        <f>'[85]Sch C'!F191</f>
        <v>0</v>
      </c>
      <c r="E180" s="171">
        <f t="shared" si="45"/>
        <v>0</v>
      </c>
      <c r="F180" s="216"/>
      <c r="G180" s="171">
        <f t="shared" si="46"/>
        <v>0</v>
      </c>
      <c r="H180" s="172">
        <f t="shared" si="47"/>
        <v>0</v>
      </c>
      <c r="I180" s="337"/>
      <c r="J180" s="223"/>
      <c r="K180" s="218"/>
      <c r="L180" s="220"/>
      <c r="M180" s="364">
        <f t="shared" si="48"/>
        <v>0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490">
        <f>'[85]Sch C'!D192</f>
        <v>27</v>
      </c>
      <c r="D181" s="490">
        <f>'[85]Sch C'!F192</f>
        <v>0</v>
      </c>
      <c r="E181" s="171">
        <f t="shared" si="45"/>
        <v>27</v>
      </c>
      <c r="F181" s="216"/>
      <c r="G181" s="171">
        <f t="shared" si="46"/>
        <v>27</v>
      </c>
      <c r="H181" s="172">
        <f t="shared" si="47"/>
        <v>5.8873385806237222E-6</v>
      </c>
      <c r="I181" s="337"/>
      <c r="J181" s="223"/>
      <c r="K181" s="218"/>
      <c r="L181" s="220"/>
      <c r="M181" s="364">
        <f t="shared" si="48"/>
        <v>1.2178619756427606E-3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490">
        <f>'[85]Sch C'!D193</f>
        <v>3345</v>
      </c>
      <c r="D182" s="490">
        <f>'[85]Sch C'!F193</f>
        <v>0</v>
      </c>
      <c r="E182" s="171">
        <f t="shared" si="45"/>
        <v>3345</v>
      </c>
      <c r="F182" s="216"/>
      <c r="G182" s="171">
        <f t="shared" si="46"/>
        <v>3345</v>
      </c>
      <c r="H182" s="172">
        <f t="shared" si="47"/>
        <v>7.2937583526616113E-4</v>
      </c>
      <c r="I182" s="337"/>
      <c r="J182" s="223"/>
      <c r="K182" s="218"/>
      <c r="L182" s="220"/>
      <c r="M182" s="364">
        <f t="shared" si="48"/>
        <v>0.15087956698240865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490">
        <f>'[85]Sch C'!D194</f>
        <v>219126</v>
      </c>
      <c r="D183" s="490">
        <f>'[85]Sch C'!F194</f>
        <v>8086</v>
      </c>
      <c r="E183" s="171">
        <f t="shared" si="45"/>
        <v>227212</v>
      </c>
      <c r="F183" s="216"/>
      <c r="G183" s="171">
        <f t="shared" si="46"/>
        <v>227212</v>
      </c>
      <c r="H183" s="172">
        <f t="shared" si="47"/>
        <v>4.9543480502988041E-2</v>
      </c>
      <c r="I183" s="337"/>
      <c r="J183" s="223"/>
      <c r="K183" s="218"/>
      <c r="M183" s="364">
        <f t="shared" si="48"/>
        <v>10.248624267027514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490">
        <f>'[85]Sch C'!D195</f>
        <v>116950</v>
      </c>
      <c r="D184" s="490">
        <f>'[85]Sch C'!F195</f>
        <v>4315</v>
      </c>
      <c r="E184" s="171">
        <f t="shared" si="45"/>
        <v>121265</v>
      </c>
      <c r="F184" s="216"/>
      <c r="G184" s="171">
        <f t="shared" si="46"/>
        <v>121265</v>
      </c>
      <c r="H184" s="172">
        <f t="shared" si="47"/>
        <v>2.6441781962197618E-2</v>
      </c>
      <c r="I184" s="337"/>
      <c r="J184" s="223"/>
      <c r="K184" s="218"/>
      <c r="M184" s="364">
        <f t="shared" si="48"/>
        <v>5.4697789806044206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490">
        <f>'[85]Sch C'!D196</f>
        <v>0</v>
      </c>
      <c r="D185" s="490">
        <f>'[85]Sch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490">
        <f>'[85]Sch C'!D197</f>
        <v>185314</v>
      </c>
      <c r="D186" s="490">
        <f>'[85]Sch C'!F197</f>
        <v>6838</v>
      </c>
      <c r="E186" s="171">
        <f t="shared" si="45"/>
        <v>192152</v>
      </c>
      <c r="F186" s="216"/>
      <c r="G186" s="171">
        <f t="shared" si="46"/>
        <v>192152</v>
      </c>
      <c r="H186" s="172">
        <f t="shared" si="47"/>
        <v>4.1898662331259606E-2</v>
      </c>
      <c r="I186" s="337"/>
      <c r="J186" s="223"/>
      <c r="K186" s="218"/>
      <c r="M186" s="364">
        <f t="shared" si="48"/>
        <v>8.6672079386558405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490">
        <f>'[85]Sch C'!D198</f>
        <v>22582</v>
      </c>
      <c r="D187" s="490">
        <f>'[85]Sch C'!F198</f>
        <v>0</v>
      </c>
      <c r="E187" s="171">
        <f t="shared" si="45"/>
        <v>22582</v>
      </c>
      <c r="F187" s="216"/>
      <c r="G187" s="171">
        <f t="shared" si="46"/>
        <v>22582</v>
      </c>
      <c r="H187" s="172">
        <f t="shared" si="47"/>
        <v>4.923995549172033E-3</v>
      </c>
      <c r="I187" s="337"/>
      <c r="J187" s="223"/>
      <c r="K187" s="218"/>
      <c r="M187" s="364">
        <f t="shared" si="48"/>
        <v>1.0185836716283265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490">
        <f>'[85]Sch C'!D199</f>
        <v>0</v>
      </c>
      <c r="D188" s="490">
        <f>'[85]Sch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7"/>
      <c r="J188" s="223"/>
      <c r="K188" s="218"/>
      <c r="M188" s="364">
        <f t="shared" si="48"/>
        <v>0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490">
        <f>'[85]Sch C'!D200</f>
        <v>0</v>
      </c>
      <c r="D189" s="490">
        <f>'[85]Sch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7"/>
      <c r="J189" s="223"/>
      <c r="K189" s="218"/>
      <c r="M189" s="364">
        <f t="shared" si="48"/>
        <v>0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490">
        <f>'[85]Sch C'!D201</f>
        <v>0</v>
      </c>
      <c r="D190" s="490">
        <f>'[85]Sch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7"/>
      <c r="J190" s="223"/>
      <c r="K190" s="218"/>
      <c r="M190" s="364">
        <f t="shared" si="48"/>
        <v>0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490">
        <f>'[85]Sch C'!D202</f>
        <v>0</v>
      </c>
      <c r="D191" s="490">
        <f>'[85]Sch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490">
        <f>'[85]Sch C'!D203</f>
        <v>0</v>
      </c>
      <c r="D192" s="490">
        <f>'[85]Sch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7"/>
      <c r="J192" s="223"/>
      <c r="K192" s="218"/>
      <c r="M192" s="364">
        <f t="shared" si="48"/>
        <v>0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490">
        <f>'[85]Sch C'!D204</f>
        <v>0</v>
      </c>
      <c r="D193" s="490">
        <f>'[85]Sch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490">
        <f>'[85]Sch C'!D205</f>
        <v>81431</v>
      </c>
      <c r="D194" s="490">
        <f>'[85]Sch C'!F205</f>
        <v>-5545</v>
      </c>
      <c r="E194" s="171">
        <f t="shared" si="45"/>
        <v>75886</v>
      </c>
      <c r="F194" s="216"/>
      <c r="G194" s="171">
        <f t="shared" si="46"/>
        <v>75886</v>
      </c>
      <c r="H194" s="172">
        <f t="shared" si="47"/>
        <v>1.654691020478562E-2</v>
      </c>
      <c r="I194" s="337"/>
      <c r="J194" s="223"/>
      <c r="K194" s="218"/>
      <c r="M194" s="364">
        <f t="shared" si="48"/>
        <v>3.4229138475417229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490">
        <f>'[85]Sch C'!D206</f>
        <v>18</v>
      </c>
      <c r="D195" s="490">
        <f>'[85]Sch C'!F206</f>
        <v>0</v>
      </c>
      <c r="E195" s="171">
        <f t="shared" si="45"/>
        <v>18</v>
      </c>
      <c r="F195" s="216"/>
      <c r="G195" s="171">
        <f t="shared" si="46"/>
        <v>18</v>
      </c>
      <c r="H195" s="172">
        <f t="shared" si="47"/>
        <v>3.9248923870824814E-6</v>
      </c>
      <c r="I195" s="337"/>
      <c r="J195" s="223"/>
      <c r="K195" s="218"/>
      <c r="M195" s="364">
        <f t="shared" si="48"/>
        <v>8.1190798376184028E-4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490">
        <f>'[85]Sch C'!D207</f>
        <v>446</v>
      </c>
      <c r="D196" s="490">
        <f>'[85]Sch C'!F207</f>
        <v>0</v>
      </c>
      <c r="E196" s="171">
        <f t="shared" si="45"/>
        <v>446</v>
      </c>
      <c r="F196" s="216"/>
      <c r="G196" s="171">
        <f t="shared" si="46"/>
        <v>446</v>
      </c>
      <c r="H196" s="172">
        <f t="shared" si="47"/>
        <v>9.7250111368821479E-5</v>
      </c>
      <c r="I196" s="337"/>
      <c r="J196" s="223"/>
      <c r="K196" s="218"/>
      <c r="M196" s="364">
        <f t="shared" si="48"/>
        <v>2.0117275597654489E-2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490">
        <f>SUM(C164:C196)</f>
        <v>629239</v>
      </c>
      <c r="D197" s="490">
        <f>SUM(D164:D196)</f>
        <v>13694</v>
      </c>
      <c r="E197" s="171">
        <f t="shared" ref="E197:F197" si="49">SUM(E164:E196)</f>
        <v>642933</v>
      </c>
      <c r="F197" s="171">
        <f t="shared" si="49"/>
        <v>0</v>
      </c>
      <c r="G197" s="171">
        <f>SUM(G164:G196)</f>
        <v>642933</v>
      </c>
      <c r="H197" s="172">
        <f>IF($G$208=0,0,G197/$G$208)</f>
        <v>0.14019126872800561</v>
      </c>
      <c r="I197" s="337"/>
      <c r="J197" s="168"/>
      <c r="K197" s="168"/>
      <c r="M197" s="364">
        <f>G197/G$228</f>
        <v>29.000135317997294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165"/>
      <c r="G198" s="165"/>
      <c r="H198" s="198"/>
      <c r="I198" s="341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1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490">
        <f>'[85]Sch C'!D211</f>
        <v>96774</v>
      </c>
      <c r="D200" s="490">
        <f>'[85]Sch C'!F211</f>
        <v>0</v>
      </c>
      <c r="E200" s="171">
        <f t="shared" ref="E200:E205" si="50">C200+D200</f>
        <v>96774</v>
      </c>
      <c r="F200" s="171"/>
      <c r="G200" s="171">
        <f t="shared" ref="G200:G205" si="51">E200+F200</f>
        <v>96774</v>
      </c>
      <c r="H200" s="172">
        <f t="shared" ref="H200:H206" si="52">IF($G$208=0,0,G200/$G$208)</f>
        <v>2.1101529770417782E-2</v>
      </c>
      <c r="I200" s="337"/>
      <c r="J200" s="183">
        <v>6356</v>
      </c>
      <c r="K200" s="183">
        <v>6732</v>
      </c>
      <c r="M200" s="364">
        <f t="shared" ref="M200:M205" si="53">G200/G$228</f>
        <v>4.3650879566982406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490">
        <f>'[85]Sch C'!D212</f>
        <v>22820</v>
      </c>
      <c r="D201" s="490">
        <f>'[85]Sch C'!F212</f>
        <v>0</v>
      </c>
      <c r="E201" s="171">
        <f t="shared" si="50"/>
        <v>22820</v>
      </c>
      <c r="F201" s="171"/>
      <c r="G201" s="171">
        <f t="shared" si="51"/>
        <v>22820</v>
      </c>
      <c r="H201" s="172">
        <f t="shared" si="52"/>
        <v>4.9758913485123462E-3</v>
      </c>
      <c r="I201" s="337"/>
      <c r="J201" s="168"/>
      <c r="K201" s="168"/>
      <c r="M201" s="364">
        <f t="shared" si="53"/>
        <v>1.029318899413622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490">
        <f>'[85]Sch C'!D213</f>
        <v>4692</v>
      </c>
      <c r="D202" s="490">
        <f>'[85]Sch C'!F213</f>
        <v>0</v>
      </c>
      <c r="E202" s="171">
        <f t="shared" si="50"/>
        <v>4692</v>
      </c>
      <c r="F202" s="171"/>
      <c r="G202" s="171">
        <f t="shared" si="51"/>
        <v>4692</v>
      </c>
      <c r="H202" s="172">
        <f t="shared" si="52"/>
        <v>1.0230886155661667E-3</v>
      </c>
      <c r="I202" s="337"/>
      <c r="J202" s="168"/>
      <c r="K202" s="168"/>
      <c r="M202" s="364">
        <f t="shared" si="53"/>
        <v>0.21163734776725304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490">
        <f>'[85]Sch C'!D214</f>
        <v>0</v>
      </c>
      <c r="D203" s="490">
        <f>'[85]Sch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>
        <f t="shared" si="53"/>
        <v>0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490">
        <f>'[85]Sch C'!D215</f>
        <v>0</v>
      </c>
      <c r="D204" s="490">
        <f>'[85]Sch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490">
        <f>'[85]Sch C'!D216</f>
        <v>1693</v>
      </c>
      <c r="D205" s="490">
        <f>'[85]Sch C'!F216</f>
        <v>0</v>
      </c>
      <c r="E205" s="171">
        <f t="shared" si="50"/>
        <v>1693</v>
      </c>
      <c r="F205" s="171"/>
      <c r="G205" s="171">
        <f t="shared" si="51"/>
        <v>1693</v>
      </c>
      <c r="H205" s="172">
        <f t="shared" si="52"/>
        <v>3.6915793396281339E-4</v>
      </c>
      <c r="I205" s="337"/>
      <c r="J205" s="168"/>
      <c r="K205" s="168"/>
      <c r="M205" s="364">
        <f t="shared" si="53"/>
        <v>7.6364456472710868E-2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490">
        <f>SUM(C200:C205)</f>
        <v>125979</v>
      </c>
      <c r="D206" s="490">
        <f>SUM(D200:D205)</f>
        <v>0</v>
      </c>
      <c r="E206" s="171">
        <f t="shared" ref="E206:F206" si="54">SUM(E200:E205)</f>
        <v>125979</v>
      </c>
      <c r="F206" s="171">
        <f t="shared" si="54"/>
        <v>0</v>
      </c>
      <c r="G206" s="171">
        <f>SUM(G200:G205)</f>
        <v>125979</v>
      </c>
      <c r="H206" s="172">
        <f t="shared" si="52"/>
        <v>2.7469667668459107E-2</v>
      </c>
      <c r="I206" s="337"/>
      <c r="J206" s="168"/>
      <c r="K206" s="168"/>
      <c r="M206" s="364">
        <f>G206/G$228</f>
        <v>5.6824086603518271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490">
        <f>SUM(C25:C206)/2</f>
        <v>4678461</v>
      </c>
      <c r="D208" s="490">
        <f>SUM(D25:D206)/2</f>
        <v>-92348</v>
      </c>
      <c r="E208" s="171">
        <f t="shared" ref="E208:F208" si="55">SUM(E25:E206)/2</f>
        <v>4586113</v>
      </c>
      <c r="F208" s="171">
        <f t="shared" si="55"/>
        <v>0</v>
      </c>
      <c r="G208" s="171">
        <f>SUM(G25:G206)/2</f>
        <v>4586113</v>
      </c>
      <c r="H208" s="172">
        <f>IF($G$208=0,0,G208/$G$208)</f>
        <v>1</v>
      </c>
      <c r="I208" s="337"/>
      <c r="J208" s="183">
        <f>SUM(J25:J200)</f>
        <v>107901</v>
      </c>
      <c r="K208" s="183">
        <f>SUM(K25:K200)</f>
        <v>121342</v>
      </c>
      <c r="M208" s="364">
        <f>G208/G$228</f>
        <v>206.86120884077582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490">
        <f>'[85]Sch C'!D221</f>
        <v>4678461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490">
        <f>C208-C211</f>
        <v>0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619"/>
      <c r="D213" s="232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490">
        <f>C21-C208</f>
        <v>404932</v>
      </c>
      <c r="D215" s="490">
        <f>D21-D208</f>
        <v>91092</v>
      </c>
      <c r="E215" s="171">
        <f t="shared" ref="E215:F215" si="56">E21-E208</f>
        <v>496024</v>
      </c>
      <c r="F215" s="171">
        <f t="shared" si="56"/>
        <v>0</v>
      </c>
      <c r="G215" s="171">
        <f>G21-G208</f>
        <v>496024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491">
        <f>'[85]Sch D'!C9</f>
        <v>13657</v>
      </c>
      <c r="D219" s="491"/>
      <c r="E219" s="235">
        <f t="shared" ref="E219:G227" si="57">C219+D219</f>
        <v>13657</v>
      </c>
      <c r="F219" s="234"/>
      <c r="G219" s="235">
        <f t="shared" si="57"/>
        <v>13657</v>
      </c>
      <c r="H219" s="172">
        <f t="shared" ref="H219:H228" si="58">IF($G$228=0,0,G219/$G$228)</f>
        <v>0.61601262967974746</v>
      </c>
      <c r="I219" s="337"/>
      <c r="J219" s="168"/>
      <c r="K219" s="168"/>
    </row>
    <row r="220" spans="1:14">
      <c r="A220" s="163"/>
      <c r="B220" s="170" t="s">
        <v>217</v>
      </c>
      <c r="C220" s="491">
        <f>'[85]Sch D'!D9</f>
        <v>0</v>
      </c>
      <c r="D220" s="491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7"/>
      <c r="J220" s="168"/>
      <c r="K220" s="168"/>
    </row>
    <row r="221" spans="1:14">
      <c r="A221" s="163"/>
      <c r="B221" s="170" t="s">
        <v>72</v>
      </c>
      <c r="C221" s="491">
        <f>'[85]Sch D'!E9</f>
        <v>2047</v>
      </c>
      <c r="D221" s="491"/>
      <c r="E221" s="235">
        <f t="shared" si="59"/>
        <v>2047</v>
      </c>
      <c r="F221" s="234"/>
      <c r="G221" s="235">
        <f t="shared" si="57"/>
        <v>2047</v>
      </c>
      <c r="H221" s="172">
        <f t="shared" si="58"/>
        <v>9.2331980153360402E-2</v>
      </c>
      <c r="I221" s="337"/>
      <c r="J221" s="168"/>
      <c r="K221" s="168"/>
    </row>
    <row r="222" spans="1:14">
      <c r="A222" s="163"/>
      <c r="B222" s="202" t="s">
        <v>334</v>
      </c>
      <c r="C222" s="491">
        <f>'[85]Sch D'!F9</f>
        <v>726</v>
      </c>
      <c r="D222" s="491"/>
      <c r="E222" s="235">
        <f>C222+D222</f>
        <v>726</v>
      </c>
      <c r="F222" s="234"/>
      <c r="G222" s="235">
        <f>E222+F222</f>
        <v>726</v>
      </c>
      <c r="H222" s="172">
        <f t="shared" si="58"/>
        <v>3.2746955345060891E-2</v>
      </c>
      <c r="I222" s="337"/>
      <c r="J222" s="168"/>
      <c r="K222" s="168"/>
    </row>
    <row r="223" spans="1:14">
      <c r="A223" s="163"/>
      <c r="B223" s="170" t="s">
        <v>73</v>
      </c>
      <c r="C223" s="491">
        <f>'[85]Sch D'!G9</f>
        <v>0</v>
      </c>
      <c r="D223" s="491"/>
      <c r="E223" s="235">
        <f t="shared" si="59"/>
        <v>0</v>
      </c>
      <c r="F223" s="234"/>
      <c r="G223" s="235">
        <f t="shared" si="57"/>
        <v>0</v>
      </c>
      <c r="H223" s="172">
        <f t="shared" si="58"/>
        <v>0</v>
      </c>
      <c r="I223" s="337"/>
      <c r="J223" s="168"/>
      <c r="K223" s="168"/>
    </row>
    <row r="224" spans="1:14">
      <c r="A224" s="163"/>
      <c r="B224" s="170" t="s">
        <v>74</v>
      </c>
      <c r="C224" s="491">
        <f>'[85]Sch D'!H9</f>
        <v>2061</v>
      </c>
      <c r="D224" s="491"/>
      <c r="E224" s="235">
        <f t="shared" si="59"/>
        <v>2061</v>
      </c>
      <c r="F224" s="234"/>
      <c r="G224" s="235">
        <f t="shared" si="57"/>
        <v>2061</v>
      </c>
      <c r="H224" s="172">
        <f t="shared" si="58"/>
        <v>9.2963464140730714E-2</v>
      </c>
      <c r="I224" s="337"/>
      <c r="J224" s="168"/>
      <c r="K224" s="168"/>
    </row>
    <row r="225" spans="1:11">
      <c r="A225" s="163"/>
      <c r="B225" s="170" t="s">
        <v>236</v>
      </c>
      <c r="C225" s="491">
        <f>'[85]Sch D'!I9</f>
        <v>3548</v>
      </c>
      <c r="D225" s="491"/>
      <c r="E225" s="235">
        <f t="shared" si="59"/>
        <v>3548</v>
      </c>
      <c r="F225" s="234"/>
      <c r="G225" s="235">
        <f t="shared" si="57"/>
        <v>3548</v>
      </c>
      <c r="H225" s="172">
        <f t="shared" si="58"/>
        <v>0.16003608479927831</v>
      </c>
      <c r="I225" s="337"/>
      <c r="J225" s="168"/>
      <c r="K225" s="168"/>
    </row>
    <row r="226" spans="1:11">
      <c r="A226" s="163"/>
      <c r="B226" s="170" t="s">
        <v>235</v>
      </c>
      <c r="C226" s="491">
        <f>'[85]Sch D'!J9</f>
        <v>0</v>
      </c>
      <c r="D226" s="491"/>
      <c r="E226" s="235">
        <f>C226+D226</f>
        <v>0</v>
      </c>
      <c r="F226" s="234"/>
      <c r="G226" s="235">
        <f>E226+F226</f>
        <v>0</v>
      </c>
      <c r="H226" s="172">
        <f t="shared" si="58"/>
        <v>0</v>
      </c>
      <c r="I226" s="337"/>
      <c r="J226" s="168"/>
      <c r="K226" s="168"/>
    </row>
    <row r="227" spans="1:11">
      <c r="A227" s="163"/>
      <c r="B227" s="170" t="s">
        <v>179</v>
      </c>
      <c r="C227" s="491">
        <f>'[85]Sch D'!K9</f>
        <v>131</v>
      </c>
      <c r="D227" s="491"/>
      <c r="E227" s="235">
        <f t="shared" si="59"/>
        <v>131</v>
      </c>
      <c r="F227" s="234"/>
      <c r="G227" s="235">
        <f t="shared" si="57"/>
        <v>131</v>
      </c>
      <c r="H227" s="172">
        <f t="shared" si="58"/>
        <v>5.9088858818222827E-3</v>
      </c>
      <c r="I227" s="337"/>
      <c r="J227" s="168"/>
      <c r="K227" s="168"/>
    </row>
    <row r="228" spans="1:11" ht="13.5" thickBot="1">
      <c r="A228" s="163"/>
      <c r="B228" s="236" t="s">
        <v>75</v>
      </c>
      <c r="C228" s="491">
        <f>SUM(C219:C227)</f>
        <v>22170</v>
      </c>
      <c r="D228" s="491">
        <f>SUM(D219:D227)</f>
        <v>0</v>
      </c>
      <c r="E228" s="237">
        <f>SUM(E219:E227)</f>
        <v>22170</v>
      </c>
      <c r="F228" s="237">
        <f>SUM(F219:F227)</f>
        <v>0</v>
      </c>
      <c r="G228" s="237">
        <f>SUM(G219:G227)</f>
        <v>22170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620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619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492">
        <f>'[85]Sch D'!N22</f>
        <v>77.339726027397262</v>
      </c>
      <c r="D231" s="526"/>
      <c r="E231" s="235">
        <f>C231+D231</f>
        <v>77.339726027397262</v>
      </c>
      <c r="F231" s="235"/>
      <c r="G231" s="235">
        <f>E231+F231</f>
        <v>77.339726027397262</v>
      </c>
      <c r="H231" s="167"/>
      <c r="J231" s="168"/>
      <c r="K231" s="168"/>
    </row>
    <row r="232" spans="1:11">
      <c r="A232" s="163"/>
      <c r="B232" s="202" t="s">
        <v>290</v>
      </c>
      <c r="C232" s="492">
        <f>'[85]Sch D'!N24</f>
        <v>77.339726027397262</v>
      </c>
      <c r="D232" s="526"/>
      <c r="E232" s="235">
        <f>C232+D232</f>
        <v>77.339726027397262</v>
      </c>
      <c r="F232" s="235"/>
      <c r="G232" s="235">
        <f>E232+F232</f>
        <v>77.339726027397262</v>
      </c>
      <c r="H232" s="167"/>
      <c r="J232" s="168"/>
      <c r="K232" s="168"/>
    </row>
    <row r="233" spans="1:11">
      <c r="A233" s="163"/>
      <c r="B233" s="202" t="s">
        <v>76</v>
      </c>
      <c r="C233" s="492">
        <f>$C$4-$C$3+1</f>
        <v>365</v>
      </c>
      <c r="D233" s="489"/>
      <c r="E233" s="235">
        <f>C233+D233</f>
        <v>365</v>
      </c>
      <c r="F233" s="240"/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621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492">
        <f>'[85]Sch D'!N28</f>
        <v>28229</v>
      </c>
      <c r="D235" s="489"/>
      <c r="E235" s="234">
        <f>E231*E233</f>
        <v>28229</v>
      </c>
      <c r="F235" s="240"/>
      <c r="G235" s="234">
        <f>G231*G233</f>
        <v>28229</v>
      </c>
      <c r="H235" s="167"/>
      <c r="J235" s="168"/>
      <c r="K235" s="168"/>
    </row>
    <row r="236" spans="1:11" ht="26">
      <c r="A236" s="163"/>
      <c r="B236" s="244" t="s">
        <v>336</v>
      </c>
      <c r="C236" s="493">
        <f>'[85]Sch D'!N30</f>
        <v>0.78536257040631974</v>
      </c>
      <c r="D236" s="240"/>
      <c r="E236" s="245">
        <f>E228/E235</f>
        <v>0.78536257040631974</v>
      </c>
      <c r="F236" s="246"/>
      <c r="G236" s="245">
        <f>G228/G235</f>
        <v>0.78536257040631974</v>
      </c>
      <c r="H236" s="167"/>
      <c r="J236" s="168"/>
      <c r="K236" s="168"/>
    </row>
    <row r="237" spans="1:11" ht="26">
      <c r="A237" s="163"/>
      <c r="B237" s="244" t="s">
        <v>337</v>
      </c>
      <c r="C237" s="493">
        <f>'[85]Sch D'!N32</f>
        <v>0.48379326224804281</v>
      </c>
      <c r="D237" s="240"/>
      <c r="E237" s="245">
        <f>(E219+E220)/E235</f>
        <v>0.48379326224804281</v>
      </c>
      <c r="F237" s="246"/>
      <c r="G237" s="245">
        <f>(G219+G220)/G235</f>
        <v>0.48379326224804281</v>
      </c>
      <c r="H237" s="167"/>
      <c r="J237" s="168"/>
      <c r="K237" s="168"/>
    </row>
    <row r="238" spans="1:11" ht="26">
      <c r="A238" s="163"/>
      <c r="B238" s="244" t="s">
        <v>338</v>
      </c>
      <c r="C238" s="493">
        <f>'[85]Sch D'!N34</f>
        <v>0.61601262967974746</v>
      </c>
      <c r="D238" s="240"/>
      <c r="E238" s="245">
        <f>(E237/E236)</f>
        <v>0.61601262967974746</v>
      </c>
      <c r="F238" s="246"/>
      <c r="G238" s="245">
        <f>(G237/G236)</f>
        <v>0.61601262967974746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490">
        <f>'[85]Sch B'!C85</f>
        <v>168.55430711610487</v>
      </c>
    </row>
    <row r="242" spans="2:7">
      <c r="F242" s="142" t="s">
        <v>341</v>
      </c>
      <c r="G242" s="490">
        <f>'[85]Sch B'!E85</f>
        <v>168.55530973451329</v>
      </c>
    </row>
    <row r="243" spans="2:7">
      <c r="F243" s="142" t="s">
        <v>342</v>
      </c>
      <c r="G243" s="490">
        <f>'[85]Sch B'!G85</f>
        <v>168.55424063116371</v>
      </c>
    </row>
    <row r="244" spans="2:7">
      <c r="F244" s="142" t="s">
        <v>343</v>
      </c>
      <c r="G244" s="490">
        <f>'[85]Sch B'!I85</f>
        <v>168.55457746478874</v>
      </c>
    </row>
    <row r="245" spans="2:7">
      <c r="F245" s="142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F8" sqref="F8"/>
      <pageMargins left="0" right="0" top="0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70" orientation="portrait" horizontalDpi="300" verticalDpi="300" r:id="rId3"/>
  <headerFooter alignWithMargins="0">
    <oddFooter>&amp;R&amp;D
&amp;T
&amp;F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76">
    <tabColor rgb="FFE28CAB"/>
    <pageSetUpPr fitToPage="1"/>
  </sheetPr>
  <dimension ref="A1:Q245"/>
  <sheetViews>
    <sheetView showGridLines="0" zoomScale="90" zoomScaleNormal="90" workbookViewId="0">
      <pane xSplit="2" topLeftCell="K1" activePane="topRight" state="frozen"/>
      <selection activeCell="C240" sqref="C240"/>
      <selection pane="topRight"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478"/>
      <c r="E1" s="478"/>
      <c r="F1" s="478"/>
      <c r="G1" s="478"/>
      <c r="H1" s="478"/>
      <c r="I1" s="479"/>
    </row>
    <row r="2" spans="1:14" ht="23">
      <c r="B2" s="143" t="s">
        <v>189</v>
      </c>
      <c r="C2" s="247" t="s">
        <v>403</v>
      </c>
      <c r="D2" s="247"/>
      <c r="E2" s="144"/>
    </row>
    <row r="3" spans="1:14">
      <c r="A3" s="145"/>
      <c r="B3" s="140" t="s">
        <v>79</v>
      </c>
      <c r="C3" s="495">
        <v>41821</v>
      </c>
      <c r="D3" s="144"/>
      <c r="E3" s="147"/>
    </row>
    <row r="4" spans="1:14">
      <c r="A4" s="145"/>
      <c r="B4" s="148" t="s">
        <v>80</v>
      </c>
      <c r="C4" s="495">
        <v>42185</v>
      </c>
      <c r="D4" s="144"/>
      <c r="E4" s="149"/>
      <c r="G4" s="150"/>
    </row>
    <row r="5" spans="1:14">
      <c r="A5" s="145"/>
      <c r="B5" s="148"/>
      <c r="C5" s="151"/>
      <c r="D5" s="144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>
      <c r="A9" s="145"/>
      <c r="C9" s="151"/>
      <c r="D9" s="144"/>
      <c r="F9" s="144"/>
      <c r="G9" s="144"/>
    </row>
    <row r="10" spans="1:14" s="167" customFormat="1" ht="13.5" thickBot="1">
      <c r="A10" s="163" t="s">
        <v>245</v>
      </c>
      <c r="B10" s="164" t="s">
        <v>246</v>
      </c>
      <c r="C10" s="165"/>
      <c r="D10" s="165"/>
      <c r="E10" s="165"/>
      <c r="F10" s="165"/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490">
        <f>'[86]Sch B'!E10</f>
        <v>7631533</v>
      </c>
      <c r="D11" s="490">
        <f>'[86]Sch B'!G10</f>
        <v>0</v>
      </c>
      <c r="E11" s="171">
        <f>C11+D11</f>
        <v>7631533</v>
      </c>
      <c r="F11" s="171"/>
      <c r="G11" s="171">
        <f t="shared" ref="G11:G20" si="0">E11+F11</f>
        <v>7631533</v>
      </c>
      <c r="H11" s="172">
        <f t="shared" ref="H11:H21" si="1">IF($G$21=0,0,G11/$G$21)</f>
        <v>0.55014418379400398</v>
      </c>
      <c r="I11" s="337"/>
      <c r="J11" s="368" t="s">
        <v>344</v>
      </c>
      <c r="K11" s="369">
        <f>G21</f>
        <v>13871878</v>
      </c>
      <c r="M11" s="359">
        <f>IFERROR(G11/G219,0)</f>
        <v>258.84519892819588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490">
        <f>'[86]Sch B'!E15</f>
        <v>0</v>
      </c>
      <c r="D12" s="490">
        <f>'[86]Sch B'!G15</f>
        <v>0</v>
      </c>
      <c r="E12" s="171">
        <f t="shared" ref="E12:E20" si="2">C12+D12</f>
        <v>0</v>
      </c>
      <c r="F12" s="171"/>
      <c r="G12" s="171">
        <f>E12+F12</f>
        <v>0</v>
      </c>
      <c r="H12" s="172">
        <f t="shared" si="1"/>
        <v>0</v>
      </c>
      <c r="I12" s="337"/>
      <c r="J12" s="370" t="s">
        <v>345</v>
      </c>
      <c r="K12" s="371">
        <f>G208</f>
        <v>14353819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490">
        <f>'[86]Sch B'!E21</f>
        <v>2730954</v>
      </c>
      <c r="D13" s="490">
        <f>'[86]Sch B'!G21</f>
        <v>0</v>
      </c>
      <c r="E13" s="171">
        <f t="shared" si="2"/>
        <v>2730954</v>
      </c>
      <c r="F13" s="171"/>
      <c r="G13" s="171">
        <f t="shared" si="0"/>
        <v>2730954</v>
      </c>
      <c r="H13" s="172">
        <f t="shared" si="1"/>
        <v>0.19686981099458919</v>
      </c>
      <c r="I13" s="337"/>
      <c r="J13" s="370" t="s">
        <v>346</v>
      </c>
      <c r="K13" s="371">
        <f>G228</f>
        <v>44726</v>
      </c>
      <c r="M13" s="359">
        <f t="shared" si="3"/>
        <v>608.50133689839572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490">
        <f>'[86]Sch B'!E27</f>
        <v>1774118</v>
      </c>
      <c r="D14" s="490">
        <f>'[86]Sch B'!G27</f>
        <v>0</v>
      </c>
      <c r="E14" s="171">
        <f t="shared" si="2"/>
        <v>1774118</v>
      </c>
      <c r="F14" s="175"/>
      <c r="G14" s="175">
        <f>E14+F14</f>
        <v>1774118</v>
      </c>
      <c r="H14" s="176">
        <f t="shared" si="1"/>
        <v>0.12789313746848119</v>
      </c>
      <c r="I14" s="338"/>
      <c r="J14" s="370" t="s">
        <v>347</v>
      </c>
      <c r="K14" s="371">
        <f>G231</f>
        <v>184</v>
      </c>
      <c r="M14" s="359">
        <f t="shared" si="3"/>
        <v>494.183286908078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490">
        <f>'[86]Sch B'!E32</f>
        <v>296140</v>
      </c>
      <c r="D15" s="490">
        <f>'[86]Sch B'!G32</f>
        <v>0</v>
      </c>
      <c r="E15" s="171">
        <f t="shared" si="2"/>
        <v>296140</v>
      </c>
      <c r="F15" s="171"/>
      <c r="G15" s="171">
        <f t="shared" si="0"/>
        <v>296140</v>
      </c>
      <c r="H15" s="172">
        <f t="shared" si="1"/>
        <v>2.1348226966817326E-2</v>
      </c>
      <c r="I15" s="337"/>
      <c r="J15" s="370" t="s">
        <v>348</v>
      </c>
      <c r="K15" s="371">
        <f>G235</f>
        <v>67160</v>
      </c>
      <c r="M15" s="359">
        <f t="shared" si="3"/>
        <v>946.13418530351441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490">
        <f>'[86]Sch B'!E37</f>
        <v>578912</v>
      </c>
      <c r="D16" s="490">
        <f>'[86]Sch B'!G37</f>
        <v>0</v>
      </c>
      <c r="E16" s="171">
        <f t="shared" si="2"/>
        <v>578912</v>
      </c>
      <c r="F16" s="171"/>
      <c r="G16" s="171">
        <f t="shared" si="0"/>
        <v>578912</v>
      </c>
      <c r="H16" s="172">
        <f t="shared" si="1"/>
        <v>4.173277763832698E-2</v>
      </c>
      <c r="I16" s="337"/>
      <c r="J16" s="372"/>
      <c r="K16" s="371"/>
      <c r="M16" s="359">
        <f t="shared" si="3"/>
        <v>221.04314623902252</v>
      </c>
      <c r="N16" s="359">
        <f>SUMMARY!J19</f>
        <v>199.44117347347731</v>
      </c>
    </row>
    <row r="17" spans="1:14" s="167" customFormat="1">
      <c r="A17" s="169" t="s">
        <v>215</v>
      </c>
      <c r="B17" s="170" t="s">
        <v>228</v>
      </c>
      <c r="C17" s="490">
        <f>'[86]Sch B'!E42</f>
        <v>481503</v>
      </c>
      <c r="D17" s="490">
        <f>'[86]Sch B'!G42</f>
        <v>0</v>
      </c>
      <c r="E17" s="171">
        <f t="shared" si="2"/>
        <v>481503</v>
      </c>
      <c r="F17" s="171"/>
      <c r="G17" s="171">
        <f>E17+F17</f>
        <v>481503</v>
      </c>
      <c r="H17" s="172">
        <f t="shared" si="1"/>
        <v>3.4710729145685973E-2</v>
      </c>
      <c r="I17" s="337"/>
      <c r="J17" s="370" t="s">
        <v>156</v>
      </c>
      <c r="K17" s="371">
        <f>J208</f>
        <v>286381</v>
      </c>
      <c r="M17" s="359">
        <f t="shared" si="3"/>
        <v>198.96818181818182</v>
      </c>
      <c r="N17" s="359">
        <f>SUMMARY!J20</f>
        <v>174.81134252751988</v>
      </c>
    </row>
    <row r="18" spans="1:14" s="167" customFormat="1" ht="13.5" thickBot="1">
      <c r="A18" s="169" t="s">
        <v>216</v>
      </c>
      <c r="B18" s="170" t="s">
        <v>229</v>
      </c>
      <c r="C18" s="490">
        <f>'[86]Sch B'!E47</f>
        <v>0</v>
      </c>
      <c r="D18" s="490">
        <f>'[86]Sch B'!G47</f>
        <v>0</v>
      </c>
      <c r="E18" s="171">
        <f t="shared" si="2"/>
        <v>0</v>
      </c>
      <c r="F18" s="171"/>
      <c r="G18" s="171">
        <f>E18+F18</f>
        <v>0</v>
      </c>
      <c r="H18" s="172">
        <f t="shared" si="1"/>
        <v>0</v>
      </c>
      <c r="I18" s="337"/>
      <c r="J18" s="373" t="s">
        <v>252</v>
      </c>
      <c r="K18" s="374">
        <f>K208</f>
        <v>322051</v>
      </c>
      <c r="M18" s="359">
        <f t="shared" si="3"/>
        <v>0</v>
      </c>
      <c r="N18" s="359">
        <f>SUMMARY!J21</f>
        <v>183.50924381494963</v>
      </c>
    </row>
    <row r="19" spans="1:14" s="167" customFormat="1">
      <c r="A19" s="169" t="s">
        <v>227</v>
      </c>
      <c r="B19" s="177" t="s">
        <v>173</v>
      </c>
      <c r="C19" s="490">
        <f>'[86]Sch B'!E52</f>
        <v>505343</v>
      </c>
      <c r="D19" s="490">
        <f>'[86]Sch B'!G52</f>
        <v>0</v>
      </c>
      <c r="E19" s="171">
        <f t="shared" si="2"/>
        <v>505343</v>
      </c>
      <c r="F19" s="171"/>
      <c r="G19" s="171">
        <f t="shared" si="0"/>
        <v>505343</v>
      </c>
      <c r="H19" s="172">
        <f t="shared" si="1"/>
        <v>3.6429314040968351E-2</v>
      </c>
      <c r="I19" s="337"/>
      <c r="J19" s="168"/>
      <c r="K19" s="168"/>
      <c r="M19" s="359">
        <f t="shared" si="3"/>
        <v>278.73303916161058</v>
      </c>
      <c r="N19" s="359">
        <f>SUMMARY!J22</f>
        <v>376.584981890248</v>
      </c>
    </row>
    <row r="20" spans="1:14" s="167" customFormat="1">
      <c r="A20" s="169" t="s">
        <v>183</v>
      </c>
      <c r="B20" s="23" t="s">
        <v>180</v>
      </c>
      <c r="C20" s="490">
        <f>'[86]Sch B'!E67</f>
        <v>-122655</v>
      </c>
      <c r="D20" s="490">
        <f>'[86]Sch B'!G67</f>
        <v>-3970</v>
      </c>
      <c r="E20" s="171">
        <f t="shared" si="2"/>
        <v>-126625</v>
      </c>
      <c r="F20" s="171"/>
      <c r="G20" s="171">
        <f t="shared" si="0"/>
        <v>-126625</v>
      </c>
      <c r="H20" s="172">
        <f t="shared" si="1"/>
        <v>-9.1281800488729782E-3</v>
      </c>
      <c r="I20" s="337"/>
      <c r="J20" s="168"/>
      <c r="K20" s="168"/>
      <c r="M20" s="362" t="s">
        <v>200</v>
      </c>
      <c r="N20" s="362" t="s">
        <v>200</v>
      </c>
    </row>
    <row r="21" spans="1:14" s="167" customFormat="1">
      <c r="A21" s="169"/>
      <c r="B21" s="178" t="s">
        <v>77</v>
      </c>
      <c r="C21" s="490">
        <f>SUM(C11:C20)</f>
        <v>13875848</v>
      </c>
      <c r="D21" s="490">
        <f>SUM(D11:D20)</f>
        <v>-3970</v>
      </c>
      <c r="E21" s="171">
        <f>SUM(E11:E20)</f>
        <v>13871878</v>
      </c>
      <c r="F21" s="171">
        <f>SUM(F11:F20)</f>
        <v>0</v>
      </c>
      <c r="G21" s="171">
        <f>SUM(G11:G20)</f>
        <v>13871878</v>
      </c>
      <c r="H21" s="172">
        <f t="shared" si="1"/>
        <v>1</v>
      </c>
      <c r="I21" s="337"/>
      <c r="J21" s="168"/>
      <c r="K21" s="168"/>
      <c r="M21" s="359">
        <f>IFERROR(G21/G228,0)</f>
        <v>310.15243929705315</v>
      </c>
      <c r="N21" s="359">
        <f>SUMMARY!J24</f>
        <v>264.67475627099196</v>
      </c>
    </row>
    <row r="22" spans="1:14" ht="12" customHeight="1">
      <c r="A22" s="145"/>
      <c r="B22" s="179"/>
      <c r="C22" s="151"/>
      <c r="D22" s="144"/>
      <c r="F22" s="144"/>
      <c r="G22" s="144"/>
      <c r="M22" s="363"/>
      <c r="N22" s="363"/>
    </row>
    <row r="23" spans="1:14" ht="26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</row>
    <row r="24" spans="1:14">
      <c r="A24" s="181" t="s">
        <v>161</v>
      </c>
      <c r="B24" s="148" t="s">
        <v>12</v>
      </c>
      <c r="M24" s="363"/>
      <c r="N24" s="363"/>
    </row>
    <row r="25" spans="1:14" s="167" customFormat="1">
      <c r="A25" s="169" t="s">
        <v>83</v>
      </c>
      <c r="B25" s="170" t="s">
        <v>14</v>
      </c>
      <c r="C25" s="490">
        <f>'[86]Sch C'!D10</f>
        <v>0</v>
      </c>
      <c r="D25" s="490">
        <f>'[86]Sch C'!F10</f>
        <v>131237</v>
      </c>
      <c r="E25" s="171">
        <f t="shared" ref="E25:E60" si="4">C25+D25</f>
        <v>131237</v>
      </c>
      <c r="F25" s="171"/>
      <c r="G25" s="182">
        <f>E25+F25</f>
        <v>131237</v>
      </c>
      <c r="H25" s="172">
        <f>IF($G$208=0,0,G25/$G$208)</f>
        <v>9.1430022908885779E-3</v>
      </c>
      <c r="I25" s="337"/>
      <c r="J25" s="183">
        <v>2104</v>
      </c>
      <c r="K25" s="183">
        <v>2272</v>
      </c>
      <c r="M25" s="359">
        <f>G25/G$228</f>
        <v>2.9342440638554756</v>
      </c>
      <c r="N25" s="359">
        <f>SUMMARY!J28</f>
        <v>5.1446587373365018</v>
      </c>
    </row>
    <row r="26" spans="1:14" s="167" customFormat="1">
      <c r="A26" s="169" t="s">
        <v>84</v>
      </c>
      <c r="B26" s="170" t="s">
        <v>176</v>
      </c>
      <c r="C26" s="490">
        <f>'[86]Sch C'!D11</f>
        <v>0</v>
      </c>
      <c r="D26" s="490">
        <f>'[86]Sch C'!F11</f>
        <v>0</v>
      </c>
      <c r="E26" s="171">
        <f t="shared" si="4"/>
        <v>0</v>
      </c>
      <c r="F26" s="171"/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</row>
    <row r="27" spans="1:14" s="167" customFormat="1">
      <c r="A27" s="169" t="s">
        <v>85</v>
      </c>
      <c r="B27" s="170" t="s">
        <v>17</v>
      </c>
      <c r="C27" s="490">
        <f>'[86]Sch C'!D12</f>
        <v>368506</v>
      </c>
      <c r="D27" s="490">
        <f>'[86]Sch C'!F12</f>
        <v>-131237</v>
      </c>
      <c r="E27" s="171">
        <f t="shared" si="4"/>
        <v>237269</v>
      </c>
      <c r="F27" s="171"/>
      <c r="G27" s="171">
        <f t="shared" si="5"/>
        <v>237269</v>
      </c>
      <c r="H27" s="172">
        <f t="shared" si="6"/>
        <v>1.6530025911570989E-2</v>
      </c>
      <c r="I27" s="337"/>
      <c r="J27" s="185">
        <v>11905</v>
      </c>
      <c r="K27" s="185">
        <v>12781</v>
      </c>
      <c r="M27" s="359">
        <f t="shared" si="7"/>
        <v>5.3049456691857086</v>
      </c>
      <c r="N27" s="359">
        <f>SUMMARY!J30</f>
        <v>6.5653829268620019</v>
      </c>
    </row>
    <row r="28" spans="1:14" s="167" customFormat="1">
      <c r="A28" s="169" t="s">
        <v>86</v>
      </c>
      <c r="B28" s="170" t="s">
        <v>45</v>
      </c>
      <c r="C28" s="490">
        <f>'[86]Sch C'!D13</f>
        <v>19490</v>
      </c>
      <c r="D28" s="490">
        <f>'[86]Sch C'!F13</f>
        <v>0</v>
      </c>
      <c r="E28" s="171">
        <f t="shared" si="4"/>
        <v>19490</v>
      </c>
      <c r="F28" s="171"/>
      <c r="G28" s="171">
        <f t="shared" si="5"/>
        <v>19490</v>
      </c>
      <c r="H28" s="172">
        <f t="shared" si="6"/>
        <v>1.3578267916015939E-3</v>
      </c>
      <c r="I28" s="337"/>
      <c r="J28" s="168"/>
      <c r="K28" s="168"/>
      <c r="M28" s="359">
        <f t="shared" si="7"/>
        <v>0.4357644323212449</v>
      </c>
      <c r="N28" s="359">
        <f>SUMMARY!J31</f>
        <v>2.1760486719355461</v>
      </c>
    </row>
    <row r="29" spans="1:14" s="167" customFormat="1">
      <c r="A29" s="169" t="s">
        <v>175</v>
      </c>
      <c r="B29" s="170" t="s">
        <v>20</v>
      </c>
      <c r="C29" s="490">
        <f>'[86]Sch C'!D14</f>
        <v>0</v>
      </c>
      <c r="D29" s="490">
        <f>'[86]Sch C'!F14</f>
        <v>0</v>
      </c>
      <c r="E29" s="171">
        <f t="shared" si="4"/>
        <v>0</v>
      </c>
      <c r="F29" s="171"/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</row>
    <row r="30" spans="1:14" s="167" customFormat="1">
      <c r="A30" s="169" t="s">
        <v>88</v>
      </c>
      <c r="B30" s="170" t="s">
        <v>22</v>
      </c>
      <c r="C30" s="490">
        <f>'[86]Sch C'!D15</f>
        <v>0</v>
      </c>
      <c r="D30" s="490">
        <f>'[86]Sch C'!F15</f>
        <v>0</v>
      </c>
      <c r="E30" s="171">
        <f t="shared" si="4"/>
        <v>0</v>
      </c>
      <c r="F30" s="171"/>
      <c r="G30" s="171">
        <f t="shared" si="5"/>
        <v>0</v>
      </c>
      <c r="H30" s="172">
        <f t="shared" si="6"/>
        <v>0</v>
      </c>
      <c r="I30" s="337"/>
      <c r="J30" s="168"/>
      <c r="K30" s="168"/>
      <c r="M30" s="359">
        <f t="shared" si="7"/>
        <v>0</v>
      </c>
      <c r="N30" s="359">
        <f>SUMMARY!J33</f>
        <v>1.6617191665983997</v>
      </c>
    </row>
    <row r="31" spans="1:14" s="167" customFormat="1">
      <c r="A31" s="169" t="s">
        <v>89</v>
      </c>
      <c r="B31" s="170" t="s">
        <v>148</v>
      </c>
      <c r="C31" s="490">
        <f>'[86]Sch C'!D16</f>
        <v>693694</v>
      </c>
      <c r="D31" s="490">
        <f>'[86]Sch C'!F16</f>
        <v>207093</v>
      </c>
      <c r="E31" s="171">
        <f t="shared" si="4"/>
        <v>900787</v>
      </c>
      <c r="F31" s="171"/>
      <c r="G31" s="171">
        <f t="shared" si="5"/>
        <v>900787</v>
      </c>
      <c r="H31" s="172">
        <f t="shared" si="6"/>
        <v>6.275591185871858E-2</v>
      </c>
      <c r="I31" s="337"/>
      <c r="J31" s="168"/>
      <c r="K31" s="168"/>
      <c r="M31" s="359">
        <f t="shared" si="7"/>
        <v>20.140119840808477</v>
      </c>
      <c r="N31" s="359">
        <f>SUMMARY!J34</f>
        <v>11.049930353021256</v>
      </c>
    </row>
    <row r="32" spans="1:14" s="167" customFormat="1">
      <c r="A32" s="169" t="s">
        <v>90</v>
      </c>
      <c r="B32" s="170" t="s">
        <v>23</v>
      </c>
      <c r="C32" s="490">
        <f>'[86]Sch C'!D17</f>
        <v>691</v>
      </c>
      <c r="D32" s="490">
        <f>'[86]Sch C'!F17</f>
        <v>-691</v>
      </c>
      <c r="E32" s="171">
        <f t="shared" si="4"/>
        <v>0</v>
      </c>
      <c r="F32" s="171"/>
      <c r="G32" s="171">
        <f t="shared" si="5"/>
        <v>0</v>
      </c>
      <c r="H32" s="172">
        <f t="shared" si="6"/>
        <v>0</v>
      </c>
      <c r="I32" s="337"/>
      <c r="J32" s="168"/>
      <c r="K32" s="168"/>
      <c r="M32" s="359">
        <f t="shared" si="7"/>
        <v>0</v>
      </c>
      <c r="N32" s="359">
        <f>SUMMARY!J35</f>
        <v>0.14536890308839193</v>
      </c>
    </row>
    <row r="33" spans="1:14" s="167" customFormat="1">
      <c r="A33" s="169" t="s">
        <v>91</v>
      </c>
      <c r="B33" s="170" t="s">
        <v>24</v>
      </c>
      <c r="C33" s="490">
        <f>'[86]Sch C'!D18</f>
        <v>21736</v>
      </c>
      <c r="D33" s="490">
        <f>'[86]Sch C'!F18</f>
        <v>0</v>
      </c>
      <c r="E33" s="171">
        <f t="shared" si="4"/>
        <v>21736</v>
      </c>
      <c r="F33" s="171"/>
      <c r="G33" s="171">
        <f t="shared" si="5"/>
        <v>21736</v>
      </c>
      <c r="H33" s="172">
        <f t="shared" si="6"/>
        <v>1.5143008282325421E-3</v>
      </c>
      <c r="I33" s="337"/>
      <c r="J33" s="168"/>
      <c r="K33" s="168"/>
      <c r="M33" s="359">
        <f t="shared" si="7"/>
        <v>0.48598130841121495</v>
      </c>
      <c r="N33" s="359">
        <f>SUMMARY!J36</f>
        <v>0.8867545233609132</v>
      </c>
    </row>
    <row r="34" spans="1:14" s="167" customFormat="1">
      <c r="A34" s="169" t="s">
        <v>92</v>
      </c>
      <c r="B34" s="170" t="s">
        <v>25</v>
      </c>
      <c r="C34" s="490">
        <f>'[86]Sch C'!D19</f>
        <v>9014</v>
      </c>
      <c r="D34" s="490">
        <f>'[86]Sch C'!F19</f>
        <v>0</v>
      </c>
      <c r="E34" s="171">
        <f t="shared" si="4"/>
        <v>9014</v>
      </c>
      <c r="F34" s="171"/>
      <c r="G34" s="171">
        <f t="shared" si="5"/>
        <v>9014</v>
      </c>
      <c r="H34" s="172">
        <f t="shared" si="6"/>
        <v>6.2798618263195326E-4</v>
      </c>
      <c r="I34" s="337"/>
      <c r="J34" s="168"/>
      <c r="K34" s="168"/>
      <c r="M34" s="359">
        <f t="shared" si="7"/>
        <v>0.20153825515360194</v>
      </c>
      <c r="N34" s="359">
        <f>SUMMARY!J37</f>
        <v>0.90101991185385411</v>
      </c>
    </row>
    <row r="35" spans="1:14" s="167" customFormat="1">
      <c r="A35" s="169" t="s">
        <v>93</v>
      </c>
      <c r="B35" s="170" t="s">
        <v>26</v>
      </c>
      <c r="C35" s="490">
        <f>'[86]Sch C'!D20</f>
        <v>21808</v>
      </c>
      <c r="D35" s="490">
        <f>'[86]Sch C'!F20</f>
        <v>0</v>
      </c>
      <c r="E35" s="171">
        <f t="shared" si="4"/>
        <v>21808</v>
      </c>
      <c r="F35" s="171"/>
      <c r="G35" s="171">
        <f t="shared" si="5"/>
        <v>21808</v>
      </c>
      <c r="H35" s="172">
        <f t="shared" si="6"/>
        <v>1.5193169148921273E-3</v>
      </c>
      <c r="I35" s="337"/>
      <c r="J35" s="168"/>
      <c r="K35" s="168"/>
      <c r="M35" s="359">
        <f t="shared" si="7"/>
        <v>0.48759111031614721</v>
      </c>
      <c r="N35" s="359">
        <f>SUMMARY!J38</f>
        <v>0.79427546489719036</v>
      </c>
    </row>
    <row r="36" spans="1:14" s="167" customFormat="1">
      <c r="A36" s="169" t="s">
        <v>94</v>
      </c>
      <c r="B36" s="170" t="s">
        <v>27</v>
      </c>
      <c r="C36" s="490">
        <f>'[86]Sch C'!D21</f>
        <v>19205</v>
      </c>
      <c r="D36" s="490">
        <f>'[86]Sch C'!F21</f>
        <v>0</v>
      </c>
      <c r="E36" s="171">
        <f t="shared" si="4"/>
        <v>19205</v>
      </c>
      <c r="F36" s="171"/>
      <c r="G36" s="171">
        <f t="shared" si="5"/>
        <v>19205</v>
      </c>
      <c r="H36" s="172">
        <f t="shared" si="6"/>
        <v>1.3379714485740695E-3</v>
      </c>
      <c r="I36" s="337"/>
      <c r="J36" s="168"/>
      <c r="K36" s="168"/>
      <c r="M36" s="359">
        <f t="shared" si="7"/>
        <v>0.42939229978088805</v>
      </c>
      <c r="N36" s="359">
        <f>SUMMARY!J39</f>
        <v>0.98747949537150814</v>
      </c>
    </row>
    <row r="37" spans="1:14" s="167" customFormat="1">
      <c r="A37" s="163">
        <v>130</v>
      </c>
      <c r="B37" s="170" t="s">
        <v>28</v>
      </c>
      <c r="C37" s="490">
        <f>'[86]Sch C'!D22</f>
        <v>0</v>
      </c>
      <c r="D37" s="490">
        <f>'[86]Sch C'!F22</f>
        <v>0</v>
      </c>
      <c r="E37" s="171">
        <f t="shared" si="4"/>
        <v>0</v>
      </c>
      <c r="F37" s="171"/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</row>
    <row r="38" spans="1:14" s="167" customFormat="1">
      <c r="A38" s="163">
        <v>140</v>
      </c>
      <c r="B38" s="170" t="s">
        <v>149</v>
      </c>
      <c r="C38" s="490">
        <f>'[86]Sch C'!D23</f>
        <v>4994</v>
      </c>
      <c r="D38" s="490">
        <f>'[86]Sch C'!F23</f>
        <v>0</v>
      </c>
      <c r="E38" s="171">
        <f t="shared" si="4"/>
        <v>4994</v>
      </c>
      <c r="F38" s="171"/>
      <c r="G38" s="171">
        <f t="shared" si="5"/>
        <v>4994</v>
      </c>
      <c r="H38" s="172">
        <f t="shared" si="6"/>
        <v>3.4792134413844843E-4</v>
      </c>
      <c r="I38" s="337"/>
      <c r="J38" s="168"/>
      <c r="K38" s="168"/>
      <c r="M38" s="359">
        <f t="shared" si="7"/>
        <v>0.11165764879488441</v>
      </c>
      <c r="N38" s="359">
        <f>SUMMARY!J41</f>
        <v>0.63060479506294209</v>
      </c>
    </row>
    <row r="39" spans="1:14" s="167" customFormat="1">
      <c r="A39" s="163">
        <v>150</v>
      </c>
      <c r="B39" s="170" t="s">
        <v>29</v>
      </c>
      <c r="C39" s="490">
        <f>'[86]Sch C'!D24</f>
        <v>0</v>
      </c>
      <c r="D39" s="490">
        <f>'[86]Sch C'!F24</f>
        <v>0</v>
      </c>
      <c r="E39" s="171">
        <f t="shared" si="4"/>
        <v>0</v>
      </c>
      <c r="F39" s="171"/>
      <c r="G39" s="171">
        <f t="shared" si="5"/>
        <v>0</v>
      </c>
      <c r="H39" s="172">
        <f t="shared" si="6"/>
        <v>0</v>
      </c>
      <c r="I39" s="337"/>
      <c r="J39" s="168"/>
      <c r="K39" s="168"/>
      <c r="M39" s="359">
        <f t="shared" si="7"/>
        <v>0</v>
      </c>
      <c r="N39" s="359">
        <f>SUMMARY!J42</f>
        <v>0.77563123344529072</v>
      </c>
    </row>
    <row r="40" spans="1:14" s="167" customFormat="1">
      <c r="A40" s="163">
        <v>160</v>
      </c>
      <c r="B40" s="170" t="s">
        <v>30</v>
      </c>
      <c r="C40" s="490">
        <f>'[86]Sch C'!D25</f>
        <v>557</v>
      </c>
      <c r="D40" s="490">
        <f>'[86]Sch C'!F25</f>
        <v>0</v>
      </c>
      <c r="E40" s="171">
        <f t="shared" si="4"/>
        <v>557</v>
      </c>
      <c r="F40" s="171"/>
      <c r="G40" s="171">
        <f t="shared" si="5"/>
        <v>557</v>
      </c>
      <c r="H40" s="172">
        <f t="shared" si="6"/>
        <v>3.8805003741512971E-5</v>
      </c>
      <c r="I40" s="337"/>
      <c r="J40" s="168"/>
      <c r="K40" s="168"/>
      <c r="M40" s="359">
        <f t="shared" si="7"/>
        <v>1.2453606403434243E-2</v>
      </c>
      <c r="N40" s="359">
        <f>SUMMARY!J43</f>
        <v>2.6613926435651674E-2</v>
      </c>
    </row>
    <row r="41" spans="1:14" s="167" customFormat="1">
      <c r="A41" s="163">
        <v>170</v>
      </c>
      <c r="B41" s="170" t="s">
        <v>31</v>
      </c>
      <c r="C41" s="490">
        <f>'[86]Sch C'!D26</f>
        <v>563082</v>
      </c>
      <c r="D41" s="490">
        <f>'[86]Sch C'!F26</f>
        <v>0</v>
      </c>
      <c r="E41" s="171">
        <f t="shared" si="4"/>
        <v>563082</v>
      </c>
      <c r="F41" s="171"/>
      <c r="G41" s="171">
        <f t="shared" si="5"/>
        <v>563082</v>
      </c>
      <c r="H41" s="172">
        <f t="shared" si="6"/>
        <v>3.9228723728507373E-2</v>
      </c>
      <c r="I41" s="337"/>
      <c r="J41" s="168"/>
      <c r="K41" s="168"/>
      <c r="M41" s="359">
        <f t="shared" si="7"/>
        <v>12.589589947681437</v>
      </c>
      <c r="N41" s="359">
        <f>SUMMARY!J44</f>
        <v>10.987269304497419</v>
      </c>
    </row>
    <row r="42" spans="1:14" s="167" customFormat="1">
      <c r="A42" s="163">
        <v>180</v>
      </c>
      <c r="B42" s="170" t="s">
        <v>32</v>
      </c>
      <c r="C42" s="490">
        <f>'[86]Sch C'!D27</f>
        <v>39832</v>
      </c>
      <c r="D42" s="490">
        <f>'[86]Sch C'!F27</f>
        <v>-189</v>
      </c>
      <c r="E42" s="171">
        <f t="shared" si="4"/>
        <v>39643</v>
      </c>
      <c r="F42" s="171"/>
      <c r="G42" s="171">
        <f t="shared" si="5"/>
        <v>39643</v>
      </c>
      <c r="H42" s="172">
        <f t="shared" si="6"/>
        <v>2.7618433811935346E-3</v>
      </c>
      <c r="I42" s="337"/>
      <c r="J42" s="168"/>
      <c r="K42" s="168"/>
      <c r="M42" s="359">
        <f t="shared" si="7"/>
        <v>0.886352457183741</v>
      </c>
      <c r="N42" s="359">
        <f>SUMMARY!J45</f>
        <v>0.64134655143223829</v>
      </c>
    </row>
    <row r="43" spans="1:14" s="167" customFormat="1">
      <c r="A43" s="163">
        <v>190</v>
      </c>
      <c r="B43" s="170" t="s">
        <v>33</v>
      </c>
      <c r="C43" s="490">
        <f>'[86]Sch C'!D28</f>
        <v>0</v>
      </c>
      <c r="D43" s="490">
        <f>'[86]Sch C'!F28</f>
        <v>0</v>
      </c>
      <c r="E43" s="171">
        <f t="shared" si="4"/>
        <v>0</v>
      </c>
      <c r="F43" s="171"/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</row>
    <row r="44" spans="1:14" s="167" customFormat="1">
      <c r="A44" s="163">
        <v>200</v>
      </c>
      <c r="B44" s="170" t="s">
        <v>34</v>
      </c>
      <c r="C44" s="490">
        <f>'[86]Sch C'!D29</f>
        <v>671855</v>
      </c>
      <c r="D44" s="490">
        <f>'[86]Sch C'!F29</f>
        <v>-671855</v>
      </c>
      <c r="E44" s="171">
        <f t="shared" si="4"/>
        <v>0</v>
      </c>
      <c r="F44" s="171"/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</row>
    <row r="45" spans="1:14" s="167" customFormat="1">
      <c r="A45" s="163">
        <v>210</v>
      </c>
      <c r="B45" s="170" t="s">
        <v>35</v>
      </c>
      <c r="C45" s="490">
        <f>'[86]Sch C'!D30</f>
        <v>0</v>
      </c>
      <c r="D45" s="490">
        <f>'[86]Sch C'!F30</f>
        <v>0</v>
      </c>
      <c r="E45" s="171">
        <f t="shared" si="4"/>
        <v>0</v>
      </c>
      <c r="F45" s="171"/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</row>
    <row r="46" spans="1:14" s="167" customFormat="1">
      <c r="A46" s="163">
        <v>220</v>
      </c>
      <c r="B46" s="170" t="s">
        <v>190</v>
      </c>
      <c r="C46" s="490">
        <f>'[86]Sch C'!D31</f>
        <v>0</v>
      </c>
      <c r="D46" s="490">
        <f>'[86]Sch C'!F31</f>
        <v>0</v>
      </c>
      <c r="E46" s="171">
        <f t="shared" si="4"/>
        <v>0</v>
      </c>
      <c r="F46" s="171"/>
      <c r="G46" s="171">
        <f t="shared" si="5"/>
        <v>0</v>
      </c>
      <c r="H46" s="172">
        <f t="shared" si="6"/>
        <v>0</v>
      </c>
      <c r="I46" s="337"/>
      <c r="J46" s="168"/>
      <c r="K46" s="168"/>
      <c r="M46" s="359">
        <f t="shared" si="7"/>
        <v>0</v>
      </c>
      <c r="N46" s="359">
        <f>SUMMARY!J49</f>
        <v>1.2092098577319024</v>
      </c>
    </row>
    <row r="47" spans="1:14" s="167" customFormat="1">
      <c r="A47" s="163">
        <v>230</v>
      </c>
      <c r="B47" s="170" t="s">
        <v>191</v>
      </c>
      <c r="C47" s="490">
        <f>'[86]Sch C'!D32</f>
        <v>137880</v>
      </c>
      <c r="D47" s="490">
        <f>'[86]Sch C'!F32</f>
        <v>0</v>
      </c>
      <c r="E47" s="171">
        <f t="shared" si="4"/>
        <v>137880</v>
      </c>
      <c r="F47" s="171"/>
      <c r="G47" s="171">
        <f t="shared" si="5"/>
        <v>137880</v>
      </c>
      <c r="H47" s="172">
        <f t="shared" si="6"/>
        <v>9.6058059531055808E-3</v>
      </c>
      <c r="I47" s="337"/>
      <c r="J47" s="168"/>
      <c r="K47" s="168"/>
      <c r="M47" s="359">
        <f t="shared" si="7"/>
        <v>3.0827706479452668</v>
      </c>
      <c r="N47" s="359">
        <f>SUMMARY!J50</f>
        <v>2.2270835363825316</v>
      </c>
    </row>
    <row r="48" spans="1:14" s="167" customFormat="1">
      <c r="A48" s="163">
        <v>240</v>
      </c>
      <c r="B48" s="170" t="s">
        <v>201</v>
      </c>
      <c r="C48" s="490">
        <f>'[86]Sch C'!D33</f>
        <v>0</v>
      </c>
      <c r="D48" s="490">
        <f>'[86]Sch C'!F33</f>
        <v>0</v>
      </c>
      <c r="E48" s="171">
        <f t="shared" si="4"/>
        <v>0</v>
      </c>
      <c r="F48" s="171"/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</row>
    <row r="49" spans="1:14" s="167" customFormat="1">
      <c r="A49" s="163">
        <v>250</v>
      </c>
      <c r="B49" s="170" t="s">
        <v>202</v>
      </c>
      <c r="C49" s="490">
        <f>'[86]Sch C'!D34</f>
        <v>433</v>
      </c>
      <c r="D49" s="490">
        <f>'[86]Sch C'!F34</f>
        <v>0</v>
      </c>
      <c r="E49" s="171">
        <f t="shared" si="4"/>
        <v>433</v>
      </c>
      <c r="F49" s="171"/>
      <c r="G49" s="171">
        <f t="shared" si="5"/>
        <v>433</v>
      </c>
      <c r="H49" s="172">
        <f t="shared" si="6"/>
        <v>3.0166187827782975E-5</v>
      </c>
      <c r="I49" s="337"/>
      <c r="J49" s="168"/>
      <c r="K49" s="168"/>
      <c r="M49" s="359">
        <f t="shared" si="7"/>
        <v>9.6811697893842506E-3</v>
      </c>
      <c r="N49" s="359">
        <f>SUMMARY!J52</f>
        <v>1.5242074219710003E-2</v>
      </c>
    </row>
    <row r="50" spans="1:14" s="167" customFormat="1">
      <c r="A50" s="163">
        <v>270</v>
      </c>
      <c r="B50" s="170" t="s">
        <v>203</v>
      </c>
      <c r="C50" s="490">
        <f>'[86]Sch C'!D35</f>
        <v>0</v>
      </c>
      <c r="D50" s="490">
        <f>'[86]Sch C'!F35</f>
        <v>0</v>
      </c>
      <c r="E50" s="171">
        <f t="shared" si="4"/>
        <v>0</v>
      </c>
      <c r="F50" s="171"/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</row>
    <row r="51" spans="1:14" s="167" customFormat="1">
      <c r="A51" s="163">
        <v>280</v>
      </c>
      <c r="B51" s="170" t="s">
        <v>204</v>
      </c>
      <c r="C51" s="490">
        <f>'[86]Sch C'!D36</f>
        <v>0</v>
      </c>
      <c r="D51" s="490">
        <f>'[86]Sch C'!F36</f>
        <v>0</v>
      </c>
      <c r="E51" s="171">
        <f t="shared" si="4"/>
        <v>0</v>
      </c>
      <c r="F51" s="171"/>
      <c r="G51" s="171">
        <f t="shared" si="5"/>
        <v>0</v>
      </c>
      <c r="H51" s="172">
        <f t="shared" si="6"/>
        <v>0</v>
      </c>
      <c r="I51" s="337"/>
      <c r="J51" s="183">
        <v>0</v>
      </c>
      <c r="K51" s="183">
        <v>0</v>
      </c>
      <c r="M51" s="359">
        <f t="shared" si="7"/>
        <v>0</v>
      </c>
      <c r="N51" s="359">
        <f>SUMMARY!J54</f>
        <v>0.46828948963709344</v>
      </c>
    </row>
    <row r="52" spans="1:14" s="167" customFormat="1">
      <c r="A52" s="163">
        <v>290</v>
      </c>
      <c r="B52" s="170" t="s">
        <v>205</v>
      </c>
      <c r="C52" s="490">
        <f>'[86]Sch C'!D37</f>
        <v>0</v>
      </c>
      <c r="D52" s="490">
        <f>'[86]Sch C'!F37</f>
        <v>0</v>
      </c>
      <c r="E52" s="171">
        <f t="shared" si="4"/>
        <v>0</v>
      </c>
      <c r="F52" s="171"/>
      <c r="G52" s="171">
        <f t="shared" si="5"/>
        <v>0</v>
      </c>
      <c r="H52" s="172">
        <f t="shared" si="6"/>
        <v>0</v>
      </c>
      <c r="I52" s="337"/>
      <c r="J52" s="168"/>
      <c r="K52" s="168"/>
      <c r="M52" s="359">
        <f t="shared" si="7"/>
        <v>0</v>
      </c>
      <c r="N52" s="359">
        <f>SUMMARY!J55</f>
        <v>7.2094073659366972E-2</v>
      </c>
    </row>
    <row r="53" spans="1:14" s="167" customFormat="1">
      <c r="A53" s="163">
        <v>300</v>
      </c>
      <c r="B53" s="170" t="s">
        <v>206</v>
      </c>
      <c r="C53" s="490">
        <f>'[86]Sch C'!D38</f>
        <v>287</v>
      </c>
      <c r="D53" s="490">
        <f>'[86]Sch C'!F38</f>
        <v>-287</v>
      </c>
      <c r="E53" s="171">
        <f t="shared" si="4"/>
        <v>0</v>
      </c>
      <c r="F53" s="171"/>
      <c r="G53" s="171">
        <f t="shared" si="5"/>
        <v>0</v>
      </c>
      <c r="H53" s="172">
        <f t="shared" si="6"/>
        <v>0</v>
      </c>
      <c r="I53" s="337"/>
      <c r="J53" s="168"/>
      <c r="K53" s="168"/>
      <c r="M53" s="359">
        <f t="shared" si="7"/>
        <v>0</v>
      </c>
      <c r="N53" s="359">
        <f>SUMMARY!J56</f>
        <v>3.3816553343709896E-3</v>
      </c>
    </row>
    <row r="54" spans="1:14" s="167" customFormat="1">
      <c r="A54" s="163">
        <v>310</v>
      </c>
      <c r="B54" s="170" t="s">
        <v>207</v>
      </c>
      <c r="C54" s="490">
        <f>'[86]Sch C'!D39</f>
        <v>6916</v>
      </c>
      <c r="D54" s="490">
        <f>'[86]Sch C'!F39</f>
        <v>0</v>
      </c>
      <c r="E54" s="171">
        <f t="shared" si="4"/>
        <v>6916</v>
      </c>
      <c r="F54" s="171"/>
      <c r="G54" s="171">
        <f t="shared" si="5"/>
        <v>6916</v>
      </c>
      <c r="H54" s="172">
        <f t="shared" si="6"/>
        <v>4.8182299080126343E-4</v>
      </c>
      <c r="I54" s="337"/>
      <c r="J54" s="168"/>
      <c r="K54" s="168"/>
      <c r="M54" s="359">
        <f t="shared" si="7"/>
        <v>0.15463041631265931</v>
      </c>
      <c r="N54" s="359">
        <f>SUMMARY!J57</f>
        <v>0.29995180907129787</v>
      </c>
    </row>
    <row r="55" spans="1:14" s="167" customFormat="1">
      <c r="A55" s="163">
        <v>320</v>
      </c>
      <c r="B55" s="170" t="s">
        <v>208</v>
      </c>
      <c r="C55" s="490">
        <f>'[86]Sch C'!D40</f>
        <v>6250</v>
      </c>
      <c r="D55" s="490">
        <f>'[86]Sch C'!F40</f>
        <v>-6250</v>
      </c>
      <c r="E55" s="171">
        <f t="shared" si="4"/>
        <v>0</v>
      </c>
      <c r="F55" s="171"/>
      <c r="G55" s="171">
        <f t="shared" si="5"/>
        <v>0</v>
      </c>
      <c r="H55" s="172">
        <f t="shared" si="6"/>
        <v>0</v>
      </c>
      <c r="I55" s="337"/>
      <c r="J55" s="168"/>
      <c r="K55" s="168"/>
      <c r="M55" s="359">
        <f t="shared" si="7"/>
        <v>0</v>
      </c>
      <c r="N55" s="359">
        <f>SUMMARY!J58</f>
        <v>0.15756469785095983</v>
      </c>
    </row>
    <row r="56" spans="1:14" s="167" customFormat="1">
      <c r="A56" s="163">
        <v>330</v>
      </c>
      <c r="B56" s="170" t="s">
        <v>48</v>
      </c>
      <c r="C56" s="490">
        <f>'[86]Sch C'!D41</f>
        <v>319649</v>
      </c>
      <c r="D56" s="490">
        <f>'[86]Sch C'!F41</f>
        <v>-23675</v>
      </c>
      <c r="E56" s="171">
        <f t="shared" si="4"/>
        <v>295974</v>
      </c>
      <c r="F56" s="171"/>
      <c r="G56" s="171">
        <f t="shared" si="5"/>
        <v>295974</v>
      </c>
      <c r="H56" s="172">
        <f t="shared" si="6"/>
        <v>2.0619878235889694E-2</v>
      </c>
      <c r="I56" s="337"/>
      <c r="J56" s="168"/>
      <c r="K56" s="168"/>
      <c r="M56" s="359">
        <f t="shared" si="7"/>
        <v>6.6174931807002642</v>
      </c>
      <c r="N56" s="359">
        <f>SUMMARY!J59</f>
        <v>1.9820866333524478</v>
      </c>
    </row>
    <row r="57" spans="1:14" s="167" customFormat="1">
      <c r="A57" s="163">
        <v>340</v>
      </c>
      <c r="B57" s="170" t="s">
        <v>209</v>
      </c>
      <c r="C57" s="490">
        <f>'[86]Sch C'!D42</f>
        <v>466</v>
      </c>
      <c r="D57" s="490">
        <f>'[86]Sch C'!F42</f>
        <v>0</v>
      </c>
      <c r="E57" s="171">
        <f t="shared" si="4"/>
        <v>466</v>
      </c>
      <c r="F57" s="171"/>
      <c r="G57" s="171">
        <f t="shared" si="5"/>
        <v>466</v>
      </c>
      <c r="H57" s="172">
        <f t="shared" si="6"/>
        <v>3.2465227546759506E-5</v>
      </c>
      <c r="I57" s="337"/>
      <c r="J57" s="168"/>
      <c r="K57" s="168"/>
      <c r="M57" s="359">
        <f t="shared" si="7"/>
        <v>1.0418995662478201E-2</v>
      </c>
      <c r="N57" s="359">
        <f>SUMMARY!J60</f>
        <v>0.1328047459108162</v>
      </c>
    </row>
    <row r="58" spans="1:14" s="167" customFormat="1">
      <c r="A58" s="163">
        <v>350</v>
      </c>
      <c r="B58" s="170" t="s">
        <v>210</v>
      </c>
      <c r="C58" s="490">
        <f>'[86]Sch C'!D43</f>
        <v>9533</v>
      </c>
      <c r="D58" s="490">
        <f>'[86]Sch C'!F43</f>
        <v>-9533</v>
      </c>
      <c r="E58" s="171">
        <f t="shared" si="4"/>
        <v>0</v>
      </c>
      <c r="F58" s="171"/>
      <c r="G58" s="171">
        <f t="shared" si="5"/>
        <v>0</v>
      </c>
      <c r="H58" s="172">
        <f t="shared" si="6"/>
        <v>0</v>
      </c>
      <c r="I58" s="337"/>
      <c r="J58" s="168"/>
      <c r="K58" s="168"/>
      <c r="M58" s="359">
        <f t="shared" si="7"/>
        <v>0</v>
      </c>
      <c r="N58" s="359">
        <f>SUMMARY!J61</f>
        <v>0.16717675650583</v>
      </c>
    </row>
    <row r="59" spans="1:14" s="167" customFormat="1">
      <c r="A59" s="163">
        <v>360</v>
      </c>
      <c r="B59" s="170" t="s">
        <v>211</v>
      </c>
      <c r="C59" s="490">
        <f>'[86]Sch C'!D44</f>
        <v>0</v>
      </c>
      <c r="D59" s="490">
        <f>'[86]Sch C'!F44</f>
        <v>0</v>
      </c>
      <c r="E59" s="171">
        <f t="shared" si="4"/>
        <v>0</v>
      </c>
      <c r="F59" s="171"/>
      <c r="G59" s="171">
        <f t="shared" si="5"/>
        <v>0</v>
      </c>
      <c r="H59" s="172">
        <f t="shared" si="6"/>
        <v>0</v>
      </c>
      <c r="I59" s="337"/>
      <c r="J59" s="168"/>
      <c r="K59" s="168"/>
      <c r="M59" s="359">
        <f t="shared" si="7"/>
        <v>0</v>
      </c>
      <c r="N59" s="359">
        <f>SUMMARY!J62</f>
        <v>8.7222686436743951E-3</v>
      </c>
    </row>
    <row r="60" spans="1:14" s="167" customFormat="1">
      <c r="A60" s="163">
        <v>490</v>
      </c>
      <c r="B60" s="170" t="s">
        <v>36</v>
      </c>
      <c r="C60" s="490">
        <f>'[86]Sch C'!D45</f>
        <v>12811</v>
      </c>
      <c r="D60" s="490">
        <f>'[86]Sch C'!F45</f>
        <v>-440</v>
      </c>
      <c r="E60" s="171">
        <f t="shared" si="4"/>
        <v>12371</v>
      </c>
      <c r="F60" s="171"/>
      <c r="G60" s="171">
        <f t="shared" si="5"/>
        <v>12371</v>
      </c>
      <c r="H60" s="172">
        <f t="shared" si="6"/>
        <v>8.6186122313511131E-4</v>
      </c>
      <c r="I60" s="337"/>
      <c r="J60" s="168"/>
      <c r="K60" s="168"/>
      <c r="M60" s="359">
        <f t="shared" si="7"/>
        <v>0.27659526897106829</v>
      </c>
      <c r="N60" s="359">
        <f>SUMMARY!J63</f>
        <v>0.27778677807815194</v>
      </c>
    </row>
    <row r="61" spans="1:14" s="167" customFormat="1">
      <c r="A61" s="163"/>
      <c r="B61" s="170" t="s">
        <v>177</v>
      </c>
      <c r="C61" s="490">
        <f>SUM(C25:C60)</f>
        <v>2928689</v>
      </c>
      <c r="D61" s="490">
        <f>SUM(D25:D60)</f>
        <v>-505827</v>
      </c>
      <c r="E61" s="171">
        <f t="shared" ref="E61:F61" si="8">SUM(E25:E60)</f>
        <v>2422862</v>
      </c>
      <c r="F61" s="171">
        <f t="shared" si="8"/>
        <v>0</v>
      </c>
      <c r="G61" s="171">
        <f>SUM(G25:G60)</f>
        <v>2422862</v>
      </c>
      <c r="H61" s="186">
        <f t="shared" si="6"/>
        <v>0.1687956355029975</v>
      </c>
      <c r="I61" s="339"/>
      <c r="J61" s="168"/>
      <c r="K61" s="168"/>
      <c r="M61" s="364">
        <f>G61/G$228</f>
        <v>54.171220319277381</v>
      </c>
      <c r="N61" s="359">
        <f>SUMMARY!J64</f>
        <v>50.526072695090264</v>
      </c>
    </row>
    <row r="62" spans="1:14" s="167" customFormat="1">
      <c r="A62" s="163"/>
      <c r="C62" s="165"/>
      <c r="D62" s="165"/>
      <c r="E62" s="165"/>
      <c r="F62" s="165"/>
      <c r="G62" s="165"/>
      <c r="H62" s="187"/>
      <c r="I62" s="340"/>
      <c r="J62" s="168"/>
      <c r="K62" s="168"/>
      <c r="M62" s="359"/>
      <c r="N62" s="359"/>
    </row>
    <row r="63" spans="1:14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40"/>
      <c r="J63" s="168"/>
      <c r="K63" s="168"/>
      <c r="M63" s="359"/>
      <c r="N63" s="359"/>
    </row>
    <row r="64" spans="1:14" s="167" customFormat="1">
      <c r="A64" s="188">
        <v>230</v>
      </c>
      <c r="B64" s="189" t="s">
        <v>253</v>
      </c>
      <c r="C64" s="490">
        <f>'[86]Sch C'!D57</f>
        <v>1200000</v>
      </c>
      <c r="D64" s="490">
        <f>'[86]Sch C'!F57</f>
        <v>0</v>
      </c>
      <c r="E64" s="171">
        <f t="shared" ref="E64:E78" si="9">C64+D64</f>
        <v>1200000</v>
      </c>
      <c r="F64" s="171"/>
      <c r="G64" s="171">
        <f t="shared" ref="G64:G78" si="10">E64+F64</f>
        <v>1200000</v>
      </c>
      <c r="H64" s="172">
        <f t="shared" ref="H64:H79" si="11">IF($G$208=0,0,G64/$G$208)</f>
        <v>8.3601444326419333E-2</v>
      </c>
      <c r="I64" s="337"/>
      <c r="J64" s="190"/>
      <c r="K64" s="168"/>
      <c r="M64" s="359">
        <f t="shared" ref="M64:M79" si="12">G64/G$228</f>
        <v>26.830031748870901</v>
      </c>
      <c r="N64" s="359">
        <f>SUMMARY!J67</f>
        <v>6.8038026869828787</v>
      </c>
    </row>
    <row r="65" spans="1:14" s="167" customFormat="1">
      <c r="A65" s="191">
        <v>240</v>
      </c>
      <c r="B65" s="189" t="s">
        <v>254</v>
      </c>
      <c r="C65" s="490">
        <f>'[86]Sch C'!D58</f>
        <v>37800</v>
      </c>
      <c r="D65" s="490">
        <f>'[86]Sch C'!F58</f>
        <v>0</v>
      </c>
      <c r="E65" s="171">
        <f t="shared" si="9"/>
        <v>37800</v>
      </c>
      <c r="F65" s="171"/>
      <c r="G65" s="171">
        <f t="shared" si="10"/>
        <v>37800</v>
      </c>
      <c r="H65" s="172">
        <f t="shared" si="11"/>
        <v>2.6334454962822088E-3</v>
      </c>
      <c r="I65" s="337"/>
      <c r="J65" s="190"/>
      <c r="K65" s="168"/>
      <c r="M65" s="359">
        <f t="shared" si="12"/>
        <v>0.84514600008943341</v>
      </c>
      <c r="N65" s="359">
        <f>SUMMARY!J68</f>
        <v>4.9854394272867122</v>
      </c>
    </row>
    <row r="66" spans="1:14" s="167" customFormat="1">
      <c r="A66" s="142">
        <v>250</v>
      </c>
      <c r="B66" s="189" t="s">
        <v>307</v>
      </c>
      <c r="C66" s="490">
        <f>'[86]Sch C'!D59</f>
        <v>0</v>
      </c>
      <c r="D66" s="490">
        <f>'[86]Sch C'!F59</f>
        <v>0</v>
      </c>
      <c r="E66" s="171">
        <f t="shared" si="9"/>
        <v>0</v>
      </c>
      <c r="F66" s="171"/>
      <c r="G66" s="171">
        <f t="shared" si="10"/>
        <v>0</v>
      </c>
      <c r="H66" s="172">
        <f t="shared" si="11"/>
        <v>0</v>
      </c>
      <c r="I66" s="337"/>
      <c r="J66" s="190"/>
      <c r="K66" s="168"/>
      <c r="M66" s="359">
        <f t="shared" si="12"/>
        <v>0</v>
      </c>
      <c r="N66" s="359">
        <f>SUMMARY!J69</f>
        <v>3.9573657628136862</v>
      </c>
    </row>
    <row r="67" spans="1:14" s="167" customFormat="1">
      <c r="A67" s="142">
        <v>260</v>
      </c>
      <c r="B67" s="192" t="s">
        <v>308</v>
      </c>
      <c r="C67" s="490">
        <f>'[86]Sch C'!D60</f>
        <v>119265</v>
      </c>
      <c r="D67" s="490">
        <f>'[86]Sch C'!F60</f>
        <v>0</v>
      </c>
      <c r="E67" s="171">
        <f t="shared" si="9"/>
        <v>119265</v>
      </c>
      <c r="F67" s="171"/>
      <c r="G67" s="171">
        <f t="shared" si="10"/>
        <v>119265</v>
      </c>
      <c r="H67" s="172">
        <f t="shared" si="11"/>
        <v>8.3089385479920008E-3</v>
      </c>
      <c r="I67" s="337"/>
      <c r="J67" s="193"/>
      <c r="K67" s="168"/>
      <c r="M67" s="359">
        <f t="shared" si="12"/>
        <v>2.666569780440907</v>
      </c>
      <c r="N67" s="359">
        <f>SUMMARY!J70</f>
        <v>1.1060813959203737</v>
      </c>
    </row>
    <row r="68" spans="1:14" s="167" customFormat="1">
      <c r="A68" s="142">
        <v>270</v>
      </c>
      <c r="B68" s="192" t="s">
        <v>309</v>
      </c>
      <c r="C68" s="490">
        <f>'[86]Sch C'!D61</f>
        <v>17960</v>
      </c>
      <c r="D68" s="490">
        <f>'[86]Sch C'!F61</f>
        <v>0</v>
      </c>
      <c r="E68" s="171">
        <f t="shared" si="9"/>
        <v>17960</v>
      </c>
      <c r="F68" s="171"/>
      <c r="G68" s="171">
        <f t="shared" si="10"/>
        <v>17960</v>
      </c>
      <c r="H68" s="172">
        <f t="shared" si="11"/>
        <v>1.2512349500854094E-3</v>
      </c>
      <c r="I68" s="337"/>
      <c r="J68" s="193"/>
      <c r="K68" s="168"/>
      <c r="M68" s="359">
        <f t="shared" si="12"/>
        <v>0.40155614184143451</v>
      </c>
      <c r="N68" s="359">
        <f>SUMMARY!J71</f>
        <v>0.49146009120450013</v>
      </c>
    </row>
    <row r="69" spans="1:14" s="167" customFormat="1">
      <c r="A69" s="142">
        <v>280</v>
      </c>
      <c r="B69" s="194" t="s">
        <v>258</v>
      </c>
      <c r="C69" s="490">
        <f>'[86]Sch C'!D62</f>
        <v>9492</v>
      </c>
      <c r="D69" s="490">
        <f>'[86]Sch C'!F62</f>
        <v>0</v>
      </c>
      <c r="E69" s="171">
        <f t="shared" si="9"/>
        <v>9492</v>
      </c>
      <c r="F69" s="171"/>
      <c r="G69" s="171">
        <f t="shared" si="10"/>
        <v>9492</v>
      </c>
      <c r="H69" s="172">
        <f t="shared" si="11"/>
        <v>6.6128742462197689E-4</v>
      </c>
      <c r="I69" s="337"/>
      <c r="J69" s="195"/>
      <c r="K69" s="168"/>
      <c r="M69" s="359">
        <f t="shared" si="12"/>
        <v>0.21222555113356883</v>
      </c>
      <c r="N69" s="359">
        <f>SUMMARY!J72</f>
        <v>0.1883559924633407</v>
      </c>
    </row>
    <row r="70" spans="1:14" s="167" customFormat="1">
      <c r="A70" s="142">
        <v>290</v>
      </c>
      <c r="B70" s="194" t="s">
        <v>259</v>
      </c>
      <c r="C70" s="490">
        <f>'[86]Sch C'!D63</f>
        <v>0</v>
      </c>
      <c r="D70" s="490">
        <f>'[86]Sch C'!F63</f>
        <v>0</v>
      </c>
      <c r="E70" s="171">
        <f t="shared" si="9"/>
        <v>0</v>
      </c>
      <c r="F70" s="171"/>
      <c r="G70" s="171">
        <f t="shared" si="10"/>
        <v>0</v>
      </c>
      <c r="H70" s="172">
        <f t="shared" si="11"/>
        <v>0</v>
      </c>
      <c r="I70" s="337"/>
      <c r="J70" s="195"/>
      <c r="K70" s="168"/>
      <c r="M70" s="359">
        <f t="shared" si="12"/>
        <v>0</v>
      </c>
      <c r="N70" s="359">
        <f>SUMMARY!J73</f>
        <v>5.2595996832418557E-3</v>
      </c>
    </row>
    <row r="71" spans="1:14" s="167" customFormat="1">
      <c r="A71" s="142">
        <v>300</v>
      </c>
      <c r="B71" s="194" t="s">
        <v>260</v>
      </c>
      <c r="C71" s="490">
        <f>'[86]Sch C'!D64</f>
        <v>0</v>
      </c>
      <c r="D71" s="490">
        <f>'[86]Sch C'!F64</f>
        <v>0</v>
      </c>
      <c r="E71" s="171">
        <f t="shared" si="9"/>
        <v>0</v>
      </c>
      <c r="F71" s="171"/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</row>
    <row r="72" spans="1:14" s="167" customFormat="1">
      <c r="A72" s="142">
        <v>310</v>
      </c>
      <c r="B72" s="194" t="s">
        <v>310</v>
      </c>
      <c r="C72" s="490">
        <f>'[86]Sch C'!D65</f>
        <v>0</v>
      </c>
      <c r="D72" s="490">
        <f>'[86]Sch C'!F65</f>
        <v>0</v>
      </c>
      <c r="E72" s="171">
        <f t="shared" si="9"/>
        <v>0</v>
      </c>
      <c r="F72" s="171"/>
      <c r="G72" s="171">
        <f t="shared" si="10"/>
        <v>0</v>
      </c>
      <c r="H72" s="172">
        <f t="shared" si="11"/>
        <v>0</v>
      </c>
      <c r="I72" s="337"/>
      <c r="J72" s="195"/>
      <c r="K72" s="168"/>
      <c r="M72" s="359">
        <f t="shared" si="12"/>
        <v>0</v>
      </c>
      <c r="N72" s="359">
        <f>SUMMARY!J75</f>
        <v>0.1407368559023511</v>
      </c>
    </row>
    <row r="73" spans="1:14" s="167" customFormat="1">
      <c r="A73" s="142">
        <v>320</v>
      </c>
      <c r="B73" s="194" t="s">
        <v>262</v>
      </c>
      <c r="C73" s="490">
        <f>'[86]Sch C'!D66</f>
        <v>343858</v>
      </c>
      <c r="D73" s="490">
        <f>'[86]Sch C'!F66</f>
        <v>-2214</v>
      </c>
      <c r="E73" s="171">
        <f t="shared" si="9"/>
        <v>341644</v>
      </c>
      <c r="F73" s="171"/>
      <c r="G73" s="171">
        <f t="shared" si="10"/>
        <v>341644</v>
      </c>
      <c r="H73" s="172">
        <f t="shared" si="11"/>
        <v>2.3801609871212673E-2</v>
      </c>
      <c r="I73" s="337"/>
      <c r="J73" s="195"/>
      <c r="K73" s="168"/>
      <c r="M73" s="359">
        <f t="shared" si="12"/>
        <v>7.6385994723427091</v>
      </c>
      <c r="N73" s="359">
        <f>SUMMARY!J76</f>
        <v>1.0094065700008192</v>
      </c>
    </row>
    <row r="74" spans="1:14" s="167" customFormat="1">
      <c r="A74" s="142">
        <v>330</v>
      </c>
      <c r="B74" s="194" t="s">
        <v>263</v>
      </c>
      <c r="C74" s="490">
        <f>'[86]Sch C'!D67</f>
        <v>72740</v>
      </c>
      <c r="D74" s="490">
        <f>'[86]Sch C'!F67</f>
        <v>0</v>
      </c>
      <c r="E74" s="171">
        <f t="shared" si="9"/>
        <v>72740</v>
      </c>
      <c r="F74" s="171"/>
      <c r="G74" s="171">
        <f t="shared" si="10"/>
        <v>72740</v>
      </c>
      <c r="H74" s="172">
        <f t="shared" si="11"/>
        <v>5.0676408835864514E-3</v>
      </c>
      <c r="I74" s="337"/>
      <c r="J74" s="195"/>
      <c r="K74" s="168"/>
      <c r="M74" s="359">
        <f t="shared" si="12"/>
        <v>1.6263470911773912</v>
      </c>
      <c r="N74" s="359">
        <f>SUMMARY!J77</f>
        <v>2.7436852176043502</v>
      </c>
    </row>
    <row r="75" spans="1:14" s="167" customFormat="1">
      <c r="A75" s="142">
        <v>340</v>
      </c>
      <c r="B75" s="194" t="s">
        <v>264</v>
      </c>
      <c r="C75" s="490">
        <f>'[86]Sch C'!D68</f>
        <v>0</v>
      </c>
      <c r="D75" s="490">
        <f>'[86]Sch C'!F68</f>
        <v>0</v>
      </c>
      <c r="E75" s="171">
        <f t="shared" si="9"/>
        <v>0</v>
      </c>
      <c r="F75" s="171"/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</row>
    <row r="76" spans="1:14" s="167" customFormat="1">
      <c r="A76" s="167">
        <v>350</v>
      </c>
      <c r="B76" s="194" t="s">
        <v>311</v>
      </c>
      <c r="C76" s="490">
        <f>'[86]Sch C'!D69</f>
        <v>7054</v>
      </c>
      <c r="D76" s="490">
        <f>'[86]Sch C'!F69</f>
        <v>0</v>
      </c>
      <c r="E76" s="171">
        <f t="shared" si="9"/>
        <v>7054</v>
      </c>
      <c r="F76" s="171"/>
      <c r="G76" s="171">
        <f t="shared" si="10"/>
        <v>7054</v>
      </c>
      <c r="H76" s="172">
        <f t="shared" si="11"/>
        <v>4.9143715689880163E-4</v>
      </c>
      <c r="I76" s="337"/>
      <c r="J76" s="195"/>
      <c r="K76" s="168"/>
      <c r="M76" s="359">
        <f t="shared" si="12"/>
        <v>0.15771586996377945</v>
      </c>
      <c r="N76" s="359">
        <f>SUMMARY!J79</f>
        <v>0.13125994920946998</v>
      </c>
    </row>
    <row r="77" spans="1:14" s="167" customFormat="1">
      <c r="A77" s="142">
        <v>360</v>
      </c>
      <c r="B77" s="194" t="s">
        <v>192</v>
      </c>
      <c r="C77" s="490">
        <f>'[86]Sch C'!D70</f>
        <v>0</v>
      </c>
      <c r="D77" s="490">
        <f>'[86]Sch C'!F70</f>
        <v>0</v>
      </c>
      <c r="E77" s="171">
        <f t="shared" si="9"/>
        <v>0</v>
      </c>
      <c r="F77" s="171"/>
      <c r="G77" s="171">
        <f t="shared" si="10"/>
        <v>0</v>
      </c>
      <c r="H77" s="172">
        <f t="shared" si="11"/>
        <v>0</v>
      </c>
      <c r="I77" s="337"/>
      <c r="J77" s="195"/>
      <c r="K77" s="168"/>
      <c r="M77" s="359">
        <f t="shared" si="12"/>
        <v>0</v>
      </c>
      <c r="N77" s="359">
        <f>SUMMARY!J80</f>
        <v>-2.2034898009338905E-2</v>
      </c>
    </row>
    <row r="78" spans="1:14" s="167" customFormat="1">
      <c r="A78" s="142">
        <v>490</v>
      </c>
      <c r="B78" s="194" t="s">
        <v>312</v>
      </c>
      <c r="C78" s="490">
        <f>'[86]Sch C'!D71</f>
        <v>0</v>
      </c>
      <c r="D78" s="490">
        <f>'[86]Sch C'!F71</f>
        <v>0</v>
      </c>
      <c r="E78" s="171">
        <f t="shared" si="9"/>
        <v>0</v>
      </c>
      <c r="F78" s="171"/>
      <c r="G78" s="171">
        <f t="shared" si="10"/>
        <v>0</v>
      </c>
      <c r="H78" s="172">
        <f t="shared" si="11"/>
        <v>0</v>
      </c>
      <c r="I78" s="337"/>
      <c r="J78" s="195"/>
      <c r="K78" s="168"/>
      <c r="M78" s="359">
        <f t="shared" si="12"/>
        <v>0</v>
      </c>
      <c r="N78" s="359">
        <f>SUMMARY!J81</f>
        <v>3.1060648261926221E-3</v>
      </c>
    </row>
    <row r="79" spans="1:14" s="167" customFormat="1">
      <c r="A79" s="163"/>
      <c r="B79" s="170" t="s">
        <v>150</v>
      </c>
      <c r="C79" s="490">
        <f>SUM(C64:C78)</f>
        <v>1808169</v>
      </c>
      <c r="D79" s="490">
        <f>SUM(D64:D78)</f>
        <v>-2214</v>
      </c>
      <c r="E79" s="171">
        <f t="shared" ref="E79:F79" si="13">SUM(E64:E78)</f>
        <v>1805955</v>
      </c>
      <c r="F79" s="171">
        <f t="shared" si="13"/>
        <v>0</v>
      </c>
      <c r="G79" s="171">
        <f>SUM(G64:G78)</f>
        <v>1805955</v>
      </c>
      <c r="H79" s="172">
        <f t="shared" si="11"/>
        <v>0.12581703865709884</v>
      </c>
      <c r="I79" s="337"/>
      <c r="J79" s="195"/>
      <c r="K79" s="168"/>
      <c r="M79" s="359">
        <f t="shared" si="12"/>
        <v>40.378191655860128</v>
      </c>
      <c r="N79" s="359">
        <f>SUMMARY!J82</f>
        <v>21.548739024618541</v>
      </c>
    </row>
    <row r="80" spans="1:14" s="167" customFormat="1">
      <c r="A80" s="163"/>
      <c r="B80" s="170"/>
      <c r="C80" s="196"/>
      <c r="D80" s="196"/>
      <c r="E80" s="196"/>
      <c r="F80" s="196"/>
      <c r="G80" s="196"/>
      <c r="H80" s="197"/>
      <c r="I80" s="337"/>
      <c r="J80" s="168"/>
      <c r="K80" s="168"/>
      <c r="M80" s="359"/>
      <c r="N80" s="359"/>
    </row>
    <row r="81" spans="1:14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1"/>
      <c r="J81" s="168"/>
      <c r="K81" s="168"/>
      <c r="M81" s="359"/>
      <c r="N81" s="359"/>
    </row>
    <row r="82" spans="1:14" s="167" customFormat="1">
      <c r="A82" s="169" t="s">
        <v>85</v>
      </c>
      <c r="B82" s="148" t="s">
        <v>44</v>
      </c>
      <c r="C82" s="490">
        <f>'[86]Sch C'!D75</f>
        <v>59989</v>
      </c>
      <c r="D82" s="490">
        <f>'[86]Sch C'!F75</f>
        <v>0</v>
      </c>
      <c r="E82" s="171">
        <f t="shared" ref="E82:E92" si="14">C82+D82</f>
        <v>59989</v>
      </c>
      <c r="F82" s="171"/>
      <c r="G82" s="171">
        <f t="shared" ref="G82:G92" si="15">E82+F82</f>
        <v>59989</v>
      </c>
      <c r="H82" s="172">
        <f t="shared" ref="H82:H93" si="16">IF($G$208=0,0,G82/$G$208)</f>
        <v>4.1793058697479745E-3</v>
      </c>
      <c r="I82" s="337"/>
      <c r="J82" s="183">
        <v>3546</v>
      </c>
      <c r="K82" s="183">
        <v>3896</v>
      </c>
      <c r="M82" s="359">
        <f t="shared" ref="M82:M92" si="17">G82/G$228</f>
        <v>1.3412556454858471</v>
      </c>
      <c r="N82" s="359">
        <f>SUMMARY!J85</f>
        <v>2.3611771060320579</v>
      </c>
    </row>
    <row r="83" spans="1:14" s="167" customFormat="1">
      <c r="A83" s="169" t="s">
        <v>86</v>
      </c>
      <c r="B83" s="199" t="s">
        <v>45</v>
      </c>
      <c r="C83" s="490">
        <f>'[86]Sch C'!D76</f>
        <v>9682</v>
      </c>
      <c r="D83" s="490">
        <f>'[86]Sch C'!F76</f>
        <v>0</v>
      </c>
      <c r="E83" s="171">
        <f t="shared" si="14"/>
        <v>9682</v>
      </c>
      <c r="F83" s="171"/>
      <c r="G83" s="171">
        <f t="shared" si="15"/>
        <v>9682</v>
      </c>
      <c r="H83" s="172">
        <f t="shared" si="16"/>
        <v>6.7452431997366E-4</v>
      </c>
      <c r="I83" s="337"/>
      <c r="J83" s="168"/>
      <c r="K83" s="168"/>
      <c r="M83" s="359">
        <f t="shared" si="17"/>
        <v>0.21647363949380674</v>
      </c>
      <c r="N83" s="359">
        <f>SUMMARY!J86</f>
        <v>0.43858787942165905</v>
      </c>
    </row>
    <row r="84" spans="1:14" s="167" customFormat="1">
      <c r="A84" s="169" t="s">
        <v>93</v>
      </c>
      <c r="B84" s="199" t="s">
        <v>47</v>
      </c>
      <c r="C84" s="490">
        <f>'[86]Sch C'!D77</f>
        <v>13662</v>
      </c>
      <c r="D84" s="490">
        <f>'[86]Sch C'!F77</f>
        <v>0</v>
      </c>
      <c r="E84" s="171">
        <f t="shared" si="14"/>
        <v>13662</v>
      </c>
      <c r="F84" s="171"/>
      <c r="G84" s="171">
        <f t="shared" si="15"/>
        <v>13662</v>
      </c>
      <c r="H84" s="172">
        <f t="shared" si="16"/>
        <v>9.5180244365628409E-4</v>
      </c>
      <c r="I84" s="337"/>
      <c r="J84" s="168"/>
      <c r="K84" s="168"/>
      <c r="M84" s="359">
        <f t="shared" si="17"/>
        <v>0.30545991146089524</v>
      </c>
      <c r="N84" s="359">
        <f>SUMMARY!J87</f>
        <v>0.65296275361131606</v>
      </c>
    </row>
    <row r="85" spans="1:14" s="167" customFormat="1">
      <c r="A85" s="169">
        <v>230</v>
      </c>
      <c r="B85" s="199" t="s">
        <v>46</v>
      </c>
      <c r="C85" s="490">
        <f>'[86]Sch C'!D78</f>
        <v>0</v>
      </c>
      <c r="D85" s="490">
        <f>'[86]Sch C'!F78</f>
        <v>0</v>
      </c>
      <c r="E85" s="171">
        <f t="shared" si="14"/>
        <v>0</v>
      </c>
      <c r="F85" s="171"/>
      <c r="G85" s="171">
        <f t="shared" si="15"/>
        <v>0</v>
      </c>
      <c r="H85" s="172">
        <f t="shared" si="16"/>
        <v>0</v>
      </c>
      <c r="I85" s="337"/>
      <c r="J85" s="168"/>
      <c r="K85" s="168"/>
      <c r="M85" s="359">
        <f t="shared" si="17"/>
        <v>0</v>
      </c>
      <c r="N85" s="359">
        <f>SUMMARY!J88</f>
        <v>0.36999472433849429</v>
      </c>
    </row>
    <row r="86" spans="1:14" s="167" customFormat="1">
      <c r="A86" s="169">
        <v>240</v>
      </c>
      <c r="B86" s="200" t="s">
        <v>267</v>
      </c>
      <c r="C86" s="490">
        <f>'[86]Sch C'!D79</f>
        <v>12571</v>
      </c>
      <c r="D86" s="490">
        <f>'[86]Sch C'!F79</f>
        <v>0</v>
      </c>
      <c r="E86" s="171">
        <f t="shared" si="14"/>
        <v>12571</v>
      </c>
      <c r="F86" s="171"/>
      <c r="G86" s="171">
        <f>E86+F86</f>
        <v>12571</v>
      </c>
      <c r="H86" s="172">
        <f t="shared" si="16"/>
        <v>8.7579479718951454E-4</v>
      </c>
      <c r="I86" s="337"/>
      <c r="J86" s="168"/>
      <c r="K86" s="168"/>
      <c r="M86" s="359">
        <f t="shared" si="17"/>
        <v>0.28106694092921342</v>
      </c>
      <c r="N86" s="359">
        <f>SUMMARY!J89</f>
        <v>0.47828681903825671</v>
      </c>
    </row>
    <row r="87" spans="1:14" s="167" customFormat="1">
      <c r="A87" s="169">
        <v>310</v>
      </c>
      <c r="B87" s="199" t="s">
        <v>54</v>
      </c>
      <c r="C87" s="490">
        <f>'[86]Sch C'!D80</f>
        <v>21891</v>
      </c>
      <c r="D87" s="490">
        <f>'[86]Sch C'!F80</f>
        <v>0</v>
      </c>
      <c r="E87" s="171">
        <f t="shared" si="14"/>
        <v>21891</v>
      </c>
      <c r="F87" s="171"/>
      <c r="G87" s="171">
        <f t="shared" si="15"/>
        <v>21891</v>
      </c>
      <c r="H87" s="172">
        <f t="shared" si="16"/>
        <v>1.5250993481247047E-3</v>
      </c>
      <c r="I87" s="337"/>
      <c r="J87" s="168"/>
      <c r="K87" s="168"/>
      <c r="M87" s="359">
        <f t="shared" si="17"/>
        <v>0.48944685417877742</v>
      </c>
      <c r="N87" s="359">
        <f>SUMMARY!J90</f>
        <v>0.92217461565768266</v>
      </c>
    </row>
    <row r="88" spans="1:14" s="167" customFormat="1">
      <c r="A88" s="169">
        <v>320</v>
      </c>
      <c r="B88" s="201" t="s">
        <v>313</v>
      </c>
      <c r="C88" s="490">
        <f>'[86]Sch C'!D81</f>
        <v>31894</v>
      </c>
      <c r="D88" s="490">
        <f>'[86]Sch C'!F81</f>
        <v>0</v>
      </c>
      <c r="E88" s="171">
        <f t="shared" si="14"/>
        <v>31894</v>
      </c>
      <c r="F88" s="171"/>
      <c r="G88" s="171">
        <f t="shared" si="15"/>
        <v>31894</v>
      </c>
      <c r="H88" s="172">
        <f t="shared" si="16"/>
        <v>2.2219870544556816E-3</v>
      </c>
      <c r="I88" s="337"/>
      <c r="J88" s="168"/>
      <c r="K88" s="168"/>
      <c r="M88" s="359">
        <f t="shared" si="17"/>
        <v>0.7130975271654072</v>
      </c>
      <c r="N88" s="359">
        <f>SUMMARY!J91</f>
        <v>0.61441790229649651</v>
      </c>
    </row>
    <row r="89" spans="1:14" s="167" customFormat="1">
      <c r="A89" s="169">
        <v>330</v>
      </c>
      <c r="B89" s="201" t="s">
        <v>314</v>
      </c>
      <c r="C89" s="490">
        <f>'[86]Sch C'!D82</f>
        <v>12181</v>
      </c>
      <c r="D89" s="490">
        <f>'[86]Sch C'!F82</f>
        <v>0</v>
      </c>
      <c r="E89" s="171">
        <f t="shared" si="14"/>
        <v>12181</v>
      </c>
      <c r="F89" s="171"/>
      <c r="G89" s="171">
        <f t="shared" si="15"/>
        <v>12181</v>
      </c>
      <c r="H89" s="172">
        <f t="shared" si="16"/>
        <v>8.4862432778342819E-4</v>
      </c>
      <c r="I89" s="337"/>
      <c r="J89" s="168"/>
      <c r="K89" s="168"/>
      <c r="M89" s="359">
        <f t="shared" si="17"/>
        <v>0.27234718061083041</v>
      </c>
      <c r="N89" s="359">
        <f>SUMMARY!J92</f>
        <v>0.48799148575953694</v>
      </c>
    </row>
    <row r="90" spans="1:14" s="167" customFormat="1">
      <c r="A90" s="163">
        <v>340</v>
      </c>
      <c r="B90" s="201" t="s">
        <v>300</v>
      </c>
      <c r="C90" s="490">
        <f>'[86]Sch C'!D83</f>
        <v>0</v>
      </c>
      <c r="D90" s="490">
        <f>'[86]Sch C'!F83</f>
        <v>0</v>
      </c>
      <c r="E90" s="171">
        <f t="shared" si="14"/>
        <v>0</v>
      </c>
      <c r="F90" s="171"/>
      <c r="G90" s="171">
        <f t="shared" si="15"/>
        <v>0</v>
      </c>
      <c r="H90" s="172">
        <f t="shared" si="16"/>
        <v>0</v>
      </c>
      <c r="I90" s="337"/>
      <c r="J90" s="168"/>
      <c r="K90" s="168"/>
      <c r="M90" s="359">
        <f t="shared" si="17"/>
        <v>0</v>
      </c>
      <c r="N90" s="359">
        <f>SUMMARY!J93</f>
        <v>0.19293963026678682</v>
      </c>
    </row>
    <row r="91" spans="1:14" s="167" customFormat="1">
      <c r="A91" s="163">
        <v>350</v>
      </c>
      <c r="B91" s="199" t="s">
        <v>49</v>
      </c>
      <c r="C91" s="490">
        <f>'[86]Sch C'!D84</f>
        <v>182340</v>
      </c>
      <c r="D91" s="490">
        <f>'[86]Sch C'!F84</f>
        <v>0</v>
      </c>
      <c r="E91" s="171">
        <f t="shared" si="14"/>
        <v>182340</v>
      </c>
      <c r="F91" s="171"/>
      <c r="G91" s="171">
        <f t="shared" si="15"/>
        <v>182340</v>
      </c>
      <c r="H91" s="172">
        <f t="shared" si="16"/>
        <v>1.2703239465399417E-2</v>
      </c>
      <c r="I91" s="337"/>
      <c r="J91" s="168"/>
      <c r="K91" s="168"/>
      <c r="M91" s="359">
        <f t="shared" si="17"/>
        <v>4.0768233242409337</v>
      </c>
      <c r="N91" s="359">
        <f>SUMMARY!J94</f>
        <v>4.5521505201933312</v>
      </c>
    </row>
    <row r="92" spans="1:14" s="167" customFormat="1">
      <c r="A92" s="163">
        <v>490</v>
      </c>
      <c r="B92" s="148" t="s">
        <v>312</v>
      </c>
      <c r="C92" s="490">
        <f>'[86]Sch C'!D85</f>
        <v>0</v>
      </c>
      <c r="D92" s="490">
        <f>'[86]Sch C'!F85</f>
        <v>0</v>
      </c>
      <c r="E92" s="171">
        <f t="shared" si="14"/>
        <v>0</v>
      </c>
      <c r="F92" s="171"/>
      <c r="G92" s="171">
        <f t="shared" si="15"/>
        <v>0</v>
      </c>
      <c r="H92" s="172">
        <f t="shared" si="16"/>
        <v>0</v>
      </c>
      <c r="I92" s="337"/>
      <c r="J92" s="168"/>
      <c r="K92" s="168"/>
      <c r="M92" s="359">
        <f t="shared" si="17"/>
        <v>0</v>
      </c>
      <c r="N92" s="359">
        <f>SUMMARY!J95</f>
        <v>0.10456320690314301</v>
      </c>
    </row>
    <row r="93" spans="1:14" s="167" customFormat="1">
      <c r="A93" s="163"/>
      <c r="B93" s="170" t="s">
        <v>50</v>
      </c>
      <c r="C93" s="490">
        <f>SUM(C82:C92)</f>
        <v>344210</v>
      </c>
      <c r="D93" s="490">
        <f>SUM(D82:D92)</f>
        <v>0</v>
      </c>
      <c r="E93" s="171">
        <f t="shared" ref="E93:F93" si="18">SUM(E82:E92)</f>
        <v>344210</v>
      </c>
      <c r="F93" s="171">
        <f t="shared" si="18"/>
        <v>0</v>
      </c>
      <c r="G93" s="171">
        <f>SUM(G82:G92)</f>
        <v>344210</v>
      </c>
      <c r="H93" s="172">
        <f t="shared" si="16"/>
        <v>2.3980377626330665E-2</v>
      </c>
      <c r="I93" s="337"/>
      <c r="J93" s="168"/>
      <c r="K93" s="168"/>
      <c r="M93" s="364">
        <f>G93/G$228</f>
        <v>7.6959710235657113</v>
      </c>
      <c r="N93" s="359">
        <f>SUMMARY!J96</f>
        <v>11.17524664351876</v>
      </c>
    </row>
    <row r="94" spans="1:14" s="167" customFormat="1">
      <c r="A94" s="163"/>
      <c r="C94" s="165"/>
      <c r="D94" s="165"/>
      <c r="E94" s="165"/>
      <c r="F94" s="165"/>
      <c r="G94" s="165"/>
      <c r="H94" s="198"/>
      <c r="I94" s="341"/>
      <c r="J94" s="168"/>
      <c r="K94" s="168"/>
      <c r="M94" s="359"/>
      <c r="N94" s="359"/>
    </row>
    <row r="95" spans="1:14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1"/>
      <c r="J95" s="168"/>
      <c r="K95" s="168"/>
      <c r="M95" s="359"/>
      <c r="N95" s="359"/>
    </row>
    <row r="96" spans="1:14" s="167" customFormat="1">
      <c r="A96" s="169" t="s">
        <v>85</v>
      </c>
      <c r="B96" s="170" t="s">
        <v>44</v>
      </c>
      <c r="C96" s="490">
        <f>'[86]Sch C'!D89</f>
        <v>347254</v>
      </c>
      <c r="D96" s="490">
        <f>'[86]Sch C'!F89</f>
        <v>0</v>
      </c>
      <c r="E96" s="171">
        <f t="shared" ref="E96:E101" si="19">C96+D96</f>
        <v>347254</v>
      </c>
      <c r="F96" s="171"/>
      <c r="G96" s="171">
        <f t="shared" ref="G96:G101" si="20">E96+F96</f>
        <v>347254</v>
      </c>
      <c r="H96" s="172">
        <f t="shared" ref="H96:H102" si="21">IF($G$208=0,0,G96/$G$208)</f>
        <v>2.4192446623438682E-2</v>
      </c>
      <c r="I96" s="337"/>
      <c r="J96" s="183">
        <v>30011</v>
      </c>
      <c r="K96" s="183">
        <v>32429</v>
      </c>
      <c r="M96" s="364">
        <f t="shared" ref="M96:M101" si="22">G96/G$228</f>
        <v>7.7640298707686801</v>
      </c>
      <c r="N96" s="359">
        <f>SUMMARY!J99</f>
        <v>8.2060376122989549</v>
      </c>
    </row>
    <row r="97" spans="1:14" s="167" customFormat="1">
      <c r="A97" s="169" t="s">
        <v>86</v>
      </c>
      <c r="B97" s="170" t="s">
        <v>45</v>
      </c>
      <c r="C97" s="490">
        <f>'[86]Sch C'!D90</f>
        <v>55755</v>
      </c>
      <c r="D97" s="490">
        <f>'[86]Sch C'!F90</f>
        <v>0</v>
      </c>
      <c r="E97" s="171">
        <f t="shared" si="19"/>
        <v>55755</v>
      </c>
      <c r="F97" s="171"/>
      <c r="G97" s="171">
        <f t="shared" si="20"/>
        <v>55755</v>
      </c>
      <c r="H97" s="172">
        <f t="shared" si="21"/>
        <v>3.8843321070162582E-3</v>
      </c>
      <c r="I97" s="337"/>
      <c r="J97" s="168"/>
      <c r="K97" s="168"/>
      <c r="M97" s="364">
        <f t="shared" si="22"/>
        <v>1.2465903501319142</v>
      </c>
      <c r="N97" s="359">
        <f>SUMMARY!J100</f>
        <v>1.4669439852641635</v>
      </c>
    </row>
    <row r="98" spans="1:14" s="167" customFormat="1">
      <c r="A98" s="169">
        <v>310</v>
      </c>
      <c r="B98" s="170" t="s">
        <v>54</v>
      </c>
      <c r="C98" s="490">
        <f>'[86]Sch C'!D91</f>
        <v>28007</v>
      </c>
      <c r="D98" s="490">
        <f>'[86]Sch C'!F91</f>
        <v>0</v>
      </c>
      <c r="E98" s="171">
        <f t="shared" si="19"/>
        <v>28007</v>
      </c>
      <c r="F98" s="171"/>
      <c r="G98" s="171">
        <f t="shared" si="20"/>
        <v>28007</v>
      </c>
      <c r="H98" s="172">
        <f t="shared" si="21"/>
        <v>1.9511880427083553E-3</v>
      </c>
      <c r="I98" s="337"/>
      <c r="J98" s="168"/>
      <c r="K98" s="168"/>
      <c r="M98" s="364">
        <f t="shared" si="22"/>
        <v>0.62619058265885619</v>
      </c>
      <c r="N98" s="359">
        <f>SUMMARY!J101</f>
        <v>1.183530597198329</v>
      </c>
    </row>
    <row r="99" spans="1:14" s="167" customFormat="1">
      <c r="A99" s="169">
        <v>380</v>
      </c>
      <c r="B99" s="170" t="s">
        <v>52</v>
      </c>
      <c r="C99" s="490">
        <f>'[86]Sch C'!D92</f>
        <v>257076</v>
      </c>
      <c r="D99" s="490">
        <f>'[86]Sch C'!F92</f>
        <v>-3741</v>
      </c>
      <c r="E99" s="171">
        <f t="shared" si="19"/>
        <v>253335</v>
      </c>
      <c r="F99" s="171"/>
      <c r="G99" s="171">
        <f t="shared" si="20"/>
        <v>253335</v>
      </c>
      <c r="H99" s="172">
        <f t="shared" si="21"/>
        <v>1.7649309915361202E-2</v>
      </c>
      <c r="I99" s="337"/>
      <c r="J99" s="168"/>
      <c r="K99" s="168"/>
      <c r="M99" s="364">
        <f t="shared" si="22"/>
        <v>5.6641550775835086</v>
      </c>
      <c r="N99" s="359">
        <f>SUMMARY!J102</f>
        <v>7.0821094672455693</v>
      </c>
    </row>
    <row r="100" spans="1:14" s="167" customFormat="1">
      <c r="A100" s="169">
        <v>390</v>
      </c>
      <c r="B100" s="170" t="s">
        <v>53</v>
      </c>
      <c r="C100" s="490">
        <f>'[86]Sch C'!D93</f>
        <v>31027</v>
      </c>
      <c r="D100" s="490">
        <f>'[86]Sch C'!F93</f>
        <v>0</v>
      </c>
      <c r="E100" s="171">
        <f t="shared" si="19"/>
        <v>31027</v>
      </c>
      <c r="F100" s="171"/>
      <c r="G100" s="171">
        <f t="shared" si="20"/>
        <v>31027</v>
      </c>
      <c r="H100" s="172">
        <f t="shared" si="21"/>
        <v>2.161585010929844E-3</v>
      </c>
      <c r="I100" s="337"/>
      <c r="J100" s="168"/>
      <c r="K100" s="168"/>
      <c r="M100" s="364">
        <f t="shared" si="22"/>
        <v>0.69371282922684796</v>
      </c>
      <c r="N100" s="359">
        <f>SUMMARY!J103</f>
        <v>0.68088587422517122</v>
      </c>
    </row>
    <row r="101" spans="1:14" s="167" customFormat="1">
      <c r="A101" s="169">
        <v>490</v>
      </c>
      <c r="B101" s="202" t="s">
        <v>312</v>
      </c>
      <c r="C101" s="490">
        <f>'[86]Sch C'!D94</f>
        <v>0</v>
      </c>
      <c r="D101" s="490">
        <f>'[86]Sch C'!F94</f>
        <v>0</v>
      </c>
      <c r="E101" s="171">
        <f t="shared" si="19"/>
        <v>0</v>
      </c>
      <c r="F101" s="171"/>
      <c r="G101" s="171">
        <f t="shared" si="20"/>
        <v>0</v>
      </c>
      <c r="H101" s="172">
        <f t="shared" si="21"/>
        <v>0</v>
      </c>
      <c r="I101" s="337"/>
      <c r="J101" s="168"/>
      <c r="K101" s="168"/>
      <c r="M101" s="364">
        <f t="shared" si="22"/>
        <v>0</v>
      </c>
      <c r="N101" s="359">
        <f>SUMMARY!J104</f>
        <v>6.9797777231643043E-2</v>
      </c>
    </row>
    <row r="102" spans="1:14" s="167" customFormat="1">
      <c r="A102" s="169"/>
      <c r="B102" s="170" t="s">
        <v>55</v>
      </c>
      <c r="C102" s="490">
        <f>SUM(C96:C101)</f>
        <v>719119</v>
      </c>
      <c r="D102" s="490">
        <f>SUM(D96:D101)</f>
        <v>-3741</v>
      </c>
      <c r="E102" s="171">
        <f t="shared" ref="E102:F102" si="23">SUM(E96:E101)</f>
        <v>715378</v>
      </c>
      <c r="F102" s="171">
        <f t="shared" si="23"/>
        <v>0</v>
      </c>
      <c r="G102" s="171">
        <f>SUM(G96:G101)</f>
        <v>715378</v>
      </c>
      <c r="H102" s="172">
        <f t="shared" si="21"/>
        <v>4.983886169945434E-2</v>
      </c>
      <c r="I102" s="337"/>
      <c r="J102" s="168"/>
      <c r="K102" s="168"/>
      <c r="M102" s="364">
        <f>G102/G$228</f>
        <v>15.994678710369808</v>
      </c>
      <c r="N102" s="359">
        <f>SUMMARY!J105</f>
        <v>18.68930531346383</v>
      </c>
    </row>
    <row r="103" spans="1:14" s="167" customFormat="1">
      <c r="A103" s="163"/>
      <c r="C103" s="165"/>
      <c r="D103" s="165"/>
      <c r="E103" s="165"/>
      <c r="F103" s="165"/>
      <c r="G103" s="165"/>
      <c r="H103" s="198"/>
      <c r="I103" s="341"/>
      <c r="J103" s="168"/>
      <c r="K103" s="168"/>
      <c r="M103" s="359"/>
      <c r="N103" s="359"/>
    </row>
    <row r="104" spans="1:14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1"/>
      <c r="J104" s="168"/>
      <c r="K104" s="168"/>
      <c r="M104" s="359"/>
      <c r="N104" s="359"/>
    </row>
    <row r="105" spans="1:14" s="167" customFormat="1">
      <c r="A105" s="169" t="s">
        <v>85</v>
      </c>
      <c r="B105" s="170" t="s">
        <v>44</v>
      </c>
      <c r="C105" s="490">
        <f>'[86]Sch C'!D98</f>
        <v>0</v>
      </c>
      <c r="D105" s="490">
        <f>'[86]Sch C'!F98</f>
        <v>0</v>
      </c>
      <c r="E105" s="171">
        <f t="shared" ref="E105:E110" si="24">C105+D105</f>
        <v>0</v>
      </c>
      <c r="F105" s="171"/>
      <c r="G105" s="171">
        <f t="shared" ref="G105:G110" si="25">E105+F105</f>
        <v>0</v>
      </c>
      <c r="H105" s="172">
        <f t="shared" ref="H105:H111" si="26">IF($G$208=0,0,G105/$G$208)</f>
        <v>0</v>
      </c>
      <c r="I105" s="337"/>
      <c r="J105" s="183">
        <v>0</v>
      </c>
      <c r="K105" s="183">
        <v>0</v>
      </c>
      <c r="M105" s="364">
        <f t="shared" ref="M105:M110" si="27">G105/G$228</f>
        <v>0</v>
      </c>
      <c r="N105" s="359">
        <f>SUMMARY!J108</f>
        <v>0.86506273995794769</v>
      </c>
    </row>
    <row r="106" spans="1:14" s="167" customFormat="1">
      <c r="A106" s="169" t="s">
        <v>86</v>
      </c>
      <c r="B106" s="170" t="s">
        <v>45</v>
      </c>
      <c r="C106" s="490">
        <f>'[86]Sch C'!D99</f>
        <v>0</v>
      </c>
      <c r="D106" s="490">
        <f>'[86]Sch C'!F99</f>
        <v>0</v>
      </c>
      <c r="E106" s="171">
        <f t="shared" si="24"/>
        <v>0</v>
      </c>
      <c r="F106" s="171"/>
      <c r="G106" s="171">
        <f t="shared" si="25"/>
        <v>0</v>
      </c>
      <c r="H106" s="172">
        <f t="shared" si="26"/>
        <v>0</v>
      </c>
      <c r="I106" s="337"/>
      <c r="J106" s="168"/>
      <c r="K106" s="168"/>
      <c r="M106" s="364">
        <f t="shared" si="27"/>
        <v>0</v>
      </c>
      <c r="N106" s="359">
        <f>SUMMARY!J109</f>
        <v>0.16496038159209525</v>
      </c>
    </row>
    <row r="107" spans="1:14" s="167" customFormat="1">
      <c r="A107" s="169">
        <v>110</v>
      </c>
      <c r="B107" s="170" t="s">
        <v>47</v>
      </c>
      <c r="C107" s="490">
        <f>'[86]Sch C'!D100</f>
        <v>238</v>
      </c>
      <c r="D107" s="490">
        <f>'[86]Sch C'!F100</f>
        <v>0</v>
      </c>
      <c r="E107" s="171">
        <f t="shared" si="24"/>
        <v>238</v>
      </c>
      <c r="F107" s="171"/>
      <c r="G107" s="171">
        <f t="shared" si="25"/>
        <v>238</v>
      </c>
      <c r="H107" s="172">
        <f t="shared" si="26"/>
        <v>1.6580953124739832E-5</v>
      </c>
      <c r="I107" s="337"/>
      <c r="J107" s="168"/>
      <c r="K107" s="168"/>
      <c r="M107" s="364">
        <f t="shared" si="27"/>
        <v>5.3212896301927295E-3</v>
      </c>
      <c r="N107" s="359">
        <f>SUMMARY!J110</f>
        <v>0.16555549548073512</v>
      </c>
    </row>
    <row r="108" spans="1:14" s="167" customFormat="1">
      <c r="A108" s="169">
        <v>310</v>
      </c>
      <c r="B108" s="170" t="s">
        <v>54</v>
      </c>
      <c r="C108" s="490">
        <f>'[86]Sch C'!D101</f>
        <v>92481</v>
      </c>
      <c r="D108" s="490">
        <f>'[86]Sch C'!F101</f>
        <v>0</v>
      </c>
      <c r="E108" s="171">
        <f t="shared" si="24"/>
        <v>92481</v>
      </c>
      <c r="F108" s="171"/>
      <c r="G108" s="171">
        <f t="shared" si="25"/>
        <v>92481</v>
      </c>
      <c r="H108" s="172">
        <f t="shared" si="26"/>
        <v>6.4429543106263214E-3</v>
      </c>
      <c r="I108" s="337"/>
      <c r="J108" s="168"/>
      <c r="K108" s="168"/>
      <c r="M108" s="364">
        <f t="shared" si="27"/>
        <v>2.0677234718061084</v>
      </c>
      <c r="N108" s="359">
        <f>SUMMARY!J111</f>
        <v>0.8274336200540674</v>
      </c>
    </row>
    <row r="109" spans="1:14" s="167" customFormat="1">
      <c r="A109" s="169">
        <v>410</v>
      </c>
      <c r="B109" s="170" t="s">
        <v>57</v>
      </c>
      <c r="C109" s="490">
        <f>'[86]Sch C'!D102</f>
        <v>17053</v>
      </c>
      <c r="D109" s="490">
        <f>'[86]Sch C'!F102</f>
        <v>0</v>
      </c>
      <c r="E109" s="171">
        <f t="shared" si="24"/>
        <v>17053</v>
      </c>
      <c r="F109" s="171"/>
      <c r="G109" s="171">
        <f t="shared" si="25"/>
        <v>17053</v>
      </c>
      <c r="H109" s="172">
        <f t="shared" si="26"/>
        <v>1.1880461917486908E-3</v>
      </c>
      <c r="I109" s="337"/>
      <c r="J109" s="168"/>
      <c r="K109" s="168"/>
      <c r="M109" s="364">
        <f t="shared" si="27"/>
        <v>0.38127710951124627</v>
      </c>
      <c r="N109" s="359">
        <f>SUMMARY!J112</f>
        <v>0.23955234428333469</v>
      </c>
    </row>
    <row r="110" spans="1:14" s="167" customFormat="1">
      <c r="A110" s="169">
        <v>490</v>
      </c>
      <c r="B110" s="202" t="s">
        <v>312</v>
      </c>
      <c r="C110" s="490">
        <f>'[86]Sch C'!D103</f>
        <v>0</v>
      </c>
      <c r="D110" s="490">
        <f>'[86]Sch C'!F103</f>
        <v>0</v>
      </c>
      <c r="E110" s="171">
        <f t="shared" si="24"/>
        <v>0</v>
      </c>
      <c r="F110" s="171"/>
      <c r="G110" s="171">
        <f t="shared" si="25"/>
        <v>0</v>
      </c>
      <c r="H110" s="172">
        <f t="shared" si="26"/>
        <v>0</v>
      </c>
      <c r="I110" s="337"/>
      <c r="J110" s="168"/>
      <c r="K110" s="168"/>
      <c r="M110" s="364">
        <f t="shared" si="27"/>
        <v>0</v>
      </c>
      <c r="N110" s="359">
        <f>SUMMARY!J113</f>
        <v>7.1067748013434922E-3</v>
      </c>
    </row>
    <row r="111" spans="1:14" s="167" customFormat="1">
      <c r="A111" s="163"/>
      <c r="B111" s="170" t="s">
        <v>58</v>
      </c>
      <c r="C111" s="490">
        <f>SUM(C105:C110)</f>
        <v>109772</v>
      </c>
      <c r="D111" s="490">
        <f>SUM(D105:D110)</f>
        <v>0</v>
      </c>
      <c r="E111" s="171">
        <f t="shared" ref="E111:F111" si="28">SUM(E105:E110)</f>
        <v>109772</v>
      </c>
      <c r="F111" s="171">
        <f t="shared" si="28"/>
        <v>0</v>
      </c>
      <c r="G111" s="171">
        <f>SUM(G105:G110)</f>
        <v>109772</v>
      </c>
      <c r="H111" s="172">
        <f t="shared" si="26"/>
        <v>7.6475814554997521E-3</v>
      </c>
      <c r="I111" s="337"/>
      <c r="J111" s="168"/>
      <c r="K111" s="168"/>
      <c r="M111" s="364">
        <f>G111/G$228</f>
        <v>2.4543218709475472</v>
      </c>
      <c r="N111" s="359">
        <f>SUMMARY!J114</f>
        <v>2.269671356169523</v>
      </c>
    </row>
    <row r="112" spans="1:14" s="167" customFormat="1">
      <c r="A112" s="163"/>
      <c r="C112" s="165"/>
      <c r="D112" s="165"/>
      <c r="E112" s="165"/>
      <c r="F112" s="165"/>
      <c r="G112" s="165"/>
      <c r="H112" s="198"/>
      <c r="I112" s="341"/>
      <c r="J112" s="168"/>
      <c r="K112" s="168"/>
      <c r="M112" s="359"/>
      <c r="N112" s="359"/>
    </row>
    <row r="113" spans="1:14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1"/>
      <c r="J113" s="168"/>
      <c r="K113" s="168"/>
      <c r="M113" s="359"/>
      <c r="N113" s="359"/>
    </row>
    <row r="114" spans="1:14" s="167" customFormat="1">
      <c r="A114" s="169" t="s">
        <v>85</v>
      </c>
      <c r="B114" s="170" t="s">
        <v>44</v>
      </c>
      <c r="C114" s="490">
        <f>'[86]Sch C'!D115</f>
        <v>0</v>
      </c>
      <c r="D114" s="490">
        <f>'[86]Sch C'!F115</f>
        <v>0</v>
      </c>
      <c r="E114" s="171">
        <f t="shared" ref="E114:E118" si="29">C114+D114</f>
        <v>0</v>
      </c>
      <c r="F114" s="171"/>
      <c r="G114" s="171">
        <f>E114+F114</f>
        <v>0</v>
      </c>
      <c r="H114" s="172">
        <f t="shared" ref="H114:H119" si="30">IF($G$208=0,0,G114/$G$208)</f>
        <v>0</v>
      </c>
      <c r="I114" s="337"/>
      <c r="J114" s="183">
        <v>0</v>
      </c>
      <c r="K114" s="183">
        <v>0</v>
      </c>
      <c r="M114" s="364">
        <f t="shared" ref="M114:M119" si="31">G114/G$228</f>
        <v>0</v>
      </c>
      <c r="N114" s="359">
        <f>SUMMARY!J117</f>
        <v>2.9289001010349254</v>
      </c>
    </row>
    <row r="115" spans="1:14" s="167" customFormat="1">
      <c r="A115" s="169" t="s">
        <v>86</v>
      </c>
      <c r="B115" s="170" t="s">
        <v>151</v>
      </c>
      <c r="C115" s="490">
        <f>'[86]Sch C'!D116</f>
        <v>0</v>
      </c>
      <c r="D115" s="490">
        <f>'[86]Sch C'!F116</f>
        <v>0</v>
      </c>
      <c r="E115" s="171">
        <f t="shared" si="29"/>
        <v>0</v>
      </c>
      <c r="F115" s="171"/>
      <c r="G115" s="171">
        <f>E115+F115</f>
        <v>0</v>
      </c>
      <c r="H115" s="172">
        <f t="shared" si="30"/>
        <v>0</v>
      </c>
      <c r="I115" s="337"/>
      <c r="J115" s="168"/>
      <c r="K115" s="168"/>
      <c r="M115" s="364">
        <f t="shared" si="31"/>
        <v>0</v>
      </c>
      <c r="N115" s="359">
        <f>SUMMARY!J118</f>
        <v>0.58319440810868606</v>
      </c>
    </row>
    <row r="116" spans="1:14" s="167" customFormat="1">
      <c r="A116" s="169" t="s">
        <v>93</v>
      </c>
      <c r="B116" s="170" t="s">
        <v>47</v>
      </c>
      <c r="C116" s="490">
        <f>'[86]Sch C'!D117</f>
        <v>14743</v>
      </c>
      <c r="D116" s="490">
        <f>'[86]Sch C'!F117</f>
        <v>0</v>
      </c>
      <c r="E116" s="171">
        <f t="shared" si="29"/>
        <v>14743</v>
      </c>
      <c r="F116" s="171"/>
      <c r="G116" s="171">
        <f>E116+F116</f>
        <v>14743</v>
      </c>
      <c r="H116" s="172">
        <f t="shared" si="30"/>
        <v>1.0271134114203334E-3</v>
      </c>
      <c r="I116" s="337"/>
      <c r="J116" s="168"/>
      <c r="K116" s="168"/>
      <c r="M116" s="364">
        <f t="shared" si="31"/>
        <v>0.32962929839466976</v>
      </c>
      <c r="N116" s="359">
        <f>SUMMARY!J119</f>
        <v>0.8285773354086452</v>
      </c>
    </row>
    <row r="117" spans="1:14" s="167" customFormat="1">
      <c r="A117" s="169">
        <v>310</v>
      </c>
      <c r="B117" s="170" t="s">
        <v>60</v>
      </c>
      <c r="C117" s="490">
        <f>'[86]Sch C'!D118</f>
        <v>255252</v>
      </c>
      <c r="D117" s="490">
        <f>'[86]Sch C'!F118</f>
        <v>0</v>
      </c>
      <c r="E117" s="171">
        <f t="shared" si="29"/>
        <v>255252</v>
      </c>
      <c r="F117" s="171"/>
      <c r="G117" s="171">
        <f>E117+F117</f>
        <v>255252</v>
      </c>
      <c r="H117" s="172">
        <f t="shared" si="30"/>
        <v>1.7782863222672658E-2</v>
      </c>
      <c r="I117" s="337"/>
      <c r="J117" s="168"/>
      <c r="K117" s="168"/>
      <c r="M117" s="364">
        <f t="shared" si="31"/>
        <v>5.70701605330233</v>
      </c>
      <c r="N117" s="359">
        <f>SUMMARY!J120</f>
        <v>1.394217388929849</v>
      </c>
    </row>
    <row r="118" spans="1:14" s="167" customFormat="1">
      <c r="A118" s="169">
        <v>490</v>
      </c>
      <c r="B118" s="202" t="s">
        <v>312</v>
      </c>
      <c r="C118" s="490">
        <f>'[86]Sch C'!D119</f>
        <v>0</v>
      </c>
      <c r="D118" s="490">
        <f>'[86]Sch C'!F119</f>
        <v>0</v>
      </c>
      <c r="E118" s="171">
        <f t="shared" si="29"/>
        <v>0</v>
      </c>
      <c r="F118" s="171"/>
      <c r="G118" s="171">
        <f>E118+F118</f>
        <v>0</v>
      </c>
      <c r="H118" s="172">
        <f t="shared" si="30"/>
        <v>0</v>
      </c>
      <c r="I118" s="337"/>
      <c r="J118" s="168"/>
      <c r="K118" s="168"/>
      <c r="M118" s="364">
        <f t="shared" si="31"/>
        <v>0</v>
      </c>
      <c r="N118" s="359">
        <f>SUMMARY!J121</f>
        <v>1.5050905218317359E-2</v>
      </c>
    </row>
    <row r="119" spans="1:14" s="167" customFormat="1">
      <c r="A119" s="163"/>
      <c r="B119" s="170" t="s">
        <v>61</v>
      </c>
      <c r="C119" s="490">
        <f>SUM(C114:C118)</f>
        <v>269995</v>
      </c>
      <c r="D119" s="490">
        <f>SUM(D114:D118)</f>
        <v>0</v>
      </c>
      <c r="E119" s="171">
        <f t="shared" ref="E119:F119" si="32">SUM(E114:E118)</f>
        <v>269995</v>
      </c>
      <c r="F119" s="171">
        <f t="shared" si="32"/>
        <v>0</v>
      </c>
      <c r="G119" s="171">
        <f>SUM(G114:G118)</f>
        <v>269995</v>
      </c>
      <c r="H119" s="172">
        <f t="shared" si="30"/>
        <v>1.8809976634092989E-2</v>
      </c>
      <c r="I119" s="337"/>
      <c r="J119" s="168"/>
      <c r="K119" s="168"/>
      <c r="M119" s="364">
        <f t="shared" si="31"/>
        <v>6.0366453516969996</v>
      </c>
      <c r="N119" s="359">
        <f>SUMMARY!J122</f>
        <v>5.7499401387004214</v>
      </c>
    </row>
    <row r="120" spans="1:14" s="167" customFormat="1">
      <c r="A120" s="163"/>
      <c r="B120" s="170"/>
      <c r="C120" s="196"/>
      <c r="D120" s="196"/>
      <c r="E120" s="196"/>
      <c r="F120" s="196"/>
      <c r="G120" s="196"/>
      <c r="H120" s="197"/>
      <c r="I120" s="337"/>
      <c r="J120" s="203"/>
      <c r="K120" s="203"/>
      <c r="M120" s="359"/>
      <c r="N120" s="359"/>
    </row>
    <row r="121" spans="1:14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1"/>
      <c r="J121" s="204"/>
      <c r="K121" s="204"/>
      <c r="M121" s="359"/>
      <c r="N121" s="359"/>
    </row>
    <row r="122" spans="1:14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1"/>
      <c r="J122" s="204"/>
      <c r="K122" s="204"/>
      <c r="M122" s="359"/>
      <c r="N122" s="359"/>
    </row>
    <row r="123" spans="1:14" s="167" customFormat="1">
      <c r="B123" s="163" t="s">
        <v>232</v>
      </c>
      <c r="C123" s="490">
        <f>'[86]Sch C'!D124</f>
        <v>0</v>
      </c>
      <c r="D123" s="490">
        <f>'[86]Sch C'!F124</f>
        <v>0</v>
      </c>
      <c r="E123" s="171">
        <f t="shared" ref="E123:E127" si="33">C123+D123</f>
        <v>0</v>
      </c>
      <c r="F123" s="171"/>
      <c r="G123" s="171">
        <f>E123+F123</f>
        <v>0</v>
      </c>
      <c r="H123" s="172">
        <f>IF($G$208=0,0,G123/$G$208)</f>
        <v>0</v>
      </c>
      <c r="I123" s="337"/>
      <c r="J123" s="183">
        <v>0</v>
      </c>
      <c r="K123" s="183">
        <v>0</v>
      </c>
      <c r="M123" s="364">
        <f t="shared" ref="M123:M160" si="34">G123/G$228</f>
        <v>0</v>
      </c>
      <c r="N123" s="359">
        <f>SUMMARY!J126</f>
        <v>0.77002560279620991</v>
      </c>
    </row>
    <row r="124" spans="1:14" s="167" customFormat="1">
      <c r="B124" s="163" t="s">
        <v>194</v>
      </c>
      <c r="C124" s="490">
        <f>'[86]Sch C'!D125</f>
        <v>298546</v>
      </c>
      <c r="D124" s="490">
        <f>'[86]Sch C'!F125</f>
        <v>0</v>
      </c>
      <c r="E124" s="171">
        <f t="shared" si="33"/>
        <v>298546</v>
      </c>
      <c r="F124" s="171"/>
      <c r="G124" s="171">
        <f>E124+F124</f>
        <v>298546</v>
      </c>
      <c r="H124" s="172">
        <f>IF($G$208=0,0,G124/$G$208)</f>
        <v>2.0799063998229322E-2</v>
      </c>
      <c r="I124" s="337"/>
      <c r="J124" s="183">
        <v>10159</v>
      </c>
      <c r="K124" s="183">
        <v>10730</v>
      </c>
      <c r="M124" s="364">
        <f t="shared" si="34"/>
        <v>6.6749988820820105</v>
      </c>
      <c r="N124" s="359">
        <f>SUMMARY!J127</f>
        <v>7.8410343245678709</v>
      </c>
    </row>
    <row r="125" spans="1:14" s="167" customFormat="1">
      <c r="A125" s="163" t="s">
        <v>198</v>
      </c>
      <c r="B125" s="163" t="s">
        <v>195</v>
      </c>
      <c r="C125" s="490">
        <f>'[86]Sch C'!D126</f>
        <v>0</v>
      </c>
      <c r="D125" s="490">
        <f>'[86]Sch C'!F126</f>
        <v>0</v>
      </c>
      <c r="E125" s="171">
        <f t="shared" si="33"/>
        <v>0</v>
      </c>
      <c r="F125" s="171"/>
      <c r="G125" s="171">
        <f>E125+F125</f>
        <v>0</v>
      </c>
      <c r="H125" s="172">
        <f>IF($G$208=0,0,G125/$G$208)</f>
        <v>0</v>
      </c>
      <c r="I125" s="337"/>
      <c r="J125" s="183">
        <v>0</v>
      </c>
      <c r="K125" s="183">
        <v>0</v>
      </c>
      <c r="M125" s="364">
        <f t="shared" si="34"/>
        <v>0</v>
      </c>
      <c r="N125" s="359">
        <f>SUMMARY!J128</f>
        <v>0.58591518527620767</v>
      </c>
    </row>
    <row r="126" spans="1:14" s="167" customFormat="1">
      <c r="A126" s="169"/>
      <c r="B126" s="163" t="s">
        <v>196</v>
      </c>
      <c r="C126" s="490">
        <f>'[86]Sch C'!D127</f>
        <v>0</v>
      </c>
      <c r="D126" s="490">
        <f>'[86]Sch C'!F127</f>
        <v>0</v>
      </c>
      <c r="E126" s="171">
        <f t="shared" si="33"/>
        <v>0</v>
      </c>
      <c r="F126" s="171"/>
      <c r="G126" s="171">
        <f>E126+F126</f>
        <v>0</v>
      </c>
      <c r="H126" s="172">
        <f>IF($G$208=0,0,G126/$G$208)</f>
        <v>0</v>
      </c>
      <c r="I126" s="337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</row>
    <row r="127" spans="1:14" s="167" customFormat="1">
      <c r="A127" s="169"/>
      <c r="B127" s="163" t="s">
        <v>197</v>
      </c>
      <c r="C127" s="490">
        <f>'[86]Sch C'!D128</f>
        <v>77239</v>
      </c>
      <c r="D127" s="490">
        <f>'[86]Sch C'!F128</f>
        <v>0</v>
      </c>
      <c r="E127" s="171">
        <f t="shared" si="33"/>
        <v>77239</v>
      </c>
      <c r="F127" s="171"/>
      <c r="G127" s="171">
        <f>E127+F127</f>
        <v>77239</v>
      </c>
      <c r="H127" s="172">
        <f>IF($G$208=0,0,G127/$G$208)</f>
        <v>5.3810766319402521E-3</v>
      </c>
      <c r="I127" s="337"/>
      <c r="J127" s="183">
        <v>4670</v>
      </c>
      <c r="K127" s="183">
        <v>5151</v>
      </c>
      <c r="M127" s="364">
        <f t="shared" si="34"/>
        <v>1.7269373518758664</v>
      </c>
      <c r="N127" s="359">
        <f>SUMMARY!J130</f>
        <v>2.5140796974413586</v>
      </c>
    </row>
    <row r="128" spans="1:14" s="167" customFormat="1">
      <c r="A128" s="169" t="s">
        <v>95</v>
      </c>
      <c r="B128" s="170" t="s">
        <v>152</v>
      </c>
      <c r="C128" s="580"/>
      <c r="D128" s="580"/>
      <c r="E128" s="205"/>
      <c r="F128" s="205"/>
      <c r="G128" s="205"/>
      <c r="H128" s="206"/>
      <c r="I128" s="342"/>
      <c r="J128" s="207"/>
      <c r="K128" s="207"/>
      <c r="M128" s="364"/>
      <c r="N128" s="359"/>
    </row>
    <row r="129" spans="1:14" s="167" customFormat="1">
      <c r="A129" s="169"/>
      <c r="B129" s="163" t="s">
        <v>232</v>
      </c>
      <c r="C129" s="490">
        <f>'[86]Sch C'!D130</f>
        <v>0</v>
      </c>
      <c r="D129" s="490">
        <f>'[86]Sch C'!F130</f>
        <v>0</v>
      </c>
      <c r="E129" s="171">
        <f t="shared" ref="E129:E133" si="35">C129+D129</f>
        <v>0</v>
      </c>
      <c r="F129" s="171"/>
      <c r="G129" s="171">
        <f>E129+F129</f>
        <v>0</v>
      </c>
      <c r="H129" s="172">
        <f>IF($G$208=0,0,G129/$G$208)</f>
        <v>0</v>
      </c>
      <c r="I129" s="337"/>
      <c r="J129" s="204"/>
      <c r="K129" s="204"/>
      <c r="M129" s="364">
        <f t="shared" si="34"/>
        <v>0</v>
      </c>
      <c r="N129" s="359">
        <f>SUMMARY!J132</f>
        <v>0.14225268616367659</v>
      </c>
    </row>
    <row r="130" spans="1:14" s="167" customFormat="1">
      <c r="A130" s="169"/>
      <c r="B130" s="163" t="s">
        <v>194</v>
      </c>
      <c r="C130" s="490">
        <f>'[86]Sch C'!D131</f>
        <v>18617</v>
      </c>
      <c r="D130" s="490">
        <f>'[86]Sch C'!F131</f>
        <v>0</v>
      </c>
      <c r="E130" s="171">
        <f t="shared" si="35"/>
        <v>18617</v>
      </c>
      <c r="F130" s="171"/>
      <c r="G130" s="171">
        <f>E130+F130</f>
        <v>18617</v>
      </c>
      <c r="H130" s="172">
        <f>IF($G$208=0,0,G130/$G$208)</f>
        <v>1.297006740854124E-3</v>
      </c>
      <c r="I130" s="337"/>
      <c r="J130" s="204"/>
      <c r="K130" s="204"/>
      <c r="M130" s="364">
        <f t="shared" si="34"/>
        <v>0.41624558422394131</v>
      </c>
      <c r="N130" s="359">
        <f>SUMMARY!J133</f>
        <v>1.0792348507966931</v>
      </c>
    </row>
    <row r="131" spans="1:14" s="167" customFormat="1">
      <c r="B131" s="163" t="s">
        <v>195</v>
      </c>
      <c r="C131" s="490">
        <f>'[86]Sch C'!D132</f>
        <v>0</v>
      </c>
      <c r="D131" s="490">
        <f>'[86]Sch C'!F132</f>
        <v>0</v>
      </c>
      <c r="E131" s="171">
        <f t="shared" si="35"/>
        <v>0</v>
      </c>
      <c r="F131" s="171"/>
      <c r="G131" s="171">
        <f>E131+F131</f>
        <v>0</v>
      </c>
      <c r="H131" s="172">
        <f>IF($G$208=0,0,G131/$G$208)</f>
        <v>0</v>
      </c>
      <c r="I131" s="337"/>
      <c r="J131" s="168"/>
      <c r="K131" s="168"/>
      <c r="M131" s="364">
        <f t="shared" si="34"/>
        <v>0</v>
      </c>
      <c r="N131" s="359">
        <f>SUMMARY!J134</f>
        <v>8.2765628075518377E-2</v>
      </c>
    </row>
    <row r="132" spans="1:14" s="167" customFormat="1">
      <c r="B132" s="163" t="s">
        <v>196</v>
      </c>
      <c r="C132" s="490">
        <f>'[86]Sch C'!D133</f>
        <v>0</v>
      </c>
      <c r="D132" s="490">
        <f>'[86]Sch C'!F133</f>
        <v>0</v>
      </c>
      <c r="E132" s="171">
        <f t="shared" si="35"/>
        <v>0</v>
      </c>
      <c r="F132" s="171"/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</row>
    <row r="133" spans="1:14" s="167" customFormat="1">
      <c r="B133" s="163" t="s">
        <v>197</v>
      </c>
      <c r="C133" s="490">
        <f>'[86]Sch C'!D134</f>
        <v>13597</v>
      </c>
      <c r="D133" s="490">
        <f>'[86]Sch C'!F134</f>
        <v>0</v>
      </c>
      <c r="E133" s="171">
        <f t="shared" si="35"/>
        <v>13597</v>
      </c>
      <c r="F133" s="171"/>
      <c r="G133" s="171">
        <f>E133+F133</f>
        <v>13597</v>
      </c>
      <c r="H133" s="172">
        <f>IF($G$208=0,0,G133/$G$208)</f>
        <v>9.4727403208860305E-4</v>
      </c>
      <c r="I133" s="337"/>
      <c r="J133" s="168"/>
      <c r="K133" s="168"/>
      <c r="M133" s="364">
        <f t="shared" si="34"/>
        <v>0.30400661807449808</v>
      </c>
      <c r="N133" s="359">
        <f>SUMMARY!J136</f>
        <v>0.48951420004915208</v>
      </c>
    </row>
    <row r="134" spans="1:14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7"/>
      <c r="J134" s="204"/>
      <c r="K134" s="204"/>
      <c r="M134" s="364"/>
      <c r="N134" s="359"/>
    </row>
    <row r="135" spans="1:14" s="167" customFormat="1">
      <c r="A135" s="169"/>
      <c r="B135" s="163" t="s">
        <v>194</v>
      </c>
      <c r="C135" s="490">
        <f>'[86]Sch C'!D136</f>
        <v>2171315</v>
      </c>
      <c r="D135" s="490">
        <f>'[86]Sch C'!F136</f>
        <v>0</v>
      </c>
      <c r="E135" s="171">
        <f t="shared" ref="E135:E138" si="36">C135+D135</f>
        <v>2171315</v>
      </c>
      <c r="F135" s="171"/>
      <c r="G135" s="171">
        <f>E135+F135</f>
        <v>2171315</v>
      </c>
      <c r="H135" s="172">
        <f>IF($G$208=0,0,G135/$G$208)</f>
        <v>0.15127089173968267</v>
      </c>
      <c r="I135" s="337"/>
      <c r="J135" s="183">
        <v>72782</v>
      </c>
      <c r="K135" s="183">
        <v>82468</v>
      </c>
      <c r="M135" s="364">
        <f t="shared" si="34"/>
        <v>48.547041988999688</v>
      </c>
      <c r="N135" s="359">
        <f>SUMMARY!J138</f>
        <v>22.542001283416617</v>
      </c>
    </row>
    <row r="136" spans="1:14" s="167" customFormat="1">
      <c r="A136" s="169"/>
      <c r="B136" s="163" t="s">
        <v>195</v>
      </c>
      <c r="C136" s="490">
        <f>'[86]Sch C'!D137</f>
        <v>636295</v>
      </c>
      <c r="D136" s="490">
        <f>'[86]Sch C'!F137</f>
        <v>0</v>
      </c>
      <c r="E136" s="171">
        <f t="shared" si="36"/>
        <v>636295</v>
      </c>
      <c r="F136" s="171"/>
      <c r="G136" s="171">
        <f>E136+F136</f>
        <v>636295</v>
      </c>
      <c r="H136" s="172">
        <f>IF($G$208=0,0,G136/$G$208)</f>
        <v>4.4329317514732493E-2</v>
      </c>
      <c r="I136" s="337"/>
      <c r="J136" s="183">
        <v>25637</v>
      </c>
      <c r="K136" s="183">
        <v>28432</v>
      </c>
      <c r="M136" s="364">
        <f t="shared" si="34"/>
        <v>14.226512543039842</v>
      </c>
      <c r="N136" s="359">
        <f>SUMMARY!J139</f>
        <v>10.249133857622674</v>
      </c>
    </row>
    <row r="137" spans="1:14" s="167" customFormat="1">
      <c r="A137" s="169"/>
      <c r="B137" s="163" t="s">
        <v>196</v>
      </c>
      <c r="C137" s="490">
        <f>'[86]Sch C'!D138</f>
        <v>1407543</v>
      </c>
      <c r="D137" s="490">
        <f>'[86]Sch C'!F138</f>
        <v>75300</v>
      </c>
      <c r="E137" s="171">
        <f t="shared" si="36"/>
        <v>1482843</v>
      </c>
      <c r="F137" s="171"/>
      <c r="G137" s="171">
        <f>E137+F137</f>
        <v>1482843</v>
      </c>
      <c r="H137" s="172">
        <f>IF($G$208=0,0,G137/$G$208)</f>
        <v>0.10330651375776718</v>
      </c>
      <c r="I137" s="337"/>
      <c r="J137" s="183">
        <v>115386</v>
      </c>
      <c r="K137" s="183">
        <v>132855</v>
      </c>
      <c r="M137" s="364">
        <f t="shared" si="34"/>
        <v>33.153937307159147</v>
      </c>
      <c r="N137" s="359">
        <f>SUMMARY!J140</f>
        <v>27.843137668277773</v>
      </c>
    </row>
    <row r="138" spans="1:14" s="167" customFormat="1">
      <c r="A138" s="169"/>
      <c r="B138" s="163" t="s">
        <v>197</v>
      </c>
      <c r="C138" s="490">
        <f>'[86]Sch C'!D139</f>
        <v>75300</v>
      </c>
      <c r="D138" s="490">
        <f>'[86]Sch C'!F139</f>
        <v>-75300</v>
      </c>
      <c r="E138" s="171">
        <f t="shared" si="36"/>
        <v>0</v>
      </c>
      <c r="F138" s="171"/>
      <c r="G138" s="171">
        <f>E138+F138</f>
        <v>0</v>
      </c>
      <c r="H138" s="172">
        <f>IF($G$208=0,0,G138/$G$208)</f>
        <v>0</v>
      </c>
      <c r="I138" s="337"/>
      <c r="J138" s="183">
        <v>0</v>
      </c>
      <c r="K138" s="183">
        <v>0</v>
      </c>
      <c r="M138" s="364">
        <f t="shared" si="34"/>
        <v>0</v>
      </c>
      <c r="N138" s="359">
        <f>SUMMARY!J141</f>
        <v>2.553029289205647</v>
      </c>
    </row>
    <row r="139" spans="1:14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7"/>
      <c r="J139" s="406"/>
      <c r="K139" s="406"/>
      <c r="M139" s="364"/>
      <c r="N139" s="359"/>
    </row>
    <row r="140" spans="1:14" s="167" customFormat="1">
      <c r="A140" s="169"/>
      <c r="B140" s="163" t="s">
        <v>194</v>
      </c>
      <c r="C140" s="490">
        <f>'[86]Sch C'!D141</f>
        <v>851316</v>
      </c>
      <c r="D140" s="490">
        <f>'[86]Sch C'!F141</f>
        <v>-420481</v>
      </c>
      <c r="E140" s="171">
        <f t="shared" ref="E140:E143" si="37">C140+D140</f>
        <v>430835</v>
      </c>
      <c r="F140" s="171"/>
      <c r="G140" s="171">
        <f>E140+F140</f>
        <v>430835</v>
      </c>
      <c r="H140" s="172">
        <f>IF($G$208=0,0,G140/$G$208)</f>
        <v>3.0015356888644061E-2</v>
      </c>
      <c r="I140" s="337"/>
      <c r="J140" s="168"/>
      <c r="K140" s="168"/>
      <c r="M140" s="364">
        <f t="shared" si="34"/>
        <v>9.6327639404373286</v>
      </c>
      <c r="N140" s="359">
        <f>SUMMARY!J143</f>
        <v>3.8870567805088321</v>
      </c>
    </row>
    <row r="141" spans="1:14" s="167" customFormat="1">
      <c r="A141" s="169"/>
      <c r="B141" s="163" t="s">
        <v>195</v>
      </c>
      <c r="C141" s="490">
        <f>'[86]Sch C'!D142</f>
        <v>0</v>
      </c>
      <c r="D141" s="490">
        <f>'[86]Sch C'!F142</f>
        <v>126254</v>
      </c>
      <c r="E141" s="171">
        <f t="shared" si="37"/>
        <v>126254</v>
      </c>
      <c r="F141" s="171"/>
      <c r="G141" s="171">
        <f>E141+F141</f>
        <v>126254</v>
      </c>
      <c r="H141" s="172">
        <f>IF($G$208=0,0,G141/$G$208)</f>
        <v>8.7958472933231217E-3</v>
      </c>
      <c r="I141" s="337"/>
      <c r="J141" s="168"/>
      <c r="K141" s="168"/>
      <c r="M141" s="364">
        <f t="shared" si="34"/>
        <v>2.8228323570182892</v>
      </c>
      <c r="N141" s="359">
        <f>SUMMARY!J144</f>
        <v>1.7548113884114069</v>
      </c>
    </row>
    <row r="142" spans="1:14" s="167" customFormat="1">
      <c r="A142" s="169"/>
      <c r="B142" s="163" t="s">
        <v>196</v>
      </c>
      <c r="C142" s="490">
        <f>'[86]Sch C'!D143</f>
        <v>0</v>
      </c>
      <c r="D142" s="490">
        <f>'[86]Sch C'!F143</f>
        <v>294227</v>
      </c>
      <c r="E142" s="171">
        <f t="shared" si="37"/>
        <v>294227</v>
      </c>
      <c r="F142" s="171"/>
      <c r="G142" s="171">
        <f>E142+F142</f>
        <v>294227</v>
      </c>
      <c r="H142" s="172">
        <f>IF($G$208=0,0,G142/$G$208)</f>
        <v>2.0498168466524483E-2</v>
      </c>
      <c r="I142" s="337"/>
      <c r="J142" s="168"/>
      <c r="K142" s="168"/>
      <c r="M142" s="364">
        <f t="shared" si="34"/>
        <v>6.5784331261458657</v>
      </c>
      <c r="N142" s="359">
        <f>SUMMARY!J145</f>
        <v>5.0558410725664986</v>
      </c>
    </row>
    <row r="143" spans="1:14" s="167" customFormat="1">
      <c r="A143" s="169"/>
      <c r="B143" s="163" t="s">
        <v>197</v>
      </c>
      <c r="C143" s="490">
        <f>'[86]Sch C'!D144</f>
        <v>0</v>
      </c>
      <c r="D143" s="490">
        <f>'[86]Sch C'!F144</f>
        <v>0</v>
      </c>
      <c r="E143" s="171">
        <f t="shared" si="37"/>
        <v>0</v>
      </c>
      <c r="F143" s="171"/>
      <c r="G143" s="171">
        <f>E143+F143</f>
        <v>0</v>
      </c>
      <c r="H143" s="172">
        <f>IF($G$208=0,0,G143/$G$208)</f>
        <v>0</v>
      </c>
      <c r="I143" s="337"/>
      <c r="J143" s="168"/>
      <c r="K143" s="168"/>
      <c r="M143" s="364">
        <f t="shared" si="34"/>
        <v>0</v>
      </c>
      <c r="N143" s="359">
        <f>SUMMARY!J146</f>
        <v>0.71727598372518497</v>
      </c>
    </row>
    <row r="144" spans="1:14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7"/>
      <c r="J144" s="204"/>
      <c r="K144" s="204"/>
      <c r="M144" s="364"/>
      <c r="N144" s="359"/>
    </row>
    <row r="145" spans="1:14" s="167" customFormat="1">
      <c r="A145" s="169"/>
      <c r="B145" s="163" t="s">
        <v>232</v>
      </c>
      <c r="C145" s="490">
        <f>'[86]Sch C'!D146</f>
        <v>130898</v>
      </c>
      <c r="D145" s="490">
        <f>'[86]Sch C'!F146</f>
        <v>0</v>
      </c>
      <c r="E145" s="171">
        <f t="shared" ref="E145:E153" si="38">C145+D145</f>
        <v>130898</v>
      </c>
      <c r="F145" s="171"/>
      <c r="G145" s="171">
        <f t="shared" ref="G145:G153" si="39">E145+F145</f>
        <v>130898</v>
      </c>
      <c r="H145" s="172">
        <f t="shared" ref="H145:H153" si="40">IF($G$208=0,0,G145/$G$208)</f>
        <v>9.1193848828663646E-3</v>
      </c>
      <c r="I145" s="337"/>
      <c r="J145" s="183">
        <v>409</v>
      </c>
      <c r="K145" s="183">
        <v>409</v>
      </c>
      <c r="M145" s="364">
        <f t="shared" si="34"/>
        <v>2.9266645798864195</v>
      </c>
      <c r="N145" s="359">
        <f>SUMMARY!J148</f>
        <v>1.6388888069686796</v>
      </c>
    </row>
    <row r="146" spans="1:14" s="167" customFormat="1">
      <c r="A146" s="169"/>
      <c r="B146" s="163" t="s">
        <v>194</v>
      </c>
      <c r="C146" s="490">
        <f>'[86]Sch C'!D147</f>
        <v>0</v>
      </c>
      <c r="D146" s="490">
        <f>'[86]Sch C'!F147</f>
        <v>0</v>
      </c>
      <c r="E146" s="171">
        <f t="shared" si="38"/>
        <v>0</v>
      </c>
      <c r="F146" s="171"/>
      <c r="G146" s="171">
        <f t="shared" si="39"/>
        <v>0</v>
      </c>
      <c r="H146" s="172">
        <f t="shared" si="40"/>
        <v>0</v>
      </c>
      <c r="I146" s="337"/>
      <c r="J146" s="183">
        <v>0</v>
      </c>
      <c r="K146" s="183">
        <v>0</v>
      </c>
      <c r="M146" s="364">
        <f t="shared" si="34"/>
        <v>0</v>
      </c>
      <c r="N146" s="359">
        <f>SUMMARY!J149</f>
        <v>0.18124216706261434</v>
      </c>
    </row>
    <row r="147" spans="1:14" s="167" customFormat="1">
      <c r="A147" s="169"/>
      <c r="B147" s="163" t="s">
        <v>195</v>
      </c>
      <c r="C147" s="490">
        <f>'[86]Sch C'!D148</f>
        <v>0</v>
      </c>
      <c r="D147" s="490">
        <f>'[86]Sch C'!F148</f>
        <v>0</v>
      </c>
      <c r="E147" s="171">
        <f t="shared" si="38"/>
        <v>0</v>
      </c>
      <c r="F147" s="171"/>
      <c r="G147" s="171">
        <f t="shared" si="39"/>
        <v>0</v>
      </c>
      <c r="H147" s="172">
        <f t="shared" si="40"/>
        <v>0</v>
      </c>
      <c r="I147" s="337"/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</row>
    <row r="148" spans="1:14" s="167" customFormat="1">
      <c r="A148" s="169"/>
      <c r="B148" s="163" t="s">
        <v>196</v>
      </c>
      <c r="C148" s="490">
        <f>'[86]Sch C'!D149</f>
        <v>0</v>
      </c>
      <c r="D148" s="490">
        <f>'[86]Sch C'!F149</f>
        <v>0</v>
      </c>
      <c r="E148" s="171">
        <f t="shared" si="38"/>
        <v>0</v>
      </c>
      <c r="F148" s="171"/>
      <c r="G148" s="171">
        <f t="shared" si="39"/>
        <v>0</v>
      </c>
      <c r="H148" s="172">
        <f t="shared" si="40"/>
        <v>0</v>
      </c>
      <c r="I148" s="337"/>
      <c r="J148" s="183">
        <v>0</v>
      </c>
      <c r="K148" s="183">
        <v>0</v>
      </c>
      <c r="M148" s="364">
        <f t="shared" si="34"/>
        <v>0</v>
      </c>
      <c r="N148" s="359">
        <f>SUMMARY!J151</f>
        <v>9.6307730537123507E-2</v>
      </c>
    </row>
    <row r="149" spans="1:14" s="167" customFormat="1">
      <c r="A149" s="169"/>
      <c r="B149" s="163" t="s">
        <v>197</v>
      </c>
      <c r="C149" s="490">
        <f>'[86]Sch C'!D150</f>
        <v>2810</v>
      </c>
      <c r="D149" s="490">
        <f>'[86]Sch C'!F150</f>
        <v>0</v>
      </c>
      <c r="E149" s="171">
        <f t="shared" si="38"/>
        <v>2810</v>
      </c>
      <c r="F149" s="171"/>
      <c r="G149" s="171">
        <f t="shared" si="39"/>
        <v>2810</v>
      </c>
      <c r="H149" s="172">
        <f t="shared" si="40"/>
        <v>1.9576671546436527E-4</v>
      </c>
      <c r="I149" s="337"/>
      <c r="J149" s="183">
        <v>0</v>
      </c>
      <c r="K149" s="183">
        <v>0</v>
      </c>
      <c r="M149" s="364">
        <f t="shared" si="34"/>
        <v>6.2826991011939365E-2</v>
      </c>
      <c r="N149" s="359">
        <f>SUMMARY!J152</f>
        <v>0.33970063624696212</v>
      </c>
    </row>
    <row r="150" spans="1:14" s="167" customFormat="1">
      <c r="A150" s="169">
        <v>110</v>
      </c>
      <c r="B150" s="167" t="s">
        <v>65</v>
      </c>
      <c r="C150" s="490">
        <f>'[86]Sch C'!D151</f>
        <v>503887</v>
      </c>
      <c r="D150" s="490">
        <f>'[86]Sch C'!F151</f>
        <v>-18813</v>
      </c>
      <c r="E150" s="171">
        <f t="shared" si="38"/>
        <v>485074</v>
      </c>
      <c r="F150" s="171"/>
      <c r="G150" s="171">
        <f t="shared" si="39"/>
        <v>485074</v>
      </c>
      <c r="H150" s="172">
        <f t="shared" si="40"/>
        <v>3.3794072504327942E-2</v>
      </c>
      <c r="I150" s="337"/>
      <c r="J150" s="168"/>
      <c r="K150" s="168"/>
      <c r="M150" s="364">
        <f t="shared" si="34"/>
        <v>10.845459017126503</v>
      </c>
      <c r="N150" s="359">
        <f>SUMMARY!J153</f>
        <v>5.9639933098495392</v>
      </c>
    </row>
    <row r="151" spans="1:14" s="167" customFormat="1">
      <c r="A151" s="169">
        <v>111</v>
      </c>
      <c r="B151" s="170" t="s">
        <v>97</v>
      </c>
      <c r="C151" s="490">
        <f>'[86]Sch C'!D152</f>
        <v>14656</v>
      </c>
      <c r="D151" s="490">
        <f>'[86]Sch C'!F152</f>
        <v>0</v>
      </c>
      <c r="E151" s="171">
        <f t="shared" si="38"/>
        <v>14656</v>
      </c>
      <c r="F151" s="171"/>
      <c r="G151" s="171">
        <f t="shared" si="39"/>
        <v>14656</v>
      </c>
      <c r="H151" s="172">
        <f t="shared" si="40"/>
        <v>1.021052306706668E-3</v>
      </c>
      <c r="I151" s="337"/>
      <c r="J151" s="168"/>
      <c r="K151" s="168"/>
      <c r="M151" s="364">
        <f t="shared" si="34"/>
        <v>0.32768412109287665</v>
      </c>
      <c r="N151" s="359">
        <f>SUMMARY!J154</f>
        <v>0.31252846181152888</v>
      </c>
    </row>
    <row r="152" spans="1:14" s="167" customFormat="1">
      <c r="A152" s="169">
        <v>230</v>
      </c>
      <c r="B152" s="170" t="s">
        <v>66</v>
      </c>
      <c r="C152" s="490">
        <f>'[86]Sch C'!D153</f>
        <v>0</v>
      </c>
      <c r="D152" s="490">
        <f>'[86]Sch C'!F153</f>
        <v>0</v>
      </c>
      <c r="E152" s="171">
        <f t="shared" si="38"/>
        <v>0</v>
      </c>
      <c r="F152" s="171"/>
      <c r="G152" s="171">
        <f t="shared" si="39"/>
        <v>0</v>
      </c>
      <c r="H152" s="172">
        <f t="shared" si="40"/>
        <v>0</v>
      </c>
      <c r="I152" s="337"/>
      <c r="J152" s="168"/>
      <c r="K152" s="168"/>
      <c r="M152" s="364">
        <f t="shared" si="34"/>
        <v>0</v>
      </c>
      <c r="N152" s="359">
        <f>SUMMARY!J155</f>
        <v>0.16356998443516016</v>
      </c>
    </row>
    <row r="153" spans="1:14" s="167" customFormat="1">
      <c r="A153" s="169">
        <v>430</v>
      </c>
      <c r="B153" s="170" t="s">
        <v>99</v>
      </c>
      <c r="C153" s="490">
        <f>'[86]Sch C'!D154</f>
        <v>0</v>
      </c>
      <c r="D153" s="490">
        <f>'[86]Sch C'!F154</f>
        <v>0</v>
      </c>
      <c r="E153" s="171">
        <f t="shared" si="38"/>
        <v>0</v>
      </c>
      <c r="F153" s="171"/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>
        <f t="shared" si="34"/>
        <v>0</v>
      </c>
      <c r="N153" s="359">
        <f>SUMMARY!J156</f>
        <v>0.98203545506676493</v>
      </c>
    </row>
    <row r="154" spans="1:14" s="167" customFormat="1">
      <c r="A154" s="169"/>
      <c r="B154" s="209" t="s">
        <v>101</v>
      </c>
      <c r="C154" s="572"/>
      <c r="D154" s="572"/>
      <c r="E154" s="210"/>
      <c r="F154" s="210"/>
      <c r="G154" s="210"/>
      <c r="H154" s="211"/>
      <c r="I154" s="337"/>
      <c r="J154" s="168"/>
      <c r="K154" s="168"/>
      <c r="M154" s="364"/>
      <c r="N154" s="359"/>
    </row>
    <row r="155" spans="1:14" s="167" customFormat="1">
      <c r="A155" s="169">
        <v>440.1</v>
      </c>
      <c r="B155" s="163" t="s">
        <v>223</v>
      </c>
      <c r="C155" s="490">
        <f>'[86]Sch C'!D156</f>
        <v>0</v>
      </c>
      <c r="D155" s="490">
        <f>'[86]Sch C'!F156</f>
        <v>0</v>
      </c>
      <c r="E155" s="171">
        <f t="shared" ref="E155:E160" si="41">C155+D155</f>
        <v>0</v>
      </c>
      <c r="F155" s="171"/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</row>
    <row r="156" spans="1:14" s="167" customFormat="1">
      <c r="A156" s="169">
        <v>440.2</v>
      </c>
      <c r="B156" s="163" t="s">
        <v>224</v>
      </c>
      <c r="C156" s="490">
        <f>'[86]Sch C'!D157</f>
        <v>0</v>
      </c>
      <c r="D156" s="490">
        <f>'[86]Sch C'!F157</f>
        <v>0</v>
      </c>
      <c r="E156" s="171">
        <f t="shared" si="41"/>
        <v>0</v>
      </c>
      <c r="F156" s="171"/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>
        <f t="shared" si="34"/>
        <v>0</v>
      </c>
      <c r="N156" s="359">
        <f>SUMMARY!J159</f>
        <v>2.1257535293957019E-2</v>
      </c>
    </row>
    <row r="157" spans="1:14" s="167" customFormat="1">
      <c r="A157" s="169">
        <v>440.3</v>
      </c>
      <c r="B157" s="163" t="s">
        <v>225</v>
      </c>
      <c r="C157" s="490">
        <f>'[86]Sch C'!D158</f>
        <v>0</v>
      </c>
      <c r="D157" s="490">
        <f>'[86]Sch C'!F158</f>
        <v>0</v>
      </c>
      <c r="E157" s="171">
        <f t="shared" si="41"/>
        <v>0</v>
      </c>
      <c r="F157" s="171"/>
      <c r="G157" s="171">
        <f t="shared" si="42"/>
        <v>0</v>
      </c>
      <c r="H157" s="172">
        <f t="shared" si="43"/>
        <v>0</v>
      </c>
      <c r="I157" s="337"/>
      <c r="J157" s="168"/>
      <c r="K157" s="168"/>
      <c r="M157" s="364">
        <f t="shared" si="34"/>
        <v>0</v>
      </c>
      <c r="N157" s="359">
        <f>SUMMARY!J160</f>
        <v>4.0452199557630868E-3</v>
      </c>
    </row>
    <row r="158" spans="1:14" s="167" customFormat="1">
      <c r="A158" s="169">
        <v>440.4</v>
      </c>
      <c r="B158" s="163" t="s">
        <v>226</v>
      </c>
      <c r="C158" s="490">
        <f>'[86]Sch C'!D159</f>
        <v>0</v>
      </c>
      <c r="D158" s="490">
        <f>'[86]Sch C'!F159</f>
        <v>0</v>
      </c>
      <c r="E158" s="171">
        <f t="shared" si="41"/>
        <v>0</v>
      </c>
      <c r="F158" s="171"/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</row>
    <row r="159" spans="1:14" s="167" customFormat="1">
      <c r="A159" s="169">
        <v>440.5</v>
      </c>
      <c r="B159" s="163" t="s">
        <v>301</v>
      </c>
      <c r="C159" s="490">
        <f>'[86]Sch C'!D160</f>
        <v>0</v>
      </c>
      <c r="D159" s="490">
        <f>'[86]Sch C'!F160</f>
        <v>0</v>
      </c>
      <c r="E159" s="171">
        <f t="shared" si="41"/>
        <v>0</v>
      </c>
      <c r="F159" s="171"/>
      <c r="G159" s="171">
        <f t="shared" si="42"/>
        <v>0</v>
      </c>
      <c r="H159" s="172">
        <f>IF($G$208=0,0,G159/$G$208)</f>
        <v>0</v>
      </c>
      <c r="I159" s="337"/>
      <c r="J159" s="168"/>
      <c r="K159" s="168"/>
      <c r="M159" s="364">
        <f t="shared" si="34"/>
        <v>0</v>
      </c>
      <c r="N159" s="359">
        <f>SUMMARY!J162</f>
        <v>6.5155839545615896E-3</v>
      </c>
    </row>
    <row r="160" spans="1:14" s="167" customFormat="1">
      <c r="A160" s="169">
        <v>490</v>
      </c>
      <c r="B160" s="202" t="s">
        <v>315</v>
      </c>
      <c r="C160" s="490">
        <f>'[86]Sch C'!D161</f>
        <v>54245</v>
      </c>
      <c r="D160" s="490">
        <f>'[86]Sch C'!F161</f>
        <v>-3346</v>
      </c>
      <c r="E160" s="171">
        <f t="shared" si="41"/>
        <v>50899</v>
      </c>
      <c r="F160" s="171"/>
      <c r="G160" s="171">
        <f t="shared" si="42"/>
        <v>50899</v>
      </c>
      <c r="H160" s="172">
        <f t="shared" si="43"/>
        <v>3.5460249289753481E-3</v>
      </c>
      <c r="I160" s="337"/>
      <c r="J160" s="168"/>
      <c r="K160" s="168"/>
      <c r="M160" s="364">
        <f t="shared" si="34"/>
        <v>1.1380181549881501</v>
      </c>
      <c r="N160" s="359">
        <f>SUMMARY!J163</f>
        <v>0.61572967423063263</v>
      </c>
    </row>
    <row r="161" spans="1:17" s="167" customFormat="1">
      <c r="A161" s="169"/>
      <c r="B161" s="170" t="s">
        <v>233</v>
      </c>
      <c r="C161" s="490">
        <f>SUM(C123:C160)</f>
        <v>6256264</v>
      </c>
      <c r="D161" s="490">
        <f>SUM(D123:D160)</f>
        <v>-22159</v>
      </c>
      <c r="E161" s="171">
        <f t="shared" ref="E161:F161" si="44">SUM(E123:E160)</f>
        <v>6234105</v>
      </c>
      <c r="F161" s="171">
        <f t="shared" si="44"/>
        <v>0</v>
      </c>
      <c r="G161" s="171">
        <f>SUM(G123:G160)</f>
        <v>6234105</v>
      </c>
      <c r="H161" s="172">
        <f t="shared" si="43"/>
        <v>0.43431681840212699</v>
      </c>
      <c r="I161" s="337"/>
      <c r="J161" s="168"/>
      <c r="K161" s="168"/>
      <c r="M161" s="364">
        <f>G161/G$228</f>
        <v>139.38436256316237</v>
      </c>
      <c r="N161" s="359">
        <f>SUMMARY!J164</f>
        <v>98.597321527877028</v>
      </c>
    </row>
    <row r="162" spans="1:17" s="167" customFormat="1">
      <c r="A162" s="169"/>
      <c r="B162" s="170"/>
      <c r="C162" s="196"/>
      <c r="D162" s="196"/>
      <c r="E162" s="196"/>
      <c r="F162" s="196"/>
      <c r="G162" s="196"/>
      <c r="H162" s="197"/>
      <c r="I162" s="337"/>
      <c r="J162" s="168"/>
      <c r="K162" s="168"/>
      <c r="M162" s="359"/>
      <c r="N162" s="359"/>
    </row>
    <row r="163" spans="1:17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7"/>
      <c r="J163" s="168"/>
      <c r="K163" s="168"/>
      <c r="M163" s="359"/>
      <c r="N163" s="359"/>
    </row>
    <row r="164" spans="1:17" s="221" customFormat="1">
      <c r="A164" s="215" t="s">
        <v>95</v>
      </c>
      <c r="B164" s="148" t="s">
        <v>102</v>
      </c>
      <c r="C164" s="490">
        <f>'[86]Sch C'!D175</f>
        <v>0</v>
      </c>
      <c r="D164" s="490">
        <f>'[86]Sch C'!F175</f>
        <v>0</v>
      </c>
      <c r="E164" s="171">
        <f t="shared" ref="E164:E196" si="45">C164+D164</f>
        <v>0</v>
      </c>
      <c r="F164" s="216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217">
        <v>0</v>
      </c>
      <c r="K164" s="217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</row>
    <row r="165" spans="1:17" s="221" customFormat="1">
      <c r="A165" s="215" t="s">
        <v>123</v>
      </c>
      <c r="B165" s="148" t="s">
        <v>103</v>
      </c>
      <c r="C165" s="490">
        <f>'[86]Sch C'!D176</f>
        <v>0</v>
      </c>
      <c r="D165" s="490">
        <f>'[86]Sch C'!F176</f>
        <v>0</v>
      </c>
      <c r="E165" s="171">
        <f t="shared" si="45"/>
        <v>0</v>
      </c>
      <c r="F165" s="216"/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</row>
    <row r="166" spans="1:17" s="221" customFormat="1">
      <c r="A166" s="215" t="s">
        <v>124</v>
      </c>
      <c r="B166" s="148" t="s">
        <v>104</v>
      </c>
      <c r="C166" s="490">
        <f>'[86]Sch C'!D177</f>
        <v>0</v>
      </c>
      <c r="D166" s="490">
        <f>'[86]Sch C'!F177</f>
        <v>0</v>
      </c>
      <c r="E166" s="171">
        <f t="shared" si="45"/>
        <v>0</v>
      </c>
      <c r="F166" s="216"/>
      <c r="G166" s="171">
        <f t="shared" si="46"/>
        <v>0</v>
      </c>
      <c r="H166" s="172">
        <f t="shared" si="47"/>
        <v>0</v>
      </c>
      <c r="I166" s="343"/>
      <c r="J166" s="217">
        <v>0</v>
      </c>
      <c r="K166" s="217">
        <v>0</v>
      </c>
      <c r="L166" s="218"/>
      <c r="M166" s="364">
        <f t="shared" si="48"/>
        <v>0</v>
      </c>
      <c r="N166" s="359">
        <f>SUMMARY!J169</f>
        <v>4.5899160973212085</v>
      </c>
      <c r="O166" s="220"/>
      <c r="P166" s="220"/>
      <c r="Q166" s="220"/>
    </row>
    <row r="167" spans="1:17" s="221" customFormat="1">
      <c r="A167" s="215" t="s">
        <v>157</v>
      </c>
      <c r="B167" s="148" t="s">
        <v>105</v>
      </c>
      <c r="C167" s="490">
        <f>'[86]Sch C'!D178</f>
        <v>0</v>
      </c>
      <c r="D167" s="490">
        <f>'[86]Sch C'!F178</f>
        <v>0</v>
      </c>
      <c r="E167" s="171">
        <f t="shared" si="45"/>
        <v>0</v>
      </c>
      <c r="F167" s="216"/>
      <c r="G167" s="171">
        <f t="shared" si="46"/>
        <v>0</v>
      </c>
      <c r="H167" s="172">
        <f t="shared" si="47"/>
        <v>0</v>
      </c>
      <c r="I167" s="344"/>
      <c r="J167" s="222"/>
      <c r="K167" s="222"/>
      <c r="L167" s="218"/>
      <c r="M167" s="364">
        <f t="shared" si="48"/>
        <v>0</v>
      </c>
      <c r="N167" s="359">
        <f>SUMMARY!J170</f>
        <v>0.83466769369350857</v>
      </c>
      <c r="O167" s="220"/>
      <c r="P167" s="220"/>
      <c r="Q167" s="220"/>
    </row>
    <row r="168" spans="1:17" s="221" customFormat="1">
      <c r="A168" s="215" t="s">
        <v>158</v>
      </c>
      <c r="B168" s="148" t="s">
        <v>316</v>
      </c>
      <c r="C168" s="490">
        <f>'[86]Sch C'!D179</f>
        <v>0</v>
      </c>
      <c r="D168" s="490">
        <f>'[86]Sch C'!F179</f>
        <v>0</v>
      </c>
      <c r="E168" s="171">
        <f t="shared" si="45"/>
        <v>0</v>
      </c>
      <c r="F168" s="216"/>
      <c r="G168" s="171">
        <f t="shared" si="46"/>
        <v>0</v>
      </c>
      <c r="H168" s="172">
        <f t="shared" si="47"/>
        <v>0</v>
      </c>
      <c r="I168" s="343"/>
      <c r="J168" s="217">
        <v>0</v>
      </c>
      <c r="K168" s="217">
        <v>0</v>
      </c>
      <c r="L168" s="218"/>
      <c r="M168" s="364">
        <f t="shared" si="48"/>
        <v>0</v>
      </c>
      <c r="N168" s="359">
        <f>SUMMARY!J171</f>
        <v>0.77161464733349716</v>
      </c>
      <c r="O168" s="220"/>
      <c r="P168" s="220"/>
      <c r="Q168" s="220"/>
    </row>
    <row r="169" spans="1:17" s="221" customFormat="1">
      <c r="A169" s="215" t="s">
        <v>86</v>
      </c>
      <c r="B169" s="148" t="s">
        <v>317</v>
      </c>
      <c r="C169" s="490">
        <f>'[86]Sch C'!D180</f>
        <v>0</v>
      </c>
      <c r="D169" s="490">
        <f>'[86]Sch C'!F180</f>
        <v>0</v>
      </c>
      <c r="E169" s="171">
        <f t="shared" si="45"/>
        <v>0</v>
      </c>
      <c r="F169" s="216"/>
      <c r="G169" s="171">
        <f t="shared" si="46"/>
        <v>0</v>
      </c>
      <c r="H169" s="172">
        <f t="shared" si="47"/>
        <v>0</v>
      </c>
      <c r="I169" s="344"/>
      <c r="J169" s="222"/>
      <c r="K169" s="222"/>
      <c r="L169" s="218"/>
      <c r="M169" s="364">
        <f t="shared" si="48"/>
        <v>0</v>
      </c>
      <c r="N169" s="359">
        <f>SUMMARY!J172</f>
        <v>0.13394964091641409</v>
      </c>
      <c r="O169" s="220"/>
      <c r="P169" s="220"/>
      <c r="Q169" s="220"/>
    </row>
    <row r="170" spans="1:17" s="221" customFormat="1">
      <c r="A170" s="215" t="s">
        <v>96</v>
      </c>
      <c r="B170" s="148" t="s">
        <v>318</v>
      </c>
      <c r="C170" s="490">
        <f>'[86]Sch C'!D181</f>
        <v>0</v>
      </c>
      <c r="D170" s="490">
        <f>'[86]Sch C'!F181</f>
        <v>0</v>
      </c>
      <c r="E170" s="171">
        <f t="shared" si="45"/>
        <v>0</v>
      </c>
      <c r="F170" s="216"/>
      <c r="G170" s="171">
        <f t="shared" si="46"/>
        <v>0</v>
      </c>
      <c r="H170" s="172">
        <f t="shared" si="47"/>
        <v>0</v>
      </c>
      <c r="I170" s="343"/>
      <c r="J170" s="217">
        <v>0</v>
      </c>
      <c r="K170" s="217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</row>
    <row r="171" spans="1:17" s="221" customFormat="1">
      <c r="A171" s="215" t="s">
        <v>125</v>
      </c>
      <c r="B171" s="148" t="s">
        <v>109</v>
      </c>
      <c r="C171" s="490">
        <f>'[86]Sch C'!D182</f>
        <v>0</v>
      </c>
      <c r="D171" s="490">
        <f>'[86]Sch C'!F182</f>
        <v>0</v>
      </c>
      <c r="E171" s="171">
        <f t="shared" si="45"/>
        <v>0</v>
      </c>
      <c r="F171" s="216"/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</row>
    <row r="172" spans="1:17" s="221" customFormat="1">
      <c r="A172" s="215" t="s">
        <v>126</v>
      </c>
      <c r="B172" s="148" t="s">
        <v>319</v>
      </c>
      <c r="C172" s="490">
        <f>'[86]Sch C'!D183</f>
        <v>0</v>
      </c>
      <c r="D172" s="490">
        <f>'[86]Sch C'!F183</f>
        <v>0</v>
      </c>
      <c r="E172" s="171">
        <f t="shared" si="45"/>
        <v>0</v>
      </c>
      <c r="F172" s="216"/>
      <c r="G172" s="171">
        <f t="shared" si="46"/>
        <v>0</v>
      </c>
      <c r="H172" s="172">
        <f t="shared" si="47"/>
        <v>0</v>
      </c>
      <c r="I172" s="343"/>
      <c r="J172" s="217">
        <v>0</v>
      </c>
      <c r="K172" s="217">
        <v>0</v>
      </c>
      <c r="L172" s="218"/>
      <c r="M172" s="364">
        <f t="shared" si="48"/>
        <v>0</v>
      </c>
      <c r="N172" s="359">
        <f>SUMMARY!J175</f>
        <v>2.5941162939297122</v>
      </c>
      <c r="O172" s="220"/>
      <c r="P172" s="220"/>
      <c r="Q172" s="220"/>
    </row>
    <row r="173" spans="1:17" s="221" customFormat="1">
      <c r="A173" s="215" t="s">
        <v>127</v>
      </c>
      <c r="B173" s="148" t="s">
        <v>111</v>
      </c>
      <c r="C173" s="490">
        <f>'[86]Sch C'!D184</f>
        <v>0</v>
      </c>
      <c r="D173" s="490">
        <f>'[86]Sch C'!F184</f>
        <v>0</v>
      </c>
      <c r="E173" s="171">
        <f t="shared" si="45"/>
        <v>0</v>
      </c>
      <c r="F173" s="216"/>
      <c r="G173" s="171">
        <f t="shared" si="46"/>
        <v>0</v>
      </c>
      <c r="H173" s="172">
        <f t="shared" si="47"/>
        <v>0</v>
      </c>
      <c r="I173" s="344"/>
      <c r="J173" s="222"/>
      <c r="K173" s="222"/>
      <c r="L173" s="218"/>
      <c r="M173" s="364">
        <f t="shared" si="48"/>
        <v>0</v>
      </c>
      <c r="N173" s="359">
        <f>SUMMARY!J176</f>
        <v>0.43431776693811036</v>
      </c>
      <c r="O173" s="220"/>
      <c r="P173" s="220"/>
      <c r="Q173" s="220"/>
    </row>
    <row r="174" spans="1:17" s="221" customFormat="1">
      <c r="A174" s="215" t="s">
        <v>128</v>
      </c>
      <c r="B174" s="148" t="s">
        <v>320</v>
      </c>
      <c r="C174" s="490">
        <f>'[86]Sch C'!D185</f>
        <v>0</v>
      </c>
      <c r="D174" s="490">
        <f>'[86]Sch C'!F185</f>
        <v>0</v>
      </c>
      <c r="E174" s="171">
        <f t="shared" si="45"/>
        <v>0</v>
      </c>
      <c r="F174" s="216"/>
      <c r="G174" s="171">
        <f t="shared" si="46"/>
        <v>0</v>
      </c>
      <c r="H174" s="172">
        <f t="shared" si="47"/>
        <v>0</v>
      </c>
      <c r="I174" s="343"/>
      <c r="J174" s="217">
        <v>0</v>
      </c>
      <c r="K174" s="217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</row>
    <row r="175" spans="1:17" s="221" customFormat="1">
      <c r="A175" s="215" t="s">
        <v>129</v>
      </c>
      <c r="B175" s="148" t="s">
        <v>321</v>
      </c>
      <c r="C175" s="490">
        <f>'[86]Sch C'!D186</f>
        <v>0</v>
      </c>
      <c r="D175" s="490">
        <f>'[86]Sch C'!F186</f>
        <v>0</v>
      </c>
      <c r="E175" s="171">
        <f t="shared" si="45"/>
        <v>0</v>
      </c>
      <c r="F175" s="216"/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</row>
    <row r="176" spans="1:17" s="221" customFormat="1">
      <c r="A176" s="224" t="s">
        <v>293</v>
      </c>
      <c r="B176" s="148" t="s">
        <v>154</v>
      </c>
      <c r="C176" s="490">
        <f>'[86]Sch C'!D187</f>
        <v>0</v>
      </c>
      <c r="D176" s="490">
        <f>'[86]Sch C'!F187</f>
        <v>0</v>
      </c>
      <c r="E176" s="171">
        <f t="shared" si="45"/>
        <v>0</v>
      </c>
      <c r="F176" s="216"/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</row>
    <row r="177" spans="1:16" s="221" customFormat="1">
      <c r="A177" s="224" t="s">
        <v>294</v>
      </c>
      <c r="B177" s="148" t="s">
        <v>322</v>
      </c>
      <c r="C177" s="490">
        <f>'[86]Sch C'!D188</f>
        <v>59</v>
      </c>
      <c r="D177" s="490">
        <f>'[86]Sch C'!F188</f>
        <v>0</v>
      </c>
      <c r="E177" s="171">
        <f t="shared" si="45"/>
        <v>59</v>
      </c>
      <c r="F177" s="216"/>
      <c r="G177" s="171">
        <f t="shared" si="46"/>
        <v>59</v>
      </c>
      <c r="H177" s="172">
        <f t="shared" si="47"/>
        <v>4.1104043460489508E-6</v>
      </c>
      <c r="I177" s="337"/>
      <c r="J177" s="223"/>
      <c r="K177" s="218"/>
      <c r="L177" s="220"/>
      <c r="M177" s="364">
        <f t="shared" si="48"/>
        <v>1.3191432276528194E-3</v>
      </c>
      <c r="N177" s="359">
        <f>SUMMARY!J180</f>
        <v>9.0641762922913108E-2</v>
      </c>
      <c r="O177" s="220"/>
      <c r="P177" s="220"/>
    </row>
    <row r="178" spans="1:16" s="221" customFormat="1">
      <c r="A178" s="224" t="s">
        <v>295</v>
      </c>
      <c r="B178" s="148" t="s">
        <v>323</v>
      </c>
      <c r="C178" s="490">
        <f>'[86]Sch C'!D189</f>
        <v>0</v>
      </c>
      <c r="D178" s="490">
        <f>'[86]Sch C'!F189</f>
        <v>0</v>
      </c>
      <c r="E178" s="171">
        <f t="shared" si="45"/>
        <v>0</v>
      </c>
      <c r="F178" s="216"/>
      <c r="G178" s="171">
        <f t="shared" si="46"/>
        <v>0</v>
      </c>
      <c r="H178" s="172">
        <f t="shared" si="47"/>
        <v>0</v>
      </c>
      <c r="I178" s="337"/>
      <c r="J178" s="223"/>
      <c r="K178" s="218"/>
      <c r="L178" s="220"/>
      <c r="M178" s="364">
        <f t="shared" si="48"/>
        <v>0</v>
      </c>
      <c r="N178" s="359">
        <f>SUMMARY!J181</f>
        <v>1.778645585866033E-2</v>
      </c>
      <c r="O178" s="220"/>
      <c r="P178" s="220"/>
    </row>
    <row r="179" spans="1:16" s="221" customFormat="1">
      <c r="A179" s="224" t="s">
        <v>296</v>
      </c>
      <c r="B179" s="148" t="s">
        <v>324</v>
      </c>
      <c r="C179" s="490">
        <f>'[86]Sch C'!D190</f>
        <v>0</v>
      </c>
      <c r="D179" s="490">
        <f>'[86]Sch C'!F190</f>
        <v>0</v>
      </c>
      <c r="E179" s="171">
        <f t="shared" si="45"/>
        <v>0</v>
      </c>
      <c r="F179" s="216"/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</row>
    <row r="180" spans="1:16" s="221" customFormat="1">
      <c r="A180" s="224" t="s">
        <v>297</v>
      </c>
      <c r="B180" s="148" t="s">
        <v>325</v>
      </c>
      <c r="C180" s="490">
        <f>'[86]Sch C'!D191</f>
        <v>0</v>
      </c>
      <c r="D180" s="490">
        <f>'[86]Sch C'!F191</f>
        <v>0</v>
      </c>
      <c r="E180" s="171">
        <f t="shared" si="45"/>
        <v>0</v>
      </c>
      <c r="F180" s="216"/>
      <c r="G180" s="171">
        <f t="shared" si="46"/>
        <v>0</v>
      </c>
      <c r="H180" s="172">
        <f t="shared" si="47"/>
        <v>0</v>
      </c>
      <c r="I180" s="337"/>
      <c r="J180" s="223"/>
      <c r="K180" s="218"/>
      <c r="L180" s="220"/>
      <c r="M180" s="364">
        <f t="shared" si="48"/>
        <v>0</v>
      </c>
      <c r="N180" s="359">
        <f>SUMMARY!J183</f>
        <v>1.8462734496600307E-2</v>
      </c>
      <c r="O180" s="220"/>
      <c r="P180" s="220"/>
    </row>
    <row r="181" spans="1:16" s="221" customFormat="1">
      <c r="A181" s="224" t="s">
        <v>298</v>
      </c>
      <c r="B181" s="148" t="s">
        <v>117</v>
      </c>
      <c r="C181" s="490">
        <f>'[86]Sch C'!D192</f>
        <v>0</v>
      </c>
      <c r="D181" s="490">
        <f>'[86]Sch C'!F192</f>
        <v>0</v>
      </c>
      <c r="E181" s="171">
        <f t="shared" si="45"/>
        <v>0</v>
      </c>
      <c r="F181" s="216"/>
      <c r="G181" s="171">
        <f t="shared" si="46"/>
        <v>0</v>
      </c>
      <c r="H181" s="172">
        <f t="shared" si="47"/>
        <v>0</v>
      </c>
      <c r="I181" s="337"/>
      <c r="J181" s="223"/>
      <c r="K181" s="218"/>
      <c r="L181" s="220"/>
      <c r="M181" s="364">
        <f t="shared" si="48"/>
        <v>0</v>
      </c>
      <c r="N181" s="359">
        <f>SUMMARY!J184</f>
        <v>0.21032919363206901</v>
      </c>
      <c r="O181" s="220"/>
      <c r="P181" s="220"/>
    </row>
    <row r="182" spans="1:16" s="221" customFormat="1">
      <c r="A182" s="224" t="s">
        <v>132</v>
      </c>
      <c r="B182" s="148" t="s">
        <v>118</v>
      </c>
      <c r="C182" s="490">
        <f>'[86]Sch C'!D193</f>
        <v>1100</v>
      </c>
      <c r="D182" s="490">
        <f>'[86]Sch C'!F193</f>
        <v>0</v>
      </c>
      <c r="E182" s="171">
        <f t="shared" si="45"/>
        <v>1100</v>
      </c>
      <c r="F182" s="216"/>
      <c r="G182" s="171">
        <f t="shared" si="46"/>
        <v>1100</v>
      </c>
      <c r="H182" s="172">
        <f t="shared" si="47"/>
        <v>7.6634657299217725E-5</v>
      </c>
      <c r="I182" s="337"/>
      <c r="J182" s="223"/>
      <c r="K182" s="218"/>
      <c r="L182" s="220"/>
      <c r="M182" s="364">
        <f t="shared" si="48"/>
        <v>2.4594195769798328E-2</v>
      </c>
      <c r="N182" s="359">
        <f>SUMMARY!J185</f>
        <v>4.5937156276453409E-2</v>
      </c>
      <c r="O182" s="220"/>
      <c r="P182" s="220"/>
    </row>
    <row r="183" spans="1:16" s="221" customFormat="1">
      <c r="A183" s="224" t="s">
        <v>133</v>
      </c>
      <c r="B183" s="148" t="s">
        <v>119</v>
      </c>
      <c r="C183" s="490">
        <f>'[86]Sch C'!D194</f>
        <v>723163</v>
      </c>
      <c r="D183" s="490">
        <f>'[86]Sch C'!F194</f>
        <v>26685</v>
      </c>
      <c r="E183" s="171">
        <f t="shared" si="45"/>
        <v>749848</v>
      </c>
      <c r="F183" s="216"/>
      <c r="G183" s="171">
        <f t="shared" si="46"/>
        <v>749848</v>
      </c>
      <c r="H183" s="172">
        <f t="shared" si="47"/>
        <v>5.2240313187730737E-2</v>
      </c>
      <c r="I183" s="337"/>
      <c r="J183" s="223"/>
      <c r="K183" s="218"/>
      <c r="M183" s="364">
        <f t="shared" si="48"/>
        <v>16.765371372356125</v>
      </c>
      <c r="N183" s="359">
        <f>SUMMARY!J186</f>
        <v>7.3129851396739571</v>
      </c>
      <c r="O183" s="220"/>
      <c r="P183" s="220"/>
    </row>
    <row r="184" spans="1:16" s="221" customFormat="1">
      <c r="A184" s="224" t="s">
        <v>134</v>
      </c>
      <c r="B184" s="148" t="s">
        <v>326</v>
      </c>
      <c r="C184" s="490">
        <f>'[86]Sch C'!D195</f>
        <v>242050</v>
      </c>
      <c r="D184" s="490">
        <f>'[86]Sch C'!F195</f>
        <v>8932</v>
      </c>
      <c r="E184" s="171">
        <f t="shared" si="45"/>
        <v>250982</v>
      </c>
      <c r="F184" s="216"/>
      <c r="G184" s="171">
        <f t="shared" si="46"/>
        <v>250982</v>
      </c>
      <c r="H184" s="172">
        <f t="shared" si="47"/>
        <v>1.7485381416611146E-2</v>
      </c>
      <c r="I184" s="337"/>
      <c r="J184" s="223"/>
      <c r="K184" s="218"/>
      <c r="M184" s="364">
        <f t="shared" si="48"/>
        <v>5.6115458569959307</v>
      </c>
      <c r="N184" s="359">
        <f>SUMMARY!J187</f>
        <v>1.617871871330657</v>
      </c>
      <c r="O184" s="220"/>
      <c r="P184" s="220"/>
    </row>
    <row r="185" spans="1:16" s="221" customFormat="1">
      <c r="A185" s="224" t="s">
        <v>135</v>
      </c>
      <c r="B185" s="148" t="s">
        <v>327</v>
      </c>
      <c r="C185" s="490">
        <f>'[86]Sch C'!D196</f>
        <v>0</v>
      </c>
      <c r="D185" s="490">
        <f>'[86]Sch C'!F196</f>
        <v>0</v>
      </c>
      <c r="E185" s="171">
        <f t="shared" si="45"/>
        <v>0</v>
      </c>
      <c r="F185" s="216"/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</row>
    <row r="186" spans="1:16" s="221" customFormat="1">
      <c r="A186" s="224" t="s">
        <v>136</v>
      </c>
      <c r="B186" s="148" t="s">
        <v>328</v>
      </c>
      <c r="C186" s="490">
        <f>'[86]Sch C'!D197</f>
        <v>524244</v>
      </c>
      <c r="D186" s="490">
        <f>'[86]Sch C'!F197</f>
        <v>19345</v>
      </c>
      <c r="E186" s="171">
        <f t="shared" si="45"/>
        <v>543589</v>
      </c>
      <c r="F186" s="216"/>
      <c r="G186" s="171">
        <f t="shared" si="46"/>
        <v>543589</v>
      </c>
      <c r="H186" s="172">
        <f t="shared" si="47"/>
        <v>3.7870687933294962E-2</v>
      </c>
      <c r="I186" s="337"/>
      <c r="J186" s="223"/>
      <c r="K186" s="218"/>
      <c r="M186" s="364">
        <f t="shared" si="48"/>
        <v>12.153758440280821</v>
      </c>
      <c r="N186" s="359">
        <f>SUMMARY!J189</f>
        <v>5.0698778515059661</v>
      </c>
      <c r="O186" s="220"/>
      <c r="P186" s="220"/>
    </row>
    <row r="187" spans="1:16" s="221" customFormat="1">
      <c r="A187" s="224" t="s">
        <v>137</v>
      </c>
      <c r="B187" s="148" t="s">
        <v>122</v>
      </c>
      <c r="C187" s="490">
        <f>'[86]Sch C'!D198</f>
        <v>116554</v>
      </c>
      <c r="D187" s="490">
        <f>'[86]Sch C'!F198</f>
        <v>0</v>
      </c>
      <c r="E187" s="171">
        <f t="shared" si="45"/>
        <v>116554</v>
      </c>
      <c r="F187" s="216"/>
      <c r="G187" s="171">
        <f t="shared" si="46"/>
        <v>116554</v>
      </c>
      <c r="H187" s="172">
        <f t="shared" si="47"/>
        <v>8.1200689516845656E-3</v>
      </c>
      <c r="I187" s="337"/>
      <c r="J187" s="223"/>
      <c r="K187" s="218"/>
      <c r="M187" s="364">
        <f t="shared" si="48"/>
        <v>2.6059562670482492</v>
      </c>
      <c r="N187" s="359">
        <f>SUMMARY!J190</f>
        <v>1.3048000054613476</v>
      </c>
      <c r="O187" s="220"/>
      <c r="P187" s="220"/>
    </row>
    <row r="188" spans="1:16" s="221" customFormat="1">
      <c r="A188" s="224" t="s">
        <v>275</v>
      </c>
      <c r="B188" s="148" t="s">
        <v>329</v>
      </c>
      <c r="C188" s="490">
        <f>'[86]Sch C'!D199</f>
        <v>0</v>
      </c>
      <c r="D188" s="490">
        <f>'[86]Sch C'!F199</f>
        <v>0</v>
      </c>
      <c r="E188" s="171">
        <f t="shared" si="45"/>
        <v>0</v>
      </c>
      <c r="F188" s="216"/>
      <c r="G188" s="171">
        <f t="shared" si="46"/>
        <v>0</v>
      </c>
      <c r="H188" s="172">
        <f t="shared" si="47"/>
        <v>0</v>
      </c>
      <c r="I188" s="337"/>
      <c r="J188" s="223"/>
      <c r="K188" s="218"/>
      <c r="M188" s="364">
        <f t="shared" si="48"/>
        <v>0</v>
      </c>
      <c r="N188" s="359">
        <f>SUMMARY!J191</f>
        <v>0.39995945495753804</v>
      </c>
      <c r="O188" s="220"/>
      <c r="P188" s="220"/>
    </row>
    <row r="189" spans="1:16" s="221" customFormat="1">
      <c r="A189" s="224" t="s">
        <v>277</v>
      </c>
      <c r="B189" s="148" t="s">
        <v>278</v>
      </c>
      <c r="C189" s="490">
        <f>'[86]Sch C'!D200</f>
        <v>0</v>
      </c>
      <c r="D189" s="490">
        <f>'[86]Sch C'!F200</f>
        <v>0</v>
      </c>
      <c r="E189" s="171">
        <f t="shared" si="45"/>
        <v>0</v>
      </c>
      <c r="F189" s="216"/>
      <c r="G189" s="171">
        <f t="shared" si="46"/>
        <v>0</v>
      </c>
      <c r="H189" s="172">
        <f t="shared" si="47"/>
        <v>0</v>
      </c>
      <c r="I189" s="337"/>
      <c r="J189" s="223"/>
      <c r="K189" s="218"/>
      <c r="M189" s="364">
        <f t="shared" si="48"/>
        <v>0</v>
      </c>
      <c r="N189" s="359">
        <f>SUMMARY!J192</f>
        <v>5.0800032768083883E-3</v>
      </c>
      <c r="O189" s="220"/>
      <c r="P189" s="220"/>
    </row>
    <row r="190" spans="1:16" s="221" customFormat="1">
      <c r="A190" s="225" t="s">
        <v>279</v>
      </c>
      <c r="B190" s="226" t="s">
        <v>280</v>
      </c>
      <c r="C190" s="490">
        <f>'[86]Sch C'!D201</f>
        <v>0</v>
      </c>
      <c r="D190" s="490">
        <f>'[86]Sch C'!F201</f>
        <v>0</v>
      </c>
      <c r="E190" s="171">
        <f t="shared" si="45"/>
        <v>0</v>
      </c>
      <c r="F190" s="216"/>
      <c r="G190" s="171">
        <f t="shared" si="46"/>
        <v>0</v>
      </c>
      <c r="H190" s="172">
        <f t="shared" si="47"/>
        <v>0</v>
      </c>
      <c r="I190" s="337"/>
      <c r="J190" s="223"/>
      <c r="K190" s="218"/>
      <c r="M190" s="364">
        <f t="shared" si="48"/>
        <v>0</v>
      </c>
      <c r="N190" s="359">
        <f>SUMMARY!J193</f>
        <v>-2.2159984708227519E-2</v>
      </c>
      <c r="O190" s="220"/>
      <c r="P190" s="220"/>
    </row>
    <row r="191" spans="1:16" s="221" customFormat="1">
      <c r="A191" s="225" t="s">
        <v>281</v>
      </c>
      <c r="B191" s="226" t="s">
        <v>282</v>
      </c>
      <c r="C191" s="490">
        <f>'[86]Sch C'!D202</f>
        <v>0</v>
      </c>
      <c r="D191" s="490">
        <f>'[86]Sch C'!F202</f>
        <v>0</v>
      </c>
      <c r="E191" s="171">
        <f t="shared" si="45"/>
        <v>0</v>
      </c>
      <c r="F191" s="216"/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</row>
    <row r="192" spans="1:16" s="221" customFormat="1">
      <c r="A192" s="225" t="s">
        <v>283</v>
      </c>
      <c r="B192" s="226" t="s">
        <v>330</v>
      </c>
      <c r="C192" s="490">
        <f>'[86]Sch C'!D203</f>
        <v>0</v>
      </c>
      <c r="D192" s="490">
        <f>'[86]Sch C'!F203</f>
        <v>0</v>
      </c>
      <c r="E192" s="171">
        <f t="shared" si="45"/>
        <v>0</v>
      </c>
      <c r="F192" s="216"/>
      <c r="G192" s="171">
        <f t="shared" si="46"/>
        <v>0</v>
      </c>
      <c r="H192" s="172">
        <f t="shared" si="47"/>
        <v>0</v>
      </c>
      <c r="I192" s="337"/>
      <c r="J192" s="223"/>
      <c r="K192" s="218"/>
      <c r="M192" s="364">
        <f t="shared" si="48"/>
        <v>0</v>
      </c>
      <c r="N192" s="359">
        <f>SUMMARY!J195</f>
        <v>9.9736102236421709E-2</v>
      </c>
      <c r="O192" s="220"/>
      <c r="P192" s="220"/>
    </row>
    <row r="193" spans="1:16" s="221" customFormat="1">
      <c r="A193" s="225" t="s">
        <v>285</v>
      </c>
      <c r="B193" s="226" t="s">
        <v>331</v>
      </c>
      <c r="C193" s="490">
        <f>'[86]Sch C'!D204</f>
        <v>0</v>
      </c>
      <c r="D193" s="490">
        <f>'[86]Sch C'!F204</f>
        <v>0</v>
      </c>
      <c r="E193" s="171">
        <f t="shared" si="45"/>
        <v>0</v>
      </c>
      <c r="F193" s="216"/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</row>
    <row r="194" spans="1:16" s="221" customFormat="1">
      <c r="A194" s="224" t="s">
        <v>138</v>
      </c>
      <c r="B194" s="148" t="s">
        <v>332</v>
      </c>
      <c r="C194" s="490">
        <f>'[86]Sch C'!D205</f>
        <v>531073</v>
      </c>
      <c r="D194" s="490">
        <f>'[86]Sch C'!F205</f>
        <v>-31653</v>
      </c>
      <c r="E194" s="171">
        <f t="shared" si="45"/>
        <v>499420</v>
      </c>
      <c r="F194" s="216"/>
      <c r="G194" s="171">
        <f t="shared" si="46"/>
        <v>499420</v>
      </c>
      <c r="H194" s="172">
        <f t="shared" si="47"/>
        <v>3.4793527771250284E-2</v>
      </c>
      <c r="I194" s="337"/>
      <c r="J194" s="223"/>
      <c r="K194" s="218"/>
      <c r="M194" s="364">
        <f t="shared" si="48"/>
        <v>11.166212046684254</v>
      </c>
      <c r="N194" s="359">
        <f>SUMMARY!J197</f>
        <v>9.4205484776494348</v>
      </c>
      <c r="O194" s="220"/>
      <c r="P194" s="220"/>
    </row>
    <row r="195" spans="1:16" s="221" customFormat="1">
      <c r="A195" s="224" t="s">
        <v>139</v>
      </c>
      <c r="B195" s="148" t="s">
        <v>67</v>
      </c>
      <c r="C195" s="490">
        <f>'[86]Sch C'!D206</f>
        <v>52489</v>
      </c>
      <c r="D195" s="490">
        <f>'[86]Sch C'!F206</f>
        <v>0</v>
      </c>
      <c r="E195" s="171">
        <f t="shared" si="45"/>
        <v>52489</v>
      </c>
      <c r="F195" s="216"/>
      <c r="G195" s="171">
        <f t="shared" si="46"/>
        <v>52489</v>
      </c>
      <c r="H195" s="172">
        <f t="shared" si="47"/>
        <v>3.6567968427078535E-3</v>
      </c>
      <c r="I195" s="337"/>
      <c r="J195" s="223"/>
      <c r="K195" s="218"/>
      <c r="M195" s="364">
        <f t="shared" si="48"/>
        <v>1.1735679470554041</v>
      </c>
      <c r="N195" s="359">
        <f>SUMMARY!J198</f>
        <v>0.51514733622784747</v>
      </c>
      <c r="O195" s="220"/>
      <c r="P195" s="220"/>
    </row>
    <row r="196" spans="1:16" s="221" customFormat="1">
      <c r="A196" s="225" t="s">
        <v>143</v>
      </c>
      <c r="B196" s="194" t="s">
        <v>333</v>
      </c>
      <c r="C196" s="490">
        <f>'[86]Sch C'!D207</f>
        <v>4104</v>
      </c>
      <c r="D196" s="490">
        <f>'[86]Sch C'!F207</f>
        <v>0</v>
      </c>
      <c r="E196" s="171">
        <f t="shared" si="45"/>
        <v>4104</v>
      </c>
      <c r="F196" s="216"/>
      <c r="G196" s="171">
        <f t="shared" si="46"/>
        <v>4104</v>
      </c>
      <c r="H196" s="172">
        <f t="shared" si="47"/>
        <v>2.8591693959635411E-4</v>
      </c>
      <c r="I196" s="337"/>
      <c r="J196" s="223"/>
      <c r="K196" s="218"/>
      <c r="M196" s="364">
        <f t="shared" si="48"/>
        <v>9.1758708581138493E-2</v>
      </c>
      <c r="N196" s="359">
        <f>SUMMARY!J199</f>
        <v>0.43468466925335936</v>
      </c>
      <c r="O196" s="220"/>
      <c r="P196" s="220"/>
    </row>
    <row r="197" spans="1:16" s="167" customFormat="1">
      <c r="A197" s="163"/>
      <c r="B197" s="212" t="s">
        <v>130</v>
      </c>
      <c r="C197" s="490">
        <f>SUM(C164:C196)</f>
        <v>2194836</v>
      </c>
      <c r="D197" s="490">
        <f>SUM(D164:D196)</f>
        <v>23309</v>
      </c>
      <c r="E197" s="171">
        <f t="shared" ref="E197:F197" si="49">SUM(E164:E196)</f>
        <v>2218145</v>
      </c>
      <c r="F197" s="171">
        <f t="shared" si="49"/>
        <v>0</v>
      </c>
      <c r="G197" s="171">
        <f>SUM(G164:G196)</f>
        <v>2218145</v>
      </c>
      <c r="H197" s="172">
        <f>IF($G$208=0,0,G197/$G$208)</f>
        <v>0.15453343810452116</v>
      </c>
      <c r="I197" s="337"/>
      <c r="J197" s="168"/>
      <c r="K197" s="168"/>
      <c r="M197" s="364">
        <f>G197/G$228</f>
        <v>49.594083977999375</v>
      </c>
      <c r="N197" s="359">
        <f>SUMMARY!J200</f>
        <v>35.91740838389223</v>
      </c>
    </row>
    <row r="198" spans="1:16" s="167" customFormat="1">
      <c r="A198" s="163"/>
      <c r="C198" s="165"/>
      <c r="D198" s="165"/>
      <c r="E198" s="165"/>
      <c r="F198" s="165"/>
      <c r="G198" s="165"/>
      <c r="H198" s="198"/>
      <c r="I198" s="341"/>
      <c r="J198" s="168"/>
      <c r="K198" s="168"/>
      <c r="M198" s="359"/>
      <c r="N198" s="359"/>
    </row>
    <row r="199" spans="1:16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1"/>
      <c r="J199" s="168"/>
      <c r="K199" s="168"/>
      <c r="M199" s="359"/>
      <c r="N199" s="359"/>
    </row>
    <row r="200" spans="1:16" s="167" customFormat="1">
      <c r="A200" s="169" t="s">
        <v>85</v>
      </c>
      <c r="B200" s="170" t="s">
        <v>69</v>
      </c>
      <c r="C200" s="490">
        <f>'[86]Sch C'!D211</f>
        <v>175613</v>
      </c>
      <c r="D200" s="490">
        <f>'[86]Sch C'!F211</f>
        <v>0</v>
      </c>
      <c r="E200" s="171">
        <f t="shared" ref="E200:E205" si="50">C200+D200</f>
        <v>175613</v>
      </c>
      <c r="F200" s="171"/>
      <c r="G200" s="171">
        <f t="shared" ref="G200:G205" si="51">E200+F200</f>
        <v>175613</v>
      </c>
      <c r="H200" s="172">
        <f t="shared" ref="H200:H206" si="52">IF($G$208=0,0,G200/$G$208)</f>
        <v>1.2234583702079565E-2</v>
      </c>
      <c r="I200" s="337"/>
      <c r="J200" s="183">
        <v>9772</v>
      </c>
      <c r="K200" s="183">
        <v>10628</v>
      </c>
      <c r="M200" s="364">
        <f t="shared" ref="M200:M205" si="53">G200/G$228</f>
        <v>3.9264186379287214</v>
      </c>
      <c r="N200" s="359">
        <f>SUMMARY!J203</f>
        <v>4.8433639387236838</v>
      </c>
    </row>
    <row r="201" spans="1:16" s="167" customFormat="1">
      <c r="A201" s="169" t="s">
        <v>86</v>
      </c>
      <c r="B201" s="170" t="s">
        <v>45</v>
      </c>
      <c r="C201" s="490">
        <f>'[86]Sch C'!D212</f>
        <v>37195</v>
      </c>
      <c r="D201" s="490">
        <f>'[86]Sch C'!F212</f>
        <v>0</v>
      </c>
      <c r="E201" s="171">
        <f t="shared" si="50"/>
        <v>37195</v>
      </c>
      <c r="F201" s="171"/>
      <c r="G201" s="171">
        <f t="shared" si="51"/>
        <v>37195</v>
      </c>
      <c r="H201" s="172">
        <f t="shared" si="52"/>
        <v>2.5912964347676393E-3</v>
      </c>
      <c r="I201" s="337"/>
      <c r="J201" s="168"/>
      <c r="K201" s="168"/>
      <c r="M201" s="364">
        <f t="shared" si="53"/>
        <v>0.83161919241604432</v>
      </c>
      <c r="N201" s="359">
        <f>SUMMARY!J204</f>
        <v>0.96144674193499036</v>
      </c>
    </row>
    <row r="202" spans="1:16" s="167" customFormat="1">
      <c r="A202" s="169" t="s">
        <v>140</v>
      </c>
      <c r="B202" s="170" t="s">
        <v>54</v>
      </c>
      <c r="C202" s="490">
        <f>'[86]Sch C'!D213</f>
        <v>16625</v>
      </c>
      <c r="D202" s="490">
        <f>'[86]Sch C'!F213</f>
        <v>0</v>
      </c>
      <c r="E202" s="171">
        <f t="shared" si="50"/>
        <v>16625</v>
      </c>
      <c r="F202" s="171"/>
      <c r="G202" s="171">
        <f t="shared" si="51"/>
        <v>16625</v>
      </c>
      <c r="H202" s="172">
        <f t="shared" si="52"/>
        <v>1.1582283432722679E-3</v>
      </c>
      <c r="I202" s="337"/>
      <c r="J202" s="168"/>
      <c r="K202" s="168"/>
      <c r="M202" s="364">
        <f t="shared" si="53"/>
        <v>0.37170773152081565</v>
      </c>
      <c r="N202" s="359">
        <f>SUMMARY!J205</f>
        <v>0.5247184566232489</v>
      </c>
    </row>
    <row r="203" spans="1:16" s="167" customFormat="1">
      <c r="A203" s="169" t="s">
        <v>141</v>
      </c>
      <c r="B203" s="170" t="s">
        <v>70</v>
      </c>
      <c r="C203" s="490">
        <f>'[86]Sch C'!D214</f>
        <v>0</v>
      </c>
      <c r="D203" s="490">
        <f>'[86]Sch C'!F214</f>
        <v>0</v>
      </c>
      <c r="E203" s="171">
        <f t="shared" si="50"/>
        <v>0</v>
      </c>
      <c r="F203" s="171"/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>
        <f t="shared" si="53"/>
        <v>0</v>
      </c>
      <c r="N203" s="359">
        <f>SUMMARY!J206</f>
        <v>1.4027039130553507E-2</v>
      </c>
    </row>
    <row r="204" spans="1:16" s="167" customFormat="1">
      <c r="A204" s="169" t="s">
        <v>142</v>
      </c>
      <c r="B204" s="202" t="s">
        <v>71</v>
      </c>
      <c r="C204" s="490">
        <f>'[86]Sch C'!D215</f>
        <v>0</v>
      </c>
      <c r="D204" s="490">
        <f>'[86]Sch C'!F215</f>
        <v>0</v>
      </c>
      <c r="E204" s="171">
        <f t="shared" si="50"/>
        <v>0</v>
      </c>
      <c r="F204" s="171"/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</row>
    <row r="205" spans="1:16" s="167" customFormat="1">
      <c r="A205" s="169" t="s">
        <v>143</v>
      </c>
      <c r="B205" s="170" t="s">
        <v>312</v>
      </c>
      <c r="C205" s="490">
        <f>'[86]Sch C'!D216</f>
        <v>3964</v>
      </c>
      <c r="D205" s="490">
        <f>'[86]Sch C'!F216</f>
        <v>0</v>
      </c>
      <c r="E205" s="171">
        <f t="shared" si="50"/>
        <v>3964</v>
      </c>
      <c r="F205" s="171"/>
      <c r="G205" s="171">
        <f t="shared" si="51"/>
        <v>3964</v>
      </c>
      <c r="H205" s="172">
        <f t="shared" si="52"/>
        <v>2.7616343775827186E-4</v>
      </c>
      <c r="I205" s="337"/>
      <c r="J205" s="168"/>
      <c r="K205" s="168"/>
      <c r="M205" s="364">
        <f t="shared" si="53"/>
        <v>8.8628538210436883E-2</v>
      </c>
      <c r="N205" s="359">
        <f>SUMMARY!J208</f>
        <v>0.36483307391933595</v>
      </c>
    </row>
    <row r="206" spans="1:16" s="167" customFormat="1">
      <c r="A206" s="163"/>
      <c r="B206" s="170" t="s">
        <v>144</v>
      </c>
      <c r="C206" s="490">
        <f>SUM(C200:C205)</f>
        <v>233397</v>
      </c>
      <c r="D206" s="490">
        <f>SUM(D200:D205)</f>
        <v>0</v>
      </c>
      <c r="E206" s="171">
        <f t="shared" ref="E206:F206" si="54">SUM(E200:E205)</f>
        <v>233397</v>
      </c>
      <c r="F206" s="171">
        <f t="shared" si="54"/>
        <v>0</v>
      </c>
      <c r="G206" s="171">
        <f>SUM(G200:G205)</f>
        <v>233397</v>
      </c>
      <c r="H206" s="172">
        <f t="shared" si="52"/>
        <v>1.6260271917877742E-2</v>
      </c>
      <c r="I206" s="337"/>
      <c r="J206" s="168"/>
      <c r="K206" s="168"/>
      <c r="M206" s="364">
        <f>G206/G$228</f>
        <v>5.2183741000760184</v>
      </c>
      <c r="N206" s="359">
        <f>SUMMARY!J209</f>
        <v>6.7083892503318125</v>
      </c>
    </row>
    <row r="207" spans="1:16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16" s="167" customFormat="1">
      <c r="A208" s="227"/>
      <c r="B208" s="228" t="s">
        <v>145</v>
      </c>
      <c r="C208" s="490">
        <f>SUM(C25:C206)/2</f>
        <v>14864451</v>
      </c>
      <c r="D208" s="490">
        <f>SUM(D25:D206)/2</f>
        <v>-510632</v>
      </c>
      <c r="E208" s="171">
        <f t="shared" ref="E208:F208" si="55">SUM(E25:E206)/2</f>
        <v>14353819</v>
      </c>
      <c r="F208" s="171">
        <f t="shared" si="55"/>
        <v>0</v>
      </c>
      <c r="G208" s="171">
        <f>SUM(G25:G206)/2</f>
        <v>14353819</v>
      </c>
      <c r="H208" s="172">
        <f>IF($G$208=0,0,G208/$G$208)</f>
        <v>1</v>
      </c>
      <c r="I208" s="337"/>
      <c r="J208" s="183">
        <f>SUM(J25:J200)</f>
        <v>286381</v>
      </c>
      <c r="K208" s="183">
        <f>SUM(K25:K200)</f>
        <v>322051</v>
      </c>
      <c r="M208" s="364">
        <f>G208/G$228</f>
        <v>320.92784957295532</v>
      </c>
      <c r="N208" s="359">
        <f>SUMMARY!J211</f>
        <v>251.18209433366243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490">
        <f>'[86]Sch C'!D221</f>
        <v>14864451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490">
        <f>C208-C211</f>
        <v>0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619"/>
      <c r="D213" s="232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490">
        <f>C21-C208</f>
        <v>-988603</v>
      </c>
      <c r="D215" s="490">
        <f>D21-D208</f>
        <v>506662</v>
      </c>
      <c r="E215" s="171">
        <f t="shared" ref="E215:F215" si="56">E21-E208</f>
        <v>-481941</v>
      </c>
      <c r="F215" s="171">
        <f t="shared" si="56"/>
        <v>0</v>
      </c>
      <c r="G215" s="171">
        <f>G21-G208</f>
        <v>-481941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491">
        <f>'[86]Sch D'!C9</f>
        <v>29483</v>
      </c>
      <c r="D219" s="491"/>
      <c r="E219" s="235">
        <f t="shared" ref="E219:G227" si="57">C219+D219</f>
        <v>29483</v>
      </c>
      <c r="F219" s="234"/>
      <c r="G219" s="235">
        <f t="shared" si="57"/>
        <v>29483</v>
      </c>
      <c r="H219" s="172">
        <f t="shared" ref="H219:H228" si="58">IF($G$228=0,0,G219/$G$228)</f>
        <v>0.65919152170996731</v>
      </c>
      <c r="I219" s="337"/>
      <c r="J219" s="168"/>
      <c r="K219" s="168"/>
    </row>
    <row r="220" spans="1:14">
      <c r="A220" s="163"/>
      <c r="B220" s="170" t="s">
        <v>217</v>
      </c>
      <c r="C220" s="491">
        <f>'[86]Sch D'!D9</f>
        <v>0</v>
      </c>
      <c r="D220" s="491"/>
      <c r="E220" s="235">
        <f t="shared" ref="E220:E227" si="59">C220+D220</f>
        <v>0</v>
      </c>
      <c r="F220" s="234"/>
      <c r="G220" s="235">
        <f t="shared" si="57"/>
        <v>0</v>
      </c>
      <c r="H220" s="172">
        <f t="shared" si="58"/>
        <v>0</v>
      </c>
      <c r="I220" s="337"/>
      <c r="J220" s="168"/>
      <c r="K220" s="168"/>
    </row>
    <row r="221" spans="1:14">
      <c r="A221" s="163"/>
      <c r="B221" s="170" t="s">
        <v>72</v>
      </c>
      <c r="C221" s="491">
        <f>'[86]Sch D'!E9</f>
        <v>4488</v>
      </c>
      <c r="D221" s="491"/>
      <c r="E221" s="235">
        <f t="shared" si="59"/>
        <v>4488</v>
      </c>
      <c r="F221" s="234"/>
      <c r="G221" s="235">
        <f t="shared" si="57"/>
        <v>4488</v>
      </c>
      <c r="H221" s="172">
        <f t="shared" si="58"/>
        <v>0.10034431874077718</v>
      </c>
      <c r="I221" s="337"/>
      <c r="J221" s="168"/>
      <c r="K221" s="168"/>
    </row>
    <row r="222" spans="1:14">
      <c r="A222" s="163"/>
      <c r="B222" s="202" t="s">
        <v>334</v>
      </c>
      <c r="C222" s="491">
        <f>'[86]Sch D'!F9</f>
        <v>3590</v>
      </c>
      <c r="D222" s="491"/>
      <c r="E222" s="235">
        <f>C222+D222</f>
        <v>3590</v>
      </c>
      <c r="F222" s="234"/>
      <c r="G222" s="235">
        <f>E222+F222</f>
        <v>3590</v>
      </c>
      <c r="H222" s="172">
        <f t="shared" si="58"/>
        <v>8.0266511648705449E-2</v>
      </c>
      <c r="I222" s="337"/>
      <c r="J222" s="168"/>
      <c r="K222" s="168"/>
    </row>
    <row r="223" spans="1:14">
      <c r="A223" s="163"/>
      <c r="B223" s="170" t="s">
        <v>73</v>
      </c>
      <c r="C223" s="491">
        <f>'[86]Sch D'!G9</f>
        <v>313</v>
      </c>
      <c r="D223" s="491"/>
      <c r="E223" s="235">
        <f t="shared" si="59"/>
        <v>313</v>
      </c>
      <c r="F223" s="234"/>
      <c r="G223" s="235">
        <f t="shared" si="57"/>
        <v>313</v>
      </c>
      <c r="H223" s="172">
        <f t="shared" si="58"/>
        <v>6.9981666144971607E-3</v>
      </c>
      <c r="I223" s="337"/>
      <c r="J223" s="168"/>
      <c r="K223" s="168"/>
    </row>
    <row r="224" spans="1:14">
      <c r="A224" s="163"/>
      <c r="B224" s="170" t="s">
        <v>74</v>
      </c>
      <c r="C224" s="491">
        <f>'[86]Sch D'!H9</f>
        <v>2619</v>
      </c>
      <c r="D224" s="491"/>
      <c r="E224" s="235">
        <f t="shared" si="59"/>
        <v>2619</v>
      </c>
      <c r="F224" s="234"/>
      <c r="G224" s="235">
        <f t="shared" si="57"/>
        <v>2619</v>
      </c>
      <c r="H224" s="172">
        <f t="shared" si="58"/>
        <v>5.8556544291910748E-2</v>
      </c>
      <c r="I224" s="337"/>
      <c r="J224" s="168"/>
      <c r="K224" s="168"/>
    </row>
    <row r="225" spans="1:11">
      <c r="A225" s="163"/>
      <c r="B225" s="170" t="s">
        <v>236</v>
      </c>
      <c r="C225" s="491">
        <f>'[86]Sch D'!I9</f>
        <v>2420</v>
      </c>
      <c r="D225" s="491"/>
      <c r="E225" s="235">
        <f t="shared" si="59"/>
        <v>2420</v>
      </c>
      <c r="F225" s="234"/>
      <c r="G225" s="235">
        <f t="shared" si="57"/>
        <v>2420</v>
      </c>
      <c r="H225" s="172">
        <f t="shared" si="58"/>
        <v>5.4107230693556323E-2</v>
      </c>
      <c r="I225" s="337"/>
      <c r="J225" s="168"/>
      <c r="K225" s="168"/>
    </row>
    <row r="226" spans="1:11">
      <c r="A226" s="163"/>
      <c r="B226" s="170" t="s">
        <v>235</v>
      </c>
      <c r="C226" s="491">
        <f>'[86]Sch D'!J9</f>
        <v>0</v>
      </c>
      <c r="D226" s="491"/>
      <c r="E226" s="235">
        <f>C226+D226</f>
        <v>0</v>
      </c>
      <c r="F226" s="234"/>
      <c r="G226" s="235">
        <f>E226+F226</f>
        <v>0</v>
      </c>
      <c r="H226" s="172">
        <f t="shared" si="58"/>
        <v>0</v>
      </c>
      <c r="I226" s="337"/>
      <c r="J226" s="168"/>
      <c r="K226" s="168"/>
    </row>
    <row r="227" spans="1:11">
      <c r="A227" s="163"/>
      <c r="B227" s="170" t="s">
        <v>179</v>
      </c>
      <c r="C227" s="491">
        <f>'[86]Sch D'!K9</f>
        <v>1813</v>
      </c>
      <c r="D227" s="491"/>
      <c r="E227" s="235">
        <f t="shared" si="59"/>
        <v>1813</v>
      </c>
      <c r="F227" s="234"/>
      <c r="G227" s="235">
        <f t="shared" si="57"/>
        <v>1813</v>
      </c>
      <c r="H227" s="172">
        <f t="shared" si="58"/>
        <v>4.053570630058579E-2</v>
      </c>
      <c r="I227" s="337"/>
      <c r="J227" s="168"/>
      <c r="K227" s="168"/>
    </row>
    <row r="228" spans="1:11" ht="13.5" thickBot="1">
      <c r="A228" s="163"/>
      <c r="B228" s="236" t="s">
        <v>75</v>
      </c>
      <c r="C228" s="491">
        <f>SUM(C219:C227)</f>
        <v>44726</v>
      </c>
      <c r="D228" s="491">
        <f>SUM(D219:D227)</f>
        <v>0</v>
      </c>
      <c r="E228" s="237">
        <f>SUM(E219:E227)</f>
        <v>44726</v>
      </c>
      <c r="F228" s="237">
        <f>SUM(F219:F227)</f>
        <v>0</v>
      </c>
      <c r="G228" s="237">
        <f>SUM(G219:G227)</f>
        <v>44726</v>
      </c>
      <c r="H228" s="172">
        <f t="shared" si="58"/>
        <v>1</v>
      </c>
      <c r="I228" s="337"/>
      <c r="J228" s="168"/>
      <c r="K228" s="168"/>
    </row>
    <row r="229" spans="1:11" ht="13.5" thickTop="1">
      <c r="A229" s="163"/>
      <c r="B229" s="167"/>
      <c r="C229" s="620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619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492">
        <f>'[86]Sch D'!N22</f>
        <v>184</v>
      </c>
      <c r="D231" s="526"/>
      <c r="E231" s="235">
        <f>C231+D231</f>
        <v>184</v>
      </c>
      <c r="F231" s="235"/>
      <c r="G231" s="235">
        <f>E231+F231</f>
        <v>184</v>
      </c>
      <c r="H231" s="167"/>
      <c r="J231" s="168"/>
      <c r="K231" s="168"/>
    </row>
    <row r="232" spans="1:11">
      <c r="A232" s="163"/>
      <c r="B232" s="202" t="s">
        <v>290</v>
      </c>
      <c r="C232" s="492">
        <f>'[86]Sch D'!N24</f>
        <v>184</v>
      </c>
      <c r="D232" s="526"/>
      <c r="E232" s="235">
        <f>C232+D232</f>
        <v>184</v>
      </c>
      <c r="F232" s="235"/>
      <c r="G232" s="235">
        <f>E232+F232</f>
        <v>184</v>
      </c>
      <c r="H232" s="167"/>
      <c r="J232" s="168"/>
      <c r="K232" s="168"/>
    </row>
    <row r="233" spans="1:11">
      <c r="A233" s="163"/>
      <c r="B233" s="202" t="s">
        <v>76</v>
      </c>
      <c r="C233" s="492">
        <f>$C$4-$C$3+1</f>
        <v>365</v>
      </c>
      <c r="D233" s="489"/>
      <c r="E233" s="235">
        <f>C233+D233</f>
        <v>365</v>
      </c>
      <c r="F233" s="240"/>
      <c r="G233" s="235">
        <f>E233+F233</f>
        <v>365</v>
      </c>
      <c r="H233" s="167"/>
      <c r="J233" s="168"/>
      <c r="K233" s="168"/>
    </row>
    <row r="234" spans="1:11">
      <c r="A234" s="163"/>
      <c r="B234" s="241"/>
      <c r="C234" s="621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492">
        <f>'[86]Sch D'!N28</f>
        <v>67160</v>
      </c>
      <c r="D235" s="489"/>
      <c r="E235" s="234">
        <f>E231*E233</f>
        <v>67160</v>
      </c>
      <c r="F235" s="240"/>
      <c r="G235" s="234">
        <f>G231*G233</f>
        <v>67160</v>
      </c>
      <c r="H235" s="167"/>
      <c r="J235" s="168"/>
      <c r="K235" s="168"/>
    </row>
    <row r="236" spans="1:11" ht="26">
      <c r="A236" s="163"/>
      <c r="B236" s="244" t="s">
        <v>336</v>
      </c>
      <c r="C236" s="493">
        <f>'[86]Sch D'!N30</f>
        <v>0.66596188207266227</v>
      </c>
      <c r="D236" s="240"/>
      <c r="E236" s="245">
        <f>E228/E235</f>
        <v>0.66596188207266227</v>
      </c>
      <c r="F236" s="246"/>
      <c r="G236" s="245">
        <f>G228/G235</f>
        <v>0.66596188207266227</v>
      </c>
      <c r="H236" s="167"/>
      <c r="J236" s="168"/>
      <c r="K236" s="168"/>
    </row>
    <row r="237" spans="1:11" ht="26">
      <c r="A237" s="163"/>
      <c r="B237" s="244" t="s">
        <v>337</v>
      </c>
      <c r="C237" s="493">
        <f>'[86]Sch D'!N32</f>
        <v>0.43899642644431208</v>
      </c>
      <c r="D237" s="240"/>
      <c r="E237" s="245">
        <f>(E219+E220)/E235</f>
        <v>0.43899642644431208</v>
      </c>
      <c r="F237" s="246"/>
      <c r="G237" s="245">
        <f>(G219+G220)/G235</f>
        <v>0.43899642644431208</v>
      </c>
      <c r="H237" s="167"/>
      <c r="J237" s="168"/>
      <c r="K237" s="168"/>
    </row>
    <row r="238" spans="1:11" ht="26">
      <c r="A238" s="163"/>
      <c r="B238" s="244" t="s">
        <v>338</v>
      </c>
      <c r="C238" s="493">
        <f>'[86]Sch D'!N34</f>
        <v>0.65919152170996742</v>
      </c>
      <c r="D238" s="240"/>
      <c r="E238" s="245">
        <f>(E237/E236)</f>
        <v>0.65919152170996742</v>
      </c>
      <c r="F238" s="246"/>
      <c r="G238" s="245">
        <f>(G237/G236)</f>
        <v>0.65919152170996742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490">
        <f>'[86]Sch B'!C85</f>
        <v>221.04302477183833</v>
      </c>
    </row>
    <row r="242" spans="2:7">
      <c r="F242" s="142" t="s">
        <v>341</v>
      </c>
      <c r="G242" s="490">
        <f>'[86]Sch B'!E85</f>
        <v>221.04321907600595</v>
      </c>
    </row>
    <row r="243" spans="2:7">
      <c r="F243" s="142" t="s">
        <v>342</v>
      </c>
      <c r="G243" s="490">
        <f>'[86]Sch B'!G85</f>
        <v>221.04289940828403</v>
      </c>
    </row>
    <row r="244" spans="2:7">
      <c r="F244" s="142" t="s">
        <v>343</v>
      </c>
      <c r="G244" s="490">
        <f>'[86]Sch B'!I85</f>
        <v>221.04356435643564</v>
      </c>
    </row>
    <row r="245" spans="2:7">
      <c r="F245" s="142"/>
    </row>
  </sheetData>
  <customSheetViews>
    <customSheetView guid="{8B6AA640-12E9-11D5-ABB1-E7A21A3D4A14}" showGridLines="0" showRuler="0">
      <pageMargins left="0.75" right="0.75" top="1" bottom="1" header="0.5" footer="0.5"/>
      <printOptions horizontalCentered="1"/>
      <pageSetup scale="70" orientation="portrait" horizontalDpi="300" verticalDpi="300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F10" sqref="F10"/>
      <pageMargins left="0" right="0" top="0" bottom="1" header="0.5" footer="0.5"/>
      <printOptions horizontalCentered="1"/>
      <pageSetup scale="70" orientation="portrait" horizontalDpi="300" verticalDpi="300" r:id="rId2"/>
      <headerFooter alignWithMargins="0">
        <oddFooter>&amp;RLVT
&amp;D
&amp;T
&amp;F</oddFooter>
      </headerFooter>
    </customSheetView>
  </customSheetViews>
  <phoneticPr fontId="0" type="noConversion"/>
  <printOptions horizontalCentered="1"/>
  <pageMargins left="0" right="0" top="0.75" bottom="1" header="0.5" footer="0.5"/>
  <pageSetup scale="41" fitToHeight="4" orientation="landscape" horizontalDpi="300" verticalDpi="300" r:id="rId3"/>
  <headerFooter alignWithMargins="0">
    <oddFooter>&amp;R&amp;D
&amp;T
&amp;F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77">
    <pageSetUpPr fitToPage="1"/>
  </sheetPr>
  <dimension ref="A1:R332"/>
  <sheetViews>
    <sheetView showGridLines="0" zoomScaleNormal="100" workbookViewId="0"/>
  </sheetViews>
  <sheetFormatPr defaultColWidth="9" defaultRowHeight="13"/>
  <cols>
    <col min="1" max="1" width="10.08203125" style="30" bestFit="1" customWidth="1"/>
    <col min="2" max="2" width="43.5" style="30" bestFit="1" customWidth="1"/>
    <col min="3" max="6" width="14.58203125" style="30" customWidth="1"/>
    <col min="7" max="7" width="16" style="30" customWidth="1"/>
    <col min="8" max="8" width="10" style="30" customWidth="1"/>
    <col min="9" max="9" width="9" style="30" bestFit="1"/>
    <col min="10" max="10" width="24.4140625" style="30" customWidth="1"/>
    <col min="11" max="11" width="1.1640625" style="30" customWidth="1"/>
    <col min="12" max="12" width="11.6640625" style="30" customWidth="1"/>
    <col min="13" max="13" width="12.08203125" style="30" customWidth="1"/>
    <col min="14" max="14" width="1.6640625" style="68" customWidth="1"/>
    <col min="15" max="15" width="13.08203125" style="30" customWidth="1"/>
    <col min="16" max="16" width="2" style="30" customWidth="1"/>
    <col min="17" max="17" width="17.6640625" style="30" customWidth="1"/>
    <col min="18" max="18" width="1.1640625" style="30" customWidth="1"/>
    <col min="19" max="16384" width="9" style="30"/>
  </cols>
  <sheetData>
    <row r="1" spans="1:18" ht="44" customHeight="1">
      <c r="A1" s="138" t="str">
        <f>'ALPINE VALLEY'!A1</f>
        <v>schedules revised 7/9/15</v>
      </c>
      <c r="B1" s="1"/>
      <c r="C1" s="682" t="s">
        <v>677</v>
      </c>
      <c r="D1" s="682"/>
      <c r="E1" s="682"/>
      <c r="F1" s="43"/>
      <c r="G1" s="88"/>
      <c r="I1" s="44"/>
      <c r="K1" s="103"/>
    </row>
    <row r="2" spans="1:18" ht="15.75" customHeight="1">
      <c r="A2" s="29"/>
      <c r="B2" s="30" t="s">
        <v>79</v>
      </c>
      <c r="C2" s="45">
        <v>41821</v>
      </c>
      <c r="D2" s="686" t="s">
        <v>430</v>
      </c>
      <c r="E2" s="679"/>
      <c r="F2" s="679"/>
      <c r="G2" s="679"/>
      <c r="H2" s="679"/>
      <c r="J2" s="104"/>
    </row>
    <row r="3" spans="1:18" ht="15.75" customHeight="1">
      <c r="A3" s="29"/>
      <c r="B3" s="31" t="s">
        <v>80</v>
      </c>
      <c r="C3" s="45">
        <v>42185</v>
      </c>
      <c r="D3" s="679"/>
      <c r="E3" s="679"/>
      <c r="F3" s="679"/>
      <c r="G3" s="679"/>
      <c r="H3" s="679"/>
      <c r="J3" s="104"/>
    </row>
    <row r="4" spans="1:18" ht="19.5" customHeight="1">
      <c r="A4" s="29"/>
      <c r="B4" s="31"/>
      <c r="D4" s="679"/>
      <c r="E4" s="679"/>
      <c r="F4" s="679"/>
      <c r="G4" s="679"/>
      <c r="H4" s="679"/>
      <c r="J4" s="104"/>
    </row>
    <row r="5" spans="1:18">
      <c r="A5" s="29"/>
      <c r="B5" s="31"/>
      <c r="C5" s="48"/>
      <c r="D5" s="679"/>
      <c r="E5" s="679"/>
      <c r="F5" s="679"/>
      <c r="G5" s="679"/>
      <c r="H5" s="679"/>
      <c r="J5" s="104"/>
    </row>
    <row r="6" spans="1:18" ht="13.25" customHeight="1">
      <c r="A6" s="29"/>
      <c r="B6" s="31"/>
      <c r="C6" s="48"/>
      <c r="D6" s="679"/>
      <c r="E6" s="679"/>
      <c r="F6" s="679"/>
      <c r="G6" s="679"/>
      <c r="H6" s="679"/>
      <c r="J6" s="104"/>
    </row>
    <row r="7" spans="1:18" ht="13.25" customHeight="1">
      <c r="A7" s="29"/>
      <c r="B7" s="31"/>
      <c r="C7" s="48"/>
      <c r="D7" s="679"/>
      <c r="E7" s="679"/>
      <c r="F7" s="679"/>
      <c r="G7" s="679"/>
      <c r="H7" s="679"/>
      <c r="J7" s="104"/>
    </row>
    <row r="8" spans="1:18" ht="13.25" customHeight="1">
      <c r="A8" s="29"/>
      <c r="B8" s="31"/>
      <c r="C8" s="48"/>
      <c r="D8" s="679"/>
      <c r="E8" s="679"/>
      <c r="F8" s="679"/>
      <c r="G8" s="679"/>
      <c r="H8" s="679"/>
      <c r="J8" s="104"/>
    </row>
    <row r="9" spans="1:18" ht="15.5">
      <c r="A9" s="29"/>
      <c r="B9" s="31"/>
      <c r="C9" s="50" t="s">
        <v>37</v>
      </c>
      <c r="D9" s="51" t="s">
        <v>38</v>
      </c>
      <c r="E9" s="47" t="s">
        <v>39</v>
      </c>
      <c r="F9" s="52" t="s">
        <v>40</v>
      </c>
      <c r="G9" s="53" t="s">
        <v>41</v>
      </c>
      <c r="H9" s="47" t="s">
        <v>42</v>
      </c>
      <c r="J9" s="105">
        <v>7</v>
      </c>
      <c r="L9" s="86" t="s">
        <v>174</v>
      </c>
      <c r="M9" s="86" t="s">
        <v>174</v>
      </c>
      <c r="N9" s="106"/>
      <c r="O9" s="77" t="s">
        <v>182</v>
      </c>
      <c r="P9" s="58"/>
      <c r="Q9" s="87" t="s">
        <v>183</v>
      </c>
      <c r="R9" s="59"/>
    </row>
    <row r="10" spans="1:18" ht="15.5">
      <c r="A10" s="29" t="s">
        <v>0</v>
      </c>
      <c r="B10" s="31"/>
      <c r="C10" s="55" t="s">
        <v>1</v>
      </c>
      <c r="D10" s="55" t="s">
        <v>2</v>
      </c>
      <c r="E10" s="55" t="s">
        <v>3</v>
      </c>
      <c r="F10" s="55" t="s">
        <v>4</v>
      </c>
      <c r="G10" s="55" t="s">
        <v>5</v>
      </c>
      <c r="H10" s="56" t="s">
        <v>6</v>
      </c>
      <c r="J10" s="107" t="s">
        <v>249</v>
      </c>
      <c r="L10" s="683" t="s">
        <v>273</v>
      </c>
      <c r="M10" s="683" t="s">
        <v>274</v>
      </c>
      <c r="N10" s="108"/>
      <c r="O10" s="7" t="s">
        <v>186</v>
      </c>
      <c r="P10" s="58"/>
      <c r="Q10" s="7" t="s">
        <v>185</v>
      </c>
      <c r="R10" s="59"/>
    </row>
    <row r="11" spans="1:18" ht="15.5">
      <c r="A11" s="29" t="s">
        <v>7</v>
      </c>
      <c r="B11" s="31"/>
      <c r="C11" s="60"/>
      <c r="D11" s="60"/>
      <c r="E11" s="60" t="s">
        <v>8</v>
      </c>
      <c r="F11" s="60" t="s">
        <v>9</v>
      </c>
      <c r="G11" s="60" t="s">
        <v>10</v>
      </c>
      <c r="H11" s="61" t="s">
        <v>11</v>
      </c>
      <c r="J11" s="109" t="s">
        <v>250</v>
      </c>
      <c r="L11" s="684"/>
      <c r="M11" s="684"/>
      <c r="N11" s="108"/>
      <c r="O11" s="62" t="s">
        <v>184</v>
      </c>
      <c r="P11" s="58"/>
      <c r="Q11" s="62" t="s">
        <v>187</v>
      </c>
      <c r="R11" s="59"/>
    </row>
    <row r="12" spans="1:18" ht="15.5">
      <c r="A12" s="29"/>
      <c r="B12" s="1"/>
      <c r="C12" s="49"/>
      <c r="D12" s="46"/>
      <c r="F12" s="46"/>
      <c r="G12" s="43"/>
      <c r="J12" s="110" t="s">
        <v>251</v>
      </c>
      <c r="L12" s="685"/>
      <c r="M12" s="685"/>
      <c r="N12" s="108"/>
      <c r="O12" s="63" t="s">
        <v>193</v>
      </c>
      <c r="P12" s="58"/>
      <c r="Q12" s="63" t="s">
        <v>188</v>
      </c>
      <c r="R12" s="59"/>
    </row>
    <row r="13" spans="1:18" ht="15.5">
      <c r="A13" s="29"/>
      <c r="B13" s="1" t="s">
        <v>221</v>
      </c>
      <c r="C13" s="49"/>
      <c r="D13" s="46"/>
      <c r="F13" s="46"/>
      <c r="G13" s="43"/>
      <c r="J13" s="110"/>
      <c r="L13" s="12"/>
      <c r="M13" s="12"/>
      <c r="N13" s="21"/>
      <c r="O13" s="57"/>
      <c r="P13" s="58"/>
      <c r="Q13" s="57"/>
      <c r="R13" s="59"/>
    </row>
    <row r="14" spans="1:18" s="25" customFormat="1" ht="15.5">
      <c r="A14" s="32" t="s">
        <v>13</v>
      </c>
      <c r="B14" s="24" t="s">
        <v>213</v>
      </c>
      <c r="C14" s="14">
        <f>SUM('ALPINE VALLEY:WOODLAND'!C11)</f>
        <v>187130470.75999996</v>
      </c>
      <c r="D14" s="14">
        <f>SUM('ALPINE VALLEY:WOODLAND'!D11)</f>
        <v>-919197.05999999994</v>
      </c>
      <c r="E14" s="14">
        <f>SUM('ALPINE VALLEY:WOODLAND'!E11)</f>
        <v>186211273.69999999</v>
      </c>
      <c r="F14" s="14">
        <f>SUM('ALPINE VALLEY:WOODLAND'!F11)</f>
        <v>13521793.020000001</v>
      </c>
      <c r="G14" s="14">
        <f>SUM('ALPINE VALLEY:WOODLAND'!G11)</f>
        <v>199733066.71999997</v>
      </c>
      <c r="H14" s="26">
        <f t="shared" ref="H14:H24" si="0">G14/$G$24</f>
        <v>0.41213286181618214</v>
      </c>
      <c r="J14" s="111">
        <f>IF(G222=0,0,G14/G222)</f>
        <v>202.14403866920762</v>
      </c>
      <c r="L14" s="248" t="s">
        <v>344</v>
      </c>
      <c r="M14" s="168">
        <f>G24</f>
        <v>484632712.46999985</v>
      </c>
      <c r="N14" s="90"/>
      <c r="O14" s="413"/>
      <c r="P14" s="113"/>
      <c r="Q14" s="112"/>
      <c r="R14" s="113"/>
    </row>
    <row r="15" spans="1:18" s="25" customFormat="1" ht="15.5">
      <c r="A15" s="32" t="s">
        <v>15</v>
      </c>
      <c r="B15" s="24" t="s">
        <v>214</v>
      </c>
      <c r="C15" s="14">
        <f>SUM('ALPINE VALLEY:WOODLAND'!C12)</f>
        <v>1943218.52</v>
      </c>
      <c r="D15" s="14">
        <f>SUM('ALPINE VALLEY:WOODLAND'!D12)</f>
        <v>721484</v>
      </c>
      <c r="E15" s="14">
        <f>SUM('ALPINE VALLEY:WOODLAND'!E12)</f>
        <v>2664702.52</v>
      </c>
      <c r="F15" s="14">
        <f>SUM('ALPINE VALLEY:WOODLAND'!F12)</f>
        <v>182982.05</v>
      </c>
      <c r="G15" s="14">
        <f>SUM('ALPINE VALLEY:WOODLAND'!G12)</f>
        <v>2847684.57</v>
      </c>
      <c r="H15" s="26">
        <f t="shared" si="0"/>
        <v>5.8759644091839541E-3</v>
      </c>
      <c r="J15" s="111">
        <f>IF(G223=0,0,G15/G223)</f>
        <v>201.43485675885972</v>
      </c>
      <c r="L15" s="248" t="s">
        <v>345</v>
      </c>
      <c r="M15" s="168">
        <f>G211</f>
        <v>459926973.82965261</v>
      </c>
      <c r="N15" s="90"/>
      <c r="O15" s="413"/>
      <c r="P15" s="113"/>
      <c r="Q15" s="112"/>
      <c r="R15" s="113"/>
    </row>
    <row r="16" spans="1:18" s="25" customFormat="1" ht="15.5">
      <c r="A16" s="32" t="s">
        <v>16</v>
      </c>
      <c r="B16" s="24" t="s">
        <v>170</v>
      </c>
      <c r="C16" s="14">
        <f>SUM('ALPINE VALLEY:WOODLAND'!C13)</f>
        <v>124615694.05999999</v>
      </c>
      <c r="D16" s="14">
        <f>SUM('ALPINE VALLEY:WOODLAND'!D13)</f>
        <v>-305090.03000000003</v>
      </c>
      <c r="E16" s="14">
        <f>SUM('ALPINE VALLEY:WOODLAND'!E13)</f>
        <v>124310604.02999999</v>
      </c>
      <c r="F16" s="14">
        <f>SUM('ALPINE VALLEY:WOODLAND'!F13)</f>
        <v>4699223.71</v>
      </c>
      <c r="G16" s="14">
        <f>SUM('ALPINE VALLEY:WOODLAND'!G13)</f>
        <v>129009827.73999996</v>
      </c>
      <c r="H16" s="26">
        <f t="shared" si="0"/>
        <v>0.26620123739167945</v>
      </c>
      <c r="J16" s="111">
        <f t="shared" ref="J16:J22" si="1">IF(G224=0,0,G16/G224)</f>
        <v>505.71464085235812</v>
      </c>
      <c r="L16" s="248" t="s">
        <v>346</v>
      </c>
      <c r="M16" s="168">
        <f>G231</f>
        <v>1831050</v>
      </c>
      <c r="N16" s="90"/>
      <c r="O16" s="413"/>
      <c r="P16" s="113"/>
      <c r="Q16" s="112"/>
      <c r="R16" s="113"/>
    </row>
    <row r="17" spans="1:18" s="25" customFormat="1" ht="15.5">
      <c r="A17" s="32" t="s">
        <v>18</v>
      </c>
      <c r="B17" s="24" t="s">
        <v>272</v>
      </c>
      <c r="C17" s="14">
        <f>SUM('ALPINE VALLEY:WOODLAND'!C14)</f>
        <v>40422258.29999999</v>
      </c>
      <c r="D17" s="14">
        <f>SUM('ALPINE VALLEY:WOODLAND'!D14)</f>
        <v>3555184.4</v>
      </c>
      <c r="E17" s="14">
        <f>SUM('ALPINE VALLEY:WOODLAND'!E14)</f>
        <v>43977442.699999996</v>
      </c>
      <c r="F17" s="14">
        <f>SUM('ALPINE VALLEY:WOODLAND'!F14)</f>
        <v>5940473.3900000006</v>
      </c>
      <c r="G17" s="14">
        <f>SUM('ALPINE VALLEY:WOODLAND'!G14)</f>
        <v>49917916.089999996</v>
      </c>
      <c r="H17" s="26">
        <f t="shared" si="0"/>
        <v>0.10300154076596729</v>
      </c>
      <c r="J17" s="111">
        <f t="shared" si="1"/>
        <v>434.5752101579231</v>
      </c>
      <c r="L17" s="248" t="s">
        <v>347</v>
      </c>
      <c r="M17" s="168">
        <f>G234</f>
        <v>7766.3397260273969</v>
      </c>
      <c r="N17" s="90"/>
      <c r="O17" s="413"/>
      <c r="P17" s="113"/>
      <c r="Q17" s="112"/>
      <c r="R17" s="113"/>
    </row>
    <row r="18" spans="1:18" s="25" customFormat="1" ht="15.5">
      <c r="A18" s="32" t="s">
        <v>19</v>
      </c>
      <c r="B18" s="24" t="s">
        <v>171</v>
      </c>
      <c r="C18" s="14">
        <f>SUM('ALPINE VALLEY:WOODLAND'!C15)</f>
        <v>24944145.640000001</v>
      </c>
      <c r="D18" s="14">
        <f>SUM('ALPINE VALLEY:WOODLAND'!D15)</f>
        <v>-10862462</v>
      </c>
      <c r="E18" s="14">
        <f>SUM('ALPINE VALLEY:WOODLAND'!E15)</f>
        <v>14081683.640000001</v>
      </c>
      <c r="F18" s="14">
        <f>SUM('ALPINE VALLEY:WOODLAND'!F15)</f>
        <v>935137.64999999991</v>
      </c>
      <c r="G18" s="14">
        <f>SUM('ALPINE VALLEY:WOODLAND'!G15)</f>
        <v>15016821.290000001</v>
      </c>
      <c r="H18" s="26">
        <f t="shared" si="0"/>
        <v>3.0985983619357071E-2</v>
      </c>
      <c r="J18" s="111">
        <f t="shared" si="1"/>
        <v>315.99060013046318</v>
      </c>
      <c r="L18" s="248" t="s">
        <v>348</v>
      </c>
      <c r="M18" s="168">
        <f>G238</f>
        <v>2853849</v>
      </c>
      <c r="N18" s="90"/>
      <c r="O18" s="413"/>
      <c r="P18" s="113"/>
      <c r="Q18" s="112"/>
      <c r="R18" s="113"/>
    </row>
    <row r="19" spans="1:18" s="25" customFormat="1" ht="15.5">
      <c r="A19" s="32" t="s">
        <v>21</v>
      </c>
      <c r="B19" s="24" t="s">
        <v>172</v>
      </c>
      <c r="C19" s="14">
        <f>SUM('ALPINE VALLEY:WOODLAND'!C16)</f>
        <v>47167010.899999999</v>
      </c>
      <c r="D19" s="14">
        <f>SUM('ALPINE VALLEY:WOODLAND'!D16)</f>
        <v>8347267.6900000004</v>
      </c>
      <c r="E19" s="14">
        <f>SUM('ALPINE VALLEY:WOODLAND'!E16)</f>
        <v>55514278.590000004</v>
      </c>
      <c r="F19" s="14">
        <f>SUM('ALPINE VALLEY:WOODLAND'!F16)</f>
        <v>1713970.05</v>
      </c>
      <c r="G19" s="14">
        <f>SUM('ALPINE VALLEY:WOODLAND'!G16)</f>
        <v>57228248.640000001</v>
      </c>
      <c r="H19" s="26">
        <f t="shared" si="0"/>
        <v>0.11808581461273643</v>
      </c>
      <c r="J19" s="111">
        <f t="shared" si="1"/>
        <v>199.44117347347731</v>
      </c>
      <c r="L19" s="163"/>
      <c r="M19" s="168"/>
      <c r="N19" s="90"/>
      <c r="O19" s="413"/>
      <c r="P19" s="113"/>
      <c r="Q19" s="112"/>
      <c r="R19" s="113"/>
    </row>
    <row r="20" spans="1:18" s="25" customFormat="1" ht="15.5">
      <c r="A20" s="32" t="s">
        <v>215</v>
      </c>
      <c r="B20" s="24" t="s">
        <v>228</v>
      </c>
      <c r="C20" s="14">
        <f>SUM('ALPINE VALLEY:WOODLAND'!C17)</f>
        <v>10797163.889999997</v>
      </c>
      <c r="D20" s="14">
        <f>SUM('ALPINE VALLEY:WOODLAND'!D17)</f>
        <v>1106163.3599999999</v>
      </c>
      <c r="E20" s="14">
        <f>SUM('ALPINE VALLEY:WOODLAND'!E17)</f>
        <v>11903327.249999998</v>
      </c>
      <c r="F20" s="14">
        <f>SUM('ALPINE VALLEY:WOODLAND'!F17)</f>
        <v>658091.39</v>
      </c>
      <c r="G20" s="14">
        <f>SUM('ALPINE VALLEY:WOODLAND'!G17)</f>
        <v>12561418.639999997</v>
      </c>
      <c r="H20" s="26">
        <f t="shared" si="0"/>
        <v>2.5919460896436257E-2</v>
      </c>
      <c r="J20" s="111">
        <f t="shared" si="1"/>
        <v>174.81134252751988</v>
      </c>
      <c r="L20" s="248" t="s">
        <v>156</v>
      </c>
      <c r="M20" s="168">
        <f>L211</f>
        <v>10528472.13272519</v>
      </c>
      <c r="N20" s="90"/>
      <c r="O20" s="413"/>
      <c r="P20" s="113"/>
      <c r="Q20" s="112"/>
      <c r="R20" s="113"/>
    </row>
    <row r="21" spans="1:18" s="25" customFormat="1" ht="15.5">
      <c r="A21" s="32" t="s">
        <v>216</v>
      </c>
      <c r="B21" s="24" t="s">
        <v>229</v>
      </c>
      <c r="C21" s="14">
        <f>SUM('ALPINE VALLEY:WOODLAND'!C18)</f>
        <v>7246930.8600000003</v>
      </c>
      <c r="D21" s="14">
        <f>SUM('ALPINE VALLEY:WOODLAND'!D18)</f>
        <v>-597786</v>
      </c>
      <c r="E21" s="14">
        <f>SUM('ALPINE VALLEY:WOODLAND'!E18)</f>
        <v>6649144.8599999994</v>
      </c>
      <c r="F21" s="14">
        <f>SUM('ALPINE VALLEY:WOODLAND'!F18)</f>
        <v>308424.61</v>
      </c>
      <c r="G21" s="14">
        <f>SUM('ALPINE VALLEY:WOODLAND'!G18)</f>
        <v>6957569.4700000007</v>
      </c>
      <c r="H21" s="26">
        <f t="shared" si="0"/>
        <v>1.435637605752974E-2</v>
      </c>
      <c r="J21" s="111">
        <f t="shared" si="1"/>
        <v>183.50924381494963</v>
      </c>
      <c r="L21" s="248" t="s">
        <v>252</v>
      </c>
      <c r="M21" s="168">
        <f>M211</f>
        <v>11333377.387725191</v>
      </c>
      <c r="N21" s="90"/>
      <c r="O21" s="413"/>
      <c r="P21" s="113"/>
      <c r="Q21" s="112"/>
      <c r="R21" s="113"/>
    </row>
    <row r="22" spans="1:18" s="25" customFormat="1" ht="15.5">
      <c r="A22" s="32" t="s">
        <v>227</v>
      </c>
      <c r="B22" s="24" t="s">
        <v>230</v>
      </c>
      <c r="C22" s="14">
        <f>SUM('ALPINE VALLEY:WOODLAND'!C19)</f>
        <v>8177535.0399999991</v>
      </c>
      <c r="D22" s="14">
        <f>SUM('ALPINE VALLEY:WOODLAND'!D19)</f>
        <v>-1443734</v>
      </c>
      <c r="E22" s="14">
        <f>SUM('ALPINE VALLEY:WOODLAND'!E19)</f>
        <v>6733801.0399999991</v>
      </c>
      <c r="F22" s="14">
        <f>SUM('ALPINE VALLEY:WOODLAND'!F19)</f>
        <v>-1223233</v>
      </c>
      <c r="G22" s="14">
        <f>SUM('ALPINE VALLEY:WOODLAND'!G19)</f>
        <v>5510568.0399999991</v>
      </c>
      <c r="H22" s="26">
        <f t="shared" si="0"/>
        <v>1.1370606849699852E-2</v>
      </c>
      <c r="J22" s="111">
        <f t="shared" si="1"/>
        <v>376.584981890248</v>
      </c>
      <c r="L22" s="90"/>
      <c r="M22" s="90"/>
      <c r="N22" s="90"/>
      <c r="O22" s="112"/>
      <c r="P22" s="113"/>
      <c r="Q22" s="112"/>
      <c r="R22" s="113"/>
    </row>
    <row r="23" spans="1:18" s="25" customFormat="1" ht="15.5">
      <c r="A23" s="32" t="s">
        <v>183</v>
      </c>
      <c r="B23" s="2" t="s">
        <v>180</v>
      </c>
      <c r="C23" s="14">
        <f>SUM('ALPINE VALLEY:WOODLAND'!C20)</f>
        <v>8438562.6600000001</v>
      </c>
      <c r="D23" s="14">
        <f>SUM('ALPINE VALLEY:WOODLAND'!D20)</f>
        <v>-763312.29000000015</v>
      </c>
      <c r="E23" s="14">
        <f>SUM('ALPINE VALLEY:WOODLAND'!E20)</f>
        <v>7675250.3700000001</v>
      </c>
      <c r="F23" s="14">
        <f>SUM('ALPINE VALLEY:WOODLAND'!F20)</f>
        <v>-1825659.1</v>
      </c>
      <c r="G23" s="14">
        <f>SUM('ALPINE VALLEY:WOODLAND'!G20)</f>
        <v>5849591.2699999986</v>
      </c>
      <c r="H23" s="26">
        <f t="shared" si="0"/>
        <v>1.2070153581227981E-2</v>
      </c>
      <c r="J23" s="114" t="s">
        <v>200</v>
      </c>
      <c r="L23" s="91"/>
      <c r="M23" s="91"/>
      <c r="N23" s="91"/>
      <c r="O23" s="112"/>
      <c r="P23" s="113"/>
      <c r="Q23" s="112"/>
      <c r="R23" s="113"/>
    </row>
    <row r="24" spans="1:18" s="25" customFormat="1" ht="15.5">
      <c r="A24" s="32"/>
      <c r="B24" s="3" t="s">
        <v>77</v>
      </c>
      <c r="C24" s="14">
        <f>SUM('ALPINE VALLEY:WOODLAND'!C21)</f>
        <v>460882990.62999994</v>
      </c>
      <c r="D24" s="14">
        <f>SUM('ALPINE VALLEY:WOODLAND'!D21)</f>
        <v>-1161481.93</v>
      </c>
      <c r="E24" s="14">
        <f>SUM('ALPINE VALLEY:WOODLAND'!E21)</f>
        <v>459721508.69999987</v>
      </c>
      <c r="F24" s="14">
        <f>SUM('ALPINE VALLEY:WOODLAND'!F21)</f>
        <v>24911203.77</v>
      </c>
      <c r="G24" s="14">
        <f>SUM('ALPINE VALLEY:WOODLAND'!G21)</f>
        <v>484632712.46999985</v>
      </c>
      <c r="H24" s="26">
        <f t="shared" si="0"/>
        <v>1</v>
      </c>
      <c r="J24" s="111">
        <f>IF(G231=0,0,G24/G231)</f>
        <v>264.67475627099196</v>
      </c>
      <c r="L24" s="90"/>
      <c r="M24" s="90"/>
      <c r="N24" s="90"/>
      <c r="O24" s="112"/>
      <c r="P24" s="113"/>
      <c r="Q24" s="112"/>
      <c r="R24" s="113"/>
    </row>
    <row r="25" spans="1:18" ht="15.5">
      <c r="A25" s="29"/>
      <c r="B25" s="1"/>
      <c r="C25" s="17"/>
      <c r="D25" s="17"/>
      <c r="E25" s="17"/>
      <c r="F25" s="17"/>
      <c r="G25" s="17"/>
      <c r="H25" s="59"/>
      <c r="J25" s="115"/>
      <c r="L25" s="12"/>
      <c r="M25" s="12"/>
      <c r="N25" s="21"/>
      <c r="O25" s="57"/>
      <c r="P25" s="58"/>
      <c r="Q25" s="57"/>
      <c r="R25" s="59"/>
    </row>
    <row r="26" spans="1:18" ht="26.5">
      <c r="A26" s="33" t="s">
        <v>231</v>
      </c>
      <c r="B26" s="1" t="s">
        <v>222</v>
      </c>
      <c r="C26" s="49"/>
      <c r="D26" s="46"/>
      <c r="E26" s="46"/>
      <c r="F26" s="46"/>
      <c r="G26" s="46"/>
      <c r="H26" s="59"/>
      <c r="J26" s="115"/>
      <c r="L26" s="12"/>
      <c r="M26" s="12"/>
      <c r="N26" s="21"/>
      <c r="O26" s="57"/>
      <c r="P26" s="58"/>
      <c r="Q26" s="57"/>
      <c r="R26" s="59"/>
    </row>
    <row r="27" spans="1:18" ht="15.5">
      <c r="A27" s="34" t="s">
        <v>161</v>
      </c>
      <c r="B27" s="31" t="s">
        <v>12</v>
      </c>
      <c r="H27" s="59"/>
      <c r="J27" s="116"/>
      <c r="L27" s="66"/>
      <c r="M27" s="66"/>
      <c r="N27" s="117"/>
      <c r="O27" s="58"/>
      <c r="P27" s="58"/>
      <c r="Q27" s="59"/>
      <c r="R27" s="59"/>
    </row>
    <row r="28" spans="1:18" s="25" customFormat="1" ht="15.5">
      <c r="A28" s="32" t="s">
        <v>83</v>
      </c>
      <c r="B28" s="24" t="s">
        <v>14</v>
      </c>
      <c r="C28" s="14">
        <f>SUM('ALPINE VALLEY:WOODLAND'!C25)</f>
        <v>5593468.1409999998</v>
      </c>
      <c r="D28" s="14">
        <f>SUM('ALPINE VALLEY:WOODLAND'!D25)</f>
        <v>3264779.2399999998</v>
      </c>
      <c r="E28" s="14">
        <f>SUM('ALPINE VALLEY:WOODLAND'!E25)</f>
        <v>8858247.3809999991</v>
      </c>
      <c r="F28" s="14">
        <f>SUM('ALPINE VALLEY:WOODLAND'!F25)</f>
        <v>561880</v>
      </c>
      <c r="G28" s="14">
        <f>SUM('ALPINE VALLEY:WOODLAND'!G25)</f>
        <v>9420127.381000001</v>
      </c>
      <c r="H28" s="92">
        <f>IF($G$211=0,0,G28/$G$211)</f>
        <v>2.0481789320947765E-2</v>
      </c>
      <c r="J28" s="111">
        <f t="shared" ref="J28:J64" si="2">IF(G28=0,0,G28/$G$231)</f>
        <v>5.1446587373365018</v>
      </c>
      <c r="K28" s="25">
        <v>2031.37</v>
      </c>
      <c r="L28" s="118">
        <f>SUM('ALPINE VALLEY:WOODLAND'!J25)</f>
        <v>144315.87000000002</v>
      </c>
      <c r="M28" s="118">
        <f>SUM('ALPINE VALLEY:WOODLAND'!K25)</f>
        <v>150940.06000000003</v>
      </c>
      <c r="N28" s="119"/>
      <c r="O28" s="120">
        <f>IF(L28=0,0,G28/M28)</f>
        <v>62.409723310034458</v>
      </c>
      <c r="P28" s="59"/>
      <c r="Q28" s="121">
        <f>M28/$G$231</f>
        <v>8.2433609131372723E-2</v>
      </c>
      <c r="R28" s="59"/>
    </row>
    <row r="29" spans="1:18" s="25" customFormat="1" ht="15.5">
      <c r="A29" s="32" t="s">
        <v>84</v>
      </c>
      <c r="B29" s="24" t="s">
        <v>176</v>
      </c>
      <c r="C29" s="14">
        <f>SUM('ALPINE VALLEY:WOODLAND'!C26)</f>
        <v>135818</v>
      </c>
      <c r="D29" s="14">
        <f>SUM('ALPINE VALLEY:WOODLAND'!D26)</f>
        <v>41752</v>
      </c>
      <c r="E29" s="14">
        <f>SUM('ALPINE VALLEY:WOODLAND'!E26)</f>
        <v>177570</v>
      </c>
      <c r="F29" s="14">
        <f>SUM('ALPINE VALLEY:WOODLAND'!F26)</f>
        <v>0</v>
      </c>
      <c r="G29" s="14">
        <f>SUM('ALPINE VALLEY:WOODLAND'!G26)</f>
        <v>177570</v>
      </c>
      <c r="H29" s="92">
        <f>IF($G$211=0,0,G29/$G$211)</f>
        <v>3.8608303079385868E-4</v>
      </c>
      <c r="J29" s="111">
        <f t="shared" si="2"/>
        <v>9.6977144261489304E-2</v>
      </c>
      <c r="K29" s="25">
        <v>0</v>
      </c>
      <c r="L29" s="118">
        <f>SUM('ALPINE VALLEY:WOODLAND'!J26)</f>
        <v>4236.22</v>
      </c>
      <c r="M29" s="118">
        <f>SUM('ALPINE VALLEY:WOODLAND'!K26)</f>
        <v>4616.22</v>
      </c>
      <c r="N29" s="119"/>
      <c r="O29" s="120">
        <f>IF(L29=0,0,G29/M29)</f>
        <v>38.466537556702235</v>
      </c>
      <c r="P29" s="59"/>
      <c r="Q29" s="121">
        <f>M29/$G$231</f>
        <v>2.521078069959859E-3</v>
      </c>
      <c r="R29" s="59"/>
    </row>
    <row r="30" spans="1:18" s="25" customFormat="1" ht="15.5">
      <c r="A30" s="32" t="s">
        <v>85</v>
      </c>
      <c r="B30" s="24" t="s">
        <v>17</v>
      </c>
      <c r="C30" s="14">
        <f>SUM('ALPINE VALLEY:WOODLAND'!C27)</f>
        <v>17906605.199999999</v>
      </c>
      <c r="D30" s="14">
        <f>SUM('ALPINE VALLEY:WOODLAND'!D27)</f>
        <v>-6348299.9349586628</v>
      </c>
      <c r="E30" s="14">
        <f>SUM('ALPINE VALLEY:WOODLAND'!E27)</f>
        <v>11558305.265041336</v>
      </c>
      <c r="F30" s="14">
        <f>SUM('ALPINE VALLEY:WOODLAND'!F27)</f>
        <v>463239.14318933384</v>
      </c>
      <c r="G30" s="14">
        <f>SUM('ALPINE VALLEY:WOODLAND'!G27)</f>
        <v>12021544.408230668</v>
      </c>
      <c r="H30" s="92">
        <f>IF($G$211=0,0,G30/$G$211)</f>
        <v>2.6137941656544803E-2</v>
      </c>
      <c r="J30" s="111">
        <f t="shared" si="2"/>
        <v>6.5653829268620019</v>
      </c>
      <c r="K30" s="25">
        <v>1898.21</v>
      </c>
      <c r="L30" s="118">
        <f>SUM('ALPINE VALLEY:WOODLAND'!J27)</f>
        <v>507796.84571428556</v>
      </c>
      <c r="M30" s="118">
        <f>SUM('ALPINE VALLEY:WOODLAND'!K27)</f>
        <v>536171.27142857132</v>
      </c>
      <c r="N30" s="119"/>
      <c r="O30" s="120">
        <f>IF(L30=0,0,G30/M30)</f>
        <v>22.421090141962551</v>
      </c>
      <c r="P30" s="59"/>
      <c r="Q30" s="121">
        <f>M30/$G$231</f>
        <v>0.29282175332654559</v>
      </c>
      <c r="R30" s="59"/>
    </row>
    <row r="31" spans="1:18" s="25" customFormat="1" ht="15.5">
      <c r="A31" s="32" t="s">
        <v>86</v>
      </c>
      <c r="B31" s="24" t="s">
        <v>45</v>
      </c>
      <c r="C31" s="14">
        <f>SUM('ALPINE VALLEY:WOODLAND'!C28)</f>
        <v>17290036.390000004</v>
      </c>
      <c r="D31" s="14">
        <f>SUM('ALPINE VALLEY:WOODLAND'!D28)</f>
        <v>-13527547.578378247</v>
      </c>
      <c r="E31" s="14">
        <f>SUM('ALPINE VALLEY:WOODLAND'!E28)</f>
        <v>3762488.8116217516</v>
      </c>
      <c r="F31" s="14">
        <f>SUM('ALPINE VALLEY:WOODLAND'!F28)</f>
        <v>221965.10912583017</v>
      </c>
      <c r="G31" s="14">
        <f>SUM('ALPINE VALLEY:WOODLAND'!G28)</f>
        <v>3984453.9207475819</v>
      </c>
      <c r="H31" s="92">
        <f>IF($G$211=0,0,G31/$G$211)</f>
        <v>8.6632316595184975E-3</v>
      </c>
      <c r="J31" s="111">
        <f t="shared" si="2"/>
        <v>2.1760486719355461</v>
      </c>
      <c r="L31" s="69"/>
      <c r="M31" s="69"/>
      <c r="N31" s="69"/>
      <c r="O31" s="71"/>
      <c r="P31" s="59"/>
      <c r="Q31" s="71"/>
      <c r="R31" s="59"/>
    </row>
    <row r="32" spans="1:18" s="25" customFormat="1" ht="15.5">
      <c r="A32" s="32" t="s">
        <v>175</v>
      </c>
      <c r="B32" s="24" t="s">
        <v>20</v>
      </c>
      <c r="C32" s="14">
        <f>SUM('ALPINE VALLEY:WOODLAND'!C29)</f>
        <v>137417.99</v>
      </c>
      <c r="D32" s="14">
        <f>SUM('ALPINE VALLEY:WOODLAND'!D29)</f>
        <v>0</v>
      </c>
      <c r="E32" s="14">
        <f>SUM('ALPINE VALLEY:WOODLAND'!E29)</f>
        <v>137417.99</v>
      </c>
      <c r="F32" s="14">
        <f>SUM('ALPINE VALLEY:WOODLAND'!F29)</f>
        <v>-92400</v>
      </c>
      <c r="G32" s="14">
        <f>SUM('ALPINE VALLEY:WOODLAND'!G29)</f>
        <v>45017.990000000005</v>
      </c>
      <c r="H32" s="92">
        <f t="shared" ref="H32:H64" si="3">IF($G$211=0,0,G32/$G$211)</f>
        <v>9.7880734467802134E-5</v>
      </c>
      <c r="J32" s="111">
        <f t="shared" si="2"/>
        <v>2.4585887878539638E-2</v>
      </c>
      <c r="L32" s="69"/>
      <c r="M32" s="69"/>
      <c r="N32" s="69"/>
      <c r="O32" s="71"/>
      <c r="P32" s="59"/>
      <c r="Q32" s="71"/>
      <c r="R32" s="59"/>
    </row>
    <row r="33" spans="1:18" s="25" customFormat="1" ht="15.5">
      <c r="A33" s="32" t="s">
        <v>88</v>
      </c>
      <c r="B33" s="24" t="s">
        <v>22</v>
      </c>
      <c r="C33" s="14">
        <f>SUM('ALPINE VALLEY:WOODLAND'!C30)</f>
        <v>3067449.78</v>
      </c>
      <c r="D33" s="14">
        <f>SUM('ALPINE VALLEY:WOODLAND'!D30)</f>
        <v>-24758.899999999994</v>
      </c>
      <c r="E33" s="14">
        <f>SUM('ALPINE VALLEY:WOODLAND'!E30)</f>
        <v>3042690.88</v>
      </c>
      <c r="F33" s="14">
        <f>SUM('ALPINE VALLEY:WOODLAND'!F30)</f>
        <v>0</v>
      </c>
      <c r="G33" s="14">
        <f>SUM('ALPINE VALLEY:WOODLAND'!G30)</f>
        <v>3042690.88</v>
      </c>
      <c r="H33" s="92">
        <f t="shared" si="3"/>
        <v>6.6155956339428558E-3</v>
      </c>
      <c r="J33" s="111">
        <f t="shared" si="2"/>
        <v>1.6617191665983997</v>
      </c>
      <c r="L33" s="69"/>
      <c r="M33" s="69"/>
      <c r="N33" s="69"/>
      <c r="O33" s="71"/>
      <c r="P33" s="59"/>
      <c r="Q33" s="71"/>
      <c r="R33" s="59"/>
    </row>
    <row r="34" spans="1:18" s="25" customFormat="1" ht="15.5">
      <c r="A34" s="32" t="s">
        <v>89</v>
      </c>
      <c r="B34" s="24" t="s">
        <v>148</v>
      </c>
      <c r="C34" s="14">
        <f>SUM('ALPINE VALLEY:WOODLAND'!C31)</f>
        <v>15606234.720000001</v>
      </c>
      <c r="D34" s="14">
        <f>SUM('ALPINE VALLEY:WOODLAND'!D31)</f>
        <v>3364046.3010341683</v>
      </c>
      <c r="E34" s="14">
        <f>SUM('ALPINE VALLEY:WOODLAND'!E31)</f>
        <v>18970281.021034166</v>
      </c>
      <c r="F34" s="14">
        <f>SUM('ALPINE VALLEY:WOODLAND'!F31)</f>
        <v>1262693.951865403</v>
      </c>
      <c r="G34" s="14">
        <f>SUM('ALPINE VALLEY:WOODLAND'!G31)</f>
        <v>20232974.972899571</v>
      </c>
      <c r="H34" s="92">
        <f t="shared" si="3"/>
        <v>4.3991711998160481E-2</v>
      </c>
      <c r="J34" s="111">
        <f t="shared" si="2"/>
        <v>11.049930353021256</v>
      </c>
      <c r="L34" s="69"/>
      <c r="M34" s="69"/>
      <c r="N34" s="69"/>
      <c r="O34" s="71"/>
      <c r="P34" s="59"/>
      <c r="Q34" s="71"/>
      <c r="R34" s="59"/>
    </row>
    <row r="35" spans="1:18" s="25" customFormat="1" ht="15.5">
      <c r="A35" s="32" t="s">
        <v>90</v>
      </c>
      <c r="B35" s="24" t="s">
        <v>23</v>
      </c>
      <c r="C35" s="14">
        <f>SUM('ALPINE VALLEY:WOODLAND'!C32)</f>
        <v>556698.30999999994</v>
      </c>
      <c r="D35" s="14">
        <f>SUM('ALPINE VALLEY:WOODLAND'!D32)</f>
        <v>-223988.12</v>
      </c>
      <c r="E35" s="14">
        <f>SUM('ALPINE VALLEY:WOODLAND'!E32)</f>
        <v>332710.19</v>
      </c>
      <c r="F35" s="14">
        <f>SUM('ALPINE VALLEY:WOODLAND'!F32)</f>
        <v>-66532.460000000006</v>
      </c>
      <c r="G35" s="14">
        <f>SUM('ALPINE VALLEY:WOODLAND'!G32)</f>
        <v>266177.73000000004</v>
      </c>
      <c r="H35" s="92">
        <f t="shared" si="3"/>
        <v>5.7873911543745798E-4</v>
      </c>
      <c r="J35" s="111">
        <f t="shared" si="2"/>
        <v>0.14536890308839193</v>
      </c>
      <c r="L35" s="69"/>
      <c r="M35" s="69"/>
      <c r="N35" s="69"/>
      <c r="O35" s="71"/>
      <c r="P35" s="59"/>
      <c r="Q35" s="71"/>
      <c r="R35" s="59"/>
    </row>
    <row r="36" spans="1:18" s="25" customFormat="1" ht="15.5">
      <c r="A36" s="32" t="s">
        <v>91</v>
      </c>
      <c r="B36" s="24" t="s">
        <v>24</v>
      </c>
      <c r="C36" s="14">
        <f>SUM('ALPINE VALLEY:WOODLAND'!C33)</f>
        <v>1557855.08</v>
      </c>
      <c r="D36" s="14">
        <f>SUM('ALPINE VALLEY:WOODLAND'!D33)</f>
        <v>-9321</v>
      </c>
      <c r="E36" s="14">
        <f>SUM('ALPINE VALLEY:WOODLAND'!E33)</f>
        <v>1548534.08</v>
      </c>
      <c r="F36" s="14">
        <f>SUM('ALPINE VALLEY:WOODLAND'!F33)</f>
        <v>75157.789999999994</v>
      </c>
      <c r="G36" s="14">
        <f>SUM('ALPINE VALLEY:WOODLAND'!G33)</f>
        <v>1623691.87</v>
      </c>
      <c r="H36" s="92">
        <f t="shared" si="3"/>
        <v>3.5303253829191191E-3</v>
      </c>
      <c r="J36" s="111">
        <f t="shared" si="2"/>
        <v>0.8867545233609132</v>
      </c>
      <c r="L36" s="69"/>
      <c r="M36" s="69"/>
      <c r="N36" s="69"/>
      <c r="O36" s="71"/>
      <c r="P36" s="59"/>
      <c r="Q36" s="71"/>
      <c r="R36" s="59"/>
    </row>
    <row r="37" spans="1:18" s="25" customFormat="1" ht="15.5">
      <c r="A37" s="32" t="s">
        <v>92</v>
      </c>
      <c r="B37" s="24" t="s">
        <v>25</v>
      </c>
      <c r="C37" s="14">
        <f>SUM('ALPINE VALLEY:WOODLAND'!C34)</f>
        <v>1791318.1999999997</v>
      </c>
      <c r="D37" s="14">
        <f>SUM('ALPINE VALLEY:WOODLAND'!D34)</f>
        <v>-172002.17040000003</v>
      </c>
      <c r="E37" s="14">
        <f>SUM('ALPINE VALLEY:WOODLAND'!E34)</f>
        <v>1619316.0295999998</v>
      </c>
      <c r="F37" s="14">
        <f>SUM('ALPINE VALLEY:WOODLAND'!F34)</f>
        <v>30496.479999999996</v>
      </c>
      <c r="G37" s="14">
        <f>SUM('ALPINE VALLEY:WOODLAND'!G34)</f>
        <v>1649812.5095999995</v>
      </c>
      <c r="H37" s="92">
        <f t="shared" si="3"/>
        <v>3.5871183980852052E-3</v>
      </c>
      <c r="J37" s="111">
        <f t="shared" si="2"/>
        <v>0.90101991185385411</v>
      </c>
      <c r="L37" s="69"/>
      <c r="M37" s="69"/>
      <c r="N37" s="69"/>
      <c r="O37" s="71"/>
      <c r="P37" s="59"/>
      <c r="Q37" s="71"/>
      <c r="R37" s="59"/>
    </row>
    <row r="38" spans="1:18" s="25" customFormat="1" ht="15.5">
      <c r="A38" s="32" t="s">
        <v>93</v>
      </c>
      <c r="B38" s="24" t="s">
        <v>26</v>
      </c>
      <c r="C38" s="14">
        <f>SUM('ALPINE VALLEY:WOODLAND'!C35)</f>
        <v>1391016.62</v>
      </c>
      <c r="D38" s="14">
        <f>SUM('ALPINE VALLEY:WOODLAND'!D35)</f>
        <v>12393.470000000001</v>
      </c>
      <c r="E38" s="14">
        <f>SUM('ALPINE VALLEY:WOODLAND'!E35)</f>
        <v>1403410.0900000003</v>
      </c>
      <c r="F38" s="14">
        <f>SUM('ALPINE VALLEY:WOODLAND'!F35)</f>
        <v>50948</v>
      </c>
      <c r="G38" s="14">
        <f>SUM('ALPINE VALLEY:WOODLAND'!G35)</f>
        <v>1454358.0900000003</v>
      </c>
      <c r="H38" s="92">
        <f t="shared" si="3"/>
        <v>3.1621500211002286E-3</v>
      </c>
      <c r="J38" s="111">
        <f t="shared" si="2"/>
        <v>0.79427546489719036</v>
      </c>
      <c r="L38" s="69"/>
      <c r="M38" s="69"/>
      <c r="N38" s="69"/>
      <c r="O38" s="71"/>
      <c r="P38" s="59"/>
      <c r="Q38" s="71"/>
      <c r="R38" s="59"/>
    </row>
    <row r="39" spans="1:18" s="25" customFormat="1" ht="15.5">
      <c r="A39" s="32" t="s">
        <v>94</v>
      </c>
      <c r="B39" s="24" t="s">
        <v>27</v>
      </c>
      <c r="C39" s="14">
        <f>SUM('ALPINE VALLEY:WOODLAND'!C36)</f>
        <v>1440559.63</v>
      </c>
      <c r="D39" s="14">
        <f>SUM('ALPINE VALLEY:WOODLAND'!D36)</f>
        <v>322317</v>
      </c>
      <c r="E39" s="14">
        <f>SUM('ALPINE VALLEY:WOODLAND'!E36)</f>
        <v>1762876.63</v>
      </c>
      <c r="F39" s="14">
        <f>SUM('ALPINE VALLEY:WOODLAND'!F36)</f>
        <v>45247.700000000012</v>
      </c>
      <c r="G39" s="14">
        <f>SUM('ALPINE VALLEY:WOODLAND'!G36)</f>
        <v>1808124.33</v>
      </c>
      <c r="H39" s="92">
        <f t="shared" si="3"/>
        <v>3.9313291737259398E-3</v>
      </c>
      <c r="J39" s="111">
        <f t="shared" si="2"/>
        <v>0.98747949537150814</v>
      </c>
      <c r="L39" s="69"/>
      <c r="M39" s="69"/>
      <c r="N39" s="69"/>
      <c r="O39" s="71"/>
      <c r="P39" s="59"/>
      <c r="Q39" s="71"/>
      <c r="R39" s="59"/>
    </row>
    <row r="40" spans="1:18" s="25" customFormat="1" ht="15.5">
      <c r="A40" s="35">
        <v>130</v>
      </c>
      <c r="B40" s="24" t="s">
        <v>28</v>
      </c>
      <c r="C40" s="14">
        <f>SUM('ALPINE VALLEY:WOODLAND'!C37)</f>
        <v>53536.18</v>
      </c>
      <c r="D40" s="14">
        <f>SUM('ALPINE VALLEY:WOODLAND'!D37)</f>
        <v>0</v>
      </c>
      <c r="E40" s="14">
        <f>SUM('ALPINE VALLEY:WOODLAND'!E37)</f>
        <v>53536.18</v>
      </c>
      <c r="F40" s="14">
        <f>SUM('ALPINE VALLEY:WOODLAND'!F37)</f>
        <v>-37036</v>
      </c>
      <c r="G40" s="14">
        <f>SUM('ALPINE VALLEY:WOODLAND'!G37)</f>
        <v>16500.18</v>
      </c>
      <c r="H40" s="92">
        <f t="shared" si="3"/>
        <v>3.5875651872749964E-5</v>
      </c>
      <c r="J40" s="111">
        <f t="shared" si="2"/>
        <v>9.0113213729827151E-3</v>
      </c>
      <c r="L40" s="69"/>
      <c r="M40" s="69"/>
      <c r="N40" s="69"/>
      <c r="O40" s="71"/>
      <c r="P40" s="59"/>
      <c r="Q40" s="71"/>
      <c r="R40" s="59"/>
    </row>
    <row r="41" spans="1:18" s="25" customFormat="1" ht="15.5">
      <c r="A41" s="35">
        <v>140</v>
      </c>
      <c r="B41" s="24" t="s">
        <v>149</v>
      </c>
      <c r="C41" s="14">
        <f>SUM('ALPINE VALLEY:WOODLAND'!C38)</f>
        <v>1003396.6300000001</v>
      </c>
      <c r="D41" s="14">
        <f>SUM('ALPINE VALLEY:WOODLAND'!D38)</f>
        <v>12643</v>
      </c>
      <c r="E41" s="14">
        <f>SUM('ALPINE VALLEY:WOODLAND'!E38)</f>
        <v>1016039.6300000001</v>
      </c>
      <c r="F41" s="14">
        <f>SUM('ALPINE VALLEY:WOODLAND'!F38)</f>
        <v>138629.28</v>
      </c>
      <c r="G41" s="14">
        <f>SUM('ALPINE VALLEY:WOODLAND'!G38)</f>
        <v>1154668.9100000001</v>
      </c>
      <c r="H41" s="92">
        <f t="shared" si="3"/>
        <v>2.5105483602874431E-3</v>
      </c>
      <c r="J41" s="111">
        <f t="shared" si="2"/>
        <v>0.63060479506294209</v>
      </c>
      <c r="L41" s="69"/>
      <c r="M41" s="69"/>
      <c r="N41" s="69"/>
      <c r="O41" s="71"/>
      <c r="P41" s="59"/>
      <c r="Q41" s="71"/>
      <c r="R41" s="59"/>
    </row>
    <row r="42" spans="1:18" s="25" customFormat="1" ht="15.5">
      <c r="A42" s="35">
        <v>150</v>
      </c>
      <c r="B42" s="24" t="s">
        <v>29</v>
      </c>
      <c r="C42" s="14">
        <f>SUM('ALPINE VALLEY:WOODLAND'!C39)</f>
        <v>1436976.0599999996</v>
      </c>
      <c r="D42" s="14">
        <f>SUM('ALPINE VALLEY:WOODLAND'!D39)</f>
        <v>-152832</v>
      </c>
      <c r="E42" s="14">
        <f>SUM('ALPINE VALLEY:WOODLAND'!E39)</f>
        <v>1284144.0599999998</v>
      </c>
      <c r="F42" s="14">
        <f>SUM('ALPINE VALLEY:WOODLAND'!F39)</f>
        <v>136075.51</v>
      </c>
      <c r="G42" s="14">
        <f>SUM('ALPINE VALLEY:WOODLAND'!G39)</f>
        <v>1420219.5699999996</v>
      </c>
      <c r="H42" s="92">
        <f t="shared" si="3"/>
        <v>3.0879240636275868E-3</v>
      </c>
      <c r="J42" s="111">
        <f t="shared" si="2"/>
        <v>0.77563123344529072</v>
      </c>
      <c r="L42" s="69"/>
      <c r="M42" s="69"/>
      <c r="N42" s="69"/>
      <c r="O42" s="71"/>
      <c r="P42" s="59"/>
      <c r="Q42" s="71"/>
      <c r="R42" s="59"/>
    </row>
    <row r="43" spans="1:18" s="25" customFormat="1" ht="15.5">
      <c r="A43" s="35">
        <v>160</v>
      </c>
      <c r="B43" s="24" t="s">
        <v>30</v>
      </c>
      <c r="C43" s="14">
        <f>SUM('ALPINE VALLEY:WOODLAND'!C40)</f>
        <v>195746.43</v>
      </c>
      <c r="D43" s="14">
        <f>SUM('ALPINE VALLEY:WOODLAND'!D40)</f>
        <v>0</v>
      </c>
      <c r="E43" s="14">
        <f>SUM('ALPINE VALLEY:WOODLAND'!E40)</f>
        <v>195746.43</v>
      </c>
      <c r="F43" s="14">
        <f>SUM('ALPINE VALLEY:WOODLAND'!F40)</f>
        <v>-147015</v>
      </c>
      <c r="G43" s="14">
        <f>SUM('ALPINE VALLEY:WOODLAND'!G40)</f>
        <v>48731.43</v>
      </c>
      <c r="H43" s="92">
        <f t="shared" si="3"/>
        <v>1.05954711884433E-4</v>
      </c>
      <c r="J43" s="111">
        <f t="shared" si="2"/>
        <v>2.6613926435651674E-2</v>
      </c>
      <c r="L43" s="69"/>
      <c r="M43" s="69"/>
      <c r="N43" s="69"/>
      <c r="O43" s="71"/>
      <c r="P43" s="59"/>
      <c r="Q43" s="71"/>
      <c r="R43" s="59"/>
    </row>
    <row r="44" spans="1:18" s="25" customFormat="1" ht="15.5">
      <c r="A44" s="35">
        <v>170</v>
      </c>
      <c r="B44" s="24" t="s">
        <v>31</v>
      </c>
      <c r="C44" s="14">
        <f>SUM('ALPINE VALLEY:WOODLAND'!C41)</f>
        <v>19027497.030000001</v>
      </c>
      <c r="D44" s="14">
        <f>SUM('ALPINE VALLEY:WOODLAND'!D41)</f>
        <v>140434.83000000002</v>
      </c>
      <c r="E44" s="14">
        <f>SUM('ALPINE VALLEY:WOODLAND'!E41)</f>
        <v>19167931.859999999</v>
      </c>
      <c r="F44" s="14">
        <f>SUM('ALPINE VALLEY:WOODLAND'!F41)</f>
        <v>950307.6</v>
      </c>
      <c r="G44" s="14">
        <f>SUM('ALPINE VALLEY:WOODLAND'!G41)</f>
        <v>20118239.459999997</v>
      </c>
      <c r="H44" s="92">
        <f t="shared" si="3"/>
        <v>4.3742247366973033E-2</v>
      </c>
      <c r="J44" s="111">
        <f t="shared" si="2"/>
        <v>10.987269304497419</v>
      </c>
      <c r="L44" s="69"/>
      <c r="M44" s="69"/>
      <c r="N44" s="69"/>
      <c r="O44" s="71"/>
      <c r="P44" s="59"/>
      <c r="Q44" s="71"/>
      <c r="R44" s="59"/>
    </row>
    <row r="45" spans="1:18" s="25" customFormat="1" ht="15.5">
      <c r="A45" s="35">
        <v>180</v>
      </c>
      <c r="B45" s="24" t="s">
        <v>32</v>
      </c>
      <c r="C45" s="14">
        <f>SUM('ALPINE VALLEY:WOODLAND'!C42)</f>
        <v>1107174.4900000002</v>
      </c>
      <c r="D45" s="14">
        <f>SUM('ALPINE VALLEY:WOODLAND'!D42)</f>
        <v>-128175.22</v>
      </c>
      <c r="E45" s="14">
        <f>SUM('ALPINE VALLEY:WOODLAND'!E42)</f>
        <v>978999.27000000014</v>
      </c>
      <c r="F45" s="14">
        <f>SUM('ALPINE VALLEY:WOODLAND'!F42)</f>
        <v>195338.33300000001</v>
      </c>
      <c r="G45" s="14">
        <f>SUM('ALPINE VALLEY:WOODLAND'!G42)</f>
        <v>1174337.6029999999</v>
      </c>
      <c r="H45" s="92">
        <f t="shared" si="3"/>
        <v>2.5533131775718598E-3</v>
      </c>
      <c r="J45" s="111">
        <f t="shared" si="2"/>
        <v>0.64134655143223829</v>
      </c>
      <c r="L45" s="69"/>
      <c r="M45" s="69"/>
      <c r="N45" s="69"/>
      <c r="O45" s="71"/>
      <c r="P45" s="59"/>
      <c r="Q45" s="71"/>
      <c r="R45" s="59"/>
    </row>
    <row r="46" spans="1:18" s="25" customFormat="1" ht="15.5">
      <c r="A46" s="35">
        <v>190</v>
      </c>
      <c r="B46" s="24" t="s">
        <v>33</v>
      </c>
      <c r="C46" s="14">
        <f>SUM('ALPINE VALLEY:WOODLAND'!C43)</f>
        <v>91660</v>
      </c>
      <c r="D46" s="14">
        <f>SUM('ALPINE VALLEY:WOODLAND'!D43)</f>
        <v>-91660</v>
      </c>
      <c r="E46" s="14">
        <f>SUM('ALPINE VALLEY:WOODLAND'!E43)</f>
        <v>0</v>
      </c>
      <c r="F46" s="14">
        <f>SUM('ALPINE VALLEY:WOODLAND'!F43)</f>
        <v>0</v>
      </c>
      <c r="G46" s="14">
        <f>SUM('ALPINE VALLEY:WOODLAND'!G43)</f>
        <v>0</v>
      </c>
      <c r="H46" s="92">
        <f t="shared" si="3"/>
        <v>0</v>
      </c>
      <c r="J46" s="111">
        <f t="shared" si="2"/>
        <v>0</v>
      </c>
      <c r="L46" s="69"/>
      <c r="M46" s="69"/>
      <c r="N46" s="69"/>
      <c r="O46" s="71"/>
      <c r="P46" s="59"/>
      <c r="Q46" s="71"/>
      <c r="R46" s="59"/>
    </row>
    <row r="47" spans="1:18" s="25" customFormat="1" ht="15.5">
      <c r="A47" s="35">
        <v>200</v>
      </c>
      <c r="B47" s="24" t="s">
        <v>34</v>
      </c>
      <c r="C47" s="14">
        <f>SUM('ALPINE VALLEY:WOODLAND'!C44)</f>
        <v>7891743.6410000008</v>
      </c>
      <c r="D47" s="14">
        <f>SUM('ALPINE VALLEY:WOODLAND'!D44)</f>
        <v>-7891743.6410000008</v>
      </c>
      <c r="E47" s="14">
        <f>SUM('ALPINE VALLEY:WOODLAND'!E44)</f>
        <v>0</v>
      </c>
      <c r="F47" s="14">
        <f>SUM('ALPINE VALLEY:WOODLAND'!F44)</f>
        <v>0</v>
      </c>
      <c r="G47" s="14">
        <f>SUM('ALPINE VALLEY:WOODLAND'!G44)</f>
        <v>0</v>
      </c>
      <c r="H47" s="92">
        <f t="shared" si="3"/>
        <v>0</v>
      </c>
      <c r="J47" s="111">
        <f t="shared" si="2"/>
        <v>0</v>
      </c>
      <c r="L47" s="69"/>
      <c r="M47" s="69"/>
      <c r="N47" s="69"/>
      <c r="O47" s="71"/>
      <c r="P47" s="59"/>
      <c r="Q47" s="71"/>
      <c r="R47" s="59"/>
    </row>
    <row r="48" spans="1:18" s="25" customFormat="1" ht="15.5">
      <c r="A48" s="35">
        <v>210</v>
      </c>
      <c r="B48" s="24" t="s">
        <v>35</v>
      </c>
      <c r="C48" s="14">
        <f>SUM('ALPINE VALLEY:WOODLAND'!C45)</f>
        <v>11552</v>
      </c>
      <c r="D48" s="14">
        <f>SUM('ALPINE VALLEY:WOODLAND'!D45)</f>
        <v>-11552</v>
      </c>
      <c r="E48" s="14">
        <f>SUM('ALPINE VALLEY:WOODLAND'!E45)</f>
        <v>0</v>
      </c>
      <c r="F48" s="14">
        <f>SUM('ALPINE VALLEY:WOODLAND'!F45)</f>
        <v>0</v>
      </c>
      <c r="G48" s="14">
        <f>SUM('ALPINE VALLEY:WOODLAND'!G45)</f>
        <v>0</v>
      </c>
      <c r="H48" s="92">
        <f t="shared" si="3"/>
        <v>0</v>
      </c>
      <c r="J48" s="111">
        <f t="shared" si="2"/>
        <v>0</v>
      </c>
      <c r="L48" s="69"/>
      <c r="M48" s="69"/>
      <c r="N48" s="69"/>
      <c r="O48" s="71"/>
      <c r="P48" s="59"/>
      <c r="Q48" s="71"/>
      <c r="R48" s="59"/>
    </row>
    <row r="49" spans="1:18" s="25" customFormat="1" ht="15.5">
      <c r="A49" s="35">
        <v>220</v>
      </c>
      <c r="B49" s="24" t="s">
        <v>190</v>
      </c>
      <c r="C49" s="14">
        <f>SUM('ALPINE VALLEY:WOODLAND'!C46)</f>
        <v>2200894.71</v>
      </c>
      <c r="D49" s="14">
        <f>SUM('ALPINE VALLEY:WOODLAND'!D46)</f>
        <v>-5705</v>
      </c>
      <c r="E49" s="14">
        <f>SUM('ALPINE VALLEY:WOODLAND'!E46)</f>
        <v>2195189.71</v>
      </c>
      <c r="F49" s="14">
        <f>SUM('ALPINE VALLEY:WOODLAND'!F46)</f>
        <v>18934</v>
      </c>
      <c r="G49" s="14">
        <f>SUM('ALPINE VALLEY:WOODLAND'!G46)</f>
        <v>2214123.71</v>
      </c>
      <c r="H49" s="92">
        <f t="shared" si="3"/>
        <v>4.814076659961382E-3</v>
      </c>
      <c r="J49" s="111">
        <f t="shared" si="2"/>
        <v>1.2092098577319024</v>
      </c>
      <c r="L49" s="69"/>
      <c r="M49" s="69"/>
      <c r="N49" s="69"/>
      <c r="O49" s="71"/>
      <c r="P49" s="59"/>
      <c r="Q49" s="71"/>
      <c r="R49" s="59"/>
    </row>
    <row r="50" spans="1:18" s="25" customFormat="1" ht="15.5">
      <c r="A50" s="35">
        <v>230</v>
      </c>
      <c r="B50" s="24" t="s">
        <v>191</v>
      </c>
      <c r="C50" s="14">
        <f>SUM('ALPINE VALLEY:WOODLAND'!C47)</f>
        <v>4282733.7700000005</v>
      </c>
      <c r="D50" s="14">
        <f>SUM('ALPINE VALLEY:WOODLAND'!D47)</f>
        <v>-271860.05070676643</v>
      </c>
      <c r="E50" s="14">
        <f>SUM('ALPINE VALLEY:WOODLAND'!E47)</f>
        <v>4010873.7192932344</v>
      </c>
      <c r="F50" s="14">
        <f>SUM('ALPINE VALLEY:WOODLAND'!F47)</f>
        <v>67027.59</v>
      </c>
      <c r="G50" s="14">
        <f>SUM('ALPINE VALLEY:WOODLAND'!G47)</f>
        <v>4077901.3092932343</v>
      </c>
      <c r="H50" s="92">
        <f t="shared" si="3"/>
        <v>8.8664104115006841E-3</v>
      </c>
      <c r="J50" s="111">
        <f t="shared" si="2"/>
        <v>2.2270835363825316</v>
      </c>
      <c r="L50" s="69"/>
      <c r="M50" s="69"/>
      <c r="N50" s="69"/>
      <c r="O50" s="71"/>
      <c r="P50" s="59"/>
      <c r="Q50" s="71"/>
      <c r="R50" s="59"/>
    </row>
    <row r="51" spans="1:18" s="25" customFormat="1" ht="15.5">
      <c r="A51" s="35">
        <v>240</v>
      </c>
      <c r="B51" s="24" t="s">
        <v>201</v>
      </c>
      <c r="C51" s="14">
        <f>SUM('ALPINE VALLEY:WOODLAND'!C48)</f>
        <v>37234.629999999997</v>
      </c>
      <c r="D51" s="14">
        <f>SUM('ALPINE VALLEY:WOODLAND'!D48)</f>
        <v>-37234.629999999997</v>
      </c>
      <c r="E51" s="14">
        <f>SUM('ALPINE VALLEY:WOODLAND'!E48)</f>
        <v>0</v>
      </c>
      <c r="F51" s="14">
        <f>SUM('ALPINE VALLEY:WOODLAND'!F48)</f>
        <v>0</v>
      </c>
      <c r="G51" s="14">
        <f>SUM('ALPINE VALLEY:WOODLAND'!G48)</f>
        <v>0</v>
      </c>
      <c r="H51" s="92">
        <f t="shared" si="3"/>
        <v>0</v>
      </c>
      <c r="J51" s="111">
        <f t="shared" si="2"/>
        <v>0</v>
      </c>
      <c r="L51" s="69"/>
      <c r="M51" s="69"/>
      <c r="N51" s="69"/>
      <c r="O51" s="71"/>
      <c r="P51" s="59"/>
      <c r="Q51" s="71"/>
      <c r="R51" s="59"/>
    </row>
    <row r="52" spans="1:18" s="25" customFormat="1" ht="15.5">
      <c r="A52" s="35">
        <v>250</v>
      </c>
      <c r="B52" s="24" t="s">
        <v>202</v>
      </c>
      <c r="C52" s="14">
        <f>SUM('ALPINE VALLEY:WOODLAND'!C49)</f>
        <v>27909</v>
      </c>
      <c r="D52" s="14">
        <f>SUM('ALPINE VALLEY:WOODLAND'!D49)</f>
        <v>0</v>
      </c>
      <c r="E52" s="14">
        <f>SUM('ALPINE VALLEY:WOODLAND'!E49)</f>
        <v>27909</v>
      </c>
      <c r="F52" s="14">
        <f>SUM('ALPINE VALLEY:WOODLAND'!F49)</f>
        <v>0</v>
      </c>
      <c r="G52" s="14">
        <f>SUM('ALPINE VALLEY:WOODLAND'!G49)</f>
        <v>27909</v>
      </c>
      <c r="H52" s="92">
        <f t="shared" si="3"/>
        <v>6.0681372452699227E-5</v>
      </c>
      <c r="J52" s="111">
        <f t="shared" si="2"/>
        <v>1.5242074219710003E-2</v>
      </c>
      <c r="L52" s="69"/>
      <c r="M52" s="69"/>
      <c r="N52" s="69"/>
      <c r="O52" s="71"/>
      <c r="P52" s="59"/>
      <c r="Q52" s="71"/>
      <c r="R52" s="59"/>
    </row>
    <row r="53" spans="1:18" s="25" customFormat="1" ht="15.5">
      <c r="A53" s="35">
        <v>270</v>
      </c>
      <c r="B53" s="24" t="s">
        <v>203</v>
      </c>
      <c r="C53" s="14">
        <f>SUM('ALPINE VALLEY:WOODLAND'!C50)</f>
        <v>90915.510000000009</v>
      </c>
      <c r="D53" s="14">
        <f>SUM('ALPINE VALLEY:WOODLAND'!D50)</f>
        <v>-90915.510000000009</v>
      </c>
      <c r="E53" s="14">
        <f>SUM('ALPINE VALLEY:WOODLAND'!E50)</f>
        <v>0</v>
      </c>
      <c r="F53" s="14">
        <f>SUM('ALPINE VALLEY:WOODLAND'!F50)</f>
        <v>0</v>
      </c>
      <c r="G53" s="14">
        <f>SUM('ALPINE VALLEY:WOODLAND'!G50)</f>
        <v>0</v>
      </c>
      <c r="H53" s="92">
        <f t="shared" si="3"/>
        <v>0</v>
      </c>
      <c r="J53" s="111">
        <f t="shared" si="2"/>
        <v>0</v>
      </c>
      <c r="L53" s="69"/>
      <c r="M53" s="69"/>
      <c r="N53" s="69"/>
      <c r="O53" s="71"/>
      <c r="P53" s="59"/>
      <c r="Q53" s="71"/>
      <c r="R53" s="59"/>
    </row>
    <row r="54" spans="1:18" s="25" customFormat="1" ht="15.5">
      <c r="A54" s="35">
        <v>280</v>
      </c>
      <c r="B54" s="24" t="s">
        <v>204</v>
      </c>
      <c r="C54" s="14">
        <f>SUM('ALPINE VALLEY:WOODLAND'!C51)</f>
        <v>842080.97</v>
      </c>
      <c r="D54" s="14">
        <f>SUM('ALPINE VALLEY:WOODLAND'!D51)</f>
        <v>3065.5</v>
      </c>
      <c r="E54" s="14">
        <f>SUM('ALPINE VALLEY:WOODLAND'!E51)</f>
        <v>845146.47</v>
      </c>
      <c r="F54" s="14">
        <f>SUM('ALPINE VALLEY:WOODLAND'!F51)</f>
        <v>12315</v>
      </c>
      <c r="G54" s="14">
        <f>SUM('ALPINE VALLEY:WOODLAND'!G51)</f>
        <v>857461.47</v>
      </c>
      <c r="H54" s="92">
        <f t="shared" si="3"/>
        <v>1.8643426430509508E-3</v>
      </c>
      <c r="J54" s="111">
        <f t="shared" si="2"/>
        <v>0.46828948963709344</v>
      </c>
      <c r="K54" s="25">
        <v>0</v>
      </c>
      <c r="L54" s="118">
        <f>SUM('ALPINE VALLEY:WOODLAND'!J51)</f>
        <v>57906.259999999995</v>
      </c>
      <c r="M54" s="118">
        <f>SUM('ALPINE VALLEY:WOODLAND'!K51)</f>
        <v>62435.78</v>
      </c>
      <c r="N54" s="119"/>
      <c r="O54" s="120">
        <f>IF(L54=0,0,G54/M54)</f>
        <v>13.733494960742062</v>
      </c>
      <c r="P54" s="59"/>
      <c r="Q54" s="121">
        <f>M54/$G$231</f>
        <v>3.40983479424374E-2</v>
      </c>
      <c r="R54" s="59"/>
    </row>
    <row r="55" spans="1:18" s="25" customFormat="1" ht="15.5">
      <c r="A55" s="35">
        <v>290</v>
      </c>
      <c r="B55" s="24" t="s">
        <v>205</v>
      </c>
      <c r="C55" s="14">
        <f>SUM('ALPINE VALLEY:WOODLAND'!C52)</f>
        <v>92299.02</v>
      </c>
      <c r="D55" s="14">
        <f>SUM('ALPINE VALLEY:WOODLAND'!D52)</f>
        <v>39708.833573983873</v>
      </c>
      <c r="E55" s="14">
        <f>SUM('ALPINE VALLEY:WOODLAND'!E52)</f>
        <v>132007.85357398388</v>
      </c>
      <c r="F55" s="14">
        <f>SUM('ALPINE VALLEY:WOODLAND'!F52)</f>
        <v>0</v>
      </c>
      <c r="G55" s="14">
        <f>SUM('ALPINE VALLEY:WOODLAND'!G52)</f>
        <v>132007.85357398388</v>
      </c>
      <c r="H55" s="92">
        <f t="shared" si="3"/>
        <v>2.8701915974790567E-4</v>
      </c>
      <c r="J55" s="111">
        <f t="shared" si="2"/>
        <v>7.2094073659366972E-2</v>
      </c>
      <c r="L55" s="69"/>
      <c r="M55" s="69"/>
      <c r="N55" s="69"/>
      <c r="O55" s="71"/>
      <c r="P55" s="59"/>
      <c r="Q55" s="122"/>
      <c r="R55" s="59"/>
    </row>
    <row r="56" spans="1:18" s="25" customFormat="1" ht="15.5">
      <c r="A56" s="35">
        <v>300</v>
      </c>
      <c r="B56" s="24" t="s">
        <v>206</v>
      </c>
      <c r="C56" s="14">
        <f>SUM('ALPINE VALLEY:WOODLAND'!C53)</f>
        <v>62095.98</v>
      </c>
      <c r="D56" s="14">
        <f>SUM('ALPINE VALLEY:WOODLAND'!D53)</f>
        <v>-56279</v>
      </c>
      <c r="E56" s="14">
        <f>SUM('ALPINE VALLEY:WOODLAND'!E53)</f>
        <v>5816.9800000000005</v>
      </c>
      <c r="F56" s="14">
        <f>SUM('ALPINE VALLEY:WOODLAND'!F53)</f>
        <v>375</v>
      </c>
      <c r="G56" s="14">
        <f>SUM('ALPINE VALLEY:WOODLAND'!G53)</f>
        <v>6191.9800000000005</v>
      </c>
      <c r="H56" s="92">
        <f t="shared" si="3"/>
        <v>1.34629633666439E-5</v>
      </c>
      <c r="J56" s="111">
        <f t="shared" si="2"/>
        <v>3.3816553343709896E-3</v>
      </c>
      <c r="L56" s="69"/>
      <c r="M56" s="69"/>
      <c r="N56" s="69"/>
      <c r="O56" s="71"/>
      <c r="P56" s="59"/>
      <c r="Q56" s="122"/>
      <c r="R56" s="59"/>
    </row>
    <row r="57" spans="1:18" s="25" customFormat="1" ht="15.5">
      <c r="A57" s="35">
        <v>310</v>
      </c>
      <c r="B57" s="24" t="s">
        <v>207</v>
      </c>
      <c r="C57" s="14">
        <f>SUM('ALPINE VALLEY:WOODLAND'!C54)</f>
        <v>489858.86000000004</v>
      </c>
      <c r="D57" s="14">
        <f>SUM('ALPINE VALLEY:WOODLAND'!D54)</f>
        <v>8302</v>
      </c>
      <c r="E57" s="14">
        <f>SUM('ALPINE VALLEY:WOODLAND'!E54)</f>
        <v>498160.86000000004</v>
      </c>
      <c r="F57" s="14">
        <f>SUM('ALPINE VALLEY:WOODLAND'!F54)</f>
        <v>51065.9</v>
      </c>
      <c r="G57" s="14">
        <f>SUM('ALPINE VALLEY:WOODLAND'!G54)</f>
        <v>549226.76</v>
      </c>
      <c r="H57" s="92">
        <f t="shared" si="3"/>
        <v>1.1941607934554893E-3</v>
      </c>
      <c r="J57" s="111">
        <f t="shared" si="2"/>
        <v>0.29995180907129787</v>
      </c>
      <c r="L57" s="69"/>
      <c r="M57" s="69"/>
      <c r="N57" s="69"/>
      <c r="O57" s="71"/>
      <c r="P57" s="59"/>
      <c r="Q57" s="122"/>
      <c r="R57" s="59"/>
    </row>
    <row r="58" spans="1:18" s="25" customFormat="1" ht="15.5">
      <c r="A58" s="35">
        <v>320</v>
      </c>
      <c r="B58" s="24" t="s">
        <v>208</v>
      </c>
      <c r="C58" s="14">
        <f>SUM('ALPINE VALLEY:WOODLAND'!C55)</f>
        <v>690236.31</v>
      </c>
      <c r="D58" s="14">
        <f>SUM('ALPINE VALLEY:WOODLAND'!D55)</f>
        <v>-418366.47</v>
      </c>
      <c r="E58" s="14">
        <f>SUM('ALPINE VALLEY:WOODLAND'!E55)</f>
        <v>271869.84000000003</v>
      </c>
      <c r="F58" s="14">
        <f>SUM('ALPINE VALLEY:WOODLAND'!F55)</f>
        <v>16639</v>
      </c>
      <c r="G58" s="14">
        <f>SUM('ALPINE VALLEY:WOODLAND'!G55)</f>
        <v>288508.84000000003</v>
      </c>
      <c r="H58" s="92">
        <f t="shared" si="3"/>
        <v>6.2729271474922822E-4</v>
      </c>
      <c r="J58" s="111">
        <f t="shared" si="2"/>
        <v>0.15756469785095983</v>
      </c>
      <c r="L58" s="69"/>
      <c r="M58" s="69"/>
      <c r="N58" s="69"/>
      <c r="O58" s="71"/>
      <c r="P58" s="59"/>
      <c r="Q58" s="122"/>
      <c r="R58" s="59"/>
    </row>
    <row r="59" spans="1:18" s="25" customFormat="1" ht="15.5">
      <c r="A59" s="35">
        <v>330</v>
      </c>
      <c r="B59" s="24" t="s">
        <v>48</v>
      </c>
      <c r="C59" s="14">
        <f>SUM('ALPINE VALLEY:WOODLAND'!C56)</f>
        <v>3743167.7799999993</v>
      </c>
      <c r="D59" s="14">
        <f>SUM('ALPINE VALLEY:WOODLAND'!D56)</f>
        <v>-77685.48000000001</v>
      </c>
      <c r="E59" s="14">
        <f>SUM('ALPINE VALLEY:WOODLAND'!E56)</f>
        <v>3665482.2999999993</v>
      </c>
      <c r="F59" s="14">
        <f>SUM('ALPINE VALLEY:WOODLAND'!F56)</f>
        <v>-36182.569999999978</v>
      </c>
      <c r="G59" s="14">
        <f>SUM('ALPINE VALLEY:WOODLAND'!G56)</f>
        <v>3629299.7299999995</v>
      </c>
      <c r="H59" s="92">
        <f t="shared" si="3"/>
        <v>7.8910347435813075E-3</v>
      </c>
      <c r="J59" s="111">
        <f t="shared" si="2"/>
        <v>1.9820866333524478</v>
      </c>
      <c r="L59" s="69"/>
      <c r="M59" s="69"/>
      <c r="N59" s="69"/>
      <c r="O59" s="71"/>
      <c r="P59" s="59"/>
      <c r="Q59" s="122"/>
      <c r="R59" s="59"/>
    </row>
    <row r="60" spans="1:18" s="25" customFormat="1" ht="15.5">
      <c r="A60" s="35">
        <v>340</v>
      </c>
      <c r="B60" s="24" t="s">
        <v>209</v>
      </c>
      <c r="C60" s="14">
        <f>SUM('ALPINE VALLEY:WOODLAND'!C57)</f>
        <v>235497.13</v>
      </c>
      <c r="D60" s="14">
        <f>SUM('ALPINE VALLEY:WOODLAND'!D57)</f>
        <v>0</v>
      </c>
      <c r="E60" s="14">
        <f>SUM('ALPINE VALLEY:WOODLAND'!E57)</f>
        <v>235497.13</v>
      </c>
      <c r="F60" s="14">
        <f>SUM('ALPINE VALLEY:WOODLAND'!F57)</f>
        <v>7675</v>
      </c>
      <c r="G60" s="14">
        <f>SUM('ALPINE VALLEY:WOODLAND'!G57)</f>
        <v>243172.13</v>
      </c>
      <c r="H60" s="92">
        <f t="shared" si="3"/>
        <v>5.2871900070393764E-4</v>
      </c>
      <c r="J60" s="111">
        <f t="shared" si="2"/>
        <v>0.1328047459108162</v>
      </c>
      <c r="L60" s="69"/>
      <c r="M60" s="69"/>
      <c r="N60" s="69"/>
      <c r="O60" s="71"/>
      <c r="P60" s="59"/>
      <c r="Q60" s="122"/>
      <c r="R60" s="59"/>
    </row>
    <row r="61" spans="1:18" s="25" customFormat="1" ht="15.5">
      <c r="A61" s="35">
        <v>350</v>
      </c>
      <c r="B61" s="24" t="s">
        <v>210</v>
      </c>
      <c r="C61" s="14">
        <f>SUM('ALPINE VALLEY:WOODLAND'!C58)</f>
        <v>473887.23</v>
      </c>
      <c r="D61" s="14">
        <f>SUM('ALPINE VALLEY:WOODLAND'!D58)</f>
        <v>-171349.23</v>
      </c>
      <c r="E61" s="14">
        <f>SUM('ALPINE VALLEY:WOODLAND'!E58)</f>
        <v>302538</v>
      </c>
      <c r="F61" s="14">
        <f>SUM('ALPINE VALLEY:WOODLAND'!F58)</f>
        <v>3571</v>
      </c>
      <c r="G61" s="14">
        <f>SUM('ALPINE VALLEY:WOODLAND'!G58)</f>
        <v>306109</v>
      </c>
      <c r="H61" s="92">
        <f t="shared" si="3"/>
        <v>6.6556000717056529E-4</v>
      </c>
      <c r="J61" s="111">
        <f t="shared" si="2"/>
        <v>0.16717675650583</v>
      </c>
      <c r="L61" s="69"/>
      <c r="M61" s="69"/>
      <c r="N61" s="69"/>
      <c r="O61" s="71"/>
      <c r="P61" s="59"/>
      <c r="Q61" s="122"/>
      <c r="R61" s="59"/>
    </row>
    <row r="62" spans="1:18" s="25" customFormat="1" ht="15.5">
      <c r="A62" s="35">
        <v>360</v>
      </c>
      <c r="B62" s="24" t="s">
        <v>211</v>
      </c>
      <c r="C62" s="14">
        <f>SUM('ALPINE VALLEY:WOODLAND'!C59)</f>
        <v>20099.91</v>
      </c>
      <c r="D62" s="14">
        <f>SUM('ALPINE VALLEY:WOODLAND'!D59)</f>
        <v>-6722</v>
      </c>
      <c r="E62" s="14">
        <f>SUM('ALPINE VALLEY:WOODLAND'!E59)</f>
        <v>13377.91</v>
      </c>
      <c r="F62" s="14">
        <f>SUM('ALPINE VALLEY:WOODLAND'!F59)</f>
        <v>2593</v>
      </c>
      <c r="G62" s="14">
        <f>SUM('ALPINE VALLEY:WOODLAND'!G59)</f>
        <v>15970.91</v>
      </c>
      <c r="H62" s="92">
        <f t="shared" si="3"/>
        <v>3.4724882228619391E-5</v>
      </c>
      <c r="J62" s="111">
        <f t="shared" si="2"/>
        <v>8.7222686436743951E-3</v>
      </c>
      <c r="L62" s="69"/>
      <c r="M62" s="69"/>
      <c r="N62" s="69"/>
      <c r="O62" s="71"/>
      <c r="P62" s="59"/>
      <c r="Q62" s="122"/>
      <c r="R62" s="59"/>
    </row>
    <row r="63" spans="1:18" s="25" customFormat="1" ht="15.5">
      <c r="A63" s="35">
        <v>490</v>
      </c>
      <c r="B63" s="24" t="s">
        <v>266</v>
      </c>
      <c r="C63" s="14">
        <f>SUM('ALPINE VALLEY:WOODLAND'!C60)</f>
        <v>5611502.5600000005</v>
      </c>
      <c r="D63" s="14">
        <f>SUM('ALPINE VALLEY:WOODLAND'!D60)</f>
        <v>-4261190.1100000003</v>
      </c>
      <c r="E63" s="14">
        <f>SUM('ALPINE VALLEY:WOODLAND'!E60)</f>
        <v>1350312.4499999997</v>
      </c>
      <c r="F63" s="14">
        <f>SUM('ALPINE VALLEY:WOODLAND'!F60)</f>
        <v>-841670.97000000009</v>
      </c>
      <c r="G63" s="14">
        <f>SUM('ALPINE VALLEY:WOODLAND'!G60)</f>
        <v>508641.4800000001</v>
      </c>
      <c r="H63" s="92">
        <f t="shared" si="3"/>
        <v>1.1059179151088241E-3</v>
      </c>
      <c r="J63" s="111">
        <f t="shared" si="2"/>
        <v>0.27778677807815194</v>
      </c>
      <c r="L63" s="69"/>
      <c r="M63" s="69"/>
      <c r="N63" s="69"/>
      <c r="O63" s="71"/>
      <c r="P63" s="59"/>
      <c r="Q63" s="122"/>
      <c r="R63" s="59"/>
    </row>
    <row r="64" spans="1:18" s="25" customFormat="1" ht="15.5">
      <c r="A64" s="35"/>
      <c r="B64" s="3" t="s">
        <v>177</v>
      </c>
      <c r="C64" s="14">
        <f>SUM('ALPINE VALLEY:WOODLAND'!C61)</f>
        <v>116194173.89199999</v>
      </c>
      <c r="D64" s="14">
        <f>SUM('ALPINE VALLEY:WOODLAND'!D61)</f>
        <v>-26769745.870835528</v>
      </c>
      <c r="E64" s="14">
        <f>SUM('ALPINE VALLEY:WOODLAND'!E61)</f>
        <v>89424428.021164462</v>
      </c>
      <c r="F64" s="14">
        <f>SUM('ALPINE VALLEY:WOODLAND'!F61)</f>
        <v>3091337.3871805668</v>
      </c>
      <c r="G64" s="14">
        <f>SUM('ALPINE VALLEY:WOODLAND'!G61)</f>
        <v>92515765.408345029</v>
      </c>
      <c r="H64" s="92">
        <f t="shared" si="3"/>
        <v>0.20115316272493936</v>
      </c>
      <c r="J64" s="111">
        <f t="shared" si="2"/>
        <v>50.526072695090264</v>
      </c>
      <c r="L64" s="69"/>
      <c r="M64" s="69"/>
      <c r="N64" s="69"/>
      <c r="O64" s="71"/>
      <c r="P64" s="58"/>
      <c r="Q64" s="122"/>
      <c r="R64" s="58"/>
    </row>
    <row r="65" spans="1:18" s="25" customFormat="1" ht="15.5">
      <c r="A65" s="35"/>
      <c r="C65" s="17"/>
      <c r="D65" s="17"/>
      <c r="E65" s="17"/>
      <c r="F65" s="17"/>
      <c r="G65" s="17"/>
      <c r="H65" s="22"/>
      <c r="J65" s="123"/>
      <c r="L65" s="68"/>
      <c r="M65" s="68"/>
      <c r="N65" s="68"/>
      <c r="Q65" s="124"/>
    </row>
    <row r="66" spans="1:18" s="25" customFormat="1" ht="15.5">
      <c r="A66" s="32" t="s">
        <v>162</v>
      </c>
      <c r="B66" s="24" t="s">
        <v>178</v>
      </c>
      <c r="C66" s="64"/>
      <c r="D66" s="64"/>
      <c r="E66" s="64"/>
      <c r="F66" s="65"/>
      <c r="G66" s="65"/>
      <c r="H66" s="22"/>
      <c r="J66" s="123"/>
      <c r="L66" s="68"/>
      <c r="M66" s="68"/>
      <c r="N66" s="68"/>
      <c r="Q66" s="124"/>
    </row>
    <row r="67" spans="1:18" s="25" customFormat="1" ht="15.5">
      <c r="A67" s="32">
        <v>230</v>
      </c>
      <c r="B67" s="24" t="s">
        <v>253</v>
      </c>
      <c r="C67" s="14">
        <f>SUM('ALPINE VALLEY:WOODLAND'!C64)</f>
        <v>25012917.331999999</v>
      </c>
      <c r="D67" s="14">
        <f>SUM('ALPINE VALLEY:WOODLAND'!D64)</f>
        <v>-9040378.4020000007</v>
      </c>
      <c r="E67" s="14">
        <f>SUM('ALPINE VALLEY:WOODLAND'!E64)</f>
        <v>15972538.93</v>
      </c>
      <c r="F67" s="14">
        <f>SUM('ALPINE VALLEY:WOODLAND'!F64)</f>
        <v>-3514436.02</v>
      </c>
      <c r="G67" s="14">
        <f>SUM('ALPINE VALLEY:WOODLAND'!G64)</f>
        <v>12458102.91</v>
      </c>
      <c r="H67" s="92">
        <f t="shared" ref="H67:H81" si="4">IF($G$211=0,0,G67/$G$211)</f>
        <v>2.7087132564254043E-2</v>
      </c>
      <c r="J67" s="111">
        <f t="shared" ref="J67:J82" si="5">IF(G67=0,0,G67/$G$231)</f>
        <v>6.8038026869828787</v>
      </c>
      <c r="L67" s="90"/>
      <c r="M67" s="90"/>
      <c r="N67" s="90"/>
      <c r="O67" s="112"/>
      <c r="P67" s="113"/>
      <c r="Q67" s="125"/>
      <c r="R67" s="58"/>
    </row>
    <row r="68" spans="1:18" s="25" customFormat="1" ht="15.5">
      <c r="A68" s="32">
        <v>240</v>
      </c>
      <c r="B68" s="24" t="s">
        <v>254</v>
      </c>
      <c r="C68" s="14">
        <f>SUM('ALPINE VALLEY:WOODLAND'!C65)</f>
        <v>5383866.4199999999</v>
      </c>
      <c r="D68" s="14">
        <f>SUM('ALPINE VALLEY:WOODLAND'!D65)</f>
        <v>2586910.7199999997</v>
      </c>
      <c r="E68" s="14">
        <f>SUM('ALPINE VALLEY:WOODLAND'!E65)</f>
        <v>7970777.1399999997</v>
      </c>
      <c r="F68" s="14">
        <f>SUM('ALPINE VALLEY:WOODLAND'!F65)</f>
        <v>1157811.7233333334</v>
      </c>
      <c r="G68" s="14">
        <f>SUM('ALPINE VALLEY:WOODLAND'!G65)</f>
        <v>9128588.8633333351</v>
      </c>
      <c r="H68" s="92">
        <f t="shared" si="4"/>
        <v>1.9847909304650555E-2</v>
      </c>
      <c r="J68" s="111">
        <f t="shared" si="5"/>
        <v>4.9854394272867122</v>
      </c>
      <c r="L68" s="90"/>
      <c r="M68" s="90"/>
      <c r="N68" s="90"/>
      <c r="O68" s="112"/>
      <c r="P68" s="113"/>
      <c r="Q68" s="125"/>
      <c r="R68" s="58"/>
    </row>
    <row r="69" spans="1:18" s="25" customFormat="1" ht="15.5">
      <c r="A69" s="32">
        <v>250</v>
      </c>
      <c r="B69" s="24" t="s">
        <v>255</v>
      </c>
      <c r="C69" s="14">
        <f>SUM('ALPINE VALLEY:WOODLAND'!C66)</f>
        <v>2930064</v>
      </c>
      <c r="D69" s="14">
        <f>SUM('ALPINE VALLEY:WOODLAND'!D66)</f>
        <v>2539225.58</v>
      </c>
      <c r="E69" s="14">
        <f>SUM('ALPINE VALLEY:WOODLAND'!E66)</f>
        <v>5469289.5800000001</v>
      </c>
      <c r="F69" s="14">
        <f>SUM('ALPINE VALLEY:WOODLAND'!F66)</f>
        <v>1776845</v>
      </c>
      <c r="G69" s="14">
        <f>SUM('ALPINE VALLEY:WOODLAND'!G66)</f>
        <v>7246134.5800000001</v>
      </c>
      <c r="H69" s="92">
        <f t="shared" si="4"/>
        <v>1.5754967619454774E-2</v>
      </c>
      <c r="J69" s="111">
        <f t="shared" si="5"/>
        <v>3.9573657628136862</v>
      </c>
      <c r="L69" s="90"/>
      <c r="M69" s="90"/>
      <c r="N69" s="90"/>
      <c r="O69" s="112"/>
      <c r="P69" s="113"/>
      <c r="Q69" s="125"/>
      <c r="R69" s="58"/>
    </row>
    <row r="70" spans="1:18" s="25" customFormat="1" ht="15.5">
      <c r="A70" s="32">
        <v>260</v>
      </c>
      <c r="B70" s="24" t="s">
        <v>256</v>
      </c>
      <c r="C70" s="14">
        <f>SUM('ALPINE VALLEY:WOODLAND'!C67)</f>
        <v>1827372.9100000001</v>
      </c>
      <c r="D70" s="14">
        <f>SUM('ALPINE VALLEY:WOODLAND'!D67)</f>
        <v>89198</v>
      </c>
      <c r="E70" s="14">
        <f>SUM('ALPINE VALLEY:WOODLAND'!E67)</f>
        <v>1916570.9100000001</v>
      </c>
      <c r="F70" s="14">
        <f>SUM('ALPINE VALLEY:WOODLAND'!F67)</f>
        <v>108719.43</v>
      </c>
      <c r="G70" s="14">
        <f>SUM('ALPINE VALLEY:WOODLAND'!G67)</f>
        <v>2025290.34</v>
      </c>
      <c r="H70" s="92">
        <f t="shared" si="4"/>
        <v>4.4035041544445829E-3</v>
      </c>
      <c r="J70" s="111">
        <f t="shared" si="5"/>
        <v>1.1060813959203737</v>
      </c>
      <c r="L70" s="90"/>
      <c r="M70" s="90"/>
      <c r="N70" s="90"/>
      <c r="O70" s="112"/>
      <c r="P70" s="113"/>
      <c r="Q70" s="125"/>
      <c r="R70" s="58"/>
    </row>
    <row r="71" spans="1:18" s="25" customFormat="1" ht="15.5">
      <c r="A71" s="32">
        <v>270</v>
      </c>
      <c r="B71" s="24" t="s">
        <v>257</v>
      </c>
      <c r="C71" s="14">
        <f>SUM('ALPINE VALLEY:WOODLAND'!C68)</f>
        <v>876372.15999999992</v>
      </c>
      <c r="D71" s="14">
        <f>SUM('ALPINE VALLEY:WOODLAND'!D68)</f>
        <v>-13184</v>
      </c>
      <c r="E71" s="14">
        <f>SUM('ALPINE VALLEY:WOODLAND'!E68)</f>
        <v>863188.16</v>
      </c>
      <c r="F71" s="14">
        <f>SUM('ALPINE VALLEY:WOODLAND'!F68)</f>
        <v>36699.839999999997</v>
      </c>
      <c r="G71" s="14">
        <f>SUM('ALPINE VALLEY:WOODLAND'!G68)</f>
        <v>899888</v>
      </c>
      <c r="H71" s="92">
        <f t="shared" si="4"/>
        <v>1.9565888743313842E-3</v>
      </c>
      <c r="J71" s="111">
        <f t="shared" si="5"/>
        <v>0.49146009120450013</v>
      </c>
      <c r="L71" s="90"/>
      <c r="M71" s="90"/>
      <c r="N71" s="90"/>
      <c r="O71" s="112"/>
      <c r="P71" s="113"/>
      <c r="Q71" s="125"/>
      <c r="R71" s="58"/>
    </row>
    <row r="72" spans="1:18" s="25" customFormat="1" ht="15.5">
      <c r="A72" s="32">
        <v>280</v>
      </c>
      <c r="B72" s="24" t="s">
        <v>258</v>
      </c>
      <c r="C72" s="14">
        <f>SUM('ALPINE VALLEY:WOODLAND'!C69)</f>
        <v>341066.02</v>
      </c>
      <c r="D72" s="14">
        <f>SUM('ALPINE VALLEY:WOODLAND'!D69)</f>
        <v>-12268.78</v>
      </c>
      <c r="E72" s="14">
        <f>SUM('ALPINE VALLEY:WOODLAND'!E69)</f>
        <v>328797.24</v>
      </c>
      <c r="F72" s="14">
        <f>SUM('ALPINE VALLEY:WOODLAND'!F69)</f>
        <v>16092</v>
      </c>
      <c r="G72" s="14">
        <f>SUM('ALPINE VALLEY:WOODLAND'!G69)</f>
        <v>344889.24</v>
      </c>
      <c r="H72" s="92">
        <f t="shared" si="4"/>
        <v>7.4987826247333738E-4</v>
      </c>
      <c r="J72" s="111">
        <f t="shared" si="5"/>
        <v>0.1883559924633407</v>
      </c>
      <c r="L72" s="90"/>
      <c r="M72" s="90"/>
      <c r="N72" s="90"/>
      <c r="O72" s="112"/>
      <c r="P72" s="113"/>
      <c r="Q72" s="125"/>
      <c r="R72" s="58"/>
    </row>
    <row r="73" spans="1:18" s="25" customFormat="1" ht="15.5">
      <c r="A73" s="32">
        <v>290</v>
      </c>
      <c r="B73" s="24" t="s">
        <v>259</v>
      </c>
      <c r="C73" s="14">
        <f>SUM('ALPINE VALLEY:WOODLAND'!C70)</f>
        <v>-115.86000000000013</v>
      </c>
      <c r="D73" s="14">
        <f>SUM('ALPINE VALLEY:WOODLAND'!D70)</f>
        <v>9746.4500000000007</v>
      </c>
      <c r="E73" s="14">
        <f>SUM('ALPINE VALLEY:WOODLAND'!E70)</f>
        <v>9630.59</v>
      </c>
      <c r="F73" s="14">
        <f>SUM('ALPINE VALLEY:WOODLAND'!F70)</f>
        <v>0</v>
      </c>
      <c r="G73" s="14">
        <f>SUM('ALPINE VALLEY:WOODLAND'!G70)</f>
        <v>9630.59</v>
      </c>
      <c r="H73" s="92">
        <f t="shared" si="4"/>
        <v>2.093938939873305E-5</v>
      </c>
      <c r="J73" s="111">
        <f t="shared" si="5"/>
        <v>5.2595996832418557E-3</v>
      </c>
      <c r="L73" s="90"/>
      <c r="M73" s="90"/>
      <c r="N73" s="90"/>
      <c r="O73" s="112"/>
      <c r="P73" s="113"/>
      <c r="Q73" s="125"/>
      <c r="R73" s="58"/>
    </row>
    <row r="74" spans="1:18" s="25" customFormat="1" ht="15.5">
      <c r="A74" s="32">
        <v>300</v>
      </c>
      <c r="B74" s="24" t="s">
        <v>260</v>
      </c>
      <c r="C74" s="14">
        <f>SUM('ALPINE VALLEY:WOODLAND'!C71)</f>
        <v>2120</v>
      </c>
      <c r="D74" s="14">
        <f>SUM('ALPINE VALLEY:WOODLAND'!D71)</f>
        <v>0</v>
      </c>
      <c r="E74" s="14">
        <f>SUM('ALPINE VALLEY:WOODLAND'!E71)</f>
        <v>2120</v>
      </c>
      <c r="F74" s="14">
        <f>SUM('ALPINE VALLEY:WOODLAND'!F71)</f>
        <v>0</v>
      </c>
      <c r="G74" s="14">
        <f>SUM('ALPINE VALLEY:WOODLAND'!G71)</f>
        <v>2120</v>
      </c>
      <c r="H74" s="92">
        <f t="shared" si="4"/>
        <v>4.6094274105027898E-6</v>
      </c>
      <c r="J74" s="111">
        <f t="shared" si="5"/>
        <v>1.1578056306490812E-3</v>
      </c>
      <c r="L74" s="90"/>
      <c r="M74" s="90"/>
      <c r="N74" s="90"/>
      <c r="O74" s="112"/>
      <c r="P74" s="113"/>
      <c r="Q74" s="125"/>
      <c r="R74" s="58"/>
    </row>
    <row r="75" spans="1:18" s="25" customFormat="1" ht="15.5">
      <c r="A75" s="32">
        <v>310</v>
      </c>
      <c r="B75" s="2" t="s">
        <v>261</v>
      </c>
      <c r="C75" s="14">
        <f>SUM('ALPINE VALLEY:WOODLAND'!C72)</f>
        <v>221842.21999999997</v>
      </c>
      <c r="D75" s="14">
        <f>SUM('ALPINE VALLEY:WOODLAND'!D72)</f>
        <v>32037</v>
      </c>
      <c r="E75" s="14">
        <f>SUM('ALPINE VALLEY:WOODLAND'!E72)</f>
        <v>253879.22</v>
      </c>
      <c r="F75" s="14">
        <f>SUM('ALPINE VALLEY:WOODLAND'!F72)</f>
        <v>3817</v>
      </c>
      <c r="G75" s="14">
        <f>SUM('ALPINE VALLEY:WOODLAND'!G72)</f>
        <v>257696.22</v>
      </c>
      <c r="H75" s="92">
        <f t="shared" si="4"/>
        <v>5.6029812266554589E-4</v>
      </c>
      <c r="J75" s="111">
        <f t="shared" si="5"/>
        <v>0.1407368559023511</v>
      </c>
      <c r="L75" s="90"/>
      <c r="M75" s="90"/>
      <c r="N75" s="90"/>
      <c r="O75" s="112"/>
      <c r="P75" s="113"/>
      <c r="Q75" s="125"/>
      <c r="R75" s="58"/>
    </row>
    <row r="76" spans="1:18" s="25" customFormat="1" ht="15.5">
      <c r="A76" s="32">
        <v>320</v>
      </c>
      <c r="B76" s="2" t="s">
        <v>262</v>
      </c>
      <c r="C76" s="14">
        <f>SUM('ALPINE VALLEY:WOODLAND'!C73)</f>
        <v>1933775.54</v>
      </c>
      <c r="D76" s="14">
        <f>SUM('ALPINE VALLEY:WOODLAND'!D73)</f>
        <v>-58067.639999999985</v>
      </c>
      <c r="E76" s="14">
        <f>SUM('ALPINE VALLEY:WOODLAND'!E73)</f>
        <v>1875707.9000000001</v>
      </c>
      <c r="F76" s="14">
        <f>SUM('ALPINE VALLEY:WOODLAND'!F73)</f>
        <v>-27434</v>
      </c>
      <c r="G76" s="14">
        <f>SUM('ALPINE VALLEY:WOODLAND'!G73)</f>
        <v>1848273.9000000001</v>
      </c>
      <c r="H76" s="92">
        <f t="shared" si="4"/>
        <v>4.0186247060268361E-3</v>
      </c>
      <c r="J76" s="111">
        <f t="shared" si="5"/>
        <v>1.0094065700008192</v>
      </c>
      <c r="L76" s="90"/>
      <c r="M76" s="90"/>
      <c r="N76" s="90"/>
      <c r="O76" s="112"/>
      <c r="P76" s="113"/>
      <c r="Q76" s="125"/>
      <c r="R76" s="58"/>
    </row>
    <row r="77" spans="1:18" s="25" customFormat="1" ht="15.5">
      <c r="A77" s="32">
        <v>330</v>
      </c>
      <c r="B77" s="2" t="s">
        <v>263</v>
      </c>
      <c r="C77" s="14">
        <f>SUM('ALPINE VALLEY:WOODLAND'!C74)</f>
        <v>3953449.1100000003</v>
      </c>
      <c r="D77" s="14">
        <f>SUM('ALPINE VALLEY:WOODLAND'!D74)</f>
        <v>521810.99</v>
      </c>
      <c r="E77" s="14">
        <f>SUM('ALPINE VALLEY:WOODLAND'!E74)</f>
        <v>4475260.0999999996</v>
      </c>
      <c r="F77" s="14">
        <f>SUM('ALPINE VALLEY:WOODLAND'!F74)</f>
        <v>548564.71769444447</v>
      </c>
      <c r="G77" s="14">
        <f>SUM('ALPINE VALLEY:WOODLAND'!G74)</f>
        <v>5023824.8176944451</v>
      </c>
      <c r="H77" s="92">
        <f t="shared" si="4"/>
        <v>1.0923092368040073E-2</v>
      </c>
      <c r="J77" s="111">
        <f t="shared" si="5"/>
        <v>2.7436852176043502</v>
      </c>
      <c r="L77" s="90"/>
      <c r="M77" s="90"/>
      <c r="N77" s="90"/>
      <c r="O77" s="112"/>
      <c r="P77" s="113"/>
      <c r="Q77" s="125"/>
      <c r="R77" s="58"/>
    </row>
    <row r="78" spans="1:18" s="25" customFormat="1" ht="15.5">
      <c r="A78" s="32">
        <v>340</v>
      </c>
      <c r="B78" s="2" t="s">
        <v>264</v>
      </c>
      <c r="C78" s="14">
        <f>SUM('ALPINE VALLEY:WOODLAND'!C75)</f>
        <v>5185</v>
      </c>
      <c r="D78" s="14">
        <f>SUM('ALPINE VALLEY:WOODLAND'!D75)</f>
        <v>1510.24</v>
      </c>
      <c r="E78" s="14">
        <f>SUM('ALPINE VALLEY:WOODLAND'!E75)</f>
        <v>6695.24</v>
      </c>
      <c r="F78" s="14">
        <f>SUM('ALPINE VALLEY:WOODLAND'!F75)</f>
        <v>0</v>
      </c>
      <c r="G78" s="14">
        <f>SUM('ALPINE VALLEY:WOODLAND'!G75)</f>
        <v>6695.24</v>
      </c>
      <c r="H78" s="92">
        <f t="shared" si="4"/>
        <v>1.455718055466731E-5</v>
      </c>
      <c r="J78" s="111">
        <f t="shared" si="5"/>
        <v>3.656503099314601E-3</v>
      </c>
      <c r="L78" s="90"/>
      <c r="M78" s="90"/>
      <c r="N78" s="90"/>
      <c r="O78" s="112"/>
      <c r="P78" s="113"/>
      <c r="Q78" s="125"/>
      <c r="R78" s="58"/>
    </row>
    <row r="79" spans="1:18" s="25" customFormat="1" ht="15.5">
      <c r="A79" s="32">
        <v>350</v>
      </c>
      <c r="B79" s="2" t="s">
        <v>265</v>
      </c>
      <c r="C79" s="14">
        <f>SUM('ALPINE VALLEY:WOODLAND'!C76)</f>
        <v>214151.53000000003</v>
      </c>
      <c r="D79" s="14">
        <f>SUM('ALPINE VALLEY:WOODLAND'!D76)</f>
        <v>29489</v>
      </c>
      <c r="E79" s="14">
        <f>SUM('ALPINE VALLEY:WOODLAND'!E76)</f>
        <v>243640.53</v>
      </c>
      <c r="F79" s="14">
        <f>SUM('ALPINE VALLEY:WOODLAND'!F76)</f>
        <v>-3297</v>
      </c>
      <c r="G79" s="14">
        <f>SUM('ALPINE VALLEY:WOODLAND'!G76)</f>
        <v>240343.53000000003</v>
      </c>
      <c r="H79" s="92">
        <f t="shared" si="4"/>
        <v>5.2256889392405647E-4</v>
      </c>
      <c r="J79" s="111">
        <f t="shared" si="5"/>
        <v>0.13125994920946998</v>
      </c>
      <c r="L79" s="90"/>
      <c r="M79" s="90"/>
      <c r="N79" s="90"/>
      <c r="O79" s="112"/>
      <c r="P79" s="113"/>
      <c r="Q79" s="125"/>
      <c r="R79" s="58"/>
    </row>
    <row r="80" spans="1:18" s="25" customFormat="1" ht="15.5">
      <c r="A80" s="32">
        <v>360</v>
      </c>
      <c r="B80" s="2" t="s">
        <v>192</v>
      </c>
      <c r="C80" s="14">
        <f>SUM('ALPINE VALLEY:WOODLAND'!C77)</f>
        <v>-29996</v>
      </c>
      <c r="D80" s="14">
        <f>SUM('ALPINE VALLEY:WOODLAND'!D77)</f>
        <v>-10351</v>
      </c>
      <c r="E80" s="14">
        <f>SUM('ALPINE VALLEY:WOODLAND'!E77)</f>
        <v>-40347</v>
      </c>
      <c r="F80" s="14">
        <f>SUM('ALPINE VALLEY:WOODLAND'!F77)</f>
        <v>0</v>
      </c>
      <c r="G80" s="14">
        <f>SUM('ALPINE VALLEY:WOODLAND'!G77)</f>
        <v>-40347</v>
      </c>
      <c r="H80" s="92">
        <f t="shared" si="4"/>
        <v>-8.7724796099790598E-5</v>
      </c>
      <c r="J80" s="111">
        <f t="shared" si="5"/>
        <v>-2.2034898009338905E-2</v>
      </c>
      <c r="L80" s="90"/>
      <c r="M80" s="90"/>
      <c r="N80" s="90"/>
      <c r="O80" s="112"/>
      <c r="P80" s="113"/>
      <c r="Q80" s="125"/>
      <c r="R80" s="58"/>
    </row>
    <row r="81" spans="1:18" s="25" customFormat="1" ht="15.5">
      <c r="A81" s="32">
        <v>490</v>
      </c>
      <c r="B81" s="2" t="s">
        <v>266</v>
      </c>
      <c r="C81" s="14">
        <f>SUM('ALPINE VALLEY:WOODLAND'!C78)</f>
        <v>5799.3600000000006</v>
      </c>
      <c r="D81" s="14">
        <f>SUM('ALPINE VALLEY:WOODLAND'!D78)</f>
        <v>-112</v>
      </c>
      <c r="E81" s="14">
        <f>SUM('ALPINE VALLEY:WOODLAND'!E78)</f>
        <v>5687.3600000000006</v>
      </c>
      <c r="F81" s="14">
        <f>SUM('ALPINE VALLEY:WOODLAND'!F78)</f>
        <v>0</v>
      </c>
      <c r="G81" s="14">
        <f>SUM('ALPINE VALLEY:WOODLAND'!G78)</f>
        <v>5687.3600000000006</v>
      </c>
      <c r="H81" s="92">
        <f t="shared" si="4"/>
        <v>1.2365789187451486E-5</v>
      </c>
      <c r="J81" s="111">
        <f t="shared" si="5"/>
        <v>3.1060648261926221E-3</v>
      </c>
      <c r="L81" s="90"/>
      <c r="M81" s="90"/>
      <c r="N81" s="90"/>
      <c r="O81" s="112"/>
      <c r="P81" s="113"/>
      <c r="Q81" s="125"/>
      <c r="R81" s="58"/>
    </row>
    <row r="82" spans="1:18" s="25" customFormat="1" ht="15.5">
      <c r="A82" s="35"/>
      <c r="B82" s="3" t="s">
        <v>150</v>
      </c>
      <c r="C82" s="14">
        <f>SUM('ALPINE VALLEY:WOODLAND'!C79)</f>
        <v>42677869.741999999</v>
      </c>
      <c r="D82" s="14">
        <f>SUM('ALPINE VALLEY:WOODLAND'!D79)</f>
        <v>-3324433.8420000002</v>
      </c>
      <c r="E82" s="14">
        <f>SUM('ALPINE VALLEY:WOODLAND'!E79)</f>
        <v>39353435.899999999</v>
      </c>
      <c r="F82" s="14">
        <f>SUM('ALPINE VALLEY:WOODLAND'!F79)</f>
        <v>103382.69102777774</v>
      </c>
      <c r="G82" s="14">
        <f>SUM('ALPINE VALLEY:WOODLAND'!G79)</f>
        <v>39456818.591027781</v>
      </c>
      <c r="H82" s="92">
        <f>SUM(H67:H81)</f>
        <v>8.5789311860716741E-2</v>
      </c>
      <c r="J82" s="111">
        <f t="shared" si="5"/>
        <v>21.548739024618541</v>
      </c>
      <c r="L82" s="90"/>
      <c r="M82" s="90"/>
      <c r="N82" s="90"/>
      <c r="O82" s="112"/>
      <c r="P82" s="113"/>
      <c r="Q82" s="125"/>
      <c r="R82" s="58"/>
    </row>
    <row r="83" spans="1:18" s="25" customFormat="1" ht="15.5">
      <c r="A83" s="35"/>
      <c r="B83" s="24"/>
      <c r="C83" s="17"/>
      <c r="D83" s="17"/>
      <c r="E83" s="17"/>
      <c r="F83" s="17"/>
      <c r="G83" s="17"/>
      <c r="H83" s="72"/>
      <c r="J83" s="123"/>
      <c r="L83" s="93"/>
      <c r="M83" s="93"/>
      <c r="N83" s="93"/>
      <c r="O83" s="93"/>
      <c r="P83" s="93"/>
      <c r="Q83" s="126"/>
    </row>
    <row r="84" spans="1:18" s="25" customFormat="1" ht="15.5">
      <c r="A84" s="32" t="s">
        <v>163</v>
      </c>
      <c r="B84" s="24" t="s">
        <v>43</v>
      </c>
      <c r="C84" s="64"/>
      <c r="D84" s="64"/>
      <c r="E84" s="64"/>
      <c r="F84" s="65"/>
      <c r="G84" s="65"/>
      <c r="H84" s="94"/>
      <c r="J84" s="123"/>
      <c r="L84" s="93"/>
      <c r="M84" s="93"/>
      <c r="N84" s="93"/>
      <c r="O84" s="93"/>
      <c r="P84" s="93"/>
      <c r="Q84" s="126"/>
    </row>
    <row r="85" spans="1:18" s="25" customFormat="1" ht="15.5">
      <c r="A85" s="32" t="s">
        <v>85</v>
      </c>
      <c r="B85" s="24" t="s">
        <v>44</v>
      </c>
      <c r="C85" s="14">
        <f>SUM('ALPINE VALLEY:WOODLAND'!C82)</f>
        <v>4000763.2600000002</v>
      </c>
      <c r="D85" s="14">
        <f>SUM('ALPINE VALLEY:WOODLAND'!D82)</f>
        <v>88935.080000000016</v>
      </c>
      <c r="E85" s="14">
        <f>SUM('ALPINE VALLEY:WOODLAND'!E82)</f>
        <v>4089698.34</v>
      </c>
      <c r="F85" s="14">
        <f>SUM('ALPINE VALLEY:WOODLAND'!F82)</f>
        <v>233735</v>
      </c>
      <c r="G85" s="14">
        <f>SUM('ALPINE VALLEY:WOODLAND'!G82)</f>
        <v>4323433.34</v>
      </c>
      <c r="H85" s="92">
        <f>IF($G$211=0,0,G85/$G$211)</f>
        <v>9.4002604456969938E-3</v>
      </c>
      <c r="J85" s="111">
        <f t="shared" ref="J85:J96" si="6">IF(G85=0,0,G85/$G$231)</f>
        <v>2.3611771060320579</v>
      </c>
      <c r="K85" s="25">
        <v>1955.33</v>
      </c>
      <c r="L85" s="118">
        <f>SUM('ALPINE VALLEY:WOODLAND'!J82)</f>
        <v>210964.94714285716</v>
      </c>
      <c r="M85" s="118">
        <f>SUM('ALPINE VALLEY:WOODLAND'!K82)</f>
        <v>227122.35142857142</v>
      </c>
      <c r="N85" s="119"/>
      <c r="O85" s="120">
        <f>IF(L85=0,0,G85/M85)</f>
        <v>19.035701738759485</v>
      </c>
      <c r="P85" s="59"/>
      <c r="Q85" s="121">
        <f>M85/$G$231</f>
        <v>0.12403940440106574</v>
      </c>
      <c r="R85" s="58"/>
    </row>
    <row r="86" spans="1:18" s="25" customFormat="1" ht="15.5">
      <c r="A86" s="32" t="s">
        <v>86</v>
      </c>
      <c r="B86" s="24" t="s">
        <v>45</v>
      </c>
      <c r="C86" s="14">
        <f>SUM('ALPINE VALLEY:WOODLAND'!C83)</f>
        <v>445291.65</v>
      </c>
      <c r="D86" s="14">
        <f>SUM('ALPINE VALLEY:WOODLAND'!D83)</f>
        <v>320149.68661502859</v>
      </c>
      <c r="E86" s="14">
        <f>SUM('ALPINE VALLEY:WOODLAND'!E83)</f>
        <v>765441.33661502879</v>
      </c>
      <c r="F86" s="14">
        <f>SUM('ALPINE VALLEY:WOODLAND'!F83)</f>
        <v>37635</v>
      </c>
      <c r="G86" s="14">
        <f>SUM('ALPINE VALLEY:WOODLAND'!G83)</f>
        <v>803076.33661502879</v>
      </c>
      <c r="H86" s="92">
        <f t="shared" ref="H86:H96" si="7">IF($G$211=0,0,G86/$G$211)</f>
        <v>1.7460953201506976E-3</v>
      </c>
      <c r="J86" s="111">
        <f t="shared" si="6"/>
        <v>0.43858787942165905</v>
      </c>
      <c r="L86" s="90"/>
      <c r="M86" s="90"/>
      <c r="N86" s="90"/>
      <c r="O86" s="112"/>
      <c r="P86" s="113"/>
      <c r="Q86" s="125"/>
      <c r="R86" s="58"/>
    </row>
    <row r="87" spans="1:18" s="25" customFormat="1" ht="15.5">
      <c r="A87" s="32" t="s">
        <v>93</v>
      </c>
      <c r="B87" s="24" t="s">
        <v>47</v>
      </c>
      <c r="C87" s="14">
        <f>SUM('ALPINE VALLEY:WOODLAND'!C84)</f>
        <v>1157200.31</v>
      </c>
      <c r="D87" s="14">
        <f>SUM('ALPINE VALLEY:WOODLAND'!D84)</f>
        <v>-3443.73</v>
      </c>
      <c r="E87" s="14">
        <f>SUM('ALPINE VALLEY:WOODLAND'!E84)</f>
        <v>1153756.58</v>
      </c>
      <c r="F87" s="14">
        <f>SUM('ALPINE VALLEY:WOODLAND'!F84)</f>
        <v>41850.869999999995</v>
      </c>
      <c r="G87" s="14">
        <f>SUM('ALPINE VALLEY:WOODLAND'!G84)</f>
        <v>1195607.4500000002</v>
      </c>
      <c r="H87" s="92">
        <f t="shared" si="7"/>
        <v>2.5995593170902568E-3</v>
      </c>
      <c r="J87" s="111">
        <f t="shared" si="6"/>
        <v>0.65296275361131606</v>
      </c>
      <c r="L87" s="90"/>
      <c r="M87" s="90"/>
      <c r="N87" s="90"/>
      <c r="O87" s="112"/>
      <c r="P87" s="113"/>
      <c r="Q87" s="125"/>
      <c r="R87" s="58"/>
    </row>
    <row r="88" spans="1:18" s="25" customFormat="1" ht="15.5">
      <c r="A88" s="32">
        <v>230</v>
      </c>
      <c r="B88" s="24" t="s">
        <v>46</v>
      </c>
      <c r="C88" s="14">
        <f>SUM('ALPINE VALLEY:WOODLAND'!C85)</f>
        <v>422158.04</v>
      </c>
      <c r="D88" s="14">
        <f>SUM('ALPINE VALLEY:WOODLAND'!D85)</f>
        <v>14996</v>
      </c>
      <c r="E88" s="14">
        <f>SUM('ALPINE VALLEY:WOODLAND'!E85)</f>
        <v>437154.04</v>
      </c>
      <c r="F88" s="14">
        <f>SUM('ALPINE VALLEY:WOODLAND'!F85)</f>
        <v>240324.8</v>
      </c>
      <c r="G88" s="14">
        <f>SUM('ALPINE VALLEY:WOODLAND'!G85)</f>
        <v>677478.84</v>
      </c>
      <c r="H88" s="92">
        <f t="shared" si="7"/>
        <v>1.4730139316658649E-3</v>
      </c>
      <c r="J88" s="111">
        <f t="shared" si="6"/>
        <v>0.36999472433849429</v>
      </c>
      <c r="L88" s="90"/>
      <c r="M88" s="90"/>
      <c r="N88" s="90"/>
      <c r="O88" s="112"/>
      <c r="P88" s="113"/>
      <c r="Q88" s="125"/>
      <c r="R88" s="58"/>
    </row>
    <row r="89" spans="1:18" s="25" customFormat="1" ht="15.5">
      <c r="A89" s="32">
        <v>240</v>
      </c>
      <c r="B89" s="24" t="s">
        <v>267</v>
      </c>
      <c r="C89" s="14">
        <f>SUM('ALPINE VALLEY:WOODLAND'!C86)</f>
        <v>740435.72999999986</v>
      </c>
      <c r="D89" s="14">
        <f>SUM('ALPINE VALLEY:WOODLAND'!D86)</f>
        <v>49816</v>
      </c>
      <c r="E89" s="14">
        <f>SUM('ALPINE VALLEY:WOODLAND'!E86)</f>
        <v>790251.72999999986</v>
      </c>
      <c r="F89" s="14">
        <f>SUM('ALPINE VALLEY:WOODLAND'!F86)</f>
        <v>85515.35</v>
      </c>
      <c r="G89" s="14">
        <f>SUM('ALPINE VALLEY:WOODLAND'!G86)</f>
        <v>875767.08</v>
      </c>
      <c r="H89" s="92">
        <f t="shared" si="7"/>
        <v>1.904143765928297E-3</v>
      </c>
      <c r="J89" s="111">
        <f t="shared" si="6"/>
        <v>0.47828681903825671</v>
      </c>
      <c r="L89" s="90"/>
      <c r="M89" s="90"/>
      <c r="N89" s="90"/>
      <c r="O89" s="112"/>
      <c r="P89" s="113"/>
      <c r="Q89" s="125"/>
      <c r="R89" s="58"/>
    </row>
    <row r="90" spans="1:18" s="25" customFormat="1" ht="15.5">
      <c r="A90" s="32">
        <v>310</v>
      </c>
      <c r="B90" s="24" t="s">
        <v>54</v>
      </c>
      <c r="C90" s="14">
        <f>SUM('ALPINE VALLEY:WOODLAND'!C87)</f>
        <v>1680117.2600000002</v>
      </c>
      <c r="D90" s="14">
        <f>SUM('ALPINE VALLEY:WOODLAND'!D87)</f>
        <v>-10539</v>
      </c>
      <c r="E90" s="14">
        <f>SUM('ALPINE VALLEY:WOODLAND'!E87)</f>
        <v>1669578.2600000002</v>
      </c>
      <c r="F90" s="14">
        <f>SUM('ALPINE VALLEY:WOODLAND'!F87)</f>
        <v>18969.570000000007</v>
      </c>
      <c r="G90" s="14">
        <f>SUM('ALPINE VALLEY:WOODLAND'!G87)</f>
        <v>1688547.8299999998</v>
      </c>
      <c r="H90" s="92">
        <f t="shared" si="7"/>
        <v>3.6713389865787754E-3</v>
      </c>
      <c r="J90" s="111">
        <f t="shared" si="6"/>
        <v>0.92217461565768266</v>
      </c>
      <c r="L90" s="90"/>
      <c r="M90" s="90"/>
      <c r="N90" s="90"/>
      <c r="O90" s="112"/>
      <c r="P90" s="113"/>
      <c r="Q90" s="125"/>
      <c r="R90" s="58"/>
    </row>
    <row r="91" spans="1:18" s="25" customFormat="1" ht="15.5">
      <c r="A91" s="32">
        <v>320</v>
      </c>
      <c r="B91" s="24" t="s">
        <v>270</v>
      </c>
      <c r="C91" s="14">
        <f>SUM('ALPINE VALLEY:WOODLAND'!C88)</f>
        <v>1423427.5299999998</v>
      </c>
      <c r="D91" s="14">
        <f>SUM('ALPINE VALLEY:WOODLAND'!D88)</f>
        <v>-308560</v>
      </c>
      <c r="E91" s="14">
        <f>SUM('ALPINE VALLEY:WOODLAND'!E88)</f>
        <v>1114867.5299999998</v>
      </c>
      <c r="F91" s="14">
        <f>SUM('ALPINE VALLEY:WOODLAND'!F88)</f>
        <v>10162.369999999999</v>
      </c>
      <c r="G91" s="14">
        <f>SUM('ALPINE VALLEY:WOODLAND'!G88)</f>
        <v>1125029.8999999999</v>
      </c>
      <c r="H91" s="92">
        <f t="shared" si="7"/>
        <v>2.4461054993845342E-3</v>
      </c>
      <c r="J91" s="111">
        <f t="shared" si="6"/>
        <v>0.61441790229649651</v>
      </c>
      <c r="L91" s="90"/>
      <c r="M91" s="90"/>
      <c r="N91" s="90"/>
      <c r="O91" s="112"/>
      <c r="P91" s="113"/>
      <c r="Q91" s="125"/>
      <c r="R91" s="58"/>
    </row>
    <row r="92" spans="1:18" s="25" customFormat="1" ht="15.5">
      <c r="A92" s="32">
        <v>330</v>
      </c>
      <c r="B92" s="24" t="s">
        <v>269</v>
      </c>
      <c r="C92" s="14">
        <f>SUM('ALPINE VALLEY:WOODLAND'!C89)</f>
        <v>859717.81</v>
      </c>
      <c r="D92" s="14">
        <f>SUM('ALPINE VALLEY:WOODLAND'!D89)</f>
        <v>3570</v>
      </c>
      <c r="E92" s="14">
        <f>SUM('ALPINE VALLEY:WOODLAND'!E89)</f>
        <v>863287.81</v>
      </c>
      <c r="F92" s="14">
        <f>SUM('ALPINE VALLEY:WOODLAND'!F89)</f>
        <v>30249</v>
      </c>
      <c r="G92" s="14">
        <f>SUM('ALPINE VALLEY:WOODLAND'!G89)</f>
        <v>893536.81</v>
      </c>
      <c r="H92" s="92">
        <f t="shared" si="7"/>
        <v>1.9427797473147281E-3</v>
      </c>
      <c r="J92" s="111">
        <f t="shared" si="6"/>
        <v>0.48799148575953694</v>
      </c>
      <c r="L92" s="90"/>
      <c r="M92" s="90"/>
      <c r="N92" s="90"/>
      <c r="O92" s="112"/>
      <c r="P92" s="113"/>
      <c r="Q92" s="125"/>
      <c r="R92" s="58"/>
    </row>
    <row r="93" spans="1:18" s="25" customFormat="1" ht="15.5">
      <c r="A93" s="35">
        <v>340</v>
      </c>
      <c r="B93" s="24" t="s">
        <v>268</v>
      </c>
      <c r="C93" s="14">
        <f>SUM('ALPINE VALLEY:WOODLAND'!C90)</f>
        <v>354250.11</v>
      </c>
      <c r="D93" s="14">
        <f>SUM('ALPINE VALLEY:WOODLAND'!D90)</f>
        <v>-3049</v>
      </c>
      <c r="E93" s="14">
        <f>SUM('ALPINE VALLEY:WOODLAND'!E90)</f>
        <v>351201.11</v>
      </c>
      <c r="F93" s="14">
        <f>SUM('ALPINE VALLEY:WOODLAND'!F90)</f>
        <v>2081</v>
      </c>
      <c r="G93" s="14">
        <f>SUM('ALPINE VALLEY:WOODLAND'!G90)</f>
        <v>353282.11</v>
      </c>
      <c r="H93" s="92">
        <f t="shared" si="7"/>
        <v>7.6812652899729329E-4</v>
      </c>
      <c r="J93" s="111">
        <f t="shared" si="6"/>
        <v>0.19293963026678682</v>
      </c>
      <c r="L93" s="90"/>
      <c r="M93" s="90"/>
      <c r="N93" s="90"/>
      <c r="O93" s="112"/>
      <c r="P93" s="113"/>
      <c r="Q93" s="125"/>
      <c r="R93" s="58"/>
    </row>
    <row r="94" spans="1:18" s="25" customFormat="1" ht="15.5">
      <c r="A94" s="35">
        <v>350</v>
      </c>
      <c r="B94" s="24" t="s">
        <v>49</v>
      </c>
      <c r="C94" s="14">
        <f>SUM('ALPINE VALLEY:WOODLAND'!C91)</f>
        <v>7974691.129999999</v>
      </c>
      <c r="D94" s="14">
        <f>SUM('ALPINE VALLEY:WOODLAND'!D91)</f>
        <v>-58044</v>
      </c>
      <c r="E94" s="14">
        <f>SUM('ALPINE VALLEY:WOODLAND'!E91)</f>
        <v>7916647.129999999</v>
      </c>
      <c r="F94" s="14">
        <f>SUM('ALPINE VALLEY:WOODLAND'!F91)</f>
        <v>418568.07999999996</v>
      </c>
      <c r="G94" s="14">
        <f>SUM('ALPINE VALLEY:WOODLAND'!G91)</f>
        <v>8335215.209999999</v>
      </c>
      <c r="H94" s="92">
        <f t="shared" si="7"/>
        <v>1.812291012330838E-2</v>
      </c>
      <c r="J94" s="111">
        <f t="shared" si="6"/>
        <v>4.5521505201933312</v>
      </c>
      <c r="L94" s="90"/>
      <c r="M94" s="90"/>
      <c r="N94" s="90"/>
      <c r="O94" s="112"/>
      <c r="P94" s="113"/>
      <c r="Q94" s="125"/>
      <c r="R94" s="58"/>
    </row>
    <row r="95" spans="1:18" s="25" customFormat="1" ht="15.5">
      <c r="A95" s="35">
        <v>490</v>
      </c>
      <c r="B95" s="2" t="s">
        <v>271</v>
      </c>
      <c r="C95" s="14">
        <f>SUM('ALPINE VALLEY:WOODLAND'!C92)</f>
        <v>88217.510000000009</v>
      </c>
      <c r="D95" s="14">
        <f>SUM('ALPINE VALLEY:WOODLAND'!D92)</f>
        <v>107625.08</v>
      </c>
      <c r="E95" s="14">
        <f>SUM('ALPINE VALLEY:WOODLAND'!E92)</f>
        <v>195842.59</v>
      </c>
      <c r="F95" s="14">
        <f>SUM('ALPINE VALLEY:WOODLAND'!F92)</f>
        <v>-4382.13</v>
      </c>
      <c r="G95" s="14">
        <f>SUM('ALPINE VALLEY:WOODLAND'!G92)</f>
        <v>191460.46000000002</v>
      </c>
      <c r="H95" s="92">
        <f t="shared" si="7"/>
        <v>4.1628447752427972E-4</v>
      </c>
      <c r="J95" s="111">
        <f t="shared" si="6"/>
        <v>0.10456320690314301</v>
      </c>
      <c r="L95" s="90"/>
      <c r="M95" s="90"/>
      <c r="N95" s="90"/>
      <c r="O95" s="112"/>
      <c r="P95" s="113"/>
      <c r="Q95" s="125"/>
      <c r="R95" s="58"/>
    </row>
    <row r="96" spans="1:18" s="25" customFormat="1" ht="15.5">
      <c r="A96" s="35"/>
      <c r="B96" s="3" t="s">
        <v>288</v>
      </c>
      <c r="C96" s="14">
        <f>SUM('ALPINE VALLEY:WOODLAND'!C93)</f>
        <v>19146270.34</v>
      </c>
      <c r="D96" s="14">
        <f>SUM('ALPINE VALLEY:WOODLAND'!D93)</f>
        <v>201456.11661502859</v>
      </c>
      <c r="E96" s="14">
        <f>SUM('ALPINE VALLEY:WOODLAND'!E93)</f>
        <v>19347726.456615023</v>
      </c>
      <c r="F96" s="14">
        <f>SUM('ALPINE VALLEY:WOODLAND'!F93)</f>
        <v>1114708.9100000001</v>
      </c>
      <c r="G96" s="14">
        <f>SUM('ALPINE VALLEY:WOODLAND'!G93)</f>
        <v>20462435.366615023</v>
      </c>
      <c r="H96" s="92">
        <f t="shared" si="7"/>
        <v>4.4490618143640089E-2</v>
      </c>
      <c r="J96" s="111">
        <f t="shared" si="6"/>
        <v>11.17524664351876</v>
      </c>
      <c r="L96" s="90"/>
      <c r="M96" s="90"/>
      <c r="N96" s="90"/>
      <c r="O96" s="112"/>
      <c r="P96" s="113"/>
      <c r="Q96" s="125"/>
      <c r="R96" s="58"/>
    </row>
    <row r="97" spans="1:18" s="25" customFormat="1" ht="15.5">
      <c r="A97" s="35"/>
      <c r="C97" s="17"/>
      <c r="D97" s="17"/>
      <c r="E97" s="17"/>
      <c r="F97" s="17"/>
      <c r="G97" s="17"/>
      <c r="H97" s="94"/>
      <c r="J97" s="123"/>
      <c r="L97" s="93"/>
      <c r="M97" s="93"/>
      <c r="N97" s="93"/>
      <c r="O97" s="93"/>
      <c r="P97" s="93"/>
      <c r="Q97" s="126"/>
    </row>
    <row r="98" spans="1:18" s="25" customFormat="1" ht="15.5">
      <c r="A98" s="32" t="s">
        <v>164</v>
      </c>
      <c r="B98" s="24" t="s">
        <v>51</v>
      </c>
      <c r="C98" s="64"/>
      <c r="D98" s="64"/>
      <c r="E98" s="64"/>
      <c r="F98" s="65"/>
      <c r="G98" s="65"/>
      <c r="H98" s="94"/>
      <c r="J98" s="123"/>
      <c r="L98" s="93"/>
      <c r="M98" s="93"/>
      <c r="N98" s="93"/>
      <c r="O98" s="93"/>
      <c r="P98" s="93"/>
      <c r="Q98" s="126"/>
    </row>
    <row r="99" spans="1:18" s="25" customFormat="1" ht="15.5">
      <c r="A99" s="32" t="s">
        <v>85</v>
      </c>
      <c r="B99" s="24" t="s">
        <v>44</v>
      </c>
      <c r="C99" s="14">
        <f>SUM('ALPINE VALLEY:WOODLAND'!C96)</f>
        <v>13896026.630000001</v>
      </c>
      <c r="D99" s="14">
        <f>SUM('ALPINE VALLEY:WOODLAND'!D96)</f>
        <v>239559.53999999998</v>
      </c>
      <c r="E99" s="14">
        <f>SUM('ALPINE VALLEY:WOODLAND'!E96)</f>
        <v>14135586.170000002</v>
      </c>
      <c r="F99" s="14">
        <f>SUM('ALPINE VALLEY:WOODLAND'!F96)</f>
        <v>890079</v>
      </c>
      <c r="G99" s="14">
        <f>SUM('ALPINE VALLEY:WOODLAND'!G96)</f>
        <v>15025665.170000002</v>
      </c>
      <c r="H99" s="92">
        <f t="shared" ref="H99:H105" si="8">IF($G$211=0,0,G99/$G$211)</f>
        <v>3.2669675894167485E-2</v>
      </c>
      <c r="J99" s="111">
        <f t="shared" ref="J99:J105" si="9">IF(G99=0,0,G99/$G$231)</f>
        <v>8.2060376122989549</v>
      </c>
      <c r="K99" s="25">
        <v>10822.02</v>
      </c>
      <c r="L99" s="118">
        <f>SUM('ALPINE VALLEY:WOODLAND'!J96)</f>
        <v>1124747.53</v>
      </c>
      <c r="M99" s="118">
        <f>SUM('ALPINE VALLEY:WOODLAND'!K96)</f>
        <v>1192514.3057142855</v>
      </c>
      <c r="N99" s="119"/>
      <c r="O99" s="120">
        <f>IF(L99=0,0,G99/M99)</f>
        <v>12.599987352772271</v>
      </c>
      <c r="P99" s="59"/>
      <c r="Q99" s="121">
        <f>M99/$G$231</f>
        <v>0.65127348008753749</v>
      </c>
      <c r="R99" s="58"/>
    </row>
    <row r="100" spans="1:18" s="25" customFormat="1" ht="15.5">
      <c r="A100" s="32" t="s">
        <v>86</v>
      </c>
      <c r="B100" s="24" t="s">
        <v>45</v>
      </c>
      <c r="C100" s="14">
        <f>SUM('ALPINE VALLEY:WOODLAND'!C97)</f>
        <v>1609135.5000000002</v>
      </c>
      <c r="D100" s="14">
        <f>SUM('ALPINE VALLEY:WOODLAND'!D97)</f>
        <v>925773.28421794658</v>
      </c>
      <c r="E100" s="14">
        <f>SUM('ALPINE VALLEY:WOODLAND'!E97)</f>
        <v>2534908.7842179467</v>
      </c>
      <c r="F100" s="14">
        <f>SUM('ALPINE VALLEY:WOODLAND'!F97)</f>
        <v>151139</v>
      </c>
      <c r="G100" s="14">
        <f>SUM('ALPINE VALLEY:WOODLAND'!G97)</f>
        <v>2686047.7842179467</v>
      </c>
      <c r="H100" s="92">
        <f t="shared" si="8"/>
        <v>5.840161454006833E-3</v>
      </c>
      <c r="J100" s="111">
        <f t="shared" si="9"/>
        <v>1.4669439852641635</v>
      </c>
      <c r="L100" s="90"/>
      <c r="M100" s="90"/>
      <c r="N100" s="90"/>
      <c r="O100" s="112"/>
      <c r="P100" s="113"/>
      <c r="Q100" s="125"/>
      <c r="R100" s="58"/>
    </row>
    <row r="101" spans="1:18" s="25" customFormat="1" ht="15.5">
      <c r="A101" s="32">
        <v>310</v>
      </c>
      <c r="B101" s="24" t="s">
        <v>54</v>
      </c>
      <c r="C101" s="14">
        <f>SUM('ALPINE VALLEY:WOODLAND'!C98)</f>
        <v>2790173.41</v>
      </c>
      <c r="D101" s="14">
        <f>SUM('ALPINE VALLEY:WOODLAND'!D98)</f>
        <v>-404679</v>
      </c>
      <c r="E101" s="14">
        <f>SUM('ALPINE VALLEY:WOODLAND'!E98)</f>
        <v>2385494.41</v>
      </c>
      <c r="F101" s="14">
        <f>SUM('ALPINE VALLEY:WOODLAND'!F98)</f>
        <v>-218390.71000000002</v>
      </c>
      <c r="G101" s="14">
        <f>SUM('ALPINE VALLEY:WOODLAND'!G98)</f>
        <v>2167103.7000000002</v>
      </c>
      <c r="H101" s="92">
        <f t="shared" si="8"/>
        <v>4.7118430170669887E-3</v>
      </c>
      <c r="J101" s="111">
        <f t="shared" si="9"/>
        <v>1.183530597198329</v>
      </c>
      <c r="L101" s="90"/>
      <c r="M101" s="90"/>
      <c r="N101" s="90"/>
      <c r="O101" s="112"/>
      <c r="P101" s="113"/>
      <c r="Q101" s="125"/>
      <c r="R101" s="58"/>
    </row>
    <row r="102" spans="1:18" s="25" customFormat="1" ht="15.5">
      <c r="A102" s="32">
        <v>380</v>
      </c>
      <c r="B102" s="24" t="s">
        <v>52</v>
      </c>
      <c r="C102" s="14">
        <f>SUM('ALPINE VALLEY:WOODLAND'!C99)</f>
        <v>12156858.82</v>
      </c>
      <c r="D102" s="14">
        <f>SUM('ALPINE VALLEY:WOODLAND'!D99)</f>
        <v>264857</v>
      </c>
      <c r="E102" s="14">
        <f>SUM('ALPINE VALLEY:WOODLAND'!E99)</f>
        <v>12421715.82</v>
      </c>
      <c r="F102" s="14">
        <f>SUM('ALPINE VALLEY:WOODLAND'!F99)</f>
        <v>545980.72</v>
      </c>
      <c r="G102" s="14">
        <f>SUM('ALPINE VALLEY:WOODLAND'!G99)</f>
        <v>12967696.539999999</v>
      </c>
      <c r="H102" s="92">
        <f t="shared" si="8"/>
        <v>2.8195120699319898E-2</v>
      </c>
      <c r="J102" s="111">
        <f t="shared" si="9"/>
        <v>7.0821094672455693</v>
      </c>
      <c r="L102" s="90"/>
      <c r="M102" s="90"/>
      <c r="N102" s="90"/>
      <c r="O102" s="112"/>
      <c r="P102" s="113"/>
      <c r="Q102" s="125"/>
      <c r="R102" s="58"/>
    </row>
    <row r="103" spans="1:18" s="25" customFormat="1" ht="15.5">
      <c r="A103" s="32">
        <v>390</v>
      </c>
      <c r="B103" s="24" t="s">
        <v>53</v>
      </c>
      <c r="C103" s="14">
        <f>SUM('ALPINE VALLEY:WOODLAND'!C100)</f>
        <v>1225356.7500000002</v>
      </c>
      <c r="D103" s="14">
        <f>SUM('ALPINE VALLEY:WOODLAND'!D100)</f>
        <v>-184</v>
      </c>
      <c r="E103" s="14">
        <f>SUM('ALPINE VALLEY:WOODLAND'!E100)</f>
        <v>1225172.7500000002</v>
      </c>
      <c r="F103" s="14">
        <f>SUM('ALPINE VALLEY:WOODLAND'!F100)</f>
        <v>21563.33</v>
      </c>
      <c r="G103" s="14">
        <f>SUM('ALPINE VALLEY:WOODLAND'!G100)</f>
        <v>1246736.0799999998</v>
      </c>
      <c r="H103" s="92">
        <f t="shared" si="8"/>
        <v>2.7107261607616975E-3</v>
      </c>
      <c r="J103" s="111">
        <f t="shared" si="9"/>
        <v>0.68088587422517122</v>
      </c>
      <c r="L103" s="90"/>
      <c r="M103" s="90"/>
      <c r="N103" s="90"/>
      <c r="O103" s="112"/>
      <c r="P103" s="113"/>
      <c r="Q103" s="125"/>
      <c r="R103" s="58"/>
    </row>
    <row r="104" spans="1:18" s="25" customFormat="1" ht="15.5">
      <c r="A104" s="32">
        <v>490</v>
      </c>
      <c r="B104" s="2" t="s">
        <v>266</v>
      </c>
      <c r="C104" s="14">
        <f>SUM('ALPINE VALLEY:WOODLAND'!C101)</f>
        <v>121086.47000000002</v>
      </c>
      <c r="D104" s="14">
        <f>SUM('ALPINE VALLEY:WOODLAND'!D101)</f>
        <v>-266</v>
      </c>
      <c r="E104" s="14">
        <f>SUM('ALPINE VALLEY:WOODLAND'!E101)</f>
        <v>120820.47000000002</v>
      </c>
      <c r="F104" s="14">
        <f>SUM('ALPINE VALLEY:WOODLAND'!F101)</f>
        <v>6982.75</v>
      </c>
      <c r="G104" s="14">
        <f>SUM('ALPINE VALLEY:WOODLAND'!G101)</f>
        <v>127803.22</v>
      </c>
      <c r="H104" s="92">
        <f t="shared" si="8"/>
        <v>2.7787720066911245E-4</v>
      </c>
      <c r="J104" s="111">
        <f t="shared" si="9"/>
        <v>6.9797777231643043E-2</v>
      </c>
      <c r="L104" s="90"/>
      <c r="M104" s="90"/>
      <c r="N104" s="90"/>
      <c r="O104" s="112"/>
      <c r="P104" s="113"/>
      <c r="Q104" s="125"/>
      <c r="R104" s="58"/>
    </row>
    <row r="105" spans="1:18" s="25" customFormat="1" ht="15.5">
      <c r="A105" s="32"/>
      <c r="B105" s="3" t="s">
        <v>55</v>
      </c>
      <c r="C105" s="14">
        <f>SUM('ALPINE VALLEY:WOODLAND'!C102)</f>
        <v>31798637.579999998</v>
      </c>
      <c r="D105" s="14">
        <f>SUM('ALPINE VALLEY:WOODLAND'!D102)</f>
        <v>1025060.8242179466</v>
      </c>
      <c r="E105" s="14">
        <f>SUM('ALPINE VALLEY:WOODLAND'!E102)</f>
        <v>32823698.404217947</v>
      </c>
      <c r="F105" s="14">
        <f>SUM('ALPINE VALLEY:WOODLAND'!F102)</f>
        <v>1397354.09</v>
      </c>
      <c r="G105" s="14">
        <f>SUM('ALPINE VALLEY:WOODLAND'!G102)</f>
        <v>34221052.494217947</v>
      </c>
      <c r="H105" s="92">
        <f t="shared" si="8"/>
        <v>7.4405404425992014E-2</v>
      </c>
      <c r="J105" s="111">
        <f t="shared" si="9"/>
        <v>18.68930531346383</v>
      </c>
      <c r="L105" s="90"/>
      <c r="M105" s="90"/>
      <c r="N105" s="90"/>
      <c r="O105" s="112"/>
      <c r="P105" s="113"/>
      <c r="Q105" s="125"/>
      <c r="R105" s="58"/>
    </row>
    <row r="106" spans="1:18" s="25" customFormat="1" ht="15.5">
      <c r="A106" s="35"/>
      <c r="C106" s="17"/>
      <c r="D106" s="17"/>
      <c r="E106" s="17"/>
      <c r="F106" s="17"/>
      <c r="G106" s="17"/>
      <c r="H106" s="94"/>
      <c r="J106" s="123"/>
      <c r="L106" s="93"/>
      <c r="M106" s="93"/>
      <c r="N106" s="93"/>
      <c r="O106" s="93"/>
      <c r="P106" s="93"/>
      <c r="Q106" s="126"/>
    </row>
    <row r="107" spans="1:18" s="25" customFormat="1" ht="15.5">
      <c r="A107" s="32" t="s">
        <v>165</v>
      </c>
      <c r="B107" s="24" t="s">
        <v>56</v>
      </c>
      <c r="C107" s="64"/>
      <c r="D107" s="64"/>
      <c r="E107" s="64"/>
      <c r="F107" s="65"/>
      <c r="G107" s="65"/>
      <c r="H107" s="94"/>
      <c r="J107" s="123"/>
      <c r="L107" s="93"/>
      <c r="M107" s="93"/>
      <c r="N107" s="93"/>
      <c r="O107" s="93"/>
      <c r="P107" s="93"/>
      <c r="Q107" s="126"/>
    </row>
    <row r="108" spans="1:18" s="25" customFormat="1" ht="15.5">
      <c r="A108" s="32" t="s">
        <v>85</v>
      </c>
      <c r="B108" s="24" t="s">
        <v>44</v>
      </c>
      <c r="C108" s="14">
        <f>SUM('ALPINE VALLEY:WOODLAND'!C105)</f>
        <v>1382801.78</v>
      </c>
      <c r="D108" s="14">
        <f>SUM('ALPINE VALLEY:WOODLAND'!D105)</f>
        <v>54683.35</v>
      </c>
      <c r="E108" s="14">
        <f>SUM('ALPINE VALLEY:WOODLAND'!E105)</f>
        <v>1437485.1300000001</v>
      </c>
      <c r="F108" s="14">
        <f>SUM('ALPINE VALLEY:WOODLAND'!F105)</f>
        <v>146488</v>
      </c>
      <c r="G108" s="14">
        <f>SUM('ALPINE VALLEY:WOODLAND'!G105)</f>
        <v>1583973.1300000001</v>
      </c>
      <c r="H108" s="92">
        <f t="shared" ref="H108:H114" si="10">IF($G$211=0,0,G108/$G$211)</f>
        <v>3.4439665862839148E-3</v>
      </c>
      <c r="J108" s="111">
        <f t="shared" ref="J108:J114" si="11">IF(G108=0,0,G108/$G$231)</f>
        <v>0.86506273995794769</v>
      </c>
      <c r="K108" s="25">
        <v>2573.69</v>
      </c>
      <c r="L108" s="118">
        <f>SUM('ALPINE VALLEY:WOODLAND'!J105 )</f>
        <v>133489.3107142857</v>
      </c>
      <c r="M108" s="118">
        <f>SUM('ALPINE VALLEY:WOODLAND'!K105 )</f>
        <v>142192.45500000002</v>
      </c>
      <c r="N108" s="119"/>
      <c r="O108" s="120">
        <f>IF(L108=0,0,G108/M108)</f>
        <v>11.139642606212826</v>
      </c>
      <c r="P108" s="59"/>
      <c r="Q108" s="121">
        <f>M108/$G$231</f>
        <v>7.7656238223969859E-2</v>
      </c>
      <c r="R108" s="58"/>
    </row>
    <row r="109" spans="1:18" s="25" customFormat="1" ht="15.5">
      <c r="A109" s="32" t="s">
        <v>86</v>
      </c>
      <c r="B109" s="24" t="s">
        <v>45</v>
      </c>
      <c r="C109" s="14">
        <f>SUM('ALPINE VALLEY:WOODLAND'!C106)</f>
        <v>177659.61</v>
      </c>
      <c r="D109" s="14">
        <f>SUM('ALPINE VALLEY:WOODLAND'!D106)</f>
        <v>101708.09671420597</v>
      </c>
      <c r="E109" s="14">
        <f>SUM('ALPINE VALLEY:WOODLAND'!E106)</f>
        <v>279367.70671420603</v>
      </c>
      <c r="F109" s="14">
        <f>SUM('ALPINE VALLEY:WOODLAND'!F106)</f>
        <v>22683</v>
      </c>
      <c r="G109" s="14">
        <f>SUM('ALPINE VALLEY:WOODLAND'!G106)</f>
        <v>302050.70671420603</v>
      </c>
      <c r="H109" s="92">
        <f t="shared" si="10"/>
        <v>6.5673622966518888E-4</v>
      </c>
      <c r="J109" s="111">
        <f t="shared" si="11"/>
        <v>0.16496038159209525</v>
      </c>
      <c r="L109" s="90"/>
      <c r="M109" s="90"/>
      <c r="N109" s="90"/>
      <c r="O109" s="112"/>
      <c r="P109" s="113"/>
      <c r="Q109" s="125"/>
      <c r="R109" s="58"/>
    </row>
    <row r="110" spans="1:18" s="25" customFormat="1" ht="15.5">
      <c r="A110" s="32">
        <v>110</v>
      </c>
      <c r="B110" s="24" t="s">
        <v>47</v>
      </c>
      <c r="C110" s="14">
        <f>SUM('ALPINE VALLEY:WOODLAND'!C107)</f>
        <v>285567.92</v>
      </c>
      <c r="D110" s="14">
        <f>SUM('ALPINE VALLEY:WOODLAND'!D107)</f>
        <v>-42</v>
      </c>
      <c r="E110" s="14">
        <f>SUM('ALPINE VALLEY:WOODLAND'!E107)</f>
        <v>285525.92</v>
      </c>
      <c r="F110" s="14">
        <f>SUM('ALPINE VALLEY:WOODLAND'!F107)</f>
        <v>17614.47</v>
      </c>
      <c r="G110" s="14">
        <f>SUM('ALPINE VALLEY:WOODLAND'!G107)</f>
        <v>303140.39</v>
      </c>
      <c r="H110" s="92">
        <f t="shared" si="10"/>
        <v>6.5910548249835182E-4</v>
      </c>
      <c r="J110" s="111">
        <f t="shared" si="11"/>
        <v>0.16555549548073512</v>
      </c>
      <c r="L110" s="90"/>
      <c r="M110" s="90"/>
      <c r="N110" s="90"/>
      <c r="O110" s="112"/>
      <c r="P110" s="113"/>
      <c r="Q110" s="125"/>
      <c r="R110" s="58"/>
    </row>
    <row r="111" spans="1:18" s="25" customFormat="1" ht="15.5">
      <c r="A111" s="32">
        <v>310</v>
      </c>
      <c r="B111" s="24" t="s">
        <v>54</v>
      </c>
      <c r="C111" s="14">
        <f>SUM('ALPINE VALLEY:WOODLAND'!C108)</f>
        <v>1573021.29</v>
      </c>
      <c r="D111" s="14">
        <f>SUM('ALPINE VALLEY:WOODLAND'!D108)</f>
        <v>-2222</v>
      </c>
      <c r="E111" s="14">
        <f>SUM('ALPINE VALLEY:WOODLAND'!E108)</f>
        <v>1570799.29</v>
      </c>
      <c r="F111" s="14">
        <f>SUM('ALPINE VALLEY:WOODLAND'!F108)</f>
        <v>-55726.96</v>
      </c>
      <c r="G111" s="14">
        <f>SUM('ALPINE VALLEY:WOODLAND'!G108)</f>
        <v>1515072.33</v>
      </c>
      <c r="H111" s="92">
        <f t="shared" si="10"/>
        <v>3.2941584560360043E-3</v>
      </c>
      <c r="J111" s="111">
        <f t="shared" si="11"/>
        <v>0.8274336200540674</v>
      </c>
      <c r="L111" s="90"/>
      <c r="M111" s="90"/>
      <c r="N111" s="90"/>
      <c r="O111" s="112"/>
      <c r="P111" s="113"/>
      <c r="Q111" s="125"/>
      <c r="R111" s="58"/>
    </row>
    <row r="112" spans="1:18" s="25" customFormat="1" ht="15.5">
      <c r="A112" s="32">
        <v>410</v>
      </c>
      <c r="B112" s="24" t="s">
        <v>57</v>
      </c>
      <c r="C112" s="14">
        <f>SUM('ALPINE VALLEY:WOODLAND'!C109)</f>
        <v>399447.48000000004</v>
      </c>
      <c r="D112" s="14">
        <f>SUM('ALPINE VALLEY:WOODLAND'!D109)</f>
        <v>11365.34</v>
      </c>
      <c r="E112" s="14">
        <f>SUM('ALPINE VALLEY:WOODLAND'!E109)</f>
        <v>410812.82000000007</v>
      </c>
      <c r="F112" s="14">
        <f>SUM('ALPINE VALLEY:WOODLAND'!F109)</f>
        <v>27819.5</v>
      </c>
      <c r="G112" s="14">
        <f>SUM('ALPINE VALLEY:WOODLAND'!G109)</f>
        <v>438632.32</v>
      </c>
      <c r="H112" s="92">
        <f t="shared" si="10"/>
        <v>9.5369992402850521E-4</v>
      </c>
      <c r="J112" s="111">
        <f t="shared" si="11"/>
        <v>0.23955234428333469</v>
      </c>
      <c r="L112" s="90"/>
      <c r="M112" s="90"/>
      <c r="N112" s="90"/>
      <c r="O112" s="112"/>
      <c r="P112" s="113"/>
      <c r="Q112" s="125"/>
      <c r="R112" s="58"/>
    </row>
    <row r="113" spans="1:18" s="25" customFormat="1" ht="15.5">
      <c r="A113" s="32">
        <v>490</v>
      </c>
      <c r="B113" s="2" t="s">
        <v>266</v>
      </c>
      <c r="C113" s="14">
        <f>SUM('ALPINE VALLEY:WOODLAND'!C110)</f>
        <v>19482.77</v>
      </c>
      <c r="D113" s="14">
        <f>SUM('ALPINE VALLEY:WOODLAND'!D110)</f>
        <v>0</v>
      </c>
      <c r="E113" s="14">
        <f>SUM('ALPINE VALLEY:WOODLAND'!E110)</f>
        <v>19482.77</v>
      </c>
      <c r="F113" s="14">
        <f>SUM('ALPINE VALLEY:WOODLAND'!F110)</f>
        <v>-6469.91</v>
      </c>
      <c r="G113" s="14">
        <f>SUM('ALPINE VALLEY:WOODLAND'!G110)</f>
        <v>13012.86</v>
      </c>
      <c r="H113" s="92">
        <f t="shared" si="10"/>
        <v>2.8293317723129875E-5</v>
      </c>
      <c r="J113" s="111">
        <f t="shared" si="11"/>
        <v>7.1067748013434922E-3</v>
      </c>
      <c r="L113" s="90"/>
      <c r="M113" s="90"/>
      <c r="N113" s="90"/>
      <c r="O113" s="112"/>
      <c r="P113" s="113"/>
      <c r="Q113" s="125"/>
      <c r="R113" s="58"/>
    </row>
    <row r="114" spans="1:18" s="25" customFormat="1" ht="15.5">
      <c r="A114" s="35"/>
      <c r="B114" s="3" t="s">
        <v>58</v>
      </c>
      <c r="C114" s="14">
        <f>SUM('ALPINE VALLEY:WOODLAND'!C111)</f>
        <v>3837980.85</v>
      </c>
      <c r="D114" s="14">
        <f>SUM('ALPINE VALLEY:WOODLAND'!D111)</f>
        <v>165492.78671420595</v>
      </c>
      <c r="E114" s="14">
        <f>SUM('ALPINE VALLEY:WOODLAND'!E111)</f>
        <v>4003473.6367142056</v>
      </c>
      <c r="F114" s="14">
        <f>SUM('ALPINE VALLEY:WOODLAND'!F111)</f>
        <v>152408.1</v>
      </c>
      <c r="G114" s="14">
        <f>SUM('ALPINE VALLEY:WOODLAND'!G111)</f>
        <v>4155881.7367142052</v>
      </c>
      <c r="H114" s="92">
        <f t="shared" si="10"/>
        <v>9.0359599962350923E-3</v>
      </c>
      <c r="J114" s="111">
        <f t="shared" si="11"/>
        <v>2.269671356169523</v>
      </c>
      <c r="L114" s="90"/>
      <c r="M114" s="90"/>
      <c r="N114" s="90"/>
      <c r="O114" s="112"/>
      <c r="P114" s="113"/>
      <c r="Q114" s="125"/>
      <c r="R114" s="58"/>
    </row>
    <row r="115" spans="1:18" s="25" customFormat="1" ht="15.5">
      <c r="A115" s="35"/>
      <c r="C115" s="17"/>
      <c r="D115" s="17"/>
      <c r="E115" s="17"/>
      <c r="F115" s="17"/>
      <c r="G115" s="17"/>
      <c r="H115" s="94"/>
      <c r="J115" s="123"/>
      <c r="L115" s="93"/>
      <c r="M115" s="93"/>
      <c r="N115" s="93"/>
      <c r="O115" s="93"/>
      <c r="P115" s="93"/>
      <c r="Q115" s="126"/>
    </row>
    <row r="116" spans="1:18" s="25" customFormat="1" ht="15.5">
      <c r="A116" s="32" t="s">
        <v>166</v>
      </c>
      <c r="B116" s="24" t="s">
        <v>59</v>
      </c>
      <c r="C116" s="64"/>
      <c r="D116" s="64"/>
      <c r="E116" s="64"/>
      <c r="F116" s="65"/>
      <c r="G116" s="65"/>
      <c r="H116" s="94"/>
      <c r="J116" s="123"/>
      <c r="L116" s="93"/>
      <c r="M116" s="93"/>
      <c r="N116" s="93"/>
      <c r="O116" s="93"/>
      <c r="P116" s="93"/>
      <c r="Q116" s="126"/>
    </row>
    <row r="117" spans="1:18" s="25" customFormat="1" ht="15.5">
      <c r="A117" s="32" t="s">
        <v>85</v>
      </c>
      <c r="B117" s="24" t="s">
        <v>44</v>
      </c>
      <c r="C117" s="14">
        <f>SUM('ALPINE VALLEY:WOODLAND'!C114)</f>
        <v>4909081.6900000004</v>
      </c>
      <c r="D117" s="14">
        <f>SUM('ALPINE VALLEY:WOODLAND'!D114)</f>
        <v>120303.84</v>
      </c>
      <c r="E117" s="14">
        <f>SUM('ALPINE VALLEY:WOODLAND'!E114)</f>
        <v>5029385.53</v>
      </c>
      <c r="F117" s="14">
        <f>SUM('ALPINE VALLEY:WOODLAND'!F114)</f>
        <v>333577</v>
      </c>
      <c r="G117" s="14">
        <f>SUM('ALPINE VALLEY:WOODLAND'!G114)</f>
        <v>5362962.53</v>
      </c>
      <c r="H117" s="92">
        <f t="shared" ref="H117:H122" si="12">IF($G$211=0,0,G117/$G$211)</f>
        <v>1.1660465324189335E-2</v>
      </c>
      <c r="J117" s="111">
        <f t="shared" ref="J117:J122" si="13">IF(G117=0,0,G117/$G$231)</f>
        <v>2.9289001010349254</v>
      </c>
      <c r="K117" s="25">
        <v>5281.71</v>
      </c>
      <c r="L117" s="118">
        <f>SUM('ALPINE VALLEY:WOODLAND'!J114)</f>
        <v>477048.98428571428</v>
      </c>
      <c r="M117" s="118">
        <f>SUM('ALPINE VALLEY:WOODLAND'!K114)</f>
        <v>503740.71571428567</v>
      </c>
      <c r="N117" s="119"/>
      <c r="O117" s="120">
        <f>IF(L117=0,0,G117/M117)</f>
        <v>10.646275678541327</v>
      </c>
      <c r="P117" s="59"/>
      <c r="Q117" s="121">
        <f>M117/$G$231</f>
        <v>0.27511030049113117</v>
      </c>
      <c r="R117" s="58"/>
    </row>
    <row r="118" spans="1:18" s="25" customFormat="1" ht="15.5">
      <c r="A118" s="32" t="s">
        <v>86</v>
      </c>
      <c r="B118" s="24" t="s">
        <v>151</v>
      </c>
      <c r="C118" s="14">
        <f>SUM('ALPINE VALLEY:WOODLAND'!C115)</f>
        <v>614020.69999999995</v>
      </c>
      <c r="D118" s="14">
        <f>SUM('ALPINE VALLEY:WOODLAND'!D115)</f>
        <v>385180.42096740968</v>
      </c>
      <c r="E118" s="14">
        <f>SUM('ALPINE VALLEY:WOODLAND'!E115)</f>
        <v>999201.12096740957</v>
      </c>
      <c r="F118" s="14">
        <f>SUM('ALPINE VALLEY:WOODLAND'!F115)</f>
        <v>68657</v>
      </c>
      <c r="G118" s="14">
        <f>SUM('ALPINE VALLEY:WOODLAND'!G115)</f>
        <v>1067858.1209674096</v>
      </c>
      <c r="H118" s="92">
        <f t="shared" si="12"/>
        <v>2.321799289299614E-3</v>
      </c>
      <c r="J118" s="111">
        <f t="shared" si="13"/>
        <v>0.58319440810868606</v>
      </c>
      <c r="L118" s="90"/>
      <c r="M118" s="90"/>
      <c r="N118" s="90"/>
      <c r="O118" s="112"/>
      <c r="P118" s="113"/>
      <c r="Q118" s="112"/>
      <c r="R118" s="58"/>
    </row>
    <row r="119" spans="1:18" s="25" customFormat="1" ht="15.5">
      <c r="A119" s="32" t="s">
        <v>93</v>
      </c>
      <c r="B119" s="24" t="s">
        <v>47</v>
      </c>
      <c r="C119" s="14">
        <f>SUM('ALPINE VALLEY:WOODLAND'!C116)</f>
        <v>1458959.29</v>
      </c>
      <c r="D119" s="14">
        <f>SUM('ALPINE VALLEY:WOODLAND'!D116)</f>
        <v>-11</v>
      </c>
      <c r="E119" s="14">
        <f>SUM('ALPINE VALLEY:WOODLAND'!E116)</f>
        <v>1458948.29</v>
      </c>
      <c r="F119" s="14">
        <f>SUM('ALPINE VALLEY:WOODLAND'!F116)</f>
        <v>58218.240000000005</v>
      </c>
      <c r="G119" s="14">
        <f>SUM('ALPINE VALLEY:WOODLAND'!G116)</f>
        <v>1517166.5299999998</v>
      </c>
      <c r="H119" s="92">
        <f t="shared" si="12"/>
        <v>3.2987117875846236E-3</v>
      </c>
      <c r="J119" s="111">
        <f t="shared" si="13"/>
        <v>0.8285773354086452</v>
      </c>
      <c r="L119" s="90"/>
      <c r="M119" s="90"/>
      <c r="N119" s="90"/>
      <c r="O119" s="112"/>
      <c r="P119" s="113"/>
      <c r="Q119" s="112"/>
      <c r="R119" s="58"/>
    </row>
    <row r="120" spans="1:18" s="25" customFormat="1" ht="15.5">
      <c r="A120" s="32">
        <v>310</v>
      </c>
      <c r="B120" s="24" t="s">
        <v>60</v>
      </c>
      <c r="C120" s="14">
        <f>SUM('ALPINE VALLEY:WOODLAND'!C117)</f>
        <v>2589729.5300000003</v>
      </c>
      <c r="D120" s="14">
        <f>SUM('ALPINE VALLEY:WOODLAND'!D117)</f>
        <v>0</v>
      </c>
      <c r="E120" s="14">
        <f>SUM('ALPINE VALLEY:WOODLAND'!E117)</f>
        <v>2589729.5300000003</v>
      </c>
      <c r="F120" s="14">
        <f>SUM('ALPINE VALLEY:WOODLAND'!F117)</f>
        <v>-36847.78</v>
      </c>
      <c r="G120" s="14">
        <f>SUM('ALPINE VALLEY:WOODLAND'!G117)</f>
        <v>2552881.75</v>
      </c>
      <c r="H120" s="92">
        <f t="shared" si="12"/>
        <v>5.5506241104822315E-3</v>
      </c>
      <c r="J120" s="111">
        <f t="shared" si="13"/>
        <v>1.394217388929849</v>
      </c>
      <c r="L120" s="90"/>
      <c r="M120" s="90"/>
      <c r="N120" s="90"/>
      <c r="O120" s="112"/>
      <c r="P120" s="113"/>
      <c r="Q120" s="112"/>
      <c r="R120" s="58"/>
    </row>
    <row r="121" spans="1:18" s="25" customFormat="1" ht="15.5">
      <c r="A121" s="32">
        <v>490</v>
      </c>
      <c r="B121" s="2" t="s">
        <v>266</v>
      </c>
      <c r="C121" s="14">
        <f>SUM('ALPINE VALLEY:WOODLAND'!C118)</f>
        <v>26653.71</v>
      </c>
      <c r="D121" s="14">
        <f>SUM('ALPINE VALLEY:WOODLAND'!D118)</f>
        <v>59</v>
      </c>
      <c r="E121" s="14">
        <f>SUM('ALPINE VALLEY:WOODLAND'!E118)</f>
        <v>26712.71</v>
      </c>
      <c r="F121" s="14">
        <f>SUM('ALPINE VALLEY:WOODLAND'!F118)</f>
        <v>846.25</v>
      </c>
      <c r="G121" s="14">
        <f>SUM('ALPINE VALLEY:WOODLAND'!G118)</f>
        <v>27558.959999999999</v>
      </c>
      <c r="H121" s="92">
        <f t="shared" si="12"/>
        <v>5.9920295107995267E-5</v>
      </c>
      <c r="J121" s="111">
        <f t="shared" si="13"/>
        <v>1.5050905218317359E-2</v>
      </c>
      <c r="L121" s="90"/>
      <c r="M121" s="90"/>
      <c r="N121" s="90"/>
      <c r="O121" s="112"/>
      <c r="P121" s="113"/>
      <c r="Q121" s="112"/>
      <c r="R121" s="58"/>
    </row>
    <row r="122" spans="1:18" s="25" customFormat="1" ht="15.5">
      <c r="A122" s="35"/>
      <c r="B122" s="3" t="s">
        <v>61</v>
      </c>
      <c r="C122" s="14">
        <f>SUM('ALPINE VALLEY:WOODLAND'!C119)</f>
        <v>9598444.9200000018</v>
      </c>
      <c r="D122" s="14">
        <f>SUM('ALPINE VALLEY:WOODLAND'!D119)</f>
        <v>505532.26096740965</v>
      </c>
      <c r="E122" s="14">
        <f>SUM('ALPINE VALLEY:WOODLAND'!E119)</f>
        <v>10103977.180967407</v>
      </c>
      <c r="F122" s="14">
        <f>SUM('ALPINE VALLEY:WOODLAND'!F119)</f>
        <v>424450.70999999996</v>
      </c>
      <c r="G122" s="14">
        <f>SUM('ALPINE VALLEY:WOODLAND'!G119)</f>
        <v>10528427.890967406</v>
      </c>
      <c r="H122" s="92">
        <f t="shared" si="12"/>
        <v>2.2891520806663793E-2</v>
      </c>
      <c r="J122" s="111">
        <f t="shared" si="13"/>
        <v>5.7499401387004214</v>
      </c>
      <c r="L122" s="90"/>
      <c r="M122" s="90"/>
      <c r="N122" s="90"/>
      <c r="O122" s="112"/>
      <c r="P122" s="113"/>
      <c r="Q122" s="112"/>
      <c r="R122" s="58"/>
    </row>
    <row r="123" spans="1:18" s="25" customFormat="1" ht="16.25" customHeight="1">
      <c r="A123" s="35"/>
      <c r="B123" s="24"/>
      <c r="C123" s="17"/>
      <c r="D123" s="17"/>
      <c r="E123" s="17"/>
      <c r="F123" s="17"/>
      <c r="G123" s="17"/>
      <c r="H123" s="72"/>
      <c r="J123" s="123"/>
      <c r="L123" s="95"/>
      <c r="M123" s="95"/>
      <c r="N123" s="95"/>
      <c r="O123" s="95"/>
      <c r="P123" s="95"/>
      <c r="Q123" s="95"/>
      <c r="R123" s="68"/>
    </row>
    <row r="124" spans="1:18" s="25" customFormat="1" ht="16.25" customHeight="1">
      <c r="A124" s="32" t="s">
        <v>167</v>
      </c>
      <c r="B124" s="24" t="s">
        <v>62</v>
      </c>
      <c r="C124" s="64"/>
      <c r="D124" s="64"/>
      <c r="E124" s="64"/>
      <c r="F124" s="65"/>
      <c r="G124" s="65"/>
      <c r="H124" s="94"/>
      <c r="J124" s="123"/>
      <c r="L124" s="95"/>
      <c r="M124" s="95"/>
      <c r="N124" s="95"/>
      <c r="O124" s="95"/>
      <c r="P124" s="95"/>
      <c r="Q124" s="95"/>
      <c r="R124" s="68"/>
    </row>
    <row r="125" spans="1:18" s="25" customFormat="1" ht="15.5">
      <c r="A125" s="32" t="s">
        <v>85</v>
      </c>
      <c r="B125" s="24" t="s">
        <v>63</v>
      </c>
      <c r="C125" s="9"/>
      <c r="D125" s="9"/>
      <c r="E125" s="9"/>
      <c r="F125" s="9"/>
      <c r="G125" s="9"/>
      <c r="H125" s="72"/>
      <c r="I125" s="68"/>
      <c r="J125" s="127"/>
      <c r="L125" s="96"/>
      <c r="M125" s="96"/>
      <c r="N125" s="96"/>
      <c r="O125" s="96"/>
      <c r="P125" s="113"/>
      <c r="Q125" s="128"/>
      <c r="R125" s="70"/>
    </row>
    <row r="126" spans="1:18" s="25" customFormat="1" ht="15.5">
      <c r="A126" s="32"/>
      <c r="B126" s="35" t="s">
        <v>232</v>
      </c>
      <c r="C126" s="14">
        <f>SUM('ALPINE VALLEY:WOODLAND'!C123)</f>
        <v>1089369.3800000001</v>
      </c>
      <c r="D126" s="14">
        <f>SUM('ALPINE VALLEY:WOODLAND'!D123)</f>
        <v>59597</v>
      </c>
      <c r="E126" s="14">
        <f>SUM('ALPINE VALLEY:WOODLAND'!E123)</f>
        <v>1148966.3800000001</v>
      </c>
      <c r="F126" s="14">
        <f>SUM('ALPINE VALLEY:WOODLAND'!F123)</f>
        <v>260989</v>
      </c>
      <c r="G126" s="14">
        <f>SUM('ALPINE VALLEY:WOODLAND'!G123)</f>
        <v>1409955.3800000001</v>
      </c>
      <c r="H126" s="92">
        <f>IF($G$211=0,0,G126/$G$211)</f>
        <v>3.0656070642254138E-3</v>
      </c>
      <c r="J126" s="111">
        <f>IF(G126=0,0,G126/$G$231)</f>
        <v>0.77002560279620991</v>
      </c>
      <c r="K126" s="25">
        <v>0</v>
      </c>
      <c r="L126" s="118">
        <f>SUM('ALPINE VALLEY:WOODLAND'!J123)</f>
        <v>17512.989999999998</v>
      </c>
      <c r="M126" s="118">
        <f>SUM('ALPINE VALLEY:WOODLAND'!K123)</f>
        <v>18293.32</v>
      </c>
      <c r="N126" s="119"/>
      <c r="O126" s="120">
        <f>IF(L126=0,0,G126/M126)</f>
        <v>77.074876512300676</v>
      </c>
      <c r="P126" s="59"/>
      <c r="Q126" s="121">
        <f>M126/$G$231</f>
        <v>9.9906174053138903E-3</v>
      </c>
      <c r="R126" s="70"/>
    </row>
    <row r="127" spans="1:18" s="25" customFormat="1" ht="15.5">
      <c r="A127" s="32"/>
      <c r="B127" s="35" t="s">
        <v>194</v>
      </c>
      <c r="C127" s="14">
        <f>SUM('ALPINE VALLEY:WOODLAND'!C124)</f>
        <v>13224478.530000001</v>
      </c>
      <c r="D127" s="14">
        <f>SUM('ALPINE VALLEY:WOODLAND'!D124)</f>
        <v>996863.37</v>
      </c>
      <c r="E127" s="14">
        <f>SUM('ALPINE VALLEY:WOODLAND'!E124)</f>
        <v>14221341.9</v>
      </c>
      <c r="F127" s="14">
        <f>SUM('ALPINE VALLEY:WOODLAND'!F124)</f>
        <v>135984</v>
      </c>
      <c r="G127" s="14">
        <f>SUM('ALPINE VALLEY:WOODLAND'!G124)</f>
        <v>14357325.9</v>
      </c>
      <c r="H127" s="92">
        <f>IF($G$211=0,0,G127/$G$211)</f>
        <v>3.1216533747632849E-2</v>
      </c>
      <c r="J127" s="111">
        <f>IF(G127=0,0,G127/$G$231)</f>
        <v>7.8410343245678709</v>
      </c>
      <c r="K127" s="25">
        <v>2044.34</v>
      </c>
      <c r="L127" s="118">
        <f>SUM('ALPINE VALLEY:WOODLAND'!J124)</f>
        <v>372073.92285714287</v>
      </c>
      <c r="M127" s="118">
        <f>SUM('ALPINE VALLEY:WOODLAND'!K124)</f>
        <v>399861.11142857146</v>
      </c>
      <c r="N127" s="119"/>
      <c r="O127" s="120">
        <f>IF(L127=0,0,G127/M127)</f>
        <v>35.905782006922415</v>
      </c>
      <c r="P127" s="59"/>
      <c r="Q127" s="121">
        <f>M127/$G$231</f>
        <v>0.21837804070264136</v>
      </c>
      <c r="R127" s="70"/>
    </row>
    <row r="128" spans="1:18" s="25" customFormat="1" ht="15.5">
      <c r="A128" s="32"/>
      <c r="B128" s="35" t="s">
        <v>195</v>
      </c>
      <c r="C128" s="14">
        <f>SUM('ALPINE VALLEY:WOODLAND'!C125)</f>
        <v>967222.9</v>
      </c>
      <c r="D128" s="14">
        <f>SUM('ALPINE VALLEY:WOODLAND'!D125)</f>
        <v>144808</v>
      </c>
      <c r="E128" s="14">
        <f>SUM('ALPINE VALLEY:WOODLAND'!E125)</f>
        <v>1112030.8999999999</v>
      </c>
      <c r="F128" s="14">
        <f>SUM('ALPINE VALLEY:WOODLAND'!F125)</f>
        <v>-39190.899999999994</v>
      </c>
      <c r="G128" s="14">
        <f>SUM('ALPINE VALLEY:WOODLAND'!G125)</f>
        <v>1072840</v>
      </c>
      <c r="H128" s="92">
        <f>IF($G$211=0,0,G128/$G$211)</f>
        <v>2.332631180699912E-3</v>
      </c>
      <c r="J128" s="111">
        <f>IF(G128=0,0,G128/$G$231)</f>
        <v>0.58591518527620767</v>
      </c>
      <c r="K128" s="25">
        <v>0</v>
      </c>
      <c r="L128" s="118">
        <f>SUM('ALPINE VALLEY:WOODLAND'!J125)</f>
        <v>33476.949999999997</v>
      </c>
      <c r="M128" s="118">
        <f>SUM('ALPINE VALLEY:WOODLAND'!K125)</f>
        <v>35644.32</v>
      </c>
      <c r="N128" s="119"/>
      <c r="O128" s="120">
        <f>IF(L128=0,0,G128/M128)</f>
        <v>30.098484134358575</v>
      </c>
      <c r="P128" s="59"/>
      <c r="Q128" s="121">
        <f>M128/$G$231</f>
        <v>1.9466601130498893E-2</v>
      </c>
      <c r="R128" s="70"/>
    </row>
    <row r="129" spans="1:18" s="25" customFormat="1" ht="15.5">
      <c r="A129" s="32"/>
      <c r="B129" s="35" t="s">
        <v>196</v>
      </c>
      <c r="C129" s="14">
        <f>SUM('ALPINE VALLEY:WOODLAND'!C126)</f>
        <v>144099.34</v>
      </c>
      <c r="D129" s="14">
        <f>SUM('ALPINE VALLEY:WOODLAND'!D126)</f>
        <v>43054</v>
      </c>
      <c r="E129" s="14">
        <f>SUM('ALPINE VALLEY:WOODLAND'!E126)</f>
        <v>187153.33999999997</v>
      </c>
      <c r="F129" s="14">
        <f>SUM('ALPINE VALLEY:WOODLAND'!F126)</f>
        <v>7527</v>
      </c>
      <c r="G129" s="14">
        <f>SUM('ALPINE VALLEY:WOODLAND'!G126)</f>
        <v>194680.33999999997</v>
      </c>
      <c r="H129" s="92">
        <f>IF($G$211=0,0,G129/$G$211)</f>
        <v>4.2328532805754838E-4</v>
      </c>
      <c r="J129" s="111">
        <f>IF(G129=0,0,G129/$G$231)</f>
        <v>0.10632169520220637</v>
      </c>
      <c r="K129" s="25">
        <v>0</v>
      </c>
      <c r="L129" s="118">
        <f>SUM('ALPINE VALLEY:WOODLAND'!J126)</f>
        <v>11190.98</v>
      </c>
      <c r="M129" s="118">
        <f>SUM('ALPINE VALLEY:WOODLAND'!K126)</f>
        <v>12281.8</v>
      </c>
      <c r="N129" s="119"/>
      <c r="O129" s="120">
        <f>IF(L129=0,0,G129/M129)</f>
        <v>15.851124428015435</v>
      </c>
      <c r="P129" s="59"/>
      <c r="Q129" s="121">
        <f>M129/$G$231</f>
        <v>6.7075175445782467E-3</v>
      </c>
      <c r="R129" s="70"/>
    </row>
    <row r="130" spans="1:18" s="25" customFormat="1" ht="15.5">
      <c r="A130" s="32"/>
      <c r="B130" s="35" t="s">
        <v>197</v>
      </c>
      <c r="C130" s="14">
        <f>SUM('ALPINE VALLEY:WOODLAND'!C127)</f>
        <v>4585728.82</v>
      </c>
      <c r="D130" s="14">
        <f>SUM('ALPINE VALLEY:WOODLAND'!D127)</f>
        <v>-593457.18999999994</v>
      </c>
      <c r="E130" s="14">
        <f>SUM('ALPINE VALLEY:WOODLAND'!E127)</f>
        <v>3992271.6299999994</v>
      </c>
      <c r="F130" s="14">
        <f>SUM('ALPINE VALLEY:WOODLAND'!F127)</f>
        <v>611134</v>
      </c>
      <c r="G130" s="14">
        <f>SUM('ALPINE VALLEY:WOODLAND'!G127)</f>
        <v>4603405.63</v>
      </c>
      <c r="H130" s="92">
        <f>IF($G$211=0,0,G130/$G$211)</f>
        <v>1.0008992496502294E-2</v>
      </c>
      <c r="J130" s="111">
        <f>IF(G130=0,0,G130/$G$231)</f>
        <v>2.5140796974413586</v>
      </c>
      <c r="K130" s="25">
        <v>1679.72</v>
      </c>
      <c r="L130" s="118">
        <f>SUM('ALPINE VALLEY:WOODLAND'!J127)</f>
        <v>240511.34214285715</v>
      </c>
      <c r="M130" s="118">
        <f>SUM('ALPINE VALLEY:WOODLAND'!K127)</f>
        <v>258378.48071428569</v>
      </c>
      <c r="N130" s="119"/>
      <c r="O130" s="120">
        <f>IF(L130=0,0,G130/M130)</f>
        <v>17.816521009311277</v>
      </c>
      <c r="P130" s="59"/>
      <c r="Q130" s="121">
        <f>M130/$G$231</f>
        <v>0.14110946217431838</v>
      </c>
      <c r="R130" s="70"/>
    </row>
    <row r="131" spans="1:18" s="25" customFormat="1" ht="15.5">
      <c r="A131" s="32" t="s">
        <v>95</v>
      </c>
      <c r="B131" s="24" t="s">
        <v>152</v>
      </c>
      <c r="C131" s="9"/>
      <c r="D131" s="9"/>
      <c r="E131" s="9"/>
      <c r="F131" s="9"/>
      <c r="G131" s="9"/>
      <c r="H131" s="72"/>
      <c r="I131" s="68"/>
      <c r="J131" s="127"/>
      <c r="L131" s="90"/>
      <c r="M131" s="90"/>
      <c r="N131" s="90"/>
      <c r="O131" s="112"/>
      <c r="P131" s="113"/>
      <c r="Q131" s="125"/>
      <c r="R131" s="70"/>
    </row>
    <row r="132" spans="1:18" s="25" customFormat="1" ht="15.5">
      <c r="A132" s="32"/>
      <c r="B132" s="35" t="s">
        <v>232</v>
      </c>
      <c r="C132" s="14">
        <f>SUM('ALPINE VALLEY:WOODLAND'!C129)</f>
        <v>180398.78100000002</v>
      </c>
      <c r="D132" s="14">
        <f>SUM('ALPINE VALLEY:WOODLAND'!D129)</f>
        <v>16389</v>
      </c>
      <c r="E132" s="14">
        <f>SUM('ALPINE VALLEY:WOODLAND'!E129)</f>
        <v>196787.78100000002</v>
      </c>
      <c r="F132" s="14">
        <f>SUM('ALPINE VALLEY:WOODLAND'!F129)</f>
        <v>63684</v>
      </c>
      <c r="G132" s="14">
        <f>SUM('ALPINE VALLEY:WOODLAND'!G129)</f>
        <v>260471.78100000002</v>
      </c>
      <c r="H132" s="92">
        <f>IF($G$211=0,0,G132/$G$211)</f>
        <v>5.6633290896409422E-4</v>
      </c>
      <c r="J132" s="111">
        <f>IF(G132=0,0,G132/$G$231)</f>
        <v>0.14225268616367659</v>
      </c>
      <c r="L132" s="90"/>
      <c r="M132" s="90"/>
      <c r="N132" s="90"/>
      <c r="O132" s="112"/>
      <c r="P132" s="113"/>
      <c r="Q132" s="125"/>
      <c r="R132" s="70"/>
    </row>
    <row r="133" spans="1:18" s="25" customFormat="1" ht="15.5">
      <c r="A133" s="32"/>
      <c r="B133" s="35" t="s">
        <v>194</v>
      </c>
      <c r="C133" s="14">
        <f>SUM('ALPINE VALLEY:WOODLAND'!C130)</f>
        <v>1178598.8900000001</v>
      </c>
      <c r="D133" s="14">
        <f>SUM('ALPINE VALLEY:WOODLAND'!D130)</f>
        <v>740743.08355128474</v>
      </c>
      <c r="E133" s="14">
        <f>SUM('ALPINE VALLEY:WOODLAND'!E130)</f>
        <v>1919341.9735512848</v>
      </c>
      <c r="F133" s="14">
        <f>SUM('ALPINE VALLEY:WOODLAND'!F130)</f>
        <v>56791</v>
      </c>
      <c r="G133" s="14">
        <f>SUM('ALPINE VALLEY:WOODLAND'!G130)</f>
        <v>1976132.9735512848</v>
      </c>
      <c r="H133" s="92">
        <f>IF($G$211=0,0,G133/$G$211)</f>
        <v>4.2966233467385271E-3</v>
      </c>
      <c r="J133" s="111">
        <f>IF(G133=0,0,G133/$G$231)</f>
        <v>1.0792348507966931</v>
      </c>
      <c r="L133" s="90"/>
      <c r="M133" s="90"/>
      <c r="N133" s="90"/>
      <c r="O133" s="112"/>
      <c r="P133" s="113"/>
      <c r="Q133" s="125"/>
      <c r="R133" s="70"/>
    </row>
    <row r="134" spans="1:18" s="25" customFormat="1" ht="15.5">
      <c r="A134" s="32"/>
      <c r="B134" s="35" t="s">
        <v>195</v>
      </c>
      <c r="C134" s="14">
        <f>SUM('ALPINE VALLEY:WOODLAND'!C131)</f>
        <v>0</v>
      </c>
      <c r="D134" s="14">
        <f>SUM('ALPINE VALLEY:WOODLAND'!D131)</f>
        <v>179551.86328767793</v>
      </c>
      <c r="E134" s="14">
        <f>SUM('ALPINE VALLEY:WOODLAND'!E131)</f>
        <v>179551.86328767793</v>
      </c>
      <c r="F134" s="14">
        <f>SUM('ALPINE VALLEY:WOODLAND'!F131)</f>
        <v>-28003.86</v>
      </c>
      <c r="G134" s="14">
        <f>SUM('ALPINE VALLEY:WOODLAND'!G131)</f>
        <v>151548.00328767792</v>
      </c>
      <c r="H134" s="92">
        <f>IF($G$211=0,0,G134/$G$211)</f>
        <v>3.2950449073641016E-4</v>
      </c>
      <c r="J134" s="111">
        <f>IF(G134=0,0,G134/$G$231)</f>
        <v>8.2765628075518377E-2</v>
      </c>
      <c r="L134" s="90"/>
      <c r="M134" s="90"/>
      <c r="N134" s="90"/>
      <c r="O134" s="112"/>
      <c r="P134" s="113"/>
      <c r="Q134" s="125"/>
      <c r="R134" s="70"/>
    </row>
    <row r="135" spans="1:18" s="25" customFormat="1" ht="15.5">
      <c r="A135" s="32"/>
      <c r="B135" s="35" t="s">
        <v>196</v>
      </c>
      <c r="C135" s="14">
        <f>SUM('ALPINE VALLEY:WOODLAND'!C132)</f>
        <v>0</v>
      </c>
      <c r="D135" s="14">
        <f>SUM('ALPINE VALLEY:WOODLAND'!D132)</f>
        <v>43386.025655946374</v>
      </c>
      <c r="E135" s="14">
        <f>SUM('ALPINE VALLEY:WOODLAND'!E132)</f>
        <v>43386.025655946374</v>
      </c>
      <c r="F135" s="14">
        <f>SUM('ALPINE VALLEY:WOODLAND'!F132)</f>
        <v>2074</v>
      </c>
      <c r="G135" s="14">
        <f>SUM('ALPINE VALLEY:WOODLAND'!G132)</f>
        <v>45460.025655946374</v>
      </c>
      <c r="H135" s="92">
        <f>IF($G$211=0,0,G135/$G$211)</f>
        <v>9.8841834122961929E-5</v>
      </c>
      <c r="J135" s="111">
        <f>IF(G135=0,0,G135/$G$231)</f>
        <v>2.4827298902786038E-2</v>
      </c>
      <c r="L135" s="90"/>
      <c r="M135" s="90"/>
      <c r="N135" s="90"/>
      <c r="O135" s="112"/>
      <c r="P135" s="113"/>
      <c r="Q135" s="125"/>
      <c r="R135" s="70"/>
    </row>
    <row r="136" spans="1:18" s="25" customFormat="1" ht="15.5">
      <c r="A136" s="32"/>
      <c r="B136" s="35" t="s">
        <v>197</v>
      </c>
      <c r="C136" s="14">
        <f>SUM('ALPINE VALLEY:WOODLAND'!C133)</f>
        <v>592418.70600000001</v>
      </c>
      <c r="D136" s="14">
        <f>SUM('ALPINE VALLEY:WOODLAND'!D133)</f>
        <v>191526.27000000002</v>
      </c>
      <c r="E136" s="14">
        <f>SUM('ALPINE VALLEY:WOODLAND'!E133)</f>
        <v>783944.97599999991</v>
      </c>
      <c r="F136" s="14">
        <f>SUM('ALPINE VALLEY:WOODLAND'!F133)</f>
        <v>112380</v>
      </c>
      <c r="G136" s="14">
        <f>SUM('ALPINE VALLEY:WOODLAND'!G133)</f>
        <v>896324.97599999991</v>
      </c>
      <c r="H136" s="92">
        <f>IF($G$211=0,0,G136/$G$211)</f>
        <v>1.9488419401380447E-3</v>
      </c>
      <c r="J136" s="111">
        <f>IF(G136=0,0,G136/$G$231)</f>
        <v>0.48951420004915208</v>
      </c>
      <c r="L136" s="90"/>
      <c r="M136" s="90"/>
      <c r="N136" s="90"/>
      <c r="O136" s="112"/>
      <c r="P136" s="113"/>
      <c r="Q136" s="125"/>
      <c r="R136" s="70"/>
    </row>
    <row r="137" spans="1:18" s="25" customFormat="1" ht="15.5">
      <c r="A137" s="32" t="s">
        <v>86</v>
      </c>
      <c r="B137" s="24" t="s">
        <v>64</v>
      </c>
      <c r="C137" s="9"/>
      <c r="D137" s="9"/>
      <c r="E137" s="9"/>
      <c r="F137" s="9"/>
      <c r="G137" s="9"/>
      <c r="H137" s="72"/>
      <c r="I137" s="68"/>
      <c r="J137" s="127"/>
      <c r="L137" s="96"/>
      <c r="M137" s="96"/>
      <c r="N137" s="96"/>
      <c r="O137" s="96"/>
      <c r="P137" s="113"/>
      <c r="Q137" s="122"/>
      <c r="R137" s="70"/>
    </row>
    <row r="138" spans="1:18" s="25" customFormat="1" ht="15.5">
      <c r="A138" s="32"/>
      <c r="B138" s="35" t="s">
        <v>194</v>
      </c>
      <c r="C138" s="14">
        <f>SUM('ALPINE VALLEY:WOODLAND'!C135)</f>
        <v>37538585.120000005</v>
      </c>
      <c r="D138" s="14">
        <f>SUM('ALPINE VALLEY:WOODLAND'!D135)</f>
        <v>2022243.33</v>
      </c>
      <c r="E138" s="14">
        <f>SUM('ALPINE VALLEY:WOODLAND'!E135)</f>
        <v>39560828.449999996</v>
      </c>
      <c r="F138" s="14">
        <f>SUM('ALPINE VALLEY:WOODLAND'!F135)</f>
        <v>1714703</v>
      </c>
      <c r="G138" s="14">
        <f>SUM('ALPINE VALLEY:WOODLAND'!G135)</f>
        <v>41275531.449999996</v>
      </c>
      <c r="H138" s="92">
        <f>IF($G$211=0,0,G138/$G$211)</f>
        <v>8.9743663230518841E-2</v>
      </c>
      <c r="J138" s="111">
        <f>IF(G138=0,0,G138/$G$231)</f>
        <v>22.542001283416617</v>
      </c>
      <c r="K138" s="25">
        <v>4815.4449999999997</v>
      </c>
      <c r="L138" s="118">
        <f>SUM('ALPINE VALLEY:WOODLAND'!J135)</f>
        <v>1378182.7164285714</v>
      </c>
      <c r="M138" s="118">
        <f>SUM('ALPINE VALLEY:WOODLAND'!K135)</f>
        <v>1482616.6892857144</v>
      </c>
      <c r="N138" s="119"/>
      <c r="O138" s="120">
        <f>IF(L138=0,0,G138/M138)</f>
        <v>27.839651170988407</v>
      </c>
      <c r="P138" s="59"/>
      <c r="Q138" s="121">
        <f>M138/$G$231</f>
        <v>0.80970846742891478</v>
      </c>
      <c r="R138" s="70"/>
    </row>
    <row r="139" spans="1:18" s="25" customFormat="1" ht="15.5">
      <c r="A139" s="32"/>
      <c r="B139" s="35" t="s">
        <v>195</v>
      </c>
      <c r="C139" s="14">
        <f>SUM('ALPINE VALLEY:WOODLAND'!C136)</f>
        <v>17019400.419999994</v>
      </c>
      <c r="D139" s="14">
        <f>SUM('ALPINE VALLEY:WOODLAND'!D136)</f>
        <v>662916.13</v>
      </c>
      <c r="E139" s="14">
        <f>SUM('ALPINE VALLEY:WOODLAND'!E136)</f>
        <v>17682316.549999997</v>
      </c>
      <c r="F139" s="14">
        <f>SUM('ALPINE VALLEY:WOODLAND'!F136)</f>
        <v>1084360</v>
      </c>
      <c r="G139" s="14">
        <f>SUM('ALPINE VALLEY:WOODLAND'!G136)</f>
        <v>18766676.549999997</v>
      </c>
      <c r="H139" s="92">
        <f>IF($G$211=0,0,G139/$G$211)</f>
        <v>4.0803600610193357E-2</v>
      </c>
      <c r="J139" s="111">
        <f>IF(G139=0,0,G139/$G$231)</f>
        <v>10.249133857622674</v>
      </c>
      <c r="K139" s="25">
        <v>6591.04</v>
      </c>
      <c r="L139" s="118">
        <f>SUM('ALPINE VALLEY:WOODLAND'!J136)</f>
        <v>737558.13142857165</v>
      </c>
      <c r="M139" s="118">
        <f>SUM('ALPINE VALLEY:WOODLAND'!K136)</f>
        <v>794949.2300000001</v>
      </c>
      <c r="N139" s="119"/>
      <c r="O139" s="120">
        <f>IF(L139=0,0,G139/M139)</f>
        <v>23.607390059362654</v>
      </c>
      <c r="P139" s="59"/>
      <c r="Q139" s="121">
        <f>M139/$G$231</f>
        <v>0.43414938423309035</v>
      </c>
      <c r="R139" s="70"/>
    </row>
    <row r="140" spans="1:18" s="25" customFormat="1" ht="15.5">
      <c r="A140" s="32"/>
      <c r="B140" s="35" t="s">
        <v>196</v>
      </c>
      <c r="C140" s="14">
        <f>SUM('ALPINE VALLEY:WOODLAND'!C137)</f>
        <v>45931019.820000008</v>
      </c>
      <c r="D140" s="14">
        <f>SUM('ALPINE VALLEY:WOODLAND'!D137)</f>
        <v>2425190.4075000002</v>
      </c>
      <c r="E140" s="14">
        <f>SUM('ALPINE VALLEY:WOODLAND'!E137)</f>
        <v>48356210.227500007</v>
      </c>
      <c r="F140" s="14">
        <f>SUM('ALPINE VALLEY:WOODLAND'!F137)</f>
        <v>2625967</v>
      </c>
      <c r="G140" s="14">
        <f>SUM('ALPINE VALLEY:WOODLAND'!G137)</f>
        <v>50982177.227500014</v>
      </c>
      <c r="H140" s="92">
        <f>IF($G$211=0,0,G140/$G$211)</f>
        <v>0.11084841752808948</v>
      </c>
      <c r="J140" s="111">
        <f>IF(G140=0,0,G140/$G$231)</f>
        <v>27.843137668277773</v>
      </c>
      <c r="K140" s="25">
        <v>37934.71</v>
      </c>
      <c r="L140" s="118">
        <f>SUM('ALPINE VALLEY:WOODLAND'!J137)</f>
        <v>3870828.0664285715</v>
      </c>
      <c r="M140" s="118">
        <f>SUM('ALPINE VALLEY:WOODLAND'!K137)</f>
        <v>4227155.6207142845</v>
      </c>
      <c r="N140" s="119"/>
      <c r="O140" s="120">
        <f>IF(L140=0,0,G140/M140)</f>
        <v>12.060634100545673</v>
      </c>
      <c r="P140" s="59"/>
      <c r="Q140" s="121">
        <f>M140/$G$231</f>
        <v>2.308596499666467</v>
      </c>
      <c r="R140" s="70"/>
    </row>
    <row r="141" spans="1:18" s="25" customFormat="1" ht="15.5">
      <c r="A141" s="32"/>
      <c r="B141" s="35" t="s">
        <v>197</v>
      </c>
      <c r="C141" s="14">
        <f>SUM('ALPINE VALLEY:WOODLAND'!C138)</f>
        <v>7096198.2800000003</v>
      </c>
      <c r="D141" s="14">
        <f>SUM('ALPINE VALLEY:WOODLAND'!D138)</f>
        <v>-2408301</v>
      </c>
      <c r="E141" s="14">
        <f>SUM('ALPINE VALLEY:WOODLAND'!E138)</f>
        <v>4687897.28</v>
      </c>
      <c r="F141" s="14">
        <f>SUM('ALPINE VALLEY:WOODLAND'!F138)</f>
        <v>-13173</v>
      </c>
      <c r="G141" s="14">
        <f>SUM('ALPINE VALLEY:WOODLAND'!G138)</f>
        <v>4674724.28</v>
      </c>
      <c r="H141" s="92">
        <f>IF($G$211=0,0,G141/$G$211)</f>
        <v>1.0164057656969303E-2</v>
      </c>
      <c r="J141" s="111">
        <f>IF(G141=0,0,G141/$G$231)</f>
        <v>2.553029289205647</v>
      </c>
      <c r="K141" s="25">
        <v>0</v>
      </c>
      <c r="L141" s="118">
        <f>SUM('ALPINE VALLEY:WOODLAND'!J138)</f>
        <v>226942.12</v>
      </c>
      <c r="M141" s="118">
        <f>SUM('ALPINE VALLEY:WOODLAND'!K138)</f>
        <v>240610.74999999997</v>
      </c>
      <c r="N141" s="119"/>
      <c r="O141" s="120">
        <f>IF(L141=0,0,G141/M141)</f>
        <v>19.42857615463981</v>
      </c>
      <c r="P141" s="59"/>
      <c r="Q141" s="121">
        <f>M141/$G$231</f>
        <v>0.13140588733240488</v>
      </c>
      <c r="R141" s="70"/>
    </row>
    <row r="142" spans="1:18" s="25" customFormat="1" ht="15.5">
      <c r="A142" s="32" t="s">
        <v>96</v>
      </c>
      <c r="B142" s="24" t="s">
        <v>153</v>
      </c>
      <c r="C142" s="9"/>
      <c r="D142" s="9"/>
      <c r="E142" s="9"/>
      <c r="F142" s="9"/>
      <c r="G142" s="9"/>
      <c r="H142" s="72"/>
      <c r="I142" s="68"/>
      <c r="J142" s="127"/>
      <c r="L142" s="90"/>
      <c r="M142" s="90"/>
      <c r="N142" s="90"/>
      <c r="O142" s="112"/>
      <c r="P142" s="113"/>
      <c r="Q142" s="125"/>
      <c r="R142" s="70"/>
    </row>
    <row r="143" spans="1:18" s="25" customFormat="1" ht="15.5">
      <c r="A143" s="32"/>
      <c r="B143" s="35" t="s">
        <v>194</v>
      </c>
      <c r="C143" s="14">
        <f>SUM('ALPINE VALLEY:WOODLAND'!C140)</f>
        <v>8020469.9800000014</v>
      </c>
      <c r="D143" s="14">
        <f>SUM('ALPINE VALLEY:WOODLAND'!D140)</f>
        <v>-1207495.6620493038</v>
      </c>
      <c r="E143" s="14">
        <f>SUM('ALPINE VALLEY:WOODLAND'!E140)</f>
        <v>6812974.3179506967</v>
      </c>
      <c r="F143" s="14">
        <f>SUM('ALPINE VALLEY:WOODLAND'!F140)</f>
        <v>304421</v>
      </c>
      <c r="G143" s="14">
        <f>SUM('ALPINE VALLEY:WOODLAND'!G140)</f>
        <v>7117395.3179506967</v>
      </c>
      <c r="H143" s="92">
        <f>IF($G$211=0,0,G143/$G$211)</f>
        <v>1.5475055221672716E-2</v>
      </c>
      <c r="J143" s="111">
        <f>IF(G143=0,0,G143/$G$231)</f>
        <v>3.8870567805088321</v>
      </c>
      <c r="L143" s="90"/>
      <c r="M143" s="90"/>
      <c r="N143" s="90"/>
      <c r="O143" s="112"/>
      <c r="P143" s="113"/>
      <c r="Q143" s="125"/>
      <c r="R143" s="70"/>
    </row>
    <row r="144" spans="1:18" s="25" customFormat="1" ht="15.5">
      <c r="A144" s="32"/>
      <c r="B144" s="35" t="s">
        <v>195</v>
      </c>
      <c r="C144" s="14">
        <f>SUM('ALPINE VALLEY:WOODLAND'!C141)</f>
        <v>795969.63</v>
      </c>
      <c r="D144" s="14">
        <f>SUM('ALPINE VALLEY:WOODLAND'!D141)</f>
        <v>2223290.7627507062</v>
      </c>
      <c r="E144" s="14">
        <f>SUM('ALPINE VALLEY:WOODLAND'!E141)</f>
        <v>3019260.3927507065</v>
      </c>
      <c r="F144" s="14">
        <f>SUM('ALPINE VALLEY:WOODLAND'!F141)</f>
        <v>193887</v>
      </c>
      <c r="G144" s="14">
        <f>SUM('ALPINE VALLEY:WOODLAND'!G141)</f>
        <v>3213147.3927507065</v>
      </c>
      <c r="H144" s="92">
        <f>IF($G$211=0,0,G144/$G$211)</f>
        <v>6.9862121066654147E-3</v>
      </c>
      <c r="J144" s="111">
        <f>IF(G144=0,0,G144/$G$231)</f>
        <v>1.7548113884114069</v>
      </c>
      <c r="L144" s="90"/>
      <c r="M144" s="90"/>
      <c r="N144" s="90"/>
      <c r="O144" s="112"/>
      <c r="P144" s="113"/>
      <c r="Q144" s="125"/>
      <c r="R144" s="70"/>
    </row>
    <row r="145" spans="1:18" s="25" customFormat="1" ht="15.5">
      <c r="A145" s="32"/>
      <c r="B145" s="35" t="s">
        <v>196</v>
      </c>
      <c r="C145" s="14">
        <f>SUM('ALPINE VALLEY:WOODLAND'!C142)</f>
        <v>3160211.73</v>
      </c>
      <c r="D145" s="14">
        <f>SUM('ALPINE VALLEY:WOODLAND'!D142)</f>
        <v>5636689.0659228861</v>
      </c>
      <c r="E145" s="14">
        <f>SUM('ALPINE VALLEY:WOODLAND'!E142)</f>
        <v>8796900.7959228866</v>
      </c>
      <c r="F145" s="14">
        <f>SUM('ALPINE VALLEY:WOODLAND'!F142)</f>
        <v>460597</v>
      </c>
      <c r="G145" s="14">
        <f>SUM('ALPINE VALLEY:WOODLAND'!G142)</f>
        <v>9257497.7959228866</v>
      </c>
      <c r="H145" s="92">
        <f>IF($G$211=0,0,G145/$G$211)</f>
        <v>2.0128190609998167E-2</v>
      </c>
      <c r="J145" s="111">
        <f>IF(G145=0,0,G145/$G$231)</f>
        <v>5.0558410725664986</v>
      </c>
      <c r="L145" s="90"/>
      <c r="M145" s="90"/>
      <c r="N145" s="90"/>
      <c r="O145" s="112"/>
      <c r="P145" s="113"/>
      <c r="Q145" s="125"/>
      <c r="R145" s="70"/>
    </row>
    <row r="146" spans="1:18" s="25" customFormat="1" ht="15.5">
      <c r="A146" s="32"/>
      <c r="B146" s="35" t="s">
        <v>197</v>
      </c>
      <c r="C146" s="14">
        <f>SUM('ALPINE VALLEY:WOODLAND'!C143)</f>
        <v>1440488.75</v>
      </c>
      <c r="D146" s="14">
        <f>SUM('ALPINE VALLEY:WOODLAND'!D143)</f>
        <v>-120530.56</v>
      </c>
      <c r="E146" s="14">
        <f>SUM('ALPINE VALLEY:WOODLAND'!E143)</f>
        <v>1319958.19</v>
      </c>
      <c r="F146" s="14">
        <f>SUM('ALPINE VALLEY:WOODLAND'!F143)</f>
        <v>-6590</v>
      </c>
      <c r="G146" s="14">
        <f>SUM('ALPINE VALLEY:WOODLAND'!G143)</f>
        <v>1313368.19</v>
      </c>
      <c r="H146" s="92">
        <f>IF($G$211=0,0,G146/$G$211)</f>
        <v>2.8556015731454887E-3</v>
      </c>
      <c r="J146" s="111">
        <f>IF(G146=0,0,G146/$G$231)</f>
        <v>0.71727598372518497</v>
      </c>
      <c r="L146" s="90"/>
      <c r="M146" s="90"/>
      <c r="N146" s="90"/>
      <c r="O146" s="112"/>
      <c r="P146" s="113"/>
      <c r="Q146" s="125"/>
      <c r="R146" s="70"/>
    </row>
    <row r="147" spans="1:18" s="25" customFormat="1" ht="15.5">
      <c r="A147" s="32" t="s">
        <v>87</v>
      </c>
      <c r="B147" s="24" t="s">
        <v>98</v>
      </c>
      <c r="C147" s="9"/>
      <c r="D147" s="9"/>
      <c r="E147" s="9"/>
      <c r="F147" s="9"/>
      <c r="G147" s="9"/>
      <c r="H147" s="72"/>
      <c r="I147" s="68"/>
      <c r="J147" s="127"/>
      <c r="L147" s="96"/>
      <c r="M147" s="96"/>
      <c r="N147" s="96"/>
      <c r="O147" s="96"/>
      <c r="P147" s="113"/>
      <c r="Q147" s="122"/>
      <c r="R147" s="70"/>
    </row>
    <row r="148" spans="1:18" s="25" customFormat="1" ht="15.5">
      <c r="A148" s="32"/>
      <c r="B148" s="35" t="s">
        <v>232</v>
      </c>
      <c r="C148" s="14">
        <f>SUM('ALPINE VALLEY:WOODLAND'!C145)</f>
        <v>2929853.87</v>
      </c>
      <c r="D148" s="14">
        <f>SUM('ALPINE VALLEY:WOODLAND'!D145)</f>
        <v>38400</v>
      </c>
      <c r="E148" s="14">
        <f>SUM('ALPINE VALLEY:WOODLAND'!E145)</f>
        <v>2968253.87</v>
      </c>
      <c r="F148" s="14">
        <f>SUM('ALPINE VALLEY:WOODLAND'!F145)</f>
        <v>32633.48000000001</v>
      </c>
      <c r="G148" s="14">
        <f>SUM('ALPINE VALLEY:WOODLAND'!G145)</f>
        <v>3000887.3500000006</v>
      </c>
      <c r="H148" s="92">
        <f t="shared" ref="H148:H156" si="14">IF($G$211=0,0,G148/$G$211)</f>
        <v>6.524703965528812E-3</v>
      </c>
      <c r="J148" s="111">
        <f t="shared" ref="J148:J156" si="15">IF(G148=0,0,G148/$G$231)</f>
        <v>1.6388888069686796</v>
      </c>
      <c r="K148" s="25">
        <v>0</v>
      </c>
      <c r="L148" s="118">
        <f>SUM('ALPINE VALLEY:WOODLAND'!J145)</f>
        <v>15564.597248999999</v>
      </c>
      <c r="M148" s="118">
        <f>SUM('ALPINE VALLEY:WOODLAND'!K145)</f>
        <v>15763.097248999999</v>
      </c>
      <c r="N148" s="119"/>
      <c r="O148" s="120">
        <f>IF(L148=0,0,G148/M148)</f>
        <v>190.37422040838928</v>
      </c>
      <c r="P148" s="59"/>
      <c r="Q148" s="121">
        <f>M148/$G$231</f>
        <v>8.6087748827175653E-3</v>
      </c>
      <c r="R148" s="70"/>
    </row>
    <row r="149" spans="1:18" s="25" customFormat="1" ht="15.5">
      <c r="A149" s="32"/>
      <c r="B149" s="35" t="s">
        <v>194</v>
      </c>
      <c r="C149" s="14">
        <f>SUM('ALPINE VALLEY:WOODLAND'!C146)</f>
        <v>719493.47</v>
      </c>
      <c r="D149" s="14">
        <f>SUM('ALPINE VALLEY:WOODLAND'!D146)</f>
        <v>-16596</v>
      </c>
      <c r="E149" s="14">
        <f>SUM('ALPINE VALLEY:WOODLAND'!E146)</f>
        <v>702897.47</v>
      </c>
      <c r="F149" s="14">
        <f>SUM('ALPINE VALLEY:WOODLAND'!F146)</f>
        <v>-371034</v>
      </c>
      <c r="G149" s="14">
        <f>SUM('ALPINE VALLEY:WOODLAND'!G146)</f>
        <v>331863.46999999997</v>
      </c>
      <c r="H149" s="92">
        <f t="shared" si="14"/>
        <v>7.2155687507668401E-4</v>
      </c>
      <c r="J149" s="111">
        <f t="shared" si="15"/>
        <v>0.18124216706261434</v>
      </c>
      <c r="K149" s="25">
        <v>433</v>
      </c>
      <c r="L149" s="118">
        <f>SUM('ALPINE VALLEY:WOODLAND'!J146)</f>
        <v>28600.980000000003</v>
      </c>
      <c r="M149" s="118">
        <f>SUM('ALPINE VALLEY:WOODLAND'!K146)</f>
        <v>29976.129999999997</v>
      </c>
      <c r="N149" s="119"/>
      <c r="O149" s="120">
        <f>IF(L149=0,0,G149/M149)</f>
        <v>11.070924432206558</v>
      </c>
      <c r="P149" s="59"/>
      <c r="Q149" s="121">
        <f>M149/$G$231</f>
        <v>1.6371005707107943E-2</v>
      </c>
      <c r="R149" s="70"/>
    </row>
    <row r="150" spans="1:18" s="25" customFormat="1" ht="15.5">
      <c r="A150" s="32"/>
      <c r="B150" s="35" t="s">
        <v>195</v>
      </c>
      <c r="C150" s="14">
        <f>SUM('ALPINE VALLEY:WOODLAND'!C147)</f>
        <v>295375.66000000003</v>
      </c>
      <c r="D150" s="14">
        <f>SUM('ALPINE VALLEY:WOODLAND'!D147)</f>
        <v>41217</v>
      </c>
      <c r="E150" s="14">
        <f>SUM('ALPINE VALLEY:WOODLAND'!E147)</f>
        <v>336592.66000000003</v>
      </c>
      <c r="F150" s="14">
        <f>SUM('ALPINE VALLEY:WOODLAND'!F147)</f>
        <v>-277059</v>
      </c>
      <c r="G150" s="14">
        <f>SUM('ALPINE VALLEY:WOODLAND'!G147)</f>
        <v>59533.660000000018</v>
      </c>
      <c r="H150" s="92">
        <f t="shared" si="14"/>
        <v>1.2944154917526114E-4</v>
      </c>
      <c r="J150" s="111">
        <f t="shared" si="15"/>
        <v>3.2513399415635851E-2</v>
      </c>
      <c r="K150" s="25">
        <v>36</v>
      </c>
      <c r="L150" s="118">
        <f>SUM('ALPINE VALLEY:WOODLAND'!J147)</f>
        <v>14525.039999999999</v>
      </c>
      <c r="M150" s="118">
        <f>SUM('ALPINE VALLEY:WOODLAND'!K147)</f>
        <v>16038.72</v>
      </c>
      <c r="N150" s="119"/>
      <c r="O150" s="120">
        <f>IF(L150=0,0,G150/M150)</f>
        <v>3.7118710221264553</v>
      </c>
      <c r="P150" s="59"/>
      <c r="Q150" s="121">
        <f>M150/$G$231</f>
        <v>8.7593020398132222E-3</v>
      </c>
      <c r="R150" s="70"/>
    </row>
    <row r="151" spans="1:18" s="25" customFormat="1" ht="15.5">
      <c r="A151" s="32"/>
      <c r="B151" s="35" t="s">
        <v>196</v>
      </c>
      <c r="C151" s="14">
        <f>SUM('ALPINE VALLEY:WOODLAND'!C148)</f>
        <v>807210.27</v>
      </c>
      <c r="D151" s="14">
        <f>SUM('ALPINE VALLEY:WOODLAND'!D148)</f>
        <v>-24768</v>
      </c>
      <c r="E151" s="14">
        <f>SUM('ALPINE VALLEY:WOODLAND'!E148)</f>
        <v>782442.27</v>
      </c>
      <c r="F151" s="14">
        <f>SUM('ALPINE VALLEY:WOODLAND'!F148)</f>
        <v>-606098</v>
      </c>
      <c r="G151" s="14">
        <f>SUM('ALPINE VALLEY:WOODLAND'!G148)</f>
        <v>176344.27</v>
      </c>
      <c r="H151" s="92">
        <f t="shared" si="14"/>
        <v>3.834179772750494E-4</v>
      </c>
      <c r="J151" s="111">
        <f t="shared" si="15"/>
        <v>9.6307730537123507E-2</v>
      </c>
      <c r="K151" s="25">
        <v>314</v>
      </c>
      <c r="L151" s="118">
        <f>SUM('ALPINE VALLEY:WOODLAND'!J148)</f>
        <v>91798.433333333334</v>
      </c>
      <c r="M151" s="118">
        <f>SUM('ALPINE VALLEY:WOODLAND'!K148)</f>
        <v>98624.41333333333</v>
      </c>
      <c r="N151" s="119"/>
      <c r="O151" s="120">
        <f>IF(L151=0,0,G151/M151)</f>
        <v>1.788038722258221</v>
      </c>
      <c r="P151" s="59"/>
      <c r="Q151" s="121">
        <f>M151/$G$231</f>
        <v>5.3862217489054551E-2</v>
      </c>
      <c r="R151" s="70"/>
    </row>
    <row r="152" spans="1:18" s="25" customFormat="1" ht="15.5">
      <c r="A152" s="32"/>
      <c r="B152" s="35" t="s">
        <v>197</v>
      </c>
      <c r="C152" s="14">
        <f>SUM('ALPINE VALLEY:WOODLAND'!C149)</f>
        <v>909001.75000000012</v>
      </c>
      <c r="D152" s="14">
        <f>SUM('ALPINE VALLEY:WOODLAND'!D149)</f>
        <v>-38283</v>
      </c>
      <c r="E152" s="14">
        <f>SUM('ALPINE VALLEY:WOODLAND'!E149)</f>
        <v>870718.75</v>
      </c>
      <c r="F152" s="14">
        <f>SUM('ALPINE VALLEY:WOODLAND'!F149)</f>
        <v>-248709.90000000002</v>
      </c>
      <c r="G152" s="14">
        <f>SUM('ALPINE VALLEY:WOODLAND'!G149)</f>
        <v>622008.85</v>
      </c>
      <c r="H152" s="92">
        <f t="shared" si="14"/>
        <v>1.3524078503609992E-3</v>
      </c>
      <c r="J152" s="111">
        <f t="shared" si="15"/>
        <v>0.33970063624696212</v>
      </c>
      <c r="K152" s="25">
        <v>0</v>
      </c>
      <c r="L152" s="118">
        <f>SUM('ALPINE VALLEY:WOODLAND'!J149)</f>
        <v>5673.59</v>
      </c>
      <c r="M152" s="118">
        <f>SUM('ALPINE VALLEY:WOODLAND'!K149)</f>
        <v>5889.3499999999995</v>
      </c>
      <c r="N152" s="119"/>
      <c r="O152" s="120">
        <f>IF(L152=0,0,G152/M152)</f>
        <v>105.61587441738052</v>
      </c>
      <c r="P152" s="59"/>
      <c r="Q152" s="121">
        <f>M152/$G$231</f>
        <v>3.2163785805958329E-3</v>
      </c>
      <c r="R152" s="70"/>
    </row>
    <row r="153" spans="1:18" s="25" customFormat="1" ht="15.5">
      <c r="A153" s="32">
        <v>110</v>
      </c>
      <c r="B153" s="25" t="s">
        <v>65</v>
      </c>
      <c r="C153" s="14">
        <f>SUM('ALPINE VALLEY:WOODLAND'!C150)</f>
        <v>10359446.140000001</v>
      </c>
      <c r="D153" s="14">
        <f>SUM('ALPINE VALLEY:WOODLAND'!D150)</f>
        <v>-33927.729999999996</v>
      </c>
      <c r="E153" s="14">
        <f>SUM('ALPINE VALLEY:WOODLAND'!E150)</f>
        <v>10325518.41</v>
      </c>
      <c r="F153" s="14">
        <f>SUM('ALPINE VALLEY:WOODLAND'!F150)</f>
        <v>594851.54</v>
      </c>
      <c r="G153" s="14">
        <f>SUM('ALPINE VALLEY:WOODLAND'!G150)</f>
        <v>10920369.949999999</v>
      </c>
      <c r="H153" s="92">
        <f t="shared" si="14"/>
        <v>2.3743704047340084E-2</v>
      </c>
      <c r="J153" s="111">
        <f t="shared" si="15"/>
        <v>5.9639933098495392</v>
      </c>
      <c r="L153" s="90"/>
      <c r="M153" s="90"/>
      <c r="N153" s="90"/>
      <c r="O153" s="112"/>
      <c r="P153" s="113"/>
      <c r="Q153" s="125"/>
      <c r="R153" s="58"/>
    </row>
    <row r="154" spans="1:18" s="25" customFormat="1" ht="15.5">
      <c r="A154" s="32">
        <v>111</v>
      </c>
      <c r="B154" s="24" t="s">
        <v>97</v>
      </c>
      <c r="C154" s="14">
        <f>SUM('ALPINE VALLEY:WOODLAND'!C151)</f>
        <v>566100.26</v>
      </c>
      <c r="D154" s="14">
        <f>SUM('ALPINE VALLEY:WOODLAND'!D151)</f>
        <v>-2355</v>
      </c>
      <c r="E154" s="14">
        <f>SUM('ALPINE VALLEY:WOODLAND'!E151)</f>
        <v>563745.26</v>
      </c>
      <c r="F154" s="14">
        <f>SUM('ALPINE VALLEY:WOODLAND'!F151)</f>
        <v>8509.98</v>
      </c>
      <c r="G154" s="14">
        <f>SUM('ALPINE VALLEY:WOODLAND'!G151)</f>
        <v>572255.24</v>
      </c>
      <c r="H154" s="92">
        <f t="shared" si="14"/>
        <v>1.2442306552169116E-3</v>
      </c>
      <c r="J154" s="111">
        <f t="shared" si="15"/>
        <v>0.31252846181152888</v>
      </c>
      <c r="L154" s="90"/>
      <c r="M154" s="90"/>
      <c r="N154" s="90"/>
      <c r="O154" s="112"/>
      <c r="P154" s="113"/>
      <c r="Q154" s="125"/>
      <c r="R154" s="58"/>
    </row>
    <row r="155" spans="1:18" s="25" customFormat="1" ht="15.5">
      <c r="A155" s="32">
        <v>230</v>
      </c>
      <c r="B155" s="24" t="s">
        <v>66</v>
      </c>
      <c r="C155" s="14">
        <f>SUM('ALPINE VALLEY:WOODLAND'!C152)</f>
        <v>291034.82</v>
      </c>
      <c r="D155" s="14">
        <f>SUM('ALPINE VALLEY:WOODLAND'!D152)</f>
        <v>8470</v>
      </c>
      <c r="E155" s="14">
        <f>SUM('ALPINE VALLEY:WOODLAND'!E152)</f>
        <v>299504.82</v>
      </c>
      <c r="F155" s="14">
        <f>SUM('ALPINE VALLEY:WOODLAND'!F152)</f>
        <v>0</v>
      </c>
      <c r="G155" s="14">
        <f>SUM('ALPINE VALLEY:WOODLAND'!G152)</f>
        <v>299504.82</v>
      </c>
      <c r="H155" s="92">
        <f t="shared" si="14"/>
        <v>6.5120081456872844E-4</v>
      </c>
      <c r="J155" s="111">
        <f t="shared" si="15"/>
        <v>0.16356998443516016</v>
      </c>
      <c r="L155" s="90"/>
      <c r="M155" s="90"/>
      <c r="N155" s="90"/>
      <c r="O155" s="112"/>
      <c r="P155" s="113"/>
      <c r="Q155" s="125"/>
      <c r="R155" s="58"/>
    </row>
    <row r="156" spans="1:18" s="25" customFormat="1" ht="15.5">
      <c r="A156" s="32">
        <v>430</v>
      </c>
      <c r="B156" s="24" t="s">
        <v>99</v>
      </c>
      <c r="C156" s="14">
        <f>SUM('ALPINE VALLEY:WOODLAND'!C153)</f>
        <v>983057.02</v>
      </c>
      <c r="D156" s="14">
        <f>SUM('ALPINE VALLEY:WOODLAND'!D153)</f>
        <v>705469</v>
      </c>
      <c r="E156" s="14">
        <f>SUM('ALPINE VALLEY:WOODLAND'!E153)</f>
        <v>1688526.02</v>
      </c>
      <c r="F156" s="14">
        <f>SUM('ALPINE VALLEY:WOODLAND'!F153)</f>
        <v>109630</v>
      </c>
      <c r="G156" s="14">
        <f>SUM('ALPINE VALLEY:WOODLAND'!G153)</f>
        <v>1798156.02</v>
      </c>
      <c r="H156" s="92">
        <f t="shared" si="14"/>
        <v>3.909655493843681E-3</v>
      </c>
      <c r="J156" s="111">
        <f t="shared" si="15"/>
        <v>0.98203545506676493</v>
      </c>
      <c r="L156" s="90"/>
      <c r="M156" s="90"/>
      <c r="N156" s="90"/>
      <c r="O156" s="112"/>
      <c r="P156" s="113"/>
      <c r="Q156" s="125"/>
      <c r="R156" s="58"/>
    </row>
    <row r="157" spans="1:18" s="25" customFormat="1" ht="15.5">
      <c r="A157" s="32"/>
      <c r="B157" s="73" t="s">
        <v>302</v>
      </c>
      <c r="C157" s="13"/>
      <c r="D157" s="13"/>
      <c r="E157" s="13"/>
      <c r="F157" s="13"/>
      <c r="G157" s="13"/>
      <c r="H157" s="74"/>
      <c r="I157" s="68"/>
      <c r="J157" s="129"/>
      <c r="K157" s="68"/>
      <c r="L157" s="90"/>
      <c r="M157" s="90"/>
      <c r="N157" s="90"/>
      <c r="O157" s="112"/>
      <c r="P157" s="113"/>
      <c r="Q157" s="125"/>
      <c r="R157" s="70"/>
    </row>
    <row r="158" spans="1:18" s="25" customFormat="1" ht="15.5">
      <c r="A158" s="32">
        <v>440.1</v>
      </c>
      <c r="B158" s="35" t="s">
        <v>223</v>
      </c>
      <c r="C158" s="14">
        <f>SUM('ALPINE VALLEY:WOODLAND'!C155)</f>
        <v>749.4</v>
      </c>
      <c r="D158" s="14">
        <f>SUM('ALPINE VALLEY:WOODLAND'!D155)</f>
        <v>0</v>
      </c>
      <c r="E158" s="14">
        <f>SUM('ALPINE VALLEY:WOODLAND'!E155)</f>
        <v>749.4</v>
      </c>
      <c r="F158" s="14">
        <f>SUM('ALPINE VALLEY:WOODLAND'!F155)</f>
        <v>0</v>
      </c>
      <c r="G158" s="14">
        <f>SUM('ALPINE VALLEY:WOODLAND'!G155)</f>
        <v>749.4</v>
      </c>
      <c r="H158" s="92">
        <f t="shared" ref="H158:H164" si="16">IF($G$211=0,0,G158/$G$211)</f>
        <v>1.629389104448486E-6</v>
      </c>
      <c r="J158" s="111">
        <f>IF(G158=0,0,G158/$G$231)</f>
        <v>4.0927336773982138E-4</v>
      </c>
      <c r="L158" s="90"/>
      <c r="M158" s="90"/>
      <c r="N158" s="90"/>
      <c r="O158" s="112"/>
      <c r="P158" s="113"/>
      <c r="Q158" s="125"/>
      <c r="R158" s="58"/>
    </row>
    <row r="159" spans="1:18" s="25" customFormat="1" ht="15.5">
      <c r="A159" s="32">
        <v>440.2</v>
      </c>
      <c r="B159" s="35" t="s">
        <v>224</v>
      </c>
      <c r="C159" s="14">
        <f>SUM('ALPINE VALLEY:WOODLAND'!C156)</f>
        <v>12262</v>
      </c>
      <c r="D159" s="14">
        <f>SUM('ALPINE VALLEY:WOODLAND'!D156)</f>
        <v>5871.6100000000006</v>
      </c>
      <c r="E159" s="14">
        <f>SUM('ALPINE VALLEY:WOODLAND'!E156)</f>
        <v>18133.61</v>
      </c>
      <c r="F159" s="14">
        <f>SUM('ALPINE VALLEY:WOODLAND'!F156)</f>
        <v>20790</v>
      </c>
      <c r="G159" s="14">
        <f>SUM('ALPINE VALLEY:WOODLAND'!G156)</f>
        <v>38923.61</v>
      </c>
      <c r="H159" s="92">
        <f t="shared" si="16"/>
        <v>8.4629978702698344E-5</v>
      </c>
      <c r="J159" s="111">
        <f t="shared" ref="J159:J164" si="17">IF(G159=0,0,G159/$G$231)</f>
        <v>2.1257535293957019E-2</v>
      </c>
      <c r="L159" s="90"/>
      <c r="M159" s="90"/>
      <c r="N159" s="90"/>
      <c r="O159" s="112"/>
      <c r="P159" s="113"/>
      <c r="Q159" s="125"/>
      <c r="R159" s="58"/>
    </row>
    <row r="160" spans="1:18" s="25" customFormat="1" ht="15.5">
      <c r="A160" s="32">
        <v>440.3</v>
      </c>
      <c r="B160" s="35" t="s">
        <v>225</v>
      </c>
      <c r="C160" s="14">
        <f>SUM('ALPINE VALLEY:WOODLAND'!C157)</f>
        <v>6982</v>
      </c>
      <c r="D160" s="14">
        <f>SUM('ALPINE VALLEY:WOODLAND'!D157)</f>
        <v>0</v>
      </c>
      <c r="E160" s="14">
        <f>SUM('ALPINE VALLEY:WOODLAND'!E157)</f>
        <v>6982</v>
      </c>
      <c r="F160" s="14">
        <f>SUM('ALPINE VALLEY:WOODLAND'!F157)</f>
        <v>425</v>
      </c>
      <c r="G160" s="14">
        <f>SUM('ALPINE VALLEY:WOODLAND'!G157)</f>
        <v>7407</v>
      </c>
      <c r="H160" s="92">
        <f t="shared" si="16"/>
        <v>1.6104730579997246E-5</v>
      </c>
      <c r="J160" s="111">
        <f t="shared" si="17"/>
        <v>4.0452199557630868E-3</v>
      </c>
      <c r="L160" s="90"/>
      <c r="M160" s="90"/>
      <c r="N160" s="90"/>
      <c r="O160" s="112"/>
      <c r="P160" s="113"/>
      <c r="Q160" s="125"/>
      <c r="R160" s="58"/>
    </row>
    <row r="161" spans="1:18" s="25" customFormat="1" ht="15.5">
      <c r="A161" s="32">
        <v>440.4</v>
      </c>
      <c r="B161" s="35" t="s">
        <v>226</v>
      </c>
      <c r="C161" s="14">
        <f>SUM('ALPINE VALLEY:WOODLAND'!C158)</f>
        <v>596.54999999999995</v>
      </c>
      <c r="D161" s="14">
        <f>SUM('ALPINE VALLEY:WOODLAND'!D158)</f>
        <v>0</v>
      </c>
      <c r="E161" s="14">
        <f>SUM('ALPINE VALLEY:WOODLAND'!E158)</f>
        <v>596.54999999999995</v>
      </c>
      <c r="F161" s="14">
        <f>SUM('ALPINE VALLEY:WOODLAND'!F158)</f>
        <v>0</v>
      </c>
      <c r="G161" s="14">
        <f>SUM('ALPINE VALLEY:WOODLAND'!G158)</f>
        <v>596.54999999999995</v>
      </c>
      <c r="H161" s="92">
        <f t="shared" si="16"/>
        <v>1.2970537366676599E-6</v>
      </c>
      <c r="J161" s="111">
        <f t="shared" si="17"/>
        <v>3.2579667403948552E-4</v>
      </c>
      <c r="L161" s="90"/>
      <c r="M161" s="90"/>
      <c r="N161" s="90"/>
      <c r="O161" s="112"/>
      <c r="P161" s="113"/>
      <c r="Q161" s="125"/>
      <c r="R161" s="58"/>
    </row>
    <row r="162" spans="1:18" s="25" customFormat="1" ht="15.5">
      <c r="A162" s="32">
        <v>440.5</v>
      </c>
      <c r="B162" s="35" t="s">
        <v>301</v>
      </c>
      <c r="C162" s="14">
        <f>SUM('ALPINE VALLEY:WOODLAND'!C159)</f>
        <v>9115.3599999999988</v>
      </c>
      <c r="D162" s="14">
        <f>SUM('ALPINE VALLEY:WOODLAND'!D159)</f>
        <v>0</v>
      </c>
      <c r="E162" s="14">
        <f>SUM('ALPINE VALLEY:WOODLAND'!E159)</f>
        <v>9115.3599999999988</v>
      </c>
      <c r="F162" s="14">
        <f>SUM('ALPINE VALLEY:WOODLAND'!F159)</f>
        <v>2815</v>
      </c>
      <c r="G162" s="14">
        <f>SUM('ALPINE VALLEY:WOODLAND'!G159)</f>
        <v>11930.359999999999</v>
      </c>
      <c r="H162" s="92">
        <f t="shared" si="16"/>
        <v>2.5939683208097196E-5</v>
      </c>
      <c r="J162" s="111">
        <f t="shared" si="17"/>
        <v>6.5155839545615896E-3</v>
      </c>
      <c r="L162" s="90"/>
      <c r="M162" s="90"/>
      <c r="N162" s="90"/>
      <c r="O162" s="112"/>
      <c r="P162" s="113"/>
      <c r="Q162" s="125"/>
      <c r="R162" s="58"/>
    </row>
    <row r="163" spans="1:18" s="25" customFormat="1" ht="15.5">
      <c r="A163" s="32">
        <v>490</v>
      </c>
      <c r="B163" s="2" t="s">
        <v>303</v>
      </c>
      <c r="C163" s="14">
        <f>SUM('ALPINE VALLEY:WOODLAND'!C160)</f>
        <v>1437375.02</v>
      </c>
      <c r="D163" s="14">
        <f>SUM('ALPINE VALLEY:WOODLAND'!D160)</f>
        <v>-25970.11</v>
      </c>
      <c r="E163" s="14">
        <f>SUM('ALPINE VALLEY:WOODLAND'!E160)</f>
        <v>1411404.91</v>
      </c>
      <c r="F163" s="14">
        <f>SUM('ALPINE VALLEY:WOODLAND'!F160)</f>
        <v>-283973.08999999997</v>
      </c>
      <c r="G163" s="14">
        <f>SUM('ALPINE VALLEY:WOODLAND'!G160)</f>
        <v>1127431.8199999998</v>
      </c>
      <c r="H163" s="92">
        <f t="shared" si="16"/>
        <v>2.451327893670305E-3</v>
      </c>
      <c r="J163" s="111">
        <f t="shared" si="17"/>
        <v>0.61572967423063263</v>
      </c>
      <c r="L163" s="90"/>
      <c r="M163" s="90"/>
      <c r="N163" s="90"/>
      <c r="O163" s="112"/>
      <c r="P163" s="113"/>
      <c r="Q163" s="125"/>
      <c r="R163" s="58"/>
    </row>
    <row r="164" spans="1:18" s="25" customFormat="1" ht="15.5">
      <c r="A164" s="32"/>
      <c r="B164" s="3" t="s">
        <v>233</v>
      </c>
      <c r="C164" s="14">
        <f>SUM('ALPINE VALLEY:WOODLAND'!C161)</f>
        <v>162292312.667</v>
      </c>
      <c r="D164" s="14">
        <f>SUM('ALPINE VALLEY:WOODLAND'!D161)</f>
        <v>11713991.666619197</v>
      </c>
      <c r="E164" s="14">
        <f>SUM('ALPINE VALLEY:WOODLAND'!E161)</f>
        <v>174006304.33361921</v>
      </c>
      <c r="F164" s="14">
        <f>SUM('ALPINE VALLEY:WOODLAND'!F161)</f>
        <v>6530321.25</v>
      </c>
      <c r="G164" s="14">
        <f>SUM('ALPINE VALLEY:WOODLAND'!G161)</f>
        <v>180536625.58361924</v>
      </c>
      <c r="H164" s="92">
        <f t="shared" si="16"/>
        <v>0.39253324083245933</v>
      </c>
      <c r="J164" s="111">
        <f t="shared" si="17"/>
        <v>98.597321527877028</v>
      </c>
      <c r="L164" s="90"/>
      <c r="M164" s="90"/>
      <c r="N164" s="90"/>
      <c r="O164" s="112"/>
      <c r="P164" s="113"/>
      <c r="Q164" s="125"/>
      <c r="R164" s="58"/>
    </row>
    <row r="165" spans="1:18" s="25" customFormat="1" ht="15.5">
      <c r="A165" s="32"/>
      <c r="B165" s="24"/>
      <c r="C165" s="17"/>
      <c r="D165" s="17"/>
      <c r="E165" s="17"/>
      <c r="F165" s="17"/>
      <c r="G165" s="17"/>
      <c r="H165" s="72"/>
      <c r="J165" s="123"/>
      <c r="L165" s="93"/>
      <c r="M165" s="93"/>
      <c r="N165" s="93"/>
      <c r="O165" s="93"/>
      <c r="P165" s="93"/>
      <c r="Q165" s="126"/>
    </row>
    <row r="166" spans="1:18" s="25" customFormat="1" ht="15.5">
      <c r="A166" s="32" t="s">
        <v>168</v>
      </c>
      <c r="B166" s="36" t="s">
        <v>100</v>
      </c>
      <c r="C166" s="75"/>
      <c r="D166" s="75"/>
      <c r="E166" s="75"/>
      <c r="F166" s="76"/>
      <c r="G166" s="76"/>
      <c r="H166" s="72"/>
      <c r="J166" s="123"/>
      <c r="L166" s="93"/>
      <c r="M166" s="93"/>
      <c r="N166" s="93"/>
      <c r="O166" s="93"/>
      <c r="P166" s="93"/>
      <c r="Q166" s="126"/>
    </row>
    <row r="167" spans="1:18" s="25" customFormat="1" ht="15.5">
      <c r="A167" s="32" t="s">
        <v>95</v>
      </c>
      <c r="B167" s="24" t="s">
        <v>102</v>
      </c>
      <c r="C167" s="14">
        <f>SUM('ALPINE VALLEY:WOODLAND'!C164)</f>
        <v>0</v>
      </c>
      <c r="D167" s="14">
        <f>SUM('ALPINE VALLEY:WOODLAND'!D164)</f>
        <v>0</v>
      </c>
      <c r="E167" s="14">
        <f>SUM('ALPINE VALLEY:WOODLAND'!E164)</f>
        <v>0</v>
      </c>
      <c r="F167" s="14">
        <f>SUM('ALPINE VALLEY:WOODLAND'!F164)</f>
        <v>0</v>
      </c>
      <c r="G167" s="14">
        <f>SUM('ALPINE VALLEY:WOODLAND'!G164)</f>
        <v>0</v>
      </c>
      <c r="H167" s="92">
        <f t="shared" ref="H167:H190" si="18">IF($G$211=0,0,G167/$G$211)</f>
        <v>0</v>
      </c>
      <c r="J167" s="111">
        <f t="shared" ref="J167:J200" si="19">IF(G167=0,0,G167/$G$231)</f>
        <v>0</v>
      </c>
      <c r="K167" s="25">
        <v>0</v>
      </c>
      <c r="L167" s="118">
        <f>SUM('ALPINE VALLEY:WOODLAND'!J164)</f>
        <v>0</v>
      </c>
      <c r="M167" s="118">
        <f>SUM('ALPINE VALLEY:WOODLAND'!K164)</f>
        <v>0</v>
      </c>
      <c r="N167" s="119"/>
      <c r="O167" s="120">
        <f>IF(L167=0,0,G167/M167)</f>
        <v>0</v>
      </c>
      <c r="P167" s="59"/>
      <c r="Q167" s="121">
        <f>M167/$G$231</f>
        <v>0</v>
      </c>
      <c r="R167" s="58"/>
    </row>
    <row r="168" spans="1:18" s="25" customFormat="1" ht="15.5">
      <c r="A168" s="32" t="s">
        <v>123</v>
      </c>
      <c r="B168" s="24" t="s">
        <v>103</v>
      </c>
      <c r="C168" s="14">
        <f>SUM('ALPINE VALLEY:WOODLAND'!C165)</f>
        <v>0</v>
      </c>
      <c r="D168" s="14">
        <f>SUM('ALPINE VALLEY:WOODLAND'!D165)</f>
        <v>0</v>
      </c>
      <c r="E168" s="14">
        <f>SUM('ALPINE VALLEY:WOODLAND'!E165)</f>
        <v>0</v>
      </c>
      <c r="F168" s="14">
        <f>SUM('ALPINE VALLEY:WOODLAND'!F165)</f>
        <v>0</v>
      </c>
      <c r="G168" s="14">
        <f>SUM('ALPINE VALLEY:WOODLAND'!G165)</f>
        <v>0</v>
      </c>
      <c r="H168" s="92">
        <f t="shared" si="18"/>
        <v>0</v>
      </c>
      <c r="J168" s="111">
        <f t="shared" si="19"/>
        <v>0</v>
      </c>
      <c r="L168" s="90"/>
      <c r="M168" s="90"/>
      <c r="N168" s="90"/>
      <c r="O168" s="130"/>
      <c r="P168" s="113"/>
      <c r="Q168" s="125"/>
      <c r="R168" s="58"/>
    </row>
    <row r="169" spans="1:18" s="25" customFormat="1" ht="15.5">
      <c r="A169" s="32" t="s">
        <v>124</v>
      </c>
      <c r="B169" s="24" t="s">
        <v>104</v>
      </c>
      <c r="C169" s="14">
        <f>SUM('ALPINE VALLEY:WOODLAND'!C166)</f>
        <v>7158660.8699999992</v>
      </c>
      <c r="D169" s="14">
        <f>SUM('ALPINE VALLEY:WOODLAND'!D166)</f>
        <v>427024</v>
      </c>
      <c r="E169" s="14">
        <f>SUM('ALPINE VALLEY:WOODLAND'!E166)</f>
        <v>7585684.8699999992</v>
      </c>
      <c r="F169" s="14">
        <f>SUM('ALPINE VALLEY:WOODLAND'!F166)</f>
        <v>818681</v>
      </c>
      <c r="G169" s="14">
        <f>SUM('ALPINE VALLEY:WOODLAND'!G166)</f>
        <v>8404365.8699999992</v>
      </c>
      <c r="H169" s="92">
        <f t="shared" si="18"/>
        <v>1.8273261513713265E-2</v>
      </c>
      <c r="J169" s="111">
        <f t="shared" si="19"/>
        <v>4.5899160973212085</v>
      </c>
      <c r="K169" s="25">
        <v>0</v>
      </c>
      <c r="L169" s="118">
        <f>SUM('ALPINE VALLEY:WOODLAND'!J166)</f>
        <v>206266.86428571428</v>
      </c>
      <c r="M169" s="118">
        <f>SUM('ALPINE VALLEY:WOODLAND'!K166)</f>
        <v>217677.43357142856</v>
      </c>
      <c r="N169" s="119"/>
      <c r="O169" s="120">
        <f>IF(L169=0,0,G169/M169)</f>
        <v>38.609265701592328</v>
      </c>
      <c r="P169" s="59"/>
      <c r="Q169" s="121">
        <f>M169/$G$231</f>
        <v>0.11888120672369873</v>
      </c>
      <c r="R169" s="58"/>
    </row>
    <row r="170" spans="1:18" s="25" customFormat="1" ht="15.5">
      <c r="A170" s="32" t="s">
        <v>157</v>
      </c>
      <c r="B170" s="24" t="s">
        <v>105</v>
      </c>
      <c r="C170" s="14">
        <f>SUM('ALPINE VALLEY:WOODLAND'!C167)</f>
        <v>530476.87</v>
      </c>
      <c r="D170" s="14">
        <f>SUM('ALPINE VALLEY:WOODLAND'!D167)</f>
        <v>774165.41053749889</v>
      </c>
      <c r="E170" s="14">
        <f>SUM('ALPINE VALLEY:WOODLAND'!E167)</f>
        <v>1304642.2805374989</v>
      </c>
      <c r="F170" s="14">
        <f>SUM('ALPINE VALLEY:WOODLAND'!F167)</f>
        <v>223676</v>
      </c>
      <c r="G170" s="14">
        <f>SUM('ALPINE VALLEY:WOODLAND'!G167)</f>
        <v>1528318.2805374989</v>
      </c>
      <c r="H170" s="92">
        <f t="shared" si="18"/>
        <v>3.322958572774547E-3</v>
      </c>
      <c r="J170" s="111">
        <f t="shared" si="19"/>
        <v>0.83466769369350857</v>
      </c>
      <c r="L170" s="90"/>
      <c r="M170" s="90"/>
      <c r="N170" s="90"/>
      <c r="O170" s="130"/>
      <c r="P170" s="113"/>
      <c r="Q170" s="125"/>
      <c r="R170" s="58"/>
    </row>
    <row r="171" spans="1:18" s="25" customFormat="1" ht="15.5">
      <c r="A171" s="32" t="s">
        <v>158</v>
      </c>
      <c r="B171" s="25" t="s">
        <v>106</v>
      </c>
      <c r="C171" s="14">
        <f>SUM('ALPINE VALLEY:WOODLAND'!C168)</f>
        <v>1172936</v>
      </c>
      <c r="D171" s="14">
        <f>SUM('ALPINE VALLEY:WOODLAND'!D168)</f>
        <v>73774</v>
      </c>
      <c r="E171" s="14">
        <f>SUM('ALPINE VALLEY:WOODLAND'!E168)</f>
        <v>1246710</v>
      </c>
      <c r="F171" s="14">
        <f>SUM('ALPINE VALLEY:WOODLAND'!F168)</f>
        <v>166155</v>
      </c>
      <c r="G171" s="14">
        <f>SUM('ALPINE VALLEY:WOODLAND'!G168)</f>
        <v>1412865</v>
      </c>
      <c r="H171" s="92">
        <f t="shared" si="18"/>
        <v>3.0719333294056718E-3</v>
      </c>
      <c r="J171" s="111">
        <f t="shared" si="19"/>
        <v>0.77161464733349716</v>
      </c>
      <c r="K171" s="25">
        <v>0</v>
      </c>
      <c r="L171" s="118">
        <f>SUM('ALPINE VALLEY:WOODLAND'!J168)</f>
        <v>25894.93357142857</v>
      </c>
      <c r="M171" s="118">
        <f>SUM('ALPINE VALLEY:WOODLAND'!K168)</f>
        <v>27461.969285714287</v>
      </c>
      <c r="N171" s="119"/>
      <c r="O171" s="120">
        <f>IF(L171=0,0,G171/M171)</f>
        <v>51.448058414913902</v>
      </c>
      <c r="P171" s="59"/>
      <c r="Q171" s="121">
        <f>M171/$G$231</f>
        <v>1.4997935220618928E-2</v>
      </c>
      <c r="R171" s="58"/>
    </row>
    <row r="172" spans="1:18" s="25" customFormat="1" ht="15.5">
      <c r="A172" s="32" t="s">
        <v>86</v>
      </c>
      <c r="B172" s="25" t="s">
        <v>107</v>
      </c>
      <c r="C172" s="14">
        <f>SUM('ALPINE VALLEY:WOODLAND'!C169)</f>
        <v>86882.489999999991</v>
      </c>
      <c r="D172" s="14">
        <f>SUM('ALPINE VALLEY:WOODLAND'!D169)</f>
        <v>116604</v>
      </c>
      <c r="E172" s="14">
        <f>SUM('ALPINE VALLEY:WOODLAND'!E169)</f>
        <v>203486.49000000002</v>
      </c>
      <c r="F172" s="14">
        <f>SUM('ALPINE VALLEY:WOODLAND'!F169)</f>
        <v>41782</v>
      </c>
      <c r="G172" s="14">
        <f>SUM('ALPINE VALLEY:WOODLAND'!G169)</f>
        <v>245268.49000000002</v>
      </c>
      <c r="H172" s="92">
        <f t="shared" si="18"/>
        <v>5.3327702865029695E-4</v>
      </c>
      <c r="J172" s="111">
        <f t="shared" si="19"/>
        <v>0.13394964091641409</v>
      </c>
      <c r="L172" s="90"/>
      <c r="M172" s="90"/>
      <c r="N172" s="90"/>
      <c r="O172" s="130"/>
      <c r="P172" s="113"/>
      <c r="Q172" s="125"/>
      <c r="R172" s="58"/>
    </row>
    <row r="173" spans="1:18" s="25" customFormat="1" ht="15.5">
      <c r="A173" s="32" t="s">
        <v>96</v>
      </c>
      <c r="B173" s="24" t="s">
        <v>108</v>
      </c>
      <c r="C173" s="14">
        <f>SUM('ALPINE VALLEY:WOODLAND'!C170)</f>
        <v>0</v>
      </c>
      <c r="D173" s="14">
        <f>SUM('ALPINE VALLEY:WOODLAND'!D170)</f>
        <v>0</v>
      </c>
      <c r="E173" s="14">
        <f>SUM('ALPINE VALLEY:WOODLAND'!E170)</f>
        <v>0</v>
      </c>
      <c r="F173" s="14">
        <f>SUM('ALPINE VALLEY:WOODLAND'!F170)</f>
        <v>0</v>
      </c>
      <c r="G173" s="14">
        <f>SUM('ALPINE VALLEY:WOODLAND'!G170)</f>
        <v>0</v>
      </c>
      <c r="H173" s="92">
        <f t="shared" si="18"/>
        <v>0</v>
      </c>
      <c r="J173" s="111">
        <f t="shared" si="19"/>
        <v>0</v>
      </c>
      <c r="K173" s="25">
        <v>0</v>
      </c>
      <c r="L173" s="118">
        <f>SUM('ALPINE VALLEY:WOODLAND'!J170)</f>
        <v>0</v>
      </c>
      <c r="M173" s="118">
        <f>SUM('ALPINE VALLEY:WOODLAND'!K170)</f>
        <v>0</v>
      </c>
      <c r="N173" s="119"/>
      <c r="O173" s="120">
        <f>IF(L173=0,0,G173/M173)</f>
        <v>0</v>
      </c>
      <c r="P173" s="59"/>
      <c r="Q173" s="121">
        <f>M173/$G$231</f>
        <v>0</v>
      </c>
      <c r="R173" s="58"/>
    </row>
    <row r="174" spans="1:18" s="25" customFormat="1" ht="15.5">
      <c r="A174" s="32" t="s">
        <v>125</v>
      </c>
      <c r="B174" s="24" t="s">
        <v>109</v>
      </c>
      <c r="C174" s="14">
        <f>SUM('ALPINE VALLEY:WOODLAND'!C171)</f>
        <v>0</v>
      </c>
      <c r="D174" s="14">
        <f>SUM('ALPINE VALLEY:WOODLAND'!D171)</f>
        <v>0</v>
      </c>
      <c r="E174" s="14">
        <f>SUM('ALPINE VALLEY:WOODLAND'!E171)</f>
        <v>0</v>
      </c>
      <c r="F174" s="14">
        <f>SUM('ALPINE VALLEY:WOODLAND'!F171)</f>
        <v>0</v>
      </c>
      <c r="G174" s="14">
        <f>SUM('ALPINE VALLEY:WOODLAND'!G171)</f>
        <v>0</v>
      </c>
      <c r="H174" s="92">
        <f t="shared" si="18"/>
        <v>0</v>
      </c>
      <c r="J174" s="111">
        <f t="shared" si="19"/>
        <v>0</v>
      </c>
      <c r="L174" s="90"/>
      <c r="M174" s="90"/>
      <c r="N174" s="90"/>
      <c r="O174" s="130"/>
      <c r="P174" s="113"/>
      <c r="Q174" s="125"/>
      <c r="R174" s="58"/>
    </row>
    <row r="175" spans="1:18" s="25" customFormat="1" ht="15.5">
      <c r="A175" s="32" t="s">
        <v>126</v>
      </c>
      <c r="B175" s="24" t="s">
        <v>110</v>
      </c>
      <c r="C175" s="14">
        <f>SUM('ALPINE VALLEY:WOODLAND'!C172)</f>
        <v>4047273.64</v>
      </c>
      <c r="D175" s="14">
        <f>SUM('ALPINE VALLEY:WOODLAND'!D172)</f>
        <v>326532</v>
      </c>
      <c r="E175" s="14">
        <f>SUM('ALPINE VALLEY:WOODLAND'!E172)</f>
        <v>4373805.6399999997</v>
      </c>
      <c r="F175" s="14">
        <f>SUM('ALPINE VALLEY:WOODLAND'!F172)</f>
        <v>376151</v>
      </c>
      <c r="G175" s="14">
        <f>SUM('ALPINE VALLEY:WOODLAND'!G172)</f>
        <v>4749956.6399999997</v>
      </c>
      <c r="H175" s="92">
        <f t="shared" si="18"/>
        <v>1.0327632233545155E-2</v>
      </c>
      <c r="J175" s="111">
        <f t="shared" si="19"/>
        <v>2.5941162939297122</v>
      </c>
      <c r="K175" s="25">
        <v>0</v>
      </c>
      <c r="L175" s="118">
        <f>SUM('ALPINE VALLEY:WOODLAND'!J172)</f>
        <v>111487.77214285714</v>
      </c>
      <c r="M175" s="118">
        <f>SUM('ALPINE VALLEY:WOODLAND'!K172)</f>
        <v>117532.45357142857</v>
      </c>
      <c r="N175" s="119"/>
      <c r="O175" s="120">
        <f>IF(L175=0,0,G175/M175)</f>
        <v>40.414000522105027</v>
      </c>
      <c r="P175" s="59"/>
      <c r="Q175" s="121">
        <f>M175/$G$231</f>
        <v>6.4188554966510242E-2</v>
      </c>
      <c r="R175" s="58"/>
    </row>
    <row r="176" spans="1:18" s="25" customFormat="1" ht="15.5">
      <c r="A176" s="32" t="s">
        <v>127</v>
      </c>
      <c r="B176" s="24" t="s">
        <v>111</v>
      </c>
      <c r="C176" s="14">
        <f>SUM('ALPINE VALLEY:WOODLAND'!C173)</f>
        <v>189159.49</v>
      </c>
      <c r="D176" s="14">
        <f>SUM('ALPINE VALLEY:WOODLAND'!D173)</f>
        <v>515250.05715202703</v>
      </c>
      <c r="E176" s="14">
        <f>SUM('ALPINE VALLEY:WOODLAND'!E173)</f>
        <v>704409.54715202702</v>
      </c>
      <c r="F176" s="14">
        <f>SUM('ALPINE VALLEY:WOODLAND'!F173)</f>
        <v>90848</v>
      </c>
      <c r="G176" s="14">
        <f>SUM('ALPINE VALLEY:WOODLAND'!G173)</f>
        <v>795257.54715202702</v>
      </c>
      <c r="H176" s="92">
        <f t="shared" si="18"/>
        <v>1.7290952529489473E-3</v>
      </c>
      <c r="J176" s="111">
        <f t="shared" si="19"/>
        <v>0.43431776693811036</v>
      </c>
      <c r="L176" s="90"/>
      <c r="M176" s="90"/>
      <c r="N176" s="90"/>
      <c r="O176" s="130"/>
      <c r="P176" s="113"/>
      <c r="Q176" s="125"/>
      <c r="R176" s="58"/>
    </row>
    <row r="177" spans="1:18" s="25" customFormat="1" ht="15.5">
      <c r="A177" s="32" t="s">
        <v>128</v>
      </c>
      <c r="B177" s="24" t="s">
        <v>112</v>
      </c>
      <c r="C177" s="14">
        <f>SUM('ALPINE VALLEY:WOODLAND'!C174)</f>
        <v>4322</v>
      </c>
      <c r="D177" s="14">
        <f>SUM('ALPINE VALLEY:WOODLAND'!D174)</f>
        <v>0</v>
      </c>
      <c r="E177" s="14">
        <f>SUM('ALPINE VALLEY:WOODLAND'!E174)</f>
        <v>4322</v>
      </c>
      <c r="F177" s="14">
        <f>SUM('ALPINE VALLEY:WOODLAND'!F174)</f>
        <v>0</v>
      </c>
      <c r="G177" s="14">
        <f>SUM('ALPINE VALLEY:WOODLAND'!G174)</f>
        <v>4322</v>
      </c>
      <c r="H177" s="92">
        <f t="shared" si="18"/>
        <v>9.3971439944306878E-6</v>
      </c>
      <c r="J177" s="111">
        <f t="shared" si="19"/>
        <v>2.3603943092760983E-3</v>
      </c>
      <c r="K177" s="25">
        <v>0</v>
      </c>
      <c r="L177" s="118">
        <f>SUM('ALPINE VALLEY:WOODLAND'!J174)</f>
        <v>0</v>
      </c>
      <c r="M177" s="118">
        <f>SUM('ALPINE VALLEY:WOODLAND'!K174)</f>
        <v>0</v>
      </c>
      <c r="N177" s="119"/>
      <c r="O177" s="120">
        <f>IF(L177=0,0,G177/M177)</f>
        <v>0</v>
      </c>
      <c r="P177" s="59"/>
      <c r="Q177" s="121">
        <f>M177/$G$231</f>
        <v>0</v>
      </c>
      <c r="R177" s="58"/>
    </row>
    <row r="178" spans="1:18" s="25" customFormat="1" ht="15.5">
      <c r="A178" s="32" t="s">
        <v>129</v>
      </c>
      <c r="B178" s="2" t="s">
        <v>113</v>
      </c>
      <c r="C178" s="14">
        <f>SUM('ALPINE VALLEY:WOODLAND'!C175)</f>
        <v>0</v>
      </c>
      <c r="D178" s="14">
        <f>SUM('ALPINE VALLEY:WOODLAND'!D175)</f>
        <v>0</v>
      </c>
      <c r="E178" s="14">
        <f>SUM('ALPINE VALLEY:WOODLAND'!E175)</f>
        <v>0</v>
      </c>
      <c r="F178" s="14">
        <f>SUM('ALPINE VALLEY:WOODLAND'!F175)</f>
        <v>0</v>
      </c>
      <c r="G178" s="14">
        <f>SUM('ALPINE VALLEY:WOODLAND'!G175)</f>
        <v>0</v>
      </c>
      <c r="H178" s="92">
        <f t="shared" si="18"/>
        <v>0</v>
      </c>
      <c r="J178" s="111">
        <f t="shared" si="19"/>
        <v>0</v>
      </c>
      <c r="L178" s="96"/>
      <c r="M178" s="96"/>
      <c r="N178" s="96"/>
      <c r="O178" s="112"/>
      <c r="P178" s="113"/>
      <c r="Q178" s="112"/>
      <c r="R178" s="58"/>
    </row>
    <row r="179" spans="1:18" s="25" customFormat="1" ht="15.5">
      <c r="A179" s="32">
        <v>112</v>
      </c>
      <c r="B179" s="2" t="s">
        <v>154</v>
      </c>
      <c r="C179" s="14">
        <f>SUM('ALPINE VALLEY:WOODLAND'!C176)</f>
        <v>0</v>
      </c>
      <c r="D179" s="14">
        <f>SUM('ALPINE VALLEY:WOODLAND'!D176)</f>
        <v>0</v>
      </c>
      <c r="E179" s="14">
        <f>SUM('ALPINE VALLEY:WOODLAND'!E176)</f>
        <v>0</v>
      </c>
      <c r="F179" s="14">
        <f>SUM('ALPINE VALLEY:WOODLAND'!F176)</f>
        <v>0</v>
      </c>
      <c r="G179" s="14">
        <f>SUM('ALPINE VALLEY:WOODLAND'!G176)</f>
        <v>0</v>
      </c>
      <c r="H179" s="92">
        <f t="shared" si="18"/>
        <v>0</v>
      </c>
      <c r="J179" s="111">
        <f t="shared" si="19"/>
        <v>0</v>
      </c>
      <c r="L179" s="90"/>
      <c r="M179" s="90"/>
      <c r="N179" s="90"/>
      <c r="O179" s="112"/>
      <c r="P179" s="113"/>
      <c r="Q179" s="112"/>
      <c r="R179" s="58"/>
    </row>
    <row r="180" spans="1:18" s="25" customFormat="1" ht="15.5">
      <c r="A180" s="32">
        <v>113</v>
      </c>
      <c r="B180" s="2" t="s">
        <v>114</v>
      </c>
      <c r="C180" s="14">
        <f>SUM('ALPINE VALLEY:WOODLAND'!C177)</f>
        <v>159362.60000000003</v>
      </c>
      <c r="D180" s="14">
        <f>SUM('ALPINE VALLEY:WOODLAND'!D177)</f>
        <v>-1192</v>
      </c>
      <c r="E180" s="14">
        <f>SUM('ALPINE VALLEY:WOODLAND'!E177)</f>
        <v>158170.60000000003</v>
      </c>
      <c r="F180" s="14">
        <f>SUM('ALPINE VALLEY:WOODLAND'!F177)</f>
        <v>7799</v>
      </c>
      <c r="G180" s="14">
        <f>SUM('ALPINE VALLEY:WOODLAND'!G177)</f>
        <v>165969.60000000003</v>
      </c>
      <c r="H180" s="92">
        <f t="shared" si="18"/>
        <v>3.6086076582555847E-4</v>
      </c>
      <c r="J180" s="111">
        <f t="shared" si="19"/>
        <v>9.0641762922913108E-2</v>
      </c>
      <c r="L180" s="90"/>
      <c r="M180" s="90"/>
      <c r="N180" s="90"/>
      <c r="O180" s="112"/>
      <c r="P180" s="113"/>
      <c r="Q180" s="112"/>
      <c r="R180" s="58"/>
    </row>
    <row r="181" spans="1:18" s="25" customFormat="1" ht="15.5">
      <c r="A181" s="32">
        <v>114</v>
      </c>
      <c r="B181" s="25" t="s">
        <v>155</v>
      </c>
      <c r="C181" s="14">
        <f>SUM('ALPINE VALLEY:WOODLAND'!C178)</f>
        <v>22982.809999999998</v>
      </c>
      <c r="D181" s="14">
        <f>SUM('ALPINE VALLEY:WOODLAND'!D178)</f>
        <v>39</v>
      </c>
      <c r="E181" s="14">
        <f>SUM('ALPINE VALLEY:WOODLAND'!E178)</f>
        <v>23021.809999999998</v>
      </c>
      <c r="F181" s="14">
        <f>SUM('ALPINE VALLEY:WOODLAND'!F178)</f>
        <v>9546.08</v>
      </c>
      <c r="G181" s="14">
        <f>SUM('ALPINE VALLEY:WOODLAND'!G178)</f>
        <v>32567.89</v>
      </c>
      <c r="H181" s="92">
        <f t="shared" si="18"/>
        <v>7.081100229633948E-5</v>
      </c>
      <c r="J181" s="111">
        <f t="shared" si="19"/>
        <v>1.778645585866033E-2</v>
      </c>
      <c r="L181" s="90"/>
      <c r="M181" s="90"/>
      <c r="N181" s="90"/>
      <c r="O181" s="112"/>
      <c r="P181" s="113"/>
      <c r="Q181" s="112"/>
      <c r="R181" s="58"/>
    </row>
    <row r="182" spans="1:18" s="25" customFormat="1" ht="15.5">
      <c r="A182" s="32">
        <v>115</v>
      </c>
      <c r="B182" s="2" t="s">
        <v>115</v>
      </c>
      <c r="C182" s="14">
        <f>SUM('ALPINE VALLEY:WOODLAND'!C179)</f>
        <v>210</v>
      </c>
      <c r="D182" s="14">
        <f>SUM('ALPINE VALLEY:WOODLAND'!D179)</f>
        <v>0</v>
      </c>
      <c r="E182" s="14">
        <f>SUM('ALPINE VALLEY:WOODLAND'!E179)</f>
        <v>210</v>
      </c>
      <c r="F182" s="14">
        <f>SUM('ALPINE VALLEY:WOODLAND'!F179)</f>
        <v>0</v>
      </c>
      <c r="G182" s="14">
        <f>SUM('ALPINE VALLEY:WOODLAND'!G179)</f>
        <v>210</v>
      </c>
      <c r="H182" s="92">
        <f t="shared" si="18"/>
        <v>4.5659422462527634E-7</v>
      </c>
      <c r="J182" s="111">
        <f t="shared" si="19"/>
        <v>1.1468829360203163E-4</v>
      </c>
      <c r="L182" s="90"/>
      <c r="M182" s="90"/>
      <c r="N182" s="90"/>
      <c r="O182" s="112"/>
      <c r="P182" s="113"/>
      <c r="Q182" s="112"/>
      <c r="R182" s="58"/>
    </row>
    <row r="183" spans="1:18" s="25" customFormat="1" ht="15.5">
      <c r="A183" s="32">
        <v>116</v>
      </c>
      <c r="B183" s="2" t="s">
        <v>116</v>
      </c>
      <c r="C183" s="14">
        <f>SUM('ALPINE VALLEY:WOODLAND'!C180)</f>
        <v>39271</v>
      </c>
      <c r="D183" s="14">
        <f>SUM('ALPINE VALLEY:WOODLAND'!D180)</f>
        <v>1156</v>
      </c>
      <c r="E183" s="14">
        <f>SUM('ALPINE VALLEY:WOODLAND'!E180)</f>
        <v>40427</v>
      </c>
      <c r="F183" s="14">
        <f>SUM('ALPINE VALLEY:WOODLAND'!F180)</f>
        <v>-6620.8099999999995</v>
      </c>
      <c r="G183" s="14">
        <f>SUM('ALPINE VALLEY:WOODLAND'!G180)</f>
        <v>33806.189999999995</v>
      </c>
      <c r="H183" s="92">
        <f t="shared" si="18"/>
        <v>7.3503386240879846E-5</v>
      </c>
      <c r="J183" s="111">
        <f t="shared" si="19"/>
        <v>1.8462734496600307E-2</v>
      </c>
      <c r="L183" s="90"/>
      <c r="M183" s="90"/>
      <c r="N183" s="90"/>
      <c r="O183" s="112"/>
      <c r="P183" s="113"/>
      <c r="Q183" s="112"/>
      <c r="R183" s="58"/>
    </row>
    <row r="184" spans="1:18" s="25" customFormat="1" ht="15.5">
      <c r="A184" s="32">
        <v>117</v>
      </c>
      <c r="B184" s="2" t="s">
        <v>117</v>
      </c>
      <c r="C184" s="14">
        <f>SUM('ALPINE VALLEY:WOODLAND'!C181)</f>
        <v>318557</v>
      </c>
      <c r="D184" s="14">
        <f>SUM('ALPINE VALLEY:WOODLAND'!D181)</f>
        <v>0</v>
      </c>
      <c r="E184" s="14">
        <f>SUM('ALPINE VALLEY:WOODLAND'!E181)</f>
        <v>318557</v>
      </c>
      <c r="F184" s="14">
        <f>SUM('ALPINE VALLEY:WOODLAND'!F181)</f>
        <v>66566.27</v>
      </c>
      <c r="G184" s="14">
        <f>SUM('ALPINE VALLEY:WOODLAND'!G181)</f>
        <v>385123.26999999996</v>
      </c>
      <c r="H184" s="92">
        <f t="shared" si="18"/>
        <v>8.3735743262286163E-4</v>
      </c>
      <c r="J184" s="111">
        <f t="shared" si="19"/>
        <v>0.21032919363206901</v>
      </c>
      <c r="L184" s="90"/>
      <c r="M184" s="90"/>
      <c r="N184" s="90"/>
      <c r="O184" s="112"/>
      <c r="P184" s="113"/>
      <c r="Q184" s="112"/>
      <c r="R184" s="58"/>
    </row>
    <row r="185" spans="1:18" s="25" customFormat="1" ht="15.5">
      <c r="A185" s="32" t="s">
        <v>132</v>
      </c>
      <c r="B185" s="2" t="s">
        <v>118</v>
      </c>
      <c r="C185" s="14">
        <f>SUM('ALPINE VALLEY:WOODLAND'!C182)</f>
        <v>96870.07</v>
      </c>
      <c r="D185" s="14">
        <f>SUM('ALPINE VALLEY:WOODLAND'!D182)</f>
        <v>-12756.84</v>
      </c>
      <c r="E185" s="14">
        <f>SUM('ALPINE VALLEY:WOODLAND'!E182)</f>
        <v>84113.23000000001</v>
      </c>
      <c r="F185" s="14">
        <f>SUM('ALPINE VALLEY:WOODLAND'!F182)</f>
        <v>0</v>
      </c>
      <c r="G185" s="14">
        <f>SUM('ALPINE VALLEY:WOODLAND'!G182)</f>
        <v>84113.23000000001</v>
      </c>
      <c r="H185" s="92">
        <f t="shared" si="18"/>
        <v>1.828838811075121E-4</v>
      </c>
      <c r="J185" s="111">
        <f t="shared" si="19"/>
        <v>4.5937156276453409E-2</v>
      </c>
      <c r="L185" s="90"/>
      <c r="M185" s="90"/>
      <c r="N185" s="90"/>
      <c r="O185" s="112"/>
      <c r="P185" s="113"/>
      <c r="Q185" s="112"/>
      <c r="R185" s="58"/>
    </row>
    <row r="186" spans="1:18" s="25" customFormat="1" ht="15.5">
      <c r="A186" s="32" t="s">
        <v>133</v>
      </c>
      <c r="B186" s="2" t="s">
        <v>119</v>
      </c>
      <c r="C186" s="14">
        <f>SUM('ALPINE VALLEY:WOODLAND'!C183)</f>
        <v>13706856.589999998</v>
      </c>
      <c r="D186" s="14">
        <f>SUM('ALPINE VALLEY:WOODLAND'!D183)</f>
        <v>-502577.82999999996</v>
      </c>
      <c r="E186" s="14">
        <f>SUM('ALPINE VALLEY:WOODLAND'!E183)</f>
        <v>13204278.76</v>
      </c>
      <c r="F186" s="14">
        <f>SUM('ALPINE VALLEY:WOODLAND'!F183)</f>
        <v>186162.68</v>
      </c>
      <c r="G186" s="14">
        <f>SUM('ALPINE VALLEY:WOODLAND'!G183)</f>
        <v>13390441.439999999</v>
      </c>
      <c r="H186" s="92">
        <f t="shared" si="18"/>
        <v>2.9114277269937944E-2</v>
      </c>
      <c r="J186" s="111">
        <f t="shared" si="19"/>
        <v>7.3129851396739571</v>
      </c>
      <c r="L186" s="90"/>
      <c r="M186" s="90"/>
      <c r="N186" s="90"/>
      <c r="O186" s="112"/>
      <c r="P186" s="113"/>
      <c r="Q186" s="112"/>
      <c r="R186" s="58"/>
    </row>
    <row r="187" spans="1:18" s="25" customFormat="1" ht="15.5">
      <c r="A187" s="32" t="s">
        <v>134</v>
      </c>
      <c r="B187" s="2" t="s">
        <v>120</v>
      </c>
      <c r="C187" s="14">
        <f>SUM('ALPINE VALLEY:WOODLAND'!C184)</f>
        <v>2947495.43</v>
      </c>
      <c r="D187" s="14">
        <f>SUM('ALPINE VALLEY:WOODLAND'!D184)</f>
        <v>-4445.7499999999927</v>
      </c>
      <c r="E187" s="14">
        <f>SUM('ALPINE VALLEY:WOODLAND'!E184)</f>
        <v>2943049.68</v>
      </c>
      <c r="F187" s="14">
        <f>SUM('ALPINE VALLEY:WOODLAND'!F184)</f>
        <v>19354.61</v>
      </c>
      <c r="G187" s="14">
        <f>SUM('ALPINE VALLEY:WOODLAND'!G184)</f>
        <v>2962404.2899999996</v>
      </c>
      <c r="H187" s="92">
        <f t="shared" si="18"/>
        <v>6.4410318562816288E-3</v>
      </c>
      <c r="J187" s="111">
        <f t="shared" si="19"/>
        <v>1.617871871330657</v>
      </c>
      <c r="L187" s="90"/>
      <c r="M187" s="90"/>
      <c r="N187" s="90"/>
      <c r="O187" s="112"/>
      <c r="P187" s="113"/>
      <c r="Q187" s="112"/>
      <c r="R187" s="58"/>
    </row>
    <row r="188" spans="1:18" s="25" customFormat="1" ht="15.5">
      <c r="A188" s="32" t="s">
        <v>135</v>
      </c>
      <c r="B188" s="2" t="s">
        <v>131</v>
      </c>
      <c r="C188" s="14">
        <f>SUM('ALPINE VALLEY:WOODLAND'!C185)</f>
        <v>0</v>
      </c>
      <c r="D188" s="14">
        <f>SUM('ALPINE VALLEY:WOODLAND'!D185)</f>
        <v>0</v>
      </c>
      <c r="E188" s="14">
        <f>SUM('ALPINE VALLEY:WOODLAND'!E185)</f>
        <v>0</v>
      </c>
      <c r="F188" s="14">
        <f>SUM('ALPINE VALLEY:WOODLAND'!F185)</f>
        <v>0</v>
      </c>
      <c r="G188" s="14">
        <f>SUM('ALPINE VALLEY:WOODLAND'!G185)</f>
        <v>0</v>
      </c>
      <c r="H188" s="92">
        <f t="shared" si="18"/>
        <v>0</v>
      </c>
      <c r="J188" s="111">
        <f t="shared" si="19"/>
        <v>0</v>
      </c>
      <c r="L188" s="90"/>
      <c r="M188" s="90"/>
      <c r="N188" s="90"/>
      <c r="O188" s="112"/>
      <c r="P188" s="113"/>
      <c r="Q188" s="112"/>
      <c r="R188" s="58"/>
    </row>
    <row r="189" spans="1:18" s="25" customFormat="1" ht="15.5">
      <c r="A189" s="32" t="s">
        <v>136</v>
      </c>
      <c r="B189" s="2" t="s">
        <v>121</v>
      </c>
      <c r="C189" s="14">
        <f>SUM('ALPINE VALLEY:WOODLAND'!C186)</f>
        <v>9401930.7699999996</v>
      </c>
      <c r="D189" s="14">
        <f>SUM('ALPINE VALLEY:WOODLAND'!D186)</f>
        <v>-260808.09000000003</v>
      </c>
      <c r="E189" s="14">
        <f>SUM('ALPINE VALLEY:WOODLAND'!E186)</f>
        <v>9141122.6799999997</v>
      </c>
      <c r="F189" s="14">
        <f>SUM('ALPINE VALLEY:WOODLAND'!F186)</f>
        <v>142077.16</v>
      </c>
      <c r="G189" s="14">
        <f>SUM('ALPINE VALLEY:WOODLAND'!G186)</f>
        <v>9283199.8399999999</v>
      </c>
      <c r="H189" s="92">
        <f t="shared" si="18"/>
        <v>2.0184073490410903E-2</v>
      </c>
      <c r="J189" s="111">
        <f t="shared" si="19"/>
        <v>5.0698778515059661</v>
      </c>
      <c r="L189" s="90"/>
      <c r="M189" s="90"/>
      <c r="N189" s="90"/>
      <c r="O189" s="112"/>
      <c r="P189" s="113"/>
      <c r="Q189" s="112"/>
      <c r="R189" s="58"/>
    </row>
    <row r="190" spans="1:18" s="25" customFormat="1" ht="15.5">
      <c r="A190" s="32" t="s">
        <v>137</v>
      </c>
      <c r="B190" s="2" t="s">
        <v>122</v>
      </c>
      <c r="C190" s="14">
        <f>SUM('ALPINE VALLEY:WOODLAND'!C187)</f>
        <v>2373058.0500000003</v>
      </c>
      <c r="D190" s="14">
        <f>SUM('ALPINE VALLEY:WOODLAND'!D187)</f>
        <v>-3059</v>
      </c>
      <c r="E190" s="14">
        <f>SUM('ALPINE VALLEY:WOODLAND'!E187)</f>
        <v>2369999.0500000003</v>
      </c>
      <c r="F190" s="14">
        <f>SUM('ALPINE VALLEY:WOODLAND'!F187)</f>
        <v>19155</v>
      </c>
      <c r="G190" s="14">
        <f>SUM('ALPINE VALLEY:WOODLAND'!G187)</f>
        <v>2389154.0500000003</v>
      </c>
      <c r="H190" s="92">
        <f t="shared" si="18"/>
        <v>5.1946378141432799E-3</v>
      </c>
      <c r="J190" s="111">
        <f t="shared" si="19"/>
        <v>1.3048000054613476</v>
      </c>
      <c r="L190" s="90"/>
      <c r="M190" s="90"/>
      <c r="N190" s="90"/>
      <c r="O190" s="112"/>
      <c r="P190" s="113"/>
      <c r="Q190" s="112"/>
      <c r="R190" s="58"/>
    </row>
    <row r="191" spans="1:18" s="25" customFormat="1" ht="15.5">
      <c r="A191" s="37" t="s">
        <v>275</v>
      </c>
      <c r="B191" s="38" t="s">
        <v>276</v>
      </c>
      <c r="C191" s="14">
        <f>SUM('ALPINE VALLEY:WOODLAND'!C188)</f>
        <v>732208.76</v>
      </c>
      <c r="D191" s="14">
        <f>SUM('ALPINE VALLEY:WOODLAND'!D188)</f>
        <v>137</v>
      </c>
      <c r="E191" s="14">
        <f>SUM('ALPINE VALLEY:WOODLAND'!E188)</f>
        <v>732345.76</v>
      </c>
      <c r="F191" s="14">
        <f>SUM('ALPINE VALLEY:WOODLAND'!F188)</f>
        <v>0</v>
      </c>
      <c r="G191" s="14">
        <f>SUM('ALPINE VALLEY:WOODLAND'!G188)</f>
        <v>732345.76</v>
      </c>
      <c r="H191" s="92">
        <f t="shared" ref="H191:H200" si="20">IF($G$211=0,0,G191/$G$211)</f>
        <v>1.5923087830705177E-3</v>
      </c>
      <c r="J191" s="111">
        <f t="shared" si="19"/>
        <v>0.39995945495753804</v>
      </c>
      <c r="L191" s="90"/>
      <c r="M191" s="90"/>
      <c r="N191" s="90"/>
      <c r="O191" s="112"/>
      <c r="P191" s="113"/>
      <c r="Q191" s="112"/>
      <c r="R191" s="58"/>
    </row>
    <row r="192" spans="1:18" s="25" customFormat="1" ht="15.5">
      <c r="A192" s="37" t="s">
        <v>277</v>
      </c>
      <c r="B192" s="38" t="s">
        <v>278</v>
      </c>
      <c r="C192" s="14">
        <f>SUM('ALPINE VALLEY:WOODLAND'!C189)</f>
        <v>4739.74</v>
      </c>
      <c r="D192" s="14">
        <f>SUM('ALPINE VALLEY:WOODLAND'!D189)</f>
        <v>0</v>
      </c>
      <c r="E192" s="14">
        <f>SUM('ALPINE VALLEY:WOODLAND'!E189)</f>
        <v>4739.74</v>
      </c>
      <c r="F192" s="14">
        <f>SUM('ALPINE VALLEY:WOODLAND'!F189)</f>
        <v>4562</v>
      </c>
      <c r="G192" s="14">
        <f>SUM('ALPINE VALLEY:WOODLAND'!G189)</f>
        <v>9301.74</v>
      </c>
      <c r="H192" s="92">
        <f t="shared" si="20"/>
        <v>2.0224384585551991E-5</v>
      </c>
      <c r="J192" s="111">
        <f t="shared" si="19"/>
        <v>5.0800032768083883E-3</v>
      </c>
      <c r="L192" s="90"/>
      <c r="M192" s="90"/>
      <c r="N192" s="90"/>
      <c r="O192" s="112"/>
      <c r="P192" s="113"/>
      <c r="Q192" s="112"/>
      <c r="R192" s="58"/>
    </row>
    <row r="193" spans="1:18" s="25" customFormat="1" ht="15.5">
      <c r="A193" s="37" t="s">
        <v>279</v>
      </c>
      <c r="B193" s="38" t="s">
        <v>280</v>
      </c>
      <c r="C193" s="14">
        <f>SUM('ALPINE VALLEY:WOODLAND'!C190)</f>
        <v>-40576.04</v>
      </c>
      <c r="D193" s="14">
        <f>SUM('ALPINE VALLEY:WOODLAND'!D190)</f>
        <v>0</v>
      </c>
      <c r="E193" s="14">
        <f>SUM('ALPINE VALLEY:WOODLAND'!E190)</f>
        <v>-40576.04</v>
      </c>
      <c r="F193" s="14">
        <f>SUM('ALPINE VALLEY:WOODLAND'!F190)</f>
        <v>0</v>
      </c>
      <c r="G193" s="14">
        <f>SUM('ALPINE VALLEY:WOODLAND'!G190)</f>
        <v>-40576.04</v>
      </c>
      <c r="H193" s="92">
        <f t="shared" si="20"/>
        <v>-8.8222788200781902E-5</v>
      </c>
      <c r="J193" s="111">
        <f t="shared" si="19"/>
        <v>-2.2159984708227519E-2</v>
      </c>
      <c r="L193" s="90"/>
      <c r="M193" s="90"/>
      <c r="N193" s="90"/>
      <c r="O193" s="112"/>
      <c r="P193" s="113"/>
      <c r="Q193" s="112"/>
      <c r="R193" s="58"/>
    </row>
    <row r="194" spans="1:18" s="25" customFormat="1" ht="15.5">
      <c r="A194" s="37" t="s">
        <v>281</v>
      </c>
      <c r="B194" s="38" t="s">
        <v>282</v>
      </c>
      <c r="C194" s="14">
        <f>SUM('ALPINE VALLEY:WOODLAND'!C191)</f>
        <v>871.56</v>
      </c>
      <c r="D194" s="14">
        <f>SUM('ALPINE VALLEY:WOODLAND'!D191)</f>
        <v>0</v>
      </c>
      <c r="E194" s="14">
        <f>SUM('ALPINE VALLEY:WOODLAND'!E191)</f>
        <v>871.56</v>
      </c>
      <c r="F194" s="14">
        <f>SUM('ALPINE VALLEY:WOODLAND'!F191)</f>
        <v>0</v>
      </c>
      <c r="G194" s="14">
        <f>SUM('ALPINE VALLEY:WOODLAND'!G191)</f>
        <v>871.56</v>
      </c>
      <c r="H194" s="92">
        <f t="shared" si="20"/>
        <v>1.8949964876876469E-6</v>
      </c>
      <c r="J194" s="111">
        <f t="shared" si="19"/>
        <v>4.7598918653231749E-4</v>
      </c>
      <c r="L194" s="90"/>
      <c r="M194" s="90"/>
      <c r="N194" s="90"/>
      <c r="O194" s="112"/>
      <c r="P194" s="113"/>
      <c r="Q194" s="112"/>
      <c r="R194" s="58"/>
    </row>
    <row r="195" spans="1:18" s="25" customFormat="1" ht="15.5">
      <c r="A195" s="37" t="s">
        <v>283</v>
      </c>
      <c r="B195" s="38" t="s">
        <v>284</v>
      </c>
      <c r="C195" s="14">
        <f>SUM('ALPINE VALLEY:WOODLAND'!C192)</f>
        <v>129199.96</v>
      </c>
      <c r="D195" s="14">
        <f>SUM('ALPINE VALLEY:WOODLAND'!D192)</f>
        <v>0</v>
      </c>
      <c r="E195" s="14">
        <f>SUM('ALPINE VALLEY:WOODLAND'!E192)</f>
        <v>129199.96</v>
      </c>
      <c r="F195" s="14">
        <f>SUM('ALPINE VALLEY:WOODLAND'!F192)</f>
        <v>53421.83</v>
      </c>
      <c r="G195" s="14">
        <f>SUM('ALPINE VALLEY:WOODLAND'!G192)</f>
        <v>182621.78999999998</v>
      </c>
      <c r="H195" s="92">
        <f t="shared" si="20"/>
        <v>3.9706692668919067E-4</v>
      </c>
      <c r="J195" s="111">
        <f t="shared" si="19"/>
        <v>9.9736102236421709E-2</v>
      </c>
      <c r="L195" s="90"/>
      <c r="M195" s="90"/>
      <c r="N195" s="90"/>
      <c r="O195" s="112"/>
      <c r="P195" s="113"/>
      <c r="Q195" s="112"/>
      <c r="R195" s="58"/>
    </row>
    <row r="196" spans="1:18" s="25" customFormat="1" ht="15.5">
      <c r="A196" s="37" t="s">
        <v>285</v>
      </c>
      <c r="B196" s="38" t="s">
        <v>286</v>
      </c>
      <c r="C196" s="14">
        <f>SUM('ALPINE VALLEY:WOODLAND'!C193)</f>
        <v>0</v>
      </c>
      <c r="D196" s="14">
        <f>SUM('ALPINE VALLEY:WOODLAND'!D193)</f>
        <v>0</v>
      </c>
      <c r="E196" s="14">
        <f>SUM('ALPINE VALLEY:WOODLAND'!E193)</f>
        <v>0</v>
      </c>
      <c r="F196" s="14">
        <f>SUM('ALPINE VALLEY:WOODLAND'!F193)</f>
        <v>25977</v>
      </c>
      <c r="G196" s="14">
        <f>SUM('ALPINE VALLEY:WOODLAND'!G193)</f>
        <v>25977</v>
      </c>
      <c r="H196" s="92">
        <f t="shared" si="20"/>
        <v>5.6480705586146688E-5</v>
      </c>
      <c r="J196" s="111">
        <f t="shared" si="19"/>
        <v>1.4186941918571311E-2</v>
      </c>
      <c r="L196" s="90"/>
      <c r="M196" s="90"/>
      <c r="N196" s="90"/>
      <c r="O196" s="112"/>
      <c r="P196" s="113"/>
      <c r="Q196" s="112"/>
      <c r="R196" s="58"/>
    </row>
    <row r="197" spans="1:18" s="25" customFormat="1" ht="15.5">
      <c r="A197" s="37" t="s">
        <v>138</v>
      </c>
      <c r="B197" s="38" t="s">
        <v>287</v>
      </c>
      <c r="C197" s="14">
        <f>SUM('ALPINE VALLEY:WOODLAND'!C194)</f>
        <v>17556870.84</v>
      </c>
      <c r="D197" s="14">
        <f>SUM('ALPINE VALLEY:WOODLAND'!D194)</f>
        <v>-1119999.57</v>
      </c>
      <c r="E197" s="14">
        <f>SUM('ALPINE VALLEY:WOODLAND'!E194)</f>
        <v>16436871.27</v>
      </c>
      <c r="F197" s="14">
        <f>SUM('ALPINE VALLEY:WOODLAND'!F194)</f>
        <v>812624.02</v>
      </c>
      <c r="G197" s="14">
        <f>SUM('ALPINE VALLEY:WOODLAND'!G194)</f>
        <v>17249495.289999999</v>
      </c>
      <c r="H197" s="92">
        <f t="shared" si="20"/>
        <v>3.7504856795785267E-2</v>
      </c>
      <c r="J197" s="111">
        <f t="shared" si="19"/>
        <v>9.4205484776494348</v>
      </c>
      <c r="L197" s="90"/>
      <c r="M197" s="90"/>
      <c r="N197" s="90"/>
      <c r="O197" s="112"/>
      <c r="P197" s="113"/>
      <c r="Q197" s="112"/>
      <c r="R197" s="58"/>
    </row>
    <row r="198" spans="1:18" s="25" customFormat="1" ht="15.5">
      <c r="A198" s="37" t="s">
        <v>139</v>
      </c>
      <c r="B198" s="38" t="s">
        <v>67</v>
      </c>
      <c r="C198" s="14">
        <f>SUM('ALPINE VALLEY:WOODLAND'!C195)</f>
        <v>923693.11</v>
      </c>
      <c r="D198" s="14">
        <f>SUM('ALPINE VALLEY:WOODLAND'!D195)</f>
        <v>0</v>
      </c>
      <c r="E198" s="14">
        <f>SUM('ALPINE VALLEY:WOODLAND'!E195)</f>
        <v>923693.11</v>
      </c>
      <c r="F198" s="14">
        <f>SUM('ALPINE VALLEY:WOODLAND'!F195)</f>
        <v>19567.419999999998</v>
      </c>
      <c r="G198" s="14">
        <f>SUM('ALPINE VALLEY:WOODLAND'!G195)</f>
        <v>943260.53</v>
      </c>
      <c r="H198" s="92">
        <f t="shared" si="20"/>
        <v>2.0508919538808441E-3</v>
      </c>
      <c r="J198" s="111">
        <f t="shared" si="19"/>
        <v>0.51514733622784747</v>
      </c>
      <c r="L198" s="90"/>
      <c r="M198" s="90"/>
      <c r="N198" s="90"/>
      <c r="O198" s="112"/>
      <c r="P198" s="113"/>
      <c r="Q198" s="112"/>
      <c r="R198" s="58"/>
    </row>
    <row r="199" spans="1:18" s="25" customFormat="1" ht="15.5">
      <c r="A199" s="37" t="s">
        <v>143</v>
      </c>
      <c r="B199" s="39" t="s">
        <v>266</v>
      </c>
      <c r="C199" s="14">
        <f>SUM('ALPINE VALLEY:WOODLAND'!C196)</f>
        <v>988932.39</v>
      </c>
      <c r="D199" s="14">
        <f>SUM('ALPINE VALLEY:WOODLAND'!D196)</f>
        <v>-245014.12</v>
      </c>
      <c r="E199" s="14">
        <f>SUM('ALPINE VALLEY:WOODLAND'!E196)</f>
        <v>743918.2699999999</v>
      </c>
      <c r="F199" s="14">
        <f>SUM('ALPINE VALLEY:WOODLAND'!F196)</f>
        <v>52011.093636363636</v>
      </c>
      <c r="G199" s="14">
        <f>SUM('ALPINE VALLEY:WOODLAND'!G196)</f>
        <v>795929.36363636365</v>
      </c>
      <c r="H199" s="92">
        <f t="shared" si="20"/>
        <v>1.73055595545731E-3</v>
      </c>
      <c r="J199" s="111">
        <f t="shared" si="19"/>
        <v>0.43468466925335936</v>
      </c>
      <c r="L199" s="90"/>
      <c r="M199" s="90"/>
      <c r="N199" s="90"/>
      <c r="O199" s="112"/>
      <c r="P199" s="113"/>
      <c r="Q199" s="112"/>
      <c r="R199" s="58"/>
    </row>
    <row r="200" spans="1:18" s="25" customFormat="1" ht="15.5">
      <c r="A200" s="35"/>
      <c r="B200" s="40" t="s">
        <v>130</v>
      </c>
      <c r="C200" s="14">
        <f>SUM('ALPINE VALLEY:WOODLAND'!C197)</f>
        <v>62552246</v>
      </c>
      <c r="D200" s="14">
        <f>SUM('ALPINE VALLEY:WOODLAND'!D197)</f>
        <v>84828.267689525761</v>
      </c>
      <c r="E200" s="14">
        <f>SUM('ALPINE VALLEY:WOODLAND'!E197)</f>
        <v>62637074.267689519</v>
      </c>
      <c r="F200" s="14">
        <f>SUM('ALPINE VALLEY:WOODLAND'!F197)</f>
        <v>3129496.353636364</v>
      </c>
      <c r="G200" s="14">
        <f>SUM('ALPINE VALLEY:WOODLAND'!G197)</f>
        <v>65766570.621325873</v>
      </c>
      <c r="H200" s="92">
        <f t="shared" si="20"/>
        <v>0.14299350628146557</v>
      </c>
      <c r="J200" s="111">
        <f t="shared" si="19"/>
        <v>35.91740838389223</v>
      </c>
      <c r="L200" s="90"/>
      <c r="M200" s="90"/>
      <c r="N200" s="90"/>
      <c r="O200" s="112"/>
      <c r="P200" s="113"/>
      <c r="Q200" s="112"/>
      <c r="R200" s="58"/>
    </row>
    <row r="201" spans="1:18" s="25" customFormat="1" ht="15.5">
      <c r="A201" s="35"/>
      <c r="C201" s="17"/>
      <c r="D201" s="17"/>
      <c r="E201" s="17"/>
      <c r="F201" s="17"/>
      <c r="G201" s="17"/>
      <c r="H201" s="94"/>
      <c r="J201" s="123"/>
      <c r="L201" s="93"/>
      <c r="M201" s="93"/>
      <c r="N201" s="93"/>
      <c r="O201" s="93"/>
      <c r="P201" s="93"/>
      <c r="Q201" s="93"/>
    </row>
    <row r="202" spans="1:18" s="25" customFormat="1" ht="15.5">
      <c r="A202" s="32" t="s">
        <v>169</v>
      </c>
      <c r="B202" s="24" t="s">
        <v>68</v>
      </c>
      <c r="C202" s="64"/>
      <c r="D202" s="64"/>
      <c r="E202" s="64"/>
      <c r="F202" s="65"/>
      <c r="G202" s="65"/>
      <c r="H202" s="94"/>
      <c r="J202" s="123"/>
      <c r="L202" s="93"/>
      <c r="M202" s="93"/>
      <c r="N202" s="93"/>
      <c r="O202" s="93"/>
      <c r="P202" s="93"/>
      <c r="Q202" s="93"/>
    </row>
    <row r="203" spans="1:18" s="25" customFormat="1" ht="15.5">
      <c r="A203" s="32" t="s">
        <v>85</v>
      </c>
      <c r="B203" s="24" t="s">
        <v>69</v>
      </c>
      <c r="C203" s="14">
        <f>SUM('ALPINE VALLEY:WOODLAND'!C200)</f>
        <v>8241826.7800000003</v>
      </c>
      <c r="D203" s="14">
        <f>SUM('ALPINE VALLEY:WOODLAND'!D200)</f>
        <v>132685.76000000001</v>
      </c>
      <c r="E203" s="14">
        <f>SUM('ALPINE VALLEY:WOODLAND'!E200)</f>
        <v>8374512.540000001</v>
      </c>
      <c r="F203" s="14">
        <f>SUM('ALPINE VALLEY:WOODLAND'!F200)</f>
        <v>493929</v>
      </c>
      <c r="G203" s="14">
        <f>SUM('ALPINE VALLEY:WOODLAND'!G200)</f>
        <v>8868441.540000001</v>
      </c>
      <c r="H203" s="92">
        <f t="shared" ref="H203:H209" si="21">IF($G$211=0,0,G203/$G$211)</f>
        <v>1.928228185043282E-2</v>
      </c>
      <c r="J203" s="111">
        <f t="shared" ref="J203:J208" si="22">IF(G203=0,0,G203/$G$231)</f>
        <v>4.8433639387236838</v>
      </c>
      <c r="K203" s="25">
        <v>3997.91</v>
      </c>
      <c r="L203" s="118">
        <f>SUM('ALPINE VALLEY:WOODLAND'!J200)</f>
        <v>479876.73500000004</v>
      </c>
      <c r="M203" s="118">
        <f>SUM('ALPINE VALLEY:WOODLAND'!K200)</f>
        <v>514889.33928571432</v>
      </c>
      <c r="N203" s="119"/>
      <c r="O203" s="120">
        <f>IF(L203=0,0,G203/M203)</f>
        <v>17.223975839746149</v>
      </c>
      <c r="P203" s="59"/>
      <c r="Q203" s="121">
        <f>M203/$G$231</f>
        <v>0.28119895103121945</v>
      </c>
      <c r="R203" s="58"/>
    </row>
    <row r="204" spans="1:18" s="25" customFormat="1" ht="15.5">
      <c r="A204" s="32" t="s">
        <v>86</v>
      </c>
      <c r="B204" s="24" t="s">
        <v>45</v>
      </c>
      <c r="C204" s="14">
        <f>SUM('ALPINE VALLEY:WOODLAND'!C201)</f>
        <v>1159796.226</v>
      </c>
      <c r="D204" s="14">
        <f>SUM('ALPINE VALLEY:WOODLAND'!D201)</f>
        <v>506055.83082006424</v>
      </c>
      <c r="E204" s="14">
        <f>SUM('ALPINE VALLEY:WOODLAND'!E201)</f>
        <v>1665852.0568200641</v>
      </c>
      <c r="F204" s="14">
        <f>SUM('ALPINE VALLEY:WOODLAND'!F201)</f>
        <v>94605</v>
      </c>
      <c r="G204" s="14">
        <f>SUM('ALPINE VALLEY:WOODLAND'!G201)</f>
        <v>1760457.0568200641</v>
      </c>
      <c r="H204" s="92">
        <f t="shared" si="21"/>
        <v>3.8276882135469203E-3</v>
      </c>
      <c r="J204" s="111">
        <f t="shared" si="22"/>
        <v>0.96144674193499036</v>
      </c>
      <c r="L204" s="90"/>
      <c r="M204" s="90"/>
      <c r="N204" s="90"/>
      <c r="O204" s="112"/>
      <c r="P204" s="113"/>
      <c r="Q204" s="125"/>
      <c r="R204" s="58"/>
    </row>
    <row r="205" spans="1:18" s="25" customFormat="1" ht="15.5">
      <c r="A205" s="32" t="s">
        <v>140</v>
      </c>
      <c r="B205" s="24" t="s">
        <v>54</v>
      </c>
      <c r="C205" s="14">
        <f>SUM('ALPINE VALLEY:WOODLAND'!C202)</f>
        <v>1105177.4899999998</v>
      </c>
      <c r="D205" s="14">
        <f>SUM('ALPINE VALLEY:WOODLAND'!D202)</f>
        <v>0</v>
      </c>
      <c r="E205" s="14">
        <f>SUM('ALPINE VALLEY:WOODLAND'!E202)</f>
        <v>1105177.4899999998</v>
      </c>
      <c r="F205" s="14">
        <f>SUM('ALPINE VALLEY:WOODLAND'!F202)</f>
        <v>-144391.76</v>
      </c>
      <c r="G205" s="14">
        <f>SUM('ALPINE VALLEY:WOODLAND'!G202)</f>
        <v>960785.72999999986</v>
      </c>
      <c r="H205" s="92">
        <f t="shared" si="21"/>
        <v>2.0889962639065716E-3</v>
      </c>
      <c r="J205" s="111">
        <f t="shared" si="22"/>
        <v>0.5247184566232489</v>
      </c>
      <c r="L205" s="90"/>
      <c r="M205" s="90"/>
      <c r="N205" s="90"/>
      <c r="O205" s="112"/>
      <c r="P205" s="113"/>
      <c r="Q205" s="125"/>
      <c r="R205" s="58"/>
    </row>
    <row r="206" spans="1:18" s="25" customFormat="1" ht="15.5">
      <c r="A206" s="32" t="s">
        <v>141</v>
      </c>
      <c r="B206" s="24" t="s">
        <v>70</v>
      </c>
      <c r="C206" s="14">
        <f>SUM('ALPINE VALLEY:WOODLAND'!C203)</f>
        <v>19484.21</v>
      </c>
      <c r="D206" s="14">
        <f>SUM('ALPINE VALLEY:WOODLAND'!D203)</f>
        <v>6200</v>
      </c>
      <c r="E206" s="14">
        <f>SUM('ALPINE VALLEY:WOODLAND'!E203)</f>
        <v>25684.21</v>
      </c>
      <c r="F206" s="14">
        <f>SUM('ALPINE VALLEY:WOODLAND'!F203)</f>
        <v>0</v>
      </c>
      <c r="G206" s="14">
        <f>SUM('ALPINE VALLEY:WOODLAND'!G203)</f>
        <v>25684.21</v>
      </c>
      <c r="H206" s="92">
        <f t="shared" si="21"/>
        <v>5.584410452410842E-5</v>
      </c>
      <c r="J206" s="111">
        <f t="shared" si="22"/>
        <v>1.4027039130553507E-2</v>
      </c>
      <c r="L206" s="90"/>
      <c r="M206" s="90"/>
      <c r="N206" s="90"/>
      <c r="O206" s="112"/>
      <c r="P206" s="113"/>
      <c r="Q206" s="125"/>
      <c r="R206" s="58"/>
    </row>
    <row r="207" spans="1:18" s="25" customFormat="1" ht="15.5">
      <c r="A207" s="32" t="s">
        <v>142</v>
      </c>
      <c r="B207" s="2" t="s">
        <v>71</v>
      </c>
      <c r="C207" s="14">
        <f>SUM('ALPINE VALLEY:WOODLAND'!C204)</f>
        <v>0</v>
      </c>
      <c r="D207" s="14">
        <f>SUM('ALPINE VALLEY:WOODLAND'!D204)</f>
        <v>0</v>
      </c>
      <c r="E207" s="14">
        <f>SUM('ALPINE VALLEY:WOODLAND'!E204)</f>
        <v>0</v>
      </c>
      <c r="F207" s="14">
        <f>SUM('ALPINE VALLEY:WOODLAND'!F204)</f>
        <v>0</v>
      </c>
      <c r="G207" s="14">
        <f>SUM('ALPINE VALLEY:WOODLAND'!G204)</f>
        <v>0</v>
      </c>
      <c r="H207" s="92">
        <f t="shared" si="21"/>
        <v>0</v>
      </c>
      <c r="J207" s="111">
        <f t="shared" si="22"/>
        <v>0</v>
      </c>
      <c r="L207" s="90"/>
      <c r="M207" s="90"/>
      <c r="N207" s="90"/>
      <c r="O207" s="112"/>
      <c r="P207" s="113"/>
      <c r="Q207" s="125"/>
      <c r="R207" s="58"/>
    </row>
    <row r="208" spans="1:18" s="25" customFormat="1" ht="15.5">
      <c r="A208" s="32" t="s">
        <v>143</v>
      </c>
      <c r="B208" s="24" t="s">
        <v>266</v>
      </c>
      <c r="C208" s="14">
        <f>SUM('ALPINE VALLEY:WOODLAND'!C205)</f>
        <v>586987.88000000012</v>
      </c>
      <c r="D208" s="14">
        <f>SUM('ALPINE VALLEY:WOODLAND'!D205)</f>
        <v>-7155</v>
      </c>
      <c r="E208" s="14">
        <f>SUM('ALPINE VALLEY:WOODLAND'!E205)</f>
        <v>579832.88000000012</v>
      </c>
      <c r="F208" s="14">
        <f>SUM('ALPINE VALLEY:WOODLAND'!F205)</f>
        <v>88194.72</v>
      </c>
      <c r="G208" s="14">
        <f>SUM('ALPINE VALLEY:WOODLAND'!G205)</f>
        <v>668027.60000000009</v>
      </c>
      <c r="H208" s="92">
        <f t="shared" si="21"/>
        <v>1.4524644954775443E-3</v>
      </c>
      <c r="J208" s="111">
        <f t="shared" si="22"/>
        <v>0.36483307391933595</v>
      </c>
      <c r="L208" s="90"/>
      <c r="M208" s="90"/>
      <c r="N208" s="90"/>
      <c r="O208" s="112"/>
      <c r="P208" s="113"/>
      <c r="Q208" s="125"/>
      <c r="R208" s="58"/>
    </row>
    <row r="209" spans="1:18" s="25" customFormat="1" ht="15.5">
      <c r="A209" s="35"/>
      <c r="B209" s="3" t="s">
        <v>144</v>
      </c>
      <c r="C209" s="14">
        <f>SUM('ALPINE VALLEY:WOODLAND'!C206)</f>
        <v>11113272.586000001</v>
      </c>
      <c r="D209" s="14">
        <f>SUM('ALPINE VALLEY:WOODLAND'!D206)</f>
        <v>637786.5908200643</v>
      </c>
      <c r="E209" s="14">
        <f>SUM('ALPINE VALLEY:WOODLAND'!E206)</f>
        <v>11751059.176820062</v>
      </c>
      <c r="F209" s="14">
        <f>SUM('ALPINE VALLEY:WOODLAND'!F206)</f>
        <v>532336.96</v>
      </c>
      <c r="G209" s="14">
        <f>SUM('ALPINE VALLEY:WOODLAND'!G206)</f>
        <v>12283396.136820065</v>
      </c>
      <c r="H209" s="92">
        <f t="shared" si="21"/>
        <v>2.6707274927887964E-2</v>
      </c>
      <c r="J209" s="111">
        <f>IF(G209=0,0,G209/$G$231)</f>
        <v>6.7083892503318125</v>
      </c>
      <c r="L209" s="97"/>
      <c r="M209" s="90"/>
      <c r="N209" s="90"/>
      <c r="O209" s="112"/>
      <c r="P209" s="113"/>
      <c r="Q209" s="125"/>
      <c r="R209" s="58"/>
    </row>
    <row r="210" spans="1:18" s="25" customFormat="1" ht="15.5">
      <c r="A210" s="35"/>
      <c r="C210" s="17"/>
      <c r="D210" s="17"/>
      <c r="E210" s="17"/>
      <c r="F210" s="17"/>
      <c r="G210" s="17"/>
      <c r="H210" s="94"/>
      <c r="J210" s="123"/>
      <c r="L210" s="137"/>
      <c r="M210" s="137"/>
      <c r="N210" s="93"/>
      <c r="O210" s="93"/>
      <c r="P210" s="93"/>
      <c r="Q210" s="126"/>
    </row>
    <row r="211" spans="1:18" s="25" customFormat="1" ht="16" thickBot="1">
      <c r="A211" s="41" t="s">
        <v>146</v>
      </c>
      <c r="B211" s="3" t="s">
        <v>145</v>
      </c>
      <c r="C211" s="18">
        <f>SUM('ALPINE VALLEY:WOODLAND'!C208)</f>
        <v>459211208.57700008</v>
      </c>
      <c r="D211" s="18">
        <f>SUM('ALPINE VALLEY:WOODLAND'!D208)</f>
        <v>-15760031.199192148</v>
      </c>
      <c r="E211" s="18">
        <f>SUM('ALPINE VALLEY:WOODLAND'!E208)</f>
        <v>443451177.3778078</v>
      </c>
      <c r="F211" s="18">
        <f>SUM('ALPINE VALLEY:WOODLAND'!F208)</f>
        <v>16475796.451844711</v>
      </c>
      <c r="G211" s="18">
        <f>SUM('ALPINE VALLEY:WOODLAND'!G208)</f>
        <v>459926973.82965261</v>
      </c>
      <c r="H211" s="131">
        <f>IF($G$211=0,0,G211/$G$211)</f>
        <v>1</v>
      </c>
      <c r="J211" s="111">
        <f>IF(G211=0,0,G211/$G$231)</f>
        <v>251.18209433366243</v>
      </c>
      <c r="L211" s="132">
        <f>SUM('ALPINE VALLEY:WOODLAND'!J208)</f>
        <v>10528472.13272519</v>
      </c>
      <c r="M211" s="118">
        <f>SUM('ALPINE VALLEY:WOODLAND'!K208)</f>
        <v>11333377.387725191</v>
      </c>
      <c r="N211" s="119"/>
      <c r="O211" s="120">
        <f>IF(L211=0,0,G211/M211)</f>
        <v>40.581634061509718</v>
      </c>
      <c r="P211" s="59"/>
      <c r="Q211" s="121">
        <f>M211/$G$231</f>
        <v>6.1895510159335849</v>
      </c>
      <c r="R211" s="58"/>
    </row>
    <row r="212" spans="1:18" s="25" customFormat="1" ht="16" thickTop="1">
      <c r="A212" s="35"/>
      <c r="B212" s="24"/>
      <c r="C212" s="64"/>
      <c r="D212" s="64"/>
      <c r="E212" s="64"/>
      <c r="F212" s="64"/>
      <c r="G212" s="64"/>
      <c r="H212" s="70"/>
      <c r="J212" s="123"/>
      <c r="N212" s="68"/>
    </row>
    <row r="213" spans="1:18" s="25" customFormat="1" ht="15.5">
      <c r="A213" s="35"/>
      <c r="B213" s="24"/>
      <c r="C213" s="9"/>
      <c r="D213" s="9"/>
      <c r="E213" s="9"/>
      <c r="F213" s="9"/>
      <c r="G213" s="9"/>
      <c r="H213" s="70"/>
      <c r="J213" s="123"/>
      <c r="N213" s="68"/>
    </row>
    <row r="214" spans="1:18" s="25" customFormat="1" ht="15.5">
      <c r="A214" s="35"/>
      <c r="B214" s="3" t="s">
        <v>181</v>
      </c>
      <c r="C214" s="14">
        <f>SUM('ALPINE VALLEY:WOODLAND'!C211)</f>
        <v>452052206.85700011</v>
      </c>
      <c r="D214" s="67"/>
      <c r="E214" s="67"/>
      <c r="F214" s="64"/>
      <c r="G214" s="64"/>
      <c r="H214" s="70"/>
      <c r="J214" s="123"/>
      <c r="L214" s="86"/>
      <c r="M214" s="86"/>
      <c r="N214" s="106"/>
      <c r="O214" s="77"/>
      <c r="P214" s="58"/>
      <c r="Q214" s="87"/>
      <c r="R214" s="59"/>
    </row>
    <row r="215" spans="1:18" s="25" customFormat="1" ht="15.5">
      <c r="A215" s="35"/>
      <c r="B215" s="24" t="s">
        <v>147</v>
      </c>
      <c r="C215" s="14">
        <f>SUM('ALPINE VALLEY:WOODLAND'!C212)</f>
        <v>7159001.7199999997</v>
      </c>
      <c r="D215" s="78"/>
      <c r="E215" s="78"/>
      <c r="F215" s="64"/>
      <c r="G215" s="64"/>
      <c r="H215" s="98"/>
      <c r="J215" s="98"/>
      <c r="L215" s="27"/>
      <c r="M215" s="27"/>
      <c r="N215" s="27"/>
      <c r="O215" s="8"/>
      <c r="P215" s="113"/>
      <c r="Q215" s="133"/>
      <c r="R215" s="113"/>
    </row>
    <row r="216" spans="1:18" s="25" customFormat="1" ht="15.5">
      <c r="A216" s="35"/>
      <c r="B216" s="4"/>
      <c r="C216" s="79"/>
      <c r="D216" s="80"/>
      <c r="E216" s="80"/>
      <c r="F216" s="81"/>
      <c r="G216" s="81"/>
      <c r="H216" s="98"/>
      <c r="J216" s="98"/>
      <c r="L216" s="99"/>
      <c r="M216" s="99"/>
      <c r="N216" s="99"/>
      <c r="O216" s="133"/>
      <c r="P216" s="113"/>
      <c r="Q216" s="133"/>
      <c r="R216" s="113"/>
    </row>
    <row r="217" spans="1:18" s="25" customFormat="1" ht="15.5">
      <c r="A217" s="35"/>
      <c r="B217" s="4"/>
      <c r="C217" s="19"/>
      <c r="D217" s="19"/>
      <c r="E217" s="19"/>
      <c r="F217" s="19"/>
      <c r="G217" s="19"/>
      <c r="H217" s="98"/>
      <c r="J217" s="98"/>
      <c r="L217" s="99"/>
      <c r="M217" s="99"/>
      <c r="N217" s="99"/>
      <c r="O217" s="133"/>
      <c r="P217" s="113"/>
      <c r="Q217" s="133"/>
      <c r="R217" s="113"/>
    </row>
    <row r="218" spans="1:18" s="25" customFormat="1" ht="15.5">
      <c r="A218" s="35"/>
      <c r="B218" s="3" t="s">
        <v>78</v>
      </c>
      <c r="C218" s="14">
        <f>SUM('ALPINE VALLEY:WOODLAND'!C215)</f>
        <v>1671782.0530000059</v>
      </c>
      <c r="D218" s="14">
        <f>SUM('ALPINE VALLEY:WOODLAND'!D215)</f>
        <v>14598549.269192152</v>
      </c>
      <c r="E218" s="14">
        <f>SUM('ALPINE VALLEY:WOODLAND'!E215)</f>
        <v>16270331.322192157</v>
      </c>
      <c r="F218" s="14">
        <f>SUM('ALPINE VALLEY:WOODLAND'!F215)</f>
        <v>8435407.3181552906</v>
      </c>
      <c r="G218" s="14">
        <f>SUM('ALPINE VALLEY:WOODLAND'!G215)</f>
        <v>24705738.640347451</v>
      </c>
      <c r="H218" s="70"/>
      <c r="J218" s="361"/>
      <c r="N218" s="68"/>
    </row>
    <row r="219" spans="1:18" s="25" customFormat="1" ht="15.5">
      <c r="A219" s="35"/>
      <c r="B219" s="3"/>
      <c r="C219" s="67"/>
      <c r="D219" s="67" t="s">
        <v>82</v>
      </c>
      <c r="E219" s="67" t="s">
        <v>82</v>
      </c>
      <c r="F219" s="67"/>
      <c r="G219" s="67"/>
      <c r="H219" s="70" t="s">
        <v>81</v>
      </c>
      <c r="J219" s="134"/>
      <c r="N219" s="68"/>
    </row>
    <row r="220" spans="1:18" s="25" customFormat="1" ht="15.5">
      <c r="A220" s="35"/>
      <c r="D220" s="25" t="s">
        <v>234</v>
      </c>
      <c r="E220" s="25" t="s">
        <v>234</v>
      </c>
      <c r="H220" s="70" t="s">
        <v>199</v>
      </c>
      <c r="J220" s="134"/>
      <c r="N220" s="68"/>
    </row>
    <row r="221" spans="1:18" s="25" customFormat="1" ht="15.5">
      <c r="A221" s="35"/>
      <c r="B221" s="5" t="s">
        <v>159</v>
      </c>
      <c r="C221" s="64"/>
      <c r="D221" s="64"/>
      <c r="E221" s="64"/>
      <c r="F221" s="64"/>
      <c r="G221" s="64"/>
      <c r="H221" s="100"/>
      <c r="J221" s="134"/>
      <c r="N221" s="68"/>
    </row>
    <row r="222" spans="1:18" s="25" customFormat="1" ht="15.5">
      <c r="A222" s="35"/>
      <c r="B222" s="24" t="s">
        <v>218</v>
      </c>
      <c r="C222" s="15">
        <f>SUM('ALPINE VALLEY:WOODLAND'!C219)</f>
        <v>945401</v>
      </c>
      <c r="D222" s="15">
        <f>SUM('ALPINE VALLEY:WOODLAND'!D219)</f>
        <v>0</v>
      </c>
      <c r="E222" s="15">
        <f>SUM('ALPINE VALLEY:WOODLAND'!E219)</f>
        <v>945401</v>
      </c>
      <c r="F222" s="15">
        <f>SUM('ALPINE VALLEY:WOODLAND'!F219)</f>
        <v>42672</v>
      </c>
      <c r="G222" s="15">
        <f>SUM('ALPINE VALLEY:WOODLAND'!G219)</f>
        <v>988073</v>
      </c>
      <c r="H222" s="26">
        <f t="shared" ref="H222:H231" si="23">G222/$G$231</f>
        <v>0.53962098249638191</v>
      </c>
      <c r="M222" s="68"/>
    </row>
    <row r="223" spans="1:18" s="25" customFormat="1" ht="15.5">
      <c r="A223" s="35"/>
      <c r="B223" s="24" t="s">
        <v>217</v>
      </c>
      <c r="C223" s="15">
        <f>SUM('ALPINE VALLEY:WOODLAND'!C220)</f>
        <v>12905</v>
      </c>
      <c r="D223" s="15">
        <f>SUM('ALPINE VALLEY:WOODLAND'!D220)</f>
        <v>0</v>
      </c>
      <c r="E223" s="15">
        <f>SUM('ALPINE VALLEY:WOODLAND'!E220)</f>
        <v>12905</v>
      </c>
      <c r="F223" s="15">
        <f>SUM('ALPINE VALLEY:WOODLAND'!F220)</f>
        <v>1232</v>
      </c>
      <c r="G223" s="15">
        <f>SUM('ALPINE VALLEY:WOODLAND'!G220)</f>
        <v>14137</v>
      </c>
      <c r="H223" s="26">
        <f t="shared" si="23"/>
        <v>7.720706698342481E-3</v>
      </c>
      <c r="M223" s="68"/>
    </row>
    <row r="224" spans="1:18" s="25" customFormat="1" ht="15.5">
      <c r="A224" s="35"/>
      <c r="B224" s="24" t="s">
        <v>72</v>
      </c>
      <c r="C224" s="15">
        <f>SUM('ALPINE VALLEY:WOODLAND'!C221)</f>
        <v>241486</v>
      </c>
      <c r="D224" s="15">
        <f>SUM('ALPINE VALLEY:WOODLAND'!D221)</f>
        <v>0</v>
      </c>
      <c r="E224" s="15">
        <f>SUM('ALPINE VALLEY:WOODLAND'!E221)</f>
        <v>241486</v>
      </c>
      <c r="F224" s="15">
        <f>SUM('ALPINE VALLEY:WOODLAND'!F221)</f>
        <v>13618</v>
      </c>
      <c r="G224" s="15">
        <f>SUM('ALPINE VALLEY:WOODLAND'!G221)</f>
        <v>255104</v>
      </c>
      <c r="H224" s="26">
        <f t="shared" si="23"/>
        <v>0.13932115452882227</v>
      </c>
      <c r="M224" s="68"/>
    </row>
    <row r="225" spans="1:14" s="25" customFormat="1" ht="15.5">
      <c r="A225" s="35"/>
      <c r="B225" s="24" t="s">
        <v>289</v>
      </c>
      <c r="C225" s="15">
        <f>SUM('ALPINE VALLEY:WOODLAND'!C222)</f>
        <v>106401</v>
      </c>
      <c r="D225" s="15">
        <f>SUM('ALPINE VALLEY:WOODLAND'!D222)</f>
        <v>0</v>
      </c>
      <c r="E225" s="15">
        <f>SUM('ALPINE VALLEY:WOODLAND'!E222)</f>
        <v>106401</v>
      </c>
      <c r="F225" s="15">
        <f>SUM('ALPINE VALLEY:WOODLAND'!F222)</f>
        <v>8465</v>
      </c>
      <c r="G225" s="15">
        <f>SUM('ALPINE VALLEY:WOODLAND'!G222)</f>
        <v>114866</v>
      </c>
      <c r="H225" s="26">
        <f t="shared" si="23"/>
        <v>6.2732312061385548E-2</v>
      </c>
      <c r="M225" s="68"/>
    </row>
    <row r="226" spans="1:14" s="25" customFormat="1" ht="15.5">
      <c r="A226" s="35"/>
      <c r="B226" s="24" t="s">
        <v>73</v>
      </c>
      <c r="C226" s="15">
        <f>SUM('ALPINE VALLEY:WOODLAND'!C223)</f>
        <v>43657</v>
      </c>
      <c r="D226" s="15">
        <f>SUM('ALPINE VALLEY:WOODLAND'!D223)</f>
        <v>0</v>
      </c>
      <c r="E226" s="15">
        <f>SUM('ALPINE VALLEY:WOODLAND'!E223)</f>
        <v>43657</v>
      </c>
      <c r="F226" s="15">
        <f>SUM('ALPINE VALLEY:WOODLAND'!F223)</f>
        <v>3866</v>
      </c>
      <c r="G226" s="15">
        <f>SUM('ALPINE VALLEY:WOODLAND'!G223)</f>
        <v>47523</v>
      </c>
      <c r="H226" s="26">
        <f t="shared" si="23"/>
        <v>2.5953960842139755E-2</v>
      </c>
      <c r="M226" s="68"/>
    </row>
    <row r="227" spans="1:14" s="25" customFormat="1" ht="15.5">
      <c r="A227" s="35"/>
      <c r="B227" s="24" t="s">
        <v>74</v>
      </c>
      <c r="C227" s="15">
        <f>SUM('ALPINE VALLEY:WOODLAND'!C224)</f>
        <v>277783</v>
      </c>
      <c r="D227" s="15">
        <f>SUM('ALPINE VALLEY:WOODLAND'!D224)</f>
        <v>0</v>
      </c>
      <c r="E227" s="15">
        <f>SUM('ALPINE VALLEY:WOODLAND'!E224)</f>
        <v>277783</v>
      </c>
      <c r="F227" s="15">
        <f>SUM('ALPINE VALLEY:WOODLAND'!F224)</f>
        <v>9160</v>
      </c>
      <c r="G227" s="15">
        <f>SUM('ALPINE VALLEY:WOODLAND'!G224)</f>
        <v>286943</v>
      </c>
      <c r="H227" s="26">
        <f t="shared" si="23"/>
        <v>0.15670953824308456</v>
      </c>
      <c r="M227" s="68"/>
    </row>
    <row r="228" spans="1:14" s="25" customFormat="1" ht="15.5">
      <c r="A228" s="35"/>
      <c r="B228" s="24" t="s">
        <v>236</v>
      </c>
      <c r="C228" s="15">
        <f>SUM('ALPINE VALLEY:WOODLAND'!C225)</f>
        <v>69306</v>
      </c>
      <c r="D228" s="15">
        <f>SUM('ALPINE VALLEY:WOODLAND'!D225)</f>
        <v>0</v>
      </c>
      <c r="E228" s="15">
        <f>SUM('ALPINE VALLEY:WOODLAND'!E225)</f>
        <v>69306</v>
      </c>
      <c r="F228" s="15">
        <f>SUM('ALPINE VALLEY:WOODLAND'!F225)</f>
        <v>2551</v>
      </c>
      <c r="G228" s="15">
        <f>SUM('ALPINE VALLEY:WOODLAND'!G225)</f>
        <v>71857</v>
      </c>
      <c r="H228" s="26">
        <f t="shared" si="23"/>
        <v>3.9243603396958031E-2</v>
      </c>
      <c r="M228" s="68"/>
    </row>
    <row r="229" spans="1:14" s="25" customFormat="1" ht="15.5">
      <c r="A229" s="35"/>
      <c r="B229" s="24" t="s">
        <v>235</v>
      </c>
      <c r="C229" s="15">
        <f>SUM('ALPINE VALLEY:WOODLAND'!C226)</f>
        <v>36471</v>
      </c>
      <c r="D229" s="15">
        <f>SUM('ALPINE VALLEY:WOODLAND'!D226)</f>
        <v>0</v>
      </c>
      <c r="E229" s="15">
        <f>SUM('ALPINE VALLEY:WOODLAND'!E226)</f>
        <v>36471</v>
      </c>
      <c r="F229" s="15">
        <f>SUM('ALPINE VALLEY:WOODLAND'!F226)</f>
        <v>1443</v>
      </c>
      <c r="G229" s="15">
        <f>SUM('ALPINE VALLEY:WOODLAND'!G226)</f>
        <v>37914</v>
      </c>
      <c r="H229" s="26">
        <f t="shared" si="23"/>
        <v>2.0706152207749653E-2</v>
      </c>
      <c r="M229" s="68"/>
    </row>
    <row r="230" spans="1:14" s="25" customFormat="1" ht="15.5">
      <c r="A230" s="35"/>
      <c r="B230" s="24" t="s">
        <v>179</v>
      </c>
      <c r="C230" s="15">
        <f>SUM('ALPINE VALLEY:WOODLAND'!C227)</f>
        <v>17131</v>
      </c>
      <c r="D230" s="15">
        <f>SUM('ALPINE VALLEY:WOODLAND'!D227)</f>
        <v>0</v>
      </c>
      <c r="E230" s="15">
        <f>SUM('ALPINE VALLEY:WOODLAND'!E227)</f>
        <v>17131</v>
      </c>
      <c r="F230" s="15">
        <f>SUM('ALPINE VALLEY:WOODLAND'!F227)</f>
        <v>-2498</v>
      </c>
      <c r="G230" s="15">
        <f>SUM('ALPINE VALLEY:WOODLAND'!G227)</f>
        <v>14633</v>
      </c>
      <c r="H230" s="26">
        <f t="shared" si="23"/>
        <v>7.9915895251358518E-3</v>
      </c>
      <c r="M230" s="68"/>
    </row>
    <row r="231" spans="1:14" s="25" customFormat="1" ht="15.5">
      <c r="A231" s="35"/>
      <c r="B231" s="6" t="s">
        <v>75</v>
      </c>
      <c r="C231" s="15">
        <f>SUM('ALPINE VALLEY:WOODLAND'!C228)</f>
        <v>1750541</v>
      </c>
      <c r="D231" s="15">
        <f>SUM('ALPINE VALLEY:WOODLAND'!D228)</f>
        <v>0</v>
      </c>
      <c r="E231" s="15">
        <f>SUM('ALPINE VALLEY:WOODLAND'!E228)</f>
        <v>1750541</v>
      </c>
      <c r="F231" s="15">
        <f>SUM('ALPINE VALLEY:WOODLAND'!F228)</f>
        <v>80509</v>
      </c>
      <c r="G231" s="15">
        <f>SUM('ALPINE VALLEY:WOODLAND'!G228)</f>
        <v>1831050</v>
      </c>
      <c r="H231" s="26">
        <f t="shared" si="23"/>
        <v>1</v>
      </c>
      <c r="M231" s="68"/>
    </row>
    <row r="232" spans="1:14" s="25" customFormat="1" ht="15.5">
      <c r="A232" s="35"/>
      <c r="C232" s="16"/>
      <c r="D232" s="16"/>
      <c r="E232" s="16"/>
      <c r="F232" s="16"/>
      <c r="G232" s="16"/>
      <c r="H232" s="70"/>
      <c r="J232" s="135"/>
      <c r="N232" s="68"/>
    </row>
    <row r="233" spans="1:14" s="25" customFormat="1" ht="15.5">
      <c r="A233" s="35"/>
      <c r="B233" s="5" t="s">
        <v>160</v>
      </c>
      <c r="C233" s="79"/>
      <c r="D233" s="80"/>
      <c r="E233" s="80"/>
      <c r="F233" s="81"/>
      <c r="G233" s="81"/>
      <c r="H233" s="70"/>
      <c r="J233" s="135"/>
      <c r="N233" s="68"/>
    </row>
    <row r="234" spans="1:14" s="25" customFormat="1" ht="15.5">
      <c r="A234" s="35"/>
      <c r="B234" s="2" t="s">
        <v>220</v>
      </c>
      <c r="C234" s="15">
        <f>SUM('ALPINE VALLEY:WOODLAND'!C231)</f>
        <v>7779.3397260273969</v>
      </c>
      <c r="D234" s="15">
        <f>SUM('ALPINE VALLEY:WOODLAND'!D231)</f>
        <v>0</v>
      </c>
      <c r="E234" s="15">
        <f>SUM('ALPINE VALLEY:WOODLAND'!E231)</f>
        <v>7779.3397260273969</v>
      </c>
      <c r="F234" s="15">
        <f>SUM('ALPINE VALLEY:WOODLAND'!F231)</f>
        <v>634</v>
      </c>
      <c r="G234" s="15">
        <f>SUM('ALPINE VALLEY:WOODLAND'!G231)</f>
        <v>7766.3397260273969</v>
      </c>
      <c r="H234" s="70"/>
      <c r="J234" s="135"/>
      <c r="N234" s="68"/>
    </row>
    <row r="235" spans="1:14" s="25" customFormat="1" ht="15.5">
      <c r="A235" s="35"/>
      <c r="B235" s="23" t="s">
        <v>290</v>
      </c>
      <c r="C235" s="15">
        <f>SUM('ALPINE VALLEY:WOODLAND'!C232)</f>
        <v>7498.3397260273969</v>
      </c>
      <c r="D235" s="15">
        <f>SUM('ALPINE VALLEY:WOODLAND'!D232)</f>
        <v>0</v>
      </c>
      <c r="E235" s="15">
        <f>SUM('ALPINE VALLEY:WOODLAND'!E232)</f>
        <v>7498.3397260273969</v>
      </c>
      <c r="F235" s="15">
        <f>SUM('ALPINE VALLEY:WOODLAND'!F232)</f>
        <v>373</v>
      </c>
      <c r="G235" s="15">
        <f>SUM('ALPINE VALLEY:WOODLAND'!G232)</f>
        <v>7224.3397260273969</v>
      </c>
      <c r="H235" s="70"/>
      <c r="J235" s="135"/>
      <c r="N235" s="68"/>
    </row>
    <row r="236" spans="1:14" s="25" customFormat="1" ht="15.5">
      <c r="A236" s="35"/>
      <c r="B236" s="2" t="s">
        <v>76</v>
      </c>
      <c r="C236" s="28">
        <v>365</v>
      </c>
      <c r="D236" s="82"/>
      <c r="E236" s="28">
        <f>C236</f>
        <v>365</v>
      </c>
      <c r="F236" s="83"/>
      <c r="G236" s="28">
        <f>C236</f>
        <v>365</v>
      </c>
      <c r="H236" s="70"/>
      <c r="J236" s="135"/>
      <c r="N236" s="68"/>
    </row>
    <row r="237" spans="1:14" s="68" customFormat="1" ht="15.5">
      <c r="A237" s="42"/>
      <c r="B237" s="11"/>
      <c r="C237" s="84"/>
      <c r="D237" s="82"/>
      <c r="E237" s="101"/>
      <c r="F237" s="83"/>
      <c r="G237" s="101"/>
      <c r="H237" s="70"/>
      <c r="J237" s="136"/>
    </row>
    <row r="238" spans="1:14" s="25" customFormat="1" ht="26.5">
      <c r="A238" s="35"/>
      <c r="B238" s="10" t="s">
        <v>241</v>
      </c>
      <c r="C238" s="15">
        <f>SUM('ALPINE VALLEY:WOODLAND'!C235)</f>
        <v>2665611</v>
      </c>
      <c r="D238" s="82"/>
      <c r="E238" s="15">
        <f>SUM('ALPINE VALLEY:WOODLAND'!E235)</f>
        <v>2686969</v>
      </c>
      <c r="F238" s="83"/>
      <c r="G238" s="15">
        <f>SUM('ALPINE VALLEY:WOODLAND'!G235)</f>
        <v>2853849</v>
      </c>
      <c r="H238" s="70"/>
      <c r="J238" s="135"/>
      <c r="N238" s="68"/>
    </row>
    <row r="239" spans="1:14" s="25" customFormat="1" ht="26.5">
      <c r="A239" s="35"/>
      <c r="B239" s="10" t="s">
        <v>242</v>
      </c>
      <c r="C239" s="20">
        <f>C231/C238</f>
        <v>0.65671285119996881</v>
      </c>
      <c r="D239" s="89"/>
      <c r="E239" s="20">
        <f>E231/E238</f>
        <v>0.65149281588287766</v>
      </c>
      <c r="F239" s="85"/>
      <c r="G239" s="20">
        <f>G231/G238</f>
        <v>0.64160717683381285</v>
      </c>
      <c r="H239" s="70"/>
      <c r="J239" s="135"/>
      <c r="N239" s="68"/>
    </row>
    <row r="240" spans="1:14" s="25" customFormat="1" ht="26.5">
      <c r="A240" s="35"/>
      <c r="B240" s="10" t="s">
        <v>243</v>
      </c>
      <c r="C240" s="20">
        <f>C222/C238</f>
        <v>0.35466577831499047</v>
      </c>
      <c r="D240" s="89"/>
      <c r="E240" s="20">
        <f>E222/E238</f>
        <v>0.35184663462808835</v>
      </c>
      <c r="F240" s="85"/>
      <c r="G240" s="20">
        <f>G222/G238</f>
        <v>0.34622469513979193</v>
      </c>
      <c r="H240" s="70"/>
      <c r="J240" s="135"/>
      <c r="N240" s="68"/>
    </row>
    <row r="241" spans="1:14" s="25" customFormat="1" ht="26.5">
      <c r="A241" s="35"/>
      <c r="B241" s="10" t="s">
        <v>244</v>
      </c>
      <c r="C241" s="20">
        <f>C240/C239</f>
        <v>0.54006218648977655</v>
      </c>
      <c r="D241" s="89"/>
      <c r="E241" s="20">
        <f>E240/E239</f>
        <v>0.54006218648977655</v>
      </c>
      <c r="F241" s="85"/>
      <c r="G241" s="20">
        <f>G240/G239</f>
        <v>0.53962098249638191</v>
      </c>
      <c r="H241" s="70"/>
      <c r="J241" s="135"/>
      <c r="N241" s="68"/>
    </row>
    <row r="242" spans="1:14" s="25" customFormat="1" ht="15.5">
      <c r="A242" s="35"/>
      <c r="C242" s="64"/>
      <c r="D242" s="64"/>
      <c r="E242" s="102"/>
      <c r="F242" s="65"/>
      <c r="G242" s="64"/>
      <c r="H242" s="68"/>
      <c r="J242" s="135"/>
      <c r="N242" s="68"/>
    </row>
    <row r="243" spans="1:14" ht="15.5">
      <c r="A243" s="54"/>
      <c r="E243" s="59"/>
    </row>
    <row r="244" spans="1:14" ht="15.5">
      <c r="A244" s="54"/>
      <c r="E244" s="59"/>
    </row>
    <row r="245" spans="1:14" ht="15.5">
      <c r="A245" s="54"/>
      <c r="E245" s="59"/>
    </row>
    <row r="246" spans="1:14" ht="15.5">
      <c r="A246" s="54"/>
      <c r="E246" s="59"/>
    </row>
    <row r="247" spans="1:14" ht="15.5">
      <c r="A247" s="54"/>
      <c r="E247" s="59"/>
    </row>
    <row r="248" spans="1:14" ht="15.5">
      <c r="A248" s="54"/>
      <c r="E248" s="59"/>
    </row>
    <row r="249" spans="1:14" ht="15.5">
      <c r="A249" s="54"/>
      <c r="E249" s="59"/>
    </row>
    <row r="250" spans="1:14" ht="15.5">
      <c r="A250" s="54"/>
      <c r="E250" s="59"/>
    </row>
    <row r="251" spans="1:14" ht="15.5">
      <c r="A251" s="54"/>
      <c r="E251" s="59"/>
    </row>
    <row r="252" spans="1:14" ht="15.5">
      <c r="A252" s="54"/>
      <c r="E252" s="59"/>
    </row>
    <row r="253" spans="1:14" ht="15.5">
      <c r="A253" s="54"/>
      <c r="E253" s="59"/>
    </row>
    <row r="254" spans="1:14" ht="15.5">
      <c r="A254" s="54"/>
      <c r="E254" s="59"/>
    </row>
    <row r="255" spans="1:14" ht="15.5">
      <c r="A255" s="54"/>
      <c r="E255" s="59"/>
    </row>
    <row r="256" spans="1:14" ht="15.5">
      <c r="A256" s="54"/>
      <c r="E256" s="59"/>
    </row>
    <row r="257" spans="1:5" ht="15.5">
      <c r="A257" s="54"/>
      <c r="E257" s="59"/>
    </row>
    <row r="258" spans="1:5" ht="15.5">
      <c r="A258" s="54"/>
      <c r="E258" s="59"/>
    </row>
    <row r="259" spans="1:5" ht="15.5">
      <c r="A259" s="54"/>
      <c r="E259" s="59"/>
    </row>
    <row r="260" spans="1:5" ht="15.5">
      <c r="A260" s="54"/>
      <c r="E260" s="59"/>
    </row>
    <row r="261" spans="1:5" ht="15.5">
      <c r="A261" s="54"/>
      <c r="E261" s="59"/>
    </row>
    <row r="262" spans="1:5" ht="15.5">
      <c r="A262" s="54"/>
      <c r="E262" s="59"/>
    </row>
    <row r="263" spans="1:5" ht="15.5">
      <c r="A263" s="54"/>
      <c r="E263" s="59"/>
    </row>
    <row r="264" spans="1:5" ht="15.5">
      <c r="A264" s="54"/>
      <c r="E264" s="59"/>
    </row>
    <row r="265" spans="1:5" ht="15.5">
      <c r="A265" s="54"/>
      <c r="E265" s="59"/>
    </row>
    <row r="266" spans="1:5" ht="15.5">
      <c r="A266" s="54"/>
      <c r="E266" s="59"/>
    </row>
    <row r="267" spans="1:5" ht="15.5">
      <c r="A267" s="54"/>
      <c r="E267" s="59"/>
    </row>
    <row r="268" spans="1:5" ht="15.5">
      <c r="A268" s="54"/>
      <c r="E268" s="59"/>
    </row>
    <row r="269" spans="1:5" ht="15.5">
      <c r="A269" s="54"/>
      <c r="E269" s="59"/>
    </row>
    <row r="270" spans="1:5" ht="15.5">
      <c r="A270" s="54"/>
      <c r="E270" s="59"/>
    </row>
    <row r="271" spans="1:5" ht="15.5">
      <c r="A271" s="54"/>
      <c r="E271" s="59"/>
    </row>
    <row r="272" spans="1:5" ht="15.5">
      <c r="A272" s="54"/>
      <c r="E272" s="59"/>
    </row>
    <row r="273" spans="1:5" ht="15.5">
      <c r="A273" s="54"/>
      <c r="E273" s="59"/>
    </row>
    <row r="274" spans="1:5" ht="15.5">
      <c r="A274" s="54"/>
      <c r="E274" s="59"/>
    </row>
    <row r="275" spans="1:5" ht="15.5">
      <c r="A275" s="54"/>
      <c r="E275" s="59"/>
    </row>
    <row r="276" spans="1:5" ht="15.5">
      <c r="A276" s="54"/>
      <c r="E276" s="59"/>
    </row>
    <row r="277" spans="1:5" ht="15.5">
      <c r="A277" s="54"/>
      <c r="E277" s="59"/>
    </row>
    <row r="278" spans="1:5" ht="15.5">
      <c r="A278" s="54"/>
      <c r="E278" s="59"/>
    </row>
    <row r="279" spans="1:5" ht="15.5">
      <c r="A279" s="54"/>
      <c r="E279" s="59"/>
    </row>
    <row r="280" spans="1:5" ht="15.5">
      <c r="A280" s="54"/>
      <c r="E280" s="59"/>
    </row>
    <row r="281" spans="1:5" ht="15.5">
      <c r="A281" s="54"/>
      <c r="E281" s="59"/>
    </row>
    <row r="282" spans="1:5" ht="15.5">
      <c r="A282" s="54"/>
      <c r="E282" s="59"/>
    </row>
    <row r="283" spans="1:5" ht="15.5">
      <c r="A283" s="54"/>
      <c r="E283" s="59"/>
    </row>
    <row r="284" spans="1:5" ht="15.5">
      <c r="A284" s="54"/>
      <c r="E284" s="59"/>
    </row>
    <row r="285" spans="1:5" ht="15.5">
      <c r="A285" s="54"/>
      <c r="E285" s="59"/>
    </row>
    <row r="286" spans="1:5" ht="15.5">
      <c r="A286" s="54"/>
      <c r="E286" s="59"/>
    </row>
    <row r="287" spans="1:5" ht="15.5">
      <c r="A287" s="54"/>
      <c r="E287" s="59"/>
    </row>
    <row r="288" spans="1:5" ht="15.5">
      <c r="A288" s="54"/>
      <c r="E288" s="59"/>
    </row>
    <row r="289" spans="1:5" ht="15.5">
      <c r="A289" s="54"/>
      <c r="E289" s="59"/>
    </row>
    <row r="290" spans="1:5" ht="15.5">
      <c r="A290" s="54"/>
      <c r="E290" s="59"/>
    </row>
    <row r="291" spans="1:5" ht="15.5">
      <c r="A291" s="54"/>
      <c r="E291" s="59"/>
    </row>
    <row r="292" spans="1:5" ht="15.5">
      <c r="A292" s="54"/>
      <c r="E292" s="59"/>
    </row>
    <row r="293" spans="1:5" ht="15.5">
      <c r="A293" s="54"/>
      <c r="E293" s="59"/>
    </row>
    <row r="294" spans="1:5" ht="15.5">
      <c r="A294" s="54"/>
      <c r="E294" s="59"/>
    </row>
    <row r="295" spans="1:5" ht="15.5">
      <c r="A295" s="54"/>
      <c r="E295" s="59"/>
    </row>
    <row r="296" spans="1:5" ht="15.5">
      <c r="A296" s="54"/>
      <c r="E296" s="59"/>
    </row>
    <row r="297" spans="1:5" ht="15.5">
      <c r="A297" s="54"/>
      <c r="E297" s="59"/>
    </row>
    <row r="298" spans="1:5" ht="15.5">
      <c r="A298" s="54"/>
      <c r="E298" s="59"/>
    </row>
    <row r="299" spans="1:5" ht="15.5">
      <c r="A299" s="54"/>
      <c r="E299" s="59"/>
    </row>
    <row r="300" spans="1:5" ht="15.5">
      <c r="A300" s="54"/>
      <c r="E300" s="59"/>
    </row>
    <row r="301" spans="1:5" ht="15.5">
      <c r="A301" s="54"/>
      <c r="E301" s="59"/>
    </row>
    <row r="302" spans="1:5" ht="15.5">
      <c r="A302" s="54"/>
      <c r="E302" s="59"/>
    </row>
    <row r="303" spans="1:5" ht="15.5">
      <c r="A303" s="54"/>
      <c r="E303" s="59"/>
    </row>
    <row r="304" spans="1:5" ht="15.5">
      <c r="A304" s="54"/>
      <c r="E304" s="59"/>
    </row>
    <row r="305" spans="1:5" ht="15.5">
      <c r="A305" s="54"/>
      <c r="E305" s="59"/>
    </row>
    <row r="306" spans="1:5" ht="15.5">
      <c r="A306" s="54"/>
      <c r="E306" s="59"/>
    </row>
    <row r="307" spans="1:5" ht="15.5">
      <c r="A307" s="54"/>
      <c r="E307" s="59"/>
    </row>
    <row r="308" spans="1:5" ht="15.5">
      <c r="A308" s="54"/>
      <c r="E308" s="59"/>
    </row>
    <row r="309" spans="1:5" ht="15.5">
      <c r="A309" s="54"/>
      <c r="E309" s="59"/>
    </row>
    <row r="310" spans="1:5" ht="15.5">
      <c r="A310" s="54"/>
      <c r="E310" s="59"/>
    </row>
    <row r="311" spans="1:5" ht="15.5">
      <c r="A311" s="54"/>
      <c r="E311" s="59"/>
    </row>
    <row r="312" spans="1:5" ht="15.5">
      <c r="A312" s="54"/>
      <c r="E312" s="59"/>
    </row>
    <row r="313" spans="1:5" ht="15.5">
      <c r="A313" s="54"/>
      <c r="E313" s="59"/>
    </row>
    <row r="314" spans="1:5" ht="15.5">
      <c r="A314" s="54"/>
      <c r="E314" s="59"/>
    </row>
    <row r="315" spans="1:5" ht="15.5">
      <c r="A315" s="54"/>
      <c r="E315" s="59"/>
    </row>
    <row r="316" spans="1:5" ht="15.5">
      <c r="A316" s="54"/>
      <c r="E316" s="59"/>
    </row>
    <row r="317" spans="1:5" ht="15.5">
      <c r="A317" s="54"/>
      <c r="E317" s="59"/>
    </row>
    <row r="318" spans="1:5" ht="15.5">
      <c r="E318" s="59"/>
    </row>
    <row r="319" spans="1:5" ht="15.5">
      <c r="E319" s="59"/>
    </row>
    <row r="320" spans="1:5" ht="15.5">
      <c r="E320" s="59"/>
    </row>
    <row r="321" spans="5:5" ht="15.5">
      <c r="E321" s="59"/>
    </row>
    <row r="322" spans="5:5" ht="15.5">
      <c r="E322" s="59"/>
    </row>
    <row r="323" spans="5:5" ht="15.5">
      <c r="E323" s="59"/>
    </row>
    <row r="324" spans="5:5" ht="15.5">
      <c r="E324" s="59"/>
    </row>
    <row r="325" spans="5:5" ht="15.5">
      <c r="E325" s="59"/>
    </row>
    <row r="326" spans="5:5" ht="15.5">
      <c r="E326" s="59"/>
    </row>
    <row r="327" spans="5:5" ht="15.5">
      <c r="E327" s="59"/>
    </row>
    <row r="328" spans="5:5" ht="15.5">
      <c r="E328" s="59"/>
    </row>
    <row r="329" spans="5:5" ht="15.5">
      <c r="E329" s="59"/>
    </row>
    <row r="330" spans="5:5" ht="15.5">
      <c r="E330" s="59"/>
    </row>
    <row r="331" spans="5:5" ht="15.5">
      <c r="E331" s="59"/>
    </row>
    <row r="332" spans="5:5" ht="15.5">
      <c r="E332" s="59"/>
    </row>
  </sheetData>
  <customSheetViews>
    <customSheetView guid="{8B6AA640-12E9-11D5-ABB1-E7A21A3D4A14}" showGridLines="0" showRuler="0" topLeftCell="A142">
      <selection activeCell="A161" sqref="A161"/>
      <pageMargins left="0" right="0" top="0" bottom="0" header="0.5" footer="0.5"/>
      <printOptions horizontalCentered="1"/>
      <pageSetup scale="50" orientation="portrait" r:id="rId1"/>
      <headerFooter alignWithMargins="0">
        <oddFooter>&amp;RLVT
&amp;D
&amp;T
&amp;F</oddFooter>
      </headerFooter>
    </customSheetView>
    <customSheetView guid="{00D6F160-3E2B-11D5-8BE5-C1A1C12816BD}" showPageBreaks="1" showGridLines="0" showRuler="0">
      <selection activeCell="A16" sqref="A16"/>
      <pageMargins left="0" right="0" top="0" bottom="1" header="0.5" footer="0.5"/>
      <printOptions horizontalCentered="1"/>
      <pageSetup scale="70" orientation="portrait" r:id="rId2"/>
      <headerFooter alignWithMargins="0">
        <oddFooter>&amp;RLVT
&amp;D
&amp;T
&amp;F</oddFooter>
      </headerFooter>
    </customSheetView>
  </customSheetViews>
  <mergeCells count="4">
    <mergeCell ref="C1:E1"/>
    <mergeCell ref="L10:L12"/>
    <mergeCell ref="M10:M12"/>
    <mergeCell ref="D2:H8"/>
  </mergeCells>
  <phoneticPr fontId="0" type="noConversion"/>
  <printOptions horizontalCentered="1" headings="1"/>
  <pageMargins left="0" right="0" top="0" bottom="1" header="0.5" footer="0.5"/>
  <pageSetup scale="45" fitToHeight="4" orientation="landscape" r:id="rId3"/>
  <headerFooter alignWithMargins="0">
    <oddFooter>&amp;RDJ
&amp;D
&amp;T
&amp;F</oddFooter>
  </headerFooter>
  <ignoredErrors>
    <ignoredError sqref="G223" evalErro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E28CAB"/>
  </sheetPr>
  <dimension ref="A1:AC246"/>
  <sheetViews>
    <sheetView showGridLines="0" zoomScale="90" zoomScaleNormal="90" workbookViewId="0">
      <selection activeCell="N1" sqref="N1"/>
    </sheetView>
  </sheetViews>
  <sheetFormatPr defaultColWidth="8.6640625" defaultRowHeight="13"/>
  <cols>
    <col min="1" max="1" width="8.58203125" style="142" customWidth="1"/>
    <col min="2" max="2" width="43.1640625" style="140" customWidth="1"/>
    <col min="3" max="3" width="24.1640625" style="140" customWidth="1"/>
    <col min="4" max="4" width="12.6640625" style="140" customWidth="1"/>
    <col min="5" max="5" width="12.9140625" style="140" customWidth="1"/>
    <col min="6" max="6" width="14.1640625" style="140" bestFit="1" customWidth="1"/>
    <col min="7" max="7" width="13.5" style="140" bestFit="1" customWidth="1"/>
    <col min="8" max="8" width="12.58203125" style="140" customWidth="1"/>
    <col min="9" max="9" width="2.5" style="333" customWidth="1"/>
    <col min="10" max="10" width="14.6640625" style="141" customWidth="1"/>
    <col min="11" max="11" width="13" style="141" customWidth="1"/>
    <col min="12" max="12" width="2.5" style="140" customWidth="1"/>
    <col min="13" max="13" width="8.6640625" style="140"/>
    <col min="14" max="14" width="10.1640625" style="140" customWidth="1"/>
    <col min="15" max="16384" width="8.6640625" style="140"/>
  </cols>
  <sheetData>
    <row r="1" spans="1:14" ht="36.75" customHeight="1">
      <c r="A1" s="138" t="str">
        <f>'ALPINE VALLEY'!A1</f>
        <v>schedules revised 7/9/15</v>
      </c>
      <c r="B1" s="139" t="s">
        <v>304</v>
      </c>
      <c r="C1" s="523" t="s">
        <v>676</v>
      </c>
      <c r="D1" s="478"/>
      <c r="E1" s="478"/>
      <c r="F1" s="478"/>
      <c r="G1" s="478"/>
      <c r="H1" s="478"/>
      <c r="I1" s="479"/>
    </row>
    <row r="2" spans="1:14" ht="23">
      <c r="B2" s="143" t="s">
        <v>189</v>
      </c>
      <c r="C2" s="247" t="s">
        <v>458</v>
      </c>
      <c r="D2" s="247"/>
      <c r="E2" s="144"/>
      <c r="F2" s="465"/>
    </row>
    <row r="3" spans="1:14" ht="15.5">
      <c r="A3" s="145"/>
      <c r="B3" s="140" t="s">
        <v>79</v>
      </c>
      <c r="C3" s="146">
        <v>41821</v>
      </c>
      <c r="D3" s="144"/>
      <c r="E3" s="147"/>
      <c r="F3"/>
    </row>
    <row r="4" spans="1:14" ht="15.5">
      <c r="A4" s="145"/>
      <c r="B4" s="148" t="s">
        <v>80</v>
      </c>
      <c r="C4" s="146">
        <v>42185</v>
      </c>
      <c r="D4" s="144"/>
      <c r="E4" s="149"/>
      <c r="F4"/>
      <c r="G4" s="150"/>
    </row>
    <row r="5" spans="1:14" ht="15.5">
      <c r="A5" s="145"/>
      <c r="B5" s="148"/>
      <c r="C5" s="151"/>
      <c r="D5" s="144"/>
      <c r="F5"/>
    </row>
    <row r="6" spans="1:14">
      <c r="A6" s="145"/>
      <c r="B6" s="148"/>
      <c r="C6" s="152" t="s">
        <v>37</v>
      </c>
      <c r="D6" s="153" t="s">
        <v>38</v>
      </c>
      <c r="E6" s="149" t="s">
        <v>39</v>
      </c>
      <c r="F6" s="154" t="s">
        <v>40</v>
      </c>
      <c r="G6" s="153" t="s">
        <v>41</v>
      </c>
      <c r="H6" s="149" t="s">
        <v>42</v>
      </c>
      <c r="I6" s="334"/>
      <c r="J6" s="155">
        <v>7</v>
      </c>
      <c r="K6" s="155">
        <v>8</v>
      </c>
      <c r="M6" s="147">
        <v>9</v>
      </c>
      <c r="N6" s="147">
        <v>10</v>
      </c>
    </row>
    <row r="7" spans="1:14">
      <c r="B7" s="148"/>
      <c r="C7" s="156" t="s">
        <v>1</v>
      </c>
      <c r="D7" s="156" t="s">
        <v>2</v>
      </c>
      <c r="E7" s="156" t="s">
        <v>3</v>
      </c>
      <c r="F7" s="156" t="s">
        <v>4</v>
      </c>
      <c r="G7" s="156" t="s">
        <v>5</v>
      </c>
      <c r="H7" s="157" t="s">
        <v>305</v>
      </c>
      <c r="I7" s="335"/>
      <c r="J7" s="158" t="s">
        <v>291</v>
      </c>
      <c r="K7" s="159" t="s">
        <v>292</v>
      </c>
      <c r="M7" s="159" t="s">
        <v>351</v>
      </c>
      <c r="N7" s="159" t="s">
        <v>353</v>
      </c>
    </row>
    <row r="8" spans="1:14">
      <c r="B8" s="148"/>
      <c r="C8" s="160"/>
      <c r="D8" s="160"/>
      <c r="E8" s="160" t="s">
        <v>8</v>
      </c>
      <c r="F8" s="160" t="s">
        <v>9</v>
      </c>
      <c r="G8" s="160" t="s">
        <v>10</v>
      </c>
      <c r="H8" s="161" t="s">
        <v>11</v>
      </c>
      <c r="I8" s="335"/>
      <c r="J8" s="162"/>
      <c r="K8" s="162"/>
      <c r="M8" s="162" t="s">
        <v>352</v>
      </c>
      <c r="N8" s="162" t="s">
        <v>351</v>
      </c>
    </row>
    <row r="9" spans="1:14" ht="15.5">
      <c r="A9" s="145"/>
      <c r="C9" s="151"/>
      <c r="D9" s="144"/>
      <c r="F9"/>
      <c r="G9" s="144"/>
    </row>
    <row r="10" spans="1:14" s="167" customFormat="1" ht="16" thickBot="1">
      <c r="A10" s="163" t="s">
        <v>245</v>
      </c>
      <c r="B10" s="164" t="s">
        <v>246</v>
      </c>
      <c r="C10" s="165"/>
      <c r="D10" s="165"/>
      <c r="E10" s="165"/>
      <c r="F10"/>
      <c r="G10" s="165"/>
      <c r="H10" s="166"/>
      <c r="I10" s="336"/>
      <c r="J10" s="168"/>
      <c r="K10" s="168"/>
    </row>
    <row r="11" spans="1:14" s="167" customFormat="1">
      <c r="A11" s="169" t="s">
        <v>13</v>
      </c>
      <c r="B11" s="170" t="s">
        <v>213</v>
      </c>
      <c r="C11" s="490">
        <f>'[9]Sch B'!E10</f>
        <v>1923779.21</v>
      </c>
      <c r="D11" s="490">
        <f>'[9]Sch B'!G10</f>
        <v>0</v>
      </c>
      <c r="E11" s="171">
        <f>C11+D11</f>
        <v>1923779.21</v>
      </c>
      <c r="F11" s="490"/>
      <c r="G11" s="171">
        <f t="shared" ref="G11:G20" si="0">E11+F11</f>
        <v>1923779.21</v>
      </c>
      <c r="H11" s="172">
        <f t="shared" ref="H11:H21" si="1">IF($G$21=0,0,G11/$G$21)</f>
        <v>0.34424053240267116</v>
      </c>
      <c r="I11" s="337"/>
      <c r="J11" s="368" t="s">
        <v>344</v>
      </c>
      <c r="K11" s="369">
        <f>G21</f>
        <v>5588473.8399999999</v>
      </c>
      <c r="M11" s="359">
        <f>IFERROR(G11/G219,0)</f>
        <v>189.59093426628559</v>
      </c>
      <c r="N11" s="359">
        <f>SUMMARY!J14</f>
        <v>202.14403866920762</v>
      </c>
    </row>
    <row r="12" spans="1:14" s="167" customFormat="1">
      <c r="A12" s="169" t="s">
        <v>15</v>
      </c>
      <c r="B12" s="170" t="s">
        <v>212</v>
      </c>
      <c r="C12" s="490">
        <f>'[9]Sch B'!E15</f>
        <v>0</v>
      </c>
      <c r="D12" s="490">
        <f>'[9]Sch B'!G15</f>
        <v>0</v>
      </c>
      <c r="E12" s="171">
        <f t="shared" ref="E12:E20" si="2">C12+D12</f>
        <v>0</v>
      </c>
      <c r="F12" s="490"/>
      <c r="G12" s="171">
        <f>E12+F12</f>
        <v>0</v>
      </c>
      <c r="H12" s="172">
        <f t="shared" si="1"/>
        <v>0</v>
      </c>
      <c r="I12" s="337"/>
      <c r="J12" s="370" t="s">
        <v>345</v>
      </c>
      <c r="K12" s="371">
        <f>G208</f>
        <v>4737827.8899999997</v>
      </c>
      <c r="M12" s="359">
        <f t="shared" ref="M12:M19" si="3">IFERROR(G12/G220,0)</f>
        <v>0</v>
      </c>
      <c r="N12" s="359">
        <f>SUMMARY!J15</f>
        <v>201.43485675885972</v>
      </c>
    </row>
    <row r="13" spans="1:14" s="167" customFormat="1">
      <c r="A13" s="169" t="s">
        <v>16</v>
      </c>
      <c r="B13" s="170" t="s">
        <v>170</v>
      </c>
      <c r="C13" s="490">
        <f>'[9]Sch B'!E21</f>
        <v>2238348.65</v>
      </c>
      <c r="D13" s="490">
        <f>'[9]Sch B'!G21</f>
        <v>0</v>
      </c>
      <c r="E13" s="171">
        <f t="shared" si="2"/>
        <v>2238348.65</v>
      </c>
      <c r="F13" s="490"/>
      <c r="G13" s="171">
        <f t="shared" si="0"/>
        <v>2238348.65</v>
      </c>
      <c r="H13" s="172">
        <f t="shared" si="1"/>
        <v>0.40052950306017715</v>
      </c>
      <c r="I13" s="337"/>
      <c r="J13" s="370" t="s">
        <v>346</v>
      </c>
      <c r="K13" s="371">
        <f>G228</f>
        <v>19709</v>
      </c>
      <c r="M13" s="359">
        <f t="shared" si="3"/>
        <v>543.94863912515189</v>
      </c>
      <c r="N13" s="359">
        <f>SUMMARY!J16</f>
        <v>505.71464085235812</v>
      </c>
    </row>
    <row r="14" spans="1:14" s="167" customFormat="1">
      <c r="A14" s="173" t="s">
        <v>18</v>
      </c>
      <c r="B14" s="174" t="s">
        <v>306</v>
      </c>
      <c r="C14" s="490">
        <f>'[9]Sch B'!E27</f>
        <v>468401.56999999995</v>
      </c>
      <c r="D14" s="490">
        <f>'[9]Sch B'!G27</f>
        <v>0</v>
      </c>
      <c r="E14" s="171">
        <f t="shared" si="2"/>
        <v>468401.56999999995</v>
      </c>
      <c r="F14" s="490"/>
      <c r="G14" s="175">
        <f>E14+F14</f>
        <v>468401.56999999995</v>
      </c>
      <c r="H14" s="176">
        <f t="shared" si="1"/>
        <v>8.3815650463884062E-2</v>
      </c>
      <c r="I14" s="338"/>
      <c r="J14" s="370" t="s">
        <v>347</v>
      </c>
      <c r="K14" s="371">
        <f>G231</f>
        <v>84</v>
      </c>
      <c r="M14" s="359">
        <f t="shared" si="3"/>
        <v>408.72737347294935</v>
      </c>
      <c r="N14" s="359">
        <f>SUMMARY!J17</f>
        <v>434.5752101579231</v>
      </c>
    </row>
    <row r="15" spans="1:14" s="167" customFormat="1">
      <c r="A15" s="169" t="s">
        <v>19</v>
      </c>
      <c r="B15" s="170" t="s">
        <v>171</v>
      </c>
      <c r="C15" s="490">
        <f>'[9]Sch B'!E32</f>
        <v>0</v>
      </c>
      <c r="D15" s="490">
        <f>'[9]Sch B'!G32</f>
        <v>0</v>
      </c>
      <c r="E15" s="171">
        <f t="shared" si="2"/>
        <v>0</v>
      </c>
      <c r="F15" s="490"/>
      <c r="G15" s="171">
        <f t="shared" si="0"/>
        <v>0</v>
      </c>
      <c r="H15" s="172">
        <f t="shared" si="1"/>
        <v>0</v>
      </c>
      <c r="I15" s="337"/>
      <c r="J15" s="370" t="s">
        <v>348</v>
      </c>
      <c r="K15" s="371">
        <f>G235</f>
        <v>41496</v>
      </c>
      <c r="M15" s="359">
        <f t="shared" si="3"/>
        <v>0</v>
      </c>
      <c r="N15" s="359">
        <f>SUMMARY!J18</f>
        <v>315.99060013046318</v>
      </c>
    </row>
    <row r="16" spans="1:14" s="167" customFormat="1">
      <c r="A16" s="169" t="s">
        <v>21</v>
      </c>
      <c r="B16" s="170" t="s">
        <v>172</v>
      </c>
      <c r="C16" s="490">
        <f>'[9]Sch B'!E37</f>
        <v>704843.57000000007</v>
      </c>
      <c r="D16" s="490">
        <f>'[9]Sch B'!G37</f>
        <v>0</v>
      </c>
      <c r="E16" s="171">
        <f t="shared" si="2"/>
        <v>704843.57000000007</v>
      </c>
      <c r="F16" s="490"/>
      <c r="G16" s="171">
        <f t="shared" si="0"/>
        <v>704843.57000000007</v>
      </c>
      <c r="H16" s="172">
        <f t="shared" si="1"/>
        <v>0.12612451810278136</v>
      </c>
      <c r="I16" s="337"/>
      <c r="J16" s="372"/>
      <c r="K16" s="371"/>
      <c r="M16" s="359">
        <f t="shared" si="3"/>
        <v>206.03436714410992</v>
      </c>
      <c r="N16" s="359">
        <f>SUMMARY!J19</f>
        <v>199.44117347347731</v>
      </c>
    </row>
    <row r="17" spans="1:26" s="167" customFormat="1">
      <c r="A17" s="169" t="s">
        <v>215</v>
      </c>
      <c r="B17" s="170" t="s">
        <v>228</v>
      </c>
      <c r="C17" s="490">
        <f>'[9]Sch B'!E42</f>
        <v>0</v>
      </c>
      <c r="D17" s="490">
        <f>'[9]Sch B'!G42</f>
        <v>0</v>
      </c>
      <c r="E17" s="171">
        <f t="shared" si="2"/>
        <v>0</v>
      </c>
      <c r="F17" s="490"/>
      <c r="G17" s="171">
        <f>E17+F17</f>
        <v>0</v>
      </c>
      <c r="H17" s="172">
        <f t="shared" si="1"/>
        <v>0</v>
      </c>
      <c r="I17" s="337"/>
      <c r="J17" s="370" t="s">
        <v>156</v>
      </c>
      <c r="K17" s="371">
        <f>J208</f>
        <v>104828.95000000001</v>
      </c>
      <c r="M17" s="359">
        <f t="shared" si="3"/>
        <v>0</v>
      </c>
      <c r="N17" s="359">
        <f>SUMMARY!J20</f>
        <v>174.81134252751988</v>
      </c>
    </row>
    <row r="18" spans="1:26" s="167" customFormat="1" ht="13.5" thickBot="1">
      <c r="A18" s="169" t="s">
        <v>216</v>
      </c>
      <c r="B18" s="170" t="s">
        <v>229</v>
      </c>
      <c r="C18" s="490">
        <f>'[9]Sch B'!E47</f>
        <v>123107.07999999999</v>
      </c>
      <c r="D18" s="490">
        <f>'[9]Sch B'!G47</f>
        <v>0</v>
      </c>
      <c r="E18" s="171">
        <f t="shared" si="2"/>
        <v>123107.07999999999</v>
      </c>
      <c r="F18" s="490"/>
      <c r="G18" s="171">
        <f>E18+F18</f>
        <v>123107.07999999999</v>
      </c>
      <c r="H18" s="172">
        <f t="shared" si="1"/>
        <v>2.202874765537061E-2</v>
      </c>
      <c r="I18" s="337"/>
      <c r="J18" s="373" t="s">
        <v>252</v>
      </c>
      <c r="K18" s="374">
        <f>K208</f>
        <v>113129.91999999998</v>
      </c>
      <c r="M18" s="359">
        <f t="shared" si="3"/>
        <v>0</v>
      </c>
      <c r="N18" s="359">
        <f>SUMMARY!J21</f>
        <v>183.50924381494963</v>
      </c>
    </row>
    <row r="19" spans="1:26" s="167" customFormat="1">
      <c r="A19" s="169" t="s">
        <v>227</v>
      </c>
      <c r="B19" s="177" t="s">
        <v>173</v>
      </c>
      <c r="C19" s="490">
        <f>'[9]Sch B'!E52</f>
        <v>0</v>
      </c>
      <c r="D19" s="490">
        <f>'[9]Sch B'!G52</f>
        <v>0</v>
      </c>
      <c r="E19" s="171">
        <f t="shared" si="2"/>
        <v>0</v>
      </c>
      <c r="F19" s="490"/>
      <c r="G19" s="171">
        <f t="shared" si="0"/>
        <v>0</v>
      </c>
      <c r="H19" s="172">
        <f t="shared" si="1"/>
        <v>0</v>
      </c>
      <c r="I19" s="337"/>
      <c r="J19" s="168"/>
      <c r="K19" s="168"/>
      <c r="M19" s="359">
        <f t="shared" si="3"/>
        <v>0</v>
      </c>
      <c r="N19" s="359">
        <f>SUMMARY!J22</f>
        <v>376.584981890248</v>
      </c>
    </row>
    <row r="20" spans="1:26" s="167" customFormat="1">
      <c r="A20" s="169" t="s">
        <v>183</v>
      </c>
      <c r="B20" s="23" t="s">
        <v>180</v>
      </c>
      <c r="C20" s="490">
        <f>'[9]Sch B'!E67</f>
        <v>129993.76</v>
      </c>
      <c r="D20" s="490">
        <f>'[9]Sch B'!G67</f>
        <v>0</v>
      </c>
      <c r="E20" s="171">
        <f t="shared" si="2"/>
        <v>129993.76</v>
      </c>
      <c r="F20" s="490"/>
      <c r="G20" s="171">
        <f t="shared" si="0"/>
        <v>129993.76</v>
      </c>
      <c r="H20" s="172">
        <f t="shared" si="1"/>
        <v>2.3261048315115669E-2</v>
      </c>
      <c r="I20" s="337"/>
      <c r="J20" s="168"/>
      <c r="K20" s="168"/>
      <c r="M20" s="362" t="s">
        <v>200</v>
      </c>
      <c r="N20" s="362" t="s">
        <v>200</v>
      </c>
    </row>
    <row r="21" spans="1:26" s="167" customFormat="1">
      <c r="A21" s="169"/>
      <c r="B21" s="178" t="s">
        <v>77</v>
      </c>
      <c r="C21" s="490">
        <f>SUM(C11:C20)</f>
        <v>5588473.8399999999</v>
      </c>
      <c r="D21" s="490">
        <f>SUM(D11:D20)</f>
        <v>0</v>
      </c>
      <c r="E21" s="171">
        <f>SUM(E11:E20)</f>
        <v>5588473.8399999999</v>
      </c>
      <c r="F21" s="171">
        <f>SUM(F11:F20)</f>
        <v>0</v>
      </c>
      <c r="G21" s="171">
        <f>SUM(G11:G20)</f>
        <v>5588473.8399999999</v>
      </c>
      <c r="H21" s="172">
        <f t="shared" si="1"/>
        <v>1</v>
      </c>
      <c r="I21" s="337"/>
      <c r="J21" s="168"/>
      <c r="K21" s="168"/>
      <c r="M21" s="359">
        <f>IFERROR(G21/G228,0)</f>
        <v>283.54933482165507</v>
      </c>
      <c r="N21" s="359">
        <f>SUMMARY!J24</f>
        <v>264.67475627099196</v>
      </c>
    </row>
    <row r="22" spans="1:26" ht="12" customHeight="1">
      <c r="A22" s="145"/>
      <c r="B22" s="179"/>
      <c r="C22" s="151"/>
      <c r="D22" s="144"/>
      <c r="F22" s="144"/>
      <c r="G22" s="144"/>
      <c r="J22" s="562"/>
      <c r="M22" s="363"/>
      <c r="N22" s="363"/>
    </row>
    <row r="23" spans="1:26" ht="26">
      <c r="A23" s="180" t="s">
        <v>231</v>
      </c>
      <c r="B23" s="179" t="s">
        <v>222</v>
      </c>
      <c r="C23" s="151"/>
      <c r="D23" s="144"/>
      <c r="F23" s="144"/>
      <c r="G23" s="144"/>
      <c r="M23" s="363"/>
      <c r="N23" s="363"/>
      <c r="W23" s="140" t="s">
        <v>447</v>
      </c>
      <c r="Y23" s="140" t="s">
        <v>506</v>
      </c>
    </row>
    <row r="24" spans="1:26">
      <c r="A24" s="181" t="s">
        <v>161</v>
      </c>
      <c r="B24" s="148" t="s">
        <v>12</v>
      </c>
      <c r="M24" s="363"/>
      <c r="N24" s="363"/>
      <c r="W24" s="140" t="s">
        <v>504</v>
      </c>
      <c r="X24" s="140" t="s">
        <v>505</v>
      </c>
      <c r="Y24" s="140" t="s">
        <v>498</v>
      </c>
      <c r="Z24" s="140" t="s">
        <v>499</v>
      </c>
    </row>
    <row r="25" spans="1:26" s="167" customFormat="1">
      <c r="A25" s="169" t="s">
        <v>83</v>
      </c>
      <c r="B25" s="170" t="s">
        <v>14</v>
      </c>
      <c r="C25" s="490">
        <f>'[9]Sch C'!D10</f>
        <v>0</v>
      </c>
      <c r="D25" s="490">
        <f>'[9]Sch C'!F10</f>
        <v>89179</v>
      </c>
      <c r="E25" s="171">
        <f t="shared" ref="E25:E60" si="4">C25+D25</f>
        <v>89179</v>
      </c>
      <c r="F25" s="490"/>
      <c r="G25" s="182">
        <f>E25+F25</f>
        <v>89179</v>
      </c>
      <c r="H25" s="172">
        <f>IF($G$208=0,0,G25/$G$208)</f>
        <v>1.8822760570983935E-2</v>
      </c>
      <c r="I25" s="337"/>
      <c r="J25" s="183">
        <v>1938.08</v>
      </c>
      <c r="K25" s="183">
        <v>2080.08</v>
      </c>
      <c r="M25" s="359">
        <f>G25/G$228</f>
        <v>4.5247856309300323</v>
      </c>
      <c r="N25" s="359">
        <f>SUMMARY!J28</f>
        <v>5.1446587373365018</v>
      </c>
      <c r="W25" s="183">
        <v>1077.1600000000001</v>
      </c>
      <c r="X25" s="183">
        <v>1178.76</v>
      </c>
      <c r="Y25" s="492">
        <v>665.64</v>
      </c>
      <c r="Z25" s="492">
        <v>728</v>
      </c>
    </row>
    <row r="26" spans="1:26" s="167" customFormat="1">
      <c r="A26" s="169" t="s">
        <v>84</v>
      </c>
      <c r="B26" s="170" t="s">
        <v>176</v>
      </c>
      <c r="C26" s="490">
        <f>'[9]Sch C'!D11</f>
        <v>0</v>
      </c>
      <c r="D26" s="490">
        <f>'[9]Sch C'!F11</f>
        <v>0</v>
      </c>
      <c r="E26" s="171">
        <f t="shared" si="4"/>
        <v>0</v>
      </c>
      <c r="F26" s="490"/>
      <c r="G26" s="171">
        <f t="shared" ref="G26:G60" si="5">E26+F26</f>
        <v>0</v>
      </c>
      <c r="H26" s="184">
        <f t="shared" ref="H26:H61" si="6">IF($G$208=0,0,G26/$G$208)</f>
        <v>0</v>
      </c>
      <c r="I26" s="337"/>
      <c r="J26" s="183">
        <v>0</v>
      </c>
      <c r="K26" s="183">
        <v>0</v>
      </c>
      <c r="M26" s="359">
        <f t="shared" ref="M26:M60" si="7">G26/G$228</f>
        <v>0</v>
      </c>
      <c r="N26" s="359">
        <f>SUMMARY!J29</f>
        <v>9.6977144261489304E-2</v>
      </c>
      <c r="W26" s="183">
        <v>0</v>
      </c>
      <c r="X26" s="183">
        <v>0</v>
      </c>
      <c r="Y26" s="492">
        <v>0</v>
      </c>
      <c r="Z26" s="492">
        <v>0</v>
      </c>
    </row>
    <row r="27" spans="1:26" s="167" customFormat="1">
      <c r="A27" s="169" t="s">
        <v>85</v>
      </c>
      <c r="B27" s="170" t="s">
        <v>17</v>
      </c>
      <c r="C27" s="490">
        <f>'[9]Sch C'!D12</f>
        <v>142591.56</v>
      </c>
      <c r="D27" s="490">
        <f>'[9]Sch C'!F12</f>
        <v>0</v>
      </c>
      <c r="E27" s="171">
        <f t="shared" si="4"/>
        <v>142591.56</v>
      </c>
      <c r="F27" s="490"/>
      <c r="G27" s="171">
        <f t="shared" si="5"/>
        <v>142591.56</v>
      </c>
      <c r="H27" s="172">
        <f t="shared" si="6"/>
        <v>3.0096399301663954E-2</v>
      </c>
      <c r="I27" s="337"/>
      <c r="J27" s="183">
        <v>1854.97</v>
      </c>
      <c r="K27" s="183">
        <v>2253.58</v>
      </c>
      <c r="M27" s="359">
        <f t="shared" si="7"/>
        <v>7.2348449946724847</v>
      </c>
      <c r="N27" s="359">
        <f>SUMMARY!J30</f>
        <v>6.5653829268620019</v>
      </c>
      <c r="W27" s="185">
        <v>2121.12</v>
      </c>
      <c r="X27" s="185">
        <v>2346.66</v>
      </c>
      <c r="Y27" s="492">
        <v>1820.596</v>
      </c>
      <c r="Z27" s="492">
        <v>2141.6819999999998</v>
      </c>
    </row>
    <row r="28" spans="1:26" s="167" customFormat="1">
      <c r="A28" s="169" t="s">
        <v>86</v>
      </c>
      <c r="B28" s="170" t="s">
        <v>45</v>
      </c>
      <c r="C28" s="490">
        <f>'[9]Sch C'!D13</f>
        <v>33875.949999999997</v>
      </c>
      <c r="D28" s="490">
        <f>'[9]Sch C'!F13</f>
        <v>7620.44</v>
      </c>
      <c r="E28" s="171">
        <f t="shared" si="4"/>
        <v>41496.39</v>
      </c>
      <c r="F28" s="490"/>
      <c r="G28" s="171">
        <f t="shared" si="5"/>
        <v>41496.39</v>
      </c>
      <c r="H28" s="172">
        <f t="shared" si="6"/>
        <v>8.7585262621264204E-3</v>
      </c>
      <c r="I28" s="337"/>
      <c r="J28" s="168"/>
      <c r="K28" s="168"/>
      <c r="M28" s="359">
        <f t="shared" si="7"/>
        <v>2.1054538535694354</v>
      </c>
      <c r="N28" s="359">
        <f>SUMMARY!J31</f>
        <v>2.1760486719355461</v>
      </c>
      <c r="W28" s="168"/>
      <c r="X28" s="168"/>
      <c r="Y28" s="527"/>
      <c r="Z28" s="527"/>
    </row>
    <row r="29" spans="1:26" s="167" customFormat="1">
      <c r="A29" s="169" t="s">
        <v>175</v>
      </c>
      <c r="B29" s="170" t="s">
        <v>20</v>
      </c>
      <c r="C29" s="490">
        <f>'[9]Sch C'!D14</f>
        <v>0</v>
      </c>
      <c r="D29" s="490">
        <f>'[9]Sch C'!F14</f>
        <v>0</v>
      </c>
      <c r="E29" s="171">
        <f t="shared" si="4"/>
        <v>0</v>
      </c>
      <c r="F29" s="490"/>
      <c r="G29" s="171">
        <f t="shared" si="5"/>
        <v>0</v>
      </c>
      <c r="H29" s="172">
        <f t="shared" si="6"/>
        <v>0</v>
      </c>
      <c r="I29" s="337"/>
      <c r="J29" s="168"/>
      <c r="K29" s="168"/>
      <c r="M29" s="359">
        <f t="shared" si="7"/>
        <v>0</v>
      </c>
      <c r="N29" s="359">
        <f>SUMMARY!J32</f>
        <v>2.4585887878539638E-2</v>
      </c>
      <c r="W29" s="168"/>
      <c r="X29" s="168"/>
      <c r="Y29" s="527"/>
      <c r="Z29" s="527"/>
    </row>
    <row r="30" spans="1:26" s="167" customFormat="1">
      <c r="A30" s="169" t="s">
        <v>88</v>
      </c>
      <c r="B30" s="170" t="s">
        <v>22</v>
      </c>
      <c r="C30" s="490">
        <f>'[9]Sch C'!D15</f>
        <v>0</v>
      </c>
      <c r="D30" s="490">
        <f>'[9]Sch C'!F15</f>
        <v>0</v>
      </c>
      <c r="E30" s="171">
        <f t="shared" si="4"/>
        <v>0</v>
      </c>
      <c r="F30" s="490"/>
      <c r="G30" s="171">
        <f t="shared" si="5"/>
        <v>0</v>
      </c>
      <c r="H30" s="172">
        <f t="shared" si="6"/>
        <v>0</v>
      </c>
      <c r="I30" s="337"/>
      <c r="J30" s="168"/>
      <c r="K30" s="168"/>
      <c r="M30" s="359">
        <f t="shared" si="7"/>
        <v>0</v>
      </c>
      <c r="N30" s="359">
        <f>SUMMARY!J33</f>
        <v>1.6617191665983997</v>
      </c>
      <c r="W30" s="168"/>
      <c r="X30" s="168"/>
      <c r="Y30" s="527"/>
      <c r="Z30" s="527"/>
    </row>
    <row r="31" spans="1:26" s="167" customFormat="1">
      <c r="A31" s="169" t="s">
        <v>89</v>
      </c>
      <c r="B31" s="170" t="s">
        <v>148</v>
      </c>
      <c r="C31" s="490">
        <f>'[9]Sch C'!D16</f>
        <v>288567.17</v>
      </c>
      <c r="D31" s="490">
        <f>'[9]Sch C'!F16</f>
        <v>-14603</v>
      </c>
      <c r="E31" s="171">
        <f t="shared" si="4"/>
        <v>273964.17</v>
      </c>
      <c r="F31" s="490"/>
      <c r="G31" s="171">
        <f t="shared" si="5"/>
        <v>273964.17</v>
      </c>
      <c r="H31" s="172">
        <f t="shared" si="6"/>
        <v>5.7824846398124435E-2</v>
      </c>
      <c r="I31" s="337"/>
      <c r="J31" s="168"/>
      <c r="K31" s="168"/>
      <c r="M31" s="359">
        <f t="shared" si="7"/>
        <v>13.900460195849611</v>
      </c>
      <c r="N31" s="359">
        <f>SUMMARY!J34</f>
        <v>11.049930353021256</v>
      </c>
      <c r="W31" s="168"/>
      <c r="X31" s="168"/>
      <c r="Y31" s="527"/>
      <c r="Z31" s="527"/>
    </row>
    <row r="32" spans="1:26" s="167" customFormat="1">
      <c r="A32" s="169" t="s">
        <v>90</v>
      </c>
      <c r="B32" s="170" t="s">
        <v>23</v>
      </c>
      <c r="C32" s="490">
        <f>'[9]Sch C'!D17</f>
        <v>1399.37</v>
      </c>
      <c r="D32" s="490">
        <f>'[9]Sch C'!F17</f>
        <v>0</v>
      </c>
      <c r="E32" s="171">
        <f t="shared" si="4"/>
        <v>1399.37</v>
      </c>
      <c r="F32" s="490"/>
      <c r="G32" s="171">
        <f t="shared" si="5"/>
        <v>1399.37</v>
      </c>
      <c r="H32" s="172">
        <f t="shared" si="6"/>
        <v>2.9536108792672922E-4</v>
      </c>
      <c r="I32" s="337"/>
      <c r="J32" s="168"/>
      <c r="K32" s="168"/>
      <c r="M32" s="359">
        <f t="shared" si="7"/>
        <v>7.1001572885483782E-2</v>
      </c>
      <c r="N32" s="359">
        <f>SUMMARY!J35</f>
        <v>0.14536890308839193</v>
      </c>
      <c r="W32" s="168"/>
      <c r="X32" s="168"/>
      <c r="Y32" s="527"/>
      <c r="Z32" s="527"/>
    </row>
    <row r="33" spans="1:26" s="167" customFormat="1">
      <c r="A33" s="169" t="s">
        <v>91</v>
      </c>
      <c r="B33" s="170" t="s">
        <v>24</v>
      </c>
      <c r="C33" s="490">
        <f>'[9]Sch C'!D18</f>
        <v>25376.19</v>
      </c>
      <c r="D33" s="490">
        <f>'[9]Sch C'!F18</f>
        <v>0</v>
      </c>
      <c r="E33" s="171">
        <f t="shared" si="4"/>
        <v>25376.19</v>
      </c>
      <c r="F33" s="490"/>
      <c r="G33" s="171">
        <f t="shared" si="5"/>
        <v>25376.19</v>
      </c>
      <c r="H33" s="172">
        <f t="shared" si="6"/>
        <v>5.3560810120521288E-3</v>
      </c>
      <c r="I33" s="337"/>
      <c r="J33" s="168"/>
      <c r="K33" s="168"/>
      <c r="M33" s="359">
        <f t="shared" si="7"/>
        <v>1.2875432543508041</v>
      </c>
      <c r="N33" s="359">
        <f>SUMMARY!J36</f>
        <v>0.8867545233609132</v>
      </c>
      <c r="W33" s="168"/>
      <c r="X33" s="168"/>
      <c r="Y33" s="527"/>
      <c r="Z33" s="527"/>
    </row>
    <row r="34" spans="1:26" s="167" customFormat="1">
      <c r="A34" s="169" t="s">
        <v>92</v>
      </c>
      <c r="B34" s="170" t="s">
        <v>25</v>
      </c>
      <c r="C34" s="490">
        <f>'[9]Sch C'!D19</f>
        <v>22722.13</v>
      </c>
      <c r="D34" s="490">
        <f>'[9]Sch C'!F19</f>
        <v>0</v>
      </c>
      <c r="E34" s="171">
        <f t="shared" si="4"/>
        <v>22722.13</v>
      </c>
      <c r="F34" s="490"/>
      <c r="G34" s="171">
        <f t="shared" si="5"/>
        <v>22722.13</v>
      </c>
      <c r="H34" s="172">
        <f t="shared" si="6"/>
        <v>4.7958960366540461E-3</v>
      </c>
      <c r="I34" s="337"/>
      <c r="J34" s="168"/>
      <c r="K34" s="168"/>
      <c r="M34" s="359">
        <f t="shared" si="7"/>
        <v>1.1528809173474048</v>
      </c>
      <c r="N34" s="359">
        <f>SUMMARY!J37</f>
        <v>0.90101991185385411</v>
      </c>
      <c r="W34" s="168"/>
      <c r="X34" s="168"/>
      <c r="Y34" s="527"/>
      <c r="Z34" s="527"/>
    </row>
    <row r="35" spans="1:26" s="167" customFormat="1">
      <c r="A35" s="169" t="s">
        <v>93</v>
      </c>
      <c r="B35" s="170" t="s">
        <v>26</v>
      </c>
      <c r="C35" s="490">
        <f>'[9]Sch C'!D20</f>
        <v>16239.34</v>
      </c>
      <c r="D35" s="490">
        <f>'[9]Sch C'!F20</f>
        <v>0</v>
      </c>
      <c r="E35" s="171">
        <f t="shared" si="4"/>
        <v>16239.34</v>
      </c>
      <c r="F35" s="490"/>
      <c r="G35" s="171">
        <f t="shared" si="5"/>
        <v>16239.34</v>
      </c>
      <c r="H35" s="172">
        <f t="shared" si="6"/>
        <v>3.4275917946018932E-3</v>
      </c>
      <c r="I35" s="337"/>
      <c r="J35" s="168"/>
      <c r="K35" s="168"/>
      <c r="M35" s="359">
        <f t="shared" si="7"/>
        <v>0.82395555330052261</v>
      </c>
      <c r="N35" s="359">
        <f>SUMMARY!J38</f>
        <v>0.79427546489719036</v>
      </c>
      <c r="W35" s="168"/>
      <c r="X35" s="168"/>
      <c r="Y35" s="527"/>
      <c r="Z35" s="527"/>
    </row>
    <row r="36" spans="1:26" s="167" customFormat="1">
      <c r="A36" s="169" t="s">
        <v>94</v>
      </c>
      <c r="B36" s="170" t="s">
        <v>27</v>
      </c>
      <c r="C36" s="490">
        <f>'[9]Sch C'!D21</f>
        <v>21082.62</v>
      </c>
      <c r="D36" s="490">
        <f>'[9]Sch C'!F21</f>
        <v>0</v>
      </c>
      <c r="E36" s="171">
        <f t="shared" si="4"/>
        <v>21082.62</v>
      </c>
      <c r="F36" s="490"/>
      <c r="G36" s="171">
        <f t="shared" si="5"/>
        <v>21082.62</v>
      </c>
      <c r="H36" s="172">
        <f t="shared" si="6"/>
        <v>4.4498492747063467E-3</v>
      </c>
      <c r="I36" s="337"/>
      <c r="J36" s="168"/>
      <c r="K36" s="168"/>
      <c r="M36" s="359">
        <f t="shared" si="7"/>
        <v>1.0696950631691104</v>
      </c>
      <c r="N36" s="359">
        <f>SUMMARY!J39</f>
        <v>0.98747949537150814</v>
      </c>
      <c r="W36" s="168"/>
      <c r="X36" s="168"/>
      <c r="Y36" s="527"/>
      <c r="Z36" s="527"/>
    </row>
    <row r="37" spans="1:26" s="167" customFormat="1">
      <c r="A37" s="163">
        <v>130</v>
      </c>
      <c r="B37" s="170" t="s">
        <v>28</v>
      </c>
      <c r="C37" s="490">
        <f>'[9]Sch C'!D22</f>
        <v>0</v>
      </c>
      <c r="D37" s="490">
        <f>'[9]Sch C'!F22</f>
        <v>0</v>
      </c>
      <c r="E37" s="171">
        <f t="shared" si="4"/>
        <v>0</v>
      </c>
      <c r="F37" s="490"/>
      <c r="G37" s="171">
        <f t="shared" si="5"/>
        <v>0</v>
      </c>
      <c r="H37" s="172">
        <f t="shared" si="6"/>
        <v>0</v>
      </c>
      <c r="I37" s="337"/>
      <c r="J37" s="168"/>
      <c r="K37" s="168"/>
      <c r="M37" s="359">
        <f t="shared" si="7"/>
        <v>0</v>
      </c>
      <c r="N37" s="359">
        <f>SUMMARY!J40</f>
        <v>9.0113213729827151E-3</v>
      </c>
      <c r="W37" s="168"/>
      <c r="X37" s="168"/>
      <c r="Y37" s="527"/>
      <c r="Z37" s="527"/>
    </row>
    <row r="38" spans="1:26" s="167" customFormat="1">
      <c r="A38" s="163">
        <v>140</v>
      </c>
      <c r="B38" s="170" t="s">
        <v>149</v>
      </c>
      <c r="C38" s="490">
        <f>'[9]Sch C'!D23</f>
        <v>21802.09</v>
      </c>
      <c r="D38" s="490">
        <f>'[9]Sch C'!F23</f>
        <v>0</v>
      </c>
      <c r="E38" s="171">
        <f t="shared" si="4"/>
        <v>21802.09</v>
      </c>
      <c r="F38" s="490"/>
      <c r="G38" s="171">
        <f t="shared" si="5"/>
        <v>21802.09</v>
      </c>
      <c r="H38" s="172">
        <f t="shared" si="6"/>
        <v>4.6017057829426562E-3</v>
      </c>
      <c r="I38" s="337"/>
      <c r="J38" s="168"/>
      <c r="K38" s="168"/>
      <c r="M38" s="359">
        <f t="shared" si="7"/>
        <v>1.1061997057181998</v>
      </c>
      <c r="N38" s="359">
        <f>SUMMARY!J41</f>
        <v>0.63060479506294209</v>
      </c>
      <c r="W38" s="168"/>
      <c r="X38" s="168"/>
      <c r="Y38" s="527"/>
      <c r="Z38" s="527"/>
    </row>
    <row r="39" spans="1:26" s="167" customFormat="1">
      <c r="A39" s="163">
        <v>150</v>
      </c>
      <c r="B39" s="170" t="s">
        <v>29</v>
      </c>
      <c r="C39" s="490">
        <f>'[9]Sch C'!D24</f>
        <v>1795.38</v>
      </c>
      <c r="D39" s="490">
        <f>'[9]Sch C'!F24</f>
        <v>0</v>
      </c>
      <c r="E39" s="171">
        <f t="shared" si="4"/>
        <v>1795.38</v>
      </c>
      <c r="F39" s="490"/>
      <c r="G39" s="171">
        <f t="shared" si="5"/>
        <v>1795.38</v>
      </c>
      <c r="H39" s="172">
        <f t="shared" si="6"/>
        <v>3.7894580421324683E-4</v>
      </c>
      <c r="I39" s="337"/>
      <c r="J39" s="168"/>
      <c r="K39" s="168"/>
      <c r="M39" s="359">
        <f t="shared" si="7"/>
        <v>9.1094423867268765E-2</v>
      </c>
      <c r="N39" s="359">
        <f>SUMMARY!J42</f>
        <v>0.77563123344529072</v>
      </c>
      <c r="W39" s="168"/>
      <c r="X39" s="168"/>
      <c r="Y39" s="527"/>
      <c r="Z39" s="527"/>
    </row>
    <row r="40" spans="1:26" s="167" customFormat="1">
      <c r="A40" s="163">
        <v>160</v>
      </c>
      <c r="B40" s="170" t="s">
        <v>30</v>
      </c>
      <c r="C40" s="490">
        <f>'[9]Sch C'!D25</f>
        <v>0</v>
      </c>
      <c r="D40" s="490">
        <f>'[9]Sch C'!F25</f>
        <v>0</v>
      </c>
      <c r="E40" s="171">
        <f t="shared" si="4"/>
        <v>0</v>
      </c>
      <c r="F40" s="490"/>
      <c r="G40" s="171">
        <f t="shared" si="5"/>
        <v>0</v>
      </c>
      <c r="H40" s="172">
        <f t="shared" si="6"/>
        <v>0</v>
      </c>
      <c r="I40" s="337"/>
      <c r="J40" s="168"/>
      <c r="K40" s="168"/>
      <c r="M40" s="359">
        <f t="shared" si="7"/>
        <v>0</v>
      </c>
      <c r="N40" s="359">
        <f>SUMMARY!J43</f>
        <v>2.6613926435651674E-2</v>
      </c>
      <c r="W40" s="168"/>
      <c r="X40" s="168"/>
      <c r="Y40" s="527"/>
      <c r="Z40" s="527"/>
    </row>
    <row r="41" spans="1:26" s="167" customFormat="1">
      <c r="A41" s="163">
        <v>170</v>
      </c>
      <c r="B41" s="170" t="s">
        <v>31</v>
      </c>
      <c r="C41" s="490">
        <f>'[9]Sch C'!D26</f>
        <v>223531</v>
      </c>
      <c r="D41" s="490">
        <f>'[9]Sch C'!F26</f>
        <v>0</v>
      </c>
      <c r="E41" s="171">
        <f t="shared" si="4"/>
        <v>223531</v>
      </c>
      <c r="F41" s="490"/>
      <c r="G41" s="171">
        <f t="shared" si="5"/>
        <v>223531</v>
      </c>
      <c r="H41" s="172">
        <f t="shared" si="6"/>
        <v>4.718005913042992E-2</v>
      </c>
      <c r="I41" s="337"/>
      <c r="J41" s="168"/>
      <c r="K41" s="168"/>
      <c r="M41" s="359">
        <f t="shared" si="7"/>
        <v>11.341569841189305</v>
      </c>
      <c r="N41" s="359">
        <f>SUMMARY!J44</f>
        <v>10.987269304497419</v>
      </c>
      <c r="W41" s="168"/>
      <c r="X41" s="168"/>
      <c r="Y41" s="527"/>
      <c r="Z41" s="527"/>
    </row>
    <row r="42" spans="1:26" s="167" customFormat="1">
      <c r="A42" s="163">
        <v>180</v>
      </c>
      <c r="B42" s="170" t="s">
        <v>32</v>
      </c>
      <c r="C42" s="490">
        <f>'[9]Sch C'!D27</f>
        <v>52189</v>
      </c>
      <c r="D42" s="490">
        <f>'[9]Sch C'!F27</f>
        <v>0</v>
      </c>
      <c r="E42" s="171">
        <f t="shared" si="4"/>
        <v>52189</v>
      </c>
      <c r="F42" s="490"/>
      <c r="G42" s="171">
        <f t="shared" si="5"/>
        <v>52189</v>
      </c>
      <c r="H42" s="172">
        <f t="shared" si="6"/>
        <v>1.1015385364705598E-2</v>
      </c>
      <c r="I42" s="337"/>
      <c r="J42" s="168"/>
      <c r="K42" s="168"/>
      <c r="M42" s="359">
        <f t="shared" si="7"/>
        <v>2.6479780810797098</v>
      </c>
      <c r="N42" s="359">
        <f>SUMMARY!J45</f>
        <v>0.64134655143223829</v>
      </c>
      <c r="W42" s="168"/>
      <c r="X42" s="168"/>
      <c r="Y42" s="527"/>
      <c r="Z42" s="527"/>
    </row>
    <row r="43" spans="1:26" s="167" customFormat="1">
      <c r="A43" s="163">
        <v>190</v>
      </c>
      <c r="B43" s="170" t="s">
        <v>33</v>
      </c>
      <c r="C43" s="490">
        <f>'[9]Sch C'!D28</f>
        <v>0</v>
      </c>
      <c r="D43" s="490">
        <f>'[9]Sch C'!F28</f>
        <v>0</v>
      </c>
      <c r="E43" s="171">
        <f t="shared" si="4"/>
        <v>0</v>
      </c>
      <c r="F43" s="490"/>
      <c r="G43" s="171">
        <f t="shared" si="5"/>
        <v>0</v>
      </c>
      <c r="H43" s="172">
        <f t="shared" si="6"/>
        <v>0</v>
      </c>
      <c r="I43" s="337"/>
      <c r="J43" s="168"/>
      <c r="K43" s="168"/>
      <c r="M43" s="359">
        <f t="shared" si="7"/>
        <v>0</v>
      </c>
      <c r="N43" s="359">
        <f>SUMMARY!J46</f>
        <v>0</v>
      </c>
      <c r="W43" s="168"/>
      <c r="X43" s="168"/>
      <c r="Y43" s="527"/>
      <c r="Z43" s="527"/>
    </row>
    <row r="44" spans="1:26" s="167" customFormat="1">
      <c r="A44" s="163">
        <v>200</v>
      </c>
      <c r="B44" s="170" t="s">
        <v>34</v>
      </c>
      <c r="C44" s="490">
        <f>'[9]Sch C'!D29</f>
        <v>41448.18</v>
      </c>
      <c r="D44" s="490">
        <f>'[9]Sch C'!F29</f>
        <v>-41448.18</v>
      </c>
      <c r="E44" s="171">
        <f t="shared" si="4"/>
        <v>0</v>
      </c>
      <c r="F44" s="490"/>
      <c r="G44" s="171">
        <f t="shared" si="5"/>
        <v>0</v>
      </c>
      <c r="H44" s="172">
        <f t="shared" si="6"/>
        <v>0</v>
      </c>
      <c r="I44" s="337"/>
      <c r="J44" s="168"/>
      <c r="K44" s="168"/>
      <c r="M44" s="359">
        <f t="shared" si="7"/>
        <v>0</v>
      </c>
      <c r="N44" s="359">
        <f>SUMMARY!J47</f>
        <v>0</v>
      </c>
      <c r="W44" s="168"/>
      <c r="X44" s="168"/>
      <c r="Y44" s="527"/>
      <c r="Z44" s="527"/>
    </row>
    <row r="45" spans="1:26" s="167" customFormat="1">
      <c r="A45" s="163">
        <v>210</v>
      </c>
      <c r="B45" s="170" t="s">
        <v>35</v>
      </c>
      <c r="C45" s="490">
        <f>'[9]Sch C'!D30</f>
        <v>0</v>
      </c>
      <c r="D45" s="490">
        <f>'[9]Sch C'!F30</f>
        <v>0</v>
      </c>
      <c r="E45" s="171">
        <f t="shared" si="4"/>
        <v>0</v>
      </c>
      <c r="F45" s="490"/>
      <c r="G45" s="171">
        <f t="shared" si="5"/>
        <v>0</v>
      </c>
      <c r="H45" s="172">
        <f t="shared" si="6"/>
        <v>0</v>
      </c>
      <c r="I45" s="337"/>
      <c r="J45" s="168"/>
      <c r="K45" s="168"/>
      <c r="M45" s="359">
        <f t="shared" si="7"/>
        <v>0</v>
      </c>
      <c r="N45" s="359">
        <f>SUMMARY!J48</f>
        <v>0</v>
      </c>
      <c r="W45" s="168"/>
      <c r="X45" s="168"/>
      <c r="Y45" s="527"/>
      <c r="Z45" s="527"/>
    </row>
    <row r="46" spans="1:26" s="167" customFormat="1">
      <c r="A46" s="163">
        <v>220</v>
      </c>
      <c r="B46" s="170" t="s">
        <v>190</v>
      </c>
      <c r="C46" s="490">
        <f>'[9]Sch C'!D31</f>
        <v>828.37</v>
      </c>
      <c r="D46" s="490">
        <f>'[9]Sch C'!F31</f>
        <v>0</v>
      </c>
      <c r="E46" s="171">
        <f t="shared" si="4"/>
        <v>828.37</v>
      </c>
      <c r="F46" s="490"/>
      <c r="G46" s="171">
        <f t="shared" si="5"/>
        <v>828.37</v>
      </c>
      <c r="H46" s="172">
        <f t="shared" si="6"/>
        <v>1.7484172478034022E-4</v>
      </c>
      <c r="I46" s="337"/>
      <c r="J46" s="168"/>
      <c r="K46" s="168"/>
      <c r="M46" s="359">
        <f t="shared" si="7"/>
        <v>4.2030037038916231E-2</v>
      </c>
      <c r="N46" s="359">
        <f>SUMMARY!J49</f>
        <v>1.2092098577319024</v>
      </c>
      <c r="W46" s="168"/>
      <c r="X46" s="168"/>
      <c r="Y46" s="527"/>
      <c r="Z46" s="527"/>
    </row>
    <row r="47" spans="1:26" s="167" customFormat="1">
      <c r="A47" s="163">
        <v>230</v>
      </c>
      <c r="B47" s="170" t="s">
        <v>191</v>
      </c>
      <c r="C47" s="490">
        <f>'[9]Sch C'!D32</f>
        <v>0</v>
      </c>
      <c r="D47" s="490">
        <f>'[9]Sch C'!F32</f>
        <v>18439</v>
      </c>
      <c r="E47" s="171">
        <f t="shared" si="4"/>
        <v>18439</v>
      </c>
      <c r="F47" s="490"/>
      <c r="G47" s="171">
        <f t="shared" si="5"/>
        <v>18439</v>
      </c>
      <c r="H47" s="172">
        <f t="shared" si="6"/>
        <v>3.891867840729014E-3</v>
      </c>
      <c r="I47" s="337"/>
      <c r="J47" s="168"/>
      <c r="K47" s="168"/>
      <c r="M47" s="359">
        <f t="shared" si="7"/>
        <v>0.93556243340605816</v>
      </c>
      <c r="N47" s="359">
        <f>SUMMARY!J50</f>
        <v>2.2270835363825316</v>
      </c>
      <c r="W47" s="168"/>
      <c r="X47" s="168"/>
      <c r="Y47" s="527"/>
      <c r="Z47" s="527"/>
    </row>
    <row r="48" spans="1:26" s="167" customFormat="1">
      <c r="A48" s="163">
        <v>240</v>
      </c>
      <c r="B48" s="170" t="s">
        <v>201</v>
      </c>
      <c r="C48" s="490">
        <f>'[9]Sch C'!D33</f>
        <v>18.809999999999999</v>
      </c>
      <c r="D48" s="490">
        <f>'[9]Sch C'!F33</f>
        <v>-18.809999999999999</v>
      </c>
      <c r="E48" s="171">
        <f t="shared" si="4"/>
        <v>0</v>
      </c>
      <c r="F48" s="490"/>
      <c r="G48" s="171">
        <f t="shared" si="5"/>
        <v>0</v>
      </c>
      <c r="H48" s="172">
        <f t="shared" si="6"/>
        <v>0</v>
      </c>
      <c r="I48" s="337"/>
      <c r="J48" s="168"/>
      <c r="K48" s="168"/>
      <c r="M48" s="359">
        <f t="shared" si="7"/>
        <v>0</v>
      </c>
      <c r="N48" s="359">
        <f>SUMMARY!J51</f>
        <v>0</v>
      </c>
      <c r="W48" s="168"/>
      <c r="X48" s="168"/>
      <c r="Y48" s="527"/>
      <c r="Z48" s="527"/>
    </row>
    <row r="49" spans="1:26" s="167" customFormat="1">
      <c r="A49" s="163">
        <v>250</v>
      </c>
      <c r="B49" s="170" t="s">
        <v>202</v>
      </c>
      <c r="C49" s="490">
        <f>'[9]Sch C'!D34</f>
        <v>0</v>
      </c>
      <c r="D49" s="490">
        <f>'[9]Sch C'!F34</f>
        <v>0</v>
      </c>
      <c r="E49" s="171">
        <f t="shared" si="4"/>
        <v>0</v>
      </c>
      <c r="F49" s="490"/>
      <c r="G49" s="171">
        <f t="shared" si="5"/>
        <v>0</v>
      </c>
      <c r="H49" s="172">
        <f t="shared" si="6"/>
        <v>0</v>
      </c>
      <c r="I49" s="337"/>
      <c r="J49" s="168"/>
      <c r="K49" s="168"/>
      <c r="M49" s="359">
        <f t="shared" si="7"/>
        <v>0</v>
      </c>
      <c r="N49" s="359">
        <f>SUMMARY!J52</f>
        <v>1.5242074219710003E-2</v>
      </c>
      <c r="W49" s="168"/>
      <c r="X49" s="168"/>
      <c r="Y49" s="527"/>
      <c r="Z49" s="527"/>
    </row>
    <row r="50" spans="1:26" s="167" customFormat="1">
      <c r="A50" s="163">
        <v>270</v>
      </c>
      <c r="B50" s="170" t="s">
        <v>203</v>
      </c>
      <c r="C50" s="490">
        <f>'[9]Sch C'!D35</f>
        <v>-4385.01</v>
      </c>
      <c r="D50" s="490">
        <f>'[9]Sch C'!F35</f>
        <v>4385.01</v>
      </c>
      <c r="E50" s="171">
        <f t="shared" si="4"/>
        <v>0</v>
      </c>
      <c r="F50" s="490"/>
      <c r="G50" s="171">
        <f t="shared" si="5"/>
        <v>0</v>
      </c>
      <c r="H50" s="172">
        <f t="shared" si="6"/>
        <v>0</v>
      </c>
      <c r="I50" s="337"/>
      <c r="J50" s="168"/>
      <c r="K50" s="168"/>
      <c r="M50" s="359">
        <f t="shared" si="7"/>
        <v>0</v>
      </c>
      <c r="N50" s="359">
        <f>SUMMARY!J53</f>
        <v>0</v>
      </c>
      <c r="W50" s="168"/>
      <c r="X50" s="168"/>
      <c r="Y50" s="527"/>
      <c r="Z50" s="527"/>
    </row>
    <row r="51" spans="1:26" s="167" customFormat="1">
      <c r="A51" s="163">
        <v>280</v>
      </c>
      <c r="B51" s="170" t="s">
        <v>204</v>
      </c>
      <c r="C51" s="490">
        <f>'[9]Sch C'!D36</f>
        <v>0</v>
      </c>
      <c r="D51" s="490">
        <f>'[9]Sch C'!F36</f>
        <v>0</v>
      </c>
      <c r="E51" s="171">
        <f t="shared" si="4"/>
        <v>0</v>
      </c>
      <c r="F51" s="490"/>
      <c r="G51" s="171">
        <f t="shared" si="5"/>
        <v>0</v>
      </c>
      <c r="H51" s="172">
        <f t="shared" si="6"/>
        <v>0</v>
      </c>
      <c r="I51" s="337"/>
      <c r="J51" s="183">
        <v>0</v>
      </c>
      <c r="K51" s="183">
        <v>0</v>
      </c>
      <c r="M51" s="359">
        <f t="shared" si="7"/>
        <v>0</v>
      </c>
      <c r="N51" s="359">
        <f>SUMMARY!J54</f>
        <v>0.46828948963709344</v>
      </c>
      <c r="W51" s="183">
        <v>0</v>
      </c>
      <c r="X51" s="183">
        <v>0</v>
      </c>
      <c r="Y51" s="492">
        <v>0</v>
      </c>
      <c r="Z51" s="492">
        <v>0</v>
      </c>
    </row>
    <row r="52" spans="1:26" s="167" customFormat="1">
      <c r="A52" s="163">
        <v>290</v>
      </c>
      <c r="B52" s="170" t="s">
        <v>205</v>
      </c>
      <c r="C52" s="490">
        <f>'[9]Sch C'!D37</f>
        <v>0</v>
      </c>
      <c r="D52" s="490">
        <f>'[9]Sch C'!F37</f>
        <v>0</v>
      </c>
      <c r="E52" s="171">
        <f t="shared" si="4"/>
        <v>0</v>
      </c>
      <c r="F52" s="490"/>
      <c r="G52" s="171">
        <f t="shared" si="5"/>
        <v>0</v>
      </c>
      <c r="H52" s="172">
        <f t="shared" si="6"/>
        <v>0</v>
      </c>
      <c r="I52" s="337"/>
      <c r="J52" s="168"/>
      <c r="K52" s="168"/>
      <c r="M52" s="359">
        <f t="shared" si="7"/>
        <v>0</v>
      </c>
      <c r="N52" s="359">
        <f>SUMMARY!J55</f>
        <v>7.2094073659366972E-2</v>
      </c>
      <c r="W52" s="168"/>
      <c r="X52" s="168"/>
      <c r="Y52" s="527"/>
      <c r="Z52" s="527"/>
    </row>
    <row r="53" spans="1:26" s="167" customFormat="1">
      <c r="A53" s="163">
        <v>300</v>
      </c>
      <c r="B53" s="170" t="s">
        <v>206</v>
      </c>
      <c r="C53" s="490">
        <f>'[9]Sch C'!D38</f>
        <v>38.5</v>
      </c>
      <c r="D53" s="490">
        <f>'[9]Sch C'!F38</f>
        <v>0</v>
      </c>
      <c r="E53" s="171">
        <f t="shared" si="4"/>
        <v>38.5</v>
      </c>
      <c r="F53" s="490"/>
      <c r="G53" s="171">
        <f t="shared" si="5"/>
        <v>38.5</v>
      </c>
      <c r="H53" s="172">
        <f t="shared" si="6"/>
        <v>8.1260866569806955E-6</v>
      </c>
      <c r="I53" s="337"/>
      <c r="J53" s="168"/>
      <c r="K53" s="168"/>
      <c r="M53" s="359">
        <f t="shared" si="7"/>
        <v>1.9534222943832767E-3</v>
      </c>
      <c r="N53" s="359">
        <f>SUMMARY!J56</f>
        <v>3.3816553343709896E-3</v>
      </c>
      <c r="W53" s="168"/>
      <c r="X53" s="168"/>
      <c r="Y53" s="527"/>
      <c r="Z53" s="527"/>
    </row>
    <row r="54" spans="1:26" s="167" customFormat="1">
      <c r="A54" s="163">
        <v>310</v>
      </c>
      <c r="B54" s="170" t="s">
        <v>207</v>
      </c>
      <c r="C54" s="490">
        <f>'[9]Sch C'!D39</f>
        <v>7235.57</v>
      </c>
      <c r="D54" s="490">
        <f>'[9]Sch C'!F39</f>
        <v>0</v>
      </c>
      <c r="E54" s="171">
        <f t="shared" si="4"/>
        <v>7235.57</v>
      </c>
      <c r="F54" s="490"/>
      <c r="G54" s="171">
        <f t="shared" si="5"/>
        <v>7235.57</v>
      </c>
      <c r="H54" s="172">
        <f t="shared" si="6"/>
        <v>1.5271913982506445E-3</v>
      </c>
      <c r="I54" s="337"/>
      <c r="J54" s="168"/>
      <c r="K54" s="168"/>
      <c r="M54" s="359">
        <f t="shared" si="7"/>
        <v>0.36712009741742352</v>
      </c>
      <c r="N54" s="359">
        <f>SUMMARY!J57</f>
        <v>0.29995180907129787</v>
      </c>
      <c r="W54" s="168"/>
      <c r="X54" s="168"/>
      <c r="Y54" s="527"/>
      <c r="Z54" s="527"/>
    </row>
    <row r="55" spans="1:26" s="167" customFormat="1">
      <c r="A55" s="163">
        <v>320</v>
      </c>
      <c r="B55" s="170" t="s">
        <v>208</v>
      </c>
      <c r="C55" s="490">
        <f>'[9]Sch C'!D40</f>
        <v>14121.41</v>
      </c>
      <c r="D55" s="490">
        <f>'[9]Sch C'!F40</f>
        <v>0</v>
      </c>
      <c r="E55" s="171">
        <f t="shared" si="4"/>
        <v>14121.41</v>
      </c>
      <c r="F55" s="490"/>
      <c r="G55" s="171">
        <f t="shared" si="5"/>
        <v>14121.41</v>
      </c>
      <c r="H55" s="172">
        <f t="shared" si="6"/>
        <v>2.9805662695780197E-3</v>
      </c>
      <c r="I55" s="337"/>
      <c r="J55" s="168"/>
      <c r="K55" s="168"/>
      <c r="M55" s="359">
        <f t="shared" si="7"/>
        <v>0.71649550966563502</v>
      </c>
      <c r="N55" s="359">
        <f>SUMMARY!J58</f>
        <v>0.15756469785095983</v>
      </c>
      <c r="W55" s="168"/>
      <c r="X55" s="168"/>
      <c r="Y55" s="527"/>
      <c r="Z55" s="527"/>
    </row>
    <row r="56" spans="1:26" s="167" customFormat="1">
      <c r="A56" s="163">
        <v>330</v>
      </c>
      <c r="B56" s="170" t="s">
        <v>48</v>
      </c>
      <c r="C56" s="490">
        <f>'[9]Sch C'!D41</f>
        <v>56749.48</v>
      </c>
      <c r="D56" s="490">
        <f>'[9]Sch C'!F41</f>
        <v>-8062.41</v>
      </c>
      <c r="E56" s="171">
        <f t="shared" si="4"/>
        <v>48687.070000000007</v>
      </c>
      <c r="F56" s="490"/>
      <c r="G56" s="171">
        <f t="shared" si="5"/>
        <v>48687.070000000007</v>
      </c>
      <c r="H56" s="172">
        <f t="shared" si="6"/>
        <v>1.0276242854402212E-2</v>
      </c>
      <c r="I56" s="337"/>
      <c r="J56" s="168"/>
      <c r="K56" s="168"/>
      <c r="M56" s="359">
        <f t="shared" si="7"/>
        <v>2.4702963113298497</v>
      </c>
      <c r="N56" s="359">
        <f>SUMMARY!J59</f>
        <v>1.9820866333524478</v>
      </c>
      <c r="W56" s="168"/>
      <c r="X56" s="168"/>
      <c r="Y56" s="527"/>
      <c r="Z56" s="527"/>
    </row>
    <row r="57" spans="1:26" s="167" customFormat="1">
      <c r="A57" s="163">
        <v>340</v>
      </c>
      <c r="B57" s="170" t="s">
        <v>209</v>
      </c>
      <c r="C57" s="490">
        <f>'[9]Sch C'!D42</f>
        <v>101.5</v>
      </c>
      <c r="D57" s="490">
        <f>'[9]Sch C'!F42</f>
        <v>0</v>
      </c>
      <c r="E57" s="171">
        <f t="shared" si="4"/>
        <v>101.5</v>
      </c>
      <c r="F57" s="490"/>
      <c r="G57" s="171">
        <f t="shared" si="5"/>
        <v>101.5</v>
      </c>
      <c r="H57" s="172">
        <f t="shared" si="6"/>
        <v>2.1423319368403652E-5</v>
      </c>
      <c r="I57" s="337"/>
      <c r="J57" s="168"/>
      <c r="K57" s="168"/>
      <c r="M57" s="359">
        <f t="shared" si="7"/>
        <v>5.1499315033740932E-3</v>
      </c>
      <c r="N57" s="359">
        <f>SUMMARY!J60</f>
        <v>0.1328047459108162</v>
      </c>
      <c r="W57" s="168"/>
      <c r="X57" s="168"/>
      <c r="Y57" s="527"/>
      <c r="Z57" s="527"/>
    </row>
    <row r="58" spans="1:26" s="167" customFormat="1">
      <c r="A58" s="163">
        <v>350</v>
      </c>
      <c r="B58" s="170" t="s">
        <v>210</v>
      </c>
      <c r="C58" s="490">
        <f>'[9]Sch C'!D43</f>
        <v>0</v>
      </c>
      <c r="D58" s="490">
        <f>'[9]Sch C'!F43</f>
        <v>0</v>
      </c>
      <c r="E58" s="171">
        <f t="shared" si="4"/>
        <v>0</v>
      </c>
      <c r="F58" s="490"/>
      <c r="G58" s="171">
        <f t="shared" si="5"/>
        <v>0</v>
      </c>
      <c r="H58" s="172">
        <f t="shared" si="6"/>
        <v>0</v>
      </c>
      <c r="I58" s="337"/>
      <c r="J58" s="168"/>
      <c r="K58" s="168"/>
      <c r="M58" s="359">
        <f t="shared" si="7"/>
        <v>0</v>
      </c>
      <c r="N58" s="359">
        <f>SUMMARY!J61</f>
        <v>0.16717675650583</v>
      </c>
      <c r="W58" s="168"/>
      <c r="X58" s="168"/>
      <c r="Y58" s="527"/>
      <c r="Z58" s="527"/>
    </row>
    <row r="59" spans="1:26" s="167" customFormat="1">
      <c r="A59" s="163">
        <v>360</v>
      </c>
      <c r="B59" s="170" t="s">
        <v>211</v>
      </c>
      <c r="C59" s="490">
        <f>'[9]Sch C'!D44</f>
        <v>0</v>
      </c>
      <c r="D59" s="490">
        <f>'[9]Sch C'!F44</f>
        <v>0</v>
      </c>
      <c r="E59" s="171">
        <f t="shared" si="4"/>
        <v>0</v>
      </c>
      <c r="F59" s="490"/>
      <c r="G59" s="171">
        <f t="shared" si="5"/>
        <v>0</v>
      </c>
      <c r="H59" s="172">
        <f t="shared" si="6"/>
        <v>0</v>
      </c>
      <c r="I59" s="337"/>
      <c r="J59" s="168"/>
      <c r="K59" s="168"/>
      <c r="M59" s="359">
        <f t="shared" si="7"/>
        <v>0</v>
      </c>
      <c r="N59" s="359">
        <f>SUMMARY!J62</f>
        <v>8.7222686436743951E-3</v>
      </c>
      <c r="W59" s="168"/>
      <c r="X59" s="168"/>
      <c r="Y59" s="527"/>
      <c r="Z59" s="527"/>
    </row>
    <row r="60" spans="1:26" s="167" customFormat="1">
      <c r="A60" s="163">
        <v>490</v>
      </c>
      <c r="B60" s="170" t="s">
        <v>36</v>
      </c>
      <c r="C60" s="490">
        <f>'[9]Sch C'!D45</f>
        <v>82842.679999999993</v>
      </c>
      <c r="D60" s="490">
        <f>'[9]Sch C'!F45</f>
        <v>-96799.2</v>
      </c>
      <c r="E60" s="171">
        <f t="shared" si="4"/>
        <v>-13956.520000000004</v>
      </c>
      <c r="F60" s="490"/>
      <c r="G60" s="171">
        <f t="shared" si="5"/>
        <v>-13956.520000000004</v>
      </c>
      <c r="H60" s="172">
        <f t="shared" si="6"/>
        <v>-2.9457634012956947E-3</v>
      </c>
      <c r="I60" s="337"/>
      <c r="J60" s="168"/>
      <c r="K60" s="168"/>
      <c r="M60" s="359">
        <f t="shared" si="7"/>
        <v>-0.70812928103911943</v>
      </c>
      <c r="N60" s="359">
        <f>SUMMARY!J63</f>
        <v>0.27778677807815194</v>
      </c>
      <c r="W60" s="168"/>
      <c r="X60" s="168"/>
      <c r="Y60" s="527"/>
      <c r="Z60" s="527"/>
    </row>
    <row r="61" spans="1:26" s="167" customFormat="1">
      <c r="A61" s="163"/>
      <c r="B61" s="170" t="s">
        <v>177</v>
      </c>
      <c r="C61" s="490">
        <f>SUM(C25:C60)</f>
        <v>1050171.29</v>
      </c>
      <c r="D61" s="490">
        <f>SUM(D25:D60)</f>
        <v>-41308.149999999994</v>
      </c>
      <c r="E61" s="171">
        <f t="shared" ref="E61:F61" si="8">SUM(E25:E60)</f>
        <v>1008863.1399999999</v>
      </c>
      <c r="F61" s="171">
        <f t="shared" si="8"/>
        <v>0</v>
      </c>
      <c r="G61" s="171">
        <f>SUM(G25:G60)</f>
        <v>1008863.1399999999</v>
      </c>
      <c r="H61" s="186">
        <f t="shared" si="6"/>
        <v>0.21293790391360121</v>
      </c>
      <c r="I61" s="339"/>
      <c r="J61" s="168"/>
      <c r="K61" s="168"/>
      <c r="M61" s="364">
        <f>G61/G$228</f>
        <v>51.18794154954589</v>
      </c>
      <c r="N61" s="359">
        <f>SUMMARY!J64</f>
        <v>50.526072695090264</v>
      </c>
      <c r="W61" s="168"/>
      <c r="X61" s="168"/>
      <c r="Y61" s="527"/>
      <c r="Z61" s="527"/>
    </row>
    <row r="62" spans="1:26" s="167" customFormat="1">
      <c r="A62" s="163"/>
      <c r="C62" s="165"/>
      <c r="D62" s="165"/>
      <c r="E62" s="165"/>
      <c r="F62" s="165"/>
      <c r="G62" s="165"/>
      <c r="H62" s="187"/>
      <c r="I62" s="340"/>
      <c r="J62" s="168"/>
      <c r="K62" s="168"/>
      <c r="M62" s="359"/>
      <c r="N62" s="359"/>
      <c r="W62" s="168"/>
      <c r="X62" s="168"/>
      <c r="Y62" s="527"/>
      <c r="Z62" s="527"/>
    </row>
    <row r="63" spans="1:26" s="167" customFormat="1">
      <c r="A63" s="169" t="s">
        <v>162</v>
      </c>
      <c r="B63" s="170" t="s">
        <v>178</v>
      </c>
      <c r="C63" s="165"/>
      <c r="D63" s="165"/>
      <c r="E63" s="165"/>
      <c r="F63" s="165"/>
      <c r="G63" s="165"/>
      <c r="H63" s="187"/>
      <c r="I63" s="340"/>
      <c r="J63" s="168"/>
      <c r="K63" s="168"/>
      <c r="M63" s="359"/>
      <c r="N63" s="359"/>
      <c r="W63" s="168"/>
      <c r="X63" s="168"/>
      <c r="Y63" s="527"/>
      <c r="Z63" s="527"/>
    </row>
    <row r="64" spans="1:26" s="167" customFormat="1">
      <c r="A64" s="188">
        <v>230</v>
      </c>
      <c r="B64" s="189" t="s">
        <v>253</v>
      </c>
      <c r="C64" s="490">
        <f>'[9]Sch C'!D57</f>
        <v>0</v>
      </c>
      <c r="D64" s="490">
        <f>'[9]Sch C'!F57</f>
        <v>0</v>
      </c>
      <c r="E64" s="171">
        <f t="shared" ref="E64:E78" si="9">C64+D64</f>
        <v>0</v>
      </c>
      <c r="F64" s="490"/>
      <c r="G64" s="171">
        <f t="shared" ref="G64:G78" si="10">E64+F64</f>
        <v>0</v>
      </c>
      <c r="H64" s="172">
        <f t="shared" ref="H64:H79" si="11">IF($G$208=0,0,G64/$G$208)</f>
        <v>0</v>
      </c>
      <c r="I64" s="337"/>
      <c r="J64" s="190"/>
      <c r="K64" s="168"/>
      <c r="M64" s="359">
        <f t="shared" ref="M64:M79" si="12">G64/G$228</f>
        <v>0</v>
      </c>
      <c r="N64" s="359">
        <f>SUMMARY!J67</f>
        <v>6.8038026869828787</v>
      </c>
      <c r="W64" s="190"/>
      <c r="X64" s="168"/>
      <c r="Y64" s="528"/>
      <c r="Z64" s="527"/>
    </row>
    <row r="65" spans="1:26" s="167" customFormat="1">
      <c r="A65" s="191">
        <v>240</v>
      </c>
      <c r="B65" s="189" t="s">
        <v>254</v>
      </c>
      <c r="C65" s="490">
        <f>'[9]Sch C'!D58</f>
        <v>37421.550000000003</v>
      </c>
      <c r="D65" s="490">
        <f>'[9]Sch C'!F58</f>
        <v>0</v>
      </c>
      <c r="E65" s="171">
        <f t="shared" si="9"/>
        <v>37421.550000000003</v>
      </c>
      <c r="F65" s="490"/>
      <c r="G65" s="171">
        <f t="shared" si="10"/>
        <v>37421.550000000003</v>
      </c>
      <c r="H65" s="172">
        <f t="shared" si="11"/>
        <v>7.8984612503515839E-3</v>
      </c>
      <c r="I65" s="337"/>
      <c r="J65" s="190"/>
      <c r="K65" s="168"/>
      <c r="M65" s="359">
        <f t="shared" si="12"/>
        <v>1.8987036379319093</v>
      </c>
      <c r="N65" s="359">
        <f>SUMMARY!J68</f>
        <v>4.9854394272867122</v>
      </c>
      <c r="W65" s="190"/>
      <c r="X65" s="168"/>
      <c r="Y65" s="528"/>
      <c r="Z65" s="527"/>
    </row>
    <row r="66" spans="1:26" s="167" customFormat="1">
      <c r="A66" s="142">
        <v>250</v>
      </c>
      <c r="B66" s="189" t="s">
        <v>307</v>
      </c>
      <c r="C66" s="490">
        <f>'[9]Sch C'!D59</f>
        <v>0</v>
      </c>
      <c r="D66" s="490">
        <f>'[9]Sch C'!F59</f>
        <v>0</v>
      </c>
      <c r="E66" s="171">
        <f t="shared" si="9"/>
        <v>0</v>
      </c>
      <c r="F66" s="490"/>
      <c r="G66" s="171">
        <f t="shared" si="10"/>
        <v>0</v>
      </c>
      <c r="H66" s="172">
        <f t="shared" si="11"/>
        <v>0</v>
      </c>
      <c r="I66" s="337"/>
      <c r="J66" s="190"/>
      <c r="K66" s="168"/>
      <c r="M66" s="359">
        <f t="shared" si="12"/>
        <v>0</v>
      </c>
      <c r="N66" s="359">
        <f>SUMMARY!J69</f>
        <v>3.9573657628136862</v>
      </c>
      <c r="W66" s="190"/>
      <c r="X66" s="168"/>
      <c r="Y66" s="528"/>
      <c r="Z66" s="527"/>
    </row>
    <row r="67" spans="1:26" s="167" customFormat="1">
      <c r="A67" s="142">
        <v>260</v>
      </c>
      <c r="B67" s="192" t="s">
        <v>308</v>
      </c>
      <c r="C67" s="490">
        <f>'[9]Sch C'!D60</f>
        <v>0</v>
      </c>
      <c r="D67" s="490">
        <f>'[9]Sch C'!F60</f>
        <v>0</v>
      </c>
      <c r="E67" s="171">
        <f t="shared" si="9"/>
        <v>0</v>
      </c>
      <c r="F67" s="490"/>
      <c r="G67" s="171">
        <f t="shared" si="10"/>
        <v>0</v>
      </c>
      <c r="H67" s="172">
        <f t="shared" si="11"/>
        <v>0</v>
      </c>
      <c r="I67" s="337"/>
      <c r="J67" s="193"/>
      <c r="K67" s="168"/>
      <c r="M67" s="359">
        <f t="shared" si="12"/>
        <v>0</v>
      </c>
      <c r="N67" s="359">
        <f>SUMMARY!J70</f>
        <v>1.1060813959203737</v>
      </c>
      <c r="W67" s="193"/>
      <c r="X67" s="168"/>
      <c r="Y67" s="529"/>
      <c r="Z67" s="527"/>
    </row>
    <row r="68" spans="1:26" s="167" customFormat="1">
      <c r="A68" s="142">
        <v>270</v>
      </c>
      <c r="B68" s="192" t="s">
        <v>309</v>
      </c>
      <c r="C68" s="490">
        <f>'[9]Sch C'!D61</f>
        <v>18438.849999999999</v>
      </c>
      <c r="D68" s="490">
        <f>'[9]Sch C'!F61</f>
        <v>-18439</v>
      </c>
      <c r="E68" s="171">
        <f t="shared" si="9"/>
        <v>-0.15000000000145519</v>
      </c>
      <c r="F68" s="490"/>
      <c r="G68" s="171">
        <f t="shared" si="10"/>
        <v>-0.15000000000145519</v>
      </c>
      <c r="H68" s="172">
        <f t="shared" si="11"/>
        <v>-3.1660077884647518E-8</v>
      </c>
      <c r="I68" s="337"/>
      <c r="J68" s="193"/>
      <c r="K68" s="168"/>
      <c r="M68" s="359">
        <f t="shared" si="12"/>
        <v>-7.6107362119567296E-6</v>
      </c>
      <c r="N68" s="359">
        <f>SUMMARY!J71</f>
        <v>0.49146009120450013</v>
      </c>
      <c r="W68" s="193"/>
      <c r="X68" s="168"/>
      <c r="Y68" s="529"/>
      <c r="Z68" s="527"/>
    </row>
    <row r="69" spans="1:26" s="167" customFormat="1">
      <c r="A69" s="142">
        <v>280</v>
      </c>
      <c r="B69" s="194" t="s">
        <v>258</v>
      </c>
      <c r="C69" s="490">
        <f>'[9]Sch C'!D62</f>
        <v>8401.99</v>
      </c>
      <c r="D69" s="490">
        <f>'[9]Sch C'!F62</f>
        <v>0</v>
      </c>
      <c r="E69" s="171">
        <f t="shared" si="9"/>
        <v>8401.99</v>
      </c>
      <c r="F69" s="490"/>
      <c r="G69" s="171">
        <f t="shared" si="10"/>
        <v>8401.99</v>
      </c>
      <c r="H69" s="172">
        <f t="shared" si="11"/>
        <v>1.7733843852229931E-3</v>
      </c>
      <c r="I69" s="337"/>
      <c r="J69" s="195"/>
      <c r="K69" s="168"/>
      <c r="M69" s="359">
        <f t="shared" si="12"/>
        <v>0.42630219696585314</v>
      </c>
      <c r="N69" s="359">
        <f>SUMMARY!J72</f>
        <v>0.1883559924633407</v>
      </c>
      <c r="W69" s="195"/>
      <c r="X69" s="168"/>
      <c r="Y69" s="530"/>
      <c r="Z69" s="527"/>
    </row>
    <row r="70" spans="1:26" s="167" customFormat="1">
      <c r="A70" s="142">
        <v>290</v>
      </c>
      <c r="B70" s="194" t="s">
        <v>259</v>
      </c>
      <c r="C70" s="490">
        <f>'[9]Sch C'!D63</f>
        <v>0</v>
      </c>
      <c r="D70" s="490">
        <f>'[9]Sch C'!F63</f>
        <v>0</v>
      </c>
      <c r="E70" s="171">
        <f t="shared" si="9"/>
        <v>0</v>
      </c>
      <c r="F70" s="490"/>
      <c r="G70" s="171">
        <f t="shared" si="10"/>
        <v>0</v>
      </c>
      <c r="H70" s="172">
        <f t="shared" si="11"/>
        <v>0</v>
      </c>
      <c r="I70" s="337"/>
      <c r="J70" s="195"/>
      <c r="K70" s="168"/>
      <c r="M70" s="359">
        <f t="shared" si="12"/>
        <v>0</v>
      </c>
      <c r="N70" s="359">
        <f>SUMMARY!J73</f>
        <v>5.2595996832418557E-3</v>
      </c>
      <c r="W70" s="195"/>
      <c r="X70" s="168"/>
      <c r="Y70" s="530"/>
      <c r="Z70" s="527"/>
    </row>
    <row r="71" spans="1:26" s="167" customFormat="1">
      <c r="A71" s="142">
        <v>300</v>
      </c>
      <c r="B71" s="194" t="s">
        <v>260</v>
      </c>
      <c r="C71" s="490">
        <f>'[9]Sch C'!D64</f>
        <v>0</v>
      </c>
      <c r="D71" s="490">
        <f>'[9]Sch C'!F64</f>
        <v>0</v>
      </c>
      <c r="E71" s="171">
        <f t="shared" si="9"/>
        <v>0</v>
      </c>
      <c r="F71" s="490"/>
      <c r="G71" s="171">
        <f t="shared" si="10"/>
        <v>0</v>
      </c>
      <c r="H71" s="172">
        <f t="shared" si="11"/>
        <v>0</v>
      </c>
      <c r="I71" s="337"/>
      <c r="J71" s="195"/>
      <c r="K71" s="168"/>
      <c r="M71" s="359">
        <f t="shared" si="12"/>
        <v>0</v>
      </c>
      <c r="N71" s="359">
        <f>SUMMARY!J74</f>
        <v>1.1578056306490812E-3</v>
      </c>
      <c r="W71" s="195"/>
      <c r="X71" s="168"/>
      <c r="Y71" s="530"/>
      <c r="Z71" s="527"/>
    </row>
    <row r="72" spans="1:26" s="167" customFormat="1">
      <c r="A72" s="142">
        <v>310</v>
      </c>
      <c r="B72" s="194" t="s">
        <v>310</v>
      </c>
      <c r="C72" s="490">
        <f>'[9]Sch C'!D65</f>
        <v>0</v>
      </c>
      <c r="D72" s="490">
        <f>'[9]Sch C'!F65</f>
        <v>0</v>
      </c>
      <c r="E72" s="171">
        <f t="shared" si="9"/>
        <v>0</v>
      </c>
      <c r="F72" s="490"/>
      <c r="G72" s="171">
        <f t="shared" si="10"/>
        <v>0</v>
      </c>
      <c r="H72" s="172">
        <f t="shared" si="11"/>
        <v>0</v>
      </c>
      <c r="I72" s="337"/>
      <c r="J72" s="195"/>
      <c r="K72" s="168"/>
      <c r="M72" s="359">
        <f t="shared" si="12"/>
        <v>0</v>
      </c>
      <c r="N72" s="359">
        <f>SUMMARY!J75</f>
        <v>0.1407368559023511</v>
      </c>
      <c r="W72" s="195"/>
      <c r="X72" s="168"/>
      <c r="Y72" s="530"/>
      <c r="Z72" s="527"/>
    </row>
    <row r="73" spans="1:26" s="167" customFormat="1">
      <c r="A73" s="142">
        <v>320</v>
      </c>
      <c r="B73" s="194" t="s">
        <v>262</v>
      </c>
      <c r="C73" s="490">
        <f>'[9]Sch C'!D66</f>
        <v>50231.06</v>
      </c>
      <c r="D73" s="490">
        <f>'[9]Sch C'!F66</f>
        <v>-8810.5499999999993</v>
      </c>
      <c r="E73" s="171">
        <f t="shared" si="9"/>
        <v>41420.509999999995</v>
      </c>
      <c r="F73" s="490"/>
      <c r="G73" s="171">
        <f t="shared" si="10"/>
        <v>41420.509999999995</v>
      </c>
      <c r="H73" s="172">
        <f t="shared" si="11"/>
        <v>8.7425104840606598E-3</v>
      </c>
      <c r="I73" s="337"/>
      <c r="J73" s="195"/>
      <c r="K73" s="168"/>
      <c r="M73" s="359">
        <f t="shared" si="12"/>
        <v>2.1016038358110505</v>
      </c>
      <c r="N73" s="359">
        <f>SUMMARY!J76</f>
        <v>1.0094065700008192</v>
      </c>
      <c r="W73" s="195"/>
      <c r="X73" s="168"/>
      <c r="Y73" s="530"/>
      <c r="Z73" s="527"/>
    </row>
    <row r="74" spans="1:26" s="167" customFormat="1">
      <c r="A74" s="142">
        <v>330</v>
      </c>
      <c r="B74" s="194" t="s">
        <v>263</v>
      </c>
      <c r="C74" s="490">
        <f>'[9]Sch C'!D67</f>
        <v>41025.410000000003</v>
      </c>
      <c r="D74" s="490">
        <f>'[9]Sch C'!F67</f>
        <v>0</v>
      </c>
      <c r="E74" s="171">
        <f t="shared" si="9"/>
        <v>41025.410000000003</v>
      </c>
      <c r="F74" s="490"/>
      <c r="G74" s="171">
        <f t="shared" si="10"/>
        <v>41025.410000000003</v>
      </c>
      <c r="H74" s="172">
        <f t="shared" si="11"/>
        <v>8.6591178389133095E-3</v>
      </c>
      <c r="I74" s="337"/>
      <c r="J74" s="195"/>
      <c r="K74" s="168"/>
      <c r="M74" s="359">
        <f t="shared" si="12"/>
        <v>2.0815571566289512</v>
      </c>
      <c r="N74" s="359">
        <f>SUMMARY!J77</f>
        <v>2.7436852176043502</v>
      </c>
      <c r="W74" s="195"/>
      <c r="X74" s="168"/>
      <c r="Y74" s="530"/>
      <c r="Z74" s="527"/>
    </row>
    <row r="75" spans="1:26" s="167" customFormat="1">
      <c r="A75" s="142">
        <v>340</v>
      </c>
      <c r="B75" s="194" t="s">
        <v>264</v>
      </c>
      <c r="C75" s="490">
        <f>'[9]Sch C'!D68</f>
        <v>0</v>
      </c>
      <c r="D75" s="490">
        <f>'[9]Sch C'!F68</f>
        <v>0</v>
      </c>
      <c r="E75" s="171">
        <f t="shared" si="9"/>
        <v>0</v>
      </c>
      <c r="F75" s="490"/>
      <c r="G75" s="171">
        <f t="shared" si="10"/>
        <v>0</v>
      </c>
      <c r="H75" s="172">
        <f t="shared" si="11"/>
        <v>0</v>
      </c>
      <c r="I75" s="337"/>
      <c r="J75" s="195"/>
      <c r="K75" s="168"/>
      <c r="M75" s="359">
        <f t="shared" si="12"/>
        <v>0</v>
      </c>
      <c r="N75" s="359">
        <f>SUMMARY!J78</f>
        <v>3.656503099314601E-3</v>
      </c>
      <c r="W75" s="195"/>
      <c r="X75" s="168"/>
      <c r="Y75" s="530"/>
      <c r="Z75" s="527"/>
    </row>
    <row r="76" spans="1:26" s="167" customFormat="1">
      <c r="A76" s="167">
        <v>350</v>
      </c>
      <c r="B76" s="194" t="s">
        <v>311</v>
      </c>
      <c r="C76" s="490">
        <f>'[9]Sch C'!D69</f>
        <v>5488.53</v>
      </c>
      <c r="D76" s="490">
        <f>'[9]Sch C'!F69</f>
        <v>0</v>
      </c>
      <c r="E76" s="171">
        <f t="shared" si="9"/>
        <v>5488.53</v>
      </c>
      <c r="F76" s="490"/>
      <c r="G76" s="171">
        <f t="shared" si="10"/>
        <v>5488.53</v>
      </c>
      <c r="H76" s="172">
        <f t="shared" si="11"/>
        <v>1.1584485818035911E-3</v>
      </c>
      <c r="I76" s="337"/>
      <c r="J76" s="195"/>
      <c r="K76" s="168"/>
      <c r="M76" s="359">
        <f t="shared" si="12"/>
        <v>0.27847836014003752</v>
      </c>
      <c r="N76" s="359">
        <f>SUMMARY!J79</f>
        <v>0.13125994920946998</v>
      </c>
      <c r="W76" s="195"/>
      <c r="X76" s="168"/>
      <c r="Y76" s="530"/>
      <c r="Z76" s="527"/>
    </row>
    <row r="77" spans="1:26" s="167" customFormat="1">
      <c r="A77" s="142">
        <v>360</v>
      </c>
      <c r="B77" s="194" t="s">
        <v>192</v>
      </c>
      <c r="C77" s="490">
        <f>'[9]Sch C'!D70</f>
        <v>-49000</v>
      </c>
      <c r="D77" s="490">
        <f>'[9]Sch C'!F70</f>
        <v>0</v>
      </c>
      <c r="E77" s="171">
        <f t="shared" si="9"/>
        <v>-49000</v>
      </c>
      <c r="F77" s="490"/>
      <c r="G77" s="171">
        <f t="shared" si="10"/>
        <v>-49000</v>
      </c>
      <c r="H77" s="172">
        <f t="shared" si="11"/>
        <v>-1.0342292108884522E-2</v>
      </c>
      <c r="I77" s="337"/>
      <c r="J77" s="195"/>
      <c r="K77" s="168"/>
      <c r="M77" s="359">
        <f t="shared" si="12"/>
        <v>-2.4861738292150792</v>
      </c>
      <c r="N77" s="359">
        <f>SUMMARY!J80</f>
        <v>-2.2034898009338905E-2</v>
      </c>
      <c r="W77" s="195"/>
      <c r="X77" s="168"/>
      <c r="Y77" s="530"/>
      <c r="Z77" s="527"/>
    </row>
    <row r="78" spans="1:26" s="167" customFormat="1">
      <c r="A78" s="142">
        <v>490</v>
      </c>
      <c r="B78" s="194" t="s">
        <v>312</v>
      </c>
      <c r="C78" s="490">
        <f>'[9]Sch C'!D71</f>
        <v>0</v>
      </c>
      <c r="D78" s="490">
        <f>'[9]Sch C'!F71</f>
        <v>0</v>
      </c>
      <c r="E78" s="171">
        <f t="shared" si="9"/>
        <v>0</v>
      </c>
      <c r="F78" s="490"/>
      <c r="G78" s="171">
        <f t="shared" si="10"/>
        <v>0</v>
      </c>
      <c r="H78" s="172">
        <f t="shared" si="11"/>
        <v>0</v>
      </c>
      <c r="I78" s="337"/>
      <c r="J78" s="195"/>
      <c r="K78" s="168"/>
      <c r="M78" s="359">
        <f t="shared" si="12"/>
        <v>0</v>
      </c>
      <c r="N78" s="359">
        <f>SUMMARY!J81</f>
        <v>3.1060648261926221E-3</v>
      </c>
      <c r="W78" s="195"/>
      <c r="X78" s="168"/>
      <c r="Y78" s="530"/>
      <c r="Z78" s="527"/>
    </row>
    <row r="79" spans="1:26" s="167" customFormat="1">
      <c r="A79" s="163"/>
      <c r="B79" s="170" t="s">
        <v>150</v>
      </c>
      <c r="C79" s="490">
        <f>SUM(C64:C78)</f>
        <v>112007.38999999998</v>
      </c>
      <c r="D79" s="490">
        <f>SUM(D64:D78)</f>
        <v>-27249.55</v>
      </c>
      <c r="E79" s="171">
        <f t="shared" ref="E79:F79" si="13">SUM(E64:E78)</f>
        <v>84757.84</v>
      </c>
      <c r="F79" s="171">
        <f t="shared" si="13"/>
        <v>0</v>
      </c>
      <c r="G79" s="171">
        <f>SUM(G64:G78)</f>
        <v>84757.84</v>
      </c>
      <c r="H79" s="172">
        <f t="shared" si="11"/>
        <v>1.7889598771389729E-2</v>
      </c>
      <c r="I79" s="337"/>
      <c r="J79" s="195"/>
      <c r="K79" s="168"/>
      <c r="M79" s="359">
        <f t="shared" si="12"/>
        <v>4.3004637475265106</v>
      </c>
      <c r="N79" s="359">
        <f>SUMMARY!J82</f>
        <v>21.548739024618541</v>
      </c>
      <c r="W79" s="195"/>
      <c r="X79" s="168"/>
      <c r="Y79" s="530"/>
      <c r="Z79" s="527"/>
    </row>
    <row r="80" spans="1:26" s="167" customFormat="1">
      <c r="A80" s="163"/>
      <c r="B80" s="170"/>
      <c r="C80" s="196"/>
      <c r="D80" s="196"/>
      <c r="E80" s="196"/>
      <c r="F80" s="196"/>
      <c r="G80" s="196"/>
      <c r="H80" s="197"/>
      <c r="I80" s="337"/>
      <c r="J80" s="168"/>
      <c r="K80" s="168"/>
      <c r="M80" s="359"/>
      <c r="N80" s="359"/>
      <c r="W80" s="168"/>
      <c r="X80" s="168"/>
      <c r="Y80" s="527"/>
      <c r="Z80" s="527"/>
    </row>
    <row r="81" spans="1:26" s="167" customFormat="1">
      <c r="A81" s="169" t="s">
        <v>163</v>
      </c>
      <c r="B81" s="170" t="s">
        <v>43</v>
      </c>
      <c r="C81" s="165"/>
      <c r="D81" s="165"/>
      <c r="E81" s="165"/>
      <c r="F81" s="165"/>
      <c r="G81" s="165"/>
      <c r="H81" s="198"/>
      <c r="I81" s="341"/>
      <c r="J81" s="168"/>
      <c r="K81" s="168"/>
      <c r="M81" s="359"/>
      <c r="N81" s="359"/>
      <c r="W81" s="168"/>
      <c r="X81" s="168"/>
      <c r="Y81" s="527"/>
      <c r="Z81" s="527"/>
    </row>
    <row r="82" spans="1:26" s="167" customFormat="1">
      <c r="A82" s="169" t="s">
        <v>85</v>
      </c>
      <c r="B82" s="148" t="s">
        <v>44</v>
      </c>
      <c r="C82" s="490">
        <f>'[9]Sch C'!D75</f>
        <v>58322.04</v>
      </c>
      <c r="D82" s="490">
        <f>'[9]Sch C'!F75</f>
        <v>0</v>
      </c>
      <c r="E82" s="171">
        <f t="shared" ref="E82:E92" si="14">C82+D82</f>
        <v>58322.04</v>
      </c>
      <c r="F82" s="490"/>
      <c r="G82" s="171">
        <f t="shared" ref="G82:G92" si="15">E82+F82</f>
        <v>58322.04</v>
      </c>
      <c r="H82" s="172">
        <f t="shared" ref="H82:H93" si="16">IF($G$208=0,0,G82/$G$208)</f>
        <v>1.2309868858490764E-2</v>
      </c>
      <c r="I82" s="337"/>
      <c r="J82" s="183">
        <v>3756.68</v>
      </c>
      <c r="K82" s="183">
        <v>4124.43</v>
      </c>
      <c r="M82" s="359">
        <f t="shared" ref="M82:M92" si="17">G82/G$228</f>
        <v>2.9591577451925515</v>
      </c>
      <c r="N82" s="359">
        <f>SUMMARY!J85</f>
        <v>2.3611771060320579</v>
      </c>
      <c r="W82" s="183">
        <v>2153.4699999999998</v>
      </c>
      <c r="X82" s="183">
        <v>2437.88</v>
      </c>
      <c r="Y82" s="492">
        <v>1341.51</v>
      </c>
      <c r="Z82" s="492">
        <v>1518.808</v>
      </c>
    </row>
    <row r="83" spans="1:26" s="167" customFormat="1">
      <c r="A83" s="169" t="s">
        <v>86</v>
      </c>
      <c r="B83" s="199" t="s">
        <v>45</v>
      </c>
      <c r="C83" s="490">
        <f>'[9]Sch C'!D76</f>
        <v>20390.64</v>
      </c>
      <c r="D83" s="490">
        <f>'[9]Sch C'!F76</f>
        <v>0</v>
      </c>
      <c r="E83" s="171">
        <f t="shared" si="14"/>
        <v>20390.64</v>
      </c>
      <c r="F83" s="490"/>
      <c r="G83" s="171">
        <f t="shared" si="15"/>
        <v>20390.64</v>
      </c>
      <c r="H83" s="172">
        <f t="shared" si="16"/>
        <v>4.3037950034103076E-3</v>
      </c>
      <c r="I83" s="337"/>
      <c r="J83" s="168"/>
      <c r="K83" s="168"/>
      <c r="M83" s="359">
        <f t="shared" si="17"/>
        <v>1.0345852148764523</v>
      </c>
      <c r="N83" s="359">
        <f>SUMMARY!J86</f>
        <v>0.43858787942165905</v>
      </c>
      <c r="W83" s="168"/>
      <c r="X83" s="168"/>
      <c r="Y83" s="527"/>
      <c r="Z83" s="527"/>
    </row>
    <row r="84" spans="1:26" s="167" customFormat="1">
      <c r="A84" s="169" t="s">
        <v>93</v>
      </c>
      <c r="B84" s="199" t="s">
        <v>47</v>
      </c>
      <c r="C84" s="490">
        <f>'[9]Sch C'!D77</f>
        <v>16634.060000000001</v>
      </c>
      <c r="D84" s="490">
        <f>'[9]Sch C'!F77</f>
        <v>0</v>
      </c>
      <c r="E84" s="171">
        <f t="shared" si="14"/>
        <v>16634.060000000001</v>
      </c>
      <c r="F84" s="490"/>
      <c r="G84" s="171">
        <f t="shared" si="15"/>
        <v>16634.060000000001</v>
      </c>
      <c r="H84" s="172">
        <f t="shared" si="16"/>
        <v>3.5109042342186059E-3</v>
      </c>
      <c r="I84" s="337"/>
      <c r="J84" s="168"/>
      <c r="K84" s="168"/>
      <c r="M84" s="359">
        <f t="shared" si="17"/>
        <v>0.84398295195088546</v>
      </c>
      <c r="N84" s="359">
        <f>SUMMARY!J87</f>
        <v>0.65296275361131606</v>
      </c>
      <c r="W84" s="168"/>
      <c r="X84" s="168"/>
      <c r="Y84" s="527"/>
      <c r="Z84" s="527"/>
    </row>
    <row r="85" spans="1:26" s="167" customFormat="1">
      <c r="A85" s="169">
        <v>230</v>
      </c>
      <c r="B85" s="199" t="s">
        <v>46</v>
      </c>
      <c r="C85" s="490">
        <f>'[9]Sch C'!D78</f>
        <v>0</v>
      </c>
      <c r="D85" s="490">
        <f>'[9]Sch C'!F78</f>
        <v>0</v>
      </c>
      <c r="E85" s="171">
        <f t="shared" si="14"/>
        <v>0</v>
      </c>
      <c r="F85" s="490"/>
      <c r="G85" s="171">
        <f t="shared" si="15"/>
        <v>0</v>
      </c>
      <c r="H85" s="172">
        <f t="shared" si="16"/>
        <v>0</v>
      </c>
      <c r="I85" s="337"/>
      <c r="J85" s="168"/>
      <c r="K85" s="168"/>
      <c r="M85" s="359">
        <f t="shared" si="17"/>
        <v>0</v>
      </c>
      <c r="N85" s="359">
        <f>SUMMARY!J88</f>
        <v>0.36999472433849429</v>
      </c>
      <c r="W85" s="168"/>
      <c r="X85" s="168"/>
      <c r="Y85" s="527"/>
      <c r="Z85" s="527"/>
    </row>
    <row r="86" spans="1:26" s="167" customFormat="1">
      <c r="A86" s="169">
        <v>240</v>
      </c>
      <c r="B86" s="200" t="s">
        <v>267</v>
      </c>
      <c r="C86" s="490">
        <f>'[9]Sch C'!D79</f>
        <v>1868.81</v>
      </c>
      <c r="D86" s="490">
        <f>'[9]Sch C'!F79</f>
        <v>0</v>
      </c>
      <c r="E86" s="171">
        <f t="shared" si="14"/>
        <v>1868.81</v>
      </c>
      <c r="F86" s="490"/>
      <c r="G86" s="171">
        <f>E86+F86</f>
        <v>1868.81</v>
      </c>
      <c r="H86" s="172">
        <f t="shared" si="16"/>
        <v>3.9444446767356088E-4</v>
      </c>
      <c r="I86" s="337"/>
      <c r="J86" s="168"/>
      <c r="K86" s="168"/>
      <c r="M86" s="359">
        <f t="shared" si="17"/>
        <v>9.4820132934192503E-2</v>
      </c>
      <c r="N86" s="359">
        <f>SUMMARY!J89</f>
        <v>0.47828681903825671</v>
      </c>
      <c r="W86" s="168"/>
      <c r="X86" s="168"/>
      <c r="Y86" s="527"/>
      <c r="Z86" s="527"/>
    </row>
    <row r="87" spans="1:26" s="167" customFormat="1">
      <c r="A87" s="169">
        <v>310</v>
      </c>
      <c r="B87" s="199" t="s">
        <v>54</v>
      </c>
      <c r="C87" s="490">
        <f>'[9]Sch C'!D80</f>
        <v>16662.11</v>
      </c>
      <c r="D87" s="490">
        <f>'[9]Sch C'!F80</f>
        <v>0</v>
      </c>
      <c r="E87" s="171">
        <f t="shared" si="14"/>
        <v>16662.11</v>
      </c>
      <c r="F87" s="490"/>
      <c r="G87" s="171">
        <f t="shared" si="15"/>
        <v>16662.11</v>
      </c>
      <c r="H87" s="172">
        <f t="shared" si="16"/>
        <v>3.5168246687829773E-3</v>
      </c>
      <c r="I87" s="337"/>
      <c r="J87" s="168"/>
      <c r="K87" s="168"/>
      <c r="M87" s="359">
        <f t="shared" si="17"/>
        <v>0.84540615962250754</v>
      </c>
      <c r="N87" s="359">
        <f>SUMMARY!J90</f>
        <v>0.92217461565768266</v>
      </c>
      <c r="W87" s="168"/>
      <c r="X87" s="168"/>
      <c r="Y87" s="527"/>
      <c r="Z87" s="527"/>
    </row>
    <row r="88" spans="1:26" s="167" customFormat="1">
      <c r="A88" s="169">
        <v>320</v>
      </c>
      <c r="B88" s="201" t="s">
        <v>313</v>
      </c>
      <c r="C88" s="490">
        <f>'[9]Sch C'!D81</f>
        <v>1035</v>
      </c>
      <c r="D88" s="490">
        <f>'[9]Sch C'!F81</f>
        <v>0</v>
      </c>
      <c r="E88" s="171">
        <f t="shared" si="14"/>
        <v>1035</v>
      </c>
      <c r="F88" s="490"/>
      <c r="G88" s="171">
        <f t="shared" si="15"/>
        <v>1035</v>
      </c>
      <c r="H88" s="172">
        <f t="shared" si="16"/>
        <v>2.1845453740194858E-4</v>
      </c>
      <c r="I88" s="337"/>
      <c r="J88" s="168"/>
      <c r="K88" s="168"/>
      <c r="M88" s="359">
        <f t="shared" si="17"/>
        <v>5.2514079861991983E-2</v>
      </c>
      <c r="N88" s="359">
        <f>SUMMARY!J91</f>
        <v>0.61441790229649651</v>
      </c>
      <c r="W88" s="168"/>
      <c r="X88" s="168"/>
      <c r="Y88" s="527"/>
      <c r="Z88" s="527"/>
    </row>
    <row r="89" spans="1:26" s="167" customFormat="1">
      <c r="A89" s="169">
        <v>330</v>
      </c>
      <c r="B89" s="201" t="s">
        <v>314</v>
      </c>
      <c r="C89" s="490">
        <f>'[9]Sch C'!D82</f>
        <v>13445.85</v>
      </c>
      <c r="D89" s="490">
        <f>'[9]Sch C'!F82</f>
        <v>0</v>
      </c>
      <c r="E89" s="171">
        <f t="shared" si="14"/>
        <v>13445.85</v>
      </c>
      <c r="F89" s="490"/>
      <c r="G89" s="171">
        <f t="shared" si="15"/>
        <v>13445.85</v>
      </c>
      <c r="H89" s="172">
        <f t="shared" si="16"/>
        <v>2.8379777214743865E-3</v>
      </c>
      <c r="I89" s="337"/>
      <c r="J89" s="168"/>
      <c r="K89" s="168"/>
      <c r="M89" s="359">
        <f t="shared" si="17"/>
        <v>0.68221878329697094</v>
      </c>
      <c r="N89" s="359">
        <f>SUMMARY!J92</f>
        <v>0.48799148575953694</v>
      </c>
      <c r="W89" s="168"/>
      <c r="X89" s="168"/>
      <c r="Y89" s="527"/>
      <c r="Z89" s="527"/>
    </row>
    <row r="90" spans="1:26" s="167" customFormat="1">
      <c r="A90" s="163">
        <v>340</v>
      </c>
      <c r="B90" s="201" t="s">
        <v>300</v>
      </c>
      <c r="C90" s="490">
        <f>'[9]Sch C'!D83</f>
        <v>0</v>
      </c>
      <c r="D90" s="490">
        <f>'[9]Sch C'!F83</f>
        <v>0</v>
      </c>
      <c r="E90" s="171">
        <f t="shared" si="14"/>
        <v>0</v>
      </c>
      <c r="F90" s="490"/>
      <c r="G90" s="171">
        <f t="shared" si="15"/>
        <v>0</v>
      </c>
      <c r="H90" s="172">
        <f t="shared" si="16"/>
        <v>0</v>
      </c>
      <c r="I90" s="337"/>
      <c r="J90" s="168"/>
      <c r="K90" s="168"/>
      <c r="M90" s="359">
        <f t="shared" si="17"/>
        <v>0</v>
      </c>
      <c r="N90" s="359">
        <f>SUMMARY!J93</f>
        <v>0.19293963026678682</v>
      </c>
      <c r="W90" s="168"/>
      <c r="X90" s="168"/>
      <c r="Y90" s="527"/>
      <c r="Z90" s="527"/>
    </row>
    <row r="91" spans="1:26" s="167" customFormat="1">
      <c r="A91" s="163">
        <v>350</v>
      </c>
      <c r="B91" s="199" t="s">
        <v>49</v>
      </c>
      <c r="C91" s="490">
        <f>'[9]Sch C'!D84</f>
        <v>125898.47</v>
      </c>
      <c r="D91" s="490">
        <f>'[9]Sch C'!F84</f>
        <v>0</v>
      </c>
      <c r="E91" s="171">
        <f t="shared" si="14"/>
        <v>125898.47</v>
      </c>
      <c r="F91" s="490"/>
      <c r="G91" s="171">
        <f t="shared" si="15"/>
        <v>125898.47</v>
      </c>
      <c r="H91" s="172">
        <f t="shared" si="16"/>
        <v>2.6573035771461931E-2</v>
      </c>
      <c r="I91" s="337"/>
      <c r="J91" s="168"/>
      <c r="K91" s="168"/>
      <c r="M91" s="359">
        <f t="shared" si="17"/>
        <v>6.3878669643310166</v>
      </c>
      <c r="N91" s="359">
        <f>SUMMARY!J94</f>
        <v>4.5521505201933312</v>
      </c>
      <c r="W91" s="168"/>
      <c r="X91" s="168"/>
      <c r="Y91" s="527"/>
      <c r="Z91" s="527"/>
    </row>
    <row r="92" spans="1:26" s="167" customFormat="1">
      <c r="A92" s="163">
        <v>490</v>
      </c>
      <c r="B92" s="148" t="s">
        <v>312</v>
      </c>
      <c r="C92" s="490">
        <f>'[9]Sch C'!D85</f>
        <v>0</v>
      </c>
      <c r="D92" s="490">
        <f>'[9]Sch C'!F85</f>
        <v>0</v>
      </c>
      <c r="E92" s="171">
        <f t="shared" si="14"/>
        <v>0</v>
      </c>
      <c r="F92" s="490"/>
      <c r="G92" s="171">
        <f t="shared" si="15"/>
        <v>0</v>
      </c>
      <c r="H92" s="172">
        <f t="shared" si="16"/>
        <v>0</v>
      </c>
      <c r="I92" s="337"/>
      <c r="J92" s="168"/>
      <c r="K92" s="168"/>
      <c r="M92" s="359">
        <f t="shared" si="17"/>
        <v>0</v>
      </c>
      <c r="N92" s="359">
        <f>SUMMARY!J95</f>
        <v>0.10456320690314301</v>
      </c>
      <c r="W92" s="168"/>
      <c r="X92" s="168"/>
      <c r="Y92" s="527"/>
      <c r="Z92" s="527"/>
    </row>
    <row r="93" spans="1:26" s="167" customFormat="1">
      <c r="A93" s="163"/>
      <c r="B93" s="170" t="s">
        <v>50</v>
      </c>
      <c r="C93" s="490">
        <f>SUM(C82:C92)</f>
        <v>254256.97999999998</v>
      </c>
      <c r="D93" s="490">
        <f>SUM(D82:D92)</f>
        <v>0</v>
      </c>
      <c r="E93" s="171">
        <f t="shared" ref="E93:F93" si="18">SUM(E82:E92)</f>
        <v>254256.97999999998</v>
      </c>
      <c r="F93" s="171">
        <f t="shared" si="18"/>
        <v>0</v>
      </c>
      <c r="G93" s="171">
        <f>SUM(G82:G92)</f>
        <v>254256.97999999998</v>
      </c>
      <c r="H93" s="172">
        <f t="shared" si="16"/>
        <v>5.3665305262914478E-2</v>
      </c>
      <c r="I93" s="337"/>
      <c r="J93" s="168"/>
      <c r="K93" s="168"/>
      <c r="M93" s="364">
        <f>G93/G$228</f>
        <v>12.900552032066567</v>
      </c>
      <c r="N93" s="359">
        <f>SUMMARY!J96</f>
        <v>11.17524664351876</v>
      </c>
      <c r="W93" s="168"/>
      <c r="X93" s="168"/>
      <c r="Y93" s="527"/>
      <c r="Z93" s="527"/>
    </row>
    <row r="94" spans="1:26" s="167" customFormat="1">
      <c r="A94" s="163"/>
      <c r="C94" s="165"/>
      <c r="D94" s="165"/>
      <c r="E94" s="165"/>
      <c r="F94" s="165"/>
      <c r="G94" s="165"/>
      <c r="H94" s="198"/>
      <c r="I94" s="341"/>
      <c r="J94" s="168"/>
      <c r="K94" s="168"/>
      <c r="M94" s="359"/>
      <c r="N94" s="359"/>
      <c r="W94" s="168"/>
      <c r="X94" s="168"/>
      <c r="Y94" s="527"/>
      <c r="Z94" s="527"/>
    </row>
    <row r="95" spans="1:26" s="167" customFormat="1">
      <c r="A95" s="169" t="s">
        <v>164</v>
      </c>
      <c r="B95" s="170" t="s">
        <v>51</v>
      </c>
      <c r="C95" s="165"/>
      <c r="D95" s="165"/>
      <c r="E95" s="165"/>
      <c r="F95" s="165"/>
      <c r="G95" s="165"/>
      <c r="H95" s="198"/>
      <c r="I95" s="341"/>
      <c r="J95" s="168"/>
      <c r="K95" s="168"/>
      <c r="M95" s="359"/>
      <c r="N95" s="359"/>
      <c r="W95" s="168"/>
      <c r="X95" s="168"/>
      <c r="Y95" s="527"/>
      <c r="Z95" s="527"/>
    </row>
    <row r="96" spans="1:26" s="167" customFormat="1">
      <c r="A96" s="169" t="s">
        <v>85</v>
      </c>
      <c r="B96" s="170" t="s">
        <v>44</v>
      </c>
      <c r="C96" s="490">
        <f>'[9]Sch C'!D89</f>
        <v>152015.21</v>
      </c>
      <c r="D96" s="490">
        <f>'[9]Sch C'!F89</f>
        <v>0</v>
      </c>
      <c r="E96" s="171">
        <f t="shared" ref="E96:E101" si="19">C96+D96</f>
        <v>152015.21</v>
      </c>
      <c r="F96" s="490"/>
      <c r="G96" s="171">
        <f t="shared" ref="G96:G101" si="20">E96+F96</f>
        <v>152015.21</v>
      </c>
      <c r="H96" s="172">
        <f t="shared" ref="H96:H102" si="21">IF($G$208=0,0,G96/$G$208)</f>
        <v>3.2085422588029044E-2</v>
      </c>
      <c r="I96" s="337"/>
      <c r="J96" s="183">
        <v>11754.2</v>
      </c>
      <c r="K96" s="183">
        <v>13953.31</v>
      </c>
      <c r="M96" s="364">
        <f t="shared" ref="M96:M101" si="22">G96/G$228</f>
        <v>7.7129844233598863</v>
      </c>
      <c r="N96" s="359">
        <f>SUMMARY!J99</f>
        <v>8.2060376122989549</v>
      </c>
      <c r="W96" s="183">
        <v>7328.02</v>
      </c>
      <c r="X96" s="183">
        <v>8119.45</v>
      </c>
      <c r="Y96" s="492">
        <v>4083.3980000000001</v>
      </c>
      <c r="Z96" s="492">
        <v>4760.6559999999999</v>
      </c>
    </row>
    <row r="97" spans="1:26" s="167" customFormat="1">
      <c r="A97" s="169" t="s">
        <v>86</v>
      </c>
      <c r="B97" s="170" t="s">
        <v>45</v>
      </c>
      <c r="C97" s="490">
        <f>'[9]Sch C'!D90</f>
        <v>26360.76</v>
      </c>
      <c r="D97" s="490">
        <f>'[9]Sch C'!F90</f>
        <v>0</v>
      </c>
      <c r="E97" s="171">
        <f t="shared" si="19"/>
        <v>26360.76</v>
      </c>
      <c r="F97" s="490"/>
      <c r="G97" s="171">
        <f t="shared" si="20"/>
        <v>26360.76</v>
      </c>
      <c r="H97" s="172">
        <f t="shared" si="21"/>
        <v>5.5638914312693619E-3</v>
      </c>
      <c r="I97" s="337"/>
      <c r="J97" s="168"/>
      <c r="K97" s="168"/>
      <c r="M97" s="364">
        <f t="shared" si="22"/>
        <v>1.337498604698361</v>
      </c>
      <c r="N97" s="359">
        <f>SUMMARY!J100</f>
        <v>1.4669439852641635</v>
      </c>
      <c r="W97" s="168"/>
      <c r="X97" s="168"/>
      <c r="Y97" s="527"/>
      <c r="Z97" s="527"/>
    </row>
    <row r="98" spans="1:26" s="167" customFormat="1">
      <c r="A98" s="169">
        <v>310</v>
      </c>
      <c r="B98" s="170" t="s">
        <v>54</v>
      </c>
      <c r="C98" s="490">
        <f>'[9]Sch C'!D91</f>
        <v>10886.86</v>
      </c>
      <c r="D98" s="490">
        <f>'[9]Sch C'!F91</f>
        <v>0</v>
      </c>
      <c r="E98" s="171">
        <f t="shared" si="19"/>
        <v>10886.86</v>
      </c>
      <c r="F98" s="490"/>
      <c r="G98" s="171">
        <f t="shared" si="20"/>
        <v>10886.86</v>
      </c>
      <c r="H98" s="172">
        <f t="shared" si="21"/>
        <v>2.2978589034393991E-3</v>
      </c>
      <c r="I98" s="337"/>
      <c r="J98" s="168"/>
      <c r="K98" s="168"/>
      <c r="M98" s="364">
        <f t="shared" si="22"/>
        <v>0.55238013090466287</v>
      </c>
      <c r="N98" s="359">
        <f>SUMMARY!J101</f>
        <v>1.183530597198329</v>
      </c>
      <c r="W98" s="168"/>
      <c r="X98" s="168"/>
      <c r="Y98" s="527"/>
      <c r="Z98" s="527"/>
    </row>
    <row r="99" spans="1:26" s="167" customFormat="1">
      <c r="A99" s="169">
        <v>380</v>
      </c>
      <c r="B99" s="170" t="s">
        <v>52</v>
      </c>
      <c r="C99" s="490">
        <f>'[9]Sch C'!D92</f>
        <v>161867.26999999999</v>
      </c>
      <c r="D99" s="490">
        <f>'[9]Sch C'!F92</f>
        <v>0</v>
      </c>
      <c r="E99" s="171">
        <f t="shared" si="19"/>
        <v>161867.26999999999</v>
      </c>
      <c r="F99" s="490"/>
      <c r="G99" s="171">
        <f t="shared" si="20"/>
        <v>161867.26999999999</v>
      </c>
      <c r="H99" s="172">
        <f t="shared" si="21"/>
        <v>3.4164869167503678E-2</v>
      </c>
      <c r="I99" s="337"/>
      <c r="J99" s="168"/>
      <c r="K99" s="168"/>
      <c r="M99" s="364">
        <f t="shared" si="22"/>
        <v>8.2128606220508384</v>
      </c>
      <c r="N99" s="359">
        <f>SUMMARY!J102</f>
        <v>7.0821094672455693</v>
      </c>
      <c r="W99" s="168"/>
      <c r="X99" s="168"/>
      <c r="Y99" s="527"/>
      <c r="Z99" s="527"/>
    </row>
    <row r="100" spans="1:26" s="167" customFormat="1">
      <c r="A100" s="169">
        <v>390</v>
      </c>
      <c r="B100" s="170" t="s">
        <v>53</v>
      </c>
      <c r="C100" s="490">
        <f>'[9]Sch C'!D93</f>
        <v>14750.31</v>
      </c>
      <c r="D100" s="490">
        <f>'[9]Sch C'!F93</f>
        <v>0</v>
      </c>
      <c r="E100" s="171">
        <f t="shared" si="19"/>
        <v>14750.31</v>
      </c>
      <c r="F100" s="490"/>
      <c r="G100" s="171">
        <f t="shared" si="20"/>
        <v>14750.31</v>
      </c>
      <c r="H100" s="172">
        <f t="shared" si="21"/>
        <v>3.1133064227877641E-3</v>
      </c>
      <c r="I100" s="337"/>
      <c r="J100" s="168"/>
      <c r="K100" s="168"/>
      <c r="M100" s="364">
        <f t="shared" si="22"/>
        <v>0.74840478968998936</v>
      </c>
      <c r="N100" s="359">
        <f>SUMMARY!J103</f>
        <v>0.68088587422517122</v>
      </c>
      <c r="W100" s="168"/>
      <c r="X100" s="168"/>
      <c r="Y100" s="527"/>
      <c r="Z100" s="527"/>
    </row>
    <row r="101" spans="1:26" s="167" customFormat="1">
      <c r="A101" s="169">
        <v>490</v>
      </c>
      <c r="B101" s="202" t="s">
        <v>312</v>
      </c>
      <c r="C101" s="490">
        <f>'[9]Sch C'!D94</f>
        <v>1722.16</v>
      </c>
      <c r="D101" s="490">
        <f>'[9]Sch C'!F94</f>
        <v>0</v>
      </c>
      <c r="E101" s="171">
        <f t="shared" si="19"/>
        <v>1722.16</v>
      </c>
      <c r="F101" s="490"/>
      <c r="G101" s="171">
        <f t="shared" si="20"/>
        <v>1722.16</v>
      </c>
      <c r="H101" s="172">
        <f t="shared" si="21"/>
        <v>3.6349146486197077E-4</v>
      </c>
      <c r="I101" s="337"/>
      <c r="J101" s="168"/>
      <c r="K101" s="168"/>
      <c r="M101" s="364">
        <f t="shared" si="22"/>
        <v>8.7379369831041664E-2</v>
      </c>
      <c r="N101" s="359">
        <f>SUMMARY!J104</f>
        <v>6.9797777231643043E-2</v>
      </c>
      <c r="W101" s="168"/>
      <c r="X101" s="168"/>
      <c r="Y101" s="527"/>
      <c r="Z101" s="527"/>
    </row>
    <row r="102" spans="1:26" s="167" customFormat="1">
      <c r="A102" s="169"/>
      <c r="B102" s="170" t="s">
        <v>55</v>
      </c>
      <c r="C102" s="490">
        <f>SUM(C96:C101)</f>
        <v>367602.56999999995</v>
      </c>
      <c r="D102" s="490">
        <f>SUM(D96:D101)</f>
        <v>0</v>
      </c>
      <c r="E102" s="171">
        <f t="shared" ref="E102:F102" si="23">SUM(E96:E101)</f>
        <v>367602.56999999995</v>
      </c>
      <c r="F102" s="171">
        <f t="shared" si="23"/>
        <v>0</v>
      </c>
      <c r="G102" s="171">
        <f>SUM(G96:G101)</f>
        <v>367602.56999999995</v>
      </c>
      <c r="H102" s="172">
        <f t="shared" si="21"/>
        <v>7.7588839977891219E-2</v>
      </c>
      <c r="I102" s="337"/>
      <c r="J102" s="168"/>
      <c r="K102" s="168"/>
      <c r="M102" s="364">
        <f>G102/G$228</f>
        <v>18.651507940534778</v>
      </c>
      <c r="N102" s="359">
        <f>SUMMARY!J105</f>
        <v>18.68930531346383</v>
      </c>
      <c r="W102" s="168"/>
      <c r="X102" s="168"/>
      <c r="Y102" s="527"/>
      <c r="Z102" s="527"/>
    </row>
    <row r="103" spans="1:26" s="167" customFormat="1">
      <c r="A103" s="163"/>
      <c r="C103" s="165"/>
      <c r="D103" s="165"/>
      <c r="E103" s="165"/>
      <c r="F103" s="165"/>
      <c r="G103" s="165"/>
      <c r="H103" s="198"/>
      <c r="I103" s="341"/>
      <c r="J103" s="168"/>
      <c r="K103" s="168"/>
      <c r="M103" s="359"/>
      <c r="N103" s="359"/>
      <c r="W103" s="168"/>
      <c r="X103" s="168"/>
      <c r="Y103" s="527"/>
      <c r="Z103" s="527"/>
    </row>
    <row r="104" spans="1:26" s="167" customFormat="1">
      <c r="A104" s="169" t="s">
        <v>165</v>
      </c>
      <c r="B104" s="170" t="s">
        <v>56</v>
      </c>
      <c r="C104" s="165"/>
      <c r="D104" s="165"/>
      <c r="E104" s="165"/>
      <c r="F104" s="165"/>
      <c r="G104" s="165"/>
      <c r="H104" s="198"/>
      <c r="I104" s="341"/>
      <c r="J104" s="168"/>
      <c r="K104" s="168"/>
      <c r="M104" s="359"/>
      <c r="N104" s="359"/>
      <c r="W104" s="168"/>
      <c r="X104" s="168"/>
      <c r="Y104" s="527"/>
      <c r="Z104" s="527"/>
    </row>
    <row r="105" spans="1:26" s="167" customFormat="1">
      <c r="A105" s="169" t="s">
        <v>85</v>
      </c>
      <c r="B105" s="170" t="s">
        <v>44</v>
      </c>
      <c r="C105" s="490">
        <f>'[9]Sch C'!D98</f>
        <v>54409.52</v>
      </c>
      <c r="D105" s="490">
        <f>'[9]Sch C'!F98</f>
        <v>0</v>
      </c>
      <c r="E105" s="171">
        <f t="shared" ref="E105:E110" si="24">C105+D105</f>
        <v>54409.52</v>
      </c>
      <c r="F105" s="490"/>
      <c r="G105" s="171">
        <f t="shared" ref="G105:G110" si="25">E105+F105</f>
        <v>54409.52</v>
      </c>
      <c r="H105" s="172">
        <f t="shared" ref="H105:H111" si="26">IF($G$208=0,0,G105/$G$208)</f>
        <v>1.1484064272330501E-2</v>
      </c>
      <c r="I105" s="337"/>
      <c r="J105" s="183">
        <v>5578.32</v>
      </c>
      <c r="K105" s="183">
        <v>5983.7</v>
      </c>
      <c r="M105" s="364">
        <f t="shared" ref="M105:M110" si="27">G105/G$228</f>
        <v>2.7606433609011112</v>
      </c>
      <c r="N105" s="359">
        <f>SUMMARY!J108</f>
        <v>0.86506273995794769</v>
      </c>
      <c r="W105" s="183">
        <v>3198.91</v>
      </c>
      <c r="X105" s="183">
        <v>3409.56</v>
      </c>
      <c r="Y105" s="492">
        <v>1684.9559999999999</v>
      </c>
      <c r="Z105" s="492">
        <v>1842.8420000000001</v>
      </c>
    </row>
    <row r="106" spans="1:26" s="167" customFormat="1">
      <c r="A106" s="169" t="s">
        <v>86</v>
      </c>
      <c r="B106" s="170" t="s">
        <v>45</v>
      </c>
      <c r="C106" s="490">
        <f>'[9]Sch C'!D99</f>
        <v>13823.83</v>
      </c>
      <c r="D106" s="490">
        <f>'[9]Sch C'!F99</f>
        <v>0</v>
      </c>
      <c r="E106" s="171">
        <f t="shared" si="24"/>
        <v>13823.83</v>
      </c>
      <c r="F106" s="490"/>
      <c r="G106" s="171">
        <f t="shared" si="25"/>
        <v>13823.83</v>
      </c>
      <c r="H106" s="172">
        <f t="shared" si="26"/>
        <v>2.9177568963992062E-3</v>
      </c>
      <c r="I106" s="337"/>
      <c r="J106" s="168"/>
      <c r="K106" s="168"/>
      <c r="M106" s="364">
        <f t="shared" si="27"/>
        <v>0.70139682378608759</v>
      </c>
      <c r="N106" s="359">
        <f>SUMMARY!J109</f>
        <v>0.16496038159209525</v>
      </c>
      <c r="W106" s="168"/>
      <c r="X106" s="168"/>
      <c r="Y106" s="527"/>
      <c r="Z106" s="527"/>
    </row>
    <row r="107" spans="1:26" s="167" customFormat="1">
      <c r="A107" s="169">
        <v>110</v>
      </c>
      <c r="B107" s="170" t="s">
        <v>47</v>
      </c>
      <c r="C107" s="490">
        <f>'[9]Sch C'!D100</f>
        <v>3049.51</v>
      </c>
      <c r="D107" s="490">
        <f>'[9]Sch C'!F100</f>
        <v>0</v>
      </c>
      <c r="E107" s="171">
        <f t="shared" si="24"/>
        <v>3049.51</v>
      </c>
      <c r="F107" s="490"/>
      <c r="G107" s="171">
        <f t="shared" si="25"/>
        <v>3049.51</v>
      </c>
      <c r="H107" s="172">
        <f t="shared" si="26"/>
        <v>6.4365149406049875E-4</v>
      </c>
      <c r="I107" s="337"/>
      <c r="J107" s="168"/>
      <c r="K107" s="168"/>
      <c r="M107" s="364">
        <f t="shared" si="27"/>
        <v>0.15472677456999342</v>
      </c>
      <c r="N107" s="359">
        <f>SUMMARY!J110</f>
        <v>0.16555549548073512</v>
      </c>
      <c r="W107" s="168"/>
      <c r="X107" s="168"/>
      <c r="Y107" s="527"/>
      <c r="Z107" s="527"/>
    </row>
    <row r="108" spans="1:26" s="167" customFormat="1">
      <c r="A108" s="169">
        <v>310</v>
      </c>
      <c r="B108" s="170" t="s">
        <v>54</v>
      </c>
      <c r="C108" s="490">
        <f>'[9]Sch C'!D101</f>
        <v>0</v>
      </c>
      <c r="D108" s="490">
        <f>'[9]Sch C'!F101</f>
        <v>0</v>
      </c>
      <c r="E108" s="171">
        <f t="shared" si="24"/>
        <v>0</v>
      </c>
      <c r="F108" s="490"/>
      <c r="G108" s="171">
        <f t="shared" si="25"/>
        <v>0</v>
      </c>
      <c r="H108" s="172">
        <f t="shared" si="26"/>
        <v>0</v>
      </c>
      <c r="I108" s="337"/>
      <c r="J108" s="168"/>
      <c r="K108" s="168"/>
      <c r="M108" s="364">
        <f t="shared" si="27"/>
        <v>0</v>
      </c>
      <c r="N108" s="359">
        <f>SUMMARY!J111</f>
        <v>0.8274336200540674</v>
      </c>
      <c r="W108" s="168"/>
      <c r="X108" s="168"/>
      <c r="Y108" s="527"/>
      <c r="Z108" s="527"/>
    </row>
    <row r="109" spans="1:26" s="167" customFormat="1">
      <c r="A109" s="169">
        <v>410</v>
      </c>
      <c r="B109" s="170" t="s">
        <v>57</v>
      </c>
      <c r="C109" s="490">
        <f>'[9]Sch C'!D102</f>
        <v>3709.43</v>
      </c>
      <c r="D109" s="490">
        <f>'[9]Sch C'!F102</f>
        <v>0</v>
      </c>
      <c r="E109" s="171">
        <f t="shared" si="24"/>
        <v>3709.43</v>
      </c>
      <c r="F109" s="490"/>
      <c r="G109" s="171">
        <f t="shared" si="25"/>
        <v>3709.43</v>
      </c>
      <c r="H109" s="172">
        <f t="shared" si="26"/>
        <v>7.8293895137672464E-4</v>
      </c>
      <c r="I109" s="337"/>
      <c r="J109" s="168"/>
      <c r="K109" s="168"/>
      <c r="M109" s="364">
        <f t="shared" si="27"/>
        <v>0.18820995484296513</v>
      </c>
      <c r="N109" s="359">
        <f>SUMMARY!J112</f>
        <v>0.23955234428333469</v>
      </c>
      <c r="W109" s="168"/>
      <c r="X109" s="168"/>
      <c r="Y109" s="527"/>
      <c r="Z109" s="527"/>
    </row>
    <row r="110" spans="1:26" s="167" customFormat="1">
      <c r="A110" s="169">
        <v>490</v>
      </c>
      <c r="B110" s="202" t="s">
        <v>312</v>
      </c>
      <c r="C110" s="490">
        <f>'[9]Sch C'!D103</f>
        <v>625.82000000000005</v>
      </c>
      <c r="D110" s="490">
        <f>'[9]Sch C'!F103</f>
        <v>0</v>
      </c>
      <c r="E110" s="171">
        <f t="shared" si="24"/>
        <v>625.82000000000005</v>
      </c>
      <c r="F110" s="490"/>
      <c r="G110" s="171">
        <f t="shared" si="25"/>
        <v>625.82000000000005</v>
      </c>
      <c r="H110" s="172">
        <f t="shared" si="26"/>
        <v>1.3209006627718596E-4</v>
      </c>
      <c r="I110" s="337"/>
      <c r="J110" s="168"/>
      <c r="K110" s="168"/>
      <c r="M110" s="364">
        <f t="shared" si="27"/>
        <v>3.1753006240803697E-2</v>
      </c>
      <c r="N110" s="359">
        <f>SUMMARY!J113</f>
        <v>7.1067748013434922E-3</v>
      </c>
      <c r="W110" s="168"/>
      <c r="X110" s="168"/>
      <c r="Y110" s="527"/>
      <c r="Z110" s="527"/>
    </row>
    <row r="111" spans="1:26" s="167" customFormat="1">
      <c r="A111" s="163"/>
      <c r="B111" s="170" t="s">
        <v>58</v>
      </c>
      <c r="C111" s="490">
        <f>SUM(C105:C110)</f>
        <v>75618.109999999986</v>
      </c>
      <c r="D111" s="490">
        <f>SUM(D105:D110)</f>
        <v>0</v>
      </c>
      <c r="E111" s="171">
        <f t="shared" ref="E111:F111" si="28">SUM(E105:E110)</f>
        <v>75618.109999999986</v>
      </c>
      <c r="F111" s="171">
        <f t="shared" si="28"/>
        <v>0</v>
      </c>
      <c r="G111" s="171">
        <f>SUM(G105:G110)</f>
        <v>75618.109999999986</v>
      </c>
      <c r="H111" s="172">
        <f t="shared" si="26"/>
        <v>1.5960501680444113E-2</v>
      </c>
      <c r="I111" s="337"/>
      <c r="J111" s="168"/>
      <c r="K111" s="168"/>
      <c r="M111" s="364">
        <f>G111/G$228</f>
        <v>3.8367299203409604</v>
      </c>
      <c r="N111" s="359">
        <f>SUMMARY!J114</f>
        <v>2.269671356169523</v>
      </c>
      <c r="W111" s="168"/>
      <c r="X111" s="168"/>
      <c r="Y111" s="527"/>
      <c r="Z111" s="527"/>
    </row>
    <row r="112" spans="1:26" s="167" customFormat="1">
      <c r="A112" s="163"/>
      <c r="C112" s="165"/>
      <c r="D112" s="165"/>
      <c r="E112" s="165"/>
      <c r="F112" s="165"/>
      <c r="G112" s="165"/>
      <c r="H112" s="198"/>
      <c r="I112" s="341"/>
      <c r="J112" s="168"/>
      <c r="K112" s="168"/>
      <c r="M112" s="359"/>
      <c r="N112" s="359"/>
      <c r="W112" s="168"/>
      <c r="X112" s="168"/>
      <c r="Y112" s="527"/>
      <c r="Z112" s="527"/>
    </row>
    <row r="113" spans="1:29" s="167" customFormat="1">
      <c r="A113" s="169" t="s">
        <v>166</v>
      </c>
      <c r="B113" s="170" t="s">
        <v>59</v>
      </c>
      <c r="C113" s="165"/>
      <c r="D113" s="165"/>
      <c r="E113" s="165"/>
      <c r="F113" s="165"/>
      <c r="G113" s="165"/>
      <c r="H113" s="198"/>
      <c r="I113" s="341"/>
      <c r="J113" s="168"/>
      <c r="K113" s="168"/>
      <c r="M113" s="359"/>
      <c r="N113" s="359"/>
      <c r="W113" s="168"/>
      <c r="X113" s="168"/>
      <c r="Y113" s="527"/>
      <c r="Z113" s="527"/>
    </row>
    <row r="114" spans="1:29" s="167" customFormat="1">
      <c r="A114" s="169" t="s">
        <v>85</v>
      </c>
      <c r="B114" s="170" t="s">
        <v>44</v>
      </c>
      <c r="C114" s="490">
        <f>'[9]Sch C'!D115</f>
        <v>82231.59</v>
      </c>
      <c r="D114" s="490">
        <f>'[9]Sch C'!F115</f>
        <v>0</v>
      </c>
      <c r="E114" s="171">
        <f t="shared" ref="E114:E118" si="29">C114+D114</f>
        <v>82231.59</v>
      </c>
      <c r="F114" s="490"/>
      <c r="G114" s="171">
        <f>E114+F114</f>
        <v>82231.59</v>
      </c>
      <c r="H114" s="172">
        <f t="shared" ref="H114:H119" si="30">IF($G$208=0,0,G114/$G$208)</f>
        <v>1.7356390293020964E-2</v>
      </c>
      <c r="I114" s="337"/>
      <c r="J114" s="183">
        <v>8677.08</v>
      </c>
      <c r="K114" s="183">
        <v>9276.6200000000008</v>
      </c>
      <c r="M114" s="364">
        <f t="shared" ref="M114:M119" si="31">G114/G$228</f>
        <v>4.172286265158049</v>
      </c>
      <c r="N114" s="359">
        <f>SUMMARY!J117</f>
        <v>2.9289001010349254</v>
      </c>
      <c r="W114" s="183">
        <v>5051.7</v>
      </c>
      <c r="X114" s="183">
        <v>5308.41</v>
      </c>
      <c r="Y114" s="492">
        <v>2838.76</v>
      </c>
      <c r="Z114" s="492">
        <v>3221.5039999999999</v>
      </c>
    </row>
    <row r="115" spans="1:29" s="167" customFormat="1">
      <c r="A115" s="169" t="s">
        <v>86</v>
      </c>
      <c r="B115" s="170" t="s">
        <v>151</v>
      </c>
      <c r="C115" s="490">
        <f>'[9]Sch C'!D116</f>
        <v>15413.18</v>
      </c>
      <c r="D115" s="490">
        <f>'[9]Sch C'!F116</f>
        <v>0</v>
      </c>
      <c r="E115" s="171">
        <f t="shared" si="29"/>
        <v>15413.18</v>
      </c>
      <c r="F115" s="490"/>
      <c r="G115" s="171">
        <f>E115+F115</f>
        <v>15413.18</v>
      </c>
      <c r="H115" s="172">
        <f t="shared" si="30"/>
        <v>3.2532165283023825E-3</v>
      </c>
      <c r="I115" s="337"/>
      <c r="J115" s="168"/>
      <c r="K115" s="168"/>
      <c r="M115" s="364">
        <f t="shared" si="31"/>
        <v>0.78203764777512808</v>
      </c>
      <c r="N115" s="359">
        <f>SUMMARY!J118</f>
        <v>0.58319440810868606</v>
      </c>
      <c r="W115" s="168"/>
      <c r="X115" s="168"/>
      <c r="Y115" s="527"/>
      <c r="Z115" s="527"/>
    </row>
    <row r="116" spans="1:29" s="167" customFormat="1">
      <c r="A116" s="169" t="s">
        <v>93</v>
      </c>
      <c r="B116" s="170" t="s">
        <v>47</v>
      </c>
      <c r="C116" s="490">
        <f>'[9]Sch C'!D117</f>
        <v>11709.68</v>
      </c>
      <c r="D116" s="490">
        <f>'[9]Sch C'!F117</f>
        <v>0</v>
      </c>
      <c r="E116" s="171">
        <f t="shared" si="29"/>
        <v>11709.68</v>
      </c>
      <c r="F116" s="490"/>
      <c r="G116" s="171">
        <f>E116+F116</f>
        <v>11709.68</v>
      </c>
      <c r="H116" s="172">
        <f t="shared" si="30"/>
        <v>2.4715292053380184E-3</v>
      </c>
      <c r="I116" s="337"/>
      <c r="J116" s="168"/>
      <c r="K116" s="168"/>
      <c r="M116" s="364">
        <f t="shared" si="31"/>
        <v>0.59412857070373948</v>
      </c>
      <c r="N116" s="359">
        <f>SUMMARY!J119</f>
        <v>0.8285773354086452</v>
      </c>
      <c r="W116" s="168"/>
      <c r="X116" s="168"/>
      <c r="Y116" s="527"/>
      <c r="Z116" s="527"/>
    </row>
    <row r="117" spans="1:29" s="167" customFormat="1">
      <c r="A117" s="169">
        <v>310</v>
      </c>
      <c r="B117" s="170" t="s">
        <v>60</v>
      </c>
      <c r="C117" s="490">
        <f>'[9]Sch C'!D118</f>
        <v>0</v>
      </c>
      <c r="D117" s="490">
        <f>'[9]Sch C'!F118</f>
        <v>0</v>
      </c>
      <c r="E117" s="171">
        <f t="shared" si="29"/>
        <v>0</v>
      </c>
      <c r="F117" s="490"/>
      <c r="G117" s="171">
        <f>E117+F117</f>
        <v>0</v>
      </c>
      <c r="H117" s="172">
        <f t="shared" si="30"/>
        <v>0</v>
      </c>
      <c r="I117" s="337"/>
      <c r="J117" s="168"/>
      <c r="K117" s="168"/>
      <c r="M117" s="364">
        <f t="shared" si="31"/>
        <v>0</v>
      </c>
      <c r="N117" s="359">
        <f>SUMMARY!J120</f>
        <v>1.394217388929849</v>
      </c>
      <c r="W117" s="168"/>
      <c r="X117" s="168"/>
      <c r="Y117" s="527"/>
      <c r="Z117" s="527"/>
    </row>
    <row r="118" spans="1:29" s="167" customFormat="1">
      <c r="A118" s="169">
        <v>490</v>
      </c>
      <c r="B118" s="202" t="s">
        <v>312</v>
      </c>
      <c r="C118" s="490">
        <f>'[9]Sch C'!D119</f>
        <v>40</v>
      </c>
      <c r="D118" s="490">
        <f>'[9]Sch C'!F119</f>
        <v>0</v>
      </c>
      <c r="E118" s="171">
        <f t="shared" si="29"/>
        <v>40</v>
      </c>
      <c r="F118" s="490"/>
      <c r="G118" s="171">
        <f>E118+F118</f>
        <v>40</v>
      </c>
      <c r="H118" s="172">
        <f t="shared" si="30"/>
        <v>8.4426874358240986E-6</v>
      </c>
      <c r="I118" s="337"/>
      <c r="J118" s="168"/>
      <c r="K118" s="168"/>
      <c r="M118" s="364">
        <f t="shared" si="31"/>
        <v>2.0295296565021057E-3</v>
      </c>
      <c r="N118" s="359">
        <f>SUMMARY!J121</f>
        <v>1.5050905218317359E-2</v>
      </c>
      <c r="W118" s="168"/>
      <c r="X118" s="168"/>
      <c r="Y118" s="527"/>
      <c r="Z118" s="527"/>
    </row>
    <row r="119" spans="1:29" s="167" customFormat="1">
      <c r="A119" s="163"/>
      <c r="B119" s="170" t="s">
        <v>61</v>
      </c>
      <c r="C119" s="490">
        <f>SUM(C114:C118)</f>
        <v>109394.44999999998</v>
      </c>
      <c r="D119" s="490">
        <f>SUM(D114:D118)</f>
        <v>0</v>
      </c>
      <c r="E119" s="171">
        <f t="shared" ref="E119:F119" si="32">SUM(E114:E118)</f>
        <v>109394.44999999998</v>
      </c>
      <c r="F119" s="171">
        <f t="shared" si="32"/>
        <v>0</v>
      </c>
      <c r="G119" s="171">
        <f>SUM(G114:G118)</f>
        <v>109394.44999999998</v>
      </c>
      <c r="H119" s="172">
        <f t="shared" si="30"/>
        <v>2.3089578714097187E-2</v>
      </c>
      <c r="I119" s="337"/>
      <c r="J119" s="168"/>
      <c r="K119" s="168"/>
      <c r="M119" s="364">
        <f t="shared" si="31"/>
        <v>5.5504820132934185</v>
      </c>
      <c r="N119" s="359">
        <f>SUMMARY!J122</f>
        <v>5.7499401387004214</v>
      </c>
      <c r="W119" s="168"/>
      <c r="X119" s="168"/>
      <c r="Y119" s="527"/>
      <c r="Z119" s="527"/>
    </row>
    <row r="120" spans="1:29" s="167" customFormat="1">
      <c r="A120" s="163"/>
      <c r="B120" s="170"/>
      <c r="C120" s="196"/>
      <c r="D120" s="196"/>
      <c r="E120" s="196"/>
      <c r="F120" s="196"/>
      <c r="G120" s="196"/>
      <c r="H120" s="197"/>
      <c r="I120" s="337"/>
      <c r="J120" s="203"/>
      <c r="K120" s="203"/>
      <c r="M120" s="359"/>
      <c r="N120" s="359"/>
      <c r="W120" s="203"/>
      <c r="X120" s="203"/>
      <c r="Y120" s="203"/>
      <c r="Z120" s="203"/>
    </row>
    <row r="121" spans="1:29" s="167" customFormat="1">
      <c r="A121" s="169" t="s">
        <v>167</v>
      </c>
      <c r="B121" s="170" t="s">
        <v>62</v>
      </c>
      <c r="C121" s="165"/>
      <c r="D121" s="165"/>
      <c r="E121" s="165"/>
      <c r="F121" s="165"/>
      <c r="G121" s="165"/>
      <c r="H121" s="198"/>
      <c r="I121" s="341"/>
      <c r="J121" s="204"/>
      <c r="K121" s="204"/>
      <c r="M121" s="359"/>
      <c r="N121" s="359"/>
      <c r="W121" s="204"/>
      <c r="X121" s="204"/>
      <c r="Y121" s="489"/>
      <c r="Z121" s="489"/>
    </row>
    <row r="122" spans="1:29" s="167" customFormat="1">
      <c r="A122" s="169" t="s">
        <v>85</v>
      </c>
      <c r="B122" s="170" t="s">
        <v>63</v>
      </c>
      <c r="C122" s="165"/>
      <c r="D122" s="165"/>
      <c r="E122" s="165"/>
      <c r="F122" s="165"/>
      <c r="G122" s="165"/>
      <c r="H122" s="198"/>
      <c r="I122" s="341"/>
      <c r="J122" s="204"/>
      <c r="K122" s="204"/>
      <c r="M122" s="359"/>
      <c r="N122" s="359"/>
      <c r="W122" s="204"/>
      <c r="X122" s="204"/>
      <c r="Y122" s="489"/>
      <c r="Z122" s="489"/>
    </row>
    <row r="123" spans="1:29" s="167" customFormat="1">
      <c r="B123" s="163" t="s">
        <v>232</v>
      </c>
      <c r="C123" s="490">
        <f>'[9]Sch C'!D124</f>
        <v>212540.03</v>
      </c>
      <c r="D123" s="490">
        <f>'[9]Sch C'!F124</f>
        <v>0</v>
      </c>
      <c r="E123" s="171">
        <f t="shared" ref="E123:E127" si="33">C123+D123</f>
        <v>212540.03</v>
      </c>
      <c r="F123" s="490"/>
      <c r="G123" s="171">
        <f>E123+F123</f>
        <v>212540.03</v>
      </c>
      <c r="H123" s="172">
        <f>IF($G$208=0,0,G123/$G$208)</f>
        <v>4.4860226022266927E-2</v>
      </c>
      <c r="I123" s="337"/>
      <c r="J123" s="183">
        <v>0</v>
      </c>
      <c r="K123" s="183">
        <v>0</v>
      </c>
      <c r="M123" s="364">
        <f t="shared" ref="M123:M160" si="34">G123/G$228</f>
        <v>10.78390735197118</v>
      </c>
      <c r="N123" s="359">
        <f>SUMMARY!J126</f>
        <v>0.77002560279620991</v>
      </c>
      <c r="W123" s="183">
        <v>0</v>
      </c>
      <c r="X123" s="183">
        <v>0</v>
      </c>
      <c r="Y123" s="561">
        <v>0</v>
      </c>
      <c r="Z123" s="561">
        <v>0</v>
      </c>
    </row>
    <row r="124" spans="1:29" s="167" customFormat="1">
      <c r="B124" s="163" t="s">
        <v>194</v>
      </c>
      <c r="C124" s="490">
        <f>'[9]Sch C'!D125</f>
        <v>0</v>
      </c>
      <c r="D124" s="490">
        <f>'[9]Sch C'!F125</f>
        <v>0</v>
      </c>
      <c r="E124" s="171">
        <f t="shared" si="33"/>
        <v>0</v>
      </c>
      <c r="F124" s="490"/>
      <c r="G124" s="171">
        <f>E124+F124</f>
        <v>0</v>
      </c>
      <c r="H124" s="172">
        <f>IF($G$208=0,0,G124/$G$208)</f>
        <v>0</v>
      </c>
      <c r="I124" s="337"/>
      <c r="J124" s="183">
        <v>0</v>
      </c>
      <c r="K124" s="183">
        <v>0</v>
      </c>
      <c r="M124" s="364">
        <f t="shared" si="34"/>
        <v>0</v>
      </c>
      <c r="N124" s="359">
        <f>SUMMARY!J127</f>
        <v>7.8410343245678709</v>
      </c>
      <c r="W124" s="183">
        <v>0</v>
      </c>
      <c r="X124" s="183">
        <v>0</v>
      </c>
      <c r="Y124" s="561">
        <v>0</v>
      </c>
      <c r="Z124" s="561">
        <v>0</v>
      </c>
    </row>
    <row r="125" spans="1:29" s="167" customFormat="1">
      <c r="A125" s="163" t="s">
        <v>198</v>
      </c>
      <c r="B125" s="163" t="s">
        <v>195</v>
      </c>
      <c r="C125" s="490">
        <f>'[9]Sch C'!D126</f>
        <v>0</v>
      </c>
      <c r="D125" s="490">
        <f>'[9]Sch C'!F126</f>
        <v>0</v>
      </c>
      <c r="E125" s="171">
        <f t="shared" si="33"/>
        <v>0</v>
      </c>
      <c r="F125" s="490"/>
      <c r="G125" s="171">
        <f>E125+F125</f>
        <v>0</v>
      </c>
      <c r="H125" s="172">
        <f>IF($G$208=0,0,G125/$G$208)</f>
        <v>0</v>
      </c>
      <c r="I125" s="337"/>
      <c r="J125" s="183">
        <v>0</v>
      </c>
      <c r="K125" s="183">
        <v>0</v>
      </c>
      <c r="M125" s="364">
        <f t="shared" si="34"/>
        <v>0</v>
      </c>
      <c r="N125" s="359">
        <f>SUMMARY!J128</f>
        <v>0.58591518527620767</v>
      </c>
      <c r="W125" s="183">
        <v>0</v>
      </c>
      <c r="X125" s="183">
        <v>0</v>
      </c>
      <c r="Y125" s="561">
        <v>0</v>
      </c>
      <c r="Z125" s="561">
        <v>0</v>
      </c>
    </row>
    <row r="126" spans="1:29" s="167" customFormat="1" ht="15.5">
      <c r="A126" s="169"/>
      <c r="B126" s="163" t="s">
        <v>196</v>
      </c>
      <c r="C126" s="490">
        <f>'[9]Sch C'!D127</f>
        <v>0</v>
      </c>
      <c r="D126" s="490">
        <f>'[9]Sch C'!F127</f>
        <v>0</v>
      </c>
      <c r="E126" s="171">
        <f t="shared" si="33"/>
        <v>0</v>
      </c>
      <c r="F126" s="490"/>
      <c r="G126" s="171">
        <f>E126+F126</f>
        <v>0</v>
      </c>
      <c r="H126" s="172">
        <f>IF($G$208=0,0,G126/$G$208)</f>
        <v>0</v>
      </c>
      <c r="I126" s="337"/>
      <c r="J126" s="183">
        <v>0</v>
      </c>
      <c r="K126" s="183">
        <v>0</v>
      </c>
      <c r="M126" s="364">
        <f t="shared" si="34"/>
        <v>0</v>
      </c>
      <c r="N126" s="359">
        <f>SUMMARY!J129</f>
        <v>0.10632169520220637</v>
      </c>
      <c r="W126" s="183">
        <v>0</v>
      </c>
      <c r="X126" s="183">
        <v>0</v>
      </c>
      <c r="Y126" s="561">
        <v>0</v>
      </c>
      <c r="Z126" s="561">
        <v>0</v>
      </c>
      <c r="AB126"/>
      <c r="AC126"/>
    </row>
    <row r="127" spans="1:29" s="167" customFormat="1" ht="15.5">
      <c r="A127" s="169"/>
      <c r="B127" s="163" t="s">
        <v>197</v>
      </c>
      <c r="C127" s="490">
        <f>'[9]Sch C'!D128</f>
        <v>0</v>
      </c>
      <c r="D127" s="490">
        <f>'[9]Sch C'!F128</f>
        <v>0</v>
      </c>
      <c r="E127" s="171">
        <f t="shared" si="33"/>
        <v>0</v>
      </c>
      <c r="F127" s="490"/>
      <c r="G127" s="171">
        <f>E127+F127</f>
        <v>0</v>
      </c>
      <c r="H127" s="172">
        <f>IF($G$208=0,0,G127/$G$208)</f>
        <v>0</v>
      </c>
      <c r="I127" s="337"/>
      <c r="J127" s="183">
        <v>0</v>
      </c>
      <c r="K127" s="183">
        <v>0</v>
      </c>
      <c r="M127" s="364">
        <f t="shared" si="34"/>
        <v>0</v>
      </c>
      <c r="N127" s="359">
        <f>SUMMARY!J130</f>
        <v>2.5140796974413586</v>
      </c>
      <c r="W127" s="183">
        <v>0</v>
      </c>
      <c r="X127" s="183">
        <v>0</v>
      </c>
      <c r="Y127" s="561">
        <v>0</v>
      </c>
      <c r="Z127" s="561">
        <v>0</v>
      </c>
      <c r="AB127"/>
      <c r="AC127"/>
    </row>
    <row r="128" spans="1:29" s="167" customFormat="1">
      <c r="A128" s="169" t="s">
        <v>95</v>
      </c>
      <c r="B128" s="170" t="s">
        <v>152</v>
      </c>
      <c r="C128" s="580"/>
      <c r="D128" s="580"/>
      <c r="E128" s="205"/>
      <c r="F128" s="205"/>
      <c r="G128" s="205"/>
      <c r="H128" s="206"/>
      <c r="I128" s="342"/>
      <c r="J128" s="207"/>
      <c r="K128" s="207"/>
      <c r="M128" s="364"/>
      <c r="N128" s="359"/>
      <c r="W128" s="207"/>
      <c r="X128" s="207"/>
      <c r="Y128" s="531"/>
      <c r="Z128" s="531"/>
    </row>
    <row r="129" spans="1:26" s="167" customFormat="1">
      <c r="A129" s="169"/>
      <c r="B129" s="163" t="s">
        <v>232</v>
      </c>
      <c r="C129" s="490">
        <f>'[9]Sch C'!D130</f>
        <v>31684.400000000001</v>
      </c>
      <c r="D129" s="490">
        <f>'[9]Sch C'!F130</f>
        <v>0</v>
      </c>
      <c r="E129" s="171">
        <f t="shared" ref="E129:E133" si="35">C129+D129</f>
        <v>31684.400000000001</v>
      </c>
      <c r="F129" s="490"/>
      <c r="G129" s="171">
        <f>E129+F129</f>
        <v>31684.400000000001</v>
      </c>
      <c r="H129" s="172">
        <f>IF($G$208=0,0,G129/$G$208)</f>
        <v>6.6875371447906277E-3</v>
      </c>
      <c r="I129" s="337"/>
      <c r="J129" s="204"/>
      <c r="K129" s="204"/>
      <c r="M129" s="364">
        <f t="shared" si="34"/>
        <v>1.607610736211883</v>
      </c>
      <c r="N129" s="359">
        <f>SUMMARY!J132</f>
        <v>0.14225268616367659</v>
      </c>
      <c r="W129" s="204"/>
      <c r="X129" s="204"/>
      <c r="Y129" s="489"/>
      <c r="Z129" s="489"/>
    </row>
    <row r="130" spans="1:26" s="167" customFormat="1">
      <c r="A130" s="169"/>
      <c r="B130" s="163" t="s">
        <v>194</v>
      </c>
      <c r="C130" s="490">
        <f>'[9]Sch C'!D131</f>
        <v>0</v>
      </c>
      <c r="D130" s="490">
        <f>'[9]Sch C'!F131</f>
        <v>0</v>
      </c>
      <c r="E130" s="171">
        <f t="shared" si="35"/>
        <v>0</v>
      </c>
      <c r="F130" s="490"/>
      <c r="G130" s="171">
        <f>E130+F130</f>
        <v>0</v>
      </c>
      <c r="H130" s="172">
        <f>IF($G$208=0,0,G130/$G$208)</f>
        <v>0</v>
      </c>
      <c r="I130" s="337"/>
      <c r="J130" s="204"/>
      <c r="K130" s="204"/>
      <c r="M130" s="364">
        <f t="shared" si="34"/>
        <v>0</v>
      </c>
      <c r="N130" s="359">
        <f>SUMMARY!J133</f>
        <v>1.0792348507966931</v>
      </c>
      <c r="W130" s="204"/>
      <c r="X130" s="204"/>
      <c r="Y130" s="489"/>
      <c r="Z130" s="489"/>
    </row>
    <row r="131" spans="1:26" s="167" customFormat="1">
      <c r="B131" s="163" t="s">
        <v>195</v>
      </c>
      <c r="C131" s="490">
        <f>'[9]Sch C'!D132</f>
        <v>0</v>
      </c>
      <c r="D131" s="490">
        <f>'[9]Sch C'!F132</f>
        <v>0</v>
      </c>
      <c r="E131" s="171">
        <f t="shared" si="35"/>
        <v>0</v>
      </c>
      <c r="F131" s="490"/>
      <c r="G131" s="171">
        <f>E131+F131</f>
        <v>0</v>
      </c>
      <c r="H131" s="172">
        <f>IF($G$208=0,0,G131/$G$208)</f>
        <v>0</v>
      </c>
      <c r="I131" s="337"/>
      <c r="J131" s="168"/>
      <c r="K131" s="168"/>
      <c r="M131" s="364">
        <f t="shared" si="34"/>
        <v>0</v>
      </c>
      <c r="N131" s="359">
        <f>SUMMARY!J134</f>
        <v>8.2765628075518377E-2</v>
      </c>
      <c r="W131" s="168"/>
      <c r="X131" s="168"/>
      <c r="Y131" s="527"/>
      <c r="Z131" s="527"/>
    </row>
    <row r="132" spans="1:26" s="167" customFormat="1">
      <c r="B132" s="163" t="s">
        <v>196</v>
      </c>
      <c r="C132" s="490">
        <f>'[9]Sch C'!D133</f>
        <v>0</v>
      </c>
      <c r="D132" s="490">
        <f>'[9]Sch C'!F133</f>
        <v>0</v>
      </c>
      <c r="E132" s="171">
        <f t="shared" si="35"/>
        <v>0</v>
      </c>
      <c r="F132" s="490"/>
      <c r="G132" s="171">
        <f>E132+F132</f>
        <v>0</v>
      </c>
      <c r="H132" s="172">
        <f>IF($G$208=0,0,G132/$G$208)</f>
        <v>0</v>
      </c>
      <c r="I132" s="337"/>
      <c r="J132" s="168"/>
      <c r="K132" s="168"/>
      <c r="M132" s="364">
        <f t="shared" si="34"/>
        <v>0</v>
      </c>
      <c r="N132" s="359">
        <f>SUMMARY!J135</f>
        <v>2.4827298902786038E-2</v>
      </c>
      <c r="W132" s="168"/>
      <c r="X132" s="168"/>
      <c r="Y132" s="527"/>
      <c r="Z132" s="527"/>
    </row>
    <row r="133" spans="1:26" s="167" customFormat="1">
      <c r="B133" s="163" t="s">
        <v>197</v>
      </c>
      <c r="C133" s="490">
        <f>'[9]Sch C'!D134</f>
        <v>0</v>
      </c>
      <c r="D133" s="490">
        <f>'[9]Sch C'!F134</f>
        <v>0</v>
      </c>
      <c r="E133" s="171">
        <f t="shared" si="35"/>
        <v>0</v>
      </c>
      <c r="F133" s="490"/>
      <c r="G133" s="171">
        <f>E133+F133</f>
        <v>0</v>
      </c>
      <c r="H133" s="172">
        <f>IF($G$208=0,0,G133/$G$208)</f>
        <v>0</v>
      </c>
      <c r="I133" s="337"/>
      <c r="J133" s="168"/>
      <c r="K133" s="168"/>
      <c r="M133" s="364">
        <f t="shared" si="34"/>
        <v>0</v>
      </c>
      <c r="N133" s="359">
        <f>SUMMARY!J136</f>
        <v>0.48951420004915208</v>
      </c>
      <c r="W133" s="168"/>
      <c r="X133" s="168"/>
      <c r="Y133" s="527"/>
      <c r="Z133" s="527"/>
    </row>
    <row r="134" spans="1:26" s="167" customFormat="1">
      <c r="A134" s="169" t="s">
        <v>86</v>
      </c>
      <c r="B134" s="170" t="s">
        <v>64</v>
      </c>
      <c r="C134" s="196"/>
      <c r="D134" s="196"/>
      <c r="E134" s="196"/>
      <c r="F134" s="196"/>
      <c r="G134" s="196"/>
      <c r="H134" s="197"/>
      <c r="I134" s="337"/>
      <c r="J134" s="204"/>
      <c r="K134" s="204"/>
      <c r="M134" s="364"/>
      <c r="N134" s="359"/>
      <c r="W134" s="204"/>
      <c r="X134" s="204"/>
      <c r="Y134" s="489"/>
      <c r="Z134" s="489"/>
    </row>
    <row r="135" spans="1:26" s="167" customFormat="1">
      <c r="A135" s="169"/>
      <c r="B135" s="163" t="s">
        <v>194</v>
      </c>
      <c r="C135" s="490">
        <f>'[9]Sch C'!D136</f>
        <v>386661.28</v>
      </c>
      <c r="D135" s="490">
        <f>'[9]Sch C'!F136</f>
        <v>0</v>
      </c>
      <c r="E135" s="171">
        <f t="shared" ref="E135:E138" si="36">C135+D135</f>
        <v>386661.28</v>
      </c>
      <c r="F135" s="490"/>
      <c r="G135" s="171">
        <f>E135+F135</f>
        <v>386661.28</v>
      </c>
      <c r="H135" s="172">
        <f>IF($G$208=0,0,G135/$G$208)</f>
        <v>8.1611508264391605E-2</v>
      </c>
      <c r="I135" s="337"/>
      <c r="J135" s="183">
        <v>12608.04</v>
      </c>
      <c r="K135" s="183">
        <v>13075.09</v>
      </c>
      <c r="M135" s="364">
        <f t="shared" si="34"/>
        <v>19.618513369526614</v>
      </c>
      <c r="N135" s="359">
        <f>SUMMARY!J138</f>
        <v>22.542001283416617</v>
      </c>
      <c r="W135" s="183">
        <v>6554.21</v>
      </c>
      <c r="X135" s="183">
        <v>7350.96</v>
      </c>
      <c r="Y135" s="492">
        <v>4078.32</v>
      </c>
      <c r="Z135" s="492">
        <v>4588.3500000000004</v>
      </c>
    </row>
    <row r="136" spans="1:26" s="167" customFormat="1">
      <c r="A136" s="169"/>
      <c r="B136" s="163" t="s">
        <v>195</v>
      </c>
      <c r="C136" s="490">
        <f>'[9]Sch C'!D137</f>
        <v>211850.3</v>
      </c>
      <c r="D136" s="490">
        <f>'[9]Sch C'!F137</f>
        <v>0</v>
      </c>
      <c r="E136" s="171">
        <f t="shared" si="36"/>
        <v>211850.3</v>
      </c>
      <c r="F136" s="490"/>
      <c r="G136" s="171">
        <f>E136+F136</f>
        <v>211850.3</v>
      </c>
      <c r="H136" s="172">
        <f>IF($G$208=0,0,G136/$G$208)</f>
        <v>4.4714646652139152E-2</v>
      </c>
      <c r="I136" s="337"/>
      <c r="J136" s="183">
        <v>7278.08</v>
      </c>
      <c r="K136" s="183">
        <v>7781.45</v>
      </c>
      <c r="M136" s="364">
        <f t="shared" si="34"/>
        <v>10.7489116647217</v>
      </c>
      <c r="N136" s="359">
        <f>SUMMARY!J139</f>
        <v>10.249133857622674</v>
      </c>
      <c r="W136" s="183">
        <v>5292.28</v>
      </c>
      <c r="X136" s="183">
        <v>5633.23</v>
      </c>
      <c r="Y136" s="492">
        <v>2796.18</v>
      </c>
      <c r="Z136" s="492">
        <v>3064.47</v>
      </c>
    </row>
    <row r="137" spans="1:26" s="167" customFormat="1">
      <c r="A137" s="169"/>
      <c r="B137" s="163" t="s">
        <v>196</v>
      </c>
      <c r="C137" s="490">
        <f>'[9]Sch C'!D138</f>
        <v>526211</v>
      </c>
      <c r="D137" s="490">
        <f>'[9]Sch C'!F138</f>
        <v>0</v>
      </c>
      <c r="E137" s="171">
        <f t="shared" si="36"/>
        <v>526211</v>
      </c>
      <c r="F137" s="490"/>
      <c r="G137" s="171">
        <f>E137+F137</f>
        <v>526211</v>
      </c>
      <c r="H137" s="172">
        <f>IF($G$208=0,0,G137/$G$208)</f>
        <v>0.11106587495731088</v>
      </c>
      <c r="I137" s="337"/>
      <c r="J137" s="183">
        <v>44133.599999999999</v>
      </c>
      <c r="K137" s="183">
        <v>46880.13</v>
      </c>
      <c r="M137" s="364">
        <f t="shared" si="34"/>
        <v>26.699020751940736</v>
      </c>
      <c r="N137" s="359">
        <f>SUMMARY!J140</f>
        <v>27.843137668277773</v>
      </c>
      <c r="W137" s="183">
        <v>25614.94</v>
      </c>
      <c r="X137" s="183">
        <v>30363.26</v>
      </c>
      <c r="Y137" s="492">
        <v>12887.57</v>
      </c>
      <c r="Z137" s="492">
        <v>13782.18</v>
      </c>
    </row>
    <row r="138" spans="1:26" s="167" customFormat="1">
      <c r="A138" s="169"/>
      <c r="B138" s="163" t="s">
        <v>197</v>
      </c>
      <c r="C138" s="490">
        <f>'[9]Sch C'!D139</f>
        <v>59158.58</v>
      </c>
      <c r="D138" s="490">
        <f>'[9]Sch C'!F139</f>
        <v>0</v>
      </c>
      <c r="E138" s="171">
        <f t="shared" si="36"/>
        <v>59158.58</v>
      </c>
      <c r="F138" s="490"/>
      <c r="G138" s="171">
        <f>E138+F138</f>
        <v>59158.58</v>
      </c>
      <c r="H138" s="172">
        <f>IF($G$208=0,0,G138/$G$208)</f>
        <v>1.2486435002179871E-2</v>
      </c>
      <c r="I138" s="337"/>
      <c r="J138" s="183">
        <v>3785.58</v>
      </c>
      <c r="K138" s="183">
        <v>4243.47</v>
      </c>
      <c r="M138" s="364">
        <f t="shared" si="34"/>
        <v>3.0016023136638084</v>
      </c>
      <c r="N138" s="359">
        <f>SUMMARY!J141</f>
        <v>2.553029289205647</v>
      </c>
      <c r="W138" s="183">
        <v>4033</v>
      </c>
      <c r="X138" s="183">
        <v>4358.59</v>
      </c>
      <c r="Y138" s="492">
        <v>1615.05</v>
      </c>
      <c r="Z138" s="492">
        <v>1778.6</v>
      </c>
    </row>
    <row r="139" spans="1:26" s="167" customFormat="1">
      <c r="A139" s="169" t="s">
        <v>96</v>
      </c>
      <c r="B139" s="170" t="s">
        <v>153</v>
      </c>
      <c r="C139" s="196"/>
      <c r="D139" s="196"/>
      <c r="E139" s="196"/>
      <c r="F139" s="196"/>
      <c r="G139" s="196"/>
      <c r="H139" s="197"/>
      <c r="I139" s="337"/>
      <c r="J139" s="406"/>
      <c r="K139" s="406"/>
      <c r="M139" s="364"/>
      <c r="N139" s="359"/>
      <c r="W139" s="406"/>
      <c r="X139" s="406"/>
      <c r="Y139" s="532"/>
      <c r="Z139" s="532"/>
    </row>
    <row r="140" spans="1:26" s="167" customFormat="1">
      <c r="A140" s="169"/>
      <c r="B140" s="163" t="s">
        <v>194</v>
      </c>
      <c r="C140" s="490">
        <f>'[9]Sch C'!D141</f>
        <v>81741.429999999993</v>
      </c>
      <c r="D140" s="490">
        <f>'[9]Sch C'!F141</f>
        <v>0</v>
      </c>
      <c r="E140" s="171">
        <f t="shared" ref="E140:E143" si="37">C140+D140</f>
        <v>81741.429999999993</v>
      </c>
      <c r="F140" s="490"/>
      <c r="G140" s="171">
        <f>E140+F140</f>
        <v>81741.429999999993</v>
      </c>
      <c r="H140" s="172">
        <f>IF($G$208=0,0,G140/$G$208)</f>
        <v>1.7252933601182376E-2</v>
      </c>
      <c r="I140" s="337"/>
      <c r="J140" s="168"/>
      <c r="K140" s="168"/>
      <c r="M140" s="364">
        <f t="shared" si="34"/>
        <v>4.1474164087472722</v>
      </c>
      <c r="N140" s="359">
        <f>SUMMARY!J143</f>
        <v>3.8870567805088321</v>
      </c>
      <c r="W140" s="168"/>
      <c r="X140" s="168"/>
      <c r="Y140" s="527"/>
      <c r="Z140" s="527"/>
    </row>
    <row r="141" spans="1:26" s="167" customFormat="1">
      <c r="A141" s="169"/>
      <c r="B141" s="163" t="s">
        <v>195</v>
      </c>
      <c r="C141" s="490">
        <f>'[9]Sch C'!D142</f>
        <v>45679.040000000001</v>
      </c>
      <c r="D141" s="490">
        <f>'[9]Sch C'!F142</f>
        <v>0</v>
      </c>
      <c r="E141" s="171">
        <f t="shared" si="37"/>
        <v>45679.040000000001</v>
      </c>
      <c r="F141" s="490"/>
      <c r="G141" s="171">
        <f>E141+F141</f>
        <v>45679.040000000001</v>
      </c>
      <c r="H141" s="172">
        <f>IF($G$208=0,0,G141/$G$208)</f>
        <v>9.6413464272126614E-3</v>
      </c>
      <c r="I141" s="337"/>
      <c r="J141" s="168"/>
      <c r="K141" s="168"/>
      <c r="M141" s="364">
        <f t="shared" si="34"/>
        <v>2.3176741590136487</v>
      </c>
      <c r="N141" s="359">
        <f>SUMMARY!J144</f>
        <v>1.7548113884114069</v>
      </c>
      <c r="W141" s="168"/>
      <c r="X141" s="168"/>
      <c r="Y141" s="527"/>
      <c r="Z141" s="527"/>
    </row>
    <row r="142" spans="1:26" s="167" customFormat="1">
      <c r="A142" s="169"/>
      <c r="B142" s="163" t="s">
        <v>196</v>
      </c>
      <c r="C142" s="490">
        <f>'[9]Sch C'!D143</f>
        <v>112998.93</v>
      </c>
      <c r="D142" s="490">
        <f>'[9]Sch C'!F143</f>
        <v>0</v>
      </c>
      <c r="E142" s="171">
        <f t="shared" si="37"/>
        <v>112998.93</v>
      </c>
      <c r="F142" s="490"/>
      <c r="G142" s="171">
        <f>E142+F142</f>
        <v>112998.93</v>
      </c>
      <c r="H142" s="172">
        <f>IF($G$208=0,0,G142/$G$208)</f>
        <v>2.3850366164314171E-2</v>
      </c>
      <c r="I142" s="337"/>
      <c r="J142" s="168"/>
      <c r="K142" s="168"/>
      <c r="M142" s="364">
        <f t="shared" si="34"/>
        <v>5.7333669897001363</v>
      </c>
      <c r="N142" s="359">
        <f>SUMMARY!J145</f>
        <v>5.0558410725664986</v>
      </c>
      <c r="W142" s="168"/>
      <c r="X142" s="168"/>
      <c r="Y142" s="527"/>
      <c r="Z142" s="527"/>
    </row>
    <row r="143" spans="1:26" s="167" customFormat="1">
      <c r="A143" s="169"/>
      <c r="B143" s="163" t="s">
        <v>197</v>
      </c>
      <c r="C143" s="490">
        <f>'[9]Sch C'!D144</f>
        <v>18016.009999999998</v>
      </c>
      <c r="D143" s="490">
        <f>'[9]Sch C'!F144</f>
        <v>0</v>
      </c>
      <c r="E143" s="171">
        <f t="shared" si="37"/>
        <v>18016.009999999998</v>
      </c>
      <c r="F143" s="490"/>
      <c r="G143" s="171">
        <f>E143+F143</f>
        <v>18016.009999999998</v>
      </c>
      <c r="H143" s="172">
        <f>IF($G$208=0,0,G143/$G$208)</f>
        <v>3.8025885317670332E-3</v>
      </c>
      <c r="I143" s="337"/>
      <c r="J143" s="168"/>
      <c r="K143" s="168"/>
      <c r="M143" s="364">
        <f t="shared" si="34"/>
        <v>0.9141006646709624</v>
      </c>
      <c r="N143" s="359">
        <f>SUMMARY!J146</f>
        <v>0.71727598372518497</v>
      </c>
      <c r="W143" s="168"/>
      <c r="X143" s="168"/>
      <c r="Y143" s="527"/>
      <c r="Z143" s="527"/>
    </row>
    <row r="144" spans="1:26" s="167" customFormat="1">
      <c r="A144" s="169" t="s">
        <v>87</v>
      </c>
      <c r="B144" s="170" t="s">
        <v>98</v>
      </c>
      <c r="C144" s="196"/>
      <c r="D144" s="196"/>
      <c r="E144" s="196"/>
      <c r="F144" s="196"/>
      <c r="G144" s="196"/>
      <c r="H144" s="197"/>
      <c r="I144" s="337"/>
      <c r="J144" s="204"/>
      <c r="K144" s="204"/>
      <c r="M144" s="364"/>
      <c r="N144" s="359"/>
      <c r="W144" s="204"/>
      <c r="X144" s="204"/>
      <c r="Y144" s="489"/>
      <c r="Z144" s="489"/>
    </row>
    <row r="145" spans="1:26" s="167" customFormat="1">
      <c r="A145" s="169"/>
      <c r="B145" s="163" t="s">
        <v>232</v>
      </c>
      <c r="C145" s="490">
        <f>'[9]Sch C'!D146</f>
        <v>70848.460000000006</v>
      </c>
      <c r="D145" s="490">
        <f>'[9]Sch C'!F146</f>
        <v>0</v>
      </c>
      <c r="E145" s="171">
        <f t="shared" ref="E145:E153" si="38">C145+D145</f>
        <v>70848.460000000006</v>
      </c>
      <c r="F145" s="490"/>
      <c r="G145" s="171">
        <f t="shared" ref="G145:G153" si="39">E145+F145</f>
        <v>70848.460000000006</v>
      </c>
      <c r="H145" s="172">
        <f t="shared" ref="H145:H153" si="40">IF($G$208=0,0,G145/$G$208)</f>
        <v>1.4953785077237158E-2</v>
      </c>
      <c r="I145" s="337"/>
      <c r="J145" s="183">
        <v>0</v>
      </c>
      <c r="K145" s="183">
        <v>0</v>
      </c>
      <c r="M145" s="364">
        <f t="shared" si="34"/>
        <v>3.5947262671875797</v>
      </c>
      <c r="N145" s="359">
        <f>SUMMARY!J148</f>
        <v>1.6388888069686796</v>
      </c>
      <c r="W145" s="183">
        <v>0</v>
      </c>
      <c r="X145" s="183">
        <v>0</v>
      </c>
      <c r="Y145" s="492">
        <v>0</v>
      </c>
      <c r="Z145" s="492">
        <v>0</v>
      </c>
    </row>
    <row r="146" spans="1:26" s="167" customFormat="1">
      <c r="A146" s="169"/>
      <c r="B146" s="163" t="s">
        <v>194</v>
      </c>
      <c r="C146" s="490">
        <f>'[9]Sch C'!D147</f>
        <v>0</v>
      </c>
      <c r="D146" s="490">
        <f>'[9]Sch C'!F147</f>
        <v>0</v>
      </c>
      <c r="E146" s="171">
        <f t="shared" si="38"/>
        <v>0</v>
      </c>
      <c r="F146" s="490"/>
      <c r="G146" s="171">
        <f t="shared" si="39"/>
        <v>0</v>
      </c>
      <c r="H146" s="172">
        <f t="shared" si="40"/>
        <v>0</v>
      </c>
      <c r="I146" s="337"/>
      <c r="J146" s="183">
        <v>0</v>
      </c>
      <c r="K146" s="183">
        <v>0</v>
      </c>
      <c r="M146" s="364">
        <f t="shared" si="34"/>
        <v>0</v>
      </c>
      <c r="N146" s="359">
        <f>SUMMARY!J149</f>
        <v>0.18124216706261434</v>
      </c>
      <c r="W146" s="183">
        <v>0</v>
      </c>
      <c r="X146" s="183">
        <v>0</v>
      </c>
      <c r="Y146" s="492">
        <v>0</v>
      </c>
      <c r="Z146" s="492">
        <v>0</v>
      </c>
    </row>
    <row r="147" spans="1:26" s="167" customFormat="1">
      <c r="A147" s="169"/>
      <c r="B147" s="163" t="s">
        <v>195</v>
      </c>
      <c r="C147" s="490">
        <f>'[9]Sch C'!D148</f>
        <v>0</v>
      </c>
      <c r="D147" s="490">
        <f>'[9]Sch C'!F148</f>
        <v>0</v>
      </c>
      <c r="E147" s="171">
        <f t="shared" si="38"/>
        <v>0</v>
      </c>
      <c r="F147" s="490"/>
      <c r="G147" s="171">
        <f t="shared" si="39"/>
        <v>0</v>
      </c>
      <c r="H147" s="172">
        <f t="shared" si="40"/>
        <v>0</v>
      </c>
      <c r="I147" s="337"/>
      <c r="J147" s="183">
        <v>0</v>
      </c>
      <c r="K147" s="183">
        <v>0</v>
      </c>
      <c r="M147" s="364">
        <f t="shared" si="34"/>
        <v>0</v>
      </c>
      <c r="N147" s="359">
        <f>SUMMARY!J150</f>
        <v>3.2513399415635851E-2</v>
      </c>
      <c r="W147" s="183">
        <v>0</v>
      </c>
      <c r="X147" s="183">
        <v>0</v>
      </c>
      <c r="Y147" s="492">
        <v>0</v>
      </c>
      <c r="Z147" s="492">
        <v>0</v>
      </c>
    </row>
    <row r="148" spans="1:26" s="167" customFormat="1">
      <c r="A148" s="169"/>
      <c r="B148" s="163" t="s">
        <v>196</v>
      </c>
      <c r="C148" s="490">
        <f>'[9]Sch C'!D149</f>
        <v>0</v>
      </c>
      <c r="D148" s="490">
        <f>'[9]Sch C'!F149</f>
        <v>0</v>
      </c>
      <c r="E148" s="171">
        <f t="shared" si="38"/>
        <v>0</v>
      </c>
      <c r="F148" s="490"/>
      <c r="G148" s="171">
        <f t="shared" si="39"/>
        <v>0</v>
      </c>
      <c r="H148" s="172">
        <f t="shared" si="40"/>
        <v>0</v>
      </c>
      <c r="I148" s="337"/>
      <c r="J148" s="183">
        <v>0</v>
      </c>
      <c r="K148" s="183">
        <v>0</v>
      </c>
      <c r="M148" s="364">
        <f t="shared" si="34"/>
        <v>0</v>
      </c>
      <c r="N148" s="359">
        <f>SUMMARY!J151</f>
        <v>9.6307730537123507E-2</v>
      </c>
      <c r="W148" s="183">
        <v>0</v>
      </c>
      <c r="X148" s="183">
        <v>0</v>
      </c>
      <c r="Y148" s="492">
        <v>0</v>
      </c>
      <c r="Z148" s="492">
        <v>0</v>
      </c>
    </row>
    <row r="149" spans="1:26" s="167" customFormat="1">
      <c r="A149" s="169"/>
      <c r="B149" s="163" t="s">
        <v>197</v>
      </c>
      <c r="C149" s="490">
        <f>'[9]Sch C'!D150</f>
        <v>8490</v>
      </c>
      <c r="D149" s="490">
        <f>'[9]Sch C'!F150</f>
        <v>0</v>
      </c>
      <c r="E149" s="171">
        <f t="shared" si="38"/>
        <v>8490</v>
      </c>
      <c r="F149" s="490"/>
      <c r="G149" s="171">
        <f t="shared" si="39"/>
        <v>8490</v>
      </c>
      <c r="H149" s="172">
        <f t="shared" si="40"/>
        <v>1.791960408253665E-3</v>
      </c>
      <c r="I149" s="337"/>
      <c r="J149" s="183">
        <v>0</v>
      </c>
      <c r="K149" s="183">
        <v>0</v>
      </c>
      <c r="M149" s="364">
        <f t="shared" si="34"/>
        <v>0.4307676695925719</v>
      </c>
      <c r="N149" s="359">
        <f>SUMMARY!J152</f>
        <v>0.33970063624696212</v>
      </c>
      <c r="W149" s="183">
        <v>0</v>
      </c>
      <c r="X149" s="183">
        <v>0</v>
      </c>
      <c r="Y149" s="492">
        <v>0</v>
      </c>
      <c r="Z149" s="492">
        <v>0</v>
      </c>
    </row>
    <row r="150" spans="1:26" s="167" customFormat="1">
      <c r="A150" s="169">
        <v>110</v>
      </c>
      <c r="B150" s="167" t="s">
        <v>65</v>
      </c>
      <c r="C150" s="490">
        <f>'[9]Sch C'!D151</f>
        <v>109341.35</v>
      </c>
      <c r="D150" s="490">
        <f>'[9]Sch C'!F151</f>
        <v>0</v>
      </c>
      <c r="E150" s="171">
        <f t="shared" si="38"/>
        <v>109341.35</v>
      </c>
      <c r="F150" s="490"/>
      <c r="G150" s="171">
        <f t="shared" si="39"/>
        <v>109341.35</v>
      </c>
      <c r="H150" s="172">
        <f t="shared" si="40"/>
        <v>2.3078371046526137E-2</v>
      </c>
      <c r="I150" s="337"/>
      <c r="J150" s="168"/>
      <c r="K150" s="168"/>
      <c r="M150" s="364">
        <f t="shared" si="34"/>
        <v>5.5477878126744127</v>
      </c>
      <c r="N150" s="359">
        <f>SUMMARY!J153</f>
        <v>5.9639933098495392</v>
      </c>
      <c r="W150" s="168"/>
      <c r="X150" s="168"/>
      <c r="Y150" s="527"/>
      <c r="Z150" s="527"/>
    </row>
    <row r="151" spans="1:26" s="167" customFormat="1">
      <c r="A151" s="169">
        <v>111</v>
      </c>
      <c r="B151" s="170" t="s">
        <v>97</v>
      </c>
      <c r="C151" s="490">
        <f>'[9]Sch C'!D152</f>
        <v>2423.3000000000002</v>
      </c>
      <c r="D151" s="490">
        <f>'[9]Sch C'!F152</f>
        <v>0</v>
      </c>
      <c r="E151" s="171">
        <f t="shared" si="38"/>
        <v>2423.3000000000002</v>
      </c>
      <c r="F151" s="490"/>
      <c r="G151" s="171">
        <f t="shared" si="39"/>
        <v>2423.3000000000002</v>
      </c>
      <c r="H151" s="172">
        <f t="shared" si="40"/>
        <v>5.114791115808135E-4</v>
      </c>
      <c r="I151" s="337"/>
      <c r="J151" s="168"/>
      <c r="K151" s="168"/>
      <c r="M151" s="364">
        <f t="shared" si="34"/>
        <v>0.12295398041503883</v>
      </c>
      <c r="N151" s="359">
        <f>SUMMARY!J154</f>
        <v>0.31252846181152888</v>
      </c>
      <c r="W151" s="168"/>
      <c r="X151" s="168"/>
      <c r="Y151" s="527"/>
      <c r="Z151" s="527"/>
    </row>
    <row r="152" spans="1:26" s="167" customFormat="1">
      <c r="A152" s="169">
        <v>230</v>
      </c>
      <c r="B152" s="170" t="s">
        <v>66</v>
      </c>
      <c r="C152" s="490">
        <f>'[9]Sch C'!D153</f>
        <v>7497.42</v>
      </c>
      <c r="D152" s="490">
        <f>'[9]Sch C'!F153</f>
        <v>0</v>
      </c>
      <c r="E152" s="171">
        <f t="shared" si="38"/>
        <v>7497.42</v>
      </c>
      <c r="F152" s="490"/>
      <c r="G152" s="171">
        <f t="shared" si="39"/>
        <v>7497.42</v>
      </c>
      <c r="H152" s="172">
        <f t="shared" si="40"/>
        <v>1.5824593408774079E-3</v>
      </c>
      <c r="I152" s="337"/>
      <c r="J152" s="168"/>
      <c r="K152" s="168"/>
      <c r="M152" s="364">
        <f t="shared" si="34"/>
        <v>0.38040590593130041</v>
      </c>
      <c r="N152" s="359">
        <f>SUMMARY!J155</f>
        <v>0.16356998443516016</v>
      </c>
      <c r="W152" s="168"/>
      <c r="X152" s="168"/>
      <c r="Y152" s="527"/>
      <c r="Z152" s="527"/>
    </row>
    <row r="153" spans="1:26" s="167" customFormat="1">
      <c r="A153" s="169">
        <v>430</v>
      </c>
      <c r="B153" s="170" t="s">
        <v>99</v>
      </c>
      <c r="C153" s="490">
        <f>'[9]Sch C'!D154</f>
        <v>0</v>
      </c>
      <c r="D153" s="490">
        <f>'[9]Sch C'!F154</f>
        <v>0</v>
      </c>
      <c r="E153" s="171">
        <f t="shared" si="38"/>
        <v>0</v>
      </c>
      <c r="F153" s="490"/>
      <c r="G153" s="171">
        <f t="shared" si="39"/>
        <v>0</v>
      </c>
      <c r="H153" s="172">
        <f t="shared" si="40"/>
        <v>0</v>
      </c>
      <c r="I153" s="337"/>
      <c r="J153" s="168"/>
      <c r="K153" s="168"/>
      <c r="M153" s="364">
        <f t="shared" si="34"/>
        <v>0</v>
      </c>
      <c r="N153" s="359">
        <f>SUMMARY!J156</f>
        <v>0.98203545506676493</v>
      </c>
      <c r="W153" s="168"/>
      <c r="X153" s="168"/>
      <c r="Y153" s="527"/>
      <c r="Z153" s="527"/>
    </row>
    <row r="154" spans="1:26" s="167" customFormat="1">
      <c r="A154" s="169"/>
      <c r="B154" s="209" t="s">
        <v>101</v>
      </c>
      <c r="C154" s="572"/>
      <c r="D154" s="572"/>
      <c r="E154" s="210"/>
      <c r="F154" s="210"/>
      <c r="G154" s="210"/>
      <c r="H154" s="211"/>
      <c r="I154" s="337"/>
      <c r="J154" s="168"/>
      <c r="K154" s="168"/>
      <c r="M154" s="364"/>
      <c r="N154" s="359"/>
      <c r="W154" s="168"/>
      <c r="X154" s="168"/>
      <c r="Y154" s="527"/>
      <c r="Z154" s="527"/>
    </row>
    <row r="155" spans="1:26" s="167" customFormat="1">
      <c r="A155" s="169">
        <v>440.1</v>
      </c>
      <c r="B155" s="163" t="s">
        <v>223</v>
      </c>
      <c r="C155" s="490">
        <f>'[9]Sch C'!D156</f>
        <v>0</v>
      </c>
      <c r="D155" s="490">
        <f>'[9]Sch C'!F156</f>
        <v>0</v>
      </c>
      <c r="E155" s="171">
        <f t="shared" ref="E155:E160" si="41">C155+D155</f>
        <v>0</v>
      </c>
      <c r="F155" s="490"/>
      <c r="G155" s="171">
        <f t="shared" ref="G155:G160" si="42">E155+F155</f>
        <v>0</v>
      </c>
      <c r="H155" s="172">
        <f t="shared" ref="H155:H161" si="43">IF($G$208=0,0,G155/$G$208)</f>
        <v>0</v>
      </c>
      <c r="I155" s="337"/>
      <c r="J155" s="168"/>
      <c r="K155" s="168"/>
      <c r="M155" s="364">
        <f t="shared" si="34"/>
        <v>0</v>
      </c>
      <c r="N155" s="359">
        <f>SUMMARY!J158</f>
        <v>4.0927336773982138E-4</v>
      </c>
      <c r="W155" s="168"/>
      <c r="X155" s="168"/>
      <c r="Y155" s="527"/>
      <c r="Z155" s="527"/>
    </row>
    <row r="156" spans="1:26" s="167" customFormat="1">
      <c r="A156" s="169">
        <v>440.2</v>
      </c>
      <c r="B156" s="163" t="s">
        <v>224</v>
      </c>
      <c r="C156" s="490">
        <f>'[9]Sch C'!D157</f>
        <v>0</v>
      </c>
      <c r="D156" s="490">
        <f>'[9]Sch C'!F157</f>
        <v>0</v>
      </c>
      <c r="E156" s="171">
        <f t="shared" si="41"/>
        <v>0</v>
      </c>
      <c r="F156" s="490"/>
      <c r="G156" s="171">
        <f t="shared" si="42"/>
        <v>0</v>
      </c>
      <c r="H156" s="172">
        <f t="shared" si="43"/>
        <v>0</v>
      </c>
      <c r="I156" s="337"/>
      <c r="J156" s="168"/>
      <c r="K156" s="168"/>
      <c r="M156" s="364">
        <f t="shared" si="34"/>
        <v>0</v>
      </c>
      <c r="N156" s="359">
        <f>SUMMARY!J159</f>
        <v>2.1257535293957019E-2</v>
      </c>
      <c r="W156" s="168"/>
      <c r="X156" s="168"/>
      <c r="Y156" s="527"/>
      <c r="Z156" s="527"/>
    </row>
    <row r="157" spans="1:26" s="167" customFormat="1">
      <c r="A157" s="169">
        <v>440.3</v>
      </c>
      <c r="B157" s="163" t="s">
        <v>225</v>
      </c>
      <c r="C157" s="490">
        <f>'[9]Sch C'!D158</f>
        <v>0</v>
      </c>
      <c r="D157" s="490">
        <f>'[9]Sch C'!F158</f>
        <v>0</v>
      </c>
      <c r="E157" s="171">
        <f t="shared" si="41"/>
        <v>0</v>
      </c>
      <c r="F157" s="490"/>
      <c r="G157" s="171">
        <f t="shared" si="42"/>
        <v>0</v>
      </c>
      <c r="H157" s="172">
        <f t="shared" si="43"/>
        <v>0</v>
      </c>
      <c r="I157" s="337"/>
      <c r="J157" s="168"/>
      <c r="K157" s="168"/>
      <c r="M157" s="364">
        <f t="shared" si="34"/>
        <v>0</v>
      </c>
      <c r="N157" s="359">
        <f>SUMMARY!J160</f>
        <v>4.0452199557630868E-3</v>
      </c>
      <c r="W157" s="168"/>
      <c r="X157" s="168"/>
      <c r="Y157" s="527"/>
      <c r="Z157" s="527"/>
    </row>
    <row r="158" spans="1:26" s="167" customFormat="1">
      <c r="A158" s="169">
        <v>440.4</v>
      </c>
      <c r="B158" s="163" t="s">
        <v>226</v>
      </c>
      <c r="C158" s="490">
        <f>'[9]Sch C'!D159</f>
        <v>0</v>
      </c>
      <c r="D158" s="490">
        <f>'[9]Sch C'!F159</f>
        <v>0</v>
      </c>
      <c r="E158" s="171">
        <f t="shared" si="41"/>
        <v>0</v>
      </c>
      <c r="F158" s="490"/>
      <c r="G158" s="171">
        <f t="shared" si="42"/>
        <v>0</v>
      </c>
      <c r="H158" s="172">
        <f t="shared" si="43"/>
        <v>0</v>
      </c>
      <c r="I158" s="337"/>
      <c r="J158" s="168"/>
      <c r="K158" s="168"/>
      <c r="M158" s="364">
        <f t="shared" si="34"/>
        <v>0</v>
      </c>
      <c r="N158" s="359">
        <f>SUMMARY!J161</f>
        <v>3.2579667403948552E-4</v>
      </c>
      <c r="W158" s="168"/>
      <c r="X158" s="168"/>
      <c r="Y158" s="527"/>
      <c r="Z158" s="527"/>
    </row>
    <row r="159" spans="1:26" s="167" customFormat="1">
      <c r="A159" s="169">
        <v>440.5</v>
      </c>
      <c r="B159" s="163" t="s">
        <v>301</v>
      </c>
      <c r="C159" s="490">
        <f>'[9]Sch C'!D160</f>
        <v>850.37</v>
      </c>
      <c r="D159" s="490">
        <f>'[9]Sch C'!F160</f>
        <v>0</v>
      </c>
      <c r="E159" s="171">
        <f t="shared" si="41"/>
        <v>850.37</v>
      </c>
      <c r="F159" s="490"/>
      <c r="G159" s="171">
        <f t="shared" si="42"/>
        <v>850.37</v>
      </c>
      <c r="H159" s="172">
        <f>IF($G$208=0,0,G159/$G$208)</f>
        <v>1.7948520287004347E-4</v>
      </c>
      <c r="I159" s="337"/>
      <c r="J159" s="168"/>
      <c r="K159" s="168"/>
      <c r="M159" s="364">
        <f t="shared" si="34"/>
        <v>4.3146278349992392E-2</v>
      </c>
      <c r="N159" s="359">
        <f>SUMMARY!J162</f>
        <v>6.5155839545615896E-3</v>
      </c>
      <c r="W159" s="168"/>
      <c r="X159" s="168"/>
      <c r="Y159" s="527"/>
      <c r="Z159" s="527"/>
    </row>
    <row r="160" spans="1:26" s="167" customFormat="1">
      <c r="A160" s="169">
        <v>490</v>
      </c>
      <c r="B160" s="202" t="s">
        <v>315</v>
      </c>
      <c r="C160" s="490">
        <f>'[9]Sch C'!D161</f>
        <v>40008.69</v>
      </c>
      <c r="D160" s="490">
        <f>'[9]Sch C'!F161</f>
        <v>0</v>
      </c>
      <c r="E160" s="171">
        <f t="shared" si="41"/>
        <v>40008.69</v>
      </c>
      <c r="F160" s="490"/>
      <c r="G160" s="171">
        <f t="shared" si="42"/>
        <v>40008.69</v>
      </c>
      <c r="H160" s="172">
        <f t="shared" si="43"/>
        <v>8.4445216096695318E-3</v>
      </c>
      <c r="I160" s="337"/>
      <c r="J160" s="168"/>
      <c r="K160" s="168"/>
      <c r="M160" s="364">
        <f t="shared" si="34"/>
        <v>2.0299705718199808</v>
      </c>
      <c r="N160" s="359">
        <f>SUMMARY!J163</f>
        <v>0.61572967423063263</v>
      </c>
      <c r="W160" s="168"/>
      <c r="X160" s="168"/>
      <c r="Y160" s="527"/>
      <c r="Z160" s="527"/>
    </row>
    <row r="161" spans="1:26" s="167" customFormat="1">
      <c r="A161" s="169"/>
      <c r="B161" s="170" t="s">
        <v>233</v>
      </c>
      <c r="C161" s="490">
        <f>SUM(C123:C160)</f>
        <v>1926000.59</v>
      </c>
      <c r="D161" s="490">
        <f>SUM(D123:D160)</f>
        <v>0</v>
      </c>
      <c r="E161" s="171">
        <f t="shared" ref="E161:F161" si="44">SUM(E123:E160)</f>
        <v>1926000.59</v>
      </c>
      <c r="F161" s="171">
        <f t="shared" si="44"/>
        <v>0</v>
      </c>
      <c r="G161" s="171">
        <f>SUM(G123:G160)</f>
        <v>1926000.59</v>
      </c>
      <c r="H161" s="172">
        <f t="shared" si="43"/>
        <v>0.40651552456457007</v>
      </c>
      <c r="I161" s="337"/>
      <c r="J161" s="168"/>
      <c r="K161" s="168"/>
      <c r="M161" s="364">
        <f>G161/G$228</f>
        <v>97.721882896138823</v>
      </c>
      <c r="N161" s="359">
        <f>SUMMARY!J164</f>
        <v>98.597321527877028</v>
      </c>
      <c r="W161" s="168"/>
      <c r="X161" s="168"/>
      <c r="Y161" s="527"/>
      <c r="Z161" s="527"/>
    </row>
    <row r="162" spans="1:26" s="167" customFormat="1">
      <c r="A162" s="169"/>
      <c r="B162" s="170"/>
      <c r="C162" s="196"/>
      <c r="D162" s="196"/>
      <c r="E162" s="196"/>
      <c r="F162" s="196"/>
      <c r="G162" s="196"/>
      <c r="H162" s="197"/>
      <c r="I162" s="337"/>
      <c r="J162" s="168"/>
      <c r="K162" s="168"/>
      <c r="M162" s="359"/>
      <c r="N162" s="359"/>
      <c r="W162" s="168"/>
      <c r="X162" s="168"/>
      <c r="Y162" s="527"/>
      <c r="Z162" s="527"/>
    </row>
    <row r="163" spans="1:26" s="167" customFormat="1">
      <c r="A163" s="169" t="s">
        <v>168</v>
      </c>
      <c r="B163" s="212" t="s">
        <v>100</v>
      </c>
      <c r="C163" s="213"/>
      <c r="D163" s="213"/>
      <c r="E163" s="213"/>
      <c r="F163" s="213"/>
      <c r="G163" s="213"/>
      <c r="H163" s="214"/>
      <c r="I163" s="337"/>
      <c r="J163" s="168"/>
      <c r="K163" s="168"/>
      <c r="M163" s="359"/>
      <c r="N163" s="359"/>
      <c r="W163" s="168"/>
      <c r="X163" s="168"/>
      <c r="Y163" s="527"/>
      <c r="Z163" s="527"/>
    </row>
    <row r="164" spans="1:26" s="221" customFormat="1">
      <c r="A164" s="215" t="s">
        <v>95</v>
      </c>
      <c r="B164" s="148" t="s">
        <v>102</v>
      </c>
      <c r="C164" s="490">
        <f>'[9]Sch C'!D175</f>
        <v>0</v>
      </c>
      <c r="D164" s="490">
        <f>'[9]Sch C'!F175</f>
        <v>0</v>
      </c>
      <c r="E164" s="171">
        <f t="shared" ref="E164:E196" si="45">C164+D164</f>
        <v>0</v>
      </c>
      <c r="F164" s="490"/>
      <c r="G164" s="171">
        <f t="shared" ref="G164:G196" si="46">E164+F164</f>
        <v>0</v>
      </c>
      <c r="H164" s="172">
        <f t="shared" ref="H164:H196" si="47">IF($G$208=0,0,G164/$G$208)</f>
        <v>0</v>
      </c>
      <c r="I164" s="343"/>
      <c r="J164" s="183">
        <v>0</v>
      </c>
      <c r="K164" s="183">
        <v>0</v>
      </c>
      <c r="L164" s="218"/>
      <c r="M164" s="364">
        <f>G164/G$228</f>
        <v>0</v>
      </c>
      <c r="N164" s="359">
        <f>SUMMARY!J167</f>
        <v>0</v>
      </c>
      <c r="O164" s="220"/>
      <c r="P164" s="220"/>
      <c r="Q164" s="220"/>
      <c r="W164" s="217">
        <v>0</v>
      </c>
      <c r="X164" s="217">
        <v>0</v>
      </c>
      <c r="Y164" s="492">
        <v>0</v>
      </c>
      <c r="Z164" s="492">
        <v>0</v>
      </c>
    </row>
    <row r="165" spans="1:26" s="221" customFormat="1">
      <c r="A165" s="215" t="s">
        <v>123</v>
      </c>
      <c r="B165" s="148" t="s">
        <v>103</v>
      </c>
      <c r="C165" s="490">
        <f>'[9]Sch C'!D176</f>
        <v>0</v>
      </c>
      <c r="D165" s="490">
        <f>'[9]Sch C'!F176</f>
        <v>0</v>
      </c>
      <c r="E165" s="171">
        <f t="shared" si="45"/>
        <v>0</v>
      </c>
      <c r="F165" s="490"/>
      <c r="G165" s="171">
        <f t="shared" si="46"/>
        <v>0</v>
      </c>
      <c r="H165" s="172">
        <f t="shared" si="47"/>
        <v>0</v>
      </c>
      <c r="I165" s="344"/>
      <c r="J165" s="222"/>
      <c r="K165" s="222"/>
      <c r="L165" s="218"/>
      <c r="M165" s="364">
        <f t="shared" ref="M165:M196" si="48">G165/G$228</f>
        <v>0</v>
      </c>
      <c r="N165" s="359">
        <f>SUMMARY!J168</f>
        <v>0</v>
      </c>
      <c r="O165" s="220"/>
      <c r="P165" s="220"/>
      <c r="Q165" s="220"/>
      <c r="W165" s="222"/>
      <c r="X165" s="222"/>
      <c r="Y165" s="533"/>
      <c r="Z165" s="533"/>
    </row>
    <row r="166" spans="1:26" s="221" customFormat="1">
      <c r="A166" s="215" t="s">
        <v>124</v>
      </c>
      <c r="B166" s="148" t="s">
        <v>104</v>
      </c>
      <c r="C166" s="490">
        <f>'[9]Sch C'!D177</f>
        <v>0</v>
      </c>
      <c r="D166" s="490">
        <f>'[9]Sch C'!F177</f>
        <v>0</v>
      </c>
      <c r="E166" s="171">
        <f t="shared" si="45"/>
        <v>0</v>
      </c>
      <c r="F166" s="490"/>
      <c r="G166" s="171">
        <f t="shared" si="46"/>
        <v>0</v>
      </c>
      <c r="H166" s="172">
        <f t="shared" si="47"/>
        <v>0</v>
      </c>
      <c r="I166" s="343"/>
      <c r="J166" s="183">
        <v>0</v>
      </c>
      <c r="K166" s="183">
        <v>0</v>
      </c>
      <c r="L166" s="218"/>
      <c r="M166" s="364">
        <f t="shared" si="48"/>
        <v>0</v>
      </c>
      <c r="N166" s="359">
        <f>SUMMARY!J169</f>
        <v>4.5899160973212085</v>
      </c>
      <c r="O166" s="220"/>
      <c r="P166" s="220"/>
      <c r="Q166" s="220"/>
      <c r="W166" s="217">
        <v>0</v>
      </c>
      <c r="X166" s="217">
        <v>0</v>
      </c>
      <c r="Y166" s="492">
        <v>0</v>
      </c>
      <c r="Z166" s="492">
        <v>0</v>
      </c>
    </row>
    <row r="167" spans="1:26" s="221" customFormat="1">
      <c r="A167" s="215" t="s">
        <v>157</v>
      </c>
      <c r="B167" s="148" t="s">
        <v>105</v>
      </c>
      <c r="C167" s="490">
        <f>'[9]Sch C'!D178</f>
        <v>0</v>
      </c>
      <c r="D167" s="490">
        <f>'[9]Sch C'!F178</f>
        <v>0</v>
      </c>
      <c r="E167" s="171">
        <f t="shared" si="45"/>
        <v>0</v>
      </c>
      <c r="F167" s="490"/>
      <c r="G167" s="171">
        <f t="shared" si="46"/>
        <v>0</v>
      </c>
      <c r="H167" s="172">
        <f t="shared" si="47"/>
        <v>0</v>
      </c>
      <c r="I167" s="344"/>
      <c r="J167" s="222"/>
      <c r="K167" s="222"/>
      <c r="L167" s="218"/>
      <c r="M167" s="364">
        <f t="shared" si="48"/>
        <v>0</v>
      </c>
      <c r="N167" s="359">
        <f>SUMMARY!J170</f>
        <v>0.83466769369350857</v>
      </c>
      <c r="O167" s="220"/>
      <c r="P167" s="220"/>
      <c r="Q167" s="220"/>
      <c r="W167" s="222"/>
      <c r="X167" s="222"/>
      <c r="Y167" s="533"/>
      <c r="Z167" s="533"/>
    </row>
    <row r="168" spans="1:26" s="221" customFormat="1">
      <c r="A168" s="215" t="s">
        <v>158</v>
      </c>
      <c r="B168" s="148" t="s">
        <v>316</v>
      </c>
      <c r="C168" s="490">
        <f>'[9]Sch C'!D179</f>
        <v>0</v>
      </c>
      <c r="D168" s="490">
        <f>'[9]Sch C'!F179</f>
        <v>0</v>
      </c>
      <c r="E168" s="171">
        <f t="shared" si="45"/>
        <v>0</v>
      </c>
      <c r="F168" s="490"/>
      <c r="G168" s="171">
        <f t="shared" si="46"/>
        <v>0</v>
      </c>
      <c r="H168" s="172">
        <f t="shared" si="47"/>
        <v>0</v>
      </c>
      <c r="I168" s="343"/>
      <c r="J168" s="183">
        <v>0</v>
      </c>
      <c r="K168" s="183">
        <v>0</v>
      </c>
      <c r="L168" s="218"/>
      <c r="M168" s="364">
        <f t="shared" si="48"/>
        <v>0</v>
      </c>
      <c r="N168" s="359">
        <f>SUMMARY!J171</f>
        <v>0.77161464733349716</v>
      </c>
      <c r="O168" s="220"/>
      <c r="P168" s="220"/>
      <c r="Q168" s="220"/>
      <c r="W168" s="217">
        <v>0</v>
      </c>
      <c r="X168" s="217">
        <v>0</v>
      </c>
      <c r="Y168" s="492">
        <v>0</v>
      </c>
      <c r="Z168" s="492">
        <v>0</v>
      </c>
    </row>
    <row r="169" spans="1:26" s="221" customFormat="1">
      <c r="A169" s="215" t="s">
        <v>86</v>
      </c>
      <c r="B169" s="148" t="s">
        <v>317</v>
      </c>
      <c r="C169" s="490">
        <f>'[9]Sch C'!D180</f>
        <v>0</v>
      </c>
      <c r="D169" s="490">
        <f>'[9]Sch C'!F180</f>
        <v>0</v>
      </c>
      <c r="E169" s="171">
        <f t="shared" si="45"/>
        <v>0</v>
      </c>
      <c r="F169" s="490"/>
      <c r="G169" s="171">
        <f t="shared" si="46"/>
        <v>0</v>
      </c>
      <c r="H169" s="172">
        <f t="shared" si="47"/>
        <v>0</v>
      </c>
      <c r="I169" s="344"/>
      <c r="J169" s="222"/>
      <c r="K169" s="222"/>
      <c r="L169" s="218"/>
      <c r="M169" s="364">
        <f t="shared" si="48"/>
        <v>0</v>
      </c>
      <c r="N169" s="359">
        <f>SUMMARY!J172</f>
        <v>0.13394964091641409</v>
      </c>
      <c r="O169" s="220"/>
      <c r="P169" s="220"/>
      <c r="Q169" s="220"/>
      <c r="W169" s="222"/>
      <c r="X169" s="222"/>
      <c r="Y169" s="533"/>
      <c r="Z169" s="533"/>
    </row>
    <row r="170" spans="1:26" s="221" customFormat="1">
      <c r="A170" s="215" t="s">
        <v>96</v>
      </c>
      <c r="B170" s="148" t="s">
        <v>318</v>
      </c>
      <c r="C170" s="490">
        <f>'[9]Sch C'!D181</f>
        <v>0</v>
      </c>
      <c r="D170" s="490">
        <f>'[9]Sch C'!F181</f>
        <v>0</v>
      </c>
      <c r="E170" s="171">
        <f t="shared" si="45"/>
        <v>0</v>
      </c>
      <c r="F170" s="490"/>
      <c r="G170" s="171">
        <f t="shared" si="46"/>
        <v>0</v>
      </c>
      <c r="H170" s="172">
        <f t="shared" si="47"/>
        <v>0</v>
      </c>
      <c r="I170" s="343"/>
      <c r="J170" s="183">
        <v>0</v>
      </c>
      <c r="K170" s="183">
        <v>0</v>
      </c>
      <c r="L170" s="218"/>
      <c r="M170" s="364">
        <f t="shared" si="48"/>
        <v>0</v>
      </c>
      <c r="N170" s="359">
        <f>SUMMARY!J173</f>
        <v>0</v>
      </c>
      <c r="O170" s="220"/>
      <c r="P170" s="220"/>
      <c r="Q170" s="220"/>
      <c r="W170" s="217">
        <v>0</v>
      </c>
      <c r="X170" s="217">
        <v>0</v>
      </c>
      <c r="Y170" s="492">
        <v>0</v>
      </c>
      <c r="Z170" s="492">
        <v>0</v>
      </c>
    </row>
    <row r="171" spans="1:26" s="221" customFormat="1">
      <c r="A171" s="215" t="s">
        <v>125</v>
      </c>
      <c r="B171" s="148" t="s">
        <v>109</v>
      </c>
      <c r="C171" s="490">
        <f>'[9]Sch C'!D182</f>
        <v>0</v>
      </c>
      <c r="D171" s="490">
        <f>'[9]Sch C'!F182</f>
        <v>0</v>
      </c>
      <c r="E171" s="171">
        <f t="shared" si="45"/>
        <v>0</v>
      </c>
      <c r="F171" s="490"/>
      <c r="G171" s="171">
        <f t="shared" si="46"/>
        <v>0</v>
      </c>
      <c r="H171" s="172">
        <f t="shared" si="47"/>
        <v>0</v>
      </c>
      <c r="I171" s="344"/>
      <c r="J171" s="222"/>
      <c r="K171" s="222"/>
      <c r="L171" s="218"/>
      <c r="M171" s="364">
        <f t="shared" si="48"/>
        <v>0</v>
      </c>
      <c r="N171" s="359">
        <f>SUMMARY!J174</f>
        <v>0</v>
      </c>
      <c r="O171" s="220"/>
      <c r="P171" s="220"/>
      <c r="Q171" s="220"/>
      <c r="W171" s="222"/>
      <c r="X171" s="222"/>
      <c r="Y171" s="533"/>
      <c r="Z171" s="533"/>
    </row>
    <row r="172" spans="1:26" s="221" customFormat="1">
      <c r="A172" s="215" t="s">
        <v>126</v>
      </c>
      <c r="B172" s="148" t="s">
        <v>319</v>
      </c>
      <c r="C172" s="490">
        <f>'[9]Sch C'!D183</f>
        <v>0</v>
      </c>
      <c r="D172" s="490">
        <f>'[9]Sch C'!F183</f>
        <v>0</v>
      </c>
      <c r="E172" s="171">
        <f t="shared" si="45"/>
        <v>0</v>
      </c>
      <c r="F172" s="490"/>
      <c r="G172" s="171">
        <f t="shared" si="46"/>
        <v>0</v>
      </c>
      <c r="H172" s="172">
        <f t="shared" si="47"/>
        <v>0</v>
      </c>
      <c r="I172" s="343"/>
      <c r="J172" s="183">
        <v>0</v>
      </c>
      <c r="K172" s="183">
        <v>0</v>
      </c>
      <c r="L172" s="218"/>
      <c r="M172" s="364">
        <f t="shared" si="48"/>
        <v>0</v>
      </c>
      <c r="N172" s="359">
        <f>SUMMARY!J175</f>
        <v>2.5941162939297122</v>
      </c>
      <c r="O172" s="220"/>
      <c r="P172" s="220"/>
      <c r="Q172" s="220"/>
      <c r="W172" s="217">
        <v>0</v>
      </c>
      <c r="X172" s="217">
        <v>0</v>
      </c>
      <c r="Y172" s="492">
        <v>0</v>
      </c>
      <c r="Z172" s="492">
        <v>0</v>
      </c>
    </row>
    <row r="173" spans="1:26" s="221" customFormat="1">
      <c r="A173" s="215" t="s">
        <v>127</v>
      </c>
      <c r="B173" s="148" t="s">
        <v>111</v>
      </c>
      <c r="C173" s="490">
        <f>'[9]Sch C'!D184</f>
        <v>0</v>
      </c>
      <c r="D173" s="490">
        <f>'[9]Sch C'!F184</f>
        <v>0</v>
      </c>
      <c r="E173" s="171">
        <f t="shared" si="45"/>
        <v>0</v>
      </c>
      <c r="F173" s="490"/>
      <c r="G173" s="171">
        <f t="shared" si="46"/>
        <v>0</v>
      </c>
      <c r="H173" s="172">
        <f t="shared" si="47"/>
        <v>0</v>
      </c>
      <c r="I173" s="344"/>
      <c r="J173" s="222"/>
      <c r="K173" s="222"/>
      <c r="L173" s="218"/>
      <c r="M173" s="364">
        <f t="shared" si="48"/>
        <v>0</v>
      </c>
      <c r="N173" s="359">
        <f>SUMMARY!J176</f>
        <v>0.43431776693811036</v>
      </c>
      <c r="O173" s="220"/>
      <c r="P173" s="220"/>
      <c r="Q173" s="220"/>
      <c r="W173" s="222"/>
      <c r="X173" s="222"/>
      <c r="Y173" s="533"/>
      <c r="Z173" s="533"/>
    </row>
    <row r="174" spans="1:26" s="221" customFormat="1">
      <c r="A174" s="215" t="s">
        <v>128</v>
      </c>
      <c r="B174" s="148" t="s">
        <v>320</v>
      </c>
      <c r="C174" s="490">
        <f>'[9]Sch C'!D185</f>
        <v>0</v>
      </c>
      <c r="D174" s="490">
        <f>'[9]Sch C'!F185</f>
        <v>0</v>
      </c>
      <c r="E174" s="171">
        <f t="shared" si="45"/>
        <v>0</v>
      </c>
      <c r="F174" s="490"/>
      <c r="G174" s="171">
        <f t="shared" si="46"/>
        <v>0</v>
      </c>
      <c r="H174" s="172">
        <f t="shared" si="47"/>
        <v>0</v>
      </c>
      <c r="I174" s="343"/>
      <c r="J174" s="183">
        <v>0</v>
      </c>
      <c r="K174" s="183">
        <v>0</v>
      </c>
      <c r="L174" s="218"/>
      <c r="M174" s="364">
        <f t="shared" si="48"/>
        <v>0</v>
      </c>
      <c r="N174" s="359">
        <f>SUMMARY!J177</f>
        <v>2.3603943092760983E-3</v>
      </c>
      <c r="O174" s="220"/>
      <c r="P174" s="220"/>
      <c r="Q174" s="220"/>
      <c r="W174" s="217">
        <v>0</v>
      </c>
      <c r="X174" s="217">
        <v>0</v>
      </c>
      <c r="Y174" s="492">
        <v>0</v>
      </c>
      <c r="Z174" s="492">
        <v>0</v>
      </c>
    </row>
    <row r="175" spans="1:26" s="221" customFormat="1">
      <c r="A175" s="215" t="s">
        <v>129</v>
      </c>
      <c r="B175" s="148" t="s">
        <v>321</v>
      </c>
      <c r="C175" s="490">
        <f>'[9]Sch C'!D186</f>
        <v>0</v>
      </c>
      <c r="D175" s="490">
        <f>'[9]Sch C'!F186</f>
        <v>0</v>
      </c>
      <c r="E175" s="171">
        <f t="shared" si="45"/>
        <v>0</v>
      </c>
      <c r="F175" s="490"/>
      <c r="G175" s="171">
        <f t="shared" si="46"/>
        <v>0</v>
      </c>
      <c r="H175" s="172">
        <f t="shared" si="47"/>
        <v>0</v>
      </c>
      <c r="I175" s="337"/>
      <c r="J175" s="223"/>
      <c r="K175" s="218"/>
      <c r="L175" s="220"/>
      <c r="M175" s="364">
        <f t="shared" si="48"/>
        <v>0</v>
      </c>
      <c r="N175" s="359">
        <f>SUMMARY!J178</f>
        <v>0</v>
      </c>
      <c r="O175" s="220"/>
      <c r="P175" s="220"/>
      <c r="W175" s="223"/>
      <c r="X175" s="218"/>
      <c r="Y175" s="534"/>
      <c r="Z175" s="535"/>
    </row>
    <row r="176" spans="1:26" s="221" customFormat="1">
      <c r="A176" s="224" t="s">
        <v>293</v>
      </c>
      <c r="B176" s="148" t="s">
        <v>154</v>
      </c>
      <c r="C176" s="490">
        <f>'[9]Sch C'!D187</f>
        <v>0</v>
      </c>
      <c r="D176" s="490">
        <f>'[9]Sch C'!F187</f>
        <v>0</v>
      </c>
      <c r="E176" s="171">
        <f t="shared" si="45"/>
        <v>0</v>
      </c>
      <c r="F176" s="490"/>
      <c r="G176" s="171">
        <f t="shared" si="46"/>
        <v>0</v>
      </c>
      <c r="H176" s="172">
        <f t="shared" si="47"/>
        <v>0</v>
      </c>
      <c r="I176" s="337"/>
      <c r="J176" s="223"/>
      <c r="K176" s="218"/>
      <c r="L176" s="220"/>
      <c r="M176" s="364">
        <f t="shared" si="48"/>
        <v>0</v>
      </c>
      <c r="N176" s="359">
        <f>SUMMARY!J179</f>
        <v>0</v>
      </c>
      <c r="O176" s="220"/>
      <c r="P176" s="220"/>
      <c r="W176" s="223"/>
      <c r="X176" s="218"/>
      <c r="Y176" s="534"/>
      <c r="Z176" s="535"/>
    </row>
    <row r="177" spans="1:26" s="221" customFormat="1">
      <c r="A177" s="224" t="s">
        <v>294</v>
      </c>
      <c r="B177" s="148" t="s">
        <v>322</v>
      </c>
      <c r="C177" s="490">
        <f>'[9]Sch C'!D188</f>
        <v>0</v>
      </c>
      <c r="D177" s="490">
        <f>'[9]Sch C'!F188</f>
        <v>0</v>
      </c>
      <c r="E177" s="171">
        <f t="shared" si="45"/>
        <v>0</v>
      </c>
      <c r="F177" s="490"/>
      <c r="G177" s="171">
        <f t="shared" si="46"/>
        <v>0</v>
      </c>
      <c r="H177" s="172">
        <f t="shared" si="47"/>
        <v>0</v>
      </c>
      <c r="I177" s="337"/>
      <c r="J177" s="223"/>
      <c r="K177" s="218"/>
      <c r="L177" s="220"/>
      <c r="M177" s="364">
        <f t="shared" si="48"/>
        <v>0</v>
      </c>
      <c r="N177" s="359">
        <f>SUMMARY!J180</f>
        <v>9.0641762922913108E-2</v>
      </c>
      <c r="O177" s="220"/>
      <c r="P177" s="220"/>
      <c r="W177" s="223"/>
      <c r="X177" s="218"/>
      <c r="Y177" s="534"/>
      <c r="Z177" s="535"/>
    </row>
    <row r="178" spans="1:26" s="221" customFormat="1">
      <c r="A178" s="224" t="s">
        <v>295</v>
      </c>
      <c r="B178" s="148" t="s">
        <v>323</v>
      </c>
      <c r="C178" s="490">
        <f>'[9]Sch C'!D189</f>
        <v>0</v>
      </c>
      <c r="D178" s="490">
        <f>'[9]Sch C'!F189</f>
        <v>0</v>
      </c>
      <c r="E178" s="171">
        <f t="shared" si="45"/>
        <v>0</v>
      </c>
      <c r="F178" s="490"/>
      <c r="G178" s="171">
        <f t="shared" si="46"/>
        <v>0</v>
      </c>
      <c r="H178" s="172">
        <f t="shared" si="47"/>
        <v>0</v>
      </c>
      <c r="I178" s="337"/>
      <c r="J178" s="223"/>
      <c r="K178" s="218"/>
      <c r="L178" s="220"/>
      <c r="M178" s="364">
        <f t="shared" si="48"/>
        <v>0</v>
      </c>
      <c r="N178" s="359">
        <f>SUMMARY!J181</f>
        <v>1.778645585866033E-2</v>
      </c>
      <c r="O178" s="220"/>
      <c r="P178" s="220"/>
      <c r="W178" s="223"/>
      <c r="X178" s="218"/>
      <c r="Y178" s="534"/>
      <c r="Z178" s="535"/>
    </row>
    <row r="179" spans="1:26" s="221" customFormat="1">
      <c r="A179" s="224" t="s">
        <v>296</v>
      </c>
      <c r="B179" s="148" t="s">
        <v>324</v>
      </c>
      <c r="C179" s="490">
        <f>'[9]Sch C'!D190</f>
        <v>0</v>
      </c>
      <c r="D179" s="490">
        <f>'[9]Sch C'!F190</f>
        <v>0</v>
      </c>
      <c r="E179" s="171">
        <f t="shared" si="45"/>
        <v>0</v>
      </c>
      <c r="F179" s="490"/>
      <c r="G179" s="171">
        <f t="shared" si="46"/>
        <v>0</v>
      </c>
      <c r="H179" s="172">
        <f t="shared" si="47"/>
        <v>0</v>
      </c>
      <c r="I179" s="337"/>
      <c r="J179" s="223"/>
      <c r="K179" s="218"/>
      <c r="L179" s="220"/>
      <c r="M179" s="364">
        <f t="shared" si="48"/>
        <v>0</v>
      </c>
      <c r="N179" s="359">
        <f>SUMMARY!J182</f>
        <v>1.1468829360203163E-4</v>
      </c>
      <c r="O179" s="220"/>
      <c r="P179" s="220"/>
      <c r="W179" s="223"/>
      <c r="X179" s="218"/>
      <c r="Y179" s="534"/>
      <c r="Z179" s="535"/>
    </row>
    <row r="180" spans="1:26" s="221" customFormat="1">
      <c r="A180" s="224" t="s">
        <v>297</v>
      </c>
      <c r="B180" s="148" t="s">
        <v>325</v>
      </c>
      <c r="C180" s="490">
        <f>'[9]Sch C'!D191</f>
        <v>0</v>
      </c>
      <c r="D180" s="490">
        <f>'[9]Sch C'!F191</f>
        <v>0</v>
      </c>
      <c r="E180" s="171">
        <f t="shared" si="45"/>
        <v>0</v>
      </c>
      <c r="F180" s="490"/>
      <c r="G180" s="171">
        <f t="shared" si="46"/>
        <v>0</v>
      </c>
      <c r="H180" s="172">
        <f t="shared" si="47"/>
        <v>0</v>
      </c>
      <c r="I180" s="337"/>
      <c r="J180" s="223"/>
      <c r="K180" s="218"/>
      <c r="L180" s="220"/>
      <c r="M180" s="364">
        <f t="shared" si="48"/>
        <v>0</v>
      </c>
      <c r="N180" s="359">
        <f>SUMMARY!J183</f>
        <v>1.8462734496600307E-2</v>
      </c>
      <c r="O180" s="220"/>
      <c r="P180" s="220"/>
      <c r="W180" s="223"/>
      <c r="X180" s="218"/>
      <c r="Y180" s="534"/>
      <c r="Z180" s="535"/>
    </row>
    <row r="181" spans="1:26" s="221" customFormat="1">
      <c r="A181" s="224" t="s">
        <v>298</v>
      </c>
      <c r="B181" s="148" t="s">
        <v>117</v>
      </c>
      <c r="C181" s="490">
        <f>'[9]Sch C'!D192</f>
        <v>0</v>
      </c>
      <c r="D181" s="490">
        <f>'[9]Sch C'!F192</f>
        <v>0</v>
      </c>
      <c r="E181" s="171">
        <f t="shared" si="45"/>
        <v>0</v>
      </c>
      <c r="F181" s="490"/>
      <c r="G181" s="171">
        <f t="shared" si="46"/>
        <v>0</v>
      </c>
      <c r="H181" s="172">
        <f t="shared" si="47"/>
        <v>0</v>
      </c>
      <c r="I181" s="337"/>
      <c r="J181" s="223"/>
      <c r="K181" s="218"/>
      <c r="L181" s="220"/>
      <c r="M181" s="364">
        <f t="shared" si="48"/>
        <v>0</v>
      </c>
      <c r="N181" s="359">
        <f>SUMMARY!J184</f>
        <v>0.21032919363206901</v>
      </c>
      <c r="O181" s="220"/>
      <c r="P181" s="220"/>
      <c r="W181" s="223"/>
      <c r="X181" s="218"/>
      <c r="Y181" s="534"/>
      <c r="Z181" s="535"/>
    </row>
    <row r="182" spans="1:26" s="221" customFormat="1">
      <c r="A182" s="224" t="s">
        <v>132</v>
      </c>
      <c r="B182" s="148" t="s">
        <v>118</v>
      </c>
      <c r="C182" s="490">
        <f>'[9]Sch C'!D193</f>
        <v>0</v>
      </c>
      <c r="D182" s="490">
        <f>'[9]Sch C'!F193</f>
        <v>0</v>
      </c>
      <c r="E182" s="171">
        <f t="shared" si="45"/>
        <v>0</v>
      </c>
      <c r="F182" s="490"/>
      <c r="G182" s="171">
        <f t="shared" si="46"/>
        <v>0</v>
      </c>
      <c r="H182" s="172">
        <f t="shared" si="47"/>
        <v>0</v>
      </c>
      <c r="I182" s="337"/>
      <c r="J182" s="223"/>
      <c r="K182" s="218"/>
      <c r="L182" s="220"/>
      <c r="M182" s="364">
        <f t="shared" si="48"/>
        <v>0</v>
      </c>
      <c r="N182" s="359">
        <f>SUMMARY!J185</f>
        <v>4.5937156276453409E-2</v>
      </c>
      <c r="O182" s="220"/>
      <c r="P182" s="220"/>
      <c r="W182" s="223"/>
      <c r="X182" s="218"/>
      <c r="Y182" s="534"/>
      <c r="Z182" s="535"/>
    </row>
    <row r="183" spans="1:26" s="221" customFormat="1">
      <c r="A183" s="224" t="s">
        <v>133</v>
      </c>
      <c r="B183" s="148" t="s">
        <v>119</v>
      </c>
      <c r="C183" s="490">
        <f>'[9]Sch C'!D194</f>
        <v>330914.5</v>
      </c>
      <c r="D183" s="490">
        <f>'[9]Sch C'!F194</f>
        <v>-35655.33</v>
      </c>
      <c r="E183" s="171">
        <f t="shared" si="45"/>
        <v>295259.17</v>
      </c>
      <c r="F183" s="490"/>
      <c r="G183" s="171">
        <f t="shared" si="46"/>
        <v>295259.17</v>
      </c>
      <c r="H183" s="172">
        <f t="shared" si="47"/>
        <v>6.231952212177129E-2</v>
      </c>
      <c r="I183" s="337"/>
      <c r="J183" s="223"/>
      <c r="K183" s="218"/>
      <c r="M183" s="364">
        <f t="shared" si="48"/>
        <v>14.980931046729919</v>
      </c>
      <c r="N183" s="359">
        <f>SUMMARY!J186</f>
        <v>7.3129851396739571</v>
      </c>
      <c r="O183" s="220"/>
      <c r="P183" s="220"/>
      <c r="W183" s="223"/>
      <c r="X183" s="218"/>
      <c r="Y183" s="534"/>
      <c r="Z183" s="535"/>
    </row>
    <row r="184" spans="1:26" s="221" customFormat="1">
      <c r="A184" s="224" t="s">
        <v>134</v>
      </c>
      <c r="B184" s="148" t="s">
        <v>326</v>
      </c>
      <c r="C184" s="490">
        <f>'[9]Sch C'!D195</f>
        <v>24276.080000000002</v>
      </c>
      <c r="D184" s="490">
        <f>'[9]Sch C'!F195</f>
        <v>-2615.6799999999998</v>
      </c>
      <c r="E184" s="171">
        <f t="shared" si="45"/>
        <v>21660.400000000001</v>
      </c>
      <c r="F184" s="490"/>
      <c r="G184" s="171">
        <f t="shared" si="46"/>
        <v>21660.400000000001</v>
      </c>
      <c r="H184" s="172">
        <f t="shared" si="47"/>
        <v>4.5717996733731087E-3</v>
      </c>
      <c r="I184" s="337"/>
      <c r="J184" s="223"/>
      <c r="K184" s="218"/>
      <c r="M184" s="364">
        <f t="shared" si="48"/>
        <v>1.0990106042924552</v>
      </c>
      <c r="N184" s="359">
        <f>SUMMARY!J187</f>
        <v>1.617871871330657</v>
      </c>
      <c r="O184" s="220"/>
      <c r="P184" s="220"/>
      <c r="W184" s="223"/>
      <c r="X184" s="218"/>
      <c r="Y184" s="534"/>
      <c r="Z184" s="535"/>
    </row>
    <row r="185" spans="1:26" s="221" customFormat="1">
      <c r="A185" s="224" t="s">
        <v>135</v>
      </c>
      <c r="B185" s="148" t="s">
        <v>327</v>
      </c>
      <c r="C185" s="490">
        <f>'[9]Sch C'!D196</f>
        <v>0</v>
      </c>
      <c r="D185" s="490">
        <f>'[9]Sch C'!F196</f>
        <v>0</v>
      </c>
      <c r="E185" s="171">
        <f t="shared" si="45"/>
        <v>0</v>
      </c>
      <c r="F185" s="490"/>
      <c r="G185" s="171">
        <f t="shared" si="46"/>
        <v>0</v>
      </c>
      <c r="H185" s="172">
        <f t="shared" si="47"/>
        <v>0</v>
      </c>
      <c r="I185" s="337"/>
      <c r="J185" s="223"/>
      <c r="K185" s="218"/>
      <c r="M185" s="364">
        <f t="shared" si="48"/>
        <v>0</v>
      </c>
      <c r="N185" s="359">
        <f>SUMMARY!J188</f>
        <v>0</v>
      </c>
      <c r="O185" s="220"/>
      <c r="P185" s="220"/>
      <c r="W185" s="223"/>
      <c r="X185" s="218"/>
      <c r="Y185" s="534"/>
      <c r="Z185" s="535"/>
    </row>
    <row r="186" spans="1:26" s="221" customFormat="1">
      <c r="A186" s="224" t="s">
        <v>136</v>
      </c>
      <c r="B186" s="148" t="s">
        <v>328</v>
      </c>
      <c r="C186" s="490">
        <f>'[9]Sch C'!D197</f>
        <v>297382.81</v>
      </c>
      <c r="D186" s="490">
        <f>'[9]Sch C'!F197</f>
        <v>-32042.33</v>
      </c>
      <c r="E186" s="171">
        <f t="shared" si="45"/>
        <v>265340.48</v>
      </c>
      <c r="F186" s="490"/>
      <c r="G186" s="171">
        <f t="shared" si="46"/>
        <v>265340.48</v>
      </c>
      <c r="H186" s="172">
        <f t="shared" si="47"/>
        <v>5.6004668417788388E-2</v>
      </c>
      <c r="I186" s="337"/>
      <c r="J186" s="223"/>
      <c r="K186" s="218"/>
      <c r="M186" s="364">
        <f t="shared" si="48"/>
        <v>13.462909330762594</v>
      </c>
      <c r="N186" s="359">
        <f>SUMMARY!J189</f>
        <v>5.0698778515059661</v>
      </c>
      <c r="O186" s="220"/>
      <c r="P186" s="220"/>
      <c r="W186" s="223"/>
      <c r="X186" s="218"/>
      <c r="Y186" s="534"/>
      <c r="Z186" s="535"/>
    </row>
    <row r="187" spans="1:26" s="221" customFormat="1">
      <c r="A187" s="224" t="s">
        <v>137</v>
      </c>
      <c r="B187" s="148" t="s">
        <v>122</v>
      </c>
      <c r="C187" s="490">
        <f>'[9]Sch C'!D198</f>
        <v>22184.21</v>
      </c>
      <c r="D187" s="490">
        <f>'[9]Sch C'!F198</f>
        <v>0</v>
      </c>
      <c r="E187" s="171">
        <f t="shared" si="45"/>
        <v>22184.21</v>
      </c>
      <c r="F187" s="490"/>
      <c r="G187" s="171">
        <f t="shared" si="46"/>
        <v>22184.21</v>
      </c>
      <c r="H187" s="172">
        <f t="shared" si="47"/>
        <v>4.6823587760170832E-3</v>
      </c>
      <c r="I187" s="337"/>
      <c r="J187" s="223"/>
      <c r="K187" s="218"/>
      <c r="M187" s="364">
        <f t="shared" si="48"/>
        <v>1.1255878025267643</v>
      </c>
      <c r="N187" s="359">
        <f>SUMMARY!J190</f>
        <v>1.3048000054613476</v>
      </c>
      <c r="O187" s="220"/>
      <c r="P187" s="220"/>
      <c r="W187" s="223"/>
      <c r="X187" s="218"/>
      <c r="Y187" s="534"/>
      <c r="Z187" s="535"/>
    </row>
    <row r="188" spans="1:26" s="221" customFormat="1">
      <c r="A188" s="224" t="s">
        <v>275</v>
      </c>
      <c r="B188" s="148" t="s">
        <v>329</v>
      </c>
      <c r="C188" s="490">
        <f>'[9]Sch C'!D199</f>
        <v>0</v>
      </c>
      <c r="D188" s="490">
        <f>'[9]Sch C'!F199</f>
        <v>0</v>
      </c>
      <c r="E188" s="171">
        <f t="shared" si="45"/>
        <v>0</v>
      </c>
      <c r="F188" s="490"/>
      <c r="G188" s="171">
        <f t="shared" si="46"/>
        <v>0</v>
      </c>
      <c r="H188" s="172">
        <f t="shared" si="47"/>
        <v>0</v>
      </c>
      <c r="I188" s="337"/>
      <c r="J188" s="223"/>
      <c r="K188" s="218"/>
      <c r="M188" s="364">
        <f t="shared" si="48"/>
        <v>0</v>
      </c>
      <c r="N188" s="359">
        <f>SUMMARY!J191</f>
        <v>0.39995945495753804</v>
      </c>
      <c r="O188" s="220"/>
      <c r="P188" s="220"/>
      <c r="W188" s="223"/>
      <c r="X188" s="218"/>
      <c r="Y188" s="534"/>
      <c r="Z188" s="535"/>
    </row>
    <row r="189" spans="1:26" s="221" customFormat="1">
      <c r="A189" s="224" t="s">
        <v>277</v>
      </c>
      <c r="B189" s="148" t="s">
        <v>278</v>
      </c>
      <c r="C189" s="490">
        <f>'[9]Sch C'!D200</f>
        <v>0</v>
      </c>
      <c r="D189" s="490">
        <f>'[9]Sch C'!F200</f>
        <v>0</v>
      </c>
      <c r="E189" s="171">
        <f t="shared" si="45"/>
        <v>0</v>
      </c>
      <c r="F189" s="490"/>
      <c r="G189" s="171">
        <f t="shared" si="46"/>
        <v>0</v>
      </c>
      <c r="H189" s="172">
        <f t="shared" si="47"/>
        <v>0</v>
      </c>
      <c r="I189" s="337"/>
      <c r="J189" s="223"/>
      <c r="K189" s="218"/>
      <c r="M189" s="364">
        <f t="shared" si="48"/>
        <v>0</v>
      </c>
      <c r="N189" s="359">
        <f>SUMMARY!J192</f>
        <v>5.0800032768083883E-3</v>
      </c>
      <c r="O189" s="220"/>
      <c r="P189" s="220"/>
      <c r="W189" s="223"/>
      <c r="X189" s="218"/>
      <c r="Y189" s="534"/>
      <c r="Z189" s="535"/>
    </row>
    <row r="190" spans="1:26" s="221" customFormat="1">
      <c r="A190" s="225" t="s">
        <v>279</v>
      </c>
      <c r="B190" s="226" t="s">
        <v>280</v>
      </c>
      <c r="C190" s="490">
        <f>'[9]Sch C'!D201</f>
        <v>0</v>
      </c>
      <c r="D190" s="490">
        <f>'[9]Sch C'!F201</f>
        <v>0</v>
      </c>
      <c r="E190" s="171">
        <f t="shared" si="45"/>
        <v>0</v>
      </c>
      <c r="F190" s="490"/>
      <c r="G190" s="171">
        <f t="shared" si="46"/>
        <v>0</v>
      </c>
      <c r="H190" s="172">
        <f t="shared" si="47"/>
        <v>0</v>
      </c>
      <c r="I190" s="337"/>
      <c r="J190" s="223"/>
      <c r="K190" s="218"/>
      <c r="M190" s="364">
        <f t="shared" si="48"/>
        <v>0</v>
      </c>
      <c r="N190" s="359">
        <f>SUMMARY!J193</f>
        <v>-2.2159984708227519E-2</v>
      </c>
      <c r="O190" s="220"/>
      <c r="P190" s="220"/>
      <c r="W190" s="223"/>
      <c r="X190" s="218"/>
      <c r="Y190" s="534"/>
      <c r="Z190" s="535"/>
    </row>
    <row r="191" spans="1:26" s="221" customFormat="1">
      <c r="A191" s="225" t="s">
        <v>281</v>
      </c>
      <c r="B191" s="226" t="s">
        <v>282</v>
      </c>
      <c r="C191" s="490">
        <f>'[9]Sch C'!D202</f>
        <v>0</v>
      </c>
      <c r="D191" s="490">
        <f>'[9]Sch C'!F202</f>
        <v>0</v>
      </c>
      <c r="E191" s="171">
        <f t="shared" si="45"/>
        <v>0</v>
      </c>
      <c r="F191" s="490"/>
      <c r="G191" s="171">
        <f t="shared" si="46"/>
        <v>0</v>
      </c>
      <c r="H191" s="172">
        <f t="shared" si="47"/>
        <v>0</v>
      </c>
      <c r="I191" s="337"/>
      <c r="J191" s="223"/>
      <c r="K191" s="218"/>
      <c r="M191" s="364">
        <f t="shared" si="48"/>
        <v>0</v>
      </c>
      <c r="N191" s="359">
        <f>SUMMARY!J194</f>
        <v>4.7598918653231749E-4</v>
      </c>
      <c r="O191" s="220"/>
      <c r="P191" s="220"/>
      <c r="W191" s="223"/>
      <c r="X191" s="218"/>
      <c r="Y191" s="534"/>
      <c r="Z191" s="535"/>
    </row>
    <row r="192" spans="1:26" s="221" customFormat="1">
      <c r="A192" s="225" t="s">
        <v>283</v>
      </c>
      <c r="B192" s="226" t="s">
        <v>330</v>
      </c>
      <c r="C192" s="490">
        <f>'[9]Sch C'!D203</f>
        <v>0</v>
      </c>
      <c r="D192" s="490">
        <f>'[9]Sch C'!F203</f>
        <v>0</v>
      </c>
      <c r="E192" s="171">
        <f t="shared" si="45"/>
        <v>0</v>
      </c>
      <c r="F192" s="490"/>
      <c r="G192" s="171">
        <f t="shared" si="46"/>
        <v>0</v>
      </c>
      <c r="H192" s="172">
        <f t="shared" si="47"/>
        <v>0</v>
      </c>
      <c r="I192" s="337"/>
      <c r="J192" s="223"/>
      <c r="K192" s="218"/>
      <c r="M192" s="364">
        <f t="shared" si="48"/>
        <v>0</v>
      </c>
      <c r="N192" s="359">
        <f>SUMMARY!J195</f>
        <v>9.9736102236421709E-2</v>
      </c>
      <c r="O192" s="220"/>
      <c r="P192" s="220"/>
      <c r="W192" s="223"/>
      <c r="X192" s="218"/>
      <c r="Y192" s="534"/>
      <c r="Z192" s="535"/>
    </row>
    <row r="193" spans="1:26" s="221" customFormat="1">
      <c r="A193" s="225" t="s">
        <v>285</v>
      </c>
      <c r="B193" s="226" t="s">
        <v>331</v>
      </c>
      <c r="C193" s="490">
        <f>'[9]Sch C'!D204</f>
        <v>0</v>
      </c>
      <c r="D193" s="490">
        <f>'[9]Sch C'!F204</f>
        <v>0</v>
      </c>
      <c r="E193" s="171">
        <f t="shared" si="45"/>
        <v>0</v>
      </c>
      <c r="F193" s="490"/>
      <c r="G193" s="171">
        <f t="shared" si="46"/>
        <v>0</v>
      </c>
      <c r="H193" s="172">
        <f t="shared" si="47"/>
        <v>0</v>
      </c>
      <c r="I193" s="337"/>
      <c r="J193" s="223"/>
      <c r="K193" s="218"/>
      <c r="M193" s="364">
        <f t="shared" si="48"/>
        <v>0</v>
      </c>
      <c r="N193" s="359">
        <f>SUMMARY!J196</f>
        <v>1.4186941918571311E-2</v>
      </c>
      <c r="O193" s="220"/>
      <c r="P193" s="220"/>
      <c r="W193" s="223"/>
      <c r="X193" s="218"/>
      <c r="Y193" s="534"/>
      <c r="Z193" s="535"/>
    </row>
    <row r="194" spans="1:26" s="221" customFormat="1">
      <c r="A194" s="224" t="s">
        <v>138</v>
      </c>
      <c r="B194" s="148" t="s">
        <v>332</v>
      </c>
      <c r="C194" s="490">
        <f>'[9]Sch C'!D205</f>
        <v>315895.61</v>
      </c>
      <c r="D194" s="490">
        <f>'[9]Sch C'!F205</f>
        <v>-95528.22</v>
      </c>
      <c r="E194" s="171">
        <f t="shared" si="45"/>
        <v>220367.38999999998</v>
      </c>
      <c r="F194" s="490"/>
      <c r="G194" s="171">
        <f t="shared" si="46"/>
        <v>220367.38999999998</v>
      </c>
      <c r="H194" s="172">
        <f t="shared" si="47"/>
        <v>4.6512324870458727E-2</v>
      </c>
      <c r="I194" s="337"/>
      <c r="J194" s="223"/>
      <c r="K194" s="218"/>
      <c r="M194" s="364">
        <f t="shared" si="48"/>
        <v>11.181053833274138</v>
      </c>
      <c r="N194" s="359">
        <f>SUMMARY!J197</f>
        <v>9.4205484776494348</v>
      </c>
      <c r="O194" s="220"/>
      <c r="P194" s="220"/>
      <c r="W194" s="223"/>
      <c r="X194" s="218"/>
      <c r="Y194" s="534"/>
      <c r="Z194" s="535"/>
    </row>
    <row r="195" spans="1:26" s="221" customFormat="1">
      <c r="A195" s="224" t="s">
        <v>139</v>
      </c>
      <c r="B195" s="148" t="s">
        <v>67</v>
      </c>
      <c r="C195" s="490">
        <f>'[9]Sch C'!D206</f>
        <v>38158.480000000003</v>
      </c>
      <c r="D195" s="490">
        <f>'[9]Sch C'!F206</f>
        <v>0</v>
      </c>
      <c r="E195" s="171">
        <f t="shared" si="45"/>
        <v>38158.480000000003</v>
      </c>
      <c r="F195" s="490"/>
      <c r="G195" s="171">
        <f t="shared" si="46"/>
        <v>38158.480000000003</v>
      </c>
      <c r="H195" s="172">
        <f t="shared" si="47"/>
        <v>8.0540029916536301E-3</v>
      </c>
      <c r="I195" s="337"/>
      <c r="J195" s="223"/>
      <c r="K195" s="218"/>
      <c r="M195" s="364">
        <f t="shared" si="48"/>
        <v>1.9360941701760619</v>
      </c>
      <c r="N195" s="359">
        <f>SUMMARY!J198</f>
        <v>0.51514733622784747</v>
      </c>
      <c r="O195" s="220"/>
      <c r="P195" s="220"/>
      <c r="W195" s="223"/>
      <c r="X195" s="218"/>
      <c r="Y195" s="534"/>
      <c r="Z195" s="535"/>
    </row>
    <row r="196" spans="1:26" s="221" customFormat="1">
      <c r="A196" s="225" t="s">
        <v>143</v>
      </c>
      <c r="B196" s="194" t="s">
        <v>333</v>
      </c>
      <c r="C196" s="490">
        <f>'[9]Sch C'!D207</f>
        <v>-87367.15</v>
      </c>
      <c r="D196" s="490">
        <f>'[9]Sch C'!F207</f>
        <v>0</v>
      </c>
      <c r="E196" s="171">
        <f t="shared" si="45"/>
        <v>-87367.15</v>
      </c>
      <c r="F196" s="490"/>
      <c r="G196" s="171">
        <f t="shared" si="46"/>
        <v>-87367.15</v>
      </c>
      <c r="H196" s="172">
        <f t="shared" si="47"/>
        <v>-1.8440338490218984E-2</v>
      </c>
      <c r="I196" s="337"/>
      <c r="J196" s="223"/>
      <c r="K196" s="218"/>
      <c r="M196" s="364">
        <f t="shared" si="48"/>
        <v>-4.4328555482266978</v>
      </c>
      <c r="N196" s="359">
        <f>SUMMARY!J199</f>
        <v>0.43468466925335936</v>
      </c>
      <c r="O196" s="220"/>
      <c r="P196" s="220"/>
      <c r="W196" s="223"/>
      <c r="X196" s="218"/>
      <c r="Y196" s="534"/>
      <c r="Z196" s="535"/>
    </row>
    <row r="197" spans="1:26" s="167" customFormat="1">
      <c r="A197" s="163"/>
      <c r="B197" s="212" t="s">
        <v>130</v>
      </c>
      <c r="C197" s="490">
        <f>SUM(C164:C196)</f>
        <v>941444.53999999992</v>
      </c>
      <c r="D197" s="490">
        <f>SUM(D164:D196)</f>
        <v>-165841.56</v>
      </c>
      <c r="E197" s="171">
        <f t="shared" ref="E197:F197" si="49">SUM(E164:E196)</f>
        <v>775602.98</v>
      </c>
      <c r="F197" s="171">
        <f t="shared" si="49"/>
        <v>0</v>
      </c>
      <c r="G197" s="171">
        <f>SUM(G164:G196)</f>
        <v>775602.98</v>
      </c>
      <c r="H197" s="172">
        <f>IF($G$208=0,0,G197/$G$208)</f>
        <v>0.16370433836084325</v>
      </c>
      <c r="I197" s="337"/>
      <c r="J197" s="168"/>
      <c r="K197" s="168"/>
      <c r="M197" s="364">
        <f>G197/G$228</f>
        <v>39.352731239535238</v>
      </c>
      <c r="N197" s="359">
        <f>SUMMARY!J200</f>
        <v>35.91740838389223</v>
      </c>
      <c r="W197" s="168"/>
      <c r="X197" s="168"/>
      <c r="Y197" s="527"/>
      <c r="Z197" s="527"/>
    </row>
    <row r="198" spans="1:26" s="167" customFormat="1">
      <c r="A198" s="163"/>
      <c r="C198" s="165"/>
      <c r="D198" s="165"/>
      <c r="E198" s="165"/>
      <c r="F198" s="165"/>
      <c r="G198" s="165"/>
      <c r="H198" s="198"/>
      <c r="I198" s="341"/>
      <c r="J198" s="168"/>
      <c r="K198" s="168"/>
      <c r="M198" s="359"/>
      <c r="N198" s="359"/>
      <c r="W198" s="168"/>
      <c r="X198" s="168"/>
      <c r="Y198" s="527"/>
      <c r="Z198" s="527"/>
    </row>
    <row r="199" spans="1:26" s="167" customFormat="1">
      <c r="A199" s="169" t="s">
        <v>169</v>
      </c>
      <c r="B199" s="170" t="s">
        <v>68</v>
      </c>
      <c r="C199" s="165"/>
      <c r="D199" s="165"/>
      <c r="E199" s="165"/>
      <c r="F199" s="165"/>
      <c r="G199" s="165"/>
      <c r="H199" s="198"/>
      <c r="I199" s="341"/>
      <c r="J199" s="168"/>
      <c r="K199" s="168"/>
      <c r="M199" s="359"/>
      <c r="N199" s="359"/>
      <c r="W199" s="168"/>
      <c r="X199" s="168"/>
      <c r="Y199" s="527"/>
      <c r="Z199" s="527"/>
    </row>
    <row r="200" spans="1:26" s="167" customFormat="1">
      <c r="A200" s="169" t="s">
        <v>85</v>
      </c>
      <c r="B200" s="170" t="s">
        <v>69</v>
      </c>
      <c r="C200" s="490">
        <f>'[9]Sch C'!D211</f>
        <v>96171</v>
      </c>
      <c r="D200" s="490">
        <f>'[9]Sch C'!F211</f>
        <v>0</v>
      </c>
      <c r="E200" s="171">
        <f t="shared" ref="E200:E205" si="50">C200+D200</f>
        <v>96171</v>
      </c>
      <c r="F200" s="490"/>
      <c r="G200" s="171">
        <f t="shared" ref="G200:G205" si="51">E200+F200</f>
        <v>96171</v>
      </c>
      <c r="H200" s="172">
        <f t="shared" ref="H200:H206" si="52">IF($G$208=0,0,G200/$G$208)</f>
        <v>2.0298542334765985E-2</v>
      </c>
      <c r="I200" s="337"/>
      <c r="J200" s="183">
        <v>3464.32</v>
      </c>
      <c r="K200" s="183">
        <v>3478.06</v>
      </c>
      <c r="M200" s="364">
        <f t="shared" ref="M200:M205" si="53">G200/G$228</f>
        <v>4.8795474148866003</v>
      </c>
      <c r="N200" s="359">
        <f>SUMMARY!J203</f>
        <v>4.8433639387236838</v>
      </c>
      <c r="W200" s="183">
        <v>3989.52</v>
      </c>
      <c r="X200" s="183">
        <v>4385.8100000000004</v>
      </c>
      <c r="Y200" s="492">
        <v>2297.54</v>
      </c>
      <c r="Z200" s="492">
        <v>2746.2460000000001</v>
      </c>
    </row>
    <row r="201" spans="1:26" s="167" customFormat="1">
      <c r="A201" s="169" t="s">
        <v>86</v>
      </c>
      <c r="B201" s="170" t="s">
        <v>45</v>
      </c>
      <c r="C201" s="490">
        <f>'[9]Sch C'!D212</f>
        <v>19658.57</v>
      </c>
      <c r="D201" s="490">
        <f>'[9]Sch C'!F212</f>
        <v>0</v>
      </c>
      <c r="E201" s="171">
        <f t="shared" si="50"/>
        <v>19658.57</v>
      </c>
      <c r="F201" s="490"/>
      <c r="G201" s="171">
        <f t="shared" si="51"/>
        <v>19658.57</v>
      </c>
      <c r="H201" s="172">
        <f t="shared" si="52"/>
        <v>4.1492790486317137E-3</v>
      </c>
      <c r="I201" s="337"/>
      <c r="J201" s="168"/>
      <c r="K201" s="168"/>
      <c r="M201" s="364">
        <f t="shared" si="53"/>
        <v>0.99744127048556497</v>
      </c>
      <c r="N201" s="359">
        <f>SUMMARY!J204</f>
        <v>0.96144674193499036</v>
      </c>
      <c r="W201" s="168"/>
      <c r="X201" s="168"/>
      <c r="Y201" s="527"/>
      <c r="Z201" s="527"/>
    </row>
    <row r="202" spans="1:26" s="167" customFormat="1">
      <c r="A202" s="169" t="s">
        <v>140</v>
      </c>
      <c r="B202" s="170" t="s">
        <v>54</v>
      </c>
      <c r="C202" s="490">
        <f>'[9]Sch C'!D213</f>
        <v>17909.55</v>
      </c>
      <c r="D202" s="490">
        <f>'[9]Sch C'!F213</f>
        <v>0</v>
      </c>
      <c r="E202" s="171">
        <f t="shared" si="50"/>
        <v>17909.55</v>
      </c>
      <c r="F202" s="490"/>
      <c r="G202" s="171">
        <f t="shared" si="51"/>
        <v>17909.55</v>
      </c>
      <c r="H202" s="172">
        <f t="shared" si="52"/>
        <v>3.7801183191565873E-3</v>
      </c>
      <c r="I202" s="337"/>
      <c r="J202" s="168"/>
      <c r="K202" s="168"/>
      <c r="M202" s="364">
        <f t="shared" si="53"/>
        <v>0.90869907149018214</v>
      </c>
      <c r="N202" s="359">
        <f>SUMMARY!J205</f>
        <v>0.5247184566232489</v>
      </c>
      <c r="W202" s="168"/>
      <c r="X202" s="168"/>
      <c r="Y202" s="527"/>
      <c r="Z202" s="527"/>
    </row>
    <row r="203" spans="1:26" s="167" customFormat="1">
      <c r="A203" s="169" t="s">
        <v>141</v>
      </c>
      <c r="B203" s="170" t="s">
        <v>70</v>
      </c>
      <c r="C203" s="490">
        <f>'[9]Sch C'!D214</f>
        <v>0</v>
      </c>
      <c r="D203" s="490">
        <f>'[9]Sch C'!F214</f>
        <v>0</v>
      </c>
      <c r="E203" s="171">
        <f t="shared" si="50"/>
        <v>0</v>
      </c>
      <c r="F203" s="490"/>
      <c r="G203" s="171">
        <f t="shared" si="51"/>
        <v>0</v>
      </c>
      <c r="H203" s="172">
        <f t="shared" si="52"/>
        <v>0</v>
      </c>
      <c r="I203" s="337"/>
      <c r="J203" s="168"/>
      <c r="K203" s="168"/>
      <c r="M203" s="364">
        <f t="shared" si="53"/>
        <v>0</v>
      </c>
      <c r="N203" s="359">
        <f>SUMMARY!J206</f>
        <v>1.4027039130553507E-2</v>
      </c>
      <c r="W203" s="168"/>
      <c r="X203" s="168"/>
      <c r="Y203" s="527"/>
      <c r="Z203" s="527"/>
    </row>
    <row r="204" spans="1:26" s="167" customFormat="1">
      <c r="A204" s="169" t="s">
        <v>142</v>
      </c>
      <c r="B204" s="202" t="s">
        <v>71</v>
      </c>
      <c r="C204" s="490">
        <f>'[9]Sch C'!D215</f>
        <v>0</v>
      </c>
      <c r="D204" s="490">
        <f>'[9]Sch C'!F215</f>
        <v>0</v>
      </c>
      <c r="E204" s="171">
        <f t="shared" si="50"/>
        <v>0</v>
      </c>
      <c r="F204" s="490"/>
      <c r="G204" s="171">
        <f t="shared" si="51"/>
        <v>0</v>
      </c>
      <c r="H204" s="172">
        <f t="shared" si="52"/>
        <v>0</v>
      </c>
      <c r="I204" s="337"/>
      <c r="J204" s="168"/>
      <c r="K204" s="168"/>
      <c r="M204" s="364">
        <f t="shared" si="53"/>
        <v>0</v>
      </c>
      <c r="N204" s="359">
        <f>SUMMARY!J207</f>
        <v>0</v>
      </c>
      <c r="W204" s="168"/>
      <c r="X204" s="168"/>
      <c r="Y204" s="527"/>
      <c r="Z204" s="527"/>
    </row>
    <row r="205" spans="1:26" s="167" customFormat="1">
      <c r="A205" s="169" t="s">
        <v>143</v>
      </c>
      <c r="B205" s="170" t="s">
        <v>312</v>
      </c>
      <c r="C205" s="490">
        <f>'[9]Sch C'!D216</f>
        <v>1992.11</v>
      </c>
      <c r="D205" s="490">
        <f>'[9]Sch C'!F216</f>
        <v>0</v>
      </c>
      <c r="E205" s="171">
        <f t="shared" si="50"/>
        <v>1992.11</v>
      </c>
      <c r="F205" s="490"/>
      <c r="G205" s="171">
        <f t="shared" si="51"/>
        <v>1992.11</v>
      </c>
      <c r="H205" s="172">
        <f t="shared" si="52"/>
        <v>4.2046905169448862E-4</v>
      </c>
      <c r="I205" s="337"/>
      <c r="J205" s="168"/>
      <c r="K205" s="168"/>
      <c r="M205" s="364">
        <f t="shared" si="53"/>
        <v>0.10107615810036023</v>
      </c>
      <c r="N205" s="359">
        <f>SUMMARY!J208</f>
        <v>0.36483307391933595</v>
      </c>
      <c r="W205" s="168"/>
      <c r="X205" s="168"/>
    </row>
    <row r="206" spans="1:26" s="167" customFormat="1">
      <c r="A206" s="163"/>
      <c r="B206" s="170" t="s">
        <v>144</v>
      </c>
      <c r="C206" s="490">
        <f>SUM(C200:C205)</f>
        <v>135731.22999999998</v>
      </c>
      <c r="D206" s="490">
        <f>SUM(D200:D205)</f>
        <v>0</v>
      </c>
      <c r="E206" s="171">
        <f t="shared" ref="E206:F206" si="54">SUM(E200:E205)</f>
        <v>135731.22999999998</v>
      </c>
      <c r="F206" s="171">
        <f t="shared" si="54"/>
        <v>0</v>
      </c>
      <c r="G206" s="171">
        <f>SUM(G200:G205)</f>
        <v>135731.22999999998</v>
      </c>
      <c r="H206" s="172">
        <f t="shared" si="52"/>
        <v>2.8648408754248771E-2</v>
      </c>
      <c r="I206" s="337"/>
      <c r="J206" s="168"/>
      <c r="K206" s="168"/>
      <c r="M206" s="364">
        <f>G206/G$228</f>
        <v>6.8867639149627067</v>
      </c>
      <c r="N206" s="359">
        <f>SUMMARY!J209</f>
        <v>6.7083892503318125</v>
      </c>
      <c r="W206" s="168"/>
      <c r="X206" s="168"/>
    </row>
    <row r="207" spans="1:26" s="167" customFormat="1">
      <c r="A207" s="163"/>
      <c r="C207" s="165"/>
      <c r="D207" s="165"/>
      <c r="E207" s="165"/>
      <c r="F207" s="165"/>
      <c r="G207" s="165"/>
      <c r="H207" s="198"/>
      <c r="I207" s="341"/>
      <c r="J207" s="168"/>
      <c r="K207" s="168"/>
      <c r="M207" s="359"/>
      <c r="N207" s="359"/>
    </row>
    <row r="208" spans="1:26" s="167" customFormat="1">
      <c r="A208" s="227"/>
      <c r="B208" s="228" t="s">
        <v>145</v>
      </c>
      <c r="C208" s="490">
        <f>SUM(C25:C206)/2</f>
        <v>4972227.1499999994</v>
      </c>
      <c r="D208" s="490">
        <f>SUM(D25:D206)/2</f>
        <v>-234399.25999999998</v>
      </c>
      <c r="E208" s="171">
        <f t="shared" ref="E208:F208" si="55">SUM(E25:E206)/2</f>
        <v>4737827.8899999997</v>
      </c>
      <c r="F208" s="171">
        <f t="shared" si="55"/>
        <v>0</v>
      </c>
      <c r="G208" s="171">
        <f>SUM(G25:G206)/2</f>
        <v>4737827.8899999997</v>
      </c>
      <c r="H208" s="172">
        <f>IF($G$208=0,0,G208/$G$208)</f>
        <v>1</v>
      </c>
      <c r="I208" s="337"/>
      <c r="J208" s="183">
        <f>SUM(J25:J200)</f>
        <v>104828.95000000001</v>
      </c>
      <c r="K208" s="183">
        <f>SUM(K25:K200)</f>
        <v>113129.91999999998</v>
      </c>
      <c r="M208" s="364">
        <f>G208/G$228</f>
        <v>240.38905525394489</v>
      </c>
      <c r="N208" s="359">
        <f>SUMMARY!J211</f>
        <v>251.18209433366243</v>
      </c>
      <c r="W208" s="560">
        <f t="shared" ref="W208:Z208" si="56">SUM(W25:W200)</f>
        <v>66414.33</v>
      </c>
      <c r="X208" s="560">
        <f t="shared" si="56"/>
        <v>74892.569999999992</v>
      </c>
      <c r="Y208" s="560">
        <f t="shared" si="56"/>
        <v>36109.520000000004</v>
      </c>
      <c r="Z208" s="560">
        <f t="shared" si="56"/>
        <v>40173.338000000003</v>
      </c>
    </row>
    <row r="209" spans="1:14" s="167" customFormat="1" ht="15.5">
      <c r="A209" s="163"/>
      <c r="B209" s="170"/>
      <c r="C209" s="165"/>
      <c r="D209" s="165"/>
      <c r="E209" s="165"/>
      <c r="F209"/>
      <c r="G209"/>
      <c r="I209" s="333"/>
      <c r="J209" s="168"/>
      <c r="K209" s="168"/>
    </row>
    <row r="210" spans="1:14" s="167" customFormat="1" ht="15.5">
      <c r="A210" s="163"/>
      <c r="B210" s="170"/>
      <c r="C210" s="165"/>
      <c r="D210" s="165"/>
      <c r="E210" s="165"/>
      <c r="F210"/>
      <c r="G210"/>
      <c r="I210" s="333"/>
      <c r="J210" s="168"/>
      <c r="K210" s="168"/>
    </row>
    <row r="211" spans="1:14" s="167" customFormat="1" ht="15.5">
      <c r="A211" s="163"/>
      <c r="B211" s="228" t="s">
        <v>181</v>
      </c>
      <c r="C211" s="490">
        <f>'[9]Sch C'!D221</f>
        <v>4972227</v>
      </c>
      <c r="D211" s="196"/>
      <c r="E211" s="165"/>
      <c r="F211"/>
      <c r="G211"/>
      <c r="I211" s="333"/>
      <c r="J211" s="168"/>
      <c r="K211" s="168"/>
    </row>
    <row r="212" spans="1:14" s="167" customFormat="1" ht="15.5">
      <c r="A212" s="163"/>
      <c r="B212" s="170" t="s">
        <v>147</v>
      </c>
      <c r="C212" s="490">
        <f>C208-C211</f>
        <v>0.14999999944120646</v>
      </c>
      <c r="D212" s="229"/>
      <c r="E212" s="165"/>
      <c r="F212"/>
      <c r="G212"/>
      <c r="I212" s="333"/>
      <c r="J212" s="168"/>
      <c r="K212" s="168"/>
    </row>
    <row r="213" spans="1:14" s="167" customFormat="1">
      <c r="A213" s="163"/>
      <c r="B213" s="230"/>
      <c r="C213" s="585"/>
      <c r="D213" s="232"/>
      <c r="E213" s="232"/>
      <c r="F213" s="232"/>
      <c r="G213" s="232"/>
      <c r="H213" s="166"/>
      <c r="I213" s="336"/>
      <c r="J213" s="168"/>
      <c r="K213" s="168"/>
    </row>
    <row r="214" spans="1:14" s="167" customFormat="1">
      <c r="A214" s="169"/>
      <c r="B214" s="228"/>
      <c r="C214" s="165"/>
      <c r="D214" s="165"/>
      <c r="E214" s="165"/>
      <c r="F214" s="165"/>
      <c r="G214" s="165"/>
      <c r="I214" s="333"/>
      <c r="J214" s="168"/>
      <c r="K214" s="168"/>
    </row>
    <row r="215" spans="1:14" s="167" customFormat="1">
      <c r="A215" s="163"/>
      <c r="B215" s="228" t="s">
        <v>78</v>
      </c>
      <c r="C215" s="490">
        <f>C21-C208</f>
        <v>616246.69000000041</v>
      </c>
      <c r="D215" s="490">
        <f>D21-D208</f>
        <v>234399.25999999998</v>
      </c>
      <c r="E215" s="171">
        <f t="shared" ref="E215:F215" si="57">E21-E208</f>
        <v>850645.95000000019</v>
      </c>
      <c r="F215" s="171">
        <f t="shared" si="57"/>
        <v>0</v>
      </c>
      <c r="G215" s="171">
        <f>G21-G208</f>
        <v>850645.95000000019</v>
      </c>
      <c r="I215" s="333"/>
      <c r="J215" s="168"/>
      <c r="K215" s="168"/>
      <c r="M215" s="356"/>
      <c r="N215" s="359"/>
    </row>
    <row r="216" spans="1:14" s="167" customFormat="1">
      <c r="A216" s="163"/>
      <c r="B216" s="228"/>
      <c r="C216" s="196"/>
      <c r="D216" s="196"/>
      <c r="E216" s="196"/>
      <c r="F216" s="196"/>
      <c r="G216" s="196"/>
      <c r="I216" s="333"/>
      <c r="J216" s="168"/>
      <c r="K216" s="168"/>
    </row>
    <row r="217" spans="1:14" s="167" customFormat="1">
      <c r="A217" s="163"/>
      <c r="B217" s="228"/>
      <c r="C217" s="196"/>
      <c r="D217" s="196"/>
      <c r="E217" s="196"/>
      <c r="F217" s="196"/>
      <c r="G217" s="196"/>
      <c r="I217" s="333"/>
      <c r="J217" s="168"/>
      <c r="K217" s="168"/>
    </row>
    <row r="218" spans="1:14">
      <c r="A218" s="163"/>
      <c r="B218" s="233" t="s">
        <v>159</v>
      </c>
      <c r="C218" s="165"/>
      <c r="D218" s="165"/>
      <c r="E218" s="165"/>
      <c r="F218" s="165"/>
      <c r="G218" s="165"/>
      <c r="H218" s="166"/>
      <c r="I218" s="336"/>
      <c r="J218" s="168"/>
      <c r="K218" s="168"/>
    </row>
    <row r="219" spans="1:14">
      <c r="A219" s="163"/>
      <c r="B219" s="170" t="s">
        <v>218</v>
      </c>
      <c r="C219" s="491">
        <f>'[9]Sch D'!C9</f>
        <v>10147</v>
      </c>
      <c r="D219" s="491"/>
      <c r="E219" s="235">
        <f t="shared" ref="E219:G227" si="58">C219+D219</f>
        <v>10147</v>
      </c>
      <c r="F219" s="491"/>
      <c r="G219" s="235">
        <f t="shared" si="58"/>
        <v>10147</v>
      </c>
      <c r="H219" s="172">
        <f t="shared" ref="H219:H228" si="59">IF($G$228=0,0,G219/$G$228)</f>
        <v>0.51484093561317168</v>
      </c>
      <c r="I219" s="337"/>
      <c r="J219" s="168"/>
      <c r="K219" s="168"/>
    </row>
    <row r="220" spans="1:14">
      <c r="A220" s="163"/>
      <c r="B220" s="170" t="s">
        <v>217</v>
      </c>
      <c r="C220" s="491">
        <f>'[9]Sch D'!D9</f>
        <v>0</v>
      </c>
      <c r="D220" s="491"/>
      <c r="E220" s="235">
        <f t="shared" ref="E220:E227" si="60">C220+D220</f>
        <v>0</v>
      </c>
      <c r="F220" s="491"/>
      <c r="G220" s="235">
        <f t="shared" si="58"/>
        <v>0</v>
      </c>
      <c r="H220" s="172">
        <f t="shared" si="59"/>
        <v>0</v>
      </c>
      <c r="I220" s="337"/>
      <c r="J220" s="168"/>
      <c r="K220" s="168"/>
    </row>
    <row r="221" spans="1:14">
      <c r="A221" s="163"/>
      <c r="B221" s="170" t="s">
        <v>72</v>
      </c>
      <c r="C221" s="491">
        <f>'[9]Sch D'!E9</f>
        <v>4115</v>
      </c>
      <c r="D221" s="491"/>
      <c r="E221" s="235">
        <f t="shared" si="60"/>
        <v>4115</v>
      </c>
      <c r="F221" s="491"/>
      <c r="G221" s="235">
        <f t="shared" si="58"/>
        <v>4115</v>
      </c>
      <c r="H221" s="172">
        <f t="shared" si="59"/>
        <v>0.20878786341265412</v>
      </c>
      <c r="I221" s="337"/>
      <c r="J221" s="168"/>
      <c r="K221" s="168"/>
    </row>
    <row r="222" spans="1:14">
      <c r="A222" s="163"/>
      <c r="B222" s="202" t="s">
        <v>334</v>
      </c>
      <c r="C222" s="491">
        <f>'[9]Sch D'!F9</f>
        <v>1146</v>
      </c>
      <c r="D222" s="491"/>
      <c r="E222" s="235">
        <f>C222+D222</f>
        <v>1146</v>
      </c>
      <c r="F222" s="491"/>
      <c r="G222" s="235">
        <f>E222+F222</f>
        <v>1146</v>
      </c>
      <c r="H222" s="172">
        <f t="shared" si="59"/>
        <v>5.8146024658785329E-2</v>
      </c>
      <c r="I222" s="337"/>
      <c r="J222" s="168"/>
      <c r="K222" s="168"/>
    </row>
    <row r="223" spans="1:14">
      <c r="A223" s="163"/>
      <c r="B223" s="170" t="s">
        <v>73</v>
      </c>
      <c r="C223" s="491">
        <f>'[9]Sch D'!G9</f>
        <v>0</v>
      </c>
      <c r="D223" s="491"/>
      <c r="E223" s="235">
        <f t="shared" si="60"/>
        <v>0</v>
      </c>
      <c r="F223" s="491"/>
      <c r="G223" s="235">
        <f t="shared" si="58"/>
        <v>0</v>
      </c>
      <c r="H223" s="172">
        <f t="shared" si="59"/>
        <v>0</v>
      </c>
      <c r="I223" s="337"/>
      <c r="J223" s="168"/>
      <c r="K223" s="168"/>
    </row>
    <row r="224" spans="1:14">
      <c r="A224" s="163"/>
      <c r="B224" s="170" t="s">
        <v>74</v>
      </c>
      <c r="C224" s="491">
        <f>'[9]Sch D'!H9</f>
        <v>3421</v>
      </c>
      <c r="D224" s="491"/>
      <c r="E224" s="235">
        <f t="shared" si="60"/>
        <v>3421</v>
      </c>
      <c r="F224" s="491"/>
      <c r="G224" s="235">
        <f t="shared" si="58"/>
        <v>3421</v>
      </c>
      <c r="H224" s="172">
        <f t="shared" si="59"/>
        <v>0.1735755238723426</v>
      </c>
      <c r="I224" s="337"/>
      <c r="J224" s="168"/>
      <c r="K224" s="168"/>
    </row>
    <row r="225" spans="1:11">
      <c r="A225" s="163"/>
      <c r="B225" s="170" t="s">
        <v>236</v>
      </c>
      <c r="C225" s="491">
        <f>'[9]Sch D'!I9</f>
        <v>701</v>
      </c>
      <c r="D225" s="491"/>
      <c r="E225" s="235">
        <f t="shared" si="60"/>
        <v>701</v>
      </c>
      <c r="F225" s="491"/>
      <c r="G225" s="235">
        <f t="shared" si="58"/>
        <v>701</v>
      </c>
      <c r="H225" s="172">
        <f t="shared" si="59"/>
        <v>3.5567507230199399E-2</v>
      </c>
      <c r="I225" s="337"/>
      <c r="J225" s="168"/>
      <c r="K225" s="168"/>
    </row>
    <row r="226" spans="1:11">
      <c r="A226" s="163"/>
      <c r="B226" s="170" t="s">
        <v>235</v>
      </c>
      <c r="C226" s="491">
        <f>'[9]Sch D'!J9</f>
        <v>0</v>
      </c>
      <c r="D226" s="491"/>
      <c r="E226" s="235">
        <f>C226+D226</f>
        <v>0</v>
      </c>
      <c r="F226" s="491"/>
      <c r="G226" s="235">
        <f>E226+F226</f>
        <v>0</v>
      </c>
      <c r="H226" s="172">
        <f t="shared" si="59"/>
        <v>0</v>
      </c>
      <c r="I226" s="337"/>
      <c r="J226" s="168"/>
      <c r="K226" s="168"/>
    </row>
    <row r="227" spans="1:11">
      <c r="A227" s="163"/>
      <c r="B227" s="170" t="s">
        <v>179</v>
      </c>
      <c r="C227" s="491">
        <f>'[9]Sch D'!K9</f>
        <v>179</v>
      </c>
      <c r="D227" s="491"/>
      <c r="E227" s="235">
        <f t="shared" si="60"/>
        <v>179</v>
      </c>
      <c r="F227" s="491"/>
      <c r="G227" s="235">
        <f t="shared" si="58"/>
        <v>179</v>
      </c>
      <c r="H227" s="172">
        <f t="shared" si="59"/>
        <v>9.0821452128469222E-3</v>
      </c>
      <c r="I227" s="337"/>
      <c r="J227" s="168"/>
      <c r="K227" s="168"/>
    </row>
    <row r="228" spans="1:11" ht="13.5" thickBot="1">
      <c r="A228" s="163"/>
      <c r="B228" s="236" t="s">
        <v>75</v>
      </c>
      <c r="C228" s="491">
        <f>SUM(C219:C227)</f>
        <v>19709</v>
      </c>
      <c r="D228" s="491">
        <f>SUM(D219:D227)</f>
        <v>0</v>
      </c>
      <c r="E228" s="237">
        <f>SUM(E219:E227)</f>
        <v>19709</v>
      </c>
      <c r="F228" s="237">
        <f>SUM(F219:F227)</f>
        <v>0</v>
      </c>
      <c r="G228" s="237">
        <f>SUM(G219:G227)</f>
        <v>19709</v>
      </c>
      <c r="H228" s="172">
        <f t="shared" si="59"/>
        <v>1</v>
      </c>
      <c r="I228" s="337"/>
      <c r="J228" s="168"/>
      <c r="K228" s="168"/>
    </row>
    <row r="229" spans="1:11" ht="13.5" thickTop="1">
      <c r="A229" s="163"/>
      <c r="B229" s="167"/>
      <c r="C229" s="586"/>
      <c r="D229" s="239"/>
      <c r="E229" s="232"/>
      <c r="F229" s="239"/>
      <c r="G229" s="232"/>
      <c r="H229" s="167"/>
      <c r="J229" s="168"/>
      <c r="K229" s="168"/>
    </row>
    <row r="230" spans="1:11">
      <c r="A230" s="163"/>
      <c r="B230" s="233" t="s">
        <v>160</v>
      </c>
      <c r="C230" s="585"/>
      <c r="D230" s="232"/>
      <c r="E230" s="232"/>
      <c r="F230" s="232"/>
      <c r="G230" s="232"/>
      <c r="H230" s="167"/>
      <c r="J230" s="168"/>
      <c r="K230" s="168"/>
    </row>
    <row r="231" spans="1:11">
      <c r="A231" s="163"/>
      <c r="B231" s="202" t="s">
        <v>219</v>
      </c>
      <c r="C231" s="492">
        <f>'[9]Sch D'!N22</f>
        <v>84</v>
      </c>
      <c r="D231" s="526"/>
      <c r="E231" s="235">
        <f>C231+D231</f>
        <v>84</v>
      </c>
      <c r="F231" s="235"/>
      <c r="G231" s="235">
        <f>E231+F231</f>
        <v>84</v>
      </c>
      <c r="H231" s="167"/>
      <c r="J231" s="168"/>
      <c r="K231" s="168"/>
    </row>
    <row r="232" spans="1:11">
      <c r="A232" s="163"/>
      <c r="B232" s="202" t="s">
        <v>290</v>
      </c>
      <c r="C232" s="492">
        <f>'[9]Sch D'!N24</f>
        <v>84</v>
      </c>
      <c r="D232" s="526"/>
      <c r="E232" s="235">
        <f>C232+D232</f>
        <v>84</v>
      </c>
      <c r="F232" s="235"/>
      <c r="G232" s="235">
        <f>E232+F232</f>
        <v>84</v>
      </c>
      <c r="H232" s="167"/>
      <c r="J232" s="168"/>
      <c r="K232" s="168"/>
    </row>
    <row r="233" spans="1:11">
      <c r="A233" s="163"/>
      <c r="B233" s="202" t="s">
        <v>76</v>
      </c>
      <c r="C233" s="492">
        <f>$C$4-$C$3+1</f>
        <v>365</v>
      </c>
      <c r="D233" s="489"/>
      <c r="E233" s="235">
        <f>C233+D233</f>
        <v>365</v>
      </c>
      <c r="F233" s="240">
        <v>129</v>
      </c>
      <c r="G233" s="235">
        <f>E233+F233</f>
        <v>494</v>
      </c>
      <c r="H233" s="167"/>
      <c r="J233" s="168"/>
      <c r="K233" s="168"/>
    </row>
    <row r="234" spans="1:11">
      <c r="A234" s="163"/>
      <c r="B234" s="241"/>
      <c r="C234" s="587"/>
      <c r="D234" s="240"/>
      <c r="E234" s="243"/>
      <c r="F234" s="240"/>
      <c r="G234" s="243"/>
      <c r="H234" s="167"/>
      <c r="J234" s="168"/>
      <c r="K234" s="168"/>
    </row>
    <row r="235" spans="1:11" ht="26">
      <c r="A235" s="163"/>
      <c r="B235" s="244" t="s">
        <v>335</v>
      </c>
      <c r="C235" s="492">
        <f>'[9]Sch D'!N28</f>
        <v>30660</v>
      </c>
      <c r="D235" s="489"/>
      <c r="E235" s="234">
        <f>E231*E233</f>
        <v>30660</v>
      </c>
      <c r="F235" s="240">
        <v>10836</v>
      </c>
      <c r="G235" s="234">
        <f>G231*G233</f>
        <v>41496</v>
      </c>
      <c r="H235" s="167"/>
      <c r="J235" s="168"/>
      <c r="K235" s="168"/>
    </row>
    <row r="236" spans="1:11" ht="26">
      <c r="A236" s="163"/>
      <c r="B236" s="244" t="s">
        <v>336</v>
      </c>
      <c r="C236" s="493">
        <f>'[9]Sch D'!N30</f>
        <v>0.64282452707110238</v>
      </c>
      <c r="D236" s="240"/>
      <c r="E236" s="245">
        <f>E228/E235</f>
        <v>0.64282452707110238</v>
      </c>
      <c r="F236" s="246">
        <f>F228/F235</f>
        <v>0</v>
      </c>
      <c r="G236" s="245">
        <f>G228/G235</f>
        <v>0.47496144206670521</v>
      </c>
      <c r="H236" s="167"/>
      <c r="J236" s="168"/>
      <c r="K236" s="168"/>
    </row>
    <row r="237" spans="1:11" ht="26">
      <c r="A237" s="163"/>
      <c r="B237" s="244" t="s">
        <v>337</v>
      </c>
      <c r="C237" s="493">
        <f>'[9]Sch D'!N32</f>
        <v>0.33095238095238094</v>
      </c>
      <c r="D237" s="240"/>
      <c r="E237" s="245">
        <f>(E219+E220)/E235</f>
        <v>0.33095238095238094</v>
      </c>
      <c r="F237" s="246">
        <f>(F219+F220)/F235</f>
        <v>0</v>
      </c>
      <c r="G237" s="245">
        <f>(G219+G220)/G235</f>
        <v>0.24452959321380374</v>
      </c>
      <c r="H237" s="167"/>
      <c r="J237" s="168"/>
      <c r="K237" s="168"/>
    </row>
    <row r="238" spans="1:11" ht="26">
      <c r="A238" s="163"/>
      <c r="B238" s="244" t="s">
        <v>338</v>
      </c>
      <c r="C238" s="493">
        <f>'[9]Sch D'!N34</f>
        <v>0.51484093561317168</v>
      </c>
      <c r="D238" s="240"/>
      <c r="E238" s="245">
        <f>(E237/E236)</f>
        <v>0.51484093561317168</v>
      </c>
      <c r="F238" s="246" t="e">
        <f>(F237/F236)</f>
        <v>#DIV/0!</v>
      </c>
      <c r="G238" s="245">
        <f>(G237/G236)</f>
        <v>0.51484093561317168</v>
      </c>
      <c r="H238" s="167"/>
      <c r="J238" s="168"/>
      <c r="K238" s="168"/>
    </row>
    <row r="241" spans="2:7">
      <c r="B241" s="148" t="s">
        <v>339</v>
      </c>
      <c r="F241" s="142" t="s">
        <v>340</v>
      </c>
      <c r="G241" s="490">
        <f>'[9]Sch B'!C85</f>
        <v>193.50524781341107</v>
      </c>
    </row>
    <row r="242" spans="2:7">
      <c r="F242" s="142" t="s">
        <v>341</v>
      </c>
      <c r="G242" s="490">
        <f>'[9]Sch B'!E85</f>
        <v>199.59541860465112</v>
      </c>
    </row>
    <row r="243" spans="2:7">
      <c r="F243" s="142" t="s">
        <v>342</v>
      </c>
      <c r="G243" s="490">
        <f>'[9]Sch B'!G85</f>
        <v>194.11415669205658</v>
      </c>
    </row>
    <row r="244" spans="2:7">
      <c r="F244" s="142" t="s">
        <v>343</v>
      </c>
      <c r="G244" s="490">
        <f>'[9]Sch B'!I85</f>
        <v>195.64405286343612</v>
      </c>
    </row>
    <row r="245" spans="2:7">
      <c r="F245" s="142"/>
    </row>
    <row r="246" spans="2:7">
      <c r="G246" s="465"/>
    </row>
  </sheetData>
  <printOptions horizontalCentered="1"/>
  <pageMargins left="0" right="0" top="0.75" bottom="1" header="0.5" footer="0.5"/>
  <pageSetup scale="70" orientation="portrait" horizontalDpi="300" verticalDpi="300" r:id="rId1"/>
  <headerFooter alignWithMargins="0">
    <oddFooter>&amp;R&amp;D
&amp;T
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85</vt:i4>
      </vt:variant>
      <vt:variant>
        <vt:lpstr>Named Ranges</vt:lpstr>
      </vt:variant>
      <vt:variant>
        <vt:i4>31</vt:i4>
      </vt:variant>
    </vt:vector>
  </HeadingPairs>
  <TitlesOfParts>
    <vt:vector size="116" baseType="lpstr">
      <vt:lpstr>ALPINE VALLEY</vt:lpstr>
      <vt:lpstr>ART CITY</vt:lpstr>
      <vt:lpstr>AVALON BOUNTIFUL</vt:lpstr>
      <vt:lpstr>AVALON VALLEY</vt:lpstr>
      <vt:lpstr>BENNION dba AV West</vt:lpstr>
      <vt:lpstr>BVH-RMC CLEARFIELD</vt:lpstr>
      <vt:lpstr>BVH-RMC Cottage on Vine</vt:lpstr>
      <vt:lpstr>BVH-RMC Mountain View</vt:lpstr>
      <vt:lpstr>BVH-RMC Willow Springs</vt:lpstr>
      <vt:lpstr>CANYON RIM</vt:lpstr>
      <vt:lpstr>CANYONLANDS</vt:lpstr>
      <vt:lpstr>CENTRAL UT VH -PAYSON</vt:lpstr>
      <vt:lpstr>CITY CREEK</vt:lpstr>
      <vt:lpstr>COPPER RIDGE</vt:lpstr>
      <vt:lpstr>COUNTRY LIFE</vt:lpstr>
      <vt:lpstr>CRESTWOOD</vt:lpstr>
      <vt:lpstr>DESERET CARE</vt:lpstr>
      <vt:lpstr>Deseret at CROSSLANDS</vt:lpstr>
      <vt:lpstr>Deseret at FEDERAL HEIGHTS</vt:lpstr>
      <vt:lpstr>DRAPER</vt:lpstr>
      <vt:lpstr>EMERY COUNTY</vt:lpstr>
      <vt:lpstr>FAIRVIEW</vt:lpstr>
      <vt:lpstr>FOUR CORNERS</vt:lpstr>
      <vt:lpstr>HAZEN</vt:lpstr>
      <vt:lpstr>HERITAGE CARE</vt:lpstr>
      <vt:lpstr>HERITAGE HILLS</vt:lpstr>
      <vt:lpstr>HERITAGE PARK (TM ROY)</vt:lpstr>
      <vt:lpstr>HIGHLAND</vt:lpstr>
      <vt:lpstr>HILLSIDE</vt:lpstr>
      <vt:lpstr>HOLLADAY</vt:lpstr>
      <vt:lpstr>HURRICANE</vt:lpstr>
      <vt:lpstr>IRON COUNTY</vt:lpstr>
      <vt:lpstr>KOLOB CARE, ST GEORGE</vt:lpstr>
      <vt:lpstr>KOLOB REG., CEDAR CITY</vt:lpstr>
      <vt:lpstr>LIFE CARE BOUNTIFUL</vt:lpstr>
      <vt:lpstr>Little Cottonwood</vt:lpstr>
      <vt:lpstr>LOGAN &amp; RMC</vt:lpstr>
      <vt:lpstr>LOMOND PEAK</vt:lpstr>
      <vt:lpstr>MANOR CARE</vt:lpstr>
      <vt:lpstr>MEADOW BROOK</vt:lpstr>
      <vt:lpstr>MIDTOWN</vt:lpstr>
      <vt:lpstr>MILLARD COUNTY</vt:lpstr>
      <vt:lpstr>MILLCREEK</vt:lpstr>
      <vt:lpstr>Mission at Bear River- GVH</vt:lpstr>
      <vt:lpstr>MISSION at CL (Mayfield)</vt:lpstr>
      <vt:lpstr>MTN VIEW</vt:lpstr>
      <vt:lpstr>MT OGDEN</vt:lpstr>
      <vt:lpstr>MT. OLYMPUS</vt:lpstr>
      <vt:lpstr>NORTH CANYON</vt:lpstr>
      <vt:lpstr>OGDEN VA, George E. Wahlen</vt:lpstr>
      <vt:lpstr>ORCHARD PARK</vt:lpstr>
      <vt:lpstr>OREM</vt:lpstr>
      <vt:lpstr>PARAMOUNT</vt:lpstr>
      <vt:lpstr>PARKDALE</vt:lpstr>
      <vt:lpstr>PARKWAY</vt:lpstr>
      <vt:lpstr>PINE CREEK</vt:lpstr>
      <vt:lpstr>PINNACLE</vt:lpstr>
      <vt:lpstr>PIONEER</vt:lpstr>
      <vt:lpstr>PROVO REHAB</vt:lpstr>
      <vt:lpstr>RED CLIFFS</vt:lpstr>
      <vt:lpstr>RICHFIELD</vt:lpstr>
      <vt:lpstr>RM HUNTER HOLLOW</vt:lpstr>
      <vt:lpstr>RM RIVERTON</vt:lpstr>
      <vt:lpstr>SANDY REGIONAL</vt:lpstr>
      <vt:lpstr>SEASONS</vt:lpstr>
      <vt:lpstr>SOUTH DAVIS</vt:lpstr>
      <vt:lpstr>Southern UT VH-IVINS</vt:lpstr>
      <vt:lpstr>SPANISH FORK,</vt:lpstr>
      <vt:lpstr>SPRING CREEK</vt:lpstr>
      <vt:lpstr>ST GEORGE</vt:lpstr>
      <vt:lpstr>ST JOSEPH VILLA</vt:lpstr>
      <vt:lpstr>STONEHENGE of AM FORK</vt:lpstr>
      <vt:lpstr>STONEHENGE, OGDEN</vt:lpstr>
      <vt:lpstr>STONEHENGE, RICHFIELD</vt:lpstr>
      <vt:lpstr>SUNSHINE TERRACE</vt:lpstr>
      <vt:lpstr>T M PROVO(Ut Val H&amp;R)</vt:lpstr>
      <vt:lpstr>UINTAH BASIN REHAB</vt:lpstr>
      <vt:lpstr>UINTAH CARE</vt:lpstr>
      <vt:lpstr>VA Salt Lake (W.E.C. SLVH)</vt:lpstr>
      <vt:lpstr>WASATCH</vt:lpstr>
      <vt:lpstr>WASHINGTON TERRACE</vt:lpstr>
      <vt:lpstr>WILLOW GLEN</vt:lpstr>
      <vt:lpstr>WILLOW WOOD</vt:lpstr>
      <vt:lpstr>WOODLAND</vt:lpstr>
      <vt:lpstr>SUMMARY</vt:lpstr>
      <vt:lpstr>'DESERET CARE'!Print_Area</vt:lpstr>
      <vt:lpstr>'Little Cottonwood'!Print_Area</vt:lpstr>
      <vt:lpstr>'LOMOND PEAK'!Print_Area</vt:lpstr>
      <vt:lpstr>PARAMOUNT!Print_Area</vt:lpstr>
      <vt:lpstr>SUMMARY!Print_Area</vt:lpstr>
      <vt:lpstr>CRESTWOOD!Print_Titles</vt:lpstr>
      <vt:lpstr>'Deseret at FEDERAL HEIGHTS'!Print_Titles</vt:lpstr>
      <vt:lpstr>'DESERET CARE'!Print_Titles</vt:lpstr>
      <vt:lpstr>FAIRVIEW!Print_Titles</vt:lpstr>
      <vt:lpstr>'FOUR CORNERS'!Print_Titles</vt:lpstr>
      <vt:lpstr>'HERITAGE CARE'!Print_Titles</vt:lpstr>
      <vt:lpstr>'HERITAGE HILLS'!Print_Titles</vt:lpstr>
      <vt:lpstr>'HERITAGE PARK (TM ROY)'!Print_Titles</vt:lpstr>
      <vt:lpstr>HIGHLAND!Print_Titles</vt:lpstr>
      <vt:lpstr>HILLSIDE!Print_Titles</vt:lpstr>
      <vt:lpstr>HOLLADAY!Print_Titles</vt:lpstr>
      <vt:lpstr>'KOLOB CARE, ST GEORGE'!Print_Titles</vt:lpstr>
      <vt:lpstr>'KOLOB REG., CEDAR CITY'!Print_Titles</vt:lpstr>
      <vt:lpstr>'Little Cottonwood'!Print_Titles</vt:lpstr>
      <vt:lpstr>'LOGAN &amp; RMC'!Print_Titles</vt:lpstr>
      <vt:lpstr>'LOMOND PEAK'!Print_Titles</vt:lpstr>
      <vt:lpstr>MIDTOWN!Print_Titles</vt:lpstr>
      <vt:lpstr>MILLCREEK!Print_Titles</vt:lpstr>
      <vt:lpstr>PARAMOUNT!Print_Titles</vt:lpstr>
      <vt:lpstr>'PINE CREEK'!Print_Titles</vt:lpstr>
      <vt:lpstr>'PROVO REHAB'!Print_Titles</vt:lpstr>
      <vt:lpstr>'SPANISH FORK,'!Print_Titles</vt:lpstr>
      <vt:lpstr>SUMMARY!Print_Titles</vt:lpstr>
      <vt:lpstr>'WASHINGTON TERRACE'!Print_Titles</vt:lpstr>
      <vt:lpstr>'WILLOW WOOD'!Print_Titles</vt:lpstr>
      <vt:lpstr>WOODLAND!Print_Titles</vt:lpstr>
    </vt:vector>
  </TitlesOfParts>
  <Company>UTAH DEPT of HEALTH - HCF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Roger Price</dc:creator>
  <cp:lastModifiedBy>Cody Simonsen</cp:lastModifiedBy>
  <cp:lastPrinted>2015-12-02T01:10:22Z</cp:lastPrinted>
  <dcterms:created xsi:type="dcterms:W3CDTF">1999-03-26T16:15:21Z</dcterms:created>
  <dcterms:modified xsi:type="dcterms:W3CDTF">2020-07-01T16:12:01Z</dcterms:modified>
</cp:coreProperties>
</file>